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theme/themeOverride1.xml" ContentType="application/vnd.openxmlformats-officedocument.themeOverride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theme/themeOverride2.xml" ContentType="application/vnd.openxmlformats-officedocument.themeOverride+xml"/>
  <Override PartName="/xl/charts/chart32.xml" ContentType="application/vnd.openxmlformats-officedocument.drawingml.chart+xml"/>
  <Override PartName="/xl/theme/themeOverride3.xml" ContentType="application/vnd.openxmlformats-officedocument.themeOverride+xml"/>
  <Override PartName="/xl/charts/chart33.xml" ContentType="application/vnd.openxmlformats-officedocument.drawingml.chart+xml"/>
  <Override PartName="/xl/theme/themeOverride4.xml" ContentType="application/vnd.openxmlformats-officedocument.themeOverride+xml"/>
  <Override PartName="/xl/drawings/drawing9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2.xml" ContentType="application/vnd.openxmlformats-officedocument.drawing+xml"/>
  <Override PartName="/xl/charts/chart54.xml" ContentType="application/vnd.openxmlformats-officedocument.drawingml.chart+xml"/>
  <Override PartName="/xl/drawings/drawing13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d.kernan\Dropbox\q8kool\excel_files\"/>
    </mc:Choice>
  </mc:AlternateContent>
  <bookViews>
    <workbookView xWindow="585" yWindow="810" windowWidth="14535" windowHeight="3420" tabRatio="965" activeTab="6"/>
  </bookViews>
  <sheets>
    <sheet name="Well Data-NK" sheetId="1" r:id="rId1"/>
    <sheet name="cleanWellData" sheetId="49" r:id="rId2"/>
    <sheet name="Well_Data_NK_Upcoming" sheetId="32" r:id="rId3"/>
    <sheet name="RigScheduleTest" sheetId="43" r:id="rId4"/>
    <sheet name="Rig_Schedule_View (2)" sheetId="51" r:id="rId5"/>
    <sheet name="Rig_Schedule_View" sheetId="46" r:id="rId6"/>
    <sheet name="Sheet2" sheetId="50" r:id="rId7"/>
    <sheet name="DailyDrillingUpdate" sheetId="42" r:id="rId8"/>
    <sheet name="Sheet1" sheetId="5" r:id="rId9"/>
    <sheet name="Dashboard 15 16 AAP" sheetId="47" r:id="rId10"/>
    <sheet name="Dashboard" sheetId="13" r:id="rId11"/>
    <sheet name="Planning and Target Times" sheetId="8" r:id="rId12"/>
    <sheet name="P50P25 Drill Times by Type" sheetId="25" r:id="rId13"/>
    <sheet name="Rig Mud Co" sheetId="14" r:id="rId14"/>
    <sheet name="P50 and P25 table" sheetId="15" r:id="rId15"/>
    <sheet name="Well Data-SEK" sheetId="2" r:id="rId16"/>
    <sheet name="Schedule2014" sheetId="18" r:id="rId17"/>
    <sheet name="Visual Schedule" sheetId="19" r:id="rId18"/>
    <sheet name="P50P25 Drill Times" sheetId="24" r:id="rId19"/>
    <sheet name="15-16 DP PLANNED ONLY" sheetId="29" r:id="rId20"/>
    <sheet name="15-16 DP" sheetId="26" r:id="rId21"/>
    <sheet name="15-16_DP_Tables" sheetId="27" r:id="rId22"/>
    <sheet name="15-16 Composit" sheetId="30" r:id="rId23"/>
  </sheets>
  <definedNames>
    <definedName name="_xlnm._FilterDatabase" localSheetId="22" hidden="1">'15-16 Composit'!$A$1:$Q$33</definedName>
    <definedName name="_xlnm._FilterDatabase" localSheetId="20" hidden="1">'15-16 DP'!$B$4:$AD$184</definedName>
    <definedName name="_xlnm._FilterDatabase" localSheetId="19" hidden="1">'15-16 DP PLANNED ONLY'!$B$4:$AD$160</definedName>
    <definedName name="_xlnm._FilterDatabase" localSheetId="21" hidden="1">'15-16_DP_Tables'!$B$5:$AA$5</definedName>
    <definedName name="_xlnm._FilterDatabase" localSheetId="14" hidden="1">'P50 and P25 table'!$A$270:$H$270</definedName>
    <definedName name="_xlnm._FilterDatabase" localSheetId="18" hidden="1">'P50P25 Drill Times'!$A$2:$AA$142</definedName>
    <definedName name="_xlnm._FilterDatabase" localSheetId="12" hidden="1">'P50P25 Drill Times by Type'!$A$2:$O$142</definedName>
    <definedName name="_xlnm._FilterDatabase" localSheetId="11" hidden="1">'Planning and Target Times'!$A$15:$D$40</definedName>
    <definedName name="_xlnm._FilterDatabase" localSheetId="5" hidden="1">Rig_Schedule_View!$A$11:$R$262</definedName>
    <definedName name="_xlnm._FilterDatabase" localSheetId="4" hidden="1">'Rig_Schedule_View (2)'!$A$11:$R$262</definedName>
    <definedName name="_xlnm._FilterDatabase" localSheetId="3" hidden="1">RigScheduleTest!$A$1:$BM$17</definedName>
    <definedName name="_xlnm._FilterDatabase" localSheetId="6" hidden="1">Sheet2!$A$1:$M$155</definedName>
    <definedName name="_xlnm._FilterDatabase" localSheetId="0" hidden="1">'Well Data-NK'!$A$1:$BZ$203</definedName>
    <definedName name="_xlnm._FilterDatabase" localSheetId="15" hidden="1">'Well Data-SEK'!$A$1:$I$1</definedName>
    <definedName name="_xlnm._FilterDatabase" localSheetId="2" hidden="1">Well_Data_NK_Upcoming!$A$1:$BZ$189</definedName>
    <definedName name="April2015_Form" localSheetId="0">OFFSET('Well Data-NK'!$G$170,0,0,COUNTA('Well Data-NK'!$G:$G)-1)</definedName>
    <definedName name="April2015_Planned_Spud_to_RR" localSheetId="0">OFFSET('Well Data-NK'!$S$170,0,0,COUNTA('Well Data-NK'!$S:$S)-1)</definedName>
    <definedName name="April2015_Prod_Inj" localSheetId="0">OFFSET('Well Data-NK'!$J$170,0,0,COUNTA('Well Data-NK'!$J:$J)-1)</definedName>
    <definedName name="April2015_Spud_to_RR" localSheetId="0">OFFSET('Well Data-NK'!$Q$170,0,0,COUNTA('Well Data-NK'!$Q:$Q)-1)</definedName>
    <definedName name="April2015_Well_Type" localSheetId="0">OFFSET('Well Data-NK'!$K$170,0,0,COUNTA('Well Data-NK'!$K:$K)-1)</definedName>
    <definedName name="Auto_Update_Rig_Schedule" localSheetId="2">OFFSET(Well_Data_NK_Upcoming!$AJ$2,0,0,COUNTA(Well_Data_NK_Upcoming!$AJ:$AJ)-1)</definedName>
    <definedName name="Concatenated_Wellname" localSheetId="2">OFFSET(Well_Data_NK_Upcoming!$AG$2,0,0,COUNTA(Well_Data_NK_Upcoming!$AG:$AG)-1)</definedName>
    <definedName name="Field" localSheetId="0">OFFSET('Well Data-NK'!$F$2,0,0,COUNTA('Well Data-NK'!$F:$F)-1)</definedName>
    <definedName name="Form" localSheetId="0">OFFSET('Well Data-NK'!$G$2,0,0,COUNTA('Well Data-NK'!$G:$G)-1)</definedName>
    <definedName name="Form_upcoming" localSheetId="2">OFFSET(Well_Data_NK_Upcoming!$G$2,0,0,COUNTA(Well_Data_NK_Upcoming!$G:$G)-1)</definedName>
    <definedName name="Planned_Days" localSheetId="2">OFFSET(Well_Data_NK_Upcoming!$R$2,0,0,COUNTA(Well_Data_NK_Upcoming!$R:$R)-1)</definedName>
    <definedName name="Planned_Spud_to_RR" localSheetId="2">OFFSET(Well_Data_NK_Upcoming!$S$2,0,0,COUNTA(Well_Data_NK_Upcoming!$S:$S)-1)</definedName>
    <definedName name="Prod_inj" localSheetId="0">OFFSET('Well Data-NK'!$J$2,0,0,COUNTA('Well Data-NK'!$J:$J)-1)</definedName>
    <definedName name="Production_Well_Name" localSheetId="2">OFFSET('Well Data-NK'!$C$2,0,0,COUNTA('Well Data-NK'!$C:$C)-1)</definedName>
    <definedName name="RIG" localSheetId="2">OFFSET(Well_Data_NK_Upcoming!$H$2,0,0,COUNTA(Well_Data_NK_Upcoming!$H:$H)-1)</definedName>
    <definedName name="Rig_Release_Date" localSheetId="0">OFFSET('Well Data-NK'!$P$2,0,0,COUNTA('Well Data-NK'!$P:$P)-1)</definedName>
    <definedName name="Sept2014_Form" localSheetId="0">OFFSET('Well Data-NK'!$G$132,0,0,COUNTA('Well Data-NK'!$G:$G)-1)</definedName>
    <definedName name="Sept2014_Planned_Spud_to_RR" localSheetId="0">OFFSET('Well Data-NK'!$S$132,0,0,COUNTA('Well Data-NK'!$S:$S)-1)</definedName>
    <definedName name="Sept2014_Prod_Inj" localSheetId="0">OFFSET('Well Data-NK'!$J$132,0,0,COUNTA('Well Data-NK'!$J:$J)-1)</definedName>
    <definedName name="Sept2014_Spud_to_RR" localSheetId="0">OFFSET('Well Data-NK'!$Q$132,0,0,COUNTA('Well Data-NK'!$Q:$Q)-1)</definedName>
    <definedName name="Sept2014_Well_Type" localSheetId="0">OFFSET('Well Data-NK'!$K$132,0,0,COUNTA('Well Data-NK'!$K:$K)-1)</definedName>
    <definedName name="Spud_Date" localSheetId="0">OFFSET('Well Data-NK'!$O$2,0,0,COUNTA('Well Data-NK'!$O:$O)-1)</definedName>
    <definedName name="Spud_Date_Upcoming" localSheetId="2">OFFSET(Well_Data_NK_Upcoming!$O$2,0,0,COUNTA(Well_Data_NK_Upcoming!$O:$O)-1)</definedName>
    <definedName name="Target_Reservoir" localSheetId="0">OFFSET('Well Data-NK'!$X$2,0,0,COUNTA('Well Data-NK'!$X:$X)-1)</definedName>
    <definedName name="Updated_Drill_Days" localSheetId="2">OFFSET(Well_Data_NK_Upcoming!$AE$2,0,0,COUNTA(Well_Data_NK_Upcoming!$AE:$AE)-1)</definedName>
    <definedName name="WELL" localSheetId="2">OFFSET(Well_Data_NK_Upcoming!$A$2,0,0,COUNTA(Well_Data_NK_Upcoming!$A:$A)-1)</definedName>
    <definedName name="Well_Rig" localSheetId="2">OFFSET(Well_Data_NK_Upcoming!$AH$2,0,0,COUNTA(Well_Data_NK_Upcoming!$AH:$AH)-1)</definedName>
    <definedName name="Well_Type" localSheetId="2">OFFSET(Well_Data_NK_Upcoming!$AI$2,0,0,COUNTA(Well_Data_NK_Upcoming!$AI:$AI)-1)</definedName>
  </definedNames>
  <calcPr calcId="152511"/>
</workbook>
</file>

<file path=xl/calcChain.xml><?xml version="1.0" encoding="utf-8"?>
<calcChain xmlns="http://schemas.openxmlformats.org/spreadsheetml/2006/main">
  <c r="A262" i="51" l="1"/>
  <c r="A261" i="51"/>
  <c r="A260" i="51"/>
  <c r="A259" i="51"/>
  <c r="A258" i="51"/>
  <c r="A257" i="51"/>
  <c r="A256" i="51"/>
  <c r="A255" i="51"/>
  <c r="A254" i="51"/>
  <c r="A253" i="51"/>
  <c r="H252" i="51"/>
  <c r="A252" i="51"/>
  <c r="J251" i="51"/>
  <c r="I251" i="51"/>
  <c r="H251" i="51"/>
  <c r="B251" i="51"/>
  <c r="A251" i="51"/>
  <c r="A250" i="51"/>
  <c r="A249" i="51"/>
  <c r="A248" i="51"/>
  <c r="A247" i="51"/>
  <c r="A246" i="51"/>
  <c r="A245" i="51"/>
  <c r="A244" i="51"/>
  <c r="A243" i="51"/>
  <c r="A242" i="51"/>
  <c r="A241" i="51"/>
  <c r="H240" i="51"/>
  <c r="A240" i="51"/>
  <c r="J239" i="51"/>
  <c r="I239" i="51"/>
  <c r="H239" i="51"/>
  <c r="B239" i="51"/>
  <c r="A239" i="51"/>
  <c r="A238" i="51"/>
  <c r="A237" i="51"/>
  <c r="A236" i="51"/>
  <c r="A235" i="51"/>
  <c r="A234" i="51"/>
  <c r="A233" i="51"/>
  <c r="A232" i="51"/>
  <c r="A231" i="51"/>
  <c r="A230" i="51"/>
  <c r="A229" i="51"/>
  <c r="H228" i="51"/>
  <c r="A228" i="51"/>
  <c r="J227" i="51"/>
  <c r="I227" i="51"/>
  <c r="H227" i="51"/>
  <c r="B227" i="51"/>
  <c r="A227" i="51"/>
  <c r="A226" i="51"/>
  <c r="A225" i="51"/>
  <c r="A224" i="51"/>
  <c r="A223" i="51"/>
  <c r="A222" i="51"/>
  <c r="A221" i="51"/>
  <c r="A220" i="51"/>
  <c r="A219" i="51"/>
  <c r="A218" i="51"/>
  <c r="A217" i="51"/>
  <c r="H216" i="51"/>
  <c r="A216" i="51"/>
  <c r="J215" i="51"/>
  <c r="I215" i="51"/>
  <c r="H215" i="51"/>
  <c r="B215" i="51"/>
  <c r="A215" i="51"/>
  <c r="A214" i="51"/>
  <c r="A213" i="51"/>
  <c r="A212" i="51"/>
  <c r="A211" i="51"/>
  <c r="A210" i="51"/>
  <c r="A209" i="51"/>
  <c r="A208" i="51"/>
  <c r="A207" i="51"/>
  <c r="A206" i="51"/>
  <c r="A205" i="51"/>
  <c r="H204" i="51"/>
  <c r="A204" i="51"/>
  <c r="J203" i="51"/>
  <c r="I203" i="51"/>
  <c r="H203" i="51"/>
  <c r="B203" i="51"/>
  <c r="A203" i="51"/>
  <c r="A202" i="51"/>
  <c r="A201" i="51"/>
  <c r="A200" i="51"/>
  <c r="A199" i="51"/>
  <c r="A198" i="51"/>
  <c r="A197" i="51"/>
  <c r="A196" i="51"/>
  <c r="A195" i="51"/>
  <c r="A194" i="51"/>
  <c r="A193" i="51"/>
  <c r="H192" i="51"/>
  <c r="A192" i="51"/>
  <c r="J191" i="51"/>
  <c r="I191" i="51"/>
  <c r="H191" i="51"/>
  <c r="B191" i="51"/>
  <c r="A191" i="51"/>
  <c r="A190" i="51"/>
  <c r="A189" i="51"/>
  <c r="A188" i="51"/>
  <c r="A187" i="51"/>
  <c r="A186" i="51"/>
  <c r="A185" i="51"/>
  <c r="A184" i="51"/>
  <c r="A183" i="51"/>
  <c r="A182" i="51"/>
  <c r="A181" i="51"/>
  <c r="H180" i="51"/>
  <c r="A180" i="51"/>
  <c r="J179" i="51"/>
  <c r="I179" i="51"/>
  <c r="H179" i="51"/>
  <c r="B179" i="51"/>
  <c r="A179" i="51"/>
  <c r="A178" i="51"/>
  <c r="A177" i="51"/>
  <c r="A176" i="51"/>
  <c r="A175" i="51"/>
  <c r="A174" i="51"/>
  <c r="A173" i="51"/>
  <c r="A172" i="51"/>
  <c r="A171" i="51"/>
  <c r="A170" i="51"/>
  <c r="A169" i="51"/>
  <c r="H168" i="51"/>
  <c r="A168" i="51"/>
  <c r="J167" i="51"/>
  <c r="I167" i="51"/>
  <c r="H167" i="51"/>
  <c r="B167" i="51"/>
  <c r="A167" i="51"/>
  <c r="A166" i="51"/>
  <c r="A165" i="51"/>
  <c r="A164" i="51"/>
  <c r="A163" i="51"/>
  <c r="A162" i="51"/>
  <c r="A161" i="51"/>
  <c r="A160" i="51"/>
  <c r="A159" i="51"/>
  <c r="A158" i="51"/>
  <c r="A157" i="51"/>
  <c r="H156" i="51"/>
  <c r="A156" i="51"/>
  <c r="J155" i="51"/>
  <c r="I155" i="51"/>
  <c r="H155" i="51"/>
  <c r="B155" i="51"/>
  <c r="A155" i="51"/>
  <c r="A154" i="51"/>
  <c r="A153" i="51"/>
  <c r="A152" i="51"/>
  <c r="A151" i="51"/>
  <c r="A150" i="51"/>
  <c r="A149" i="51"/>
  <c r="A148" i="51"/>
  <c r="A147" i="51"/>
  <c r="A146" i="51"/>
  <c r="A145" i="51"/>
  <c r="H144" i="51"/>
  <c r="A144" i="51"/>
  <c r="J143" i="51"/>
  <c r="I143" i="51"/>
  <c r="H143" i="51"/>
  <c r="B143" i="51"/>
  <c r="A143" i="51"/>
  <c r="A142" i="51"/>
  <c r="A141" i="51"/>
  <c r="A140" i="51"/>
  <c r="A139" i="51"/>
  <c r="A138" i="51"/>
  <c r="A137" i="51"/>
  <c r="A136" i="51"/>
  <c r="A135" i="51"/>
  <c r="A134" i="51"/>
  <c r="A133" i="51"/>
  <c r="H132" i="51"/>
  <c r="A132" i="51"/>
  <c r="J131" i="51"/>
  <c r="I131" i="51"/>
  <c r="H131" i="51"/>
  <c r="B131" i="51"/>
  <c r="A131" i="51"/>
  <c r="A130" i="51"/>
  <c r="A129" i="51"/>
  <c r="A128" i="51"/>
  <c r="A127" i="51"/>
  <c r="A126" i="51"/>
  <c r="A125" i="51"/>
  <c r="A124" i="51"/>
  <c r="A123" i="51"/>
  <c r="A122" i="51"/>
  <c r="A121" i="51"/>
  <c r="H120" i="51"/>
  <c r="A120" i="51"/>
  <c r="J119" i="51"/>
  <c r="I119" i="51"/>
  <c r="H119" i="51"/>
  <c r="B119" i="51"/>
  <c r="A119" i="51"/>
  <c r="A118" i="51"/>
  <c r="A117" i="51"/>
  <c r="A116" i="51"/>
  <c r="A115" i="51"/>
  <c r="A114" i="51"/>
  <c r="A113" i="51"/>
  <c r="A112" i="51"/>
  <c r="A111" i="51"/>
  <c r="A110" i="51"/>
  <c r="A109" i="51"/>
  <c r="H108" i="51"/>
  <c r="A108" i="51"/>
  <c r="J107" i="51"/>
  <c r="I107" i="51"/>
  <c r="H107" i="51"/>
  <c r="B107" i="51"/>
  <c r="A107" i="51"/>
  <c r="A106" i="51"/>
  <c r="A105" i="51"/>
  <c r="A104" i="51"/>
  <c r="A103" i="51"/>
  <c r="A102" i="51"/>
  <c r="A101" i="51"/>
  <c r="A100" i="51"/>
  <c r="A99" i="51"/>
  <c r="A98" i="51"/>
  <c r="A97" i="51"/>
  <c r="H96" i="51"/>
  <c r="A96" i="51"/>
  <c r="J95" i="51"/>
  <c r="I95" i="51"/>
  <c r="H95" i="51"/>
  <c r="B95" i="51"/>
  <c r="A95" i="51"/>
  <c r="A94" i="51"/>
  <c r="A93" i="51"/>
  <c r="A92" i="51"/>
  <c r="A91" i="51"/>
  <c r="A90" i="51"/>
  <c r="A89" i="51"/>
  <c r="A88" i="51"/>
  <c r="A87" i="51"/>
  <c r="A86" i="51"/>
  <c r="A85" i="51"/>
  <c r="H84" i="51"/>
  <c r="A84" i="51"/>
  <c r="J83" i="51"/>
  <c r="I83" i="51"/>
  <c r="H83" i="51"/>
  <c r="B83" i="51"/>
  <c r="A83" i="51"/>
  <c r="A82" i="51"/>
  <c r="A81" i="51"/>
  <c r="A80" i="51"/>
  <c r="A79" i="51"/>
  <c r="A78" i="51"/>
  <c r="A77" i="51"/>
  <c r="A76" i="51"/>
  <c r="A75" i="51"/>
  <c r="A74" i="51"/>
  <c r="A73" i="51"/>
  <c r="H72" i="51"/>
  <c r="A72" i="51"/>
  <c r="J71" i="51"/>
  <c r="I71" i="51"/>
  <c r="H71" i="51"/>
  <c r="B71" i="51"/>
  <c r="A71" i="51"/>
  <c r="A70" i="51"/>
  <c r="A69" i="51"/>
  <c r="A68" i="51"/>
  <c r="A67" i="51"/>
  <c r="A66" i="51"/>
  <c r="A65" i="51"/>
  <c r="A64" i="51"/>
  <c r="A63" i="51"/>
  <c r="A62" i="51"/>
  <c r="A61" i="51"/>
  <c r="H60" i="51"/>
  <c r="A60" i="51"/>
  <c r="J59" i="51"/>
  <c r="I59" i="51"/>
  <c r="H59" i="51"/>
  <c r="B59" i="51"/>
  <c r="A59" i="51"/>
  <c r="A58" i="51"/>
  <c r="A57" i="51"/>
  <c r="A56" i="51"/>
  <c r="A55" i="51"/>
  <c r="A54" i="51"/>
  <c r="A53" i="51"/>
  <c r="A52" i="51"/>
  <c r="A51" i="51"/>
  <c r="A50" i="51"/>
  <c r="A49" i="51"/>
  <c r="H48" i="51"/>
  <c r="A48" i="51"/>
  <c r="J47" i="51"/>
  <c r="I47" i="51"/>
  <c r="H47" i="51"/>
  <c r="B47" i="51"/>
  <c r="A47" i="51"/>
  <c r="A46" i="51"/>
  <c r="A45" i="51"/>
  <c r="A44" i="51"/>
  <c r="A43" i="51"/>
  <c r="A42" i="51"/>
  <c r="A41" i="51"/>
  <c r="A40" i="51"/>
  <c r="A39" i="51"/>
  <c r="A38" i="51"/>
  <c r="A37" i="51"/>
  <c r="H36" i="51"/>
  <c r="A36" i="51"/>
  <c r="J35" i="51"/>
  <c r="I35" i="51"/>
  <c r="H35" i="51"/>
  <c r="B35" i="51"/>
  <c r="A35" i="51"/>
  <c r="A34" i="51"/>
  <c r="A33" i="51"/>
  <c r="A32" i="51"/>
  <c r="A31" i="51"/>
  <c r="A30" i="51"/>
  <c r="A29" i="51"/>
  <c r="A28" i="51"/>
  <c r="A27" i="51"/>
  <c r="A26" i="51"/>
  <c r="A25" i="51"/>
  <c r="H24" i="51"/>
  <c r="A24" i="51"/>
  <c r="I23" i="51"/>
  <c r="H23" i="51"/>
  <c r="B23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J11" i="51"/>
  <c r="I11" i="51"/>
  <c r="H11" i="51"/>
  <c r="B11" i="51"/>
  <c r="A11" i="51"/>
  <c r="L6" i="51"/>
  <c r="L5" i="51"/>
  <c r="L3" i="51"/>
  <c r="L2" i="51"/>
  <c r="H2" i="51"/>
  <c r="L1" i="51"/>
  <c r="BK204" i="1" l="1"/>
  <c r="BL204" i="1"/>
  <c r="W204" i="1"/>
  <c r="Q204" i="1"/>
  <c r="V204" i="1" s="1"/>
  <c r="AL204" i="1"/>
  <c r="AJ204" i="1"/>
  <c r="AI204" i="1"/>
  <c r="AH204" i="1"/>
  <c r="X204" i="1"/>
  <c r="T204" i="1"/>
  <c r="R204" i="1"/>
  <c r="S204" i="1" s="1"/>
  <c r="F204" i="1"/>
  <c r="AG204" i="1" s="1"/>
  <c r="AK204" i="1" l="1"/>
  <c r="AP204" i="1" s="1"/>
  <c r="AJ82" i="32"/>
  <c r="AI82" i="32"/>
  <c r="AH82" i="32"/>
  <c r="T82" i="32"/>
  <c r="R82" i="32"/>
  <c r="S82" i="32" s="1"/>
  <c r="F82" i="32"/>
  <c r="AK82" i="32" s="1"/>
  <c r="AL182" i="32"/>
  <c r="AJ182" i="32"/>
  <c r="AI182" i="32"/>
  <c r="AH182" i="32"/>
  <c r="X182" i="32"/>
  <c r="T182" i="32"/>
  <c r="R182" i="32"/>
  <c r="S182" i="32" s="1"/>
  <c r="F182" i="32"/>
  <c r="AG182" i="32" s="1"/>
  <c r="AL91" i="32"/>
  <c r="AJ91" i="32"/>
  <c r="AI91" i="32"/>
  <c r="AH91" i="32"/>
  <c r="X91" i="32"/>
  <c r="T91" i="32"/>
  <c r="R91" i="32"/>
  <c r="S91" i="32" s="1"/>
  <c r="F91" i="32"/>
  <c r="AG91" i="32" s="1"/>
  <c r="AP82" i="32" l="1"/>
  <c r="AG82" i="32"/>
  <c r="AK182" i="32"/>
  <c r="AP182" i="32" s="1"/>
  <c r="AK91" i="32"/>
  <c r="AP91" i="32" s="1"/>
  <c r="AL49" i="32"/>
  <c r="AJ49" i="32"/>
  <c r="AI49" i="32"/>
  <c r="AH49" i="32"/>
  <c r="X49" i="32"/>
  <c r="T49" i="32"/>
  <c r="R49" i="32"/>
  <c r="S49" i="32" s="1"/>
  <c r="F49" i="32"/>
  <c r="AG49" i="32" s="1"/>
  <c r="AK49" i="32" l="1"/>
  <c r="AP49" i="32" s="1"/>
  <c r="BL203" i="1"/>
  <c r="BK203" i="1"/>
  <c r="W203" i="1"/>
  <c r="Q203" i="1"/>
  <c r="V203" i="1" s="1"/>
  <c r="AL203" i="1"/>
  <c r="AJ203" i="1"/>
  <c r="AI203" i="1"/>
  <c r="AH203" i="1"/>
  <c r="X203" i="1"/>
  <c r="T203" i="1"/>
  <c r="R203" i="1"/>
  <c r="S203" i="1" s="1"/>
  <c r="F203" i="1"/>
  <c r="AG203" i="1" s="1"/>
  <c r="AK203" i="1" l="1"/>
  <c r="AP203" i="1" s="1"/>
  <c r="A217" i="46"/>
  <c r="AH186" i="32" l="1"/>
  <c r="AL56" i="32" l="1"/>
  <c r="AJ56" i="32"/>
  <c r="AI56" i="32"/>
  <c r="AH56" i="32"/>
  <c r="X56" i="32"/>
  <c r="T56" i="32"/>
  <c r="R56" i="32"/>
  <c r="S56" i="32" s="1"/>
  <c r="F56" i="32"/>
  <c r="AG56" i="32" s="1"/>
  <c r="AK56" i="32" l="1"/>
  <c r="AP56" i="32" s="1"/>
  <c r="C43" i="5"/>
  <c r="BL202" i="1"/>
  <c r="BK202" i="1"/>
  <c r="W202" i="1"/>
  <c r="Q202" i="1"/>
  <c r="V202" i="1" s="1"/>
  <c r="AL202" i="1"/>
  <c r="AJ202" i="1"/>
  <c r="AI202" i="1"/>
  <c r="AH202" i="1"/>
  <c r="X202" i="1"/>
  <c r="T202" i="1"/>
  <c r="R202" i="1"/>
  <c r="S202" i="1" s="1"/>
  <c r="F202" i="1"/>
  <c r="AG202" i="1" s="1"/>
  <c r="AK202" i="1" l="1"/>
  <c r="AP202" i="1" s="1"/>
  <c r="F200" i="1"/>
  <c r="BL200" i="1" l="1"/>
  <c r="BL201" i="1"/>
  <c r="BK200" i="1"/>
  <c r="BK201" i="1"/>
  <c r="W200" i="1"/>
  <c r="W201" i="1"/>
  <c r="Q200" i="1"/>
  <c r="V200" i="1" s="1"/>
  <c r="Q201" i="1"/>
  <c r="V201" i="1" s="1"/>
  <c r="AL201" i="1"/>
  <c r="AJ201" i="1"/>
  <c r="AI201" i="1"/>
  <c r="AH201" i="1"/>
  <c r="X201" i="1"/>
  <c r="T201" i="1"/>
  <c r="R201" i="1"/>
  <c r="S201" i="1" s="1"/>
  <c r="F201" i="1"/>
  <c r="AG201" i="1" s="1"/>
  <c r="AL200" i="1"/>
  <c r="AJ200" i="1"/>
  <c r="AI200" i="1"/>
  <c r="AH200" i="1"/>
  <c r="X200" i="1"/>
  <c r="T200" i="1"/>
  <c r="R200" i="1"/>
  <c r="S200" i="1" s="1"/>
  <c r="AK200" i="1"/>
  <c r="AP200" i="1" l="1"/>
  <c r="AK201" i="1"/>
  <c r="AP201" i="1" s="1"/>
  <c r="AG200" i="1"/>
  <c r="R3" i="32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23" i="32"/>
  <c r="R28" i="32"/>
  <c r="R29" i="32"/>
  <c r="R30" i="32"/>
  <c r="R31" i="32"/>
  <c r="R26" i="32"/>
  <c r="R22" i="32"/>
  <c r="R34" i="32"/>
  <c r="R35" i="32"/>
  <c r="R36" i="32"/>
  <c r="R37" i="32"/>
  <c r="R24" i="32"/>
  <c r="R39" i="32"/>
  <c r="R40" i="32"/>
  <c r="R41" i="32"/>
  <c r="R42" i="32"/>
  <c r="R43" i="32"/>
  <c r="R25" i="32"/>
  <c r="R45" i="32"/>
  <c r="R46" i="32"/>
  <c r="R27" i="32"/>
  <c r="R48" i="32"/>
  <c r="R50" i="32"/>
  <c r="R51" i="32"/>
  <c r="R52" i="32"/>
  <c r="R32" i="32"/>
  <c r="R33" i="32"/>
  <c r="R55" i="32"/>
  <c r="R76" i="32"/>
  <c r="R57" i="32"/>
  <c r="R58" i="32"/>
  <c r="R38" i="32"/>
  <c r="R60" i="32"/>
  <c r="R61" i="32"/>
  <c r="R62" i="32"/>
  <c r="R63" i="32"/>
  <c r="R64" i="32"/>
  <c r="R44" i="32"/>
  <c r="R66" i="32"/>
  <c r="R67" i="32"/>
  <c r="R47" i="32"/>
  <c r="R68" i="32"/>
  <c r="R69" i="32"/>
  <c r="R70" i="32"/>
  <c r="R71" i="32"/>
  <c r="R72" i="32"/>
  <c r="R53" i="32"/>
  <c r="R54" i="32"/>
  <c r="R75" i="32"/>
  <c r="R96" i="32"/>
  <c r="R77" i="32"/>
  <c r="R78" i="32"/>
  <c r="R59" i="32"/>
  <c r="R80" i="32"/>
  <c r="R81" i="32"/>
  <c r="R83" i="32"/>
  <c r="R84" i="32"/>
  <c r="R65" i="32"/>
  <c r="R86" i="32"/>
  <c r="R87" i="32"/>
  <c r="R88" i="32"/>
  <c r="R89" i="32"/>
  <c r="R90" i="32"/>
  <c r="R92" i="32"/>
  <c r="R73" i="32"/>
  <c r="R74" i="32"/>
  <c r="R95" i="32"/>
  <c r="R116" i="32"/>
  <c r="R97" i="32"/>
  <c r="R98" i="32"/>
  <c r="R79" i="32"/>
  <c r="R100" i="32"/>
  <c r="R101" i="32"/>
  <c r="R102" i="32"/>
  <c r="R103" i="32"/>
  <c r="R104" i="32"/>
  <c r="R85" i="32"/>
  <c r="R106" i="32"/>
  <c r="R107" i="32"/>
  <c r="R108" i="32"/>
  <c r="R109" i="32"/>
  <c r="R110" i="32"/>
  <c r="R111" i="32"/>
  <c r="R112" i="32"/>
  <c r="R93" i="32"/>
  <c r="R94" i="32"/>
  <c r="R115" i="32"/>
  <c r="R134" i="32"/>
  <c r="R117" i="32"/>
  <c r="R118" i="32"/>
  <c r="R99" i="32"/>
  <c r="R120" i="32"/>
  <c r="R121" i="32"/>
  <c r="R122" i="32"/>
  <c r="R123" i="32"/>
  <c r="R105" i="32"/>
  <c r="R125" i="32"/>
  <c r="R126" i="32"/>
  <c r="R127" i="32"/>
  <c r="R128" i="32"/>
  <c r="R129" i="32"/>
  <c r="R130" i="32"/>
  <c r="R113" i="32"/>
  <c r="R114" i="32"/>
  <c r="R133" i="32"/>
  <c r="R151" i="32"/>
  <c r="R135" i="32"/>
  <c r="R136" i="32"/>
  <c r="R119" i="32"/>
  <c r="R138" i="32"/>
  <c r="R139" i="32"/>
  <c r="R140" i="32"/>
  <c r="R124" i="32"/>
  <c r="R142" i="32"/>
  <c r="R143" i="32"/>
  <c r="R144" i="32"/>
  <c r="R145" i="32"/>
  <c r="R146" i="32"/>
  <c r="R147" i="32"/>
  <c r="R131" i="32"/>
  <c r="R132" i="32"/>
  <c r="R150" i="32"/>
  <c r="R152" i="32"/>
  <c r="R153" i="32"/>
  <c r="R137" i="32"/>
  <c r="R155" i="32"/>
  <c r="R156" i="32"/>
  <c r="R157" i="32"/>
  <c r="R141" i="32"/>
  <c r="R159" i="32"/>
  <c r="R160" i="32"/>
  <c r="R161" i="32"/>
  <c r="R162" i="32"/>
  <c r="R148" i="32"/>
  <c r="R149" i="32"/>
  <c r="R165" i="32"/>
  <c r="R166" i="32"/>
  <c r="R154" i="32"/>
  <c r="R168" i="32"/>
  <c r="R169" i="32"/>
  <c r="R170" i="32"/>
  <c r="R158" i="32"/>
  <c r="R172" i="32"/>
  <c r="R173" i="32"/>
  <c r="R174" i="32"/>
  <c r="R163" i="32"/>
  <c r="R164" i="32"/>
  <c r="R176" i="32"/>
  <c r="R167" i="32"/>
  <c r="R177" i="32"/>
  <c r="R178" i="32"/>
  <c r="R179" i="32"/>
  <c r="R171" i="32"/>
  <c r="R181" i="32"/>
  <c r="R175" i="32"/>
  <c r="R183" i="32"/>
  <c r="R184" i="32"/>
  <c r="R180" i="32"/>
  <c r="R185" i="32"/>
  <c r="R2" i="32"/>
  <c r="BL198" i="1" l="1"/>
  <c r="BL199" i="1"/>
  <c r="BK198" i="1"/>
  <c r="BK199" i="1"/>
  <c r="W198" i="1"/>
  <c r="W199" i="1"/>
  <c r="Q198" i="1"/>
  <c r="V198" i="1" s="1"/>
  <c r="Q199" i="1"/>
  <c r="V199" i="1" s="1"/>
  <c r="AL199" i="1"/>
  <c r="AJ199" i="1"/>
  <c r="AI199" i="1"/>
  <c r="AH199" i="1"/>
  <c r="X199" i="1"/>
  <c r="T199" i="1"/>
  <c r="R199" i="1"/>
  <c r="F199" i="1"/>
  <c r="AG199" i="1" s="1"/>
  <c r="AL198" i="1"/>
  <c r="AJ198" i="1"/>
  <c r="AI198" i="1"/>
  <c r="AH198" i="1"/>
  <c r="X198" i="1"/>
  <c r="T198" i="1"/>
  <c r="R198" i="1"/>
  <c r="S198" i="1" s="1"/>
  <c r="F198" i="1"/>
  <c r="AK198" i="1" s="1"/>
  <c r="AP198" i="1" l="1"/>
  <c r="AG198" i="1"/>
  <c r="AK199" i="1"/>
  <c r="AP199" i="1" s="1"/>
  <c r="S199" i="1"/>
  <c r="H11" i="25"/>
  <c r="H10" i="25"/>
  <c r="H9" i="25"/>
  <c r="H8" i="25"/>
  <c r="AF8" i="47"/>
  <c r="AF7" i="47"/>
  <c r="AF6" i="47"/>
  <c r="AF5" i="47"/>
  <c r="C42" i="5" l="1"/>
  <c r="BZ24" i="1" l="1"/>
  <c r="BZ35" i="1"/>
  <c r="BZ109" i="1"/>
  <c r="BZ110" i="1"/>
  <c r="BZ112" i="1"/>
  <c r="BZ114" i="1"/>
  <c r="BZ116" i="1"/>
  <c r="BZ118" i="1"/>
  <c r="BZ119" i="1"/>
  <c r="BZ120" i="1"/>
  <c r="BZ121" i="1"/>
  <c r="BZ125" i="1"/>
  <c r="BZ126" i="1"/>
  <c r="BZ127" i="1"/>
  <c r="BZ135" i="1"/>
  <c r="BZ136" i="1"/>
  <c r="BZ138" i="1"/>
  <c r="BZ140" i="1"/>
  <c r="BZ142" i="1"/>
  <c r="BZ143" i="1"/>
  <c r="BZ145" i="1"/>
  <c r="BY3" i="1"/>
  <c r="BY4" i="1"/>
  <c r="BY5" i="1"/>
  <c r="BY6" i="1"/>
  <c r="BY7" i="1"/>
  <c r="BY8" i="1"/>
  <c r="BY9" i="1"/>
  <c r="BY10" i="1"/>
  <c r="BY11" i="1"/>
  <c r="BY12" i="1"/>
  <c r="BY13" i="1"/>
  <c r="BY14" i="1"/>
  <c r="BY15" i="1"/>
  <c r="BY17" i="1"/>
  <c r="BY18" i="1"/>
  <c r="BY19" i="1"/>
  <c r="BY20" i="1"/>
  <c r="BY21" i="1"/>
  <c r="BY22" i="1"/>
  <c r="BY23" i="1"/>
  <c r="BY25" i="1"/>
  <c r="BY26" i="1"/>
  <c r="BY27" i="1"/>
  <c r="BY28" i="1"/>
  <c r="BY29" i="1"/>
  <c r="BY30" i="1"/>
  <c r="BY31" i="1"/>
  <c r="BY32" i="1"/>
  <c r="BY33" i="1"/>
  <c r="BY34" i="1"/>
  <c r="BY36" i="1"/>
  <c r="BY37" i="1"/>
  <c r="BY38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Y53" i="1"/>
  <c r="BY54" i="1"/>
  <c r="BY55" i="1"/>
  <c r="BY56" i="1"/>
  <c r="BY57" i="1"/>
  <c r="BY58" i="1"/>
  <c r="BY59" i="1"/>
  <c r="BY60" i="1"/>
  <c r="BY61" i="1"/>
  <c r="BY62" i="1"/>
  <c r="BY63" i="1"/>
  <c r="BY64" i="1"/>
  <c r="BY65" i="1"/>
  <c r="BY66" i="1"/>
  <c r="BY67" i="1"/>
  <c r="BY68" i="1"/>
  <c r="BY70" i="1"/>
  <c r="BY71" i="1"/>
  <c r="BY72" i="1"/>
  <c r="BY73" i="1"/>
  <c r="BY74" i="1"/>
  <c r="BY75" i="1"/>
  <c r="BY76" i="1"/>
  <c r="BY77" i="1"/>
  <c r="BY78" i="1"/>
  <c r="BY79" i="1"/>
  <c r="BY80" i="1"/>
  <c r="BY81" i="1"/>
  <c r="BY82" i="1"/>
  <c r="BY83" i="1"/>
  <c r="BY84" i="1"/>
  <c r="BY85" i="1"/>
  <c r="BY86" i="1"/>
  <c r="BY87" i="1"/>
  <c r="BY88" i="1"/>
  <c r="BY89" i="1"/>
  <c r="BY90" i="1"/>
  <c r="BY91" i="1"/>
  <c r="BY92" i="1"/>
  <c r="BY93" i="1"/>
  <c r="BY94" i="1"/>
  <c r="BY95" i="1"/>
  <c r="BY96" i="1"/>
  <c r="BY97" i="1"/>
  <c r="BY98" i="1"/>
  <c r="BY99" i="1"/>
  <c r="BY100" i="1"/>
  <c r="BY101" i="1"/>
  <c r="BY102" i="1"/>
  <c r="BY103" i="1"/>
  <c r="BY104" i="1"/>
  <c r="BY105" i="1"/>
  <c r="BY106" i="1"/>
  <c r="BY107" i="1"/>
  <c r="BY108" i="1"/>
  <c r="BY111" i="1"/>
  <c r="BY113" i="1"/>
  <c r="BY115" i="1"/>
  <c r="BY117" i="1"/>
  <c r="BY122" i="1"/>
  <c r="BY123" i="1"/>
  <c r="BY124" i="1"/>
  <c r="BY128" i="1"/>
  <c r="BY129" i="1"/>
  <c r="BY130" i="1"/>
  <c r="BY131" i="1"/>
  <c r="BY132" i="1"/>
  <c r="BY133" i="1"/>
  <c r="BY134" i="1"/>
  <c r="BY137" i="1"/>
  <c r="BY139" i="1"/>
  <c r="BY141" i="1"/>
  <c r="BY144" i="1"/>
  <c r="BY146" i="1"/>
  <c r="BY2" i="1"/>
  <c r="BL194" i="1" l="1"/>
  <c r="BL195" i="1"/>
  <c r="BL196" i="1"/>
  <c r="BL197" i="1"/>
  <c r="BK194" i="1"/>
  <c r="BK195" i="1"/>
  <c r="BK196" i="1"/>
  <c r="BK197" i="1"/>
  <c r="W194" i="1"/>
  <c r="W195" i="1"/>
  <c r="W196" i="1"/>
  <c r="W197" i="1"/>
  <c r="Q194" i="1"/>
  <c r="Q195" i="1"/>
  <c r="Q196" i="1"/>
  <c r="Q197" i="1"/>
  <c r="AL197" i="1"/>
  <c r="AJ197" i="1"/>
  <c r="AI197" i="1"/>
  <c r="AH197" i="1"/>
  <c r="X197" i="1"/>
  <c r="T197" i="1"/>
  <c r="R197" i="1"/>
  <c r="S197" i="1" s="1"/>
  <c r="F197" i="1"/>
  <c r="AG197" i="1" s="1"/>
  <c r="AL196" i="1"/>
  <c r="AJ196" i="1"/>
  <c r="AI196" i="1"/>
  <c r="AH196" i="1"/>
  <c r="X196" i="1"/>
  <c r="T196" i="1"/>
  <c r="R196" i="1"/>
  <c r="S196" i="1" s="1"/>
  <c r="F196" i="1"/>
  <c r="AK196" i="1" s="1"/>
  <c r="BN204" i="1" l="1"/>
  <c r="BN203" i="1"/>
  <c r="V197" i="1"/>
  <c r="V196" i="1"/>
  <c r="V195" i="1"/>
  <c r="V194" i="1"/>
  <c r="AP196" i="1"/>
  <c r="AG196" i="1"/>
  <c r="AK197" i="1"/>
  <c r="AP197" i="1" s="1"/>
  <c r="F70" i="32"/>
  <c r="AG70" i="32" s="1"/>
  <c r="S70" i="32"/>
  <c r="T70" i="32"/>
  <c r="X70" i="32"/>
  <c r="AH70" i="32"/>
  <c r="AI70" i="32"/>
  <c r="AJ70" i="32"/>
  <c r="AL70" i="32"/>
  <c r="AK70" i="32" l="1"/>
  <c r="AP70" i="32" s="1"/>
  <c r="AL195" i="1"/>
  <c r="AJ195" i="1"/>
  <c r="AI195" i="1"/>
  <c r="AH195" i="1"/>
  <c r="X195" i="1"/>
  <c r="T195" i="1"/>
  <c r="R195" i="1"/>
  <c r="S195" i="1" s="1"/>
  <c r="F195" i="1"/>
  <c r="AK195" i="1" s="1"/>
  <c r="AL194" i="1"/>
  <c r="AJ194" i="1"/>
  <c r="AI194" i="1"/>
  <c r="AH194" i="1"/>
  <c r="X194" i="1"/>
  <c r="T194" i="1"/>
  <c r="R194" i="1"/>
  <c r="S194" i="1" s="1"/>
  <c r="F194" i="1"/>
  <c r="AK194" i="1" s="1"/>
  <c r="AG195" i="1" l="1"/>
  <c r="AP195" i="1"/>
  <c r="AP194" i="1"/>
  <c r="AG194" i="1"/>
  <c r="L5" i="46"/>
  <c r="L6" i="46"/>
  <c r="Y12" i="29"/>
  <c r="F174" i="32"/>
  <c r="AK174" i="32" s="1"/>
  <c r="AJ174" i="32"/>
  <c r="AI174" i="32"/>
  <c r="AH174" i="32"/>
  <c r="AL174" i="32"/>
  <c r="X175" i="32"/>
  <c r="X184" i="32"/>
  <c r="X174" i="32"/>
  <c r="T174" i="32"/>
  <c r="S174" i="32"/>
  <c r="AP174" i="32" l="1"/>
  <c r="AG174" i="32"/>
  <c r="A262" i="46"/>
  <c r="A261" i="46"/>
  <c r="A260" i="46"/>
  <c r="A259" i="46"/>
  <c r="A258" i="46"/>
  <c r="A257" i="46"/>
  <c r="A256" i="46"/>
  <c r="A255" i="46"/>
  <c r="A254" i="46"/>
  <c r="A253" i="46"/>
  <c r="A252" i="46"/>
  <c r="A240" i="46"/>
  <c r="J251" i="46"/>
  <c r="I251" i="46"/>
  <c r="H251" i="46"/>
  <c r="B251" i="46"/>
  <c r="A251" i="46"/>
  <c r="AP4" i="32"/>
  <c r="AP6" i="32"/>
  <c r="AP13" i="32"/>
  <c r="AP21" i="32"/>
  <c r="AP51" i="32"/>
  <c r="AP77" i="32"/>
  <c r="AP69" i="32"/>
  <c r="AP81" i="32"/>
  <c r="AP103" i="32"/>
  <c r="AP89" i="32"/>
  <c r="AP115" i="32"/>
  <c r="AP101" i="32"/>
  <c r="AP107" i="32"/>
  <c r="AP127" i="32"/>
  <c r="AP112" i="32"/>
  <c r="AP135" i="32"/>
  <c r="AP121" i="32"/>
  <c r="AP142" i="32"/>
  <c r="AP128" i="32"/>
  <c r="AP146" i="32"/>
  <c r="AP152" i="32"/>
  <c r="AP143" i="32"/>
  <c r="AP131" i="32"/>
  <c r="AP118" i="32"/>
  <c r="AP137" i="32"/>
  <c r="AP168" i="32"/>
  <c r="AP172" i="32"/>
  <c r="AP160" i="32"/>
  <c r="AP162" i="32"/>
  <c r="AP176" i="32"/>
  <c r="AP181" i="32"/>
  <c r="AP167" i="32"/>
  <c r="AP178" i="32"/>
  <c r="AP179" i="32"/>
  <c r="AP184" i="32"/>
  <c r="AP102" i="32"/>
  <c r="AH8" i="32"/>
  <c r="R193" i="1" l="1"/>
  <c r="BL193" i="1"/>
  <c r="BK193" i="1"/>
  <c r="W193" i="1"/>
  <c r="Q193" i="1"/>
  <c r="BN202" i="1" s="1"/>
  <c r="V193" i="1" l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AK16" i="1"/>
  <c r="AK52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1" i="1"/>
  <c r="AK113" i="1"/>
  <c r="AK115" i="1"/>
  <c r="AK117" i="1"/>
  <c r="AK122" i="1"/>
  <c r="AK123" i="1"/>
  <c r="AK124" i="1"/>
  <c r="AK128" i="1"/>
  <c r="AK129" i="1"/>
  <c r="AK130" i="1"/>
  <c r="AK131" i="1"/>
  <c r="AK132" i="1"/>
  <c r="A45" i="46" l="1"/>
  <c r="A46" i="46"/>
  <c r="J239" i="46" l="1"/>
  <c r="I239" i="46"/>
  <c r="H239" i="46"/>
  <c r="B239" i="46"/>
  <c r="A239" i="46"/>
  <c r="J227" i="46"/>
  <c r="I227" i="46"/>
  <c r="H227" i="46"/>
  <c r="B227" i="46"/>
  <c r="A227" i="46"/>
  <c r="J215" i="46"/>
  <c r="I215" i="46"/>
  <c r="H215" i="46"/>
  <c r="B215" i="46"/>
  <c r="A215" i="46"/>
  <c r="J203" i="46"/>
  <c r="I203" i="46"/>
  <c r="H203" i="46"/>
  <c r="B203" i="46"/>
  <c r="A203" i="46"/>
  <c r="J191" i="46"/>
  <c r="I191" i="46"/>
  <c r="H191" i="46"/>
  <c r="B191" i="46"/>
  <c r="A191" i="46"/>
  <c r="J179" i="46"/>
  <c r="I179" i="46"/>
  <c r="H179" i="46"/>
  <c r="B179" i="46"/>
  <c r="A179" i="46"/>
  <c r="J167" i="46"/>
  <c r="I167" i="46"/>
  <c r="H167" i="46"/>
  <c r="B167" i="46"/>
  <c r="A167" i="46"/>
  <c r="J155" i="46"/>
  <c r="I155" i="46"/>
  <c r="H155" i="46"/>
  <c r="B155" i="46"/>
  <c r="A155" i="46"/>
  <c r="J143" i="46"/>
  <c r="I143" i="46"/>
  <c r="H143" i="46"/>
  <c r="B143" i="46"/>
  <c r="A143" i="46"/>
  <c r="J131" i="46"/>
  <c r="I131" i="46"/>
  <c r="H131" i="46"/>
  <c r="B131" i="46"/>
  <c r="A131" i="46"/>
  <c r="J119" i="46"/>
  <c r="I119" i="46"/>
  <c r="H119" i="46"/>
  <c r="B119" i="46"/>
  <c r="A119" i="46"/>
  <c r="J107" i="46"/>
  <c r="I107" i="46"/>
  <c r="H107" i="46"/>
  <c r="B107" i="46"/>
  <c r="A107" i="46"/>
  <c r="J95" i="46"/>
  <c r="I95" i="46"/>
  <c r="H95" i="46"/>
  <c r="B95" i="46"/>
  <c r="A95" i="46"/>
  <c r="J83" i="46"/>
  <c r="I83" i="46"/>
  <c r="H83" i="46"/>
  <c r="B83" i="46"/>
  <c r="A83" i="46"/>
  <c r="J71" i="46"/>
  <c r="I71" i="46"/>
  <c r="H71" i="46"/>
  <c r="B71" i="46"/>
  <c r="A71" i="46"/>
  <c r="J59" i="46"/>
  <c r="I59" i="46"/>
  <c r="H59" i="46"/>
  <c r="B59" i="46"/>
  <c r="A59" i="46"/>
  <c r="J47" i="46"/>
  <c r="I47" i="46"/>
  <c r="H47" i="46"/>
  <c r="B47" i="46"/>
  <c r="A47" i="46"/>
  <c r="J35" i="46"/>
  <c r="I35" i="46"/>
  <c r="H35" i="46"/>
  <c r="B35" i="46"/>
  <c r="A35" i="46"/>
  <c r="I23" i="46"/>
  <c r="H23" i="46"/>
  <c r="B23" i="46"/>
  <c r="A23" i="46"/>
  <c r="I11" i="46"/>
  <c r="J11" i="46"/>
  <c r="H11" i="46"/>
  <c r="B11" i="46"/>
  <c r="L3" i="46"/>
  <c r="L2" i="46"/>
  <c r="L1" i="46"/>
  <c r="A11" i="46"/>
  <c r="A12" i="46"/>
  <c r="A241" i="46"/>
  <c r="A242" i="46"/>
  <c r="A243" i="46"/>
  <c r="A244" i="46"/>
  <c r="A245" i="46"/>
  <c r="A246" i="46"/>
  <c r="A247" i="46"/>
  <c r="A248" i="46"/>
  <c r="A249" i="46"/>
  <c r="A250" i="46"/>
  <c r="A229" i="46"/>
  <c r="A230" i="46"/>
  <c r="A231" i="46"/>
  <c r="A232" i="46"/>
  <c r="A233" i="46"/>
  <c r="A234" i="46"/>
  <c r="A235" i="46"/>
  <c r="A236" i="46"/>
  <c r="A237" i="46"/>
  <c r="A238" i="46"/>
  <c r="A228" i="46"/>
  <c r="A218" i="46"/>
  <c r="A219" i="46"/>
  <c r="A220" i="46"/>
  <c r="A221" i="46"/>
  <c r="A222" i="46"/>
  <c r="A223" i="46"/>
  <c r="A224" i="46"/>
  <c r="A225" i="46"/>
  <c r="A226" i="46"/>
  <c r="A216" i="46"/>
  <c r="A205" i="46"/>
  <c r="A206" i="46"/>
  <c r="A207" i="46"/>
  <c r="A208" i="46"/>
  <c r="A209" i="46"/>
  <c r="A210" i="46"/>
  <c r="A211" i="46"/>
  <c r="A212" i="46"/>
  <c r="A213" i="46"/>
  <c r="A214" i="46"/>
  <c r="A204" i="46"/>
  <c r="A193" i="46"/>
  <c r="A194" i="46"/>
  <c r="A195" i="46"/>
  <c r="A196" i="46"/>
  <c r="A197" i="46"/>
  <c r="A198" i="46"/>
  <c r="A199" i="46"/>
  <c r="A200" i="46"/>
  <c r="A201" i="46"/>
  <c r="A202" i="46"/>
  <c r="A192" i="46"/>
  <c r="A181" i="46"/>
  <c r="A182" i="46"/>
  <c r="A183" i="46"/>
  <c r="A184" i="46"/>
  <c r="A185" i="46"/>
  <c r="A186" i="46"/>
  <c r="A187" i="46"/>
  <c r="A188" i="46"/>
  <c r="A189" i="46"/>
  <c r="A190" i="46"/>
  <c r="A180" i="46"/>
  <c r="A169" i="46"/>
  <c r="A170" i="46"/>
  <c r="A171" i="46"/>
  <c r="A172" i="46"/>
  <c r="A173" i="46"/>
  <c r="A174" i="46"/>
  <c r="A175" i="46"/>
  <c r="A176" i="46"/>
  <c r="A177" i="46"/>
  <c r="A178" i="46"/>
  <c r="A168" i="46"/>
  <c r="A157" i="46"/>
  <c r="A158" i="46"/>
  <c r="A159" i="46"/>
  <c r="A160" i="46"/>
  <c r="A161" i="46"/>
  <c r="A162" i="46"/>
  <c r="A163" i="46"/>
  <c r="A164" i="46"/>
  <c r="A165" i="46"/>
  <c r="A166" i="46"/>
  <c r="A156" i="46"/>
  <c r="A145" i="46"/>
  <c r="A146" i="46"/>
  <c r="A147" i="46"/>
  <c r="A148" i="46"/>
  <c r="A149" i="46"/>
  <c r="A150" i="46"/>
  <c r="A151" i="46"/>
  <c r="A152" i="46"/>
  <c r="A153" i="46"/>
  <c r="A154" i="46"/>
  <c r="A144" i="46"/>
  <c r="A133" i="46"/>
  <c r="A134" i="46"/>
  <c r="A135" i="46"/>
  <c r="A136" i="46"/>
  <c r="A137" i="46"/>
  <c r="A138" i="46"/>
  <c r="A139" i="46"/>
  <c r="A140" i="46"/>
  <c r="A141" i="46"/>
  <c r="A142" i="46"/>
  <c r="A132" i="46"/>
  <c r="A121" i="46"/>
  <c r="A122" i="46"/>
  <c r="A123" i="46"/>
  <c r="A124" i="46"/>
  <c r="A125" i="46"/>
  <c r="A126" i="46"/>
  <c r="A127" i="46"/>
  <c r="A128" i="46"/>
  <c r="A129" i="46"/>
  <c r="A130" i="46"/>
  <c r="A120" i="46"/>
  <c r="A109" i="46"/>
  <c r="A110" i="46"/>
  <c r="A111" i="46"/>
  <c r="A112" i="46"/>
  <c r="A113" i="46"/>
  <c r="A114" i="46"/>
  <c r="A115" i="46"/>
  <c r="A116" i="46"/>
  <c r="A117" i="46"/>
  <c r="A118" i="46"/>
  <c r="A108" i="46"/>
  <c r="A97" i="46"/>
  <c r="A98" i="46"/>
  <c r="A99" i="46"/>
  <c r="A100" i="46"/>
  <c r="A101" i="46"/>
  <c r="A102" i="46"/>
  <c r="A103" i="46"/>
  <c r="A104" i="46"/>
  <c r="A105" i="46"/>
  <c r="A106" i="46"/>
  <c r="A96" i="46"/>
  <c r="A85" i="46"/>
  <c r="A86" i="46"/>
  <c r="A87" i="46"/>
  <c r="A88" i="46"/>
  <c r="A89" i="46"/>
  <c r="A90" i="46"/>
  <c r="A91" i="46"/>
  <c r="A92" i="46"/>
  <c r="A93" i="46"/>
  <c r="A94" i="46"/>
  <c r="A84" i="46"/>
  <c r="A73" i="46"/>
  <c r="A74" i="46"/>
  <c r="A75" i="46"/>
  <c r="A76" i="46"/>
  <c r="A77" i="46"/>
  <c r="A78" i="46"/>
  <c r="A79" i="46"/>
  <c r="A80" i="46"/>
  <c r="A81" i="46"/>
  <c r="A82" i="46"/>
  <c r="A72" i="46"/>
  <c r="A61" i="46"/>
  <c r="A62" i="46"/>
  <c r="A63" i="46"/>
  <c r="A64" i="46"/>
  <c r="A65" i="46"/>
  <c r="A66" i="46"/>
  <c r="A67" i="46"/>
  <c r="A68" i="46"/>
  <c r="A69" i="46"/>
  <c r="A70" i="46"/>
  <c r="A60" i="46"/>
  <c r="A49" i="46"/>
  <c r="A50" i="46"/>
  <c r="A51" i="46"/>
  <c r="A52" i="46"/>
  <c r="A53" i="46"/>
  <c r="A54" i="46"/>
  <c r="A55" i="46"/>
  <c r="A56" i="46"/>
  <c r="A57" i="46"/>
  <c r="A58" i="46"/>
  <c r="A48" i="46"/>
  <c r="A37" i="46"/>
  <c r="A38" i="46"/>
  <c r="A39" i="46"/>
  <c r="A40" i="46"/>
  <c r="A41" i="46"/>
  <c r="A42" i="46"/>
  <c r="A43" i="46"/>
  <c r="A44" i="46"/>
  <c r="A36" i="46"/>
  <c r="A25" i="46"/>
  <c r="A26" i="46"/>
  <c r="A27" i="46"/>
  <c r="A28" i="46"/>
  <c r="A29" i="46"/>
  <c r="A30" i="46"/>
  <c r="A31" i="46"/>
  <c r="A32" i="46"/>
  <c r="A33" i="46"/>
  <c r="A34" i="46"/>
  <c r="A24" i="46"/>
  <c r="A13" i="46"/>
  <c r="A14" i="46"/>
  <c r="A15" i="46"/>
  <c r="A16" i="46"/>
  <c r="A17" i="46"/>
  <c r="A18" i="46"/>
  <c r="A19" i="46"/>
  <c r="A20" i="46"/>
  <c r="A21" i="46"/>
  <c r="A22" i="46"/>
  <c r="H2" i="46"/>
  <c r="A331" i="43" l="1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280" i="43"/>
  <c r="A281" i="43"/>
  <c r="A282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59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11" i="43"/>
  <c r="A212" i="43"/>
  <c r="A213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190" i="43"/>
  <c r="A186" i="43"/>
  <c r="A187" i="43"/>
  <c r="A188" i="43"/>
  <c r="A18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65" i="43"/>
  <c r="A166" i="43"/>
  <c r="A167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43" i="43"/>
  <c r="A144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BL192" i="1"/>
  <c r="BK192" i="1"/>
  <c r="W192" i="1"/>
  <c r="Q192" i="1"/>
  <c r="BN201" i="1" s="1"/>
  <c r="AJ192" i="1"/>
  <c r="AI192" i="1"/>
  <c r="AH192" i="1"/>
  <c r="X192" i="1"/>
  <c r="AL192" i="1"/>
  <c r="T192" i="1"/>
  <c r="R192" i="1"/>
  <c r="S192" i="1" s="1"/>
  <c r="F192" i="1"/>
  <c r="V192" i="1" l="1"/>
  <c r="AG192" i="1"/>
  <c r="AK192" i="1"/>
  <c r="AP192" i="1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H12" i="46" l="1"/>
  <c r="H12" i="51"/>
  <c r="H216" i="46"/>
  <c r="D118" i="43"/>
  <c r="H204" i="46"/>
  <c r="D117" i="43"/>
  <c r="H24" i="46"/>
  <c r="D102" i="43"/>
  <c r="H132" i="46"/>
  <c r="D111" i="43"/>
  <c r="H48" i="46"/>
  <c r="D104" i="43"/>
  <c r="H240" i="46"/>
  <c r="D120" i="43"/>
  <c r="H156" i="46"/>
  <c r="D113" i="43"/>
  <c r="H72" i="46"/>
  <c r="D106" i="43"/>
  <c r="H168" i="46"/>
  <c r="D114" i="43"/>
  <c r="H108" i="46"/>
  <c r="D109" i="43"/>
  <c r="H120" i="46"/>
  <c r="D110" i="43"/>
  <c r="H36" i="46"/>
  <c r="D103" i="43"/>
  <c r="H228" i="46"/>
  <c r="D119" i="43"/>
  <c r="H144" i="46"/>
  <c r="D112" i="43"/>
  <c r="H60" i="46"/>
  <c r="D105" i="43"/>
  <c r="H252" i="46"/>
  <c r="D121" i="43"/>
  <c r="H84" i="46"/>
  <c r="D107" i="43"/>
  <c r="H180" i="46"/>
  <c r="D115" i="43"/>
  <c r="H96" i="46"/>
  <c r="D108" i="43"/>
  <c r="H192" i="46"/>
  <c r="D116" i="43"/>
  <c r="D101" i="43"/>
  <c r="BL190" i="1"/>
  <c r="BL191" i="1"/>
  <c r="BK190" i="1"/>
  <c r="BK191" i="1"/>
  <c r="W190" i="1"/>
  <c r="W191" i="1"/>
  <c r="W188" i="1"/>
  <c r="W189" i="1"/>
  <c r="Q190" i="1"/>
  <c r="Q191" i="1"/>
  <c r="BN200" i="1" s="1"/>
  <c r="Q188" i="1"/>
  <c r="Q189" i="1"/>
  <c r="AJ191" i="1"/>
  <c r="BP191" i="1" s="1"/>
  <c r="AI191" i="1"/>
  <c r="AH191" i="1"/>
  <c r="X191" i="1"/>
  <c r="AL191" i="1"/>
  <c r="R191" i="1"/>
  <c r="S191" i="1" s="1"/>
  <c r="F191" i="1"/>
  <c r="AJ190" i="1"/>
  <c r="BP190" i="1" s="1"/>
  <c r="AI190" i="1"/>
  <c r="AH190" i="1"/>
  <c r="X190" i="1"/>
  <c r="AL190" i="1"/>
  <c r="R190" i="1"/>
  <c r="S190" i="1" s="1"/>
  <c r="F190" i="1"/>
  <c r="BN198" i="1" l="1"/>
  <c r="BN199" i="1"/>
  <c r="V189" i="1"/>
  <c r="V191" i="1"/>
  <c r="V190" i="1"/>
  <c r="BN197" i="1"/>
  <c r="AG191" i="1"/>
  <c r="AP190" i="1"/>
  <c r="AK190" i="1"/>
  <c r="AG190" i="1"/>
  <c r="AP191" i="1"/>
  <c r="AI184" i="32"/>
  <c r="S184" i="32"/>
  <c r="F184" i="32"/>
  <c r="AG184" i="32" l="1"/>
  <c r="AJ43" i="32"/>
  <c r="AJ64" i="32"/>
  <c r="AJ44" i="32"/>
  <c r="AJ66" i="32"/>
  <c r="AI83" i="32"/>
  <c r="AI43" i="32"/>
  <c r="AI64" i="32"/>
  <c r="AI44" i="32"/>
  <c r="AI66" i="32"/>
  <c r="AH83" i="32"/>
  <c r="AH43" i="32"/>
  <c r="AH64" i="32"/>
  <c r="AH44" i="32"/>
  <c r="AH66" i="32"/>
  <c r="X3" i="32"/>
  <c r="X4" i="32"/>
  <c r="X5" i="32"/>
  <c r="X6" i="32"/>
  <c r="X7" i="32"/>
  <c r="X8" i="32"/>
  <c r="X9" i="32"/>
  <c r="X10" i="32"/>
  <c r="X11" i="32"/>
  <c r="X23" i="32"/>
  <c r="X28" i="32"/>
  <c r="X19" i="32"/>
  <c r="X30" i="32"/>
  <c r="X20" i="32"/>
  <c r="X21" i="32"/>
  <c r="X22" i="32"/>
  <c r="X12" i="32"/>
  <c r="X13" i="32"/>
  <c r="X37" i="32"/>
  <c r="X24" i="32"/>
  <c r="X39" i="32"/>
  <c r="X15" i="32"/>
  <c r="X14" i="32"/>
  <c r="X42" i="32"/>
  <c r="X17" i="32"/>
  <c r="X25" i="32"/>
  <c r="X45" i="32"/>
  <c r="X18" i="32"/>
  <c r="X63" i="32"/>
  <c r="X48" i="32"/>
  <c r="X29" i="32"/>
  <c r="X50" i="32"/>
  <c r="X51" i="32"/>
  <c r="X31" i="32"/>
  <c r="X26" i="32"/>
  <c r="X33" i="32"/>
  <c r="X34" i="32"/>
  <c r="X35" i="32"/>
  <c r="X36" i="32"/>
  <c r="X38" i="32"/>
  <c r="X60" i="32"/>
  <c r="X40" i="32"/>
  <c r="X41" i="32"/>
  <c r="X83" i="32"/>
  <c r="X43" i="32"/>
  <c r="X64" i="32"/>
  <c r="X44" i="32"/>
  <c r="X66" i="32"/>
  <c r="X46" i="32"/>
  <c r="X27" i="32"/>
  <c r="X68" i="32"/>
  <c r="X71" i="32"/>
  <c r="X52" i="32"/>
  <c r="X32" i="32"/>
  <c r="X54" i="32"/>
  <c r="X55" i="32"/>
  <c r="X76" i="32"/>
  <c r="X57" i="32"/>
  <c r="X58" i="32"/>
  <c r="X47" i="32"/>
  <c r="X80" i="32"/>
  <c r="X61" i="32"/>
  <c r="X62" i="32"/>
  <c r="X103" i="32"/>
  <c r="X84" i="32"/>
  <c r="X65" i="32"/>
  <c r="X86" i="32"/>
  <c r="X67" i="32"/>
  <c r="X88" i="32"/>
  <c r="X69" i="32"/>
  <c r="X90" i="32"/>
  <c r="X72" i="32"/>
  <c r="X53" i="32"/>
  <c r="X74" i="32"/>
  <c r="X75" i="32"/>
  <c r="X96" i="32"/>
  <c r="X77" i="32"/>
  <c r="X98" i="32"/>
  <c r="X59" i="32"/>
  <c r="X100" i="32"/>
  <c r="X81" i="32"/>
  <c r="X104" i="32"/>
  <c r="X85" i="32"/>
  <c r="X106" i="32"/>
  <c r="X87" i="32"/>
  <c r="X108" i="32"/>
  <c r="X89" i="32"/>
  <c r="X110" i="32"/>
  <c r="X111" i="32"/>
  <c r="X92" i="32"/>
  <c r="X73" i="32"/>
  <c r="X94" i="32"/>
  <c r="X95" i="32"/>
  <c r="X116" i="32"/>
  <c r="X97" i="32"/>
  <c r="X79" i="32"/>
  <c r="X120" i="32"/>
  <c r="X101" i="32"/>
  <c r="X102" i="32"/>
  <c r="X122" i="32"/>
  <c r="X123" i="32"/>
  <c r="X105" i="32"/>
  <c r="X107" i="32"/>
  <c r="X127" i="32"/>
  <c r="X109" i="32"/>
  <c r="X129" i="32"/>
  <c r="X112" i="32"/>
  <c r="X93" i="32"/>
  <c r="X114" i="32"/>
  <c r="X115" i="32"/>
  <c r="X134" i="32"/>
  <c r="X117" i="32"/>
  <c r="X136" i="32"/>
  <c r="X99" i="32"/>
  <c r="X138" i="32"/>
  <c r="X121" i="32"/>
  <c r="X140" i="32"/>
  <c r="X124" i="32"/>
  <c r="X125" i="32"/>
  <c r="X126" i="32"/>
  <c r="X144" i="32"/>
  <c r="X128" i="32"/>
  <c r="X146" i="32"/>
  <c r="X130" i="32"/>
  <c r="X113" i="32"/>
  <c r="X132" i="32"/>
  <c r="X133" i="32"/>
  <c r="X151" i="32"/>
  <c r="X135" i="32"/>
  <c r="X16" i="32"/>
  <c r="X119" i="32"/>
  <c r="X155" i="32"/>
  <c r="X139" i="32"/>
  <c r="X157" i="32"/>
  <c r="X141" i="32"/>
  <c r="X142" i="32"/>
  <c r="X143" i="32"/>
  <c r="X161" i="32"/>
  <c r="X145" i="32"/>
  <c r="X147" i="32"/>
  <c r="X131" i="32"/>
  <c r="X149" i="32"/>
  <c r="X150" i="32"/>
  <c r="X152" i="32"/>
  <c r="X78" i="32"/>
  <c r="X137" i="32"/>
  <c r="X168" i="32"/>
  <c r="X156" i="32"/>
  <c r="X170" i="32"/>
  <c r="X158" i="32"/>
  <c r="X159" i="32"/>
  <c r="X160" i="32"/>
  <c r="X173" i="32"/>
  <c r="X162" i="32"/>
  <c r="X148" i="32"/>
  <c r="X164" i="32"/>
  <c r="X165" i="32"/>
  <c r="X166" i="32"/>
  <c r="X118" i="32"/>
  <c r="X154" i="32"/>
  <c r="X177" i="32"/>
  <c r="X169" i="32"/>
  <c r="X179" i="32"/>
  <c r="X171" i="32"/>
  <c r="X172" i="32"/>
  <c r="X181" i="32"/>
  <c r="X163" i="32"/>
  <c r="X176" i="32"/>
  <c r="X153" i="32"/>
  <c r="X167" i="32"/>
  <c r="X183" i="32"/>
  <c r="X178" i="32"/>
  <c r="X180" i="32"/>
  <c r="X185" i="32"/>
  <c r="T3" i="32"/>
  <c r="T4" i="32"/>
  <c r="T5" i="32"/>
  <c r="T6" i="32"/>
  <c r="T7" i="32"/>
  <c r="T8" i="32"/>
  <c r="T9" i="32"/>
  <c r="T10" i="32"/>
  <c r="T11" i="32"/>
  <c r="T23" i="32"/>
  <c r="T28" i="32"/>
  <c r="T19" i="32"/>
  <c r="T30" i="32"/>
  <c r="T20" i="32"/>
  <c r="T21" i="32"/>
  <c r="T22" i="32"/>
  <c r="T12" i="32"/>
  <c r="T13" i="32"/>
  <c r="T37" i="32"/>
  <c r="T24" i="32"/>
  <c r="T39" i="32"/>
  <c r="T15" i="32"/>
  <c r="T14" i="32"/>
  <c r="T42" i="32"/>
  <c r="T17" i="32"/>
  <c r="T25" i="32"/>
  <c r="T45" i="32"/>
  <c r="T18" i="32"/>
  <c r="T63" i="32"/>
  <c r="T48" i="32"/>
  <c r="T29" i="32"/>
  <c r="T50" i="32"/>
  <c r="T51" i="32"/>
  <c r="T31" i="32"/>
  <c r="T26" i="32"/>
  <c r="T33" i="32"/>
  <c r="T34" i="32"/>
  <c r="T35" i="32"/>
  <c r="T36" i="32"/>
  <c r="T38" i="32"/>
  <c r="T60" i="32"/>
  <c r="T40" i="32"/>
  <c r="T41" i="32"/>
  <c r="T83" i="32"/>
  <c r="T43" i="32"/>
  <c r="T64" i="32"/>
  <c r="T44" i="32"/>
  <c r="T66" i="32"/>
  <c r="T46" i="32"/>
  <c r="T27" i="32"/>
  <c r="T68" i="32"/>
  <c r="T71" i="32"/>
  <c r="T52" i="32"/>
  <c r="T32" i="32"/>
  <c r="T54" i="32"/>
  <c r="T55" i="32"/>
  <c r="T76" i="32"/>
  <c r="T57" i="32"/>
  <c r="T58" i="32"/>
  <c r="T47" i="32"/>
  <c r="T80" i="32"/>
  <c r="T61" i="32"/>
  <c r="T62" i="32"/>
  <c r="T103" i="32"/>
  <c r="T84" i="32"/>
  <c r="T65" i="32"/>
  <c r="T86" i="32"/>
  <c r="T67" i="32"/>
  <c r="T88" i="32"/>
  <c r="T69" i="32"/>
  <c r="T90" i="32"/>
  <c r="T72" i="32"/>
  <c r="T53" i="32"/>
  <c r="T74" i="32"/>
  <c r="T75" i="32"/>
  <c r="T96" i="32"/>
  <c r="T77" i="32"/>
  <c r="T98" i="32"/>
  <c r="T59" i="32"/>
  <c r="T100" i="32"/>
  <c r="T81" i="32"/>
  <c r="T104" i="32"/>
  <c r="T85" i="32"/>
  <c r="T106" i="32"/>
  <c r="T87" i="32"/>
  <c r="T108" i="32"/>
  <c r="T89" i="32"/>
  <c r="T110" i="32"/>
  <c r="T111" i="32"/>
  <c r="T92" i="32"/>
  <c r="T73" i="32"/>
  <c r="T94" i="32"/>
  <c r="T95" i="32"/>
  <c r="T116" i="32"/>
  <c r="T97" i="32"/>
  <c r="T79" i="32"/>
  <c r="T120" i="32"/>
  <c r="T101" i="32"/>
  <c r="T102" i="32"/>
  <c r="T122" i="32"/>
  <c r="T123" i="32"/>
  <c r="T105" i="32"/>
  <c r="T107" i="32"/>
  <c r="T127" i="32"/>
  <c r="T109" i="32"/>
  <c r="T129" i="32"/>
  <c r="T112" i="32"/>
  <c r="T93" i="32"/>
  <c r="T114" i="32"/>
  <c r="T115" i="32"/>
  <c r="T134" i="32"/>
  <c r="T117" i="32"/>
  <c r="T136" i="32"/>
  <c r="T99" i="32"/>
  <c r="T138" i="32"/>
  <c r="T121" i="32"/>
  <c r="T140" i="32"/>
  <c r="T124" i="32"/>
  <c r="T125" i="32"/>
  <c r="T126" i="32"/>
  <c r="T144" i="32"/>
  <c r="T128" i="32"/>
  <c r="T146" i="32"/>
  <c r="T130" i="32"/>
  <c r="T113" i="32"/>
  <c r="T132" i="32"/>
  <c r="T133" i="32"/>
  <c r="T151" i="32"/>
  <c r="T135" i="32"/>
  <c r="T16" i="32"/>
  <c r="T119" i="32"/>
  <c r="T155" i="32"/>
  <c r="T139" i="32"/>
  <c r="T157" i="32"/>
  <c r="T141" i="32"/>
  <c r="T142" i="32"/>
  <c r="T143" i="32"/>
  <c r="T161" i="32"/>
  <c r="T145" i="32"/>
  <c r="T147" i="32"/>
  <c r="T131" i="32"/>
  <c r="T149" i="32"/>
  <c r="T150" i="32"/>
  <c r="T152" i="32"/>
  <c r="T78" i="32"/>
  <c r="T137" i="32"/>
  <c r="T168" i="32"/>
  <c r="T156" i="32"/>
  <c r="T170" i="32"/>
  <c r="T158" i="32"/>
  <c r="T159" i="32"/>
  <c r="T160" i="32"/>
  <c r="T173" i="32"/>
  <c r="T162" i="32"/>
  <c r="T148" i="32"/>
  <c r="T164" i="32"/>
  <c r="T165" i="32"/>
  <c r="T166" i="32"/>
  <c r="T118" i="32"/>
  <c r="T154" i="32"/>
  <c r="T177" i="32"/>
  <c r="T169" i="32"/>
  <c r="T179" i="32"/>
  <c r="T171" i="32"/>
  <c r="T172" i="32"/>
  <c r="T181" i="32"/>
  <c r="T163" i="32"/>
  <c r="T176" i="32"/>
  <c r="T153" i="32"/>
  <c r="T167" i="32"/>
  <c r="T183" i="32"/>
  <c r="T178" i="32"/>
  <c r="T180" i="32"/>
  <c r="T185" i="32"/>
  <c r="T175" i="32"/>
  <c r="T184" i="32"/>
  <c r="F3" i="32"/>
  <c r="F4" i="32"/>
  <c r="F5" i="32"/>
  <c r="F6" i="32"/>
  <c r="F7" i="32"/>
  <c r="F8" i="32"/>
  <c r="F9" i="32"/>
  <c r="F10" i="32"/>
  <c r="F11" i="32"/>
  <c r="F23" i="32"/>
  <c r="F28" i="32"/>
  <c r="F19" i="32"/>
  <c r="F30" i="32"/>
  <c r="F20" i="32"/>
  <c r="F21" i="32"/>
  <c r="F22" i="32"/>
  <c r="F12" i="32"/>
  <c r="F13" i="32"/>
  <c r="F37" i="32"/>
  <c r="F24" i="32"/>
  <c r="F39" i="32"/>
  <c r="F15" i="32"/>
  <c r="F14" i="32"/>
  <c r="F42" i="32"/>
  <c r="F17" i="32"/>
  <c r="F25" i="32"/>
  <c r="F45" i="32"/>
  <c r="F18" i="32"/>
  <c r="F63" i="32"/>
  <c r="F48" i="32"/>
  <c r="F29" i="32"/>
  <c r="F50" i="32"/>
  <c r="F51" i="32"/>
  <c r="F31" i="32"/>
  <c r="F26" i="32"/>
  <c r="F33" i="32"/>
  <c r="F34" i="32"/>
  <c r="F35" i="32"/>
  <c r="F36" i="32"/>
  <c r="F38" i="32"/>
  <c r="F60" i="32"/>
  <c r="F40" i="32"/>
  <c r="F41" i="32"/>
  <c r="F83" i="32"/>
  <c r="AG83" i="32" s="1"/>
  <c r="F43" i="32"/>
  <c r="AG43" i="32" s="1"/>
  <c r="F64" i="32"/>
  <c r="AG64" i="32" s="1"/>
  <c r="F44" i="32"/>
  <c r="AG44" i="32" s="1"/>
  <c r="F66" i="32"/>
  <c r="AG66" i="32" s="1"/>
  <c r="F46" i="32"/>
  <c r="F27" i="32"/>
  <c r="F68" i="32"/>
  <c r="F71" i="32"/>
  <c r="F52" i="32"/>
  <c r="F32" i="32"/>
  <c r="F54" i="32"/>
  <c r="F55" i="32"/>
  <c r="F76" i="32"/>
  <c r="F57" i="32"/>
  <c r="F58" i="32"/>
  <c r="F80" i="32"/>
  <c r="F61" i="32"/>
  <c r="F62" i="32"/>
  <c r="F103" i="32"/>
  <c r="F84" i="32"/>
  <c r="F65" i="32"/>
  <c r="F86" i="32"/>
  <c r="F67" i="32"/>
  <c r="F88" i="32"/>
  <c r="F69" i="32"/>
  <c r="F90" i="32"/>
  <c r="F72" i="32"/>
  <c r="F53" i="32"/>
  <c r="F74" i="32"/>
  <c r="F75" i="32"/>
  <c r="F96" i="32"/>
  <c r="F77" i="32"/>
  <c r="F98" i="32"/>
  <c r="F59" i="32"/>
  <c r="F100" i="32"/>
  <c r="F81" i="32"/>
  <c r="F104" i="32"/>
  <c r="F85" i="32"/>
  <c r="F106" i="32"/>
  <c r="F87" i="32"/>
  <c r="F108" i="32"/>
  <c r="F89" i="32"/>
  <c r="F92" i="32"/>
  <c r="F73" i="32"/>
  <c r="F94" i="32"/>
  <c r="F95" i="32"/>
  <c r="F97" i="32"/>
  <c r="F79" i="32"/>
  <c r="F120" i="32"/>
  <c r="F101" i="32"/>
  <c r="F102" i="32"/>
  <c r="F122" i="32"/>
  <c r="F123" i="32"/>
  <c r="F105" i="32"/>
  <c r="F107" i="32"/>
  <c r="F127" i="32"/>
  <c r="F109" i="32"/>
  <c r="F129" i="32"/>
  <c r="F112" i="32"/>
  <c r="F93" i="32"/>
  <c r="F114" i="32"/>
  <c r="F115" i="32"/>
  <c r="F134" i="32"/>
  <c r="F136" i="32"/>
  <c r="F99" i="32"/>
  <c r="F138" i="32"/>
  <c r="F121" i="32"/>
  <c r="F140" i="32"/>
  <c r="F124" i="32"/>
  <c r="F125" i="32"/>
  <c r="F126" i="32"/>
  <c r="F144" i="32"/>
  <c r="F128" i="32"/>
  <c r="F146" i="32"/>
  <c r="F130" i="32"/>
  <c r="F113" i="32"/>
  <c r="F132" i="32"/>
  <c r="F133" i="32"/>
  <c r="F151" i="32"/>
  <c r="F135" i="32"/>
  <c r="F16" i="32"/>
  <c r="F119" i="32"/>
  <c r="F155" i="32"/>
  <c r="F139" i="32"/>
  <c r="F157" i="32"/>
  <c r="F141" i="32"/>
  <c r="F142" i="32"/>
  <c r="F143" i="32"/>
  <c r="F161" i="32"/>
  <c r="F145" i="32"/>
  <c r="F147" i="32"/>
  <c r="F131" i="32"/>
  <c r="F149" i="32"/>
  <c r="F150" i="32"/>
  <c r="F152" i="32"/>
  <c r="F78" i="32"/>
  <c r="F137" i="32"/>
  <c r="F168" i="32"/>
  <c r="F156" i="32"/>
  <c r="F170" i="32"/>
  <c r="F158" i="32"/>
  <c r="F159" i="32"/>
  <c r="F160" i="32"/>
  <c r="F173" i="32"/>
  <c r="F162" i="32"/>
  <c r="F148" i="32"/>
  <c r="F164" i="32"/>
  <c r="F165" i="32"/>
  <c r="F166" i="32"/>
  <c r="F118" i="32"/>
  <c r="F154" i="32"/>
  <c r="F177" i="32"/>
  <c r="F169" i="32"/>
  <c r="F179" i="32"/>
  <c r="F171" i="32"/>
  <c r="F172" i="32"/>
  <c r="F181" i="32"/>
  <c r="F163" i="32"/>
  <c r="F176" i="32"/>
  <c r="F153" i="32"/>
  <c r="F167" i="32"/>
  <c r="F183" i="32"/>
  <c r="F178" i="32"/>
  <c r="F180" i="32"/>
  <c r="F185" i="32"/>
  <c r="AK185" i="32" s="1"/>
  <c r="AP185" i="32" s="1"/>
  <c r="F175" i="32"/>
  <c r="AK175" i="32" s="1"/>
  <c r="AP175" i="32" s="1"/>
  <c r="S3" i="32"/>
  <c r="S4" i="32"/>
  <c r="S5" i="32"/>
  <c r="S6" i="32"/>
  <c r="S7" i="32"/>
  <c r="S8" i="32"/>
  <c r="S9" i="32"/>
  <c r="S10" i="32"/>
  <c r="S11" i="32"/>
  <c r="S23" i="32"/>
  <c r="S28" i="32"/>
  <c r="S19" i="32"/>
  <c r="S30" i="32"/>
  <c r="S20" i="32"/>
  <c r="S21" i="32"/>
  <c r="S22" i="32"/>
  <c r="S12" i="32"/>
  <c r="S13" i="32"/>
  <c r="S37" i="32"/>
  <c r="S24" i="32"/>
  <c r="S39" i="32"/>
  <c r="S15" i="32"/>
  <c r="S14" i="32"/>
  <c r="S42" i="32"/>
  <c r="S17" i="32"/>
  <c r="S25" i="32"/>
  <c r="S45" i="32"/>
  <c r="S18" i="32"/>
  <c r="S63" i="32"/>
  <c r="S48" i="32"/>
  <c r="S29" i="32"/>
  <c r="S50" i="32"/>
  <c r="S51" i="32"/>
  <c r="S31" i="32"/>
  <c r="S26" i="32"/>
  <c r="S33" i="32"/>
  <c r="S34" i="32"/>
  <c r="S35" i="32"/>
  <c r="S36" i="32"/>
  <c r="S38" i="32"/>
  <c r="S60" i="32"/>
  <c r="S40" i="32"/>
  <c r="S41" i="32"/>
  <c r="S83" i="32"/>
  <c r="S43" i="32"/>
  <c r="S64" i="32"/>
  <c r="S44" i="32"/>
  <c r="S66" i="32"/>
  <c r="S46" i="32"/>
  <c r="S27" i="32"/>
  <c r="S68" i="32"/>
  <c r="S71" i="32"/>
  <c r="S52" i="32"/>
  <c r="S32" i="32"/>
  <c r="S54" i="32"/>
  <c r="S55" i="32"/>
  <c r="S76" i="32"/>
  <c r="S57" i="32"/>
  <c r="S58" i="32"/>
  <c r="S47" i="32"/>
  <c r="S80" i="32"/>
  <c r="S61" i="32"/>
  <c r="S62" i="32"/>
  <c r="S103" i="32"/>
  <c r="S84" i="32"/>
  <c r="S65" i="32"/>
  <c r="S86" i="32"/>
  <c r="S67" i="32"/>
  <c r="S88" i="32"/>
  <c r="S69" i="32"/>
  <c r="S90" i="32"/>
  <c r="S72" i="32"/>
  <c r="S53" i="32"/>
  <c r="S74" i="32"/>
  <c r="S75" i="32"/>
  <c r="S96" i="32"/>
  <c r="S77" i="32"/>
  <c r="S98" i="32"/>
  <c r="S59" i="32"/>
  <c r="S100" i="32"/>
  <c r="S81" i="32"/>
  <c r="S104" i="32"/>
  <c r="S85" i="32"/>
  <c r="S106" i="32"/>
  <c r="S87" i="32"/>
  <c r="S108" i="32"/>
  <c r="S89" i="32"/>
  <c r="S110" i="32"/>
  <c r="S111" i="32"/>
  <c r="S92" i="32"/>
  <c r="S73" i="32"/>
  <c r="S94" i="32"/>
  <c r="S95" i="32"/>
  <c r="S116" i="32"/>
  <c r="S97" i="32"/>
  <c r="S79" i="32"/>
  <c r="S120" i="32"/>
  <c r="S101" i="32"/>
  <c r="S102" i="32"/>
  <c r="S122" i="32"/>
  <c r="S123" i="32"/>
  <c r="S105" i="32"/>
  <c r="S107" i="32"/>
  <c r="S127" i="32"/>
  <c r="S109" i="32"/>
  <c r="S129" i="32"/>
  <c r="S112" i="32"/>
  <c r="S93" i="32"/>
  <c r="S114" i="32"/>
  <c r="S115" i="32"/>
  <c r="S134" i="32"/>
  <c r="S117" i="32"/>
  <c r="S136" i="32"/>
  <c r="S99" i="32"/>
  <c r="S138" i="32"/>
  <c r="S121" i="32"/>
  <c r="S140" i="32"/>
  <c r="S124" i="32"/>
  <c r="S125" i="32"/>
  <c r="S126" i="32"/>
  <c r="S144" i="32"/>
  <c r="S128" i="32"/>
  <c r="S146" i="32"/>
  <c r="S130" i="32"/>
  <c r="S113" i="32"/>
  <c r="S132" i="32"/>
  <c r="S133" i="32"/>
  <c r="S151" i="32"/>
  <c r="S135" i="32"/>
  <c r="S16" i="32"/>
  <c r="S119" i="32"/>
  <c r="S155" i="32"/>
  <c r="S139" i="32"/>
  <c r="S157" i="32"/>
  <c r="S141" i="32"/>
  <c r="S142" i="32"/>
  <c r="S143" i="32"/>
  <c r="S161" i="32"/>
  <c r="S145" i="32"/>
  <c r="S147" i="32"/>
  <c r="S131" i="32"/>
  <c r="S149" i="32"/>
  <c r="S150" i="32"/>
  <c r="S152" i="32"/>
  <c r="S78" i="32"/>
  <c r="S137" i="32"/>
  <c r="S168" i="32"/>
  <c r="S156" i="32"/>
  <c r="S170" i="32"/>
  <c r="S158" i="32"/>
  <c r="S159" i="32"/>
  <c r="S160" i="32"/>
  <c r="S173" i="32"/>
  <c r="S162" i="32"/>
  <c r="S148" i="32"/>
  <c r="S164" i="32"/>
  <c r="S165" i="32"/>
  <c r="S166" i="32"/>
  <c r="S118" i="32"/>
  <c r="S154" i="32"/>
  <c r="S177" i="32"/>
  <c r="S169" i="32"/>
  <c r="S179" i="32"/>
  <c r="S171" i="32"/>
  <c r="S172" i="32"/>
  <c r="S181" i="32"/>
  <c r="S163" i="32"/>
  <c r="S176" i="32"/>
  <c r="S153" i="32"/>
  <c r="S167" i="32"/>
  <c r="S183" i="32"/>
  <c r="S178" i="32"/>
  <c r="S180" i="32"/>
  <c r="S185" i="32"/>
  <c r="S175" i="32"/>
  <c r="AG176" i="32" l="1"/>
  <c r="AK177" i="32"/>
  <c r="AP177" i="32" s="1"/>
  <c r="AG177" i="32"/>
  <c r="AK173" i="32"/>
  <c r="AP173" i="32" s="1"/>
  <c r="AG173" i="32"/>
  <c r="AG137" i="32"/>
  <c r="AK161" i="32"/>
  <c r="AP161" i="32" s="1"/>
  <c r="AG161" i="32"/>
  <c r="AK119" i="32"/>
  <c r="AP119" i="32" s="1"/>
  <c r="AG119" i="32"/>
  <c r="AG146" i="32"/>
  <c r="AK114" i="32"/>
  <c r="AP114" i="32" s="1"/>
  <c r="AG114" i="32"/>
  <c r="AK123" i="32"/>
  <c r="AP123" i="32" s="1"/>
  <c r="AG123" i="32"/>
  <c r="AK116" i="32"/>
  <c r="AP116" i="32" s="1"/>
  <c r="AG116" i="32"/>
  <c r="AK108" i="32"/>
  <c r="AP108" i="32" s="1"/>
  <c r="AG108" i="32"/>
  <c r="AK100" i="32"/>
  <c r="AP100" i="32" s="1"/>
  <c r="AG100" i="32"/>
  <c r="AK72" i="32"/>
  <c r="AP72" i="32" s="1"/>
  <c r="AG72" i="32"/>
  <c r="AK84" i="32"/>
  <c r="AP84" i="32" s="1"/>
  <c r="AG84" i="32"/>
  <c r="AK76" i="32"/>
  <c r="AP76" i="32" s="1"/>
  <c r="AG76" i="32"/>
  <c r="AK68" i="32"/>
  <c r="AP68" i="32" s="1"/>
  <c r="AG68" i="32"/>
  <c r="AK41" i="32"/>
  <c r="AP41" i="32" s="1"/>
  <c r="AG41" i="32"/>
  <c r="AK26" i="32"/>
  <c r="AP26" i="32" s="1"/>
  <c r="AG26" i="32"/>
  <c r="AK45" i="32"/>
  <c r="AP45" i="32" s="1"/>
  <c r="AG45" i="32"/>
  <c r="AK37" i="32"/>
  <c r="AP37" i="32" s="1"/>
  <c r="AG37" i="32"/>
  <c r="AK28" i="32"/>
  <c r="AP28" i="32" s="1"/>
  <c r="AG28" i="32"/>
  <c r="AK5" i="32"/>
  <c r="AP5" i="32" s="1"/>
  <c r="AG5" i="32"/>
  <c r="AG175" i="32"/>
  <c r="AK163" i="32"/>
  <c r="AP163" i="32" s="1"/>
  <c r="AG163" i="32"/>
  <c r="AK154" i="32"/>
  <c r="AP154" i="32" s="1"/>
  <c r="AG154" i="32"/>
  <c r="AG160" i="32"/>
  <c r="AK78" i="32"/>
  <c r="AP78" i="32" s="1"/>
  <c r="AG78" i="32"/>
  <c r="AG143" i="32"/>
  <c r="AK16" i="32"/>
  <c r="AP16" i="32" s="1"/>
  <c r="AG16" i="32"/>
  <c r="AG128" i="32"/>
  <c r="AG121" i="32"/>
  <c r="AK93" i="32"/>
  <c r="AP93" i="32" s="1"/>
  <c r="AG93" i="32"/>
  <c r="AK122" i="32"/>
  <c r="AP122" i="32" s="1"/>
  <c r="AG122" i="32"/>
  <c r="AK95" i="32"/>
  <c r="AP95" i="32" s="1"/>
  <c r="AG95" i="32"/>
  <c r="AK87" i="32"/>
  <c r="AP87" i="32" s="1"/>
  <c r="AG87" i="32"/>
  <c r="AK59" i="32"/>
  <c r="AP59" i="32" s="1"/>
  <c r="AG59" i="32"/>
  <c r="AG103" i="32"/>
  <c r="AK55" i="32"/>
  <c r="AP55" i="32" s="1"/>
  <c r="AG55" i="32"/>
  <c r="AK27" i="32"/>
  <c r="AP27" i="32" s="1"/>
  <c r="AG27" i="32"/>
  <c r="AK40" i="32"/>
  <c r="AP40" i="32" s="1"/>
  <c r="AG40" i="32"/>
  <c r="AK31" i="32"/>
  <c r="AP31" i="32" s="1"/>
  <c r="AG31" i="32"/>
  <c r="AK25" i="32"/>
  <c r="AP25" i="32" s="1"/>
  <c r="AG25" i="32"/>
  <c r="AG13" i="32"/>
  <c r="AK23" i="32"/>
  <c r="AP23" i="32" s="1"/>
  <c r="AG23" i="32"/>
  <c r="AG4" i="32"/>
  <c r="AG185" i="32"/>
  <c r="AG181" i="32"/>
  <c r="AG118" i="32"/>
  <c r="AK159" i="32"/>
  <c r="AP159" i="32" s="1"/>
  <c r="AG159" i="32"/>
  <c r="AG152" i="32"/>
  <c r="AG142" i="32"/>
  <c r="AG135" i="32"/>
  <c r="AK144" i="32"/>
  <c r="AP144" i="32" s="1"/>
  <c r="AG144" i="32"/>
  <c r="AK138" i="32"/>
  <c r="AP138" i="32" s="1"/>
  <c r="AG138" i="32"/>
  <c r="AG112" i="32"/>
  <c r="AG102" i="32"/>
  <c r="AK94" i="32"/>
  <c r="AP94" i="32" s="1"/>
  <c r="AG94" i="32"/>
  <c r="AK106" i="32"/>
  <c r="AP106" i="32" s="1"/>
  <c r="AG106" i="32"/>
  <c r="AK98" i="32"/>
  <c r="AP98" i="32" s="1"/>
  <c r="AG98" i="32"/>
  <c r="AK90" i="32"/>
  <c r="AP90" i="32" s="1"/>
  <c r="AG90" i="32"/>
  <c r="AK62" i="32"/>
  <c r="AP62" i="32" s="1"/>
  <c r="AG62" i="32"/>
  <c r="AK54" i="32"/>
  <c r="AP54" i="32" s="1"/>
  <c r="AG54" i="32"/>
  <c r="AK46" i="32"/>
  <c r="AP46" i="32" s="1"/>
  <c r="AG46" i="32"/>
  <c r="AK60" i="32"/>
  <c r="AP60" i="32" s="1"/>
  <c r="AG60" i="32"/>
  <c r="AG51" i="32"/>
  <c r="AK17" i="32"/>
  <c r="AP17" i="32" s="1"/>
  <c r="AG17" i="32"/>
  <c r="AK12" i="32"/>
  <c r="AP12" i="32" s="1"/>
  <c r="AG12" i="32"/>
  <c r="AK11" i="32"/>
  <c r="AP11" i="32" s="1"/>
  <c r="AG11" i="32"/>
  <c r="AK3" i="32"/>
  <c r="AP3" i="32" s="1"/>
  <c r="AG3" i="32"/>
  <c r="AG172" i="32"/>
  <c r="AK158" i="32"/>
  <c r="AP158" i="32" s="1"/>
  <c r="AG158" i="32"/>
  <c r="AK141" i="32"/>
  <c r="AP141" i="32" s="1"/>
  <c r="AG141" i="32"/>
  <c r="AK99" i="32"/>
  <c r="AP99" i="32" s="1"/>
  <c r="AG99" i="32"/>
  <c r="AK50" i="32"/>
  <c r="AP50" i="32" s="1"/>
  <c r="AG50" i="32"/>
  <c r="AK10" i="32"/>
  <c r="AP10" i="32" s="1"/>
  <c r="AG10" i="32"/>
  <c r="AK171" i="32"/>
  <c r="AP171" i="32" s="1"/>
  <c r="AG171" i="32"/>
  <c r="AK149" i="32"/>
  <c r="AP149" i="32" s="1"/>
  <c r="AG149" i="32"/>
  <c r="AK136" i="32"/>
  <c r="AP136" i="32" s="1"/>
  <c r="AG136" i="32"/>
  <c r="AK29" i="32"/>
  <c r="AP29" i="32" s="1"/>
  <c r="AG29" i="32"/>
  <c r="AK14" i="32"/>
  <c r="AP14" i="32" s="1"/>
  <c r="AG14" i="32"/>
  <c r="AK9" i="32"/>
  <c r="AP9" i="32" s="1"/>
  <c r="AG9" i="32"/>
  <c r="AK183" i="32"/>
  <c r="AP183" i="32" s="1"/>
  <c r="AG183" i="32"/>
  <c r="AG179" i="32"/>
  <c r="AK164" i="32"/>
  <c r="AP164" i="32" s="1"/>
  <c r="AG164" i="32"/>
  <c r="AG131" i="32"/>
  <c r="AK132" i="32"/>
  <c r="AP132" i="32" s="1"/>
  <c r="AG132" i="32"/>
  <c r="AK124" i="32"/>
  <c r="AP124" i="32" s="1"/>
  <c r="AG124" i="32"/>
  <c r="AK117" i="32"/>
  <c r="AP117" i="32" s="1"/>
  <c r="AG117" i="32"/>
  <c r="AG127" i="32"/>
  <c r="AK79" i="32"/>
  <c r="AP79" i="32" s="1"/>
  <c r="AG79" i="32"/>
  <c r="AK111" i="32"/>
  <c r="AP111" i="32" s="1"/>
  <c r="AG111" i="32"/>
  <c r="AK75" i="32"/>
  <c r="AP75" i="32" s="1"/>
  <c r="AG75" i="32"/>
  <c r="AK67" i="32"/>
  <c r="AP67" i="32" s="1"/>
  <c r="AG67" i="32"/>
  <c r="AK47" i="32"/>
  <c r="AP47" i="32" s="1"/>
  <c r="AG47" i="32"/>
  <c r="AK71" i="32"/>
  <c r="AP71" i="32" s="1"/>
  <c r="AG71" i="32"/>
  <c r="AK35" i="32"/>
  <c r="AP35" i="32" s="1"/>
  <c r="AG35" i="32"/>
  <c r="AK48" i="32"/>
  <c r="AP48" i="32" s="1"/>
  <c r="AG48" i="32"/>
  <c r="AK15" i="32"/>
  <c r="AP15" i="32" s="1"/>
  <c r="AG15" i="32"/>
  <c r="AK20" i="32"/>
  <c r="AP20" i="32" s="1"/>
  <c r="AG20" i="32"/>
  <c r="AK8" i="32"/>
  <c r="AP8" i="32" s="1"/>
  <c r="AG8" i="32"/>
  <c r="AK180" i="32"/>
  <c r="AP180" i="32" s="1"/>
  <c r="AG180" i="32"/>
  <c r="AK166" i="32"/>
  <c r="AP166" i="32" s="1"/>
  <c r="AG166" i="32"/>
  <c r="AK150" i="32"/>
  <c r="AP150" i="32" s="1"/>
  <c r="AG150" i="32"/>
  <c r="AK151" i="32"/>
  <c r="AP151" i="32" s="1"/>
  <c r="AG151" i="32"/>
  <c r="AK126" i="32"/>
  <c r="AP126" i="32" s="1"/>
  <c r="AG126" i="32"/>
  <c r="AK129" i="32"/>
  <c r="AP129" i="32" s="1"/>
  <c r="AG129" i="32"/>
  <c r="AG101" i="32"/>
  <c r="AK73" i="32"/>
  <c r="AP73" i="32" s="1"/>
  <c r="AG73" i="32"/>
  <c r="AK85" i="32"/>
  <c r="AP85" i="32" s="1"/>
  <c r="AG85" i="32"/>
  <c r="AG77" i="32"/>
  <c r="AG69" i="32"/>
  <c r="AK61" i="32"/>
  <c r="AP61" i="32" s="1"/>
  <c r="AG61" i="32"/>
  <c r="AK32" i="32"/>
  <c r="AP32" i="32" s="1"/>
  <c r="AG32" i="32"/>
  <c r="AK38" i="32"/>
  <c r="AP38" i="32" s="1"/>
  <c r="AG38" i="32"/>
  <c r="AK42" i="32"/>
  <c r="AP42" i="32" s="1"/>
  <c r="AG42" i="32"/>
  <c r="AK22" i="32"/>
  <c r="AP22" i="32" s="1"/>
  <c r="AG22" i="32"/>
  <c r="AG178" i="32"/>
  <c r="AK165" i="32"/>
  <c r="AP165" i="32" s="1"/>
  <c r="AG165" i="32"/>
  <c r="AK170" i="32"/>
  <c r="AP170" i="32" s="1"/>
  <c r="AG170" i="32"/>
  <c r="AK157" i="32"/>
  <c r="AP157" i="32" s="1"/>
  <c r="AG157" i="32"/>
  <c r="AK133" i="32"/>
  <c r="AP133" i="32" s="1"/>
  <c r="AG133" i="32"/>
  <c r="AK125" i="32"/>
  <c r="AP125" i="32" s="1"/>
  <c r="AG125" i="32"/>
  <c r="AK109" i="32"/>
  <c r="AP109" i="32" s="1"/>
  <c r="AG109" i="32"/>
  <c r="AK120" i="32"/>
  <c r="AP120" i="32" s="1"/>
  <c r="AG120" i="32"/>
  <c r="AK92" i="32"/>
  <c r="AP92" i="32" s="1"/>
  <c r="AG92" i="32"/>
  <c r="AK104" i="32"/>
  <c r="AP104" i="32" s="1"/>
  <c r="AG104" i="32"/>
  <c r="AK96" i="32"/>
  <c r="AP96" i="32" s="1"/>
  <c r="AG96" i="32"/>
  <c r="AK88" i="32"/>
  <c r="AP88" i="32" s="1"/>
  <c r="AG88" i="32"/>
  <c r="AK80" i="32"/>
  <c r="AP80" i="32" s="1"/>
  <c r="AG80" i="32"/>
  <c r="AK52" i="32"/>
  <c r="AP52" i="32" s="1"/>
  <c r="AG52" i="32"/>
  <c r="AK36" i="32"/>
  <c r="AP36" i="32" s="1"/>
  <c r="AG36" i="32"/>
  <c r="AG21" i="32"/>
  <c r="AG167" i="32"/>
  <c r="AK148" i="32"/>
  <c r="AP148" i="32" s="1"/>
  <c r="AG148" i="32"/>
  <c r="AK156" i="32"/>
  <c r="AP156" i="32" s="1"/>
  <c r="AG156" i="32"/>
  <c r="AK147" i="32"/>
  <c r="AP147" i="32" s="1"/>
  <c r="AG147" i="32"/>
  <c r="AK139" i="32"/>
  <c r="AP139" i="32" s="1"/>
  <c r="AG139" i="32"/>
  <c r="AK113" i="32"/>
  <c r="AP113" i="32" s="1"/>
  <c r="AG113" i="32"/>
  <c r="AK140" i="32"/>
  <c r="AP140" i="32" s="1"/>
  <c r="AG140" i="32"/>
  <c r="AK134" i="32"/>
  <c r="AP134" i="32" s="1"/>
  <c r="AG134" i="32"/>
  <c r="AG107" i="32"/>
  <c r="AK110" i="32"/>
  <c r="AP110" i="32" s="1"/>
  <c r="AG110" i="32"/>
  <c r="AK74" i="32"/>
  <c r="AP74" i="32" s="1"/>
  <c r="AG74" i="32"/>
  <c r="AK86" i="32"/>
  <c r="AP86" i="32" s="1"/>
  <c r="AG86" i="32"/>
  <c r="AK58" i="32"/>
  <c r="AP58" i="32" s="1"/>
  <c r="AG58" i="32"/>
  <c r="AK34" i="32"/>
  <c r="AP34" i="32" s="1"/>
  <c r="AG34" i="32"/>
  <c r="AK63" i="32"/>
  <c r="AP63" i="32" s="1"/>
  <c r="AG63" i="32"/>
  <c r="AK39" i="32"/>
  <c r="AP39" i="32" s="1"/>
  <c r="AG39" i="32"/>
  <c r="AK30" i="32"/>
  <c r="AP30" i="32" s="1"/>
  <c r="AG30" i="32"/>
  <c r="AK7" i="32"/>
  <c r="AP7" i="32" s="1"/>
  <c r="AG7" i="32"/>
  <c r="AK153" i="32"/>
  <c r="AP153" i="32" s="1"/>
  <c r="AG153" i="32"/>
  <c r="AK169" i="32"/>
  <c r="AP169" i="32" s="1"/>
  <c r="AG169" i="32"/>
  <c r="AG162" i="32"/>
  <c r="AG168" i="32"/>
  <c r="AK145" i="32"/>
  <c r="AP145" i="32" s="1"/>
  <c r="AG145" i="32"/>
  <c r="AK155" i="32"/>
  <c r="AP155" i="32" s="1"/>
  <c r="AG155" i="32"/>
  <c r="AK130" i="32"/>
  <c r="AP130" i="32" s="1"/>
  <c r="AG130" i="32"/>
  <c r="AG115" i="32"/>
  <c r="AK105" i="32"/>
  <c r="AP105" i="32" s="1"/>
  <c r="AG105" i="32"/>
  <c r="AK97" i="32"/>
  <c r="AP97" i="32" s="1"/>
  <c r="AG97" i="32"/>
  <c r="AG89" i="32"/>
  <c r="AG81" i="32"/>
  <c r="AK53" i="32"/>
  <c r="AP53" i="32" s="1"/>
  <c r="AG53" i="32"/>
  <c r="AK65" i="32"/>
  <c r="AP65" i="32" s="1"/>
  <c r="AG65" i="32"/>
  <c r="AK57" i="32"/>
  <c r="AP57" i="32" s="1"/>
  <c r="AG57" i="32"/>
  <c r="AK33" i="32"/>
  <c r="AP33" i="32" s="1"/>
  <c r="AG33" i="32"/>
  <c r="AK18" i="32"/>
  <c r="AP18" i="32" s="1"/>
  <c r="AG18" i="32"/>
  <c r="AK24" i="32"/>
  <c r="AP24" i="32" s="1"/>
  <c r="AG24" i="32"/>
  <c r="AK19" i="32"/>
  <c r="AP19" i="32" s="1"/>
  <c r="AG19" i="32"/>
  <c r="AG6" i="32"/>
  <c r="AK83" i="32"/>
  <c r="AP83" i="32" s="1"/>
  <c r="AK44" i="32"/>
  <c r="AP44" i="32" s="1"/>
  <c r="AK66" i="32"/>
  <c r="AP66" i="32" s="1"/>
  <c r="AK64" i="32"/>
  <c r="AP64" i="32" s="1"/>
  <c r="AK43" i="32"/>
  <c r="AP43" i="32" s="1"/>
  <c r="BL189" i="1"/>
  <c r="BK189" i="1"/>
  <c r="AJ189" i="1"/>
  <c r="BP189" i="1" s="1"/>
  <c r="AI189" i="1"/>
  <c r="AH189" i="1"/>
  <c r="X189" i="1"/>
  <c r="AL189" i="1"/>
  <c r="R189" i="1"/>
  <c r="S189" i="1" s="1"/>
  <c r="F189" i="1"/>
  <c r="AP189" i="1" l="1"/>
  <c r="AK189" i="1"/>
  <c r="AG189" i="1"/>
  <c r="AJ28" i="32"/>
  <c r="AJ23" i="32"/>
  <c r="C41" i="5" l="1"/>
  <c r="BL188" i="1"/>
  <c r="BK188" i="1"/>
  <c r="V188" i="1"/>
  <c r="AJ188" i="1"/>
  <c r="AI188" i="1"/>
  <c r="AH188" i="1"/>
  <c r="X188" i="1"/>
  <c r="AL188" i="1"/>
  <c r="R188" i="1"/>
  <c r="S188" i="1" s="1"/>
  <c r="F188" i="1"/>
  <c r="AP188" i="1" l="1"/>
  <c r="AK188" i="1"/>
  <c r="AG188" i="1"/>
  <c r="AL23" i="32"/>
  <c r="AL28" i="32"/>
  <c r="AL19" i="32"/>
  <c r="AL30" i="32"/>
  <c r="AL20" i="32"/>
  <c r="AL21" i="32"/>
  <c r="AL22" i="32"/>
  <c r="AL11" i="32"/>
  <c r="AL12" i="32"/>
  <c r="AL13" i="32"/>
  <c r="AL37" i="32"/>
  <c r="AL24" i="32"/>
  <c r="AL39" i="32"/>
  <c r="AL15" i="32"/>
  <c r="AL14" i="32"/>
  <c r="AL42" i="32"/>
  <c r="AL17" i="32"/>
  <c r="AL25" i="32"/>
  <c r="AL10" i="32"/>
  <c r="AL18" i="32"/>
  <c r="AL63" i="32"/>
  <c r="AL48" i="32"/>
  <c r="AL29" i="32"/>
  <c r="AL50" i="32"/>
  <c r="AL51" i="32"/>
  <c r="AL31" i="32"/>
  <c r="AL26" i="32"/>
  <c r="AL33" i="32"/>
  <c r="AL34" i="32"/>
  <c r="AL35" i="32"/>
  <c r="AL36" i="32"/>
  <c r="AL38" i="32"/>
  <c r="AL60" i="32"/>
  <c r="AL40" i="32"/>
  <c r="AL41" i="32"/>
  <c r="AL83" i="32"/>
  <c r="AL64" i="32"/>
  <c r="AL44" i="32"/>
  <c r="AL45" i="32"/>
  <c r="AL46" i="32"/>
  <c r="AL27" i="32"/>
  <c r="AL68" i="32"/>
  <c r="AL71" i="32"/>
  <c r="AL52" i="32"/>
  <c r="AL32" i="32"/>
  <c r="AL54" i="32"/>
  <c r="AL55" i="32"/>
  <c r="AL76" i="32"/>
  <c r="AL57" i="32"/>
  <c r="AL58" i="32"/>
  <c r="AL47" i="32"/>
  <c r="AL80" i="32"/>
  <c r="AL61" i="32"/>
  <c r="AL62" i="32"/>
  <c r="AL103" i="32"/>
  <c r="AL84" i="32"/>
  <c r="AL65" i="32"/>
  <c r="AL66" i="32"/>
  <c r="AL67" i="32"/>
  <c r="AL88" i="32"/>
  <c r="AL69" i="32"/>
  <c r="AL90" i="32"/>
  <c r="AL72" i="32"/>
  <c r="AL53" i="32"/>
  <c r="AL74" i="32"/>
  <c r="AL75" i="32"/>
  <c r="AL96" i="32"/>
  <c r="AL77" i="32"/>
  <c r="AL98" i="32"/>
  <c r="AL59" i="32"/>
  <c r="AL100" i="32"/>
  <c r="AL81" i="32"/>
  <c r="AL104" i="32"/>
  <c r="AL85" i="32"/>
  <c r="AL86" i="32"/>
  <c r="AL87" i="32"/>
  <c r="AL108" i="32"/>
  <c r="AL89" i="32"/>
  <c r="AL110" i="32"/>
  <c r="AL111" i="32"/>
  <c r="AL92" i="32"/>
  <c r="AL73" i="32"/>
  <c r="AL94" i="32"/>
  <c r="AL95" i="32"/>
  <c r="AL116" i="32"/>
  <c r="AL97" i="32"/>
  <c r="AL79" i="32"/>
  <c r="AL120" i="32"/>
  <c r="AL101" i="32"/>
  <c r="AL102" i="32"/>
  <c r="AL122" i="32"/>
  <c r="AL123" i="32"/>
  <c r="AL105" i="32"/>
  <c r="AL106" i="32"/>
  <c r="AL107" i="32"/>
  <c r="AL127" i="32"/>
  <c r="AL109" i="32"/>
  <c r="AL129" i="32"/>
  <c r="AL112" i="32"/>
  <c r="AL93" i="32"/>
  <c r="AL114" i="32"/>
  <c r="AL115" i="32"/>
  <c r="AL134" i="32"/>
  <c r="AL117" i="32"/>
  <c r="AL136" i="32"/>
  <c r="AL99" i="32"/>
  <c r="AL138" i="32"/>
  <c r="AL121" i="32"/>
  <c r="AL140" i="32"/>
  <c r="AL124" i="32"/>
  <c r="AL126" i="32"/>
  <c r="AL144" i="32"/>
  <c r="AL128" i="32"/>
  <c r="AL146" i="32"/>
  <c r="AL130" i="32"/>
  <c r="AL113" i="32"/>
  <c r="AL132" i="32"/>
  <c r="AL133" i="32"/>
  <c r="AL151" i="32"/>
  <c r="AL135" i="32"/>
  <c r="AL16" i="32"/>
  <c r="AL119" i="32"/>
  <c r="AL155" i="32"/>
  <c r="AL139" i="32"/>
  <c r="AL157" i="32"/>
  <c r="AL141" i="32"/>
  <c r="AL125" i="32"/>
  <c r="AL143" i="32"/>
  <c r="AL161" i="32"/>
  <c r="AL145" i="32"/>
  <c r="AL147" i="32"/>
  <c r="AL131" i="32"/>
  <c r="AL149" i="32"/>
  <c r="AL150" i="32"/>
  <c r="AL152" i="32"/>
  <c r="AL78" i="32"/>
  <c r="AL137" i="32"/>
  <c r="AL168" i="32"/>
  <c r="AL156" i="32"/>
  <c r="AL170" i="32"/>
  <c r="AL158" i="32"/>
  <c r="AL142" i="32"/>
  <c r="AL160" i="32"/>
  <c r="AL173" i="32"/>
  <c r="AL162" i="32"/>
  <c r="AL148" i="32"/>
  <c r="AL164" i="32"/>
  <c r="AL165" i="32"/>
  <c r="AL166" i="32"/>
  <c r="AL118" i="32"/>
  <c r="AL154" i="32"/>
  <c r="AL177" i="32"/>
  <c r="AL169" i="32"/>
  <c r="AL179" i="32"/>
  <c r="AL171" i="32"/>
  <c r="AL159" i="32"/>
  <c r="AL181" i="32"/>
  <c r="AL163" i="32"/>
  <c r="AL176" i="32"/>
  <c r="AL153" i="32"/>
  <c r="AL167" i="32"/>
  <c r="AL183" i="32"/>
  <c r="AL178" i="32"/>
  <c r="AL180" i="32"/>
  <c r="AL172" i="32"/>
  <c r="AL185" i="32"/>
  <c r="AL175" i="32"/>
  <c r="AL184" i="32"/>
  <c r="AJ48" i="32"/>
  <c r="AJ68" i="32"/>
  <c r="AJ88" i="32"/>
  <c r="AJ108" i="32"/>
  <c r="AJ127" i="32"/>
  <c r="AJ144" i="32"/>
  <c r="AJ161" i="32"/>
  <c r="AJ173" i="32"/>
  <c r="AJ181" i="32"/>
  <c r="AJ185" i="32"/>
  <c r="AJ19" i="32"/>
  <c r="AJ29" i="32"/>
  <c r="AJ69" i="32"/>
  <c r="AJ89" i="32"/>
  <c r="AJ109" i="32"/>
  <c r="AJ128" i="32"/>
  <c r="AJ145" i="32"/>
  <c r="AJ162" i="32"/>
  <c r="AJ110" i="32"/>
  <c r="AJ51" i="32"/>
  <c r="AJ71" i="32"/>
  <c r="AJ111" i="32"/>
  <c r="AJ129" i="32"/>
  <c r="AJ146" i="32"/>
  <c r="AJ20" i="32"/>
  <c r="AJ31" i="32"/>
  <c r="AJ52" i="32"/>
  <c r="AJ72" i="32"/>
  <c r="AJ92" i="32"/>
  <c r="AJ112" i="32"/>
  <c r="AJ130" i="32"/>
  <c r="AJ147" i="32"/>
  <c r="AJ63" i="32"/>
  <c r="AJ27" i="32"/>
  <c r="AJ12" i="32"/>
  <c r="AJ35" i="32"/>
  <c r="AJ76" i="32"/>
  <c r="AJ96" i="32"/>
  <c r="AJ116" i="32"/>
  <c r="AJ134" i="32"/>
  <c r="AJ151" i="32"/>
  <c r="AJ13" i="32"/>
  <c r="AJ36" i="32"/>
  <c r="AJ57" i="32"/>
  <c r="AJ77" i="32"/>
  <c r="AJ97" i="32"/>
  <c r="AJ117" i="32"/>
  <c r="AJ135" i="32"/>
  <c r="AJ152" i="32"/>
  <c r="AJ166" i="32"/>
  <c r="AJ37" i="32"/>
  <c r="AJ58" i="32"/>
  <c r="AJ98" i="32"/>
  <c r="AJ136" i="32"/>
  <c r="AJ16" i="32"/>
  <c r="AJ78" i="32"/>
  <c r="AJ118" i="32"/>
  <c r="AJ153" i="32"/>
  <c r="AJ24" i="32"/>
  <c r="AJ38" i="32"/>
  <c r="AJ47" i="32"/>
  <c r="AJ59" i="32"/>
  <c r="AJ79" i="32"/>
  <c r="AJ99" i="32"/>
  <c r="AJ119" i="32"/>
  <c r="AJ137" i="32"/>
  <c r="AJ154" i="32"/>
  <c r="AJ167" i="32"/>
  <c r="AJ39" i="32"/>
  <c r="AJ60" i="32"/>
  <c r="AJ80" i="32"/>
  <c r="AJ100" i="32"/>
  <c r="AJ120" i="32"/>
  <c r="AJ138" i="32"/>
  <c r="AJ155" i="32"/>
  <c r="AJ168" i="32"/>
  <c r="AJ177" i="32"/>
  <c r="AJ183" i="32"/>
  <c r="AJ15" i="32"/>
  <c r="AJ40" i="32"/>
  <c r="AJ61" i="32"/>
  <c r="AJ81" i="32"/>
  <c r="AJ101" i="32"/>
  <c r="AJ121" i="32"/>
  <c r="AJ139" i="32"/>
  <c r="AJ156" i="32"/>
  <c r="AJ169" i="32"/>
  <c r="AJ178" i="32"/>
  <c r="AJ184" i="32"/>
  <c r="AJ14" i="32"/>
  <c r="AJ41" i="32"/>
  <c r="AJ62" i="32"/>
  <c r="AJ102" i="32"/>
  <c r="AJ42" i="32"/>
  <c r="AJ83" i="32"/>
  <c r="AJ103" i="32"/>
  <c r="AJ122" i="32"/>
  <c r="AJ17" i="32"/>
  <c r="AJ84" i="32"/>
  <c r="AJ104" i="32"/>
  <c r="AJ123" i="32"/>
  <c r="AJ140" i="32"/>
  <c r="AJ157" i="32"/>
  <c r="AJ170" i="32"/>
  <c r="AJ179" i="32"/>
  <c r="AJ25" i="32"/>
  <c r="AJ65" i="32"/>
  <c r="AJ85" i="32"/>
  <c r="AJ105" i="32"/>
  <c r="AJ124" i="32"/>
  <c r="AJ141" i="32"/>
  <c r="AJ158" i="32"/>
  <c r="AJ171" i="32"/>
  <c r="AJ180" i="32"/>
  <c r="AJ10" i="32"/>
  <c r="AJ45" i="32"/>
  <c r="AJ86" i="32"/>
  <c r="AJ106" i="32"/>
  <c r="AJ125" i="32"/>
  <c r="AJ142" i="32"/>
  <c r="AJ159" i="32"/>
  <c r="AJ172" i="32"/>
  <c r="AJ18" i="32"/>
  <c r="AJ46" i="32"/>
  <c r="AJ67" i="32"/>
  <c r="AJ87" i="32"/>
  <c r="AJ107" i="32"/>
  <c r="AJ126" i="32"/>
  <c r="AJ143" i="32"/>
  <c r="AJ160" i="32"/>
  <c r="AJ21" i="32"/>
  <c r="AJ26" i="32"/>
  <c r="AJ32" i="32"/>
  <c r="AJ53" i="32"/>
  <c r="AJ73" i="32"/>
  <c r="AJ93" i="32"/>
  <c r="AJ113" i="32"/>
  <c r="AJ131" i="32"/>
  <c r="AJ148" i="32"/>
  <c r="AJ163" i="32"/>
  <c r="AJ175" i="32"/>
  <c r="AJ22" i="32"/>
  <c r="AJ33" i="32"/>
  <c r="AJ54" i="32"/>
  <c r="AJ74" i="32"/>
  <c r="AJ94" i="32"/>
  <c r="AJ114" i="32"/>
  <c r="AJ132" i="32"/>
  <c r="AJ149" i="32"/>
  <c r="AJ164" i="32"/>
  <c r="AJ11" i="32"/>
  <c r="AJ34" i="32"/>
  <c r="AJ55" i="32"/>
  <c r="AJ75" i="32"/>
  <c r="AJ95" i="32"/>
  <c r="AJ115" i="32"/>
  <c r="AJ133" i="32"/>
  <c r="AJ150" i="32"/>
  <c r="AJ165" i="32"/>
  <c r="AJ176" i="32"/>
  <c r="AH30" i="32"/>
  <c r="AI30" i="32"/>
  <c r="AJ30" i="32"/>
  <c r="AH50" i="32"/>
  <c r="AI50" i="32"/>
  <c r="AJ50" i="32"/>
  <c r="AH90" i="32"/>
  <c r="AI90" i="32"/>
  <c r="AJ90" i="32"/>
  <c r="AH28" i="32"/>
  <c r="AI28" i="32"/>
  <c r="AH48" i="32"/>
  <c r="AI48" i="32"/>
  <c r="AH68" i="32"/>
  <c r="AI68" i="32"/>
  <c r="AH88" i="32"/>
  <c r="AI88" i="32"/>
  <c r="AH108" i="32"/>
  <c r="AI108" i="32"/>
  <c r="AH127" i="32"/>
  <c r="AI127" i="32"/>
  <c r="AH144" i="32"/>
  <c r="AI144" i="32"/>
  <c r="AH161" i="32"/>
  <c r="AI161" i="32"/>
  <c r="AH173" i="32"/>
  <c r="AI173" i="32"/>
  <c r="AH181" i="32"/>
  <c r="AI181" i="32"/>
  <c r="AH185" i="32"/>
  <c r="AI185" i="32"/>
  <c r="AH19" i="32"/>
  <c r="AI19" i="32"/>
  <c r="AH29" i="32"/>
  <c r="AI29" i="32"/>
  <c r="AH69" i="32"/>
  <c r="AI69" i="32"/>
  <c r="AH89" i="32"/>
  <c r="AI89" i="32"/>
  <c r="AH109" i="32"/>
  <c r="AI109" i="32"/>
  <c r="AH128" i="32"/>
  <c r="AI128" i="32"/>
  <c r="AH145" i="32"/>
  <c r="AI145" i="32"/>
  <c r="AH162" i="32"/>
  <c r="AI162" i="32"/>
  <c r="AH110" i="32"/>
  <c r="AI110" i="32"/>
  <c r="AH51" i="32"/>
  <c r="AI51" i="32"/>
  <c r="AH71" i="32"/>
  <c r="AI71" i="32"/>
  <c r="AH111" i="32"/>
  <c r="AI111" i="32"/>
  <c r="AH129" i="32"/>
  <c r="AI129" i="32"/>
  <c r="AH146" i="32"/>
  <c r="AI146" i="32"/>
  <c r="AH20" i="32"/>
  <c r="AI20" i="32"/>
  <c r="AH31" i="32"/>
  <c r="AI31" i="32"/>
  <c r="AH52" i="32"/>
  <c r="AI52" i="32"/>
  <c r="AH72" i="32"/>
  <c r="AI72" i="32"/>
  <c r="AH92" i="32"/>
  <c r="AI92" i="32"/>
  <c r="AH112" i="32"/>
  <c r="AI112" i="32"/>
  <c r="AH130" i="32"/>
  <c r="AI130" i="32"/>
  <c r="AH147" i="32"/>
  <c r="AI147" i="32"/>
  <c r="AH23" i="32"/>
  <c r="AI23" i="32"/>
  <c r="AH63" i="32"/>
  <c r="AI63" i="32"/>
  <c r="AH27" i="32"/>
  <c r="AI27" i="32"/>
  <c r="AH12" i="32"/>
  <c r="AI12" i="32"/>
  <c r="AH35" i="32"/>
  <c r="AI35" i="32"/>
  <c r="AH76" i="32"/>
  <c r="AI76" i="32"/>
  <c r="AH96" i="32"/>
  <c r="AI96" i="32"/>
  <c r="AH116" i="32"/>
  <c r="AI116" i="32"/>
  <c r="AH134" i="32"/>
  <c r="AI134" i="32"/>
  <c r="AH151" i="32"/>
  <c r="AI151" i="32"/>
  <c r="AH13" i="32"/>
  <c r="AI13" i="32"/>
  <c r="AH36" i="32"/>
  <c r="AI36" i="32"/>
  <c r="AH57" i="32"/>
  <c r="AI57" i="32"/>
  <c r="AH77" i="32"/>
  <c r="AI77" i="32"/>
  <c r="AH97" i="32"/>
  <c r="AI97" i="32"/>
  <c r="AH117" i="32"/>
  <c r="AI117" i="32"/>
  <c r="AH135" i="32"/>
  <c r="AI135" i="32"/>
  <c r="AH152" i="32"/>
  <c r="AI152" i="32"/>
  <c r="AH166" i="32"/>
  <c r="AI166" i="32"/>
  <c r="AH37" i="32"/>
  <c r="AI37" i="32"/>
  <c r="AH58" i="32"/>
  <c r="AI58" i="32"/>
  <c r="AH98" i="32"/>
  <c r="AI98" i="32"/>
  <c r="AH136" i="32"/>
  <c r="AI136" i="32"/>
  <c r="AH16" i="32"/>
  <c r="AI16" i="32"/>
  <c r="AH78" i="32"/>
  <c r="AI78" i="32"/>
  <c r="AH118" i="32"/>
  <c r="AI118" i="32"/>
  <c r="AH153" i="32"/>
  <c r="AI153" i="32"/>
  <c r="AH24" i="32"/>
  <c r="AI24" i="32"/>
  <c r="AH38" i="32"/>
  <c r="AI38" i="32"/>
  <c r="AH47" i="32"/>
  <c r="AI47" i="32"/>
  <c r="AH59" i="32"/>
  <c r="AI59" i="32"/>
  <c r="AH79" i="32"/>
  <c r="AI79" i="32"/>
  <c r="AH99" i="32"/>
  <c r="AI99" i="32"/>
  <c r="AH119" i="32"/>
  <c r="AI119" i="32"/>
  <c r="AH137" i="32"/>
  <c r="AI137" i="32"/>
  <c r="AH154" i="32"/>
  <c r="AI154" i="32"/>
  <c r="AH167" i="32"/>
  <c r="AI167" i="32"/>
  <c r="AH39" i="32"/>
  <c r="AI39" i="32"/>
  <c r="AH60" i="32"/>
  <c r="AI60" i="32"/>
  <c r="AH80" i="32"/>
  <c r="AI80" i="32"/>
  <c r="AH100" i="32"/>
  <c r="AI100" i="32"/>
  <c r="AH120" i="32"/>
  <c r="AI120" i="32"/>
  <c r="AH138" i="32"/>
  <c r="AI138" i="32"/>
  <c r="AH155" i="32"/>
  <c r="AI155" i="32"/>
  <c r="AH168" i="32"/>
  <c r="AI168" i="32"/>
  <c r="AH177" i="32"/>
  <c r="AI177" i="32"/>
  <c r="AH183" i="32"/>
  <c r="AI183" i="32"/>
  <c r="AH15" i="32"/>
  <c r="AI15" i="32"/>
  <c r="AH40" i="32"/>
  <c r="AI40" i="32"/>
  <c r="AH61" i="32"/>
  <c r="AI61" i="32"/>
  <c r="AH81" i="32"/>
  <c r="AI81" i="32"/>
  <c r="AH101" i="32"/>
  <c r="AI101" i="32"/>
  <c r="AH121" i="32"/>
  <c r="AI121" i="32"/>
  <c r="AH139" i="32"/>
  <c r="AI139" i="32"/>
  <c r="AH156" i="32"/>
  <c r="AI156" i="32"/>
  <c r="AH169" i="32"/>
  <c r="AI169" i="32"/>
  <c r="AH178" i="32"/>
  <c r="AI178" i="32"/>
  <c r="AH184" i="32"/>
  <c r="AH14" i="32"/>
  <c r="AI14" i="32"/>
  <c r="AH41" i="32"/>
  <c r="AI41" i="32"/>
  <c r="AH62" i="32"/>
  <c r="AI62" i="32"/>
  <c r="AH102" i="32"/>
  <c r="AI102" i="32"/>
  <c r="AH42" i="32"/>
  <c r="AI42" i="32"/>
  <c r="AH103" i="32"/>
  <c r="AI103" i="32"/>
  <c r="AH122" i="32"/>
  <c r="AI122" i="32"/>
  <c r="AH17" i="32"/>
  <c r="AI17" i="32"/>
  <c r="AH84" i="32"/>
  <c r="AI84" i="32"/>
  <c r="AH104" i="32"/>
  <c r="AI104" i="32"/>
  <c r="AH123" i="32"/>
  <c r="AI123" i="32"/>
  <c r="AH140" i="32"/>
  <c r="AI140" i="32"/>
  <c r="AH157" i="32"/>
  <c r="AI157" i="32"/>
  <c r="AH170" i="32"/>
  <c r="AI170" i="32"/>
  <c r="AH179" i="32"/>
  <c r="AI179" i="32"/>
  <c r="AH25" i="32"/>
  <c r="AI25" i="32"/>
  <c r="AH65" i="32"/>
  <c r="AI65" i="32"/>
  <c r="AH85" i="32"/>
  <c r="AI85" i="32"/>
  <c r="AH105" i="32"/>
  <c r="AI105" i="32"/>
  <c r="AH124" i="32"/>
  <c r="AI124" i="32"/>
  <c r="AH141" i="32"/>
  <c r="AI141" i="32"/>
  <c r="AH158" i="32"/>
  <c r="AI158" i="32"/>
  <c r="AH171" i="32"/>
  <c r="AI171" i="32"/>
  <c r="AH180" i="32"/>
  <c r="AI180" i="32"/>
  <c r="AH10" i="32"/>
  <c r="AI10" i="32"/>
  <c r="AH45" i="32"/>
  <c r="AI45" i="32"/>
  <c r="AH86" i="32"/>
  <c r="AI86" i="32"/>
  <c r="AH106" i="32"/>
  <c r="AI106" i="32"/>
  <c r="AH125" i="32"/>
  <c r="AI125" i="32"/>
  <c r="AH142" i="32"/>
  <c r="AI142" i="32"/>
  <c r="AH159" i="32"/>
  <c r="AI159" i="32"/>
  <c r="AH172" i="32"/>
  <c r="AI172" i="32"/>
  <c r="AH18" i="32"/>
  <c r="AI18" i="32"/>
  <c r="AH46" i="32"/>
  <c r="AI46" i="32"/>
  <c r="AH67" i="32"/>
  <c r="AI67" i="32"/>
  <c r="AH87" i="32"/>
  <c r="AI87" i="32"/>
  <c r="AH107" i="32"/>
  <c r="AI107" i="32"/>
  <c r="AH126" i="32"/>
  <c r="AI126" i="32"/>
  <c r="AH143" i="32"/>
  <c r="AI143" i="32"/>
  <c r="AH160" i="32"/>
  <c r="AI160" i="32"/>
  <c r="AH21" i="32"/>
  <c r="AI21" i="32"/>
  <c r="AH26" i="32"/>
  <c r="AI26" i="32"/>
  <c r="AH32" i="32"/>
  <c r="AI32" i="32"/>
  <c r="AH53" i="32"/>
  <c r="AI53" i="32"/>
  <c r="AH73" i="32"/>
  <c r="AI73" i="32"/>
  <c r="AH93" i="32"/>
  <c r="AI93" i="32"/>
  <c r="AH113" i="32"/>
  <c r="AI113" i="32"/>
  <c r="AH131" i="32"/>
  <c r="AI131" i="32"/>
  <c r="AH148" i="32"/>
  <c r="AI148" i="32"/>
  <c r="AH163" i="32"/>
  <c r="AI163" i="32"/>
  <c r="AH175" i="32"/>
  <c r="AI175" i="32"/>
  <c r="AH22" i="32"/>
  <c r="AI22" i="32"/>
  <c r="AH33" i="32"/>
  <c r="AI33" i="32"/>
  <c r="AH54" i="32"/>
  <c r="AI54" i="32"/>
  <c r="AH74" i="32"/>
  <c r="AI74" i="32"/>
  <c r="AH94" i="32"/>
  <c r="AI94" i="32"/>
  <c r="AH114" i="32"/>
  <c r="AI114" i="32"/>
  <c r="AH132" i="32"/>
  <c r="AI132" i="32"/>
  <c r="AH149" i="32"/>
  <c r="AI149" i="32"/>
  <c r="AH164" i="32"/>
  <c r="AI164" i="32"/>
  <c r="AH11" i="32"/>
  <c r="AI11" i="32"/>
  <c r="AH34" i="32"/>
  <c r="AI34" i="32"/>
  <c r="AH55" i="32"/>
  <c r="AI55" i="32"/>
  <c r="AH75" i="32"/>
  <c r="AI75" i="32"/>
  <c r="AH95" i="32"/>
  <c r="AI95" i="32"/>
  <c r="AH115" i="32"/>
  <c r="AI115" i="32"/>
  <c r="AH133" i="32"/>
  <c r="AI133" i="32"/>
  <c r="AH150" i="32"/>
  <c r="AI150" i="32"/>
  <c r="AH165" i="32"/>
  <c r="AI165" i="32"/>
  <c r="AH176" i="32"/>
  <c r="AI176" i="32"/>
  <c r="BL187" i="1" l="1"/>
  <c r="BK187" i="1"/>
  <c r="W187" i="1"/>
  <c r="Q187" i="1"/>
  <c r="AJ187" i="1"/>
  <c r="AI187" i="1"/>
  <c r="AH187" i="1"/>
  <c r="X187" i="1"/>
  <c r="AL187" i="1"/>
  <c r="R187" i="1"/>
  <c r="S187" i="1" s="1"/>
  <c r="F187" i="1"/>
  <c r="V187" i="1" l="1"/>
  <c r="BN196" i="1"/>
  <c r="AP187" i="1"/>
  <c r="AK187" i="1"/>
  <c r="AG187" i="1"/>
  <c r="R2" i="1" l="1"/>
  <c r="S2" i="1" s="1"/>
  <c r="R3" i="1"/>
  <c r="S3" i="1" s="1"/>
  <c r="R4" i="1"/>
  <c r="S4" i="1" s="1"/>
  <c r="R5" i="1"/>
  <c r="S5" i="1" s="1"/>
  <c r="R6" i="1"/>
  <c r="S6" i="1" s="1"/>
  <c r="R7" i="1"/>
  <c r="S7" i="1" s="1"/>
  <c r="R8" i="1"/>
  <c r="S8" i="1" s="1"/>
  <c r="R9" i="1"/>
  <c r="S9" i="1" s="1"/>
  <c r="R10" i="1"/>
  <c r="S10" i="1" s="1"/>
  <c r="R11" i="1"/>
  <c r="S11" i="1" s="1"/>
  <c r="R12" i="1"/>
  <c r="S12" i="1" s="1"/>
  <c r="R13" i="1"/>
  <c r="S13" i="1" s="1"/>
  <c r="R14" i="1"/>
  <c r="S14" i="1" s="1"/>
  <c r="R15" i="1"/>
  <c r="S15" i="1" s="1"/>
  <c r="R16" i="1"/>
  <c r="S16" i="1" s="1"/>
  <c r="R17" i="1"/>
  <c r="S17" i="1" s="1"/>
  <c r="R18" i="1"/>
  <c r="S18" i="1" s="1"/>
  <c r="R19" i="1"/>
  <c r="S19" i="1" s="1"/>
  <c r="R20" i="1"/>
  <c r="S20" i="1" s="1"/>
  <c r="R21" i="1"/>
  <c r="S21" i="1" s="1"/>
  <c r="R22" i="1"/>
  <c r="S22" i="1" s="1"/>
  <c r="R23" i="1"/>
  <c r="S23" i="1" s="1"/>
  <c r="R24" i="1"/>
  <c r="S24" i="1" s="1"/>
  <c r="R25" i="1"/>
  <c r="S25" i="1" s="1"/>
  <c r="R26" i="1"/>
  <c r="S26" i="1" s="1"/>
  <c r="R27" i="1"/>
  <c r="S27" i="1" s="1"/>
  <c r="R28" i="1"/>
  <c r="S28" i="1" s="1"/>
  <c r="R29" i="1"/>
  <c r="S29" i="1" s="1"/>
  <c r="R30" i="1"/>
  <c r="S30" i="1" s="1"/>
  <c r="R31" i="1"/>
  <c r="S31" i="1" s="1"/>
  <c r="R32" i="1"/>
  <c r="S32" i="1" s="1"/>
  <c r="R33" i="1"/>
  <c r="S33" i="1" s="1"/>
  <c r="R34" i="1"/>
  <c r="S34" i="1" s="1"/>
  <c r="R35" i="1"/>
  <c r="S35" i="1" s="1"/>
  <c r="R36" i="1"/>
  <c r="S36" i="1" s="1"/>
  <c r="R37" i="1"/>
  <c r="S37" i="1" s="1"/>
  <c r="R38" i="1"/>
  <c r="S38" i="1" s="1"/>
  <c r="R39" i="1"/>
  <c r="S39" i="1" s="1"/>
  <c r="R40" i="1"/>
  <c r="S40" i="1" s="1"/>
  <c r="R41" i="1"/>
  <c r="S41" i="1" s="1"/>
  <c r="R42" i="1"/>
  <c r="S42" i="1" s="1"/>
  <c r="R43" i="1"/>
  <c r="S43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0" i="1"/>
  <c r="S50" i="1" s="1"/>
  <c r="R51" i="1"/>
  <c r="S51" i="1" s="1"/>
  <c r="R52" i="1"/>
  <c r="S52" i="1" s="1"/>
  <c r="R53" i="1"/>
  <c r="S53" i="1" s="1"/>
  <c r="R54" i="1"/>
  <c r="S54" i="1" s="1"/>
  <c r="R55" i="1"/>
  <c r="S55" i="1" s="1"/>
  <c r="R56" i="1"/>
  <c r="S56" i="1" s="1"/>
  <c r="R57" i="1"/>
  <c r="S57" i="1" s="1"/>
  <c r="R58" i="1"/>
  <c r="S58" i="1" s="1"/>
  <c r="R59" i="1"/>
  <c r="S59" i="1" s="1"/>
  <c r="R60" i="1"/>
  <c r="S60" i="1" s="1"/>
  <c r="R61" i="1"/>
  <c r="S61" i="1" s="1"/>
  <c r="R62" i="1"/>
  <c r="S62" i="1" s="1"/>
  <c r="R63" i="1"/>
  <c r="S63" i="1" s="1"/>
  <c r="R64" i="1"/>
  <c r="S64" i="1" s="1"/>
  <c r="R65" i="1"/>
  <c r="S65" i="1" s="1"/>
  <c r="R66" i="1"/>
  <c r="S66" i="1" s="1"/>
  <c r="R67" i="1"/>
  <c r="S67" i="1" s="1"/>
  <c r="R68" i="1"/>
  <c r="S68" i="1" s="1"/>
  <c r="R69" i="1"/>
  <c r="S69" i="1" s="1"/>
  <c r="R70" i="1"/>
  <c r="S70" i="1" s="1"/>
  <c r="R71" i="1"/>
  <c r="S71" i="1" s="1"/>
  <c r="R72" i="1"/>
  <c r="S72" i="1" s="1"/>
  <c r="R73" i="1"/>
  <c r="S73" i="1" s="1"/>
  <c r="R74" i="1"/>
  <c r="S74" i="1" s="1"/>
  <c r="R75" i="1"/>
  <c r="S75" i="1" s="1"/>
  <c r="R76" i="1"/>
  <c r="S76" i="1" s="1"/>
  <c r="R77" i="1"/>
  <c r="S77" i="1" s="1"/>
  <c r="R78" i="1"/>
  <c r="S78" i="1" s="1"/>
  <c r="R79" i="1"/>
  <c r="S79" i="1" s="1"/>
  <c r="R80" i="1"/>
  <c r="S80" i="1" s="1"/>
  <c r="R81" i="1"/>
  <c r="S81" i="1" s="1"/>
  <c r="R82" i="1"/>
  <c r="S82" i="1" s="1"/>
  <c r="R83" i="1"/>
  <c r="S83" i="1" s="1"/>
  <c r="R84" i="1"/>
  <c r="S84" i="1" s="1"/>
  <c r="R85" i="1"/>
  <c r="S85" i="1" s="1"/>
  <c r="R86" i="1"/>
  <c r="S86" i="1" s="1"/>
  <c r="R87" i="1"/>
  <c r="S87" i="1" s="1"/>
  <c r="R88" i="1"/>
  <c r="S88" i="1" s="1"/>
  <c r="R89" i="1"/>
  <c r="S89" i="1" s="1"/>
  <c r="R90" i="1"/>
  <c r="S90" i="1" s="1"/>
  <c r="R91" i="1"/>
  <c r="S91" i="1" s="1"/>
  <c r="R92" i="1"/>
  <c r="S92" i="1" s="1"/>
  <c r="R93" i="1"/>
  <c r="S93" i="1" s="1"/>
  <c r="R94" i="1"/>
  <c r="S94" i="1" s="1"/>
  <c r="R95" i="1"/>
  <c r="S95" i="1" s="1"/>
  <c r="R96" i="1"/>
  <c r="S96" i="1" s="1"/>
  <c r="R97" i="1"/>
  <c r="S97" i="1" s="1"/>
  <c r="R98" i="1"/>
  <c r="S98" i="1" s="1"/>
  <c r="R99" i="1"/>
  <c r="S99" i="1" s="1"/>
  <c r="R100" i="1"/>
  <c r="S100" i="1" s="1"/>
  <c r="R101" i="1"/>
  <c r="S101" i="1" s="1"/>
  <c r="R102" i="1"/>
  <c r="S102" i="1" s="1"/>
  <c r="R103" i="1"/>
  <c r="S103" i="1" s="1"/>
  <c r="R104" i="1"/>
  <c r="S104" i="1" s="1"/>
  <c r="R105" i="1"/>
  <c r="S105" i="1" s="1"/>
  <c r="R106" i="1"/>
  <c r="S106" i="1" s="1"/>
  <c r="R107" i="1"/>
  <c r="S107" i="1" s="1"/>
  <c r="R108" i="1"/>
  <c r="S108" i="1" s="1"/>
  <c r="R109" i="1"/>
  <c r="S109" i="1" s="1"/>
  <c r="R110" i="1"/>
  <c r="S110" i="1" s="1"/>
  <c r="R111" i="1"/>
  <c r="S111" i="1" s="1"/>
  <c r="R112" i="1"/>
  <c r="S112" i="1" s="1"/>
  <c r="R113" i="1"/>
  <c r="S113" i="1" s="1"/>
  <c r="R114" i="1"/>
  <c r="S114" i="1" s="1"/>
  <c r="R115" i="1"/>
  <c r="S115" i="1" s="1"/>
  <c r="R116" i="1"/>
  <c r="S116" i="1" s="1"/>
  <c r="R117" i="1"/>
  <c r="S117" i="1" s="1"/>
  <c r="R118" i="1"/>
  <c r="S118" i="1" s="1"/>
  <c r="R119" i="1"/>
  <c r="S119" i="1" s="1"/>
  <c r="R120" i="1"/>
  <c r="S120" i="1" s="1"/>
  <c r="R121" i="1"/>
  <c r="S121" i="1" s="1"/>
  <c r="R122" i="1"/>
  <c r="S122" i="1" s="1"/>
  <c r="R123" i="1"/>
  <c r="S123" i="1" s="1"/>
  <c r="R124" i="1"/>
  <c r="S124" i="1" s="1"/>
  <c r="R125" i="1"/>
  <c r="S125" i="1" s="1"/>
  <c r="R126" i="1"/>
  <c r="S126" i="1" s="1"/>
  <c r="R127" i="1"/>
  <c r="S127" i="1" s="1"/>
  <c r="R128" i="1"/>
  <c r="S128" i="1" s="1"/>
  <c r="R129" i="1"/>
  <c r="S129" i="1" s="1"/>
  <c r="R130" i="1"/>
  <c r="S130" i="1" s="1"/>
  <c r="R131" i="1"/>
  <c r="S131" i="1" s="1"/>
  <c r="R132" i="1"/>
  <c r="S132" i="1" s="1"/>
  <c r="R133" i="1"/>
  <c r="S133" i="1" s="1"/>
  <c r="R134" i="1"/>
  <c r="S134" i="1" s="1"/>
  <c r="R135" i="1"/>
  <c r="S135" i="1" s="1"/>
  <c r="R136" i="1"/>
  <c r="S136" i="1" s="1"/>
  <c r="R137" i="1"/>
  <c r="S137" i="1" s="1"/>
  <c r="R138" i="1"/>
  <c r="S138" i="1" s="1"/>
  <c r="R139" i="1"/>
  <c r="S139" i="1" s="1"/>
  <c r="R140" i="1"/>
  <c r="S140" i="1" s="1"/>
  <c r="R141" i="1"/>
  <c r="S141" i="1" s="1"/>
  <c r="R142" i="1"/>
  <c r="S142" i="1" s="1"/>
  <c r="R143" i="1"/>
  <c r="S143" i="1" s="1"/>
  <c r="R144" i="1"/>
  <c r="S144" i="1" s="1"/>
  <c r="R145" i="1"/>
  <c r="S145" i="1" s="1"/>
  <c r="R146" i="1"/>
  <c r="S146" i="1" s="1"/>
  <c r="R147" i="1"/>
  <c r="S147" i="1" s="1"/>
  <c r="R148" i="1"/>
  <c r="S148" i="1" s="1"/>
  <c r="R149" i="1"/>
  <c r="S149" i="1" s="1"/>
  <c r="R150" i="1"/>
  <c r="S150" i="1" s="1"/>
  <c r="R151" i="1"/>
  <c r="S151" i="1" s="1"/>
  <c r="R152" i="1"/>
  <c r="S152" i="1" s="1"/>
  <c r="R153" i="1"/>
  <c r="S153" i="1" s="1"/>
  <c r="R154" i="1"/>
  <c r="S154" i="1" s="1"/>
  <c r="R155" i="1"/>
  <c r="S155" i="1" s="1"/>
  <c r="R156" i="1"/>
  <c r="S156" i="1" s="1"/>
  <c r="R157" i="1"/>
  <c r="S157" i="1" s="1"/>
  <c r="R158" i="1"/>
  <c r="S158" i="1" s="1"/>
  <c r="R159" i="1"/>
  <c r="S159" i="1" s="1"/>
  <c r="R160" i="1"/>
  <c r="S160" i="1" s="1"/>
  <c r="R161" i="1"/>
  <c r="S161" i="1" s="1"/>
  <c r="R162" i="1"/>
  <c r="S162" i="1" s="1"/>
  <c r="R163" i="1"/>
  <c r="S163" i="1" s="1"/>
  <c r="R164" i="1"/>
  <c r="S164" i="1" s="1"/>
  <c r="R165" i="1"/>
  <c r="S165" i="1" s="1"/>
  <c r="R166" i="1"/>
  <c r="S166" i="1" s="1"/>
  <c r="R167" i="1"/>
  <c r="S167" i="1" s="1"/>
  <c r="R168" i="1"/>
  <c r="S168" i="1" s="1"/>
  <c r="R169" i="1"/>
  <c r="S169" i="1" s="1"/>
  <c r="R170" i="1"/>
  <c r="S170" i="1" s="1"/>
  <c r="R171" i="1"/>
  <c r="S171" i="1" s="1"/>
  <c r="R172" i="1"/>
  <c r="S172" i="1" s="1"/>
  <c r="R173" i="1"/>
  <c r="S173" i="1" s="1"/>
  <c r="R174" i="1"/>
  <c r="S174" i="1" s="1"/>
  <c r="R175" i="1"/>
  <c r="S175" i="1" s="1"/>
  <c r="R176" i="1"/>
  <c r="S176" i="1" s="1"/>
  <c r="R177" i="1"/>
  <c r="S177" i="1" s="1"/>
  <c r="R178" i="1"/>
  <c r="S178" i="1" s="1"/>
  <c r="R179" i="1"/>
  <c r="S179" i="1" s="1"/>
  <c r="R180" i="1"/>
  <c r="S180" i="1" s="1"/>
  <c r="R181" i="1"/>
  <c r="S181" i="1" s="1"/>
  <c r="R182" i="1"/>
  <c r="S182" i="1" s="1"/>
  <c r="R183" i="1"/>
  <c r="S183" i="1" s="1"/>
  <c r="R184" i="1"/>
  <c r="S184" i="1" s="1"/>
  <c r="R185" i="1"/>
  <c r="S185" i="1" s="1"/>
  <c r="R186" i="1"/>
  <c r="S186" i="1" s="1"/>
  <c r="G66" i="25" l="1" a="1"/>
  <c r="G66" i="25" s="1"/>
  <c r="G55" i="25" a="1"/>
  <c r="G55" i="25" s="1"/>
  <c r="G44" i="25" a="1"/>
  <c r="G44" i="25" s="1"/>
  <c r="G33" i="25" a="1"/>
  <c r="G33" i="25" s="1"/>
  <c r="G27" i="25" a="1"/>
  <c r="G27" i="25" s="1"/>
  <c r="G23" i="25" a="1"/>
  <c r="G23" i="25" s="1"/>
  <c r="G15" i="25" a="1"/>
  <c r="G15" i="25" s="1"/>
  <c r="G5" i="25" a="1"/>
  <c r="G5" i="25" s="1"/>
  <c r="G65" i="25" a="1"/>
  <c r="G65" i="25" s="1"/>
  <c r="G54" i="25" a="1"/>
  <c r="G54" i="25" s="1"/>
  <c r="G43" i="25" a="1"/>
  <c r="G43" i="25" s="1"/>
  <c r="H26" i="25" a="1"/>
  <c r="H26" i="25" s="1"/>
  <c r="H14" i="25" a="1"/>
  <c r="H14" i="25" s="1"/>
  <c r="G4" i="25" a="1"/>
  <c r="G4" i="25" s="1"/>
  <c r="G56" i="25" a="1"/>
  <c r="G56" i="25" s="1"/>
  <c r="G34" i="25" a="1"/>
  <c r="G34" i="25" s="1"/>
  <c r="G6" i="25" a="1"/>
  <c r="G6" i="25" s="1"/>
  <c r="G64" i="25" a="1"/>
  <c r="G64" i="25" s="1"/>
  <c r="G53" i="25" a="1"/>
  <c r="G53" i="25" s="1"/>
  <c r="G26" i="25" a="1"/>
  <c r="G26" i="25" s="1"/>
  <c r="G14" i="25" a="1"/>
  <c r="G14" i="25" s="1"/>
  <c r="G3" i="25" a="1"/>
  <c r="G3" i="25" s="1"/>
  <c r="G57" i="25" a="1"/>
  <c r="G57" i="25" s="1"/>
  <c r="H15" i="25" a="1"/>
  <c r="H15" i="25" s="1"/>
  <c r="G63" i="25" a="1"/>
  <c r="G63" i="25" s="1"/>
  <c r="H25" i="25" a="1"/>
  <c r="H25" i="25" s="1"/>
  <c r="H17" i="25" a="1"/>
  <c r="H17" i="25" s="1"/>
  <c r="H13" i="25" a="1"/>
  <c r="H13" i="25" s="1"/>
  <c r="G13" i="25" a="1"/>
  <c r="G13" i="25" s="1"/>
  <c r="G47" i="25" a="1"/>
  <c r="G47" i="25" s="1"/>
  <c r="H24" i="25" a="1"/>
  <c r="H24" i="25" s="1"/>
  <c r="H16" i="25" a="1"/>
  <c r="H16" i="25" s="1"/>
  <c r="G46" i="25" a="1"/>
  <c r="G46" i="25" s="1"/>
  <c r="G7" i="25" a="1"/>
  <c r="G7" i="25" s="1"/>
  <c r="G67" i="25" a="1"/>
  <c r="G67" i="25" s="1"/>
  <c r="H27" i="25" a="1"/>
  <c r="H27" i="25" s="1"/>
  <c r="G37" i="25" a="1"/>
  <c r="G37" i="25" s="1"/>
  <c r="G25" i="25" a="1"/>
  <c r="G25" i="25" s="1"/>
  <c r="G17" i="25" a="1"/>
  <c r="G17" i="25" s="1"/>
  <c r="G36" i="25" a="1"/>
  <c r="G36" i="25" s="1"/>
  <c r="G35" i="25" a="1"/>
  <c r="G35" i="25" s="1"/>
  <c r="G24" i="25" a="1"/>
  <c r="G24" i="25" s="1"/>
  <c r="G16" i="25" a="1"/>
  <c r="G16" i="25" s="1"/>
  <c r="G45" i="25" a="1"/>
  <c r="G45" i="25" s="1"/>
  <c r="H23" i="25" a="1"/>
  <c r="H23" i="25" s="1"/>
  <c r="AG9" i="47"/>
  <c r="AG8" i="47"/>
  <c r="AG7" i="47"/>
  <c r="AG6" i="47"/>
  <c r="AG5" i="47"/>
  <c r="C39" i="5"/>
  <c r="C40" i="5"/>
  <c r="BL185" i="1" l="1"/>
  <c r="BK185" i="1"/>
  <c r="W185" i="1"/>
  <c r="Q185" i="1"/>
  <c r="AJ185" i="1"/>
  <c r="AI185" i="1"/>
  <c r="AH185" i="1"/>
  <c r="X185" i="1"/>
  <c r="AL185" i="1"/>
  <c r="F185" i="1"/>
  <c r="V185" i="1" l="1"/>
  <c r="AG185" i="1"/>
  <c r="AK185" i="1"/>
  <c r="AP185" i="1"/>
  <c r="BL186" i="1"/>
  <c r="BK186" i="1"/>
  <c r="W186" i="1"/>
  <c r="Q184" i="1"/>
  <c r="Q186" i="1"/>
  <c r="AJ186" i="1"/>
  <c r="AI186" i="1"/>
  <c r="AH186" i="1"/>
  <c r="X186" i="1"/>
  <c r="AL186" i="1"/>
  <c r="F186" i="1"/>
  <c r="BN193" i="1" l="1"/>
  <c r="V186" i="1"/>
  <c r="BN195" i="1"/>
  <c r="BN194" i="1"/>
  <c r="AP186" i="1"/>
  <c r="AK186" i="1"/>
  <c r="AG186" i="1"/>
  <c r="BL184" i="1"/>
  <c r="BK184" i="1"/>
  <c r="W184" i="1"/>
  <c r="V184" i="1"/>
  <c r="AJ184" i="1"/>
  <c r="AI184" i="1"/>
  <c r="AH184" i="1"/>
  <c r="X184" i="1"/>
  <c r="AL184" i="1"/>
  <c r="F184" i="1"/>
  <c r="AP184" i="1" l="1"/>
  <c r="AG184" i="1"/>
  <c r="BL173" i="1"/>
  <c r="BL174" i="1"/>
  <c r="BL175" i="1"/>
  <c r="BL176" i="1"/>
  <c r="BL177" i="1"/>
  <c r="BL178" i="1"/>
  <c r="BL179" i="1"/>
  <c r="BL180" i="1"/>
  <c r="BL181" i="1"/>
  <c r="BL182" i="1"/>
  <c r="BL183" i="1"/>
  <c r="BK174" i="1"/>
  <c r="BK175" i="1"/>
  <c r="BK176" i="1"/>
  <c r="BK177" i="1"/>
  <c r="BK178" i="1"/>
  <c r="BK179" i="1"/>
  <c r="BK180" i="1"/>
  <c r="BK181" i="1"/>
  <c r="BK182" i="1"/>
  <c r="BK183" i="1"/>
  <c r="W181" i="1"/>
  <c r="W182" i="1"/>
  <c r="W183" i="1"/>
  <c r="Q181" i="1"/>
  <c r="Q182" i="1"/>
  <c r="Q183" i="1"/>
  <c r="AJ183" i="1"/>
  <c r="AI183" i="1"/>
  <c r="AH183" i="1"/>
  <c r="X183" i="1"/>
  <c r="AL183" i="1"/>
  <c r="F183" i="1"/>
  <c r="AJ182" i="1"/>
  <c r="AI182" i="1"/>
  <c r="AH182" i="1"/>
  <c r="X182" i="1"/>
  <c r="AL182" i="1"/>
  <c r="F182" i="1"/>
  <c r="AJ181" i="1"/>
  <c r="AI181" i="1"/>
  <c r="AH181" i="1"/>
  <c r="X181" i="1"/>
  <c r="AL181" i="1"/>
  <c r="F181" i="1"/>
  <c r="AG181" i="1" l="1"/>
  <c r="AP183" i="1"/>
  <c r="AK183" i="1"/>
  <c r="AP182" i="1"/>
  <c r="AK182" i="1"/>
  <c r="V183" i="1"/>
  <c r="BN192" i="1"/>
  <c r="V182" i="1"/>
  <c r="BN191" i="1"/>
  <c r="V181" i="1"/>
  <c r="BN190" i="1"/>
  <c r="AG183" i="1"/>
  <c r="AP181" i="1"/>
  <c r="AG182" i="1"/>
  <c r="BF7" i="42"/>
  <c r="BF9" i="42" s="1"/>
  <c r="W124" i="1" l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80" i="1"/>
  <c r="W179" i="1"/>
  <c r="Q179" i="1"/>
  <c r="AJ179" i="1"/>
  <c r="AI179" i="1"/>
  <c r="AH179" i="1"/>
  <c r="X179" i="1"/>
  <c r="AL179" i="1"/>
  <c r="F179" i="1"/>
  <c r="AP179" i="1" l="1"/>
  <c r="AK179" i="1"/>
  <c r="V179" i="1"/>
  <c r="AG179" i="1"/>
  <c r="W116" i="1"/>
  <c r="BF16" i="1" l="1"/>
  <c r="AH178" i="1" l="1"/>
  <c r="AH177" i="1"/>
  <c r="AH180" i="1"/>
  <c r="AI178" i="1"/>
  <c r="AI177" i="1"/>
  <c r="AI180" i="1"/>
  <c r="AJ178" i="1"/>
  <c r="AJ177" i="1"/>
  <c r="AJ180" i="1"/>
  <c r="Q180" i="1"/>
  <c r="X180" i="1"/>
  <c r="AL180" i="1"/>
  <c r="F180" i="1"/>
  <c r="AP180" i="1" l="1"/>
  <c r="AK180" i="1"/>
  <c r="BN188" i="1"/>
  <c r="BN189" i="1"/>
  <c r="V180" i="1"/>
  <c r="BN187" i="1"/>
  <c r="AG180" i="1"/>
  <c r="AI2" i="32"/>
  <c r="BN7" i="42"/>
  <c r="BN9" i="42" s="1"/>
  <c r="BJ7" i="42"/>
  <c r="BJ9" i="42" s="1"/>
  <c r="BB7" i="42"/>
  <c r="BB9" i="42" s="1"/>
  <c r="J7" i="42"/>
  <c r="J9" i="42" s="1"/>
  <c r="AT7" i="42"/>
  <c r="AT9" i="42" s="1"/>
  <c r="AX7" i="42"/>
  <c r="AX9" i="42" s="1"/>
  <c r="BR7" i="42"/>
  <c r="BR9" i="42" s="1"/>
  <c r="Z7" i="42"/>
  <c r="Z9" i="42" s="1"/>
  <c r="BV7" i="42"/>
  <c r="BV9" i="42" s="1"/>
  <c r="AH7" i="42"/>
  <c r="AH9" i="42" s="1"/>
  <c r="V7" i="42"/>
  <c r="V9" i="42" s="1"/>
  <c r="R7" i="42"/>
  <c r="R9" i="42" s="1"/>
  <c r="N7" i="42"/>
  <c r="N9" i="42" s="1"/>
  <c r="AL7" i="42"/>
  <c r="AL9" i="42" s="1"/>
  <c r="AD7" i="42"/>
  <c r="AD9" i="42" s="1"/>
  <c r="B7" i="42"/>
  <c r="B9" i="42" s="1"/>
  <c r="F7" i="42"/>
  <c r="F9" i="42" s="1"/>
  <c r="AP7" i="42"/>
  <c r="AP9" i="42" s="1"/>
  <c r="F2" i="32" l="1"/>
  <c r="AG2" i="32" s="1"/>
  <c r="S2" i="32"/>
  <c r="T2" i="32"/>
  <c r="AL2" i="32"/>
  <c r="X2" i="32"/>
  <c r="AH2" i="32"/>
  <c r="AJ2" i="32"/>
  <c r="AI9" i="32"/>
  <c r="AI4" i="32"/>
  <c r="AI8" i="32"/>
  <c r="AI6" i="32"/>
  <c r="AI5" i="32"/>
  <c r="AI3" i="32"/>
  <c r="AI7" i="32"/>
  <c r="AK2" i="32" l="1"/>
  <c r="AP2" i="32" s="1"/>
  <c r="AJ4" i="32" l="1"/>
  <c r="AJ8" i="32"/>
  <c r="AJ6" i="32"/>
  <c r="AJ5" i="32"/>
  <c r="AJ3" i="32"/>
  <c r="AJ7" i="32"/>
  <c r="AJ9" i="32"/>
  <c r="C16" i="43" l="1" a="1"/>
  <c r="C16" i="43" s="1"/>
  <c r="C13" i="43" a="1"/>
  <c r="C13" i="43" s="1"/>
  <c r="C7" i="43" a="1"/>
  <c r="C7" i="43" s="1"/>
  <c r="C9" i="43" a="1"/>
  <c r="C9" i="43" s="1"/>
  <c r="C3" i="43" a="1"/>
  <c r="C3" i="43" s="1"/>
  <c r="C6" i="43" a="1"/>
  <c r="C6" i="43" s="1"/>
  <c r="C22" i="43" a="1"/>
  <c r="C22" i="43" s="1"/>
  <c r="C18" i="43" a="1"/>
  <c r="C18" i="43" s="1"/>
  <c r="C5" i="43" a="1"/>
  <c r="C5" i="43" s="1"/>
  <c r="C21" i="43" a="1"/>
  <c r="C21" i="43" s="1"/>
  <c r="C15" i="43" a="1"/>
  <c r="C15" i="43" s="1"/>
  <c r="C8" i="43" a="1"/>
  <c r="C8" i="43" s="1"/>
  <c r="C10" i="43" a="1"/>
  <c r="C10" i="43" s="1"/>
  <c r="C20" i="43" a="1"/>
  <c r="C20" i="43" s="1"/>
  <c r="C4" i="43" a="1"/>
  <c r="C4" i="43" s="1"/>
  <c r="C12" i="43" a="1"/>
  <c r="C12" i="43" s="1"/>
  <c r="C2" i="43" a="1"/>
  <c r="C2" i="43" s="1"/>
  <c r="C17" i="43" a="1"/>
  <c r="C17" i="43" s="1"/>
  <c r="C14" i="43" a="1"/>
  <c r="C14" i="43" s="1"/>
  <c r="C19" i="43" a="1"/>
  <c r="C19" i="43" s="1"/>
  <c r="C11" i="43" a="1"/>
  <c r="C11" i="43" s="1"/>
  <c r="Q178" i="1"/>
  <c r="Q177" i="1"/>
  <c r="X177" i="1"/>
  <c r="AL177" i="1"/>
  <c r="F177" i="1"/>
  <c r="X178" i="1"/>
  <c r="AL178" i="1"/>
  <c r="F178" i="1"/>
  <c r="AK178" i="1" s="1"/>
  <c r="BY177" i="1" l="1"/>
  <c r="V178" i="1"/>
  <c r="BY178" i="1"/>
  <c r="AG177" i="1"/>
  <c r="AK177" i="1"/>
  <c r="A12" i="43"/>
  <c r="A18" i="43"/>
  <c r="A22" i="43"/>
  <c r="A20" i="43"/>
  <c r="A11" i="43"/>
  <c r="A10" i="43"/>
  <c r="A3" i="43"/>
  <c r="A4" i="43"/>
  <c r="A6" i="43"/>
  <c r="A19" i="43"/>
  <c r="A8" i="43"/>
  <c r="A9" i="43"/>
  <c r="A14" i="43"/>
  <c r="A17" i="43"/>
  <c r="A21" i="43"/>
  <c r="A13" i="43"/>
  <c r="A15" i="43"/>
  <c r="A7" i="43"/>
  <c r="A2" i="43"/>
  <c r="A5" i="43"/>
  <c r="A16" i="43"/>
  <c r="E16" i="43" s="1"/>
  <c r="BN185" i="1"/>
  <c r="V177" i="1"/>
  <c r="BN186" i="1"/>
  <c r="AP178" i="1"/>
  <c r="AG178" i="1"/>
  <c r="AP177" i="1"/>
  <c r="AH9" i="32" l="1"/>
  <c r="Q176" i="1" l="1"/>
  <c r="X176" i="1"/>
  <c r="AL176" i="1"/>
  <c r="F176" i="1"/>
  <c r="AK176" i="1" s="1"/>
  <c r="BY176" i="1" l="1"/>
  <c r="V176" i="1"/>
  <c r="BN184" i="1"/>
  <c r="AP176" i="1"/>
  <c r="AH4" i="32"/>
  <c r="AH6" i="32"/>
  <c r="AH5" i="32"/>
  <c r="AH3" i="32"/>
  <c r="AH7" i="32"/>
  <c r="AL9" i="32"/>
  <c r="AL4" i="32"/>
  <c r="AL8" i="32"/>
  <c r="AL6" i="32"/>
  <c r="AL5" i="32"/>
  <c r="AL3" i="32"/>
  <c r="AL7" i="32"/>
  <c r="BK10" i="42" l="1"/>
  <c r="AM10" i="42"/>
  <c r="AU10" i="42"/>
  <c r="BW10" i="42"/>
  <c r="BO10" i="42"/>
  <c r="W10" i="42"/>
  <c r="AY10" i="42"/>
  <c r="BC10" i="42"/>
  <c r="BG10" i="42"/>
  <c r="AI10" i="42"/>
  <c r="BS10" i="42"/>
  <c r="AE10" i="42"/>
  <c r="AA10" i="42"/>
  <c r="AQ10" i="42"/>
  <c r="O10" i="42"/>
  <c r="G10" i="42"/>
  <c r="C10" i="42"/>
  <c r="S10" i="42"/>
  <c r="K10" i="42"/>
  <c r="G5" i="43"/>
  <c r="AP10" i="42"/>
  <c r="E3" i="43"/>
  <c r="G8" i="43"/>
  <c r="E9" i="43"/>
  <c r="G2" i="43"/>
  <c r="G12" i="43"/>
  <c r="G22" i="43"/>
  <c r="G17" i="43"/>
  <c r="G21" i="43"/>
  <c r="G4" i="43"/>
  <c r="E17" i="43"/>
  <c r="G18" i="43"/>
  <c r="G3" i="43"/>
  <c r="E10" i="43"/>
  <c r="E8" i="43"/>
  <c r="G9" i="43"/>
  <c r="G6" i="43"/>
  <c r="E18" i="43"/>
  <c r="E5" i="43"/>
  <c r="E4" i="43"/>
  <c r="E13" i="43"/>
  <c r="E21" i="43"/>
  <c r="E19" i="43"/>
  <c r="E6" i="43"/>
  <c r="G7" i="43"/>
  <c r="G16" i="43"/>
  <c r="G20" i="43"/>
  <c r="G10" i="43"/>
  <c r="E7" i="43"/>
  <c r="G11" i="43"/>
  <c r="E12" i="43"/>
  <c r="E20" i="43"/>
  <c r="G13" i="43"/>
  <c r="G19" i="43"/>
  <c r="E22" i="43"/>
  <c r="E15" i="43"/>
  <c r="G15" i="43"/>
  <c r="E11" i="43"/>
  <c r="G14" i="43"/>
  <c r="E2" i="43"/>
  <c r="E14" i="43"/>
  <c r="BF8" i="42"/>
  <c r="BF10" i="42"/>
  <c r="J8" i="42"/>
  <c r="AD8" i="42"/>
  <c r="V8" i="42"/>
  <c r="B8" i="42"/>
  <c r="AP8" i="42"/>
  <c r="AX8" i="42"/>
  <c r="AH8" i="42"/>
  <c r="N8" i="42"/>
  <c r="BN8" i="42"/>
  <c r="AL8" i="42"/>
  <c r="AT8" i="42"/>
  <c r="F8" i="42"/>
  <c r="R8" i="42"/>
  <c r="BV8" i="42"/>
  <c r="BJ8" i="42"/>
  <c r="BR8" i="42"/>
  <c r="BB8" i="42"/>
  <c r="Z8" i="42"/>
  <c r="AX10" i="42"/>
  <c r="BV10" i="42"/>
  <c r="R10" i="42"/>
  <c r="F10" i="42"/>
  <c r="B10" i="42"/>
  <c r="Z10" i="42"/>
  <c r="AH10" i="42"/>
  <c r="N10" i="42"/>
  <c r="AL10" i="42"/>
  <c r="AD10" i="42"/>
  <c r="BR10" i="42"/>
  <c r="AT10" i="42"/>
  <c r="V10" i="42"/>
  <c r="BN10" i="42"/>
  <c r="J10" i="42"/>
  <c r="BB10" i="42"/>
  <c r="BJ10" i="42"/>
  <c r="D2" i="43" l="1"/>
  <c r="B12" i="51" s="1"/>
  <c r="C106" i="43"/>
  <c r="C109" i="43"/>
  <c r="C114" i="43"/>
  <c r="C112" i="43"/>
  <c r="C103" i="43"/>
  <c r="C115" i="43"/>
  <c r="C104" i="43"/>
  <c r="C116" i="43"/>
  <c r="C108" i="43"/>
  <c r="C118" i="43"/>
  <c r="C110" i="43"/>
  <c r="C107" i="43"/>
  <c r="C113" i="43"/>
  <c r="C117" i="43"/>
  <c r="C111" i="43"/>
  <c r="C120" i="43"/>
  <c r="C121" i="43"/>
  <c r="C101" i="43"/>
  <c r="C119" i="43"/>
  <c r="C105" i="43"/>
  <c r="C102" i="43"/>
  <c r="H11" i="43"/>
  <c r="J11" i="43" a="1"/>
  <c r="J11" i="43" s="1"/>
  <c r="H22" i="43"/>
  <c r="J22" i="43" a="1"/>
  <c r="J22" i="43" s="1"/>
  <c r="H5" i="43"/>
  <c r="J5" i="43" a="1"/>
  <c r="J5" i="43" s="1"/>
  <c r="H10" i="43"/>
  <c r="J10" i="43" a="1"/>
  <c r="J10" i="43" s="1"/>
  <c r="H3" i="43"/>
  <c r="J3" i="43" a="1"/>
  <c r="J3" i="43" s="1"/>
  <c r="H2" i="43"/>
  <c r="J2" i="43" a="1"/>
  <c r="J2" i="43" s="1"/>
  <c r="H14" i="43"/>
  <c r="J14" i="43" a="1"/>
  <c r="J14" i="43" s="1"/>
  <c r="AS22" i="43" a="1"/>
  <c r="AS22" i="43" s="1"/>
  <c r="B259" i="51" s="1"/>
  <c r="U21" i="43" a="1"/>
  <c r="U21" i="43" s="1"/>
  <c r="B243" i="51" s="1"/>
  <c r="AA5" i="43" a="1"/>
  <c r="AA5" i="43" s="1"/>
  <c r="B52" i="51" s="1"/>
  <c r="AY7" i="43" a="1"/>
  <c r="AY7" i="43" s="1"/>
  <c r="B80" i="51" s="1"/>
  <c r="U8" i="43" a="1"/>
  <c r="U8" i="43" s="1"/>
  <c r="B87" i="51" s="1"/>
  <c r="AS14" i="43" a="1"/>
  <c r="AS14" i="43" s="1"/>
  <c r="B163" i="51" s="1"/>
  <c r="AM10" i="43" a="1"/>
  <c r="AM10" i="43" s="1"/>
  <c r="B114" i="51" s="1"/>
  <c r="AA11" i="43" a="1"/>
  <c r="AA11" i="43" s="1"/>
  <c r="B124" i="51" s="1"/>
  <c r="BE20" i="43" a="1"/>
  <c r="BE20" i="43" s="1"/>
  <c r="B237" i="51" s="1"/>
  <c r="U22" i="43" a="1"/>
  <c r="U22" i="43" s="1"/>
  <c r="B255" i="51" s="1"/>
  <c r="AY18" i="43" a="1"/>
  <c r="AY18" i="43" s="1"/>
  <c r="B212" i="51" s="1"/>
  <c r="AM18" i="43" a="1"/>
  <c r="AM18" i="43" s="1"/>
  <c r="B210" i="51" s="1"/>
  <c r="AY16" i="43" a="1"/>
  <c r="AY16" i="43" s="1"/>
  <c r="B188" i="51" s="1"/>
  <c r="AG2" i="43" a="1"/>
  <c r="AG2" i="43" s="1"/>
  <c r="B17" i="51" s="1"/>
  <c r="AG14" i="43" a="1"/>
  <c r="AG14" i="43" s="1"/>
  <c r="B161" i="51" s="1"/>
  <c r="BK9" i="43" a="1"/>
  <c r="BK9" i="43" s="1"/>
  <c r="B106" i="51" s="1"/>
  <c r="I6" i="43" a="1"/>
  <c r="I6" i="43" s="1"/>
  <c r="B61" i="51" s="1"/>
  <c r="AG7" i="43" a="1"/>
  <c r="AG7" i="43" s="1"/>
  <c r="B77" i="51" s="1"/>
  <c r="BK19" i="43" a="1"/>
  <c r="BK19" i="43" s="1"/>
  <c r="B226" i="51" s="1"/>
  <c r="O18" i="43" a="1"/>
  <c r="O18" i="43" s="1"/>
  <c r="B206" i="51" s="1"/>
  <c r="BE4" i="43" a="1"/>
  <c r="BE4" i="43" s="1"/>
  <c r="B45" i="51" s="1"/>
  <c r="AY11" i="43" a="1"/>
  <c r="AY11" i="43" s="1"/>
  <c r="B128" i="51" s="1"/>
  <c r="AS7" i="43" a="1"/>
  <c r="AS7" i="43" s="1"/>
  <c r="B79" i="51" s="1"/>
  <c r="O12" i="43" a="1"/>
  <c r="O12" i="43" s="1"/>
  <c r="B134" i="51" s="1"/>
  <c r="AG21" i="43" a="1"/>
  <c r="AG21" i="43" s="1"/>
  <c r="B245" i="51" s="1"/>
  <c r="O21" i="43" a="1"/>
  <c r="O21" i="43" s="1"/>
  <c r="B242" i="51" s="1"/>
  <c r="AA19" i="43" a="1"/>
  <c r="AA19" i="43" s="1"/>
  <c r="B220" i="51" s="1"/>
  <c r="BK8" i="43" a="1"/>
  <c r="BK8" i="43" s="1"/>
  <c r="B94" i="51" s="1"/>
  <c r="AM6" i="43" a="1"/>
  <c r="AM6" i="43" s="1"/>
  <c r="B66" i="51" s="1"/>
  <c r="I15" i="43" a="1"/>
  <c r="I15" i="43" s="1"/>
  <c r="B169" i="51" s="1"/>
  <c r="AG8" i="43" a="1"/>
  <c r="AG8" i="43" s="1"/>
  <c r="B89" i="51" s="1"/>
  <c r="AA7" i="43" a="1"/>
  <c r="AA7" i="43" s="1"/>
  <c r="B76" i="51" s="1"/>
  <c r="O7" i="43" a="1"/>
  <c r="O7" i="43" s="1"/>
  <c r="B74" i="51" s="1"/>
  <c r="U5" i="43" a="1"/>
  <c r="U5" i="43" s="1"/>
  <c r="B51" i="51" s="1"/>
  <c r="I14" i="43" a="1"/>
  <c r="I14" i="43" s="1"/>
  <c r="B157" i="51" s="1"/>
  <c r="AG5" i="43" a="1"/>
  <c r="AG5" i="43" s="1"/>
  <c r="B53" i="51" s="1"/>
  <c r="AG9" i="43" a="1"/>
  <c r="AG9" i="43" s="1"/>
  <c r="B101" i="51" s="1"/>
  <c r="AA14" i="43" a="1"/>
  <c r="AA14" i="43" s="1"/>
  <c r="B160" i="51" s="1"/>
  <c r="BK13" i="43" a="1"/>
  <c r="BK13" i="43" s="1"/>
  <c r="B154" i="51" s="1"/>
  <c r="AM22" i="43" a="1"/>
  <c r="AM22" i="43" s="1"/>
  <c r="B258" i="51" s="1"/>
  <c r="U3" i="43" a="1"/>
  <c r="U3" i="43" s="1"/>
  <c r="B27" i="51" s="1"/>
  <c r="I12" i="43" a="1"/>
  <c r="I12" i="43" s="1"/>
  <c r="B133" i="51" s="1"/>
  <c r="AA4" i="43" a="1"/>
  <c r="AA4" i="43" s="1"/>
  <c r="B40" i="51" s="1"/>
  <c r="O16" i="43" a="1"/>
  <c r="O16" i="43" s="1"/>
  <c r="B182" i="51" s="1"/>
  <c r="BE16" i="43" a="1"/>
  <c r="BE16" i="43" s="1"/>
  <c r="B189" i="51" s="1"/>
  <c r="BE10" i="43" a="1"/>
  <c r="BE10" i="43" s="1"/>
  <c r="B117" i="51" s="1"/>
  <c r="AY14" i="43" a="1"/>
  <c r="AY14" i="43" s="1"/>
  <c r="B164" i="51" s="1"/>
  <c r="AA10" i="43" a="1"/>
  <c r="AA10" i="43" s="1"/>
  <c r="B112" i="51" s="1"/>
  <c r="BE19" i="43" a="1"/>
  <c r="BE19" i="43" s="1"/>
  <c r="B225" i="51" s="1"/>
  <c r="BK3" i="43" a="1"/>
  <c r="BK3" i="43" s="1"/>
  <c r="B34" i="51" s="1"/>
  <c r="O5" i="43" a="1"/>
  <c r="O5" i="43" s="1"/>
  <c r="B50" i="51" s="1"/>
  <c r="O9" i="43" a="1"/>
  <c r="O9" i="43" s="1"/>
  <c r="B98" i="51" s="1"/>
  <c r="AM8" i="43" a="1"/>
  <c r="AM8" i="43" s="1"/>
  <c r="B90" i="51" s="1"/>
  <c r="AM5" i="43" a="1"/>
  <c r="AM5" i="43" s="1"/>
  <c r="B54" i="51" s="1"/>
  <c r="O6" i="43" a="1"/>
  <c r="O6" i="43" s="1"/>
  <c r="B62" i="51" s="1"/>
  <c r="AG10" i="43" a="1"/>
  <c r="AG10" i="43" s="1"/>
  <c r="B113" i="51" s="1"/>
  <c r="BK21" i="43" a="1"/>
  <c r="BK21" i="43" s="1"/>
  <c r="B250" i="51" s="1"/>
  <c r="BK2" i="43" a="1"/>
  <c r="BK2" i="43" s="1"/>
  <c r="B22" i="51" s="1"/>
  <c r="I4" i="43" a="1"/>
  <c r="I4" i="43" s="1"/>
  <c r="B37" i="51" s="1"/>
  <c r="BE14" i="43" a="1"/>
  <c r="BE14" i="43" s="1"/>
  <c r="B165" i="51" s="1"/>
  <c r="AS11" i="43" a="1"/>
  <c r="AS11" i="43" s="1"/>
  <c r="B127" i="51" s="1"/>
  <c r="U16" i="43" a="1"/>
  <c r="U16" i="43" s="1"/>
  <c r="B183" i="51" s="1"/>
  <c r="I10" i="43" a="1"/>
  <c r="I10" i="43" s="1"/>
  <c r="B109" i="51" s="1"/>
  <c r="I18" i="43" a="1"/>
  <c r="I18" i="43" s="1"/>
  <c r="B205" i="51" s="1"/>
  <c r="O2" i="43" a="1"/>
  <c r="O2" i="43" s="1"/>
  <c r="B14" i="51" s="1"/>
  <c r="BE17" i="43" a="1"/>
  <c r="BE17" i="43" s="1"/>
  <c r="B201" i="51" s="1"/>
  <c r="AA15" i="43" a="1"/>
  <c r="AA15" i="43" s="1"/>
  <c r="B172" i="51" s="1"/>
  <c r="AA20" i="43" a="1"/>
  <c r="AA20" i="43" s="1"/>
  <c r="B232" i="51" s="1"/>
  <c r="AG18" i="43" a="1"/>
  <c r="AG18" i="43" s="1"/>
  <c r="B209" i="51" s="1"/>
  <c r="AY5" i="43" a="1"/>
  <c r="AY5" i="43" s="1"/>
  <c r="B56" i="51" s="1"/>
  <c r="AM20" i="43" a="1"/>
  <c r="AM20" i="43" s="1"/>
  <c r="B234" i="51" s="1"/>
  <c r="BE11" i="43" a="1"/>
  <c r="BE11" i="43" s="1"/>
  <c r="B129" i="51" s="1"/>
  <c r="AM7" i="43" a="1"/>
  <c r="AM7" i="43" s="1"/>
  <c r="B78" i="51" s="1"/>
  <c r="AS6" i="43" a="1"/>
  <c r="AS6" i="43" s="1"/>
  <c r="B67" i="51" s="1"/>
  <c r="AG15" i="43" a="1"/>
  <c r="AG15" i="43" s="1"/>
  <c r="B173" i="51" s="1"/>
  <c r="AY22" i="43" a="1"/>
  <c r="AY22" i="43" s="1"/>
  <c r="B260" i="51" s="1"/>
  <c r="BK15" i="43" a="1"/>
  <c r="BK15" i="43" s="1"/>
  <c r="B178" i="51" s="1"/>
  <c r="BK16" i="43" a="1"/>
  <c r="BK16" i="43" s="1"/>
  <c r="B190" i="51" s="1"/>
  <c r="O19" i="43" a="1"/>
  <c r="O19" i="43" s="1"/>
  <c r="B218" i="51" s="1"/>
  <c r="BK11" i="43" a="1"/>
  <c r="BK11" i="43" s="1"/>
  <c r="B130" i="51" s="1"/>
  <c r="I13" i="43" a="1"/>
  <c r="I13" i="43" s="1"/>
  <c r="B145" i="51" s="1"/>
  <c r="AY17" i="43" a="1"/>
  <c r="AY17" i="43" s="1"/>
  <c r="B200" i="51" s="1"/>
  <c r="O15" i="43" a="1"/>
  <c r="O15" i="43" s="1"/>
  <c r="B170" i="51" s="1"/>
  <c r="O22" i="43" a="1"/>
  <c r="O22" i="43" s="1"/>
  <c r="B254" i="51" s="1"/>
  <c r="AS20" i="43" a="1"/>
  <c r="AS20" i="43" s="1"/>
  <c r="B235" i="51" s="1"/>
  <c r="AM16" i="43" a="1"/>
  <c r="AM16" i="43" s="1"/>
  <c r="B186" i="51" s="1"/>
  <c r="AS8" i="43" a="1"/>
  <c r="AS8" i="43" s="1"/>
  <c r="B91" i="51" s="1"/>
  <c r="U15" i="43" a="1"/>
  <c r="U15" i="43" s="1"/>
  <c r="B171" i="51" s="1"/>
  <c r="AS13" i="43" a="1"/>
  <c r="AS13" i="43" s="1"/>
  <c r="B151" i="51" s="1"/>
  <c r="BE13" i="43" a="1"/>
  <c r="BE13" i="43" s="1"/>
  <c r="B153" i="51" s="1"/>
  <c r="I17" i="43" a="1"/>
  <c r="I17" i="43" s="1"/>
  <c r="B193" i="51" s="1"/>
  <c r="BK10" i="43" a="1"/>
  <c r="BK10" i="43" s="1"/>
  <c r="B118" i="51" s="1"/>
  <c r="AA2" i="43" a="1"/>
  <c r="AA2" i="43" s="1"/>
  <c r="B16" i="51" s="1"/>
  <c r="I16" i="43" a="1"/>
  <c r="I16" i="43" s="1"/>
  <c r="B181" i="51" s="1"/>
  <c r="AS18" i="43" a="1"/>
  <c r="AS18" i="43" s="1"/>
  <c r="B211" i="51" s="1"/>
  <c r="O10" i="43" a="1"/>
  <c r="O10" i="43" s="1"/>
  <c r="B110" i="51" s="1"/>
  <c r="I7" i="43" a="1"/>
  <c r="I7" i="43" s="1"/>
  <c r="B73" i="51" s="1"/>
  <c r="BE18" i="43" a="1"/>
  <c r="BE18" i="43" s="1"/>
  <c r="B213" i="51" s="1"/>
  <c r="AA13" i="43" a="1"/>
  <c r="AA13" i="43" s="1"/>
  <c r="B148" i="51" s="1"/>
  <c r="O17" i="43" a="1"/>
  <c r="O17" i="43" s="1"/>
  <c r="B194" i="51" s="1"/>
  <c r="U2" i="43" a="1"/>
  <c r="U2" i="43" s="1"/>
  <c r="B15" i="51" s="1"/>
  <c r="AA21" i="43" a="1"/>
  <c r="AA21" i="43" s="1"/>
  <c r="B244" i="51" s="1"/>
  <c r="BE12" i="43" a="1"/>
  <c r="BE12" i="43" s="1"/>
  <c r="B141" i="51" s="1"/>
  <c r="O20" i="43" a="1"/>
  <c r="O20" i="43" s="1"/>
  <c r="B230" i="51" s="1"/>
  <c r="BE7" i="43" a="1"/>
  <c r="BE7" i="43" s="1"/>
  <c r="B81" i="51" s="1"/>
  <c r="AY19" i="43" a="1"/>
  <c r="AY19" i="43" s="1"/>
  <c r="B224" i="51" s="1"/>
  <c r="BE8" i="43" a="1"/>
  <c r="BE8" i="43" s="1"/>
  <c r="B93" i="51" s="1"/>
  <c r="AS19" i="43" a="1"/>
  <c r="AS19" i="43" s="1"/>
  <c r="B223" i="51" s="1"/>
  <c r="U17" i="43" a="1"/>
  <c r="U17" i="43" s="1"/>
  <c r="B195" i="51" s="1"/>
  <c r="AS21" i="43" a="1"/>
  <c r="AS21" i="43" s="1"/>
  <c r="B247" i="51" s="1"/>
  <c r="BK17" i="43" a="1"/>
  <c r="BK17" i="43" s="1"/>
  <c r="B202" i="51" s="1"/>
  <c r="AY15" i="43" a="1"/>
  <c r="AY15" i="43" s="1"/>
  <c r="B176" i="51" s="1"/>
  <c r="AY20" i="43" a="1"/>
  <c r="AY20" i="43" s="1"/>
  <c r="B236" i="51" s="1"/>
  <c r="AM17" i="43" a="1"/>
  <c r="AM17" i="43" s="1"/>
  <c r="B198" i="51" s="1"/>
  <c r="BE3" i="43" a="1"/>
  <c r="BE3" i="43" s="1"/>
  <c r="B33" i="51" s="1"/>
  <c r="O13" i="43" a="1"/>
  <c r="O13" i="43" s="1"/>
  <c r="B146" i="51" s="1"/>
  <c r="BE22" i="43" a="1"/>
  <c r="BE22" i="43" s="1"/>
  <c r="B261" i="51" s="1"/>
  <c r="AY4" i="43" a="1"/>
  <c r="AY4" i="43" s="1"/>
  <c r="B44" i="51" s="1"/>
  <c r="BK12" i="43" a="1"/>
  <c r="BK12" i="43" s="1"/>
  <c r="B142" i="51" s="1"/>
  <c r="BE6" i="43" a="1"/>
  <c r="BE6" i="43" s="1"/>
  <c r="B69" i="51" s="1"/>
  <c r="U6" i="43" a="1"/>
  <c r="U6" i="43" s="1"/>
  <c r="B63" i="51" s="1"/>
  <c r="AY12" i="43" a="1"/>
  <c r="AY12" i="43" s="1"/>
  <c r="B140" i="51" s="1"/>
  <c r="BK22" i="43" a="1"/>
  <c r="BK22" i="43" s="1"/>
  <c r="B262" i="51" s="1"/>
  <c r="AY9" i="43" a="1"/>
  <c r="AY9" i="43" s="1"/>
  <c r="B104" i="51" s="1"/>
  <c r="O4" i="43" a="1"/>
  <c r="O4" i="43" s="1"/>
  <c r="B38" i="51" s="1"/>
  <c r="AG13" i="43" a="1"/>
  <c r="AG13" i="43" s="1"/>
  <c r="B149" i="51" s="1"/>
  <c r="I19" i="43" a="1"/>
  <c r="I19" i="43" s="1"/>
  <c r="B217" i="51" s="1"/>
  <c r="AM15" i="43" a="1"/>
  <c r="AM15" i="43" s="1"/>
  <c r="B174" i="51" s="1"/>
  <c r="AM14" i="43" a="1"/>
  <c r="AM14" i="43" s="1"/>
  <c r="B162" i="51" s="1"/>
  <c r="AG11" i="43" a="1"/>
  <c r="AG11" i="43" s="1"/>
  <c r="B125" i="51" s="1"/>
  <c r="O8" i="43" a="1"/>
  <c r="O8" i="43" s="1"/>
  <c r="B86" i="51" s="1"/>
  <c r="AG20" i="43" a="1"/>
  <c r="AG20" i="43" s="1"/>
  <c r="B233" i="51" s="1"/>
  <c r="O11" i="43" a="1"/>
  <c r="O11" i="43" s="1"/>
  <c r="B122" i="51" s="1"/>
  <c r="I2" i="43" a="1"/>
  <c r="I2" i="43" s="1"/>
  <c r="B13" i="51" s="1"/>
  <c r="AM4" i="43" a="1"/>
  <c r="AM4" i="43" s="1"/>
  <c r="B42" i="51" s="1"/>
  <c r="AS3" i="43" a="1"/>
  <c r="AS3" i="43" s="1"/>
  <c r="B31" i="51" s="1"/>
  <c r="AS15" i="43" a="1"/>
  <c r="AS15" i="43" s="1"/>
  <c r="B175" i="51" s="1"/>
  <c r="BE9" i="43" a="1"/>
  <c r="BE9" i="43" s="1"/>
  <c r="B105" i="51" s="1"/>
  <c r="BE2" i="43" a="1"/>
  <c r="BE2" i="43" s="1"/>
  <c r="B21" i="51" s="1"/>
  <c r="AM12" i="43" a="1"/>
  <c r="AM12" i="43" s="1"/>
  <c r="B138" i="51" s="1"/>
  <c r="I20" i="43" a="1"/>
  <c r="I20" i="43" s="1"/>
  <c r="B229" i="51" s="1"/>
  <c r="AY6" i="43" a="1"/>
  <c r="AY6" i="43" s="1"/>
  <c r="B68" i="51" s="1"/>
  <c r="AY3" i="43" a="1"/>
  <c r="AY3" i="43" s="1"/>
  <c r="B32" i="51" s="1"/>
  <c r="U4" i="43" a="1"/>
  <c r="U4" i="43" s="1"/>
  <c r="B39" i="51" s="1"/>
  <c r="I5" i="43" a="1"/>
  <c r="I5" i="43" s="1"/>
  <c r="B49" i="51" s="1"/>
  <c r="U19" i="43" a="1"/>
  <c r="U19" i="43" s="1"/>
  <c r="B219" i="51" s="1"/>
  <c r="AS12" i="43" a="1"/>
  <c r="AS12" i="43" s="1"/>
  <c r="B139" i="51" s="1"/>
  <c r="AA8" i="43" a="1"/>
  <c r="AA8" i="43" s="1"/>
  <c r="B88" i="51" s="1"/>
  <c r="U12" i="43" a="1"/>
  <c r="U12" i="43" s="1"/>
  <c r="B135" i="51" s="1"/>
  <c r="U7" i="43" a="1"/>
  <c r="U7" i="43" s="1"/>
  <c r="B75" i="51" s="1"/>
  <c r="BK14" i="43" a="1"/>
  <c r="BK14" i="43" s="1"/>
  <c r="B166" i="51" s="1"/>
  <c r="I3" i="43" a="1"/>
  <c r="I3" i="43" s="1"/>
  <c r="B25" i="51" s="1"/>
  <c r="AS2" i="43" a="1"/>
  <c r="AS2" i="43" s="1"/>
  <c r="B19" i="51" s="1"/>
  <c r="AA22" i="43" a="1"/>
  <c r="AA22" i="43" s="1"/>
  <c r="B256" i="51" s="1"/>
  <c r="O3" i="43" a="1"/>
  <c r="O3" i="43" s="1"/>
  <c r="B26" i="51" s="1"/>
  <c r="AA3" i="43" a="1"/>
  <c r="AA3" i="43" s="1"/>
  <c r="B28" i="51" s="1"/>
  <c r="U20" i="43" a="1"/>
  <c r="U20" i="43" s="1"/>
  <c r="B231" i="51" s="1"/>
  <c r="I22" i="43" a="1"/>
  <c r="I22" i="43" s="1"/>
  <c r="B253" i="51" s="1"/>
  <c r="U13" i="43" a="1"/>
  <c r="U13" i="43" s="1"/>
  <c r="B147" i="51" s="1"/>
  <c r="O14" i="43" a="1"/>
  <c r="O14" i="43" s="1"/>
  <c r="B158" i="51" s="1"/>
  <c r="U11" i="43" a="1"/>
  <c r="U11" i="43" s="1"/>
  <c r="B123" i="51" s="1"/>
  <c r="AY8" i="43" a="1"/>
  <c r="AY8" i="43" s="1"/>
  <c r="B92" i="51" s="1"/>
  <c r="AS10" i="43" a="1"/>
  <c r="AS10" i="43" s="1"/>
  <c r="B115" i="51" s="1"/>
  <c r="AA12" i="43" a="1"/>
  <c r="AA12" i="43" s="1"/>
  <c r="B136" i="51" s="1"/>
  <c r="BK20" i="43" a="1"/>
  <c r="BK20" i="43" s="1"/>
  <c r="B238" i="51" s="1"/>
  <c r="AG12" i="43" a="1"/>
  <c r="AG12" i="43" s="1"/>
  <c r="B137" i="51" s="1"/>
  <c r="I9" i="43" a="1"/>
  <c r="I9" i="43" s="1"/>
  <c r="B97" i="51" s="1"/>
  <c r="AM9" i="43" a="1"/>
  <c r="AM9" i="43" s="1"/>
  <c r="B102" i="51" s="1"/>
  <c r="AG22" i="43" a="1"/>
  <c r="AG22" i="43" s="1"/>
  <c r="B257" i="51" s="1"/>
  <c r="AM13" i="43" a="1"/>
  <c r="AM13" i="43" s="1"/>
  <c r="B150" i="51" s="1"/>
  <c r="AA18" i="43" a="1"/>
  <c r="AA18" i="43" s="1"/>
  <c r="B208" i="51" s="1"/>
  <c r="BK4" i="43" a="1"/>
  <c r="BK4" i="43" s="1"/>
  <c r="B46" i="51" s="1"/>
  <c r="I11" i="43" a="1"/>
  <c r="I11" i="43" s="1"/>
  <c r="B121" i="51" s="1"/>
  <c r="U14" i="43" a="1"/>
  <c r="U14" i="43" s="1"/>
  <c r="B159" i="51" s="1"/>
  <c r="AY13" i="43" a="1"/>
  <c r="AY13" i="43" s="1"/>
  <c r="B152" i="51" s="1"/>
  <c r="U10" i="43" a="1"/>
  <c r="U10" i="43" s="1"/>
  <c r="B111" i="51" s="1"/>
  <c r="AS4" i="43" a="1"/>
  <c r="AS4" i="43" s="1"/>
  <c r="B43" i="51" s="1"/>
  <c r="AS16" i="43" a="1"/>
  <c r="AS16" i="43" s="1"/>
  <c r="B187" i="51" s="1"/>
  <c r="AG4" i="43" a="1"/>
  <c r="AG4" i="43" s="1"/>
  <c r="B41" i="51" s="1"/>
  <c r="AM11" i="43" a="1"/>
  <c r="AM11" i="43" s="1"/>
  <c r="B126" i="51" s="1"/>
  <c r="BE15" i="43" a="1"/>
  <c r="BE15" i="43" s="1"/>
  <c r="B177" i="51" s="1"/>
  <c r="AM2" i="43" a="1"/>
  <c r="AM2" i="43" s="1"/>
  <c r="B18" i="51" s="1"/>
  <c r="U9" i="43" a="1"/>
  <c r="U9" i="43" s="1"/>
  <c r="B99" i="51" s="1"/>
  <c r="BK18" i="43" a="1"/>
  <c r="BK18" i="43" s="1"/>
  <c r="B214" i="51" s="1"/>
  <c r="AA6" i="43" a="1"/>
  <c r="AA6" i="43" s="1"/>
  <c r="B64" i="51" s="1"/>
  <c r="AM19" i="43" a="1"/>
  <c r="AM19" i="43" s="1"/>
  <c r="B222" i="51" s="1"/>
  <c r="I8" i="43" a="1"/>
  <c r="I8" i="43" s="1"/>
  <c r="B85" i="51" s="1"/>
  <c r="AY2" i="43" a="1"/>
  <c r="AY2" i="43" s="1"/>
  <c r="B20" i="51" s="1"/>
  <c r="AA17" i="43" a="1"/>
  <c r="AA17" i="43" s="1"/>
  <c r="B196" i="51" s="1"/>
  <c r="AY10" i="43" a="1"/>
  <c r="AY10" i="43" s="1"/>
  <c r="B116" i="51" s="1"/>
  <c r="BK6" i="43" a="1"/>
  <c r="BK6" i="43" s="1"/>
  <c r="B70" i="51" s="1"/>
  <c r="BK5" i="43" a="1"/>
  <c r="BK5" i="43" s="1"/>
  <c r="B58" i="51" s="1"/>
  <c r="U18" i="43" a="1"/>
  <c r="U18" i="43" s="1"/>
  <c r="B207" i="51" s="1"/>
  <c r="AS9" i="43" a="1"/>
  <c r="AS9" i="43" s="1"/>
  <c r="B103" i="51" s="1"/>
  <c r="BE5" i="43" a="1"/>
  <c r="BE5" i="43" s="1"/>
  <c r="B57" i="51" s="1"/>
  <c r="I21" i="43" a="1"/>
  <c r="I21" i="43" s="1"/>
  <c r="B241" i="51" s="1"/>
  <c r="AM21" i="43" a="1"/>
  <c r="AM21" i="43" s="1"/>
  <c r="B246" i="51" s="1"/>
  <c r="AS17" i="43" a="1"/>
  <c r="AS17" i="43" s="1"/>
  <c r="B199" i="51" s="1"/>
  <c r="AG19" i="43" a="1"/>
  <c r="AG19" i="43" s="1"/>
  <c r="B221" i="51" s="1"/>
  <c r="AG16" i="43" a="1"/>
  <c r="AG16" i="43" s="1"/>
  <c r="B185" i="51" s="1"/>
  <c r="AM3" i="43" a="1"/>
  <c r="AM3" i="43" s="1"/>
  <c r="B30" i="51" s="1"/>
  <c r="AA9" i="43" a="1"/>
  <c r="AA9" i="43" s="1"/>
  <c r="B100" i="51" s="1"/>
  <c r="AG17" i="43" a="1"/>
  <c r="AG17" i="43" s="1"/>
  <c r="B197" i="51" s="1"/>
  <c r="AG3" i="43" a="1"/>
  <c r="AG3" i="43" s="1"/>
  <c r="B29" i="51" s="1"/>
  <c r="BK7" i="43" a="1"/>
  <c r="BK7" i="43" s="1"/>
  <c r="B82" i="51" s="1"/>
  <c r="BE21" i="43" a="1"/>
  <c r="BE21" i="43" s="1"/>
  <c r="B249" i="51" s="1"/>
  <c r="AG6" i="43" a="1"/>
  <c r="AG6" i="43" s="1"/>
  <c r="B65" i="51" s="1"/>
  <c r="AS5" i="43" a="1"/>
  <c r="AS5" i="43" s="1"/>
  <c r="B55" i="51" s="1"/>
  <c r="AY21" i="43" a="1"/>
  <c r="AY21" i="43" s="1"/>
  <c r="B248" i="51" s="1"/>
  <c r="AA16" i="43" a="1"/>
  <c r="AA16" i="43" s="1"/>
  <c r="B184" i="51" s="1"/>
  <c r="D17" i="43"/>
  <c r="B192" i="51" s="1"/>
  <c r="D21" i="43"/>
  <c r="B240" i="51" s="1"/>
  <c r="D18" i="43"/>
  <c r="B204" i="51" s="1"/>
  <c r="D5" i="43"/>
  <c r="B48" i="51" s="1"/>
  <c r="D16" i="43"/>
  <c r="B180" i="51" s="1"/>
  <c r="D7" i="43"/>
  <c r="B72" i="51" s="1"/>
  <c r="D11" i="43"/>
  <c r="B120" i="51" s="1"/>
  <c r="D14" i="43"/>
  <c r="B156" i="51" s="1"/>
  <c r="D15" i="43"/>
  <c r="B168" i="51" s="1"/>
  <c r="D8" i="43"/>
  <c r="B84" i="51" s="1"/>
  <c r="D4" i="43"/>
  <c r="B36" i="51" s="1"/>
  <c r="D3" i="43"/>
  <c r="B24" i="51" s="1"/>
  <c r="D10" i="43"/>
  <c r="B108" i="51" s="1"/>
  <c r="D9" i="43"/>
  <c r="B96" i="51" s="1"/>
  <c r="D12" i="43"/>
  <c r="B132" i="51" s="1"/>
  <c r="D19" i="43"/>
  <c r="B216" i="51" s="1"/>
  <c r="D22" i="43"/>
  <c r="B252" i="51" s="1"/>
  <c r="D6" i="43"/>
  <c r="B60" i="51" s="1"/>
  <c r="D20" i="43"/>
  <c r="B228" i="51" s="1"/>
  <c r="D13" i="43"/>
  <c r="B144" i="51" s="1"/>
  <c r="H15" i="43"/>
  <c r="J15" i="43" a="1"/>
  <c r="J15" i="43" s="1"/>
  <c r="H12" i="43"/>
  <c r="J12" i="43" a="1"/>
  <c r="J12" i="43" s="1"/>
  <c r="H20" i="43"/>
  <c r="J20" i="43" a="1"/>
  <c r="J20" i="43" s="1"/>
  <c r="H18" i="43"/>
  <c r="J18" i="43" a="1"/>
  <c r="J18" i="43" s="1"/>
  <c r="H9" i="43"/>
  <c r="J9" i="43" a="1"/>
  <c r="J9" i="43" s="1"/>
  <c r="H16" i="43"/>
  <c r="J16" i="43" a="1"/>
  <c r="J16" i="43" s="1"/>
  <c r="H13" i="43"/>
  <c r="J13" i="43" a="1"/>
  <c r="J13" i="43" s="1"/>
  <c r="H7" i="43"/>
  <c r="J7" i="43" a="1"/>
  <c r="J7" i="43" s="1"/>
  <c r="H4" i="43"/>
  <c r="J4" i="43" a="1"/>
  <c r="J4" i="43" s="1"/>
  <c r="H8" i="43"/>
  <c r="J8" i="43" a="1"/>
  <c r="J8" i="43" s="1"/>
  <c r="H17" i="43"/>
  <c r="J17" i="43" a="1"/>
  <c r="J17" i="43" s="1"/>
  <c r="H19" i="43"/>
  <c r="J19" i="43" a="1"/>
  <c r="J19" i="43" s="1"/>
  <c r="H6" i="43"/>
  <c r="J6" i="43" a="1"/>
  <c r="J6" i="43" s="1"/>
  <c r="H21" i="43"/>
  <c r="J21" i="43" a="1"/>
  <c r="J21" i="43" s="1"/>
  <c r="G40" i="15"/>
  <c r="G39" i="15"/>
  <c r="G38" i="15"/>
  <c r="G37" i="15"/>
  <c r="G27" i="15"/>
  <c r="G26" i="15"/>
  <c r="G25" i="15"/>
  <c r="G24" i="15"/>
  <c r="J60" i="51" l="1"/>
  <c r="J192" i="51"/>
  <c r="J36" i="51"/>
  <c r="J144" i="51"/>
  <c r="J96" i="51"/>
  <c r="J228" i="51"/>
  <c r="J168" i="51"/>
  <c r="J156" i="51"/>
  <c r="J24" i="51"/>
  <c r="J48" i="51"/>
  <c r="J120" i="51"/>
  <c r="J240" i="51"/>
  <c r="J216" i="51"/>
  <c r="J84" i="51"/>
  <c r="J72" i="51"/>
  <c r="J180" i="51"/>
  <c r="J204" i="51"/>
  <c r="J132" i="51"/>
  <c r="J12" i="51"/>
  <c r="J108" i="51"/>
  <c r="J252" i="51"/>
  <c r="F65" i="51"/>
  <c r="E65" i="51"/>
  <c r="D65" i="51"/>
  <c r="G65" i="51"/>
  <c r="C65" i="51"/>
  <c r="G57" i="51"/>
  <c r="C57" i="51"/>
  <c r="F57" i="51"/>
  <c r="E57" i="51"/>
  <c r="D57" i="51"/>
  <c r="E99" i="51"/>
  <c r="D99" i="51"/>
  <c r="G99" i="51"/>
  <c r="C99" i="51"/>
  <c r="F99" i="51"/>
  <c r="G97" i="51"/>
  <c r="C97" i="51"/>
  <c r="F97" i="51"/>
  <c r="E97" i="51"/>
  <c r="D97" i="51"/>
  <c r="D26" i="51"/>
  <c r="G26" i="51"/>
  <c r="C26" i="51"/>
  <c r="F26" i="51"/>
  <c r="E26" i="51"/>
  <c r="G166" i="51"/>
  <c r="C166" i="51"/>
  <c r="F166" i="51"/>
  <c r="E166" i="51"/>
  <c r="D166" i="51"/>
  <c r="E21" i="51"/>
  <c r="D21" i="51"/>
  <c r="G21" i="51"/>
  <c r="C21" i="51"/>
  <c r="F21" i="51"/>
  <c r="G217" i="51"/>
  <c r="E217" i="51"/>
  <c r="D217" i="51"/>
  <c r="C217" i="51"/>
  <c r="F217" i="51"/>
  <c r="G142" i="51"/>
  <c r="C142" i="51"/>
  <c r="F142" i="51"/>
  <c r="E142" i="51"/>
  <c r="D142" i="51"/>
  <c r="F148" i="51"/>
  <c r="E148" i="51"/>
  <c r="D148" i="51"/>
  <c r="G148" i="51"/>
  <c r="C148" i="51"/>
  <c r="F91" i="51"/>
  <c r="E91" i="51"/>
  <c r="D91" i="51"/>
  <c r="G91" i="51"/>
  <c r="C91" i="51"/>
  <c r="G173" i="51"/>
  <c r="C173" i="51"/>
  <c r="F173" i="51"/>
  <c r="E173" i="51"/>
  <c r="D173" i="51"/>
  <c r="F109" i="51"/>
  <c r="E109" i="51"/>
  <c r="D109" i="51"/>
  <c r="G109" i="51"/>
  <c r="C109" i="51"/>
  <c r="F50" i="51"/>
  <c r="E50" i="51"/>
  <c r="D50" i="51"/>
  <c r="G50" i="51"/>
  <c r="C50" i="51"/>
  <c r="D157" i="51"/>
  <c r="G157" i="51"/>
  <c r="C157" i="51"/>
  <c r="F157" i="51"/>
  <c r="E157" i="51"/>
  <c r="F228" i="51"/>
  <c r="I228" i="51"/>
  <c r="E228" i="51"/>
  <c r="D228" i="51"/>
  <c r="G228" i="51"/>
  <c r="C228" i="51"/>
  <c r="F132" i="51"/>
  <c r="I132" i="51"/>
  <c r="E132" i="51"/>
  <c r="D132" i="51"/>
  <c r="G132" i="51"/>
  <c r="C132" i="51"/>
  <c r="F36" i="51"/>
  <c r="I36" i="51"/>
  <c r="E36" i="51"/>
  <c r="D36" i="51"/>
  <c r="G36" i="51"/>
  <c r="C36" i="51"/>
  <c r="G120" i="51"/>
  <c r="C120" i="51"/>
  <c r="F120" i="51"/>
  <c r="I120" i="51"/>
  <c r="E120" i="51"/>
  <c r="D120" i="51"/>
  <c r="D204" i="51"/>
  <c r="G204" i="51"/>
  <c r="C204" i="51"/>
  <c r="F204" i="51"/>
  <c r="I204" i="51"/>
  <c r="E204" i="51"/>
  <c r="D248" i="51"/>
  <c r="G248" i="51"/>
  <c r="C248" i="51"/>
  <c r="F248" i="51"/>
  <c r="E248" i="51"/>
  <c r="D82" i="51"/>
  <c r="G82" i="51"/>
  <c r="C82" i="51"/>
  <c r="F82" i="51"/>
  <c r="E82" i="51"/>
  <c r="F246" i="51"/>
  <c r="E246" i="51"/>
  <c r="D246" i="51"/>
  <c r="C246" i="51"/>
  <c r="G246" i="51"/>
  <c r="G64" i="51"/>
  <c r="C64" i="51"/>
  <c r="F64" i="51"/>
  <c r="E64" i="51"/>
  <c r="D64" i="51"/>
  <c r="F43" i="51"/>
  <c r="E43" i="51"/>
  <c r="D43" i="51"/>
  <c r="C43" i="51"/>
  <c r="G43" i="51"/>
  <c r="D60" i="51"/>
  <c r="G60" i="51"/>
  <c r="C60" i="51"/>
  <c r="F60" i="51"/>
  <c r="I60" i="51"/>
  <c r="E60" i="51"/>
  <c r="I96" i="51"/>
  <c r="E96" i="51"/>
  <c r="D96" i="51"/>
  <c r="G96" i="51"/>
  <c r="C96" i="51"/>
  <c r="F96" i="51"/>
  <c r="F84" i="51"/>
  <c r="I84" i="51"/>
  <c r="E84" i="51"/>
  <c r="D84" i="51"/>
  <c r="G84" i="51"/>
  <c r="C84" i="51"/>
  <c r="G72" i="51"/>
  <c r="C72" i="51"/>
  <c r="I72" i="51"/>
  <c r="E72" i="51"/>
  <c r="F72" i="51"/>
  <c r="D72" i="51"/>
  <c r="I240" i="51"/>
  <c r="E240" i="51"/>
  <c r="D240" i="51"/>
  <c r="G240" i="51"/>
  <c r="C240" i="51"/>
  <c r="F240" i="51"/>
  <c r="E55" i="51"/>
  <c r="D55" i="51"/>
  <c r="G55" i="51"/>
  <c r="C55" i="51"/>
  <c r="F55" i="51"/>
  <c r="E29" i="51"/>
  <c r="D29" i="51"/>
  <c r="G29" i="51"/>
  <c r="C29" i="51"/>
  <c r="F29" i="51"/>
  <c r="D185" i="51"/>
  <c r="F185" i="51"/>
  <c r="E185" i="51"/>
  <c r="C185" i="51"/>
  <c r="G185" i="51"/>
  <c r="G241" i="51"/>
  <c r="C241" i="51"/>
  <c r="F241" i="51"/>
  <c r="E241" i="51"/>
  <c r="D241" i="51"/>
  <c r="F58" i="51"/>
  <c r="E58" i="51"/>
  <c r="D58" i="51"/>
  <c r="G58" i="51"/>
  <c r="C58" i="51"/>
  <c r="F20" i="51"/>
  <c r="E20" i="51"/>
  <c r="D20" i="51"/>
  <c r="C20" i="51"/>
  <c r="G20" i="51"/>
  <c r="E214" i="51"/>
  <c r="D214" i="51"/>
  <c r="G214" i="51"/>
  <c r="C214" i="51"/>
  <c r="F214" i="51"/>
  <c r="D126" i="51"/>
  <c r="G126" i="51"/>
  <c r="C126" i="51"/>
  <c r="F126" i="51"/>
  <c r="E126" i="51"/>
  <c r="D111" i="51"/>
  <c r="G111" i="51"/>
  <c r="C111" i="51"/>
  <c r="F111" i="51"/>
  <c r="E111" i="51"/>
  <c r="G46" i="51"/>
  <c r="C46" i="51"/>
  <c r="F46" i="51"/>
  <c r="E46" i="51"/>
  <c r="D46" i="51"/>
  <c r="F102" i="51"/>
  <c r="E102" i="51"/>
  <c r="D102" i="51"/>
  <c r="G102" i="51"/>
  <c r="C102" i="51"/>
  <c r="E136" i="51"/>
  <c r="D136" i="51"/>
  <c r="G136" i="51"/>
  <c r="C136" i="51"/>
  <c r="F136" i="51"/>
  <c r="G158" i="51"/>
  <c r="C158" i="51"/>
  <c r="F158" i="51"/>
  <c r="E158" i="51"/>
  <c r="D158" i="51"/>
  <c r="F28" i="51"/>
  <c r="E28" i="51"/>
  <c r="D28" i="51"/>
  <c r="C28" i="51"/>
  <c r="G28" i="51"/>
  <c r="E25" i="51"/>
  <c r="D25" i="51"/>
  <c r="G25" i="51"/>
  <c r="C25" i="51"/>
  <c r="F25" i="51"/>
  <c r="E88" i="51"/>
  <c r="D88" i="51"/>
  <c r="G88" i="51"/>
  <c r="C88" i="51"/>
  <c r="F88" i="51"/>
  <c r="F39" i="51"/>
  <c r="E39" i="51"/>
  <c r="D39" i="51"/>
  <c r="G39" i="51"/>
  <c r="C39" i="51"/>
  <c r="G138" i="51"/>
  <c r="C138" i="51"/>
  <c r="F138" i="51"/>
  <c r="E138" i="51"/>
  <c r="D138" i="51"/>
  <c r="G31" i="51"/>
  <c r="C31" i="51"/>
  <c r="F31" i="51"/>
  <c r="E31" i="51"/>
  <c r="D31" i="51"/>
  <c r="D233" i="51"/>
  <c r="G233" i="51"/>
  <c r="C233" i="51"/>
  <c r="F233" i="51"/>
  <c r="E233" i="51"/>
  <c r="F174" i="51"/>
  <c r="E174" i="51"/>
  <c r="D174" i="51"/>
  <c r="G174" i="51"/>
  <c r="C174" i="51"/>
  <c r="D104" i="51"/>
  <c r="G104" i="51"/>
  <c r="C104" i="51"/>
  <c r="F104" i="51"/>
  <c r="E104" i="51"/>
  <c r="F69" i="51"/>
  <c r="D69" i="51"/>
  <c r="E69" i="51"/>
  <c r="C69" i="51"/>
  <c r="G69" i="51"/>
  <c r="D146" i="51"/>
  <c r="G146" i="51"/>
  <c r="F146" i="51"/>
  <c r="E146" i="51"/>
  <c r="C146" i="51"/>
  <c r="D176" i="51"/>
  <c r="G176" i="51"/>
  <c r="C176" i="51"/>
  <c r="F176" i="51"/>
  <c r="E176" i="51"/>
  <c r="G223" i="51"/>
  <c r="C223" i="51"/>
  <c r="F223" i="51"/>
  <c r="E223" i="51"/>
  <c r="D223" i="51"/>
  <c r="G230" i="51"/>
  <c r="C230" i="51"/>
  <c r="F230" i="51"/>
  <c r="E230" i="51"/>
  <c r="D230" i="51"/>
  <c r="F194" i="51"/>
  <c r="E194" i="51"/>
  <c r="D194" i="51"/>
  <c r="G194" i="51"/>
  <c r="C194" i="51"/>
  <c r="E110" i="51"/>
  <c r="D110" i="51"/>
  <c r="G110" i="51"/>
  <c r="C110" i="51"/>
  <c r="F110" i="51"/>
  <c r="E118" i="51"/>
  <c r="D118" i="51"/>
  <c r="G118" i="51"/>
  <c r="C118" i="51"/>
  <c r="F118" i="51"/>
  <c r="E171" i="51"/>
  <c r="D171" i="51"/>
  <c r="G171" i="51"/>
  <c r="C171" i="51"/>
  <c r="F171" i="51"/>
  <c r="E254" i="51"/>
  <c r="D254" i="51"/>
  <c r="G254" i="51"/>
  <c r="C254" i="51"/>
  <c r="F254" i="51"/>
  <c r="D130" i="51"/>
  <c r="G130" i="51"/>
  <c r="C130" i="51"/>
  <c r="F130" i="51"/>
  <c r="E130" i="51"/>
  <c r="G260" i="51"/>
  <c r="C260" i="51"/>
  <c r="F260" i="51"/>
  <c r="E260" i="51"/>
  <c r="D260" i="51"/>
  <c r="E129" i="51"/>
  <c r="D129" i="51"/>
  <c r="G129" i="51"/>
  <c r="C129" i="51"/>
  <c r="F129" i="51"/>
  <c r="E232" i="51"/>
  <c r="D232" i="51"/>
  <c r="G232" i="51"/>
  <c r="C232" i="51"/>
  <c r="F232" i="51"/>
  <c r="F205" i="51"/>
  <c r="E205" i="51"/>
  <c r="D205" i="51"/>
  <c r="G205" i="51"/>
  <c r="C205" i="51"/>
  <c r="D165" i="51"/>
  <c r="G165" i="51"/>
  <c r="C165" i="51"/>
  <c r="F165" i="51"/>
  <c r="E165" i="51"/>
  <c r="F113" i="51"/>
  <c r="E113" i="51"/>
  <c r="D113" i="51"/>
  <c r="G113" i="51"/>
  <c r="C113" i="51"/>
  <c r="F98" i="51"/>
  <c r="E98" i="51"/>
  <c r="D98" i="51"/>
  <c r="G98" i="51"/>
  <c r="C98" i="51"/>
  <c r="G112" i="51"/>
  <c r="C112" i="51"/>
  <c r="F112" i="51"/>
  <c r="E112" i="51"/>
  <c r="D112" i="51"/>
  <c r="E182" i="51"/>
  <c r="D182" i="51"/>
  <c r="G182" i="51"/>
  <c r="C182" i="51"/>
  <c r="F182" i="51"/>
  <c r="E258" i="51"/>
  <c r="D258" i="51"/>
  <c r="G258" i="51"/>
  <c r="C258" i="51"/>
  <c r="F258" i="51"/>
  <c r="G53" i="51"/>
  <c r="C53" i="51"/>
  <c r="F53" i="51"/>
  <c r="E53" i="51"/>
  <c r="D53" i="51"/>
  <c r="F76" i="51"/>
  <c r="E76" i="51"/>
  <c r="D76" i="51"/>
  <c r="C76" i="51"/>
  <c r="G76" i="51"/>
  <c r="G94" i="51"/>
  <c r="C94" i="51"/>
  <c r="F94" i="51"/>
  <c r="E94" i="51"/>
  <c r="D94" i="51"/>
  <c r="G134" i="51"/>
  <c r="C134" i="51"/>
  <c r="F134" i="51"/>
  <c r="E134" i="51"/>
  <c r="D134" i="51"/>
  <c r="E206" i="51"/>
  <c r="D206" i="51"/>
  <c r="G206" i="51"/>
  <c r="C206" i="51"/>
  <c r="F206" i="51"/>
  <c r="F106" i="51"/>
  <c r="E106" i="51"/>
  <c r="D106" i="51"/>
  <c r="G106" i="51"/>
  <c r="C106" i="51"/>
  <c r="E210" i="51"/>
  <c r="D210" i="51"/>
  <c r="G210" i="51"/>
  <c r="C210" i="51"/>
  <c r="F210" i="51"/>
  <c r="F124" i="51"/>
  <c r="E124" i="51"/>
  <c r="D124" i="51"/>
  <c r="C124" i="51"/>
  <c r="G124" i="51"/>
  <c r="F80" i="51"/>
  <c r="E80" i="51"/>
  <c r="D80" i="51"/>
  <c r="C80" i="51"/>
  <c r="G80" i="51"/>
  <c r="D252" i="51"/>
  <c r="G252" i="51"/>
  <c r="C252" i="51"/>
  <c r="F252" i="51"/>
  <c r="E252" i="51"/>
  <c r="I252" i="51"/>
  <c r="I168" i="51"/>
  <c r="E168" i="51"/>
  <c r="D168" i="51"/>
  <c r="G168" i="51"/>
  <c r="C168" i="51"/>
  <c r="F168" i="51"/>
  <c r="E221" i="51"/>
  <c r="D221" i="51"/>
  <c r="G221" i="51"/>
  <c r="C221" i="51"/>
  <c r="F221" i="51"/>
  <c r="D85" i="51"/>
  <c r="G85" i="51"/>
  <c r="C85" i="51"/>
  <c r="F85" i="51"/>
  <c r="E85" i="51"/>
  <c r="G208" i="51"/>
  <c r="C208" i="51"/>
  <c r="F208" i="51"/>
  <c r="E208" i="51"/>
  <c r="D208" i="51"/>
  <c r="G147" i="51"/>
  <c r="C147" i="51"/>
  <c r="F147" i="51"/>
  <c r="E147" i="51"/>
  <c r="D147" i="51"/>
  <c r="F32" i="51"/>
  <c r="E32" i="51"/>
  <c r="D32" i="51"/>
  <c r="G32" i="51"/>
  <c r="C32" i="51"/>
  <c r="G86" i="51"/>
  <c r="C86" i="51"/>
  <c r="F86" i="51"/>
  <c r="E86" i="51"/>
  <c r="D86" i="51"/>
  <c r="E262" i="51"/>
  <c r="D262" i="51"/>
  <c r="G262" i="51"/>
  <c r="C262" i="51"/>
  <c r="F262" i="51"/>
  <c r="F202" i="51"/>
  <c r="E202" i="51"/>
  <c r="D202" i="51"/>
  <c r="G202" i="51"/>
  <c r="C202" i="51"/>
  <c r="D141" i="51"/>
  <c r="G141" i="51"/>
  <c r="C141" i="51"/>
  <c r="F141" i="51"/>
  <c r="E141" i="51"/>
  <c r="D211" i="51"/>
  <c r="G211" i="51"/>
  <c r="C211" i="51"/>
  <c r="F211" i="51"/>
  <c r="E211" i="51"/>
  <c r="F170" i="51"/>
  <c r="E170" i="51"/>
  <c r="D170" i="51"/>
  <c r="G170" i="51"/>
  <c r="C170" i="51"/>
  <c r="G234" i="51"/>
  <c r="C234" i="51"/>
  <c r="F234" i="51"/>
  <c r="E234" i="51"/>
  <c r="D234" i="51"/>
  <c r="D37" i="51"/>
  <c r="G37" i="51"/>
  <c r="C37" i="51"/>
  <c r="F37" i="51"/>
  <c r="E37" i="51"/>
  <c r="E40" i="51"/>
  <c r="D40" i="51"/>
  <c r="G40" i="51"/>
  <c r="C40" i="51"/>
  <c r="F40" i="51"/>
  <c r="D154" i="51"/>
  <c r="G154" i="51"/>
  <c r="C154" i="51"/>
  <c r="F154" i="51"/>
  <c r="E154" i="51"/>
  <c r="D89" i="51"/>
  <c r="G89" i="51"/>
  <c r="C89" i="51"/>
  <c r="F89" i="51"/>
  <c r="E89" i="51"/>
  <c r="F220" i="51"/>
  <c r="E220" i="51"/>
  <c r="D220" i="51"/>
  <c r="G220" i="51"/>
  <c r="C220" i="51"/>
  <c r="G79" i="51"/>
  <c r="C79" i="51"/>
  <c r="F79" i="51"/>
  <c r="E79" i="51"/>
  <c r="D79" i="51"/>
  <c r="D226" i="51"/>
  <c r="G226" i="51"/>
  <c r="C226" i="51"/>
  <c r="F226" i="51"/>
  <c r="E226" i="51"/>
  <c r="D161" i="51"/>
  <c r="G161" i="51"/>
  <c r="C161" i="51"/>
  <c r="F161" i="51"/>
  <c r="E161" i="51"/>
  <c r="G212" i="51"/>
  <c r="C212" i="51"/>
  <c r="F212" i="51"/>
  <c r="E212" i="51"/>
  <c r="D212" i="51"/>
  <c r="E114" i="51"/>
  <c r="D114" i="51"/>
  <c r="G114" i="51"/>
  <c r="C114" i="51"/>
  <c r="F114" i="51"/>
  <c r="D52" i="51"/>
  <c r="G52" i="51"/>
  <c r="C52" i="51"/>
  <c r="F52" i="51"/>
  <c r="E52" i="51"/>
  <c r="I144" i="51"/>
  <c r="E144" i="51"/>
  <c r="D144" i="51"/>
  <c r="G144" i="51"/>
  <c r="C144" i="51"/>
  <c r="F144" i="51"/>
  <c r="G216" i="51"/>
  <c r="C216" i="51"/>
  <c r="F216" i="51"/>
  <c r="I216" i="51"/>
  <c r="E216" i="51"/>
  <c r="D216" i="51"/>
  <c r="G24" i="51"/>
  <c r="C24" i="51"/>
  <c r="F24" i="51"/>
  <c r="I24" i="51"/>
  <c r="E24" i="51"/>
  <c r="D24" i="51"/>
  <c r="F156" i="51"/>
  <c r="I156" i="51"/>
  <c r="E156" i="51"/>
  <c r="D156" i="51"/>
  <c r="C156" i="51"/>
  <c r="G156" i="51"/>
  <c r="I48" i="51"/>
  <c r="E48" i="51"/>
  <c r="D48" i="51"/>
  <c r="G48" i="51"/>
  <c r="C48" i="51"/>
  <c r="F48" i="51"/>
  <c r="E184" i="51"/>
  <c r="G184" i="51"/>
  <c r="C184" i="51"/>
  <c r="F184" i="51"/>
  <c r="D184" i="51"/>
  <c r="G249" i="51"/>
  <c r="C249" i="51"/>
  <c r="F249" i="51"/>
  <c r="E249" i="51"/>
  <c r="D249" i="51"/>
  <c r="D100" i="51"/>
  <c r="G100" i="51"/>
  <c r="C100" i="51"/>
  <c r="F100" i="51"/>
  <c r="E100" i="51"/>
  <c r="E199" i="51"/>
  <c r="D199" i="51"/>
  <c r="G199" i="51"/>
  <c r="C199" i="51"/>
  <c r="F199" i="51"/>
  <c r="E103" i="51"/>
  <c r="D103" i="51"/>
  <c r="G103" i="51"/>
  <c r="C103" i="51"/>
  <c r="F103" i="51"/>
  <c r="G116" i="51"/>
  <c r="C116" i="51"/>
  <c r="F116" i="51"/>
  <c r="E116" i="51"/>
  <c r="D116" i="51"/>
  <c r="D222" i="51"/>
  <c r="G222" i="51"/>
  <c r="C222" i="51"/>
  <c r="F222" i="51"/>
  <c r="E222" i="51"/>
  <c r="D18" i="51"/>
  <c r="G18" i="51"/>
  <c r="C18" i="51"/>
  <c r="F18" i="51"/>
  <c r="E18" i="51"/>
  <c r="F187" i="51"/>
  <c r="E187" i="51"/>
  <c r="D187" i="51"/>
  <c r="C187" i="51"/>
  <c r="G187" i="51"/>
  <c r="F159" i="51"/>
  <c r="E159" i="51"/>
  <c r="D159" i="51"/>
  <c r="G159" i="51"/>
  <c r="C159" i="51"/>
  <c r="D150" i="51"/>
  <c r="G150" i="51"/>
  <c r="C150" i="51"/>
  <c r="F150" i="51"/>
  <c r="E150" i="51"/>
  <c r="D137" i="51"/>
  <c r="G137" i="51"/>
  <c r="C137" i="51"/>
  <c r="F137" i="51"/>
  <c r="E137" i="51"/>
  <c r="E92" i="51"/>
  <c r="D92" i="51"/>
  <c r="G92" i="51"/>
  <c r="C92" i="51"/>
  <c r="F92" i="51"/>
  <c r="F253" i="51"/>
  <c r="E253" i="51"/>
  <c r="D253" i="51"/>
  <c r="C253" i="51"/>
  <c r="G253" i="51"/>
  <c r="G256" i="51"/>
  <c r="C256" i="51"/>
  <c r="F256" i="51"/>
  <c r="E256" i="51"/>
  <c r="D256" i="51"/>
  <c r="G75" i="51"/>
  <c r="C75" i="51"/>
  <c r="F75" i="51"/>
  <c r="E75" i="51"/>
  <c r="D75" i="51"/>
  <c r="G219" i="51"/>
  <c r="C219" i="51"/>
  <c r="F219" i="51"/>
  <c r="E219" i="51"/>
  <c r="D219" i="51"/>
  <c r="G68" i="51"/>
  <c r="C68" i="51"/>
  <c r="D68" i="51"/>
  <c r="F68" i="51"/>
  <c r="E68" i="51"/>
  <c r="G105" i="51"/>
  <c r="C105" i="51"/>
  <c r="F105" i="51"/>
  <c r="E105" i="51"/>
  <c r="D105" i="51"/>
  <c r="E13" i="51"/>
  <c r="D13" i="51"/>
  <c r="G13" i="51"/>
  <c r="C13" i="51"/>
  <c r="F13" i="51"/>
  <c r="E125" i="51"/>
  <c r="D125" i="51"/>
  <c r="G125" i="51"/>
  <c r="C125" i="51"/>
  <c r="F125" i="51"/>
  <c r="E149" i="51"/>
  <c r="D149" i="51"/>
  <c r="G149" i="51"/>
  <c r="C149" i="51"/>
  <c r="F149" i="51"/>
  <c r="E140" i="51"/>
  <c r="D140" i="51"/>
  <c r="G140" i="51"/>
  <c r="C140" i="51"/>
  <c r="F140" i="51"/>
  <c r="E44" i="51"/>
  <c r="D44" i="51"/>
  <c r="G44" i="51"/>
  <c r="C44" i="51"/>
  <c r="F44" i="51"/>
  <c r="F198" i="51"/>
  <c r="E198" i="51"/>
  <c r="D198" i="51"/>
  <c r="G198" i="51"/>
  <c r="C198" i="51"/>
  <c r="E247" i="51"/>
  <c r="D247" i="51"/>
  <c r="G247" i="51"/>
  <c r="C247" i="51"/>
  <c r="F247" i="51"/>
  <c r="F224" i="51"/>
  <c r="E224" i="51"/>
  <c r="D224" i="51"/>
  <c r="G224" i="51"/>
  <c r="C224" i="51"/>
  <c r="D244" i="51"/>
  <c r="G244" i="51"/>
  <c r="C244" i="51"/>
  <c r="F244" i="51"/>
  <c r="E244" i="51"/>
  <c r="F213" i="51"/>
  <c r="E213" i="51"/>
  <c r="D213" i="51"/>
  <c r="G213" i="51"/>
  <c r="C213" i="51"/>
  <c r="F181" i="51"/>
  <c r="E181" i="51"/>
  <c r="D181" i="51"/>
  <c r="G181" i="51"/>
  <c r="C181" i="51"/>
  <c r="E153" i="51"/>
  <c r="D153" i="51"/>
  <c r="G153" i="51"/>
  <c r="C153" i="51"/>
  <c r="F153" i="51"/>
  <c r="G186" i="51"/>
  <c r="C186" i="51"/>
  <c r="F186" i="51"/>
  <c r="E186" i="51"/>
  <c r="D186" i="51"/>
  <c r="D200" i="51"/>
  <c r="G200" i="51"/>
  <c r="C200" i="51"/>
  <c r="F200" i="51"/>
  <c r="E200" i="51"/>
  <c r="G190" i="51"/>
  <c r="C190" i="51"/>
  <c r="F190" i="51"/>
  <c r="E190" i="51"/>
  <c r="D190" i="51"/>
  <c r="D67" i="51"/>
  <c r="G67" i="51"/>
  <c r="C67" i="51"/>
  <c r="E67" i="51"/>
  <c r="F67" i="51"/>
  <c r="D56" i="51"/>
  <c r="G56" i="51"/>
  <c r="C56" i="51"/>
  <c r="F56" i="51"/>
  <c r="E56" i="51"/>
  <c r="G201" i="51"/>
  <c r="C201" i="51"/>
  <c r="F201" i="51"/>
  <c r="E201" i="51"/>
  <c r="D201" i="51"/>
  <c r="D183" i="51"/>
  <c r="G183" i="51"/>
  <c r="C183" i="51"/>
  <c r="F183" i="51"/>
  <c r="E183" i="51"/>
  <c r="D22" i="51"/>
  <c r="G22" i="51"/>
  <c r="C22" i="51"/>
  <c r="F22" i="51"/>
  <c r="E22" i="51"/>
  <c r="F54" i="51"/>
  <c r="E54" i="51"/>
  <c r="D54" i="51"/>
  <c r="G54" i="51"/>
  <c r="C54" i="51"/>
  <c r="D34" i="51"/>
  <c r="G34" i="51"/>
  <c r="C34" i="51"/>
  <c r="F34" i="51"/>
  <c r="E34" i="51"/>
  <c r="F117" i="51"/>
  <c r="E117" i="51"/>
  <c r="D117" i="51"/>
  <c r="G117" i="51"/>
  <c r="C117" i="51"/>
  <c r="D133" i="51"/>
  <c r="G133" i="51"/>
  <c r="C133" i="51"/>
  <c r="F133" i="51"/>
  <c r="E133" i="51"/>
  <c r="E160" i="51"/>
  <c r="D160" i="51"/>
  <c r="G160" i="51"/>
  <c r="C160" i="51"/>
  <c r="F160" i="51"/>
  <c r="E51" i="51"/>
  <c r="D51" i="51"/>
  <c r="G51" i="51"/>
  <c r="C51" i="51"/>
  <c r="F51" i="51"/>
  <c r="G169" i="51"/>
  <c r="C169" i="51"/>
  <c r="F169" i="51"/>
  <c r="E169" i="51"/>
  <c r="D169" i="51"/>
  <c r="F242" i="51"/>
  <c r="E242" i="51"/>
  <c r="D242" i="51"/>
  <c r="C242" i="51"/>
  <c r="G242" i="51"/>
  <c r="F128" i="51"/>
  <c r="E128" i="51"/>
  <c r="D128" i="51"/>
  <c r="G128" i="51"/>
  <c r="C128" i="51"/>
  <c r="E77" i="51"/>
  <c r="D77" i="51"/>
  <c r="G77" i="51"/>
  <c r="C77" i="51"/>
  <c r="F77" i="51"/>
  <c r="E17" i="51"/>
  <c r="D17" i="51"/>
  <c r="G17" i="51"/>
  <c r="C17" i="51"/>
  <c r="F17" i="51"/>
  <c r="D255" i="51"/>
  <c r="G255" i="51"/>
  <c r="C255" i="51"/>
  <c r="F255" i="51"/>
  <c r="E255" i="51"/>
  <c r="F163" i="51"/>
  <c r="E163" i="51"/>
  <c r="D163" i="51"/>
  <c r="G163" i="51"/>
  <c r="C163" i="51"/>
  <c r="E243" i="51"/>
  <c r="D243" i="51"/>
  <c r="G243" i="51"/>
  <c r="C243" i="51"/>
  <c r="F243" i="51"/>
  <c r="D108" i="51"/>
  <c r="G108" i="51"/>
  <c r="C108" i="51"/>
  <c r="F108" i="51"/>
  <c r="I108" i="51"/>
  <c r="E108" i="51"/>
  <c r="D180" i="51"/>
  <c r="G180" i="51"/>
  <c r="C180" i="51"/>
  <c r="F180" i="51"/>
  <c r="E180" i="51"/>
  <c r="I180" i="51"/>
  <c r="I192" i="51"/>
  <c r="E192" i="51"/>
  <c r="D192" i="51"/>
  <c r="G192" i="51"/>
  <c r="C192" i="51"/>
  <c r="F192" i="51"/>
  <c r="G197" i="51"/>
  <c r="C197" i="51"/>
  <c r="F197" i="51"/>
  <c r="E197" i="51"/>
  <c r="D197" i="51"/>
  <c r="E70" i="51"/>
  <c r="G70" i="51"/>
  <c r="C70" i="51"/>
  <c r="D70" i="51"/>
  <c r="F70" i="51"/>
  <c r="D41" i="51"/>
  <c r="G41" i="51"/>
  <c r="C41" i="51"/>
  <c r="F41" i="51"/>
  <c r="E41" i="51"/>
  <c r="F152" i="51"/>
  <c r="E152" i="51"/>
  <c r="D152" i="51"/>
  <c r="G152" i="51"/>
  <c r="C152" i="51"/>
  <c r="D115" i="51"/>
  <c r="G115" i="51"/>
  <c r="C115" i="51"/>
  <c r="F115" i="51"/>
  <c r="E115" i="51"/>
  <c r="F139" i="51"/>
  <c r="E139" i="51"/>
  <c r="D139" i="51"/>
  <c r="C139" i="51"/>
  <c r="G139" i="51"/>
  <c r="G42" i="51"/>
  <c r="C42" i="51"/>
  <c r="F42" i="51"/>
  <c r="E42" i="51"/>
  <c r="D42" i="51"/>
  <c r="E33" i="51"/>
  <c r="D33" i="51"/>
  <c r="G33" i="51"/>
  <c r="C33" i="51"/>
  <c r="F33" i="51"/>
  <c r="D93" i="51"/>
  <c r="G93" i="51"/>
  <c r="C93" i="51"/>
  <c r="F93" i="51"/>
  <c r="E93" i="51"/>
  <c r="G193" i="51"/>
  <c r="C193" i="51"/>
  <c r="F193" i="51"/>
  <c r="E193" i="51"/>
  <c r="D193" i="51"/>
  <c r="D218" i="51"/>
  <c r="G218" i="51"/>
  <c r="F218" i="51"/>
  <c r="C218" i="51"/>
  <c r="E218" i="51"/>
  <c r="D172" i="51"/>
  <c r="G172" i="51"/>
  <c r="C172" i="51"/>
  <c r="F172" i="51"/>
  <c r="E172" i="51"/>
  <c r="E62" i="51"/>
  <c r="D62" i="51"/>
  <c r="G62" i="51"/>
  <c r="C62" i="51"/>
  <c r="F62" i="51"/>
  <c r="E164" i="51"/>
  <c r="D164" i="51"/>
  <c r="G164" i="51"/>
  <c r="C164" i="51"/>
  <c r="F164" i="51"/>
  <c r="D30" i="51"/>
  <c r="G30" i="51"/>
  <c r="C30" i="51"/>
  <c r="F30" i="51"/>
  <c r="E30" i="51"/>
  <c r="D207" i="51"/>
  <c r="G207" i="51"/>
  <c r="C207" i="51"/>
  <c r="F207" i="51"/>
  <c r="E207" i="51"/>
  <c r="D196" i="51"/>
  <c r="G196" i="51"/>
  <c r="C196" i="51"/>
  <c r="F196" i="51"/>
  <c r="E196" i="51"/>
  <c r="G177" i="51"/>
  <c r="C177" i="51"/>
  <c r="F177" i="51"/>
  <c r="E177" i="51"/>
  <c r="D177" i="51"/>
  <c r="E121" i="51"/>
  <c r="D121" i="51"/>
  <c r="G121" i="51"/>
  <c r="C121" i="51"/>
  <c r="F121" i="51"/>
  <c r="F257" i="51"/>
  <c r="E257" i="51"/>
  <c r="D257" i="51"/>
  <c r="C257" i="51"/>
  <c r="G257" i="51"/>
  <c r="G238" i="51"/>
  <c r="C238" i="51"/>
  <c r="F238" i="51"/>
  <c r="E238" i="51"/>
  <c r="D238" i="51"/>
  <c r="G123" i="51"/>
  <c r="C123" i="51"/>
  <c r="F123" i="51"/>
  <c r="E123" i="51"/>
  <c r="D123" i="51"/>
  <c r="F231" i="51"/>
  <c r="E231" i="51"/>
  <c r="D231" i="51"/>
  <c r="G231" i="51"/>
  <c r="C231" i="51"/>
  <c r="G19" i="51"/>
  <c r="C19" i="51"/>
  <c r="F19" i="51"/>
  <c r="E19" i="51"/>
  <c r="D19" i="51"/>
  <c r="F135" i="51"/>
  <c r="E135" i="51"/>
  <c r="D135" i="51"/>
  <c r="C135" i="51"/>
  <c r="G135" i="51"/>
  <c r="G49" i="51"/>
  <c r="C49" i="51"/>
  <c r="F49" i="51"/>
  <c r="E49" i="51"/>
  <c r="D49" i="51"/>
  <c r="D229" i="51"/>
  <c r="G229" i="51"/>
  <c r="C229" i="51"/>
  <c r="F229" i="51"/>
  <c r="E229" i="51"/>
  <c r="E175" i="51"/>
  <c r="D175" i="51"/>
  <c r="G175" i="51"/>
  <c r="C175" i="51"/>
  <c r="F175" i="51"/>
  <c r="D122" i="51"/>
  <c r="G122" i="51"/>
  <c r="C122" i="51"/>
  <c r="F122" i="51"/>
  <c r="E122" i="51"/>
  <c r="G162" i="51"/>
  <c r="C162" i="51"/>
  <c r="F162" i="51"/>
  <c r="E162" i="51"/>
  <c r="D162" i="51"/>
  <c r="G38" i="51"/>
  <c r="C38" i="51"/>
  <c r="F38" i="51"/>
  <c r="E38" i="51"/>
  <c r="D38" i="51"/>
  <c r="D63" i="51"/>
  <c r="G63" i="51"/>
  <c r="C63" i="51"/>
  <c r="F63" i="51"/>
  <c r="E63" i="51"/>
  <c r="F261" i="51"/>
  <c r="E261" i="51"/>
  <c r="D261" i="51"/>
  <c r="C261" i="51"/>
  <c r="G261" i="51"/>
  <c r="E236" i="51"/>
  <c r="D236" i="51"/>
  <c r="G236" i="51"/>
  <c r="C236" i="51"/>
  <c r="F236" i="51"/>
  <c r="E195" i="51"/>
  <c r="D195" i="51"/>
  <c r="G195" i="51"/>
  <c r="C195" i="51"/>
  <c r="F195" i="51"/>
  <c r="E81" i="51"/>
  <c r="D81" i="51"/>
  <c r="G81" i="51"/>
  <c r="C81" i="51"/>
  <c r="F81" i="51"/>
  <c r="G15" i="51"/>
  <c r="C15" i="51"/>
  <c r="F15" i="51"/>
  <c r="E15" i="51"/>
  <c r="D15" i="51"/>
  <c r="E73" i="51"/>
  <c r="G73" i="51"/>
  <c r="C73" i="51"/>
  <c r="F73" i="51"/>
  <c r="D73" i="51"/>
  <c r="F16" i="51"/>
  <c r="E16" i="51"/>
  <c r="D16" i="51"/>
  <c r="C16" i="51"/>
  <c r="G16" i="51"/>
  <c r="G151" i="51"/>
  <c r="C151" i="51"/>
  <c r="F151" i="51"/>
  <c r="E151" i="51"/>
  <c r="D151" i="51"/>
  <c r="F235" i="51"/>
  <c r="E235" i="51"/>
  <c r="D235" i="51"/>
  <c r="G235" i="51"/>
  <c r="C235" i="51"/>
  <c r="G145" i="51"/>
  <c r="C145" i="51"/>
  <c r="F145" i="51"/>
  <c r="E145" i="51"/>
  <c r="D145" i="51"/>
  <c r="F178" i="51"/>
  <c r="E178" i="51"/>
  <c r="D178" i="51"/>
  <c r="G178" i="51"/>
  <c r="C178" i="51"/>
  <c r="D78" i="51"/>
  <c r="G78" i="51"/>
  <c r="C78" i="51"/>
  <c r="F78" i="51"/>
  <c r="E78" i="51"/>
  <c r="F209" i="51"/>
  <c r="E209" i="51"/>
  <c r="D209" i="51"/>
  <c r="G209" i="51"/>
  <c r="C209" i="51"/>
  <c r="D14" i="51"/>
  <c r="G14" i="51"/>
  <c r="C14" i="51"/>
  <c r="F14" i="51"/>
  <c r="E14" i="51"/>
  <c r="G127" i="51"/>
  <c r="C127" i="51"/>
  <c r="F127" i="51"/>
  <c r="E127" i="51"/>
  <c r="D127" i="51"/>
  <c r="F250" i="51"/>
  <c r="E250" i="51"/>
  <c r="D250" i="51"/>
  <c r="C250" i="51"/>
  <c r="G250" i="51"/>
  <c r="G90" i="51"/>
  <c r="C90" i="51"/>
  <c r="F90" i="51"/>
  <c r="E90" i="51"/>
  <c r="D90" i="51"/>
  <c r="E225" i="51"/>
  <c r="D225" i="51"/>
  <c r="G225" i="51"/>
  <c r="C225" i="51"/>
  <c r="F225" i="51"/>
  <c r="D189" i="51"/>
  <c r="G189" i="51"/>
  <c r="C189" i="51"/>
  <c r="F189" i="51"/>
  <c r="E189" i="51"/>
  <c r="G27" i="51"/>
  <c r="C27" i="51"/>
  <c r="F27" i="51"/>
  <c r="E27" i="51"/>
  <c r="D27" i="51"/>
  <c r="G101" i="51"/>
  <c r="C101" i="51"/>
  <c r="F101" i="51"/>
  <c r="E101" i="51"/>
  <c r="D101" i="51"/>
  <c r="D74" i="51"/>
  <c r="F74" i="51"/>
  <c r="G74" i="51"/>
  <c r="C74" i="51"/>
  <c r="E74" i="51"/>
  <c r="E66" i="51"/>
  <c r="D66" i="51"/>
  <c r="G66" i="51"/>
  <c r="C66" i="51"/>
  <c r="F66" i="51"/>
  <c r="G245" i="51"/>
  <c r="C245" i="51"/>
  <c r="F245" i="51"/>
  <c r="E245" i="51"/>
  <c r="D245" i="51"/>
  <c r="D45" i="51"/>
  <c r="G45" i="51"/>
  <c r="C45" i="51"/>
  <c r="F45" i="51"/>
  <c r="E45" i="51"/>
  <c r="F61" i="51"/>
  <c r="E61" i="51"/>
  <c r="D61" i="51"/>
  <c r="G61" i="51"/>
  <c r="C61" i="51"/>
  <c r="E188" i="51"/>
  <c r="D188" i="51"/>
  <c r="G188" i="51"/>
  <c r="C188" i="51"/>
  <c r="F188" i="51"/>
  <c r="D237" i="51"/>
  <c r="G237" i="51"/>
  <c r="C237" i="51"/>
  <c r="F237" i="51"/>
  <c r="E237" i="51"/>
  <c r="F87" i="51"/>
  <c r="E87" i="51"/>
  <c r="D87" i="51"/>
  <c r="G87" i="51"/>
  <c r="C87" i="51"/>
  <c r="D259" i="51"/>
  <c r="G259" i="51"/>
  <c r="C259" i="51"/>
  <c r="F259" i="51"/>
  <c r="E259" i="51"/>
  <c r="G12" i="51"/>
  <c r="C12" i="51"/>
  <c r="F12" i="51"/>
  <c r="I12" i="51"/>
  <c r="E12" i="51"/>
  <c r="D12" i="51"/>
  <c r="B60" i="46"/>
  <c r="F60" i="46" s="1"/>
  <c r="B84" i="46"/>
  <c r="F84" i="46" s="1"/>
  <c r="B29" i="46"/>
  <c r="C29" i="46" s="1"/>
  <c r="B126" i="46"/>
  <c r="E126" i="46" s="1"/>
  <c r="B46" i="46"/>
  <c r="E46" i="46" s="1"/>
  <c r="B136" i="46"/>
  <c r="E136" i="46" s="1"/>
  <c r="B28" i="46"/>
  <c r="E28" i="46" s="1"/>
  <c r="B88" i="46"/>
  <c r="D88" i="46" s="1"/>
  <c r="B138" i="46"/>
  <c r="E138" i="46" s="1"/>
  <c r="B233" i="46"/>
  <c r="F233" i="46" s="1"/>
  <c r="B104" i="46"/>
  <c r="C104" i="46" s="1"/>
  <c r="B146" i="46"/>
  <c r="B223" i="46"/>
  <c r="D223" i="46" s="1"/>
  <c r="B194" i="46"/>
  <c r="B118" i="46"/>
  <c r="D118" i="46" s="1"/>
  <c r="B254" i="46"/>
  <c r="E254" i="46" s="1"/>
  <c r="B260" i="46"/>
  <c r="E260" i="46" s="1"/>
  <c r="B232" i="46"/>
  <c r="F232" i="46" s="1"/>
  <c r="B165" i="46"/>
  <c r="E165" i="46" s="1"/>
  <c r="B98" i="46"/>
  <c r="B182" i="46"/>
  <c r="B53" i="46"/>
  <c r="D53" i="46" s="1"/>
  <c r="B94" i="46"/>
  <c r="E94" i="46" s="1"/>
  <c r="B206" i="46"/>
  <c r="B210" i="46"/>
  <c r="E210" i="46" s="1"/>
  <c r="B80" i="46"/>
  <c r="F80" i="46" s="1"/>
  <c r="B168" i="46"/>
  <c r="G168" i="46" s="1"/>
  <c r="B41" i="46"/>
  <c r="B86" i="46"/>
  <c r="B193" i="46"/>
  <c r="F193" i="46" s="1"/>
  <c r="B50" i="46"/>
  <c r="B220" i="46"/>
  <c r="D220" i="46" s="1"/>
  <c r="B212" i="46"/>
  <c r="E212" i="46" s="1"/>
  <c r="B222" i="46"/>
  <c r="E222" i="46" s="1"/>
  <c r="B219" i="46"/>
  <c r="E219" i="46" s="1"/>
  <c r="B198" i="46"/>
  <c r="B67" i="46"/>
  <c r="C67" i="46" s="1"/>
  <c r="B255" i="46"/>
  <c r="C255" i="46" s="1"/>
  <c r="B132" i="46"/>
  <c r="F132" i="46" s="1"/>
  <c r="B57" i="46"/>
  <c r="B26" i="46"/>
  <c r="B262" i="46"/>
  <c r="C262" i="46" s="1"/>
  <c r="B170" i="46"/>
  <c r="B216" i="46"/>
  <c r="F216" i="46" s="1"/>
  <c r="B156" i="46"/>
  <c r="I156" i="46" s="1"/>
  <c r="B187" i="46"/>
  <c r="E187" i="46" s="1"/>
  <c r="B125" i="46"/>
  <c r="C125" i="46" s="1"/>
  <c r="B200" i="46"/>
  <c r="B51" i="46"/>
  <c r="D51" i="46" s="1"/>
  <c r="B64" i="46"/>
  <c r="F64" i="46" s="1"/>
  <c r="B123" i="46"/>
  <c r="F123" i="46" s="1"/>
  <c r="B175" i="46"/>
  <c r="C175" i="46" s="1"/>
  <c r="B63" i="46"/>
  <c r="E63" i="46" s="1"/>
  <c r="B81" i="46"/>
  <c r="C81" i="46" s="1"/>
  <c r="B151" i="46"/>
  <c r="E151" i="46" s="1"/>
  <c r="B78" i="46"/>
  <c r="E78" i="46" s="1"/>
  <c r="B27" i="46"/>
  <c r="D27" i="46" s="1"/>
  <c r="B237" i="46"/>
  <c r="F237" i="46" s="1"/>
  <c r="B96" i="46"/>
  <c r="C96" i="46" s="1"/>
  <c r="B72" i="46"/>
  <c r="F72" i="46" s="1"/>
  <c r="B55" i="46"/>
  <c r="C55" i="46" s="1"/>
  <c r="B185" i="46"/>
  <c r="D185" i="46" s="1"/>
  <c r="B58" i="46"/>
  <c r="E58" i="46" s="1"/>
  <c r="B214" i="46"/>
  <c r="B111" i="46"/>
  <c r="F111" i="46" s="1"/>
  <c r="B102" i="46"/>
  <c r="D102" i="46" s="1"/>
  <c r="B158" i="46"/>
  <c r="B25" i="46"/>
  <c r="F25" i="46" s="1"/>
  <c r="B39" i="46"/>
  <c r="E39" i="46" s="1"/>
  <c r="B31" i="46"/>
  <c r="C31" i="46" s="1"/>
  <c r="B174" i="46"/>
  <c r="E174" i="46" s="1"/>
  <c r="B69" i="46"/>
  <c r="E69" i="46" s="1"/>
  <c r="B176" i="46"/>
  <c r="F176" i="46" s="1"/>
  <c r="B230" i="46"/>
  <c r="B110" i="46"/>
  <c r="B171" i="46"/>
  <c r="E171" i="46" s="1"/>
  <c r="B130" i="46"/>
  <c r="C130" i="46" s="1"/>
  <c r="B129" i="46"/>
  <c r="E129" i="46" s="1"/>
  <c r="B205" i="46"/>
  <c r="E205" i="46" s="1"/>
  <c r="B113" i="46"/>
  <c r="D113" i="46" s="1"/>
  <c r="B112" i="46"/>
  <c r="F112" i="46" s="1"/>
  <c r="B258" i="46"/>
  <c r="F258" i="46" s="1"/>
  <c r="B76" i="46"/>
  <c r="F76" i="46" s="1"/>
  <c r="B134" i="46"/>
  <c r="B106" i="46"/>
  <c r="D106" i="46" s="1"/>
  <c r="B124" i="46"/>
  <c r="F124" i="46" s="1"/>
  <c r="B85" i="46"/>
  <c r="F85" i="46" s="1"/>
  <c r="B139" i="46"/>
  <c r="B93" i="46"/>
  <c r="E93" i="46" s="1"/>
  <c r="B172" i="46"/>
  <c r="C172" i="46" s="1"/>
  <c r="B40" i="46"/>
  <c r="D40" i="46" s="1"/>
  <c r="B226" i="46"/>
  <c r="D226" i="46" s="1"/>
  <c r="B100" i="46"/>
  <c r="E100" i="46" s="1"/>
  <c r="B92" i="46"/>
  <c r="C92" i="46" s="1"/>
  <c r="B105" i="46"/>
  <c r="F105" i="46" s="1"/>
  <c r="B213" i="46"/>
  <c r="D213" i="46" s="1"/>
  <c r="B201" i="46"/>
  <c r="F201" i="46" s="1"/>
  <c r="B30" i="46"/>
  <c r="F30" i="46" s="1"/>
  <c r="B257" i="46"/>
  <c r="F257" i="46" s="1"/>
  <c r="B49" i="46"/>
  <c r="B162" i="46"/>
  <c r="C162" i="46" s="1"/>
  <c r="B236" i="46"/>
  <c r="C236" i="46" s="1"/>
  <c r="B73" i="46"/>
  <c r="D73" i="46" s="1"/>
  <c r="B145" i="46"/>
  <c r="E145" i="46" s="1"/>
  <c r="B225" i="46"/>
  <c r="F225" i="46" s="1"/>
  <c r="B74" i="46"/>
  <c r="B61" i="46"/>
  <c r="E61" i="46" s="1"/>
  <c r="B259" i="46"/>
  <c r="D259" i="46" s="1"/>
  <c r="B108" i="46"/>
  <c r="F108" i="46" s="1"/>
  <c r="B180" i="46"/>
  <c r="C180" i="46" s="1"/>
  <c r="B65" i="46"/>
  <c r="C65" i="46" s="1"/>
  <c r="B221" i="46"/>
  <c r="B70" i="46"/>
  <c r="E70" i="46" s="1"/>
  <c r="B99" i="46"/>
  <c r="D99" i="46" s="1"/>
  <c r="B152" i="46"/>
  <c r="C152" i="46" s="1"/>
  <c r="B97" i="46"/>
  <c r="B147" i="46"/>
  <c r="D147" i="46" s="1"/>
  <c r="B166" i="46"/>
  <c r="C166" i="46" s="1"/>
  <c r="B32" i="46"/>
  <c r="E32" i="46" s="1"/>
  <c r="B42" i="46"/>
  <c r="F42" i="46" s="1"/>
  <c r="B217" i="46"/>
  <c r="F217" i="46" s="1"/>
  <c r="B142" i="46"/>
  <c r="E142" i="46" s="1"/>
  <c r="B202" i="46"/>
  <c r="F202" i="46" s="1"/>
  <c r="B141" i="46"/>
  <c r="E141" i="46" s="1"/>
  <c r="B211" i="46"/>
  <c r="E211" i="46" s="1"/>
  <c r="B91" i="46"/>
  <c r="C91" i="46" s="1"/>
  <c r="B218" i="46"/>
  <c r="B234" i="46"/>
  <c r="F234" i="46" s="1"/>
  <c r="B109" i="46"/>
  <c r="E109" i="46" s="1"/>
  <c r="B62" i="46"/>
  <c r="B164" i="46"/>
  <c r="C164" i="46" s="1"/>
  <c r="B154" i="46"/>
  <c r="F154" i="46" s="1"/>
  <c r="B89" i="46"/>
  <c r="C89" i="46" s="1"/>
  <c r="B79" i="46"/>
  <c r="C79" i="46" s="1"/>
  <c r="B161" i="46"/>
  <c r="C161" i="46" s="1"/>
  <c r="B114" i="46"/>
  <c r="E114" i="46" s="1"/>
  <c r="B197" i="46"/>
  <c r="C197" i="46" s="1"/>
  <c r="B115" i="46"/>
  <c r="F115" i="46" s="1"/>
  <c r="B33" i="46"/>
  <c r="E33" i="46" s="1"/>
  <c r="B173" i="46"/>
  <c r="E173" i="46" s="1"/>
  <c r="B184" i="46"/>
  <c r="E184" i="46" s="1"/>
  <c r="B150" i="46"/>
  <c r="E150" i="46" s="1"/>
  <c r="B224" i="46"/>
  <c r="C224" i="46" s="1"/>
  <c r="B34" i="46"/>
  <c r="E34" i="46" s="1"/>
  <c r="B77" i="46"/>
  <c r="F77" i="46" s="1"/>
  <c r="B120" i="46"/>
  <c r="F120" i="46" s="1"/>
  <c r="B43" i="46"/>
  <c r="E43" i="46" s="1"/>
  <c r="B144" i="46"/>
  <c r="F144" i="46" s="1"/>
  <c r="B24" i="46"/>
  <c r="F24" i="46" s="1"/>
  <c r="B48" i="46"/>
  <c r="G48" i="46" s="1"/>
  <c r="B199" i="46"/>
  <c r="E199" i="46" s="1"/>
  <c r="B116" i="46"/>
  <c r="D116" i="46" s="1"/>
  <c r="B159" i="46"/>
  <c r="E159" i="46" s="1"/>
  <c r="B137" i="46"/>
  <c r="F137" i="46" s="1"/>
  <c r="B253" i="46"/>
  <c r="F253" i="46" s="1"/>
  <c r="B75" i="46"/>
  <c r="D75" i="46" s="1"/>
  <c r="B68" i="46"/>
  <c r="F68" i="46" s="1"/>
  <c r="B149" i="46"/>
  <c r="C149" i="46" s="1"/>
  <c r="B44" i="46"/>
  <c r="C44" i="46" s="1"/>
  <c r="B181" i="46"/>
  <c r="D181" i="46" s="1"/>
  <c r="B186" i="46"/>
  <c r="E186" i="46" s="1"/>
  <c r="B190" i="46"/>
  <c r="F190" i="46" s="1"/>
  <c r="B56" i="46"/>
  <c r="C56" i="46" s="1"/>
  <c r="B183" i="46"/>
  <c r="F183" i="46" s="1"/>
  <c r="B54" i="46"/>
  <c r="E54" i="46" s="1"/>
  <c r="B117" i="46"/>
  <c r="E117" i="46" s="1"/>
  <c r="B160" i="46"/>
  <c r="C160" i="46" s="1"/>
  <c r="B169" i="46"/>
  <c r="D169" i="46" s="1"/>
  <c r="B128" i="46"/>
  <c r="D128" i="46" s="1"/>
  <c r="B163" i="46"/>
  <c r="F163" i="46" s="1"/>
  <c r="B252" i="46"/>
  <c r="F252" i="46" s="1"/>
  <c r="B192" i="46"/>
  <c r="D192" i="46" s="1"/>
  <c r="B208" i="46"/>
  <c r="C208" i="46" s="1"/>
  <c r="B148" i="46"/>
  <c r="C148" i="46" s="1"/>
  <c r="B37" i="46"/>
  <c r="F37" i="46" s="1"/>
  <c r="B157" i="46"/>
  <c r="F157" i="46" s="1"/>
  <c r="B52" i="46"/>
  <c r="D52" i="46" s="1"/>
  <c r="B103" i="46"/>
  <c r="E103" i="46" s="1"/>
  <c r="B256" i="46"/>
  <c r="C256" i="46" s="1"/>
  <c r="B140" i="46"/>
  <c r="D140" i="46" s="1"/>
  <c r="B153" i="46"/>
  <c r="F153" i="46" s="1"/>
  <c r="B133" i="46"/>
  <c r="C133" i="46" s="1"/>
  <c r="B207" i="46"/>
  <c r="F207" i="46" s="1"/>
  <c r="B228" i="46"/>
  <c r="F228" i="46" s="1"/>
  <c r="B36" i="46"/>
  <c r="G36" i="46" s="1"/>
  <c r="B204" i="46"/>
  <c r="G204" i="46" s="1"/>
  <c r="B82" i="46"/>
  <c r="E82" i="46" s="1"/>
  <c r="B196" i="46"/>
  <c r="B177" i="46"/>
  <c r="E177" i="46" s="1"/>
  <c r="B121" i="46"/>
  <c r="F121" i="46" s="1"/>
  <c r="B238" i="46"/>
  <c r="E238" i="46" s="1"/>
  <c r="B231" i="46"/>
  <c r="E231" i="46" s="1"/>
  <c r="B135" i="46"/>
  <c r="F135" i="46" s="1"/>
  <c r="B229" i="46"/>
  <c r="F229" i="46" s="1"/>
  <c r="B122" i="46"/>
  <c r="B38" i="46"/>
  <c r="B261" i="46"/>
  <c r="D261" i="46" s="1"/>
  <c r="B195" i="46"/>
  <c r="F195" i="46" s="1"/>
  <c r="B235" i="46"/>
  <c r="E235" i="46" s="1"/>
  <c r="B178" i="46"/>
  <c r="C178" i="46" s="1"/>
  <c r="B209" i="46"/>
  <c r="E209" i="46" s="1"/>
  <c r="B127" i="46"/>
  <c r="E127" i="46" s="1"/>
  <c r="B90" i="46"/>
  <c r="E90" i="46" s="1"/>
  <c r="B189" i="46"/>
  <c r="C189" i="46" s="1"/>
  <c r="B101" i="46"/>
  <c r="C101" i="46" s="1"/>
  <c r="B66" i="46"/>
  <c r="E66" i="46" s="1"/>
  <c r="B45" i="46"/>
  <c r="F45" i="46" s="1"/>
  <c r="B188" i="46"/>
  <c r="B87" i="46"/>
  <c r="F87" i="46" s="1"/>
  <c r="B12" i="46"/>
  <c r="F96" i="46"/>
  <c r="J108" i="46"/>
  <c r="J60" i="46"/>
  <c r="J36" i="46"/>
  <c r="J96" i="46"/>
  <c r="J168" i="46"/>
  <c r="J216" i="46"/>
  <c r="J72" i="46"/>
  <c r="J204" i="46"/>
  <c r="J12" i="46"/>
  <c r="J84" i="46"/>
  <c r="J180" i="46"/>
  <c r="J132" i="46"/>
  <c r="J156" i="46"/>
  <c r="J48" i="46"/>
  <c r="J192" i="46"/>
  <c r="J144" i="46"/>
  <c r="J228" i="46"/>
  <c r="J24" i="46"/>
  <c r="J120" i="46"/>
  <c r="J252" i="46"/>
  <c r="B248" i="46"/>
  <c r="B250" i="46"/>
  <c r="B245" i="46"/>
  <c r="B247" i="46"/>
  <c r="B246" i="46"/>
  <c r="B249" i="46"/>
  <c r="B244" i="46"/>
  <c r="B240" i="46"/>
  <c r="B241" i="46"/>
  <c r="B242" i="46"/>
  <c r="B243" i="46"/>
  <c r="J240" i="46"/>
  <c r="B15" i="46"/>
  <c r="B21" i="46"/>
  <c r="B19" i="46"/>
  <c r="B14" i="46"/>
  <c r="B18" i="46"/>
  <c r="B16" i="46"/>
  <c r="B20" i="46"/>
  <c r="B22" i="46"/>
  <c r="B13" i="46"/>
  <c r="B17" i="46"/>
  <c r="B335" i="43"/>
  <c r="B343" i="43"/>
  <c r="B341" i="43"/>
  <c r="B345" i="43"/>
  <c r="B336" i="43"/>
  <c r="B349" i="43"/>
  <c r="B344" i="43"/>
  <c r="B334" i="43"/>
  <c r="B347" i="43"/>
  <c r="B340" i="43"/>
  <c r="B351" i="43"/>
  <c r="B348" i="43"/>
  <c r="B338" i="43"/>
  <c r="B346" i="43"/>
  <c r="B342" i="43"/>
  <c r="B333" i="43"/>
  <c r="B331" i="43"/>
  <c r="B332" i="43"/>
  <c r="B339" i="43"/>
  <c r="B337" i="43"/>
  <c r="B350" i="43"/>
  <c r="B312" i="43"/>
  <c r="B317" i="43"/>
  <c r="B327" i="43"/>
  <c r="B321" i="43"/>
  <c r="B320" i="43"/>
  <c r="B316" i="43"/>
  <c r="B328" i="43"/>
  <c r="B310" i="43"/>
  <c r="B311" i="43"/>
  <c r="B308" i="43"/>
  <c r="B309" i="43"/>
  <c r="B314" i="43"/>
  <c r="B322" i="43"/>
  <c r="B315" i="43"/>
  <c r="B324" i="43"/>
  <c r="B319" i="43"/>
  <c r="B323" i="43"/>
  <c r="B318" i="43"/>
  <c r="B313" i="43"/>
  <c r="B325" i="43"/>
  <c r="B326" i="43"/>
  <c r="B297" i="43"/>
  <c r="B289" i="43"/>
  <c r="B287" i="43"/>
  <c r="B299" i="43"/>
  <c r="B298" i="43"/>
  <c r="B296" i="43"/>
  <c r="B293" i="43"/>
  <c r="B288" i="43"/>
  <c r="B294" i="43"/>
  <c r="B285" i="43"/>
  <c r="B292" i="43"/>
  <c r="B305" i="43"/>
  <c r="B290" i="43"/>
  <c r="B286" i="43"/>
  <c r="B301" i="43"/>
  <c r="B291" i="43"/>
  <c r="B295" i="43"/>
  <c r="B302" i="43"/>
  <c r="B300" i="43"/>
  <c r="B304" i="43"/>
  <c r="B303" i="43"/>
  <c r="B263" i="43"/>
  <c r="B267" i="43"/>
  <c r="B277" i="43"/>
  <c r="B281" i="43"/>
  <c r="B274" i="43"/>
  <c r="B280" i="43"/>
  <c r="B271" i="43"/>
  <c r="B268" i="43"/>
  <c r="B279" i="43"/>
  <c r="B272" i="43"/>
  <c r="B269" i="43"/>
  <c r="B276" i="43"/>
  <c r="B266" i="43"/>
  <c r="B265" i="43"/>
  <c r="B278" i="43"/>
  <c r="B270" i="43"/>
  <c r="B264" i="43"/>
  <c r="B262" i="43"/>
  <c r="B275" i="43"/>
  <c r="B273" i="43"/>
  <c r="B282" i="43"/>
  <c r="B247" i="43"/>
  <c r="B239" i="43"/>
  <c r="B253" i="43"/>
  <c r="B242" i="43"/>
  <c r="B252" i="43"/>
  <c r="B241" i="43"/>
  <c r="B257" i="43"/>
  <c r="B258" i="43"/>
  <c r="B245" i="43"/>
  <c r="B243" i="43"/>
  <c r="B246" i="43"/>
  <c r="B259" i="43"/>
  <c r="B248" i="43"/>
  <c r="B249" i="43"/>
  <c r="B255" i="43"/>
  <c r="B256" i="43"/>
  <c r="B250" i="43"/>
  <c r="B254" i="43"/>
  <c r="B240" i="43"/>
  <c r="B251" i="43"/>
  <c r="B244" i="43"/>
  <c r="B224" i="43"/>
  <c r="B228" i="43"/>
  <c r="B226" i="43"/>
  <c r="B216" i="43"/>
  <c r="B230" i="43"/>
  <c r="B233" i="43"/>
  <c r="B222" i="43"/>
  <c r="B232" i="43"/>
  <c r="B223" i="43"/>
  <c r="B217" i="43"/>
  <c r="B234" i="43"/>
  <c r="B219" i="43"/>
  <c r="B220" i="43"/>
  <c r="B227" i="43"/>
  <c r="B231" i="43"/>
  <c r="B225" i="43"/>
  <c r="B221" i="43"/>
  <c r="B218" i="43"/>
  <c r="B229" i="43"/>
  <c r="B236" i="43"/>
  <c r="B235" i="43"/>
  <c r="B201" i="43"/>
  <c r="B198" i="43"/>
  <c r="B202" i="43"/>
  <c r="B205" i="43"/>
  <c r="B208" i="43"/>
  <c r="B193" i="43"/>
  <c r="B203" i="43"/>
  <c r="B194" i="43"/>
  <c r="B199" i="43"/>
  <c r="B211" i="43"/>
  <c r="B204" i="43"/>
  <c r="B206" i="43"/>
  <c r="B196" i="43"/>
  <c r="B207" i="43"/>
  <c r="B200" i="43"/>
  <c r="B213" i="43"/>
  <c r="B212" i="43"/>
  <c r="B209" i="43"/>
  <c r="B195" i="43"/>
  <c r="B210" i="43"/>
  <c r="B197" i="43"/>
  <c r="B178" i="43"/>
  <c r="B172" i="43"/>
  <c r="B183" i="43"/>
  <c r="B181" i="43"/>
  <c r="B182" i="43"/>
  <c r="B175" i="43"/>
  <c r="B184" i="43"/>
  <c r="B188" i="43"/>
  <c r="B180" i="43"/>
  <c r="B185" i="43"/>
  <c r="B170" i="43"/>
  <c r="B176" i="43"/>
  <c r="B177" i="43"/>
  <c r="B187" i="43"/>
  <c r="B173" i="43"/>
  <c r="B190" i="43"/>
  <c r="B189" i="43"/>
  <c r="B186" i="43"/>
  <c r="B179" i="43"/>
  <c r="B174" i="43"/>
  <c r="B171" i="43"/>
  <c r="B156" i="43"/>
  <c r="B149" i="43"/>
  <c r="B151" i="43"/>
  <c r="B158" i="43"/>
  <c r="B167" i="43"/>
  <c r="B148" i="43"/>
  <c r="B153" i="43"/>
  <c r="B160" i="43"/>
  <c r="B150" i="43"/>
  <c r="B159" i="43"/>
  <c r="B155" i="43"/>
  <c r="B164" i="43"/>
  <c r="B154" i="43"/>
  <c r="B166" i="43"/>
  <c r="B165" i="43"/>
  <c r="B157" i="43"/>
  <c r="B162" i="43"/>
  <c r="B161" i="43"/>
  <c r="B163" i="43"/>
  <c r="B147" i="43"/>
  <c r="B152" i="43"/>
  <c r="C136" i="43"/>
  <c r="C129" i="43"/>
  <c r="C124" i="43"/>
  <c r="C144" i="43"/>
  <c r="C139" i="43"/>
  <c r="C135" i="43"/>
  <c r="C142" i="43"/>
  <c r="C140" i="43"/>
  <c r="C125" i="43"/>
  <c r="C133" i="43"/>
  <c r="C127" i="43"/>
  <c r="C141" i="43"/>
  <c r="C143" i="43"/>
  <c r="C130" i="43"/>
  <c r="C138" i="43"/>
  <c r="C134" i="43"/>
  <c r="C132" i="43"/>
  <c r="C128" i="43"/>
  <c r="C126" i="43"/>
  <c r="C131" i="43"/>
  <c r="C137" i="43"/>
  <c r="E105" i="43"/>
  <c r="E103" i="43"/>
  <c r="E108" i="43"/>
  <c r="E114" i="43"/>
  <c r="E113" i="43"/>
  <c r="E104" i="43"/>
  <c r="E118" i="43"/>
  <c r="E106" i="43"/>
  <c r="E117" i="43"/>
  <c r="E101" i="43"/>
  <c r="E121" i="43"/>
  <c r="E116" i="43"/>
  <c r="E112" i="43"/>
  <c r="E119" i="43"/>
  <c r="E102" i="43"/>
  <c r="E110" i="43"/>
  <c r="E120" i="43"/>
  <c r="E107" i="43"/>
  <c r="E115" i="43"/>
  <c r="E111" i="43"/>
  <c r="E109" i="43"/>
  <c r="B118" i="43"/>
  <c r="B113" i="43"/>
  <c r="B109" i="43"/>
  <c r="B115" i="43"/>
  <c r="B112" i="43"/>
  <c r="B102" i="43"/>
  <c r="B104" i="43"/>
  <c r="B111" i="43"/>
  <c r="B110" i="43"/>
  <c r="B108" i="43"/>
  <c r="B119" i="43"/>
  <c r="B103" i="43"/>
  <c r="B117" i="43"/>
  <c r="B106" i="43"/>
  <c r="B105" i="43"/>
  <c r="B107" i="43"/>
  <c r="B120" i="43"/>
  <c r="B101" i="43"/>
  <c r="B121" i="43"/>
  <c r="B114" i="43"/>
  <c r="B116" i="43"/>
  <c r="N7" i="43"/>
  <c r="T7" i="43" s="1"/>
  <c r="B129" i="43"/>
  <c r="N18" i="43"/>
  <c r="T18" i="43" s="1"/>
  <c r="B140" i="43"/>
  <c r="N9" i="43"/>
  <c r="P9" i="43" s="1" a="1"/>
  <c r="P9" i="43" s="1"/>
  <c r="B131" i="43"/>
  <c r="N19" i="43"/>
  <c r="T19" i="43" s="1"/>
  <c r="B141" i="43"/>
  <c r="N10" i="43"/>
  <c r="T10" i="43" s="1"/>
  <c r="B132" i="43"/>
  <c r="N5" i="43"/>
  <c r="T5" i="43" s="1"/>
  <c r="B127" i="43"/>
  <c r="N6" i="43"/>
  <c r="T6" i="43" s="1"/>
  <c r="B128" i="43"/>
  <c r="N22" i="43"/>
  <c r="K22" i="43" s="1"/>
  <c r="L22" i="43" s="1"/>
  <c r="B144" i="43"/>
  <c r="N16" i="43"/>
  <c r="T16" i="43" s="1"/>
  <c r="B138" i="43"/>
  <c r="N11" i="43"/>
  <c r="K11" i="43" s="1"/>
  <c r="L11" i="43" s="1"/>
  <c r="B133" i="43"/>
  <c r="N20" i="43"/>
  <c r="T20" i="43" s="1"/>
  <c r="B142" i="43"/>
  <c r="N12" i="43"/>
  <c r="P12" i="43" s="1" a="1"/>
  <c r="P12" i="43" s="1"/>
  <c r="B134" i="43"/>
  <c r="N13" i="43"/>
  <c r="K13" i="43" s="1"/>
  <c r="L13" i="43" s="1"/>
  <c r="B135" i="43"/>
  <c r="N3" i="43"/>
  <c r="P3" i="43" s="1" a="1"/>
  <c r="P3" i="43" s="1"/>
  <c r="B125" i="43"/>
  <c r="N15" i="43"/>
  <c r="K15" i="43" s="1"/>
  <c r="L15" i="43" s="1"/>
  <c r="B137" i="43"/>
  <c r="N21" i="43"/>
  <c r="T21" i="43" s="1"/>
  <c r="B143" i="43"/>
  <c r="N2" i="43"/>
  <c r="P2" i="43" s="1" a="1"/>
  <c r="P2" i="43" s="1"/>
  <c r="B124" i="43"/>
  <c r="N8" i="43"/>
  <c r="K8" i="43" s="1"/>
  <c r="L8" i="43" s="1"/>
  <c r="B130" i="43"/>
  <c r="N17" i="43"/>
  <c r="P17" i="43" s="1" a="1"/>
  <c r="P17" i="43" s="1"/>
  <c r="B139" i="43"/>
  <c r="N4" i="43"/>
  <c r="P4" i="43" s="1" a="1"/>
  <c r="P4" i="43" s="1"/>
  <c r="B126" i="43"/>
  <c r="N14" i="43"/>
  <c r="P14" i="43" s="1" a="1"/>
  <c r="P14" i="43" s="1"/>
  <c r="B136" i="43"/>
  <c r="BK158" i="1"/>
  <c r="BK159" i="1"/>
  <c r="BK160" i="1"/>
  <c r="BK161" i="1"/>
  <c r="BK162" i="1"/>
  <c r="BK163" i="1"/>
  <c r="BK164" i="1"/>
  <c r="BK165" i="1"/>
  <c r="BK166" i="1"/>
  <c r="BK167" i="1"/>
  <c r="BK168" i="1"/>
  <c r="BK169" i="1"/>
  <c r="BK171" i="1"/>
  <c r="BK170" i="1"/>
  <c r="BK172" i="1"/>
  <c r="BK173" i="1"/>
  <c r="BL160" i="1"/>
  <c r="BL161" i="1"/>
  <c r="BL162" i="1"/>
  <c r="BL163" i="1"/>
  <c r="BL164" i="1"/>
  <c r="BL165" i="1"/>
  <c r="BL166" i="1"/>
  <c r="BL167" i="1"/>
  <c r="BL168" i="1"/>
  <c r="BL169" i="1"/>
  <c r="BL171" i="1"/>
  <c r="BL170" i="1"/>
  <c r="BL172" i="1"/>
  <c r="Q175" i="1"/>
  <c r="Q169" i="1"/>
  <c r="X175" i="1"/>
  <c r="AL175" i="1"/>
  <c r="F175" i="1"/>
  <c r="I85" i="51" l="1"/>
  <c r="I121" i="51"/>
  <c r="C158" i="46"/>
  <c r="E50" i="46"/>
  <c r="F62" i="46"/>
  <c r="D74" i="46"/>
  <c r="C194" i="46"/>
  <c r="I253" i="51"/>
  <c r="C134" i="46"/>
  <c r="E206" i="46"/>
  <c r="E98" i="46"/>
  <c r="C146" i="46"/>
  <c r="F122" i="46"/>
  <c r="E218" i="46"/>
  <c r="E110" i="46"/>
  <c r="E170" i="46"/>
  <c r="I169" i="51"/>
  <c r="I145" i="51"/>
  <c r="C230" i="46"/>
  <c r="C26" i="46"/>
  <c r="C86" i="46"/>
  <c r="E182" i="46"/>
  <c r="BP204" i="1"/>
  <c r="BO204" i="1"/>
  <c r="G12" i="46"/>
  <c r="E257" i="46"/>
  <c r="C210" i="46"/>
  <c r="I60" i="46"/>
  <c r="C27" i="46"/>
  <c r="F27" i="46"/>
  <c r="D104" i="46"/>
  <c r="C168" i="46"/>
  <c r="D33" i="46"/>
  <c r="C64" i="46"/>
  <c r="E60" i="46"/>
  <c r="E262" i="46"/>
  <c r="F197" i="46"/>
  <c r="C217" i="46"/>
  <c r="C128" i="46"/>
  <c r="D258" i="46"/>
  <c r="C60" i="46"/>
  <c r="D26" i="46"/>
  <c r="D260" i="46"/>
  <c r="D186" i="46"/>
  <c r="D70" i="46"/>
  <c r="D225" i="46"/>
  <c r="D60" i="46"/>
  <c r="E197" i="46"/>
  <c r="E27" i="46"/>
  <c r="D197" i="46"/>
  <c r="C260" i="46"/>
  <c r="C186" i="46"/>
  <c r="C70" i="46"/>
  <c r="C225" i="46"/>
  <c r="E36" i="46"/>
  <c r="E176" i="46"/>
  <c r="C52" i="46"/>
  <c r="D159" i="46"/>
  <c r="C111" i="46"/>
  <c r="F212" i="46"/>
  <c r="F51" i="46"/>
  <c r="F109" i="46"/>
  <c r="D212" i="46"/>
  <c r="C87" i="46"/>
  <c r="D138" i="46"/>
  <c r="C159" i="46"/>
  <c r="C212" i="46"/>
  <c r="D209" i="46"/>
  <c r="C138" i="46"/>
  <c r="D109" i="46"/>
  <c r="D112" i="46"/>
  <c r="C77" i="46"/>
  <c r="F93" i="46"/>
  <c r="F260" i="46"/>
  <c r="G60" i="46"/>
  <c r="D77" i="46"/>
  <c r="F210" i="46"/>
  <c r="E225" i="46"/>
  <c r="I36" i="46"/>
  <c r="D93" i="46"/>
  <c r="C209" i="46"/>
  <c r="D176" i="46"/>
  <c r="C109" i="46"/>
  <c r="C112" i="46"/>
  <c r="C51" i="46"/>
  <c r="F138" i="46"/>
  <c r="C36" i="46"/>
  <c r="C93" i="46"/>
  <c r="D210" i="46"/>
  <c r="C176" i="46"/>
  <c r="D217" i="46"/>
  <c r="D201" i="46"/>
  <c r="F26" i="46"/>
  <c r="F70" i="46"/>
  <c r="C253" i="46"/>
  <c r="D256" i="46"/>
  <c r="D158" i="46"/>
  <c r="E152" i="46"/>
  <c r="F170" i="46"/>
  <c r="C257" i="46"/>
  <c r="C252" i="46"/>
  <c r="F165" i="46"/>
  <c r="E76" i="46"/>
  <c r="E202" i="46"/>
  <c r="D165" i="46"/>
  <c r="D76" i="46"/>
  <c r="D219" i="46"/>
  <c r="E104" i="46"/>
  <c r="F43" i="46"/>
  <c r="D170" i="46"/>
  <c r="D90" i="46"/>
  <c r="C202" i="46"/>
  <c r="C43" i="46"/>
  <c r="C222" i="46"/>
  <c r="F40" i="46"/>
  <c r="F29" i="46"/>
  <c r="F222" i="46"/>
  <c r="F219" i="46"/>
  <c r="D252" i="46"/>
  <c r="F90" i="46"/>
  <c r="F56" i="46"/>
  <c r="G252" i="46"/>
  <c r="C61" i="46"/>
  <c r="E256" i="46"/>
  <c r="F82" i="46"/>
  <c r="F164" i="46"/>
  <c r="D29" i="46"/>
  <c r="D96" i="46"/>
  <c r="D82" i="46"/>
  <c r="E158" i="46"/>
  <c r="I168" i="46"/>
  <c r="BO40" i="32" s="1"/>
  <c r="C40" i="46"/>
  <c r="C110" i="46"/>
  <c r="C122" i="46"/>
  <c r="D61" i="46"/>
  <c r="D257" i="46"/>
  <c r="E252" i="46"/>
  <c r="E123" i="46"/>
  <c r="F104" i="46"/>
  <c r="E122" i="46"/>
  <c r="E253" i="46"/>
  <c r="F158" i="46"/>
  <c r="F168" i="46"/>
  <c r="I252" i="46"/>
  <c r="C170" i="46"/>
  <c r="C82" i="46"/>
  <c r="D253" i="46"/>
  <c r="D202" i="46"/>
  <c r="D43" i="46"/>
  <c r="C219" i="46"/>
  <c r="E40" i="46"/>
  <c r="F256" i="46"/>
  <c r="E164" i="46"/>
  <c r="C90" i="46"/>
  <c r="C76" i="46"/>
  <c r="E96" i="46"/>
  <c r="F152" i="46"/>
  <c r="E29" i="46"/>
  <c r="G96" i="46"/>
  <c r="I96" i="46"/>
  <c r="C33" i="46"/>
  <c r="C165" i="46"/>
  <c r="D56" i="46"/>
  <c r="D164" i="46"/>
  <c r="D152" i="46"/>
  <c r="D123" i="46"/>
  <c r="E168" i="46"/>
  <c r="F33" i="46"/>
  <c r="F61" i="46"/>
  <c r="E56" i="46"/>
  <c r="F110" i="46"/>
  <c r="D110" i="46"/>
  <c r="D122" i="46"/>
  <c r="C123" i="46"/>
  <c r="D168" i="46"/>
  <c r="F52" i="46"/>
  <c r="E111" i="46"/>
  <c r="F128" i="46"/>
  <c r="F186" i="46"/>
  <c r="E217" i="46"/>
  <c r="E112" i="46"/>
  <c r="F36" i="46"/>
  <c r="D87" i="46"/>
  <c r="C135" i="46"/>
  <c r="E52" i="46"/>
  <c r="E87" i="46"/>
  <c r="C237" i="46"/>
  <c r="D262" i="46"/>
  <c r="D80" i="46"/>
  <c r="D172" i="46"/>
  <c r="E30" i="46"/>
  <c r="D115" i="46"/>
  <c r="C115" i="46"/>
  <c r="F102" i="46"/>
  <c r="D222" i="46"/>
  <c r="E77" i="46"/>
  <c r="C99" i="46"/>
  <c r="E115" i="46"/>
  <c r="E201" i="46"/>
  <c r="E137" i="46"/>
  <c r="C50" i="46"/>
  <c r="C12" i="46"/>
  <c r="E135" i="46"/>
  <c r="D163" i="46"/>
  <c r="F28" i="46"/>
  <c r="F199" i="46"/>
  <c r="D151" i="46"/>
  <c r="C85" i="46"/>
  <c r="C28" i="46"/>
  <c r="F50" i="46"/>
  <c r="E74" i="46"/>
  <c r="C132" i="46"/>
  <c r="F73" i="46"/>
  <c r="D58" i="46"/>
  <c r="F218" i="46"/>
  <c r="C201" i="46"/>
  <c r="D36" i="46"/>
  <c r="E26" i="46"/>
  <c r="E51" i="46"/>
  <c r="F209" i="46"/>
  <c r="E128" i="46"/>
  <c r="F159" i="46"/>
  <c r="D135" i="46"/>
  <c r="D137" i="46"/>
  <c r="D111" i="46"/>
  <c r="C204" i="46"/>
  <c r="C105" i="46"/>
  <c r="E172" i="46"/>
  <c r="D190" i="46"/>
  <c r="F99" i="46"/>
  <c r="D12" i="46"/>
  <c r="C62" i="46"/>
  <c r="C74" i="46"/>
  <c r="F127" i="46"/>
  <c r="C142" i="46"/>
  <c r="D230" i="46"/>
  <c r="C30" i="46"/>
  <c r="I12" i="46"/>
  <c r="BO28" i="32" s="1"/>
  <c r="F65" i="46"/>
  <c r="E65" i="46"/>
  <c r="D65" i="46"/>
  <c r="F118" i="46"/>
  <c r="I132" i="46"/>
  <c r="D50" i="46"/>
  <c r="D85" i="46"/>
  <c r="D28" i="46"/>
  <c r="C205" i="46"/>
  <c r="D105" i="46"/>
  <c r="E85" i="46"/>
  <c r="E105" i="46"/>
  <c r="E45" i="46"/>
  <c r="F185" i="46"/>
  <c r="E207" i="46"/>
  <c r="E163" i="46"/>
  <c r="D238" i="46"/>
  <c r="C58" i="46"/>
  <c r="C151" i="46"/>
  <c r="C37" i="46"/>
  <c r="E37" i="46"/>
  <c r="F160" i="46"/>
  <c r="E44" i="46"/>
  <c r="F161" i="46"/>
  <c r="C94" i="46"/>
  <c r="D235" i="46"/>
  <c r="D199" i="46"/>
  <c r="D32" i="46"/>
  <c r="C73" i="46"/>
  <c r="D207" i="46"/>
  <c r="E118" i="46"/>
  <c r="E160" i="46"/>
  <c r="E161" i="46"/>
  <c r="F142" i="46"/>
  <c r="D37" i="46"/>
  <c r="E73" i="46"/>
  <c r="C53" i="46"/>
  <c r="C235" i="46"/>
  <c r="D44" i="46"/>
  <c r="C199" i="46"/>
  <c r="D218" i="46"/>
  <c r="C32" i="46"/>
  <c r="C207" i="46"/>
  <c r="D224" i="46"/>
  <c r="F94" i="46"/>
  <c r="F125" i="46"/>
  <c r="F44" i="46"/>
  <c r="D94" i="46"/>
  <c r="C118" i="46"/>
  <c r="C238" i="46"/>
  <c r="D45" i="46"/>
  <c r="C129" i="46"/>
  <c r="D160" i="46"/>
  <c r="D161" i="46"/>
  <c r="C218" i="46"/>
  <c r="D174" i="46"/>
  <c r="D125" i="46"/>
  <c r="F58" i="46"/>
  <c r="E125" i="46"/>
  <c r="E132" i="46"/>
  <c r="C45" i="46"/>
  <c r="C174" i="46"/>
  <c r="D205" i="46"/>
  <c r="F238" i="46"/>
  <c r="E190" i="46"/>
  <c r="F32" i="46"/>
  <c r="I84" i="46"/>
  <c r="C120" i="46"/>
  <c r="D229" i="46"/>
  <c r="C232" i="46"/>
  <c r="D233" i="46"/>
  <c r="D127" i="46"/>
  <c r="C102" i="46"/>
  <c r="E204" i="46"/>
  <c r="E229" i="46"/>
  <c r="E258" i="46"/>
  <c r="E237" i="46"/>
  <c r="E64" i="46"/>
  <c r="E80" i="46"/>
  <c r="E232" i="46"/>
  <c r="E233" i="46"/>
  <c r="F230" i="46"/>
  <c r="E62" i="46"/>
  <c r="D84" i="46"/>
  <c r="C229" i="46"/>
  <c r="C233" i="46"/>
  <c r="C127" i="46"/>
  <c r="D237" i="46"/>
  <c r="D30" i="46"/>
  <c r="D204" i="46"/>
  <c r="F172" i="46"/>
  <c r="F262" i="46"/>
  <c r="F74" i="46"/>
  <c r="E230" i="46"/>
  <c r="F103" i="46"/>
  <c r="E84" i="46"/>
  <c r="F204" i="46"/>
  <c r="C163" i="46"/>
  <c r="C190" i="46"/>
  <c r="C137" i="46"/>
  <c r="C258" i="46"/>
  <c r="D103" i="46"/>
  <c r="E120" i="46"/>
  <c r="E99" i="46"/>
  <c r="E102" i="46"/>
  <c r="C84" i="46"/>
  <c r="I204" i="46"/>
  <c r="C223" i="46"/>
  <c r="D62" i="46"/>
  <c r="D142" i="46"/>
  <c r="D64" i="46"/>
  <c r="C103" i="46"/>
  <c r="D120" i="46"/>
  <c r="G84" i="46"/>
  <c r="I120" i="46"/>
  <c r="C80" i="46"/>
  <c r="D232" i="46"/>
  <c r="E12" i="46"/>
  <c r="D211" i="46"/>
  <c r="F46" i="46"/>
  <c r="C68" i="46"/>
  <c r="E24" i="46"/>
  <c r="C24" i="46"/>
  <c r="D156" i="46"/>
  <c r="C147" i="46"/>
  <c r="E261" i="46"/>
  <c r="F224" i="46"/>
  <c r="C156" i="46"/>
  <c r="D177" i="46"/>
  <c r="D54" i="46"/>
  <c r="E86" i="46"/>
  <c r="D124" i="46"/>
  <c r="E180" i="46"/>
  <c r="E194" i="46"/>
  <c r="F79" i="46"/>
  <c r="E224" i="46"/>
  <c r="G132" i="46"/>
  <c r="D132" i="46"/>
  <c r="F205" i="46"/>
  <c r="F235" i="46"/>
  <c r="F151" i="46"/>
  <c r="E193" i="46"/>
  <c r="F174" i="46"/>
  <c r="E195" i="46"/>
  <c r="F236" i="46"/>
  <c r="C106" i="46"/>
  <c r="C63" i="46"/>
  <c r="C153" i="46"/>
  <c r="C100" i="46"/>
  <c r="F208" i="46"/>
  <c r="F162" i="46"/>
  <c r="F67" i="46"/>
  <c r="E153" i="46"/>
  <c r="E68" i="46"/>
  <c r="F147" i="46"/>
  <c r="F55" i="46"/>
  <c r="I108" i="46"/>
  <c r="C177" i="46"/>
  <c r="D46" i="46"/>
  <c r="C54" i="46"/>
  <c r="C211" i="46"/>
  <c r="D162" i="46"/>
  <c r="D184" i="46"/>
  <c r="E208" i="46"/>
  <c r="E162" i="46"/>
  <c r="E67" i="46"/>
  <c r="F223" i="46"/>
  <c r="F130" i="46"/>
  <c r="E147" i="46"/>
  <c r="E55" i="46"/>
  <c r="F12" i="46"/>
  <c r="C108" i="46"/>
  <c r="C46" i="46"/>
  <c r="D68" i="46"/>
  <c r="C184" i="46"/>
  <c r="E156" i="46"/>
  <c r="F86" i="46"/>
  <c r="F261" i="46"/>
  <c r="E223" i="46"/>
  <c r="E130" i="46"/>
  <c r="D208" i="46"/>
  <c r="D39" i="46"/>
  <c r="D130" i="46"/>
  <c r="D55" i="46"/>
  <c r="D24" i="46"/>
  <c r="F39" i="46"/>
  <c r="F101" i="46"/>
  <c r="G156" i="46"/>
  <c r="C261" i="46"/>
  <c r="D182" i="46"/>
  <c r="C39" i="46"/>
  <c r="D67" i="46"/>
  <c r="E101" i="46"/>
  <c r="F106" i="46"/>
  <c r="F184" i="46"/>
  <c r="F54" i="46"/>
  <c r="E89" i="46"/>
  <c r="F156" i="46"/>
  <c r="C182" i="46"/>
  <c r="E108" i="46"/>
  <c r="F177" i="46"/>
  <c r="F100" i="46"/>
  <c r="F182" i="46"/>
  <c r="E106" i="46"/>
  <c r="F211" i="46"/>
  <c r="F63" i="46"/>
  <c r="G24" i="46"/>
  <c r="G108" i="46"/>
  <c r="F89" i="46"/>
  <c r="D86" i="46"/>
  <c r="D101" i="46"/>
  <c r="D89" i="46"/>
  <c r="I24" i="46"/>
  <c r="D63" i="46"/>
  <c r="D153" i="46"/>
  <c r="D100" i="46"/>
  <c r="D108" i="46"/>
  <c r="D81" i="46"/>
  <c r="E148" i="46"/>
  <c r="E121" i="46"/>
  <c r="C185" i="46"/>
  <c r="D166" i="46"/>
  <c r="F149" i="46"/>
  <c r="E124" i="46"/>
  <c r="F31" i="46"/>
  <c r="E255" i="46"/>
  <c r="F166" i="46"/>
  <c r="F48" i="46"/>
  <c r="D79" i="46"/>
  <c r="D150" i="46"/>
  <c r="F92" i="46"/>
  <c r="I48" i="46"/>
  <c r="C136" i="46"/>
  <c r="C117" i="46"/>
  <c r="D187" i="46"/>
  <c r="F81" i="46"/>
  <c r="F133" i="46"/>
  <c r="C124" i="46"/>
  <c r="C150" i="46"/>
  <c r="D180" i="46"/>
  <c r="F148" i="46"/>
  <c r="F255" i="46"/>
  <c r="F194" i="46"/>
  <c r="E113" i="46"/>
  <c r="E81" i="46"/>
  <c r="E79" i="46"/>
  <c r="E166" i="46"/>
  <c r="G120" i="46"/>
  <c r="C48" i="46"/>
  <c r="D193" i="46"/>
  <c r="D31" i="46"/>
  <c r="D194" i="46"/>
  <c r="D195" i="46"/>
  <c r="D121" i="46"/>
  <c r="C187" i="46"/>
  <c r="F187" i="46"/>
  <c r="E88" i="46"/>
  <c r="E185" i="46"/>
  <c r="E236" i="46"/>
  <c r="E133" i="46"/>
  <c r="E92" i="46"/>
  <c r="E149" i="46"/>
  <c r="E31" i="46"/>
  <c r="G180" i="46"/>
  <c r="I180" i="46"/>
  <c r="C193" i="46"/>
  <c r="C195" i="46"/>
  <c r="C121" i="46"/>
  <c r="D149" i="46"/>
  <c r="D236" i="46"/>
  <c r="D133" i="46"/>
  <c r="E48" i="46"/>
  <c r="F91" i="46"/>
  <c r="F180" i="46"/>
  <c r="D148" i="46"/>
  <c r="D66" i="46"/>
  <c r="D48" i="46"/>
  <c r="F66" i="46"/>
  <c r="F53" i="46"/>
  <c r="E91" i="46"/>
  <c r="C66" i="46"/>
  <c r="D91" i="46"/>
  <c r="D255" i="46"/>
  <c r="D92" i="46"/>
  <c r="E53" i="46"/>
  <c r="F136" i="46"/>
  <c r="F117" i="46"/>
  <c r="F129" i="46"/>
  <c r="F150" i="46"/>
  <c r="D136" i="46"/>
  <c r="D129" i="46"/>
  <c r="D117" i="46"/>
  <c r="E25" i="46"/>
  <c r="C192" i="46"/>
  <c r="D183" i="46"/>
  <c r="D78" i="46"/>
  <c r="E213" i="46"/>
  <c r="C144" i="46"/>
  <c r="D34" i="46"/>
  <c r="E192" i="46"/>
  <c r="E146" i="46"/>
  <c r="E175" i="46"/>
  <c r="D134" i="46"/>
  <c r="E157" i="46"/>
  <c r="D175" i="46"/>
  <c r="E134" i="46"/>
  <c r="E154" i="46"/>
  <c r="G216" i="46"/>
  <c r="E42" i="46"/>
  <c r="G228" i="46"/>
  <c r="E234" i="46"/>
  <c r="G19" i="46"/>
  <c r="G188" i="46"/>
  <c r="G38" i="46"/>
  <c r="G140" i="46"/>
  <c r="G169" i="46"/>
  <c r="G75" i="46"/>
  <c r="G34" i="46"/>
  <c r="G114" i="46"/>
  <c r="G141" i="46"/>
  <c r="G221" i="46"/>
  <c r="G49" i="46"/>
  <c r="G226" i="46"/>
  <c r="G139" i="46"/>
  <c r="G113" i="46"/>
  <c r="G69" i="46"/>
  <c r="G214" i="46"/>
  <c r="G78" i="46"/>
  <c r="G200" i="46"/>
  <c r="G57" i="46"/>
  <c r="G198" i="46"/>
  <c r="G41" i="46"/>
  <c r="G206" i="46"/>
  <c r="G98" i="46"/>
  <c r="G254" i="46"/>
  <c r="G126" i="46"/>
  <c r="G17" i="46"/>
  <c r="I144" i="46"/>
  <c r="BO39" i="32" s="1"/>
  <c r="I192" i="46"/>
  <c r="C173" i="46"/>
  <c r="C139" i="46"/>
  <c r="C41" i="46"/>
  <c r="C231" i="46"/>
  <c r="C188" i="46"/>
  <c r="C25" i="46"/>
  <c r="C200" i="46"/>
  <c r="C198" i="46"/>
  <c r="D144" i="46"/>
  <c r="F78" i="46"/>
  <c r="F213" i="46"/>
  <c r="F206" i="46"/>
  <c r="F98" i="46"/>
  <c r="F254" i="46"/>
  <c r="F146" i="46"/>
  <c r="F88" i="46"/>
  <c r="F126" i="46"/>
  <c r="F113" i="46"/>
  <c r="F175" i="46"/>
  <c r="F114" i="46"/>
  <c r="F141" i="46"/>
  <c r="F134" i="46"/>
  <c r="F69" i="46"/>
  <c r="F34" i="46"/>
  <c r="G196" i="46"/>
  <c r="G21" i="46"/>
  <c r="C113" i="46"/>
  <c r="F139" i="46"/>
  <c r="F41" i="46"/>
  <c r="F188" i="46"/>
  <c r="F231" i="46"/>
  <c r="F196" i="46"/>
  <c r="F221" i="46"/>
  <c r="F259" i="46"/>
  <c r="F49" i="46"/>
  <c r="F200" i="46"/>
  <c r="G13" i="46"/>
  <c r="G15" i="46"/>
  <c r="G246" i="46"/>
  <c r="D57" i="46"/>
  <c r="D38" i="46"/>
  <c r="D214" i="46"/>
  <c r="D206" i="46"/>
  <c r="D98" i="46"/>
  <c r="D254" i="46"/>
  <c r="D146" i="46"/>
  <c r="D126" i="46"/>
  <c r="D189" i="46"/>
  <c r="D171" i="46"/>
  <c r="D145" i="46"/>
  <c r="D49" i="46"/>
  <c r="E139" i="46"/>
  <c r="E41" i="46"/>
  <c r="E188" i="46"/>
  <c r="E140" i="46"/>
  <c r="E196" i="46"/>
  <c r="E221" i="46"/>
  <c r="E259" i="46"/>
  <c r="E49" i="46"/>
  <c r="E200" i="46"/>
  <c r="G45" i="46"/>
  <c r="G90" i="46"/>
  <c r="G235" i="46"/>
  <c r="G122" i="46"/>
  <c r="G238" i="46"/>
  <c r="G82" i="46"/>
  <c r="G207" i="46"/>
  <c r="G256" i="46"/>
  <c r="G37" i="46"/>
  <c r="G160" i="46"/>
  <c r="G56" i="46"/>
  <c r="G44" i="46"/>
  <c r="G253" i="46"/>
  <c r="G199" i="46"/>
  <c r="G43" i="46"/>
  <c r="G224" i="46"/>
  <c r="G33" i="46"/>
  <c r="G161" i="46"/>
  <c r="G164" i="46"/>
  <c r="G218" i="46"/>
  <c r="G202" i="46"/>
  <c r="G32" i="46"/>
  <c r="G152" i="46"/>
  <c r="G65" i="46"/>
  <c r="G61" i="46"/>
  <c r="G73" i="46"/>
  <c r="G257" i="46"/>
  <c r="G105" i="46"/>
  <c r="G40" i="46"/>
  <c r="G85" i="46"/>
  <c r="G76" i="46"/>
  <c r="G205" i="46"/>
  <c r="G110" i="46"/>
  <c r="G174" i="46"/>
  <c r="G158" i="46"/>
  <c r="G58" i="46"/>
  <c r="G151" i="46"/>
  <c r="G123" i="46"/>
  <c r="G125" i="46"/>
  <c r="G170" i="46"/>
  <c r="G219" i="46"/>
  <c r="G50" i="46"/>
  <c r="G94" i="46"/>
  <c r="G165" i="46"/>
  <c r="G118" i="46"/>
  <c r="G104" i="46"/>
  <c r="G28" i="46"/>
  <c r="G29" i="46"/>
  <c r="G178" i="46"/>
  <c r="G181" i="46"/>
  <c r="G116" i="46"/>
  <c r="G173" i="46"/>
  <c r="G154" i="46"/>
  <c r="G42" i="46"/>
  <c r="G97" i="46"/>
  <c r="G145" i="46"/>
  <c r="G213" i="46"/>
  <c r="G134" i="46"/>
  <c r="G171" i="46"/>
  <c r="G25" i="46"/>
  <c r="G175" i="46"/>
  <c r="G220" i="46"/>
  <c r="G88" i="46"/>
  <c r="G249" i="46"/>
  <c r="C226" i="46"/>
  <c r="C34" i="46"/>
  <c r="C140" i="46"/>
  <c r="F173" i="46"/>
  <c r="F171" i="46"/>
  <c r="F140" i="46"/>
  <c r="F145" i="46"/>
  <c r="G22" i="46"/>
  <c r="G247" i="46"/>
  <c r="I72" i="46"/>
  <c r="I216" i="46"/>
  <c r="C220" i="46"/>
  <c r="C57" i="46"/>
  <c r="C38" i="46"/>
  <c r="C214" i="46"/>
  <c r="C206" i="46"/>
  <c r="C98" i="46"/>
  <c r="C254" i="46"/>
  <c r="C88" i="46"/>
  <c r="C126" i="46"/>
  <c r="C171" i="46"/>
  <c r="C145" i="46"/>
  <c r="C49" i="46"/>
  <c r="C213" i="46"/>
  <c r="F226" i="46"/>
  <c r="F178" i="46"/>
  <c r="F169" i="46"/>
  <c r="F181" i="46"/>
  <c r="F75" i="46"/>
  <c r="F116" i="46"/>
  <c r="G244" i="46"/>
  <c r="G189" i="46"/>
  <c r="G231" i="46"/>
  <c r="G157" i="46"/>
  <c r="G183" i="46"/>
  <c r="G234" i="46"/>
  <c r="G146" i="46"/>
  <c r="C169" i="46"/>
  <c r="C183" i="46"/>
  <c r="C181" i="46"/>
  <c r="C75" i="46"/>
  <c r="C116" i="46"/>
  <c r="G20" i="46"/>
  <c r="G243" i="46"/>
  <c r="G245" i="46"/>
  <c r="C72" i="46"/>
  <c r="C216" i="46"/>
  <c r="D157" i="46"/>
  <c r="D69" i="46"/>
  <c r="D196" i="46"/>
  <c r="D114" i="46"/>
  <c r="D154" i="46"/>
  <c r="D234" i="46"/>
  <c r="D141" i="46"/>
  <c r="D42" i="46"/>
  <c r="D97" i="46"/>
  <c r="D221" i="46"/>
  <c r="E72" i="46"/>
  <c r="E228" i="46"/>
  <c r="E216" i="46"/>
  <c r="E226" i="46"/>
  <c r="E178" i="46"/>
  <c r="E169" i="46"/>
  <c r="E183" i="46"/>
  <c r="E181" i="46"/>
  <c r="E75" i="46"/>
  <c r="E116" i="46"/>
  <c r="G192" i="46"/>
  <c r="G66" i="46"/>
  <c r="G127" i="46"/>
  <c r="G195" i="46"/>
  <c r="G229" i="46"/>
  <c r="G121" i="46"/>
  <c r="G133" i="46"/>
  <c r="G103" i="46"/>
  <c r="G148" i="46"/>
  <c r="G163" i="46"/>
  <c r="G117" i="46"/>
  <c r="G190" i="46"/>
  <c r="G149" i="46"/>
  <c r="G137" i="46"/>
  <c r="G150" i="46"/>
  <c r="G115" i="46"/>
  <c r="G79" i="46"/>
  <c r="G62" i="46"/>
  <c r="G91" i="46"/>
  <c r="G142" i="46"/>
  <c r="G166" i="46"/>
  <c r="G99" i="46"/>
  <c r="G74" i="46"/>
  <c r="G236" i="46"/>
  <c r="G30" i="46"/>
  <c r="G92" i="46"/>
  <c r="G172" i="46"/>
  <c r="G124" i="46"/>
  <c r="G258" i="46"/>
  <c r="G129" i="46"/>
  <c r="G230" i="46"/>
  <c r="G31" i="46"/>
  <c r="G102" i="46"/>
  <c r="G185" i="46"/>
  <c r="G237" i="46"/>
  <c r="G81" i="46"/>
  <c r="G64" i="46"/>
  <c r="G187" i="46"/>
  <c r="G262" i="46"/>
  <c r="G255" i="46"/>
  <c r="G222" i="46"/>
  <c r="G193" i="46"/>
  <c r="G80" i="46"/>
  <c r="G53" i="46"/>
  <c r="G232" i="46"/>
  <c r="G194" i="46"/>
  <c r="G233" i="46"/>
  <c r="G136" i="46"/>
  <c r="G259" i="46"/>
  <c r="C78" i="46"/>
  <c r="G16" i="46"/>
  <c r="G242" i="46"/>
  <c r="G250" i="46"/>
  <c r="I228" i="46"/>
  <c r="C157" i="46"/>
  <c r="C69" i="46"/>
  <c r="C196" i="46"/>
  <c r="C114" i="46"/>
  <c r="C154" i="46"/>
  <c r="C234" i="46"/>
  <c r="C141" i="46"/>
  <c r="C42" i="46"/>
  <c r="C97" i="46"/>
  <c r="C221" i="46"/>
  <c r="C259" i="46"/>
  <c r="D72" i="46"/>
  <c r="D228" i="46"/>
  <c r="D216" i="46"/>
  <c r="F220" i="46"/>
  <c r="F57" i="46"/>
  <c r="F189" i="46"/>
  <c r="F38" i="46"/>
  <c r="F97" i="46"/>
  <c r="F198" i="46"/>
  <c r="F214" i="46"/>
  <c r="F192" i="46"/>
  <c r="I253" i="46"/>
  <c r="G18" i="46"/>
  <c r="G241" i="46"/>
  <c r="G248" i="46"/>
  <c r="C228" i="46"/>
  <c r="D173" i="46"/>
  <c r="D139" i="46"/>
  <c r="D41" i="46"/>
  <c r="D231" i="46"/>
  <c r="D188" i="46"/>
  <c r="D178" i="46"/>
  <c r="D25" i="46"/>
  <c r="D200" i="46"/>
  <c r="D198" i="46"/>
  <c r="E144" i="46"/>
  <c r="E220" i="46"/>
  <c r="E57" i="46"/>
  <c r="E189" i="46"/>
  <c r="E38" i="46"/>
  <c r="E97" i="46"/>
  <c r="E198" i="46"/>
  <c r="E214" i="46"/>
  <c r="G144" i="46"/>
  <c r="G72" i="46"/>
  <c r="G87" i="46"/>
  <c r="G101" i="46"/>
  <c r="G209" i="46"/>
  <c r="G261" i="46"/>
  <c r="G135" i="46"/>
  <c r="G177" i="46"/>
  <c r="G153" i="46"/>
  <c r="G52" i="46"/>
  <c r="G208" i="46"/>
  <c r="G128" i="46"/>
  <c r="G54" i="46"/>
  <c r="G186" i="46"/>
  <c r="G68" i="46"/>
  <c r="G159" i="46"/>
  <c r="G77" i="46"/>
  <c r="G184" i="46"/>
  <c r="G197" i="46"/>
  <c r="G89" i="46"/>
  <c r="G109" i="46"/>
  <c r="G211" i="46"/>
  <c r="G217" i="46"/>
  <c r="G147" i="46"/>
  <c r="G70" i="46"/>
  <c r="G225" i="46"/>
  <c r="G162" i="46"/>
  <c r="G201" i="46"/>
  <c r="G100" i="46"/>
  <c r="G93" i="46"/>
  <c r="G106" i="46"/>
  <c r="G112" i="46"/>
  <c r="G130" i="46"/>
  <c r="G176" i="46"/>
  <c r="G39" i="46"/>
  <c r="G111" i="46"/>
  <c r="G55" i="46"/>
  <c r="G27" i="46"/>
  <c r="G63" i="46"/>
  <c r="G51" i="46"/>
  <c r="G26" i="46"/>
  <c r="G67" i="46"/>
  <c r="G212" i="46"/>
  <c r="G86" i="46"/>
  <c r="G210" i="46"/>
  <c r="G182" i="46"/>
  <c r="G260" i="46"/>
  <c r="G223" i="46"/>
  <c r="G138" i="46"/>
  <c r="G46" i="46"/>
  <c r="BO203" i="1"/>
  <c r="BP203" i="1"/>
  <c r="BO27" i="32"/>
  <c r="BP27" i="32"/>
  <c r="BP42" i="32"/>
  <c r="BP16" i="32"/>
  <c r="BP37" i="32"/>
  <c r="BP24" i="32"/>
  <c r="BP8" i="32"/>
  <c r="BP33" i="32"/>
  <c r="BP26" i="32"/>
  <c r="BP43" i="32"/>
  <c r="BP38" i="32"/>
  <c r="BP19" i="32"/>
  <c r="BP25" i="32"/>
  <c r="BP23" i="32"/>
  <c r="BP22" i="32"/>
  <c r="BP9" i="32"/>
  <c r="BP31" i="32"/>
  <c r="BP30" i="32"/>
  <c r="BP17" i="32"/>
  <c r="BP187" i="32"/>
  <c r="BP11" i="32"/>
  <c r="BP36" i="32"/>
  <c r="BP41" i="32"/>
  <c r="BP39" i="32"/>
  <c r="BP29" i="32"/>
  <c r="BP21" i="32"/>
  <c r="BP20" i="32"/>
  <c r="BP3" i="32"/>
  <c r="BP28" i="32"/>
  <c r="BP34" i="32"/>
  <c r="BP7" i="32"/>
  <c r="BP6" i="32"/>
  <c r="BP13" i="32"/>
  <c r="BP12" i="32"/>
  <c r="BP18" i="32"/>
  <c r="BP15" i="32"/>
  <c r="BP14" i="32"/>
  <c r="BP189" i="32"/>
  <c r="BP188" i="32"/>
  <c r="BP5" i="32"/>
  <c r="BP4" i="32"/>
  <c r="BP10" i="32"/>
  <c r="BP40" i="32"/>
  <c r="BP46" i="32"/>
  <c r="BP35" i="32"/>
  <c r="BP186" i="32"/>
  <c r="BP45" i="32"/>
  <c r="BO24" i="32"/>
  <c r="BO12" i="32"/>
  <c r="BO11" i="32"/>
  <c r="BO8" i="32"/>
  <c r="BO4" i="32"/>
  <c r="BO3" i="32"/>
  <c r="BO22" i="32"/>
  <c r="BO189" i="32"/>
  <c r="BO16" i="32"/>
  <c r="BO186" i="32"/>
  <c r="BO23" i="32"/>
  <c r="BO14" i="32"/>
  <c r="BO21" i="32"/>
  <c r="BO7" i="32"/>
  <c r="BO6" i="32"/>
  <c r="BO13" i="32"/>
  <c r="BO18" i="32"/>
  <c r="BO188" i="32"/>
  <c r="BO15" i="32"/>
  <c r="BO5" i="32"/>
  <c r="BO10" i="32"/>
  <c r="BO9" i="32"/>
  <c r="BO187" i="32"/>
  <c r="BO20" i="32"/>
  <c r="BO19" i="32"/>
  <c r="BO17" i="32"/>
  <c r="BO202" i="1"/>
  <c r="BP202" i="1"/>
  <c r="G14" i="46"/>
  <c r="BO200" i="1"/>
  <c r="BP200" i="1"/>
  <c r="BO201" i="1"/>
  <c r="BP201" i="1"/>
  <c r="F240" i="46"/>
  <c r="G240" i="46"/>
  <c r="BP199" i="1"/>
  <c r="BP198" i="1"/>
  <c r="BO198" i="1"/>
  <c r="BO199" i="1"/>
  <c r="BN183" i="1"/>
  <c r="BY175" i="1"/>
  <c r="BP197" i="1"/>
  <c r="BP196" i="1"/>
  <c r="BO197" i="1"/>
  <c r="BO196" i="1"/>
  <c r="E14" i="46"/>
  <c r="F14" i="46"/>
  <c r="E250" i="46"/>
  <c r="F250" i="46"/>
  <c r="E17" i="46"/>
  <c r="F17" i="46"/>
  <c r="E21" i="46"/>
  <c r="F21" i="46"/>
  <c r="E16" i="46"/>
  <c r="F16" i="46"/>
  <c r="E243" i="46"/>
  <c r="F243" i="46"/>
  <c r="E247" i="46"/>
  <c r="F247" i="46"/>
  <c r="E18" i="46"/>
  <c r="F18" i="46"/>
  <c r="E242" i="46"/>
  <c r="F242" i="46"/>
  <c r="E245" i="46"/>
  <c r="F245" i="46"/>
  <c r="E19" i="46"/>
  <c r="F19" i="46"/>
  <c r="E241" i="46"/>
  <c r="F241" i="46"/>
  <c r="E248" i="46"/>
  <c r="F248" i="46"/>
  <c r="E13" i="46"/>
  <c r="F13" i="46"/>
  <c r="E244" i="46"/>
  <c r="F244" i="46"/>
  <c r="E15" i="46"/>
  <c r="F15" i="46"/>
  <c r="E22" i="46"/>
  <c r="F22" i="46"/>
  <c r="E249" i="46"/>
  <c r="F249" i="46"/>
  <c r="E20" i="46"/>
  <c r="F20" i="46"/>
  <c r="E246" i="46"/>
  <c r="F246" i="46"/>
  <c r="D240" i="46"/>
  <c r="E240" i="46"/>
  <c r="C246" i="46"/>
  <c r="D246" i="46"/>
  <c r="C13" i="46"/>
  <c r="D13" i="46"/>
  <c r="C15" i="46"/>
  <c r="D15" i="46"/>
  <c r="C244" i="46"/>
  <c r="D244" i="46"/>
  <c r="C22" i="46"/>
  <c r="D22" i="46"/>
  <c r="C249" i="46"/>
  <c r="D249" i="46"/>
  <c r="C14" i="46"/>
  <c r="D14" i="46"/>
  <c r="C250" i="46"/>
  <c r="D250" i="46"/>
  <c r="C20" i="46"/>
  <c r="D20" i="46"/>
  <c r="C16" i="46"/>
  <c r="D16" i="46"/>
  <c r="C243" i="46"/>
  <c r="D243" i="46"/>
  <c r="C247" i="46"/>
  <c r="D247" i="46"/>
  <c r="C18" i="46"/>
  <c r="D18" i="46"/>
  <c r="C19" i="46"/>
  <c r="D19" i="46"/>
  <c r="C241" i="46"/>
  <c r="D241" i="46"/>
  <c r="C248" i="46"/>
  <c r="D248" i="46"/>
  <c r="C242" i="46"/>
  <c r="D242" i="46"/>
  <c r="C245" i="46"/>
  <c r="D245" i="46"/>
  <c r="C17" i="46"/>
  <c r="D17" i="46"/>
  <c r="C21" i="46"/>
  <c r="D21" i="46"/>
  <c r="BP2" i="32"/>
  <c r="BO2" i="32"/>
  <c r="C240" i="46"/>
  <c r="I240" i="46"/>
  <c r="BP195" i="1"/>
  <c r="BO195" i="1"/>
  <c r="BO194" i="1"/>
  <c r="BP194" i="1"/>
  <c r="AP175" i="1"/>
  <c r="AK175" i="1"/>
  <c r="I169" i="46"/>
  <c r="I145" i="46"/>
  <c r="I121" i="46"/>
  <c r="I85" i="46"/>
  <c r="C149" i="43"/>
  <c r="C157" i="43"/>
  <c r="C162" i="43"/>
  <c r="C154" i="43"/>
  <c r="C148" i="43"/>
  <c r="C159" i="43"/>
  <c r="C147" i="43"/>
  <c r="K2" i="43"/>
  <c r="L2" i="43" s="1"/>
  <c r="K7" i="43"/>
  <c r="L7" i="43" s="1"/>
  <c r="K18" i="43"/>
  <c r="L18" i="43" s="1"/>
  <c r="P5" i="43" a="1"/>
  <c r="P5" i="43" s="1"/>
  <c r="K20" i="43"/>
  <c r="L20" i="43" s="1"/>
  <c r="T15" i="43"/>
  <c r="Q15" i="43" s="1"/>
  <c r="T13" i="43"/>
  <c r="V13" i="43" s="1" a="1"/>
  <c r="V13" i="43" s="1"/>
  <c r="T9" i="43"/>
  <c r="Q9" i="43" s="1"/>
  <c r="P11" i="43" a="1"/>
  <c r="P11" i="43" s="1"/>
  <c r="K9" i="43"/>
  <c r="L9" i="43" s="1"/>
  <c r="P13" i="43" a="1"/>
  <c r="P13" i="43" s="1"/>
  <c r="T12" i="43"/>
  <c r="Q12" i="43" s="1"/>
  <c r="T8" i="43"/>
  <c r="V8" i="43" s="1" a="1"/>
  <c r="V8" i="43" s="1"/>
  <c r="M22" i="43"/>
  <c r="D144" i="43"/>
  <c r="T11" i="43"/>
  <c r="Q11" i="43" s="1"/>
  <c r="K19" i="43"/>
  <c r="L19" i="43" s="1"/>
  <c r="P8" i="43" a="1"/>
  <c r="P8" i="43" s="1"/>
  <c r="M15" i="43"/>
  <c r="D137" i="43"/>
  <c r="P7" i="43" a="1"/>
  <c r="P7" i="43" s="1"/>
  <c r="P20" i="43" a="1"/>
  <c r="P20" i="43" s="1"/>
  <c r="T2" i="43"/>
  <c r="Z2" i="43" s="1"/>
  <c r="M8" i="43"/>
  <c r="D130" i="43"/>
  <c r="M11" i="43"/>
  <c r="D133" i="43"/>
  <c r="T3" i="43"/>
  <c r="Z3" i="43" s="1"/>
  <c r="P18" i="43" a="1"/>
  <c r="P18" i="43" s="1"/>
  <c r="T17" i="43"/>
  <c r="Q17" i="43" s="1"/>
  <c r="K3" i="43"/>
  <c r="L3" i="43" s="1"/>
  <c r="M13" i="43"/>
  <c r="D135" i="43"/>
  <c r="T14" i="43"/>
  <c r="Z14" i="43" s="1"/>
  <c r="K5" i="43"/>
  <c r="L5" i="43" s="1"/>
  <c r="P15" i="43" a="1"/>
  <c r="P15" i="43" s="1"/>
  <c r="K14" i="43"/>
  <c r="L14" i="43" s="1"/>
  <c r="T4" i="43"/>
  <c r="Q4" i="43" s="1"/>
  <c r="K17" i="43"/>
  <c r="L17" i="43" s="1"/>
  <c r="K10" i="43"/>
  <c r="L10" i="43" s="1"/>
  <c r="K4" i="43"/>
  <c r="L4" i="43" s="1"/>
  <c r="K16" i="43"/>
  <c r="L16" i="43" s="1"/>
  <c r="K6" i="43"/>
  <c r="L6" i="43" s="1"/>
  <c r="K12" i="43"/>
  <c r="L12" i="43" s="1"/>
  <c r="P21" i="43" a="1"/>
  <c r="P21" i="43" s="1"/>
  <c r="P22" i="43" a="1"/>
  <c r="P22" i="43" s="1"/>
  <c r="K21" i="43"/>
  <c r="L21" i="43" s="1"/>
  <c r="P6" i="43" a="1"/>
  <c r="P6" i="43" s="1"/>
  <c r="P19" i="43" a="1"/>
  <c r="P19" i="43" s="1"/>
  <c r="T22" i="43"/>
  <c r="Q22" i="43" s="1"/>
  <c r="P10" i="43" a="1"/>
  <c r="P10" i="43" s="1"/>
  <c r="P16" i="43" a="1"/>
  <c r="P16" i="43" s="1"/>
  <c r="V18" i="43" a="1"/>
  <c r="V18" i="43" s="1"/>
  <c r="Q18" i="43"/>
  <c r="Z18" i="43"/>
  <c r="Q20" i="43"/>
  <c r="Z20" i="43"/>
  <c r="V20" i="43" a="1"/>
  <c r="V20" i="43" s="1"/>
  <c r="Z7" i="43"/>
  <c r="V7" i="43" a="1"/>
  <c r="V7" i="43" s="1"/>
  <c r="Q7" i="43"/>
  <c r="V5" i="43" a="1"/>
  <c r="V5" i="43" s="1"/>
  <c r="Q5" i="43"/>
  <c r="Z5" i="43"/>
  <c r="Z21" i="43"/>
  <c r="V21" i="43" a="1"/>
  <c r="V21" i="43" s="1"/>
  <c r="Q21" i="43"/>
  <c r="Q6" i="43"/>
  <c r="V6" i="43" a="1"/>
  <c r="V6" i="43" s="1"/>
  <c r="Z6" i="43"/>
  <c r="Z19" i="43"/>
  <c r="V19" i="43" a="1"/>
  <c r="V19" i="43" s="1"/>
  <c r="Q19" i="43"/>
  <c r="Q10" i="43"/>
  <c r="V10" i="43" a="1"/>
  <c r="V10" i="43" s="1"/>
  <c r="Z10" i="43"/>
  <c r="V16" i="43" a="1"/>
  <c r="V16" i="43" s="1"/>
  <c r="Q16" i="43"/>
  <c r="Z16" i="43"/>
  <c r="V175" i="1"/>
  <c r="BN12" i="1"/>
  <c r="BN13" i="1"/>
  <c r="BN14" i="1"/>
  <c r="BN15" i="1"/>
  <c r="BN71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16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1" i="1"/>
  <c r="J253" i="51" l="1"/>
  <c r="I97" i="51"/>
  <c r="I205" i="51"/>
  <c r="I181" i="51"/>
  <c r="J121" i="51"/>
  <c r="I73" i="51"/>
  <c r="I37" i="51"/>
  <c r="I157" i="51"/>
  <c r="I217" i="51"/>
  <c r="I229" i="51"/>
  <c r="I13" i="51"/>
  <c r="I133" i="51"/>
  <c r="I109" i="51"/>
  <c r="J145" i="51"/>
  <c r="J85" i="51"/>
  <c r="I241" i="51"/>
  <c r="I61" i="51"/>
  <c r="I193" i="51"/>
  <c r="I49" i="51"/>
  <c r="I25" i="51"/>
  <c r="J169" i="51"/>
  <c r="BO42" i="32"/>
  <c r="BO35" i="32"/>
  <c r="BO25" i="32"/>
  <c r="BO38" i="32"/>
  <c r="BO31" i="32"/>
  <c r="BO41" i="32"/>
  <c r="BO37" i="32"/>
  <c r="BO29" i="32"/>
  <c r="BO36" i="32"/>
  <c r="BO43" i="32"/>
  <c r="BO33" i="32"/>
  <c r="BO34" i="32"/>
  <c r="BO26" i="32"/>
  <c r="BO30" i="32"/>
  <c r="BO45" i="32"/>
  <c r="I25" i="46"/>
  <c r="J253" i="46"/>
  <c r="I13" i="46"/>
  <c r="BO47" i="32" s="1"/>
  <c r="BO46" i="32"/>
  <c r="I241" i="46"/>
  <c r="I229" i="46"/>
  <c r="I217" i="46"/>
  <c r="I205" i="46"/>
  <c r="I193" i="46"/>
  <c r="I181" i="46"/>
  <c r="J169" i="46"/>
  <c r="I157" i="46"/>
  <c r="J145" i="46"/>
  <c r="I133" i="46"/>
  <c r="J121" i="46"/>
  <c r="I109" i="46"/>
  <c r="I97" i="46"/>
  <c r="J85" i="46"/>
  <c r="I73" i="46"/>
  <c r="I61" i="46"/>
  <c r="I49" i="46"/>
  <c r="I37" i="46"/>
  <c r="C189" i="43"/>
  <c r="C188" i="43"/>
  <c r="C187" i="43"/>
  <c r="C181" i="43"/>
  <c r="C174" i="43"/>
  <c r="C186" i="43"/>
  <c r="C176" i="43"/>
  <c r="C184" i="43"/>
  <c r="C175" i="43"/>
  <c r="C178" i="43"/>
  <c r="D124" i="43"/>
  <c r="M2" i="43"/>
  <c r="C151" i="43"/>
  <c r="C153" i="43"/>
  <c r="C156" i="43"/>
  <c r="C166" i="43"/>
  <c r="C163" i="43"/>
  <c r="C161" i="43"/>
  <c r="C160" i="43"/>
  <c r="C165" i="43"/>
  <c r="C155" i="43"/>
  <c r="C152" i="43"/>
  <c r="C167" i="43"/>
  <c r="C164" i="43"/>
  <c r="C158" i="43"/>
  <c r="E133" i="43"/>
  <c r="E137" i="43"/>
  <c r="E144" i="43"/>
  <c r="E135" i="43"/>
  <c r="E130" i="43"/>
  <c r="M20" i="43"/>
  <c r="D140" i="43"/>
  <c r="M9" i="43"/>
  <c r="M7" i="43"/>
  <c r="M18" i="43"/>
  <c r="X5" i="43"/>
  <c r="C173" i="43"/>
  <c r="V15" i="43" a="1"/>
  <c r="V15" i="43" s="1"/>
  <c r="Z15" i="43"/>
  <c r="AF15" i="43" s="1"/>
  <c r="D129" i="43"/>
  <c r="R5" i="43"/>
  <c r="C150" i="43"/>
  <c r="Z13" i="43"/>
  <c r="AB13" i="43" s="1" a="1"/>
  <c r="AB13" i="43" s="1"/>
  <c r="Q13" i="43"/>
  <c r="R13" i="43" s="1"/>
  <c r="V9" i="43" a="1"/>
  <c r="V9" i="43" s="1"/>
  <c r="V14" i="43" a="1"/>
  <c r="V14" i="43" s="1"/>
  <c r="Z9" i="43"/>
  <c r="AB9" i="43" s="1" a="1"/>
  <c r="AB9" i="43" s="1"/>
  <c r="D142" i="43"/>
  <c r="Z8" i="43"/>
  <c r="AL8" i="43" s="1"/>
  <c r="V2" i="43" a="1"/>
  <c r="V2" i="43" s="1"/>
  <c r="V3" i="43" a="1"/>
  <c r="V3" i="43" s="1"/>
  <c r="Q3" i="43"/>
  <c r="R15" i="43"/>
  <c r="V17" i="43" a="1"/>
  <c r="V17" i="43" s="1"/>
  <c r="Z17" i="43"/>
  <c r="W17" i="43" s="1"/>
  <c r="Q8" i="43"/>
  <c r="R8" i="43" s="1"/>
  <c r="R11" i="43"/>
  <c r="V4" i="43" a="1"/>
  <c r="V4" i="43" s="1"/>
  <c r="V12" i="43" a="1"/>
  <c r="V12" i="43" s="1"/>
  <c r="Z4" i="43"/>
  <c r="AF4" i="43" s="1"/>
  <c r="Z12" i="43"/>
  <c r="AB12" i="43" s="1" a="1"/>
  <c r="AB12" i="43" s="1"/>
  <c r="V22" i="43" a="1"/>
  <c r="V22" i="43" s="1"/>
  <c r="D131" i="43"/>
  <c r="Z11" i="43"/>
  <c r="AL11" i="43" s="1"/>
  <c r="Q2" i="43"/>
  <c r="V11" i="43" a="1"/>
  <c r="V11" i="43" s="1"/>
  <c r="Q14" i="43"/>
  <c r="M16" i="43"/>
  <c r="D138" i="43"/>
  <c r="M10" i="43"/>
  <c r="D132" i="43"/>
  <c r="M21" i="43"/>
  <c r="D143" i="43"/>
  <c r="M17" i="43"/>
  <c r="D139" i="43"/>
  <c r="M3" i="43"/>
  <c r="D125" i="43"/>
  <c r="M19" i="43"/>
  <c r="D141" i="43"/>
  <c r="M4" i="43"/>
  <c r="D126" i="43"/>
  <c r="Z22" i="43"/>
  <c r="W22" i="43" s="1"/>
  <c r="M12" i="43"/>
  <c r="D134" i="43"/>
  <c r="M14" i="43"/>
  <c r="D136" i="43"/>
  <c r="M6" i="43"/>
  <c r="D128" i="43"/>
  <c r="M5" i="43"/>
  <c r="D127" i="43"/>
  <c r="R22" i="43"/>
  <c r="AB2" i="43" a="1"/>
  <c r="AB2" i="43" s="1"/>
  <c r="W2" i="43"/>
  <c r="AF2" i="43"/>
  <c r="W16" i="43"/>
  <c r="AF16" i="43"/>
  <c r="AL16" i="43"/>
  <c r="AB16" i="43" a="1"/>
  <c r="AB16" i="43" s="1"/>
  <c r="AB19" i="43" a="1"/>
  <c r="AB19" i="43" s="1"/>
  <c r="AL19" i="43"/>
  <c r="AF19" i="43"/>
  <c r="W19" i="43"/>
  <c r="AL21" i="43"/>
  <c r="AF21" i="43"/>
  <c r="W21" i="43"/>
  <c r="AB21" i="43" a="1"/>
  <c r="AB21" i="43" s="1"/>
  <c r="AB20" i="43" a="1"/>
  <c r="AB20" i="43" s="1"/>
  <c r="W20" i="43"/>
  <c r="AL20" i="43"/>
  <c r="AF20" i="43"/>
  <c r="AF18" i="43"/>
  <c r="AB18" i="43" a="1"/>
  <c r="AB18" i="43" s="1"/>
  <c r="W18" i="43"/>
  <c r="AL18" i="43"/>
  <c r="AF10" i="43"/>
  <c r="W10" i="43"/>
  <c r="AB10" i="43" a="1"/>
  <c r="AB10" i="43" s="1"/>
  <c r="AL10" i="43"/>
  <c r="AL3" i="43"/>
  <c r="W3" i="43"/>
  <c r="AB3" i="43" a="1"/>
  <c r="AB3" i="43" s="1"/>
  <c r="AF3" i="43"/>
  <c r="AL14" i="43"/>
  <c r="AB14" i="43" a="1"/>
  <c r="AB14" i="43" s="1"/>
  <c r="W14" i="43"/>
  <c r="AF14" i="43"/>
  <c r="W6" i="43"/>
  <c r="AF6" i="43"/>
  <c r="AB6" i="43" a="1"/>
  <c r="AB6" i="43" s="1"/>
  <c r="AL6" i="43"/>
  <c r="W5" i="43"/>
  <c r="AL5" i="43"/>
  <c r="AF5" i="43"/>
  <c r="AB5" i="43" a="1"/>
  <c r="AB5" i="43" s="1"/>
  <c r="AL7" i="43"/>
  <c r="AF7" i="43"/>
  <c r="AB7" i="43" a="1"/>
  <c r="AB7" i="43" s="1"/>
  <c r="W7" i="43"/>
  <c r="Q174" i="1"/>
  <c r="I254" i="51" l="1"/>
  <c r="J61" i="51"/>
  <c r="J133" i="51"/>
  <c r="J217" i="51"/>
  <c r="J193" i="51"/>
  <c r="J109" i="51"/>
  <c r="J49" i="51"/>
  <c r="J157" i="51"/>
  <c r="I50" i="51"/>
  <c r="J97" i="51"/>
  <c r="J205" i="51"/>
  <c r="J229" i="51"/>
  <c r="I122" i="51"/>
  <c r="I170" i="51"/>
  <c r="J37" i="51"/>
  <c r="J25" i="51"/>
  <c r="J241" i="51"/>
  <c r="J181" i="51"/>
  <c r="I86" i="51"/>
  <c r="I146" i="51"/>
  <c r="I51" i="51"/>
  <c r="J13" i="51"/>
  <c r="J73" i="51"/>
  <c r="BO56" i="32"/>
  <c r="BO57" i="32"/>
  <c r="BO61" i="32"/>
  <c r="BO59" i="32"/>
  <c r="BO54" i="32"/>
  <c r="BO49" i="32"/>
  <c r="I170" i="46"/>
  <c r="BO48" i="32"/>
  <c r="J25" i="46"/>
  <c r="I254" i="46"/>
  <c r="I146" i="46"/>
  <c r="I51" i="46"/>
  <c r="J13" i="46"/>
  <c r="BP47" i="32" s="1"/>
  <c r="I122" i="46"/>
  <c r="I50" i="46"/>
  <c r="J37" i="46"/>
  <c r="I86" i="46"/>
  <c r="BO44" i="32"/>
  <c r="BO52" i="32"/>
  <c r="BO32" i="32"/>
  <c r="BO60" i="32"/>
  <c r="BO66" i="32"/>
  <c r="BO67" i="32"/>
  <c r="BO51" i="32"/>
  <c r="BO58" i="32"/>
  <c r="BO55" i="32"/>
  <c r="BO63" i="32"/>
  <c r="BO62" i="32"/>
  <c r="BO64" i="32"/>
  <c r="BY174" i="1"/>
  <c r="J241" i="46"/>
  <c r="J229" i="46"/>
  <c r="J217" i="46"/>
  <c r="J205" i="46"/>
  <c r="J193" i="46"/>
  <c r="J181" i="46"/>
  <c r="J157" i="46"/>
  <c r="J133" i="46"/>
  <c r="J109" i="46"/>
  <c r="J97" i="46"/>
  <c r="J73" i="46"/>
  <c r="J61" i="46"/>
  <c r="J49" i="46"/>
  <c r="R18" i="43"/>
  <c r="R20" i="43"/>
  <c r="R7" i="43"/>
  <c r="R9" i="43"/>
  <c r="C201" i="43"/>
  <c r="C200" i="43"/>
  <c r="C203" i="43"/>
  <c r="C211" i="43"/>
  <c r="C210" i="43"/>
  <c r="C212" i="43"/>
  <c r="C207" i="43"/>
  <c r="C198" i="43"/>
  <c r="C197" i="43"/>
  <c r="C194" i="43"/>
  <c r="C209" i="43"/>
  <c r="C190" i="43"/>
  <c r="C185" i="43"/>
  <c r="C177" i="43"/>
  <c r="C179" i="43"/>
  <c r="C180" i="43"/>
  <c r="C172" i="43"/>
  <c r="C171" i="43"/>
  <c r="C183" i="43"/>
  <c r="E124" i="43"/>
  <c r="R2" i="43"/>
  <c r="E126" i="43"/>
  <c r="E143" i="43"/>
  <c r="E140" i="43"/>
  <c r="E142" i="43"/>
  <c r="E127" i="43"/>
  <c r="E141" i="43"/>
  <c r="E132" i="43"/>
  <c r="E129" i="43"/>
  <c r="E125" i="43"/>
  <c r="E138" i="43"/>
  <c r="E131" i="43"/>
  <c r="C205" i="43"/>
  <c r="AD2" i="43"/>
  <c r="C193" i="43"/>
  <c r="AD5" i="43"/>
  <c r="C196" i="43"/>
  <c r="C204" i="43"/>
  <c r="AL15" i="43"/>
  <c r="AR15" i="43" s="1"/>
  <c r="Y5" i="43"/>
  <c r="D173" i="43"/>
  <c r="X2" i="43"/>
  <c r="C170" i="43"/>
  <c r="C182" i="43"/>
  <c r="W13" i="43"/>
  <c r="AF13" i="43"/>
  <c r="AC13" i="43" s="1"/>
  <c r="W15" i="43"/>
  <c r="AB15" i="43" a="1"/>
  <c r="AB15" i="43" s="1"/>
  <c r="AL13" i="43"/>
  <c r="AN13" i="43" s="1" a="1"/>
  <c r="AN13" i="43" s="1"/>
  <c r="S22" i="43"/>
  <c r="D167" i="43"/>
  <c r="S15" i="43"/>
  <c r="D160" i="43"/>
  <c r="S13" i="43"/>
  <c r="D158" i="43"/>
  <c r="S11" i="43"/>
  <c r="D156" i="43"/>
  <c r="S8" i="43"/>
  <c r="D153" i="43"/>
  <c r="S5" i="43"/>
  <c r="D150" i="43"/>
  <c r="AF9" i="43"/>
  <c r="AH9" i="43" s="1" a="1"/>
  <c r="AH9" i="43" s="1"/>
  <c r="AF8" i="43"/>
  <c r="AH8" i="43" s="1" a="1"/>
  <c r="AH8" i="43" s="1"/>
  <c r="R19" i="43"/>
  <c r="AL9" i="43"/>
  <c r="AN9" i="43" s="1" a="1"/>
  <c r="AN9" i="43" s="1"/>
  <c r="W9" i="43"/>
  <c r="R3" i="43"/>
  <c r="W8" i="43"/>
  <c r="AB8" i="43" a="1"/>
  <c r="AB8" i="43" s="1"/>
  <c r="AL12" i="43"/>
  <c r="AR12" i="43" s="1"/>
  <c r="AF17" i="43"/>
  <c r="AH17" i="43" s="1" a="1"/>
  <c r="AH17" i="43" s="1"/>
  <c r="R10" i="43"/>
  <c r="AF12" i="43"/>
  <c r="AC12" i="43" s="1"/>
  <c r="AB17" i="43" a="1"/>
  <c r="AB17" i="43" s="1"/>
  <c r="W12" i="43"/>
  <c r="AL17" i="43"/>
  <c r="AR17" i="43" s="1"/>
  <c r="AB4" i="43" a="1"/>
  <c r="AB4" i="43" s="1"/>
  <c r="W4" i="43"/>
  <c r="AB22" i="43" a="1"/>
  <c r="AB22" i="43" s="1"/>
  <c r="AL22" i="43"/>
  <c r="AI22" i="43" s="1"/>
  <c r="AF22" i="43"/>
  <c r="AC22" i="43" s="1"/>
  <c r="AL4" i="43"/>
  <c r="AN4" i="43" s="1" a="1"/>
  <c r="AN4" i="43" s="1"/>
  <c r="R4" i="43"/>
  <c r="R16" i="43"/>
  <c r="R14" i="43"/>
  <c r="E136" i="43"/>
  <c r="AB11" i="43" a="1"/>
  <c r="AB11" i="43" s="1"/>
  <c r="R12" i="43"/>
  <c r="E134" i="43"/>
  <c r="W11" i="43"/>
  <c r="R6" i="43"/>
  <c r="E128" i="43"/>
  <c r="R17" i="43"/>
  <c r="E139" i="43"/>
  <c r="AF11" i="43"/>
  <c r="AC11" i="43" s="1"/>
  <c r="R21" i="43"/>
  <c r="AH2" i="43" a="1"/>
  <c r="AH2" i="43" s="1"/>
  <c r="AC2" i="43"/>
  <c r="AL2" i="43"/>
  <c r="AH18" i="43" a="1"/>
  <c r="AH18" i="43" s="1"/>
  <c r="AC18" i="43"/>
  <c r="AH15" i="43" a="1"/>
  <c r="AH15" i="43" s="1"/>
  <c r="AC15" i="43"/>
  <c r="AC19" i="43"/>
  <c r="AH19" i="43" a="1"/>
  <c r="AH19" i="43" s="1"/>
  <c r="AN11" i="43" a="1"/>
  <c r="AN11" i="43" s="1"/>
  <c r="AI11" i="43"/>
  <c r="AR11" i="43"/>
  <c r="AI8" i="43"/>
  <c r="AN8" i="43" a="1"/>
  <c r="AN8" i="43" s="1"/>
  <c r="AR8" i="43"/>
  <c r="AI19" i="43"/>
  <c r="AR19" i="43"/>
  <c r="AN19" i="43" a="1"/>
  <c r="AN19" i="43" s="1"/>
  <c r="AC10" i="43"/>
  <c r="AH10" i="43" a="1"/>
  <c r="AH10" i="43" s="1"/>
  <c r="AH20" i="43" a="1"/>
  <c r="AH20" i="43" s="1"/>
  <c r="AC20" i="43"/>
  <c r="AI14" i="43"/>
  <c r="AR14" i="43"/>
  <c r="AN14" i="43" a="1"/>
  <c r="AN14" i="43" s="1"/>
  <c r="AR20" i="43"/>
  <c r="AI20" i="43"/>
  <c r="AN20" i="43" a="1"/>
  <c r="AN20" i="43" s="1"/>
  <c r="AH4" i="43" a="1"/>
  <c r="AH4" i="43" s="1"/>
  <c r="AC4" i="43"/>
  <c r="AH7" i="43" a="1"/>
  <c r="AH7" i="43" s="1"/>
  <c r="AC7" i="43"/>
  <c r="AR6" i="43"/>
  <c r="AN6" i="43" a="1"/>
  <c r="AN6" i="43" s="1"/>
  <c r="AI6" i="43"/>
  <c r="AI16" i="43"/>
  <c r="AR16" i="43"/>
  <c r="AN16" i="43" a="1"/>
  <c r="AN16" i="43" s="1"/>
  <c r="AH5" i="43" a="1"/>
  <c r="AH5" i="43" s="1"/>
  <c r="AC5" i="43"/>
  <c r="AR10" i="43"/>
  <c r="AN10" i="43" a="1"/>
  <c r="AN10" i="43" s="1"/>
  <c r="AI10" i="43"/>
  <c r="AR7" i="43"/>
  <c r="AN7" i="43" a="1"/>
  <c r="AN7" i="43" s="1"/>
  <c r="AI7" i="43"/>
  <c r="AH3" i="43" a="1"/>
  <c r="AH3" i="43" s="1"/>
  <c r="AC3" i="43"/>
  <c r="AI18" i="43"/>
  <c r="AN18" i="43" a="1"/>
  <c r="AN18" i="43" s="1"/>
  <c r="AR18" i="43"/>
  <c r="AH21" i="43" a="1"/>
  <c r="AH21" i="43" s="1"/>
  <c r="AC21" i="43"/>
  <c r="AC16" i="43"/>
  <c r="AH16" i="43" a="1"/>
  <c r="AH16" i="43" s="1"/>
  <c r="AI5" i="43"/>
  <c r="AN5" i="43" a="1"/>
  <c r="AN5" i="43" s="1"/>
  <c r="AR5" i="43"/>
  <c r="AC14" i="43"/>
  <c r="AH14" i="43" a="1"/>
  <c r="AH14" i="43" s="1"/>
  <c r="AR3" i="43"/>
  <c r="AN3" i="43" a="1"/>
  <c r="AN3" i="43" s="1"/>
  <c r="AI3" i="43"/>
  <c r="AH6" i="43" a="1"/>
  <c r="AH6" i="43" s="1"/>
  <c r="AC6" i="43"/>
  <c r="AR21" i="43"/>
  <c r="AI21" i="43"/>
  <c r="AN21" i="43" a="1"/>
  <c r="AN21" i="43" s="1"/>
  <c r="V174" i="1"/>
  <c r="BN182" i="1"/>
  <c r="X174" i="1"/>
  <c r="AL174" i="1"/>
  <c r="F174" i="1"/>
  <c r="Q172" i="1"/>
  <c r="Q173" i="1"/>
  <c r="X173" i="1"/>
  <c r="AL173" i="1"/>
  <c r="F173" i="1"/>
  <c r="X172" i="1"/>
  <c r="AL172" i="1"/>
  <c r="F172" i="1"/>
  <c r="I194" i="51" l="1"/>
  <c r="I158" i="51"/>
  <c r="I62" i="51"/>
  <c r="I38" i="51"/>
  <c r="I26" i="51"/>
  <c r="I74" i="51"/>
  <c r="I14" i="51"/>
  <c r="I206" i="51"/>
  <c r="J86" i="51"/>
  <c r="J146" i="51"/>
  <c r="J254" i="51"/>
  <c r="I15" i="51"/>
  <c r="I16" i="51"/>
  <c r="I230" i="51"/>
  <c r="I242" i="51"/>
  <c r="I134" i="51"/>
  <c r="I182" i="51"/>
  <c r="I110" i="51"/>
  <c r="I218" i="51"/>
  <c r="J50" i="51"/>
  <c r="J122" i="51"/>
  <c r="J170" i="51"/>
  <c r="J51" i="51"/>
  <c r="I52" i="51"/>
  <c r="I98" i="51"/>
  <c r="BP49" i="32"/>
  <c r="BP57" i="32"/>
  <c r="BP59" i="32"/>
  <c r="BP54" i="32"/>
  <c r="BP61" i="32"/>
  <c r="BP48" i="32"/>
  <c r="J86" i="46"/>
  <c r="J254" i="46"/>
  <c r="I15" i="46"/>
  <c r="I16" i="46"/>
  <c r="I134" i="46"/>
  <c r="I110" i="46"/>
  <c r="BO76" i="32" s="1"/>
  <c r="I218" i="46"/>
  <c r="J122" i="46"/>
  <c r="J51" i="46"/>
  <c r="J146" i="46"/>
  <c r="I194" i="46"/>
  <c r="I158" i="46"/>
  <c r="BO79" i="32" s="1"/>
  <c r="I14" i="46"/>
  <c r="I182" i="46"/>
  <c r="J50" i="46"/>
  <c r="J170" i="46"/>
  <c r="I52" i="46"/>
  <c r="I62" i="46"/>
  <c r="I38" i="46"/>
  <c r="BO50" i="32" s="1"/>
  <c r="I26" i="46"/>
  <c r="BO68" i="32" s="1"/>
  <c r="BP44" i="32"/>
  <c r="BP62" i="32"/>
  <c r="BP55" i="32"/>
  <c r="BP66" i="32"/>
  <c r="BP67" i="32"/>
  <c r="BP51" i="32"/>
  <c r="BP63" i="32"/>
  <c r="BP52" i="32"/>
  <c r="BP64" i="32"/>
  <c r="BP32" i="32"/>
  <c r="BP58" i="32"/>
  <c r="BP56" i="32"/>
  <c r="BP60" i="32"/>
  <c r="BY173" i="1"/>
  <c r="BY172" i="1"/>
  <c r="I242" i="46"/>
  <c r="AP172" i="1"/>
  <c r="AK172" i="1"/>
  <c r="AP174" i="1"/>
  <c r="AK174" i="1"/>
  <c r="AP173" i="1"/>
  <c r="AK173" i="1"/>
  <c r="D165" i="43"/>
  <c r="I230" i="46"/>
  <c r="S18" i="43"/>
  <c r="I206" i="46"/>
  <c r="D154" i="43"/>
  <c r="I98" i="46"/>
  <c r="S7" i="43"/>
  <c r="I74" i="46"/>
  <c r="S9" i="43"/>
  <c r="D163" i="43"/>
  <c r="S20" i="43"/>
  <c r="D152" i="43"/>
  <c r="C253" i="43"/>
  <c r="C255" i="43"/>
  <c r="C240" i="43"/>
  <c r="C245" i="43"/>
  <c r="C258" i="43"/>
  <c r="C257" i="43"/>
  <c r="C244" i="43"/>
  <c r="C247" i="43"/>
  <c r="C243" i="43"/>
  <c r="C256" i="43"/>
  <c r="C241" i="43"/>
  <c r="C246" i="43"/>
  <c r="C229" i="43"/>
  <c r="C230" i="43"/>
  <c r="C217" i="43"/>
  <c r="C221" i="43"/>
  <c r="C222" i="43"/>
  <c r="C223" i="43"/>
  <c r="C234" i="43"/>
  <c r="C235" i="43"/>
  <c r="C224" i="43"/>
  <c r="C232" i="43"/>
  <c r="C218" i="43"/>
  <c r="C233" i="43"/>
  <c r="C195" i="43"/>
  <c r="C199" i="43"/>
  <c r="C208" i="43"/>
  <c r="C213" i="43"/>
  <c r="C206" i="43"/>
  <c r="S2" i="43"/>
  <c r="E173" i="43"/>
  <c r="D147" i="43"/>
  <c r="E150" i="43"/>
  <c r="E153" i="43"/>
  <c r="E156" i="43"/>
  <c r="E167" i="43"/>
  <c r="C251" i="43"/>
  <c r="C248" i="43"/>
  <c r="AP5" i="43"/>
  <c r="C242" i="43"/>
  <c r="C250" i="43"/>
  <c r="AI15" i="43"/>
  <c r="AN15" i="43" a="1"/>
  <c r="AN15" i="43" s="1"/>
  <c r="AJ5" i="43"/>
  <c r="C219" i="43"/>
  <c r="C220" i="43"/>
  <c r="C231" i="43"/>
  <c r="AJ2" i="43"/>
  <c r="C216" i="43"/>
  <c r="C228" i="43"/>
  <c r="AE5" i="43"/>
  <c r="D196" i="43"/>
  <c r="AE2" i="43"/>
  <c r="D193" i="43"/>
  <c r="C202" i="43"/>
  <c r="AH13" i="43" a="1"/>
  <c r="AH13" i="43" s="1"/>
  <c r="Y2" i="43"/>
  <c r="D170" i="43"/>
  <c r="AC8" i="43"/>
  <c r="AR13" i="43"/>
  <c r="AT13" i="43" s="1" a="1"/>
  <c r="AT13" i="43" s="1"/>
  <c r="AI13" i="43"/>
  <c r="AN12" i="43" a="1"/>
  <c r="AN12" i="43" s="1"/>
  <c r="AC9" i="43"/>
  <c r="X22" i="43"/>
  <c r="X11" i="43"/>
  <c r="AI12" i="43"/>
  <c r="X15" i="43"/>
  <c r="E160" i="43"/>
  <c r="X13" i="43"/>
  <c r="E158" i="43"/>
  <c r="S21" i="43"/>
  <c r="D166" i="43"/>
  <c r="S3" i="43"/>
  <c r="D148" i="43"/>
  <c r="S4" i="43"/>
  <c r="D149" i="43"/>
  <c r="X8" i="43"/>
  <c r="S12" i="43"/>
  <c r="D157" i="43"/>
  <c r="AR9" i="43"/>
  <c r="AO9" i="43" s="1"/>
  <c r="S17" i="43"/>
  <c r="D162" i="43"/>
  <c r="S10" i="43"/>
  <c r="D155" i="43"/>
  <c r="AI9" i="43"/>
  <c r="S14" i="43"/>
  <c r="D159" i="43"/>
  <c r="S19" i="43"/>
  <c r="D164" i="43"/>
  <c r="S6" i="43"/>
  <c r="D151" i="43"/>
  <c r="S16" i="43"/>
  <c r="D161" i="43"/>
  <c r="AR22" i="43"/>
  <c r="AO22" i="43" s="1"/>
  <c r="AN22" i="43" a="1"/>
  <c r="AN22" i="43" s="1"/>
  <c r="AC17" i="43"/>
  <c r="AH12" i="43" a="1"/>
  <c r="AH12" i="43" s="1"/>
  <c r="AR4" i="43"/>
  <c r="AO4" i="43" s="1"/>
  <c r="AH22" i="43" a="1"/>
  <c r="AH22" i="43" s="1"/>
  <c r="AN17" i="43" a="1"/>
  <c r="AN17" i="43" s="1"/>
  <c r="AI17" i="43"/>
  <c r="AI4" i="43"/>
  <c r="AH11" i="43" a="1"/>
  <c r="AH11" i="43" s="1"/>
  <c r="AR2" i="43"/>
  <c r="AI2" i="43"/>
  <c r="AN2" i="43" a="1"/>
  <c r="AN2" i="43" s="1"/>
  <c r="AO20" i="43"/>
  <c r="AT20" i="43" a="1"/>
  <c r="AT20" i="43" s="1"/>
  <c r="AX20" i="43"/>
  <c r="AO5" i="43"/>
  <c r="AT5" i="43" a="1"/>
  <c r="AT5" i="43" s="1"/>
  <c r="AX5" i="43"/>
  <c r="AO16" i="43"/>
  <c r="AX16" i="43"/>
  <c r="AT16" i="43" a="1"/>
  <c r="AT16" i="43" s="1"/>
  <c r="AO10" i="43"/>
  <c r="AT10" i="43" a="1"/>
  <c r="AT10" i="43" s="1"/>
  <c r="AX10" i="43"/>
  <c r="AX15" i="43"/>
  <c r="AT15" i="43" a="1"/>
  <c r="AT15" i="43" s="1"/>
  <c r="AO15" i="43"/>
  <c r="AO7" i="43"/>
  <c r="AX7" i="43"/>
  <c r="AT7" i="43" a="1"/>
  <c r="AT7" i="43" s="1"/>
  <c r="AT12" i="43" a="1"/>
  <c r="AT12" i="43" s="1"/>
  <c r="AX12" i="43"/>
  <c r="AO12" i="43"/>
  <c r="AT3" i="43" a="1"/>
  <c r="AT3" i="43" s="1"/>
  <c r="AX3" i="43"/>
  <c r="AO3" i="43"/>
  <c r="AX18" i="43"/>
  <c r="AT18" i="43" a="1"/>
  <c r="AT18" i="43" s="1"/>
  <c r="AO18" i="43"/>
  <c r="AO19" i="43"/>
  <c r="AT19" i="43" a="1"/>
  <c r="AT19" i="43" s="1"/>
  <c r="AX19" i="43"/>
  <c r="AT11" i="43" a="1"/>
  <c r="AT11" i="43" s="1"/>
  <c r="AO11" i="43"/>
  <c r="AX11" i="43"/>
  <c r="AT6" i="43" a="1"/>
  <c r="AT6" i="43" s="1"/>
  <c r="AX6" i="43"/>
  <c r="AO6" i="43"/>
  <c r="AT14" i="43" a="1"/>
  <c r="AT14" i="43" s="1"/>
  <c r="AO14" i="43"/>
  <c r="AX14" i="43"/>
  <c r="AO8" i="43"/>
  <c r="AX8" i="43"/>
  <c r="AT8" i="43" a="1"/>
  <c r="AT8" i="43" s="1"/>
  <c r="AT17" i="43" a="1"/>
  <c r="AT17" i="43" s="1"/>
  <c r="AX17" i="43"/>
  <c r="AO17" i="43"/>
  <c r="AT21" i="43" a="1"/>
  <c r="AT21" i="43" s="1"/>
  <c r="AO21" i="43"/>
  <c r="AX21" i="43"/>
  <c r="V173" i="1"/>
  <c r="BN181" i="1"/>
  <c r="V172" i="1"/>
  <c r="BN180" i="1"/>
  <c r="Q171" i="1"/>
  <c r="Q170" i="1"/>
  <c r="X170" i="1"/>
  <c r="AL170" i="1"/>
  <c r="F170" i="1"/>
  <c r="X171" i="1"/>
  <c r="AL171" i="1"/>
  <c r="F171" i="1"/>
  <c r="J62" i="51" l="1"/>
  <c r="J158" i="51"/>
  <c r="J134" i="51"/>
  <c r="J14" i="51"/>
  <c r="J194" i="51"/>
  <c r="I87" i="51"/>
  <c r="J26" i="51"/>
  <c r="I147" i="51"/>
  <c r="I123" i="51"/>
  <c r="J15" i="51"/>
  <c r="J16" i="51"/>
  <c r="J98" i="51"/>
  <c r="J182" i="51"/>
  <c r="J218" i="51"/>
  <c r="I255" i="51"/>
  <c r="I17" i="51"/>
  <c r="I53" i="51"/>
  <c r="J110" i="51"/>
  <c r="J38" i="51"/>
  <c r="J242" i="51"/>
  <c r="I171" i="51"/>
  <c r="J52" i="51"/>
  <c r="I54" i="51"/>
  <c r="J230" i="51"/>
  <c r="J74" i="51"/>
  <c r="J206" i="51"/>
  <c r="BO71" i="32"/>
  <c r="BO77" i="32"/>
  <c r="BO74" i="32"/>
  <c r="BO81" i="32"/>
  <c r="BO82" i="32"/>
  <c r="BO78" i="32"/>
  <c r="BO80" i="32"/>
  <c r="BO102" i="32"/>
  <c r="BO65" i="32"/>
  <c r="I54" i="46"/>
  <c r="J206" i="46"/>
  <c r="J134" i="46"/>
  <c r="J14" i="46"/>
  <c r="I87" i="46"/>
  <c r="J16" i="46"/>
  <c r="X9" i="43"/>
  <c r="J182" i="46"/>
  <c r="I53" i="46"/>
  <c r="J110" i="46"/>
  <c r="BP76" i="32" s="1"/>
  <c r="J38" i="46"/>
  <c r="BP50" i="32" s="1"/>
  <c r="I171" i="46"/>
  <c r="J52" i="46"/>
  <c r="J74" i="46"/>
  <c r="J62" i="46"/>
  <c r="I147" i="46"/>
  <c r="J194" i="46"/>
  <c r="J26" i="46"/>
  <c r="BP68" i="32" s="1"/>
  <c r="I123" i="46"/>
  <c r="J15" i="46"/>
  <c r="J218" i="46"/>
  <c r="I255" i="46"/>
  <c r="I17" i="46"/>
  <c r="BO84" i="32"/>
  <c r="BO86" i="32"/>
  <c r="BO87" i="32"/>
  <c r="BO72" i="32"/>
  <c r="BO53" i="32"/>
  <c r="BO75" i="32"/>
  <c r="J158" i="46"/>
  <c r="X14" i="43"/>
  <c r="BY171" i="1"/>
  <c r="BY170" i="1"/>
  <c r="J242" i="46"/>
  <c r="AP171" i="1"/>
  <c r="AK171" i="1"/>
  <c r="AP170" i="1"/>
  <c r="AK170" i="1"/>
  <c r="X20" i="43"/>
  <c r="J230" i="46"/>
  <c r="E163" i="43"/>
  <c r="X18" i="43"/>
  <c r="X7" i="43"/>
  <c r="E154" i="43"/>
  <c r="J98" i="46"/>
  <c r="E152" i="43"/>
  <c r="E165" i="43"/>
  <c r="C280" i="43"/>
  <c r="C278" i="43"/>
  <c r="C263" i="43"/>
  <c r="C275" i="43"/>
  <c r="C267" i="43"/>
  <c r="C281" i="43"/>
  <c r="C279" i="43"/>
  <c r="C268" i="43"/>
  <c r="C276" i="43"/>
  <c r="C270" i="43"/>
  <c r="E147" i="43"/>
  <c r="C259" i="43"/>
  <c r="C252" i="43"/>
  <c r="C236" i="43"/>
  <c r="E193" i="43"/>
  <c r="E196" i="43"/>
  <c r="E170" i="43"/>
  <c r="E159" i="43"/>
  <c r="E157" i="43"/>
  <c r="E149" i="43"/>
  <c r="AV11" i="43"/>
  <c r="C271" i="43"/>
  <c r="C273" i="43"/>
  <c r="C274" i="43"/>
  <c r="AV5" i="43"/>
  <c r="C265" i="43"/>
  <c r="AV17" i="43"/>
  <c r="C277" i="43"/>
  <c r="AV12" i="43"/>
  <c r="C272" i="43"/>
  <c r="AV6" i="43"/>
  <c r="C266" i="43"/>
  <c r="AQ5" i="43"/>
  <c r="D242" i="43"/>
  <c r="AP2" i="43"/>
  <c r="C239" i="43"/>
  <c r="AP17" i="43"/>
  <c r="C254" i="43"/>
  <c r="AP12" i="43"/>
  <c r="C249" i="43"/>
  <c r="AK2" i="43"/>
  <c r="D216" i="43"/>
  <c r="AK5" i="43"/>
  <c r="D219" i="43"/>
  <c r="C227" i="43"/>
  <c r="C226" i="43"/>
  <c r="C225" i="43"/>
  <c r="X4" i="43"/>
  <c r="AX13" i="43"/>
  <c r="AZ13" i="43" s="1" a="1"/>
  <c r="AZ13" i="43" s="1"/>
  <c r="AO13" i="43"/>
  <c r="Y11" i="43"/>
  <c r="D179" i="43"/>
  <c r="Y8" i="43"/>
  <c r="D176" i="43"/>
  <c r="Y22" i="43"/>
  <c r="D190" i="43"/>
  <c r="Y13" i="43"/>
  <c r="D181" i="43"/>
  <c r="Y15" i="43"/>
  <c r="D183" i="43"/>
  <c r="AX9" i="43"/>
  <c r="AU9" i="43" s="1"/>
  <c r="AT9" i="43" a="1"/>
  <c r="AT9" i="43" s="1"/>
  <c r="AT22" i="43" a="1"/>
  <c r="AT22" i="43" s="1"/>
  <c r="X12" i="43"/>
  <c r="X17" i="43"/>
  <c r="E162" i="43"/>
  <c r="X3" i="43"/>
  <c r="E148" i="43"/>
  <c r="X19" i="43"/>
  <c r="E164" i="43"/>
  <c r="X16" i="43"/>
  <c r="E161" i="43"/>
  <c r="X21" i="43"/>
  <c r="E166" i="43"/>
  <c r="X10" i="43"/>
  <c r="E155" i="43"/>
  <c r="X6" i="43"/>
  <c r="E151" i="43"/>
  <c r="AX22" i="43"/>
  <c r="BD22" i="43" s="1"/>
  <c r="AX4" i="43"/>
  <c r="BD4" i="43" s="1"/>
  <c r="AT4" i="43" a="1"/>
  <c r="AT4" i="43" s="1"/>
  <c r="AU11" i="43"/>
  <c r="BD11" i="43"/>
  <c r="AZ11" i="43" a="1"/>
  <c r="AZ11" i="43" s="1"/>
  <c r="AX2" i="43"/>
  <c r="AT2" i="43" a="1"/>
  <c r="AT2" i="43" s="1"/>
  <c r="AO2" i="43"/>
  <c r="AU21" i="43"/>
  <c r="BD21" i="43"/>
  <c r="AZ21" i="43" a="1"/>
  <c r="AZ21" i="43" s="1"/>
  <c r="AU18" i="43"/>
  <c r="BD18" i="43"/>
  <c r="AZ18" i="43" a="1"/>
  <c r="AZ18" i="43" s="1"/>
  <c r="BD12" i="43"/>
  <c r="AZ12" i="43" a="1"/>
  <c r="AZ12" i="43" s="1"/>
  <c r="AU12" i="43"/>
  <c r="AZ17" i="43" a="1"/>
  <c r="AZ17" i="43" s="1"/>
  <c r="AU17" i="43"/>
  <c r="BD17" i="43"/>
  <c r="BD6" i="43"/>
  <c r="AU6" i="43"/>
  <c r="AZ6" i="43" a="1"/>
  <c r="AZ6" i="43" s="1"/>
  <c r="AU8" i="43"/>
  <c r="BD8" i="43"/>
  <c r="AZ8" i="43" a="1"/>
  <c r="AZ8" i="43" s="1"/>
  <c r="AU19" i="43"/>
  <c r="BD19" i="43"/>
  <c r="AZ19" i="43" a="1"/>
  <c r="AZ19" i="43" s="1"/>
  <c r="BD3" i="43"/>
  <c r="AZ3" i="43" a="1"/>
  <c r="AZ3" i="43" s="1"/>
  <c r="AU3" i="43"/>
  <c r="AU15" i="43"/>
  <c r="BD15" i="43"/>
  <c r="AZ15" i="43" a="1"/>
  <c r="AZ15" i="43" s="1"/>
  <c r="AU20" i="43"/>
  <c r="BD20" i="43"/>
  <c r="AZ20" i="43" a="1"/>
  <c r="AZ20" i="43" s="1"/>
  <c r="AZ10" i="43" a="1"/>
  <c r="AZ10" i="43" s="1"/>
  <c r="AU10" i="43"/>
  <c r="BD10" i="43"/>
  <c r="BD5" i="43"/>
  <c r="AU5" i="43"/>
  <c r="AZ5" i="43" a="1"/>
  <c r="AZ5" i="43" s="1"/>
  <c r="AZ16" i="43" a="1"/>
  <c r="AZ16" i="43" s="1"/>
  <c r="BD16" i="43"/>
  <c r="AU16" i="43"/>
  <c r="AZ14" i="43" a="1"/>
  <c r="AZ14" i="43" s="1"/>
  <c r="AU14" i="43"/>
  <c r="BD14" i="43"/>
  <c r="BD7" i="43"/>
  <c r="AZ7" i="43" a="1"/>
  <c r="AZ7" i="43" s="1"/>
  <c r="AU7" i="43"/>
  <c r="V170" i="1"/>
  <c r="BN179" i="1"/>
  <c r="BN178" i="1"/>
  <c r="V171" i="1"/>
  <c r="F11" i="5"/>
  <c r="F10" i="5"/>
  <c r="F9" i="5"/>
  <c r="F8" i="5"/>
  <c r="H159" i="25"/>
  <c r="H158" i="25"/>
  <c r="H157" i="25"/>
  <c r="H156" i="25"/>
  <c r="X169" i="1"/>
  <c r="AL169" i="1"/>
  <c r="V169" i="1"/>
  <c r="F169" i="1"/>
  <c r="I135" i="51" l="1"/>
  <c r="I39" i="51"/>
  <c r="I75" i="51"/>
  <c r="I231" i="51"/>
  <c r="I159" i="51"/>
  <c r="I111" i="51"/>
  <c r="I183" i="51"/>
  <c r="I27" i="51"/>
  <c r="J171" i="51"/>
  <c r="J255" i="51"/>
  <c r="J123" i="51"/>
  <c r="J53" i="51"/>
  <c r="I138" i="51"/>
  <c r="I18" i="51"/>
  <c r="I67" i="51"/>
  <c r="I199" i="51"/>
  <c r="I207" i="51"/>
  <c r="I63" i="51"/>
  <c r="I243" i="51"/>
  <c r="I219" i="51"/>
  <c r="I195" i="51"/>
  <c r="J147" i="51"/>
  <c r="J87" i="51"/>
  <c r="J17" i="51"/>
  <c r="I198" i="51"/>
  <c r="J54" i="51"/>
  <c r="I139" i="51"/>
  <c r="I55" i="51"/>
  <c r="I127" i="51"/>
  <c r="Y9" i="43"/>
  <c r="E177" i="43" s="1"/>
  <c r="I99" i="51"/>
  <c r="BP72" i="32"/>
  <c r="BP53" i="32"/>
  <c r="BP77" i="32"/>
  <c r="BP74" i="32"/>
  <c r="BP71" i="32"/>
  <c r="BP84" i="32"/>
  <c r="BP81" i="32"/>
  <c r="BP82" i="32"/>
  <c r="BP65" i="32"/>
  <c r="D177" i="43"/>
  <c r="BP78" i="32"/>
  <c r="BP102" i="32"/>
  <c r="I75" i="46"/>
  <c r="I195" i="46"/>
  <c r="BO83" i="32" s="1"/>
  <c r="J53" i="46"/>
  <c r="I18" i="46"/>
  <c r="I199" i="46"/>
  <c r="I207" i="46"/>
  <c r="BO104" i="32" s="1"/>
  <c r="I99" i="46"/>
  <c r="I111" i="46"/>
  <c r="I27" i="46"/>
  <c r="J171" i="46"/>
  <c r="J87" i="46"/>
  <c r="I198" i="46"/>
  <c r="I139" i="46"/>
  <c r="I127" i="46"/>
  <c r="I135" i="46"/>
  <c r="BO97" i="32" s="1"/>
  <c r="I183" i="46"/>
  <c r="BO101" i="32" s="1"/>
  <c r="J255" i="46"/>
  <c r="J17" i="46"/>
  <c r="J54" i="46"/>
  <c r="I55" i="46"/>
  <c r="I39" i="46"/>
  <c r="BO70" i="32" s="1"/>
  <c r="D188" i="43"/>
  <c r="I63" i="46"/>
  <c r="BO94" i="32" s="1"/>
  <c r="I219" i="46"/>
  <c r="I138" i="46"/>
  <c r="I67" i="46"/>
  <c r="BP75" i="32"/>
  <c r="BO90" i="32"/>
  <c r="BP79" i="32"/>
  <c r="BP80" i="32"/>
  <c r="BO96" i="32"/>
  <c r="BP86" i="32"/>
  <c r="BP87" i="32"/>
  <c r="I159" i="46"/>
  <c r="Y14" i="43"/>
  <c r="D182" i="43"/>
  <c r="J123" i="46"/>
  <c r="AD11" i="43"/>
  <c r="J147" i="46"/>
  <c r="AD13" i="43"/>
  <c r="I243" i="46"/>
  <c r="AP169" i="1"/>
  <c r="D186" i="43"/>
  <c r="Y7" i="43"/>
  <c r="Y20" i="43"/>
  <c r="I231" i="46"/>
  <c r="Y18" i="43"/>
  <c r="D175" i="43"/>
  <c r="C298" i="43"/>
  <c r="C293" i="43"/>
  <c r="C286" i="43"/>
  <c r="C303" i="43"/>
  <c r="C301" i="43"/>
  <c r="C291" i="43"/>
  <c r="C299" i="43"/>
  <c r="C302" i="43"/>
  <c r="C264" i="43"/>
  <c r="C282" i="43"/>
  <c r="C269" i="43"/>
  <c r="E242" i="43"/>
  <c r="E219" i="43"/>
  <c r="E216" i="43"/>
  <c r="E179" i="43"/>
  <c r="E181" i="43"/>
  <c r="E176" i="43"/>
  <c r="Y4" i="43"/>
  <c r="C297" i="43"/>
  <c r="BB12" i="43"/>
  <c r="C295" i="43"/>
  <c r="BB6" i="43"/>
  <c r="C289" i="43"/>
  <c r="BB17" i="43"/>
  <c r="C300" i="43"/>
  <c r="BB21" i="43"/>
  <c r="C304" i="43"/>
  <c r="BB11" i="43"/>
  <c r="C294" i="43"/>
  <c r="BB7" i="43"/>
  <c r="C290" i="43"/>
  <c r="BB5" i="43"/>
  <c r="C288" i="43"/>
  <c r="BB13" i="43"/>
  <c r="C296" i="43"/>
  <c r="AW5" i="43"/>
  <c r="D265" i="43"/>
  <c r="AW6" i="43"/>
  <c r="D266" i="43"/>
  <c r="AW12" i="43"/>
  <c r="D272" i="43"/>
  <c r="AW17" i="43"/>
  <c r="D277" i="43"/>
  <c r="AW11" i="43"/>
  <c r="D271" i="43"/>
  <c r="AV2" i="43"/>
  <c r="C262" i="43"/>
  <c r="AQ12" i="43"/>
  <c r="D249" i="43"/>
  <c r="AQ17" i="43"/>
  <c r="D254" i="43"/>
  <c r="AQ2" i="43"/>
  <c r="D239" i="43"/>
  <c r="AU13" i="43"/>
  <c r="BD13" i="43"/>
  <c r="BJ13" i="43" s="1"/>
  <c r="AD8" i="43"/>
  <c r="D172" i="43"/>
  <c r="AD22" i="43"/>
  <c r="E190" i="43"/>
  <c r="AZ9" i="43" a="1"/>
  <c r="AZ9" i="43" s="1"/>
  <c r="BD9" i="43"/>
  <c r="BA9" i="43" s="1"/>
  <c r="AD15" i="43"/>
  <c r="E183" i="43"/>
  <c r="Y16" i="43"/>
  <c r="D184" i="43"/>
  <c r="Y6" i="43"/>
  <c r="D174" i="43"/>
  <c r="Y19" i="43"/>
  <c r="D187" i="43"/>
  <c r="Y10" i="43"/>
  <c r="D178" i="43"/>
  <c r="Y3" i="43"/>
  <c r="D171" i="43"/>
  <c r="Y12" i="43"/>
  <c r="D180" i="43"/>
  <c r="Y21" i="43"/>
  <c r="D189" i="43"/>
  <c r="Y17" i="43"/>
  <c r="D185" i="43"/>
  <c r="AU22" i="43"/>
  <c r="AZ4" i="43" a="1"/>
  <c r="AZ4" i="43" s="1"/>
  <c r="AU4" i="43"/>
  <c r="AZ22" i="43" a="1"/>
  <c r="AZ22" i="43" s="1"/>
  <c r="BF8" i="43" a="1"/>
  <c r="BF8" i="43" s="1"/>
  <c r="BA8" i="43"/>
  <c r="BJ8" i="43"/>
  <c r="BA12" i="43"/>
  <c r="BJ12" i="43"/>
  <c r="BF12" i="43" a="1"/>
  <c r="BF12" i="43" s="1"/>
  <c r="BJ18" i="43"/>
  <c r="BF18" i="43" a="1"/>
  <c r="BF18" i="43" s="1"/>
  <c r="BA18" i="43"/>
  <c r="BA16" i="43"/>
  <c r="BJ16" i="43"/>
  <c r="BF16" i="43" a="1"/>
  <c r="BF16" i="43" s="1"/>
  <c r="BA5" i="43"/>
  <c r="BF5" i="43" a="1"/>
  <c r="BF5" i="43" s="1"/>
  <c r="BJ5" i="43"/>
  <c r="AU2" i="43"/>
  <c r="AZ2" i="43" a="1"/>
  <c r="AZ2" i="43" s="1"/>
  <c r="BD2" i="43"/>
  <c r="BJ15" i="43"/>
  <c r="BF15" i="43" a="1"/>
  <c r="BF15" i="43" s="1"/>
  <c r="BA15" i="43"/>
  <c r="BF3" i="43" a="1"/>
  <c r="BF3" i="43" s="1"/>
  <c r="BA3" i="43"/>
  <c r="BJ3" i="43"/>
  <c r="BA6" i="43"/>
  <c r="BF6" i="43" a="1"/>
  <c r="BF6" i="43" s="1"/>
  <c r="BJ6" i="43"/>
  <c r="BA10" i="43"/>
  <c r="BJ10" i="43"/>
  <c r="BF10" i="43" a="1"/>
  <c r="BF10" i="43" s="1"/>
  <c r="BF11" i="43" a="1"/>
  <c r="BF11" i="43" s="1"/>
  <c r="BA11" i="43"/>
  <c r="BJ11" i="43"/>
  <c r="BF20" i="43" a="1"/>
  <c r="BF20" i="43" s="1"/>
  <c r="BA20" i="43"/>
  <c r="BJ20" i="43"/>
  <c r="BA17" i="43"/>
  <c r="BF17" i="43" a="1"/>
  <c r="BF17" i="43" s="1"/>
  <c r="BJ17" i="43"/>
  <c r="BF14" i="43" a="1"/>
  <c r="BF14" i="43" s="1"/>
  <c r="BA14" i="43"/>
  <c r="BJ14" i="43"/>
  <c r="BJ4" i="43"/>
  <c r="BF4" i="43" a="1"/>
  <c r="BF4" i="43" s="1"/>
  <c r="BA4" i="43"/>
  <c r="BA7" i="43"/>
  <c r="BF7" i="43" a="1"/>
  <c r="BF7" i="43" s="1"/>
  <c r="BJ7" i="43"/>
  <c r="BF22" i="43" a="1"/>
  <c r="BF22" i="43" s="1"/>
  <c r="BA22" i="43"/>
  <c r="BJ22" i="43"/>
  <c r="BF19" i="43" a="1"/>
  <c r="BF19" i="43" s="1"/>
  <c r="BJ19" i="43"/>
  <c r="BA19" i="43"/>
  <c r="BA21" i="43"/>
  <c r="BJ21" i="43"/>
  <c r="BF21" i="43" a="1"/>
  <c r="BF21" i="43" s="1"/>
  <c r="H129" i="24"/>
  <c r="H115" i="24"/>
  <c r="H101" i="24"/>
  <c r="H87" i="24"/>
  <c r="T42" i="5"/>
  <c r="O42" i="5"/>
  <c r="N42" i="5"/>
  <c r="Q168" i="1"/>
  <c r="Q42" i="5"/>
  <c r="J99" i="46" l="1"/>
  <c r="AD9" i="43"/>
  <c r="I100" i="51" s="1"/>
  <c r="J198" i="51"/>
  <c r="I19" i="51"/>
  <c r="J199" i="51"/>
  <c r="J67" i="51"/>
  <c r="I152" i="51"/>
  <c r="I80" i="51"/>
  <c r="I248" i="51"/>
  <c r="I68" i="51"/>
  <c r="J39" i="51"/>
  <c r="J207" i="51"/>
  <c r="J159" i="51"/>
  <c r="J243" i="51"/>
  <c r="J27" i="51"/>
  <c r="J219" i="51"/>
  <c r="J183" i="51"/>
  <c r="I124" i="51"/>
  <c r="J99" i="51"/>
  <c r="I88" i="51"/>
  <c r="J138" i="51"/>
  <c r="J139" i="51"/>
  <c r="I56" i="51"/>
  <c r="I200" i="51"/>
  <c r="J18" i="51"/>
  <c r="J127" i="51"/>
  <c r="J55" i="51"/>
  <c r="I128" i="51"/>
  <c r="I140" i="51"/>
  <c r="J231" i="51"/>
  <c r="J195" i="51"/>
  <c r="J135" i="51"/>
  <c r="J111" i="51"/>
  <c r="J63" i="51"/>
  <c r="I172" i="51"/>
  <c r="I256" i="51"/>
  <c r="J75" i="51"/>
  <c r="I148" i="51"/>
  <c r="BO92" i="32"/>
  <c r="BO88" i="32"/>
  <c r="BO91" i="32"/>
  <c r="BO85" i="32"/>
  <c r="BO103" i="32"/>
  <c r="BO73" i="32"/>
  <c r="J18" i="46"/>
  <c r="J127" i="46"/>
  <c r="J55" i="46"/>
  <c r="I128" i="46"/>
  <c r="I140" i="46"/>
  <c r="J135" i="46"/>
  <c r="J63" i="46"/>
  <c r="BP94" i="32" s="1"/>
  <c r="I256" i="46"/>
  <c r="J75" i="46"/>
  <c r="I100" i="46"/>
  <c r="J198" i="46"/>
  <c r="J199" i="46"/>
  <c r="I152" i="46"/>
  <c r="J39" i="46"/>
  <c r="BP70" i="32" s="1"/>
  <c r="J27" i="46"/>
  <c r="J183" i="46"/>
  <c r="BP101" i="32" s="1"/>
  <c r="I88" i="46"/>
  <c r="J138" i="46"/>
  <c r="J139" i="46"/>
  <c r="I56" i="46"/>
  <c r="I200" i="46"/>
  <c r="BO98" i="32"/>
  <c r="J195" i="46"/>
  <c r="BP83" i="32" s="1"/>
  <c r="J111" i="46"/>
  <c r="I172" i="46"/>
  <c r="I19" i="46"/>
  <c r="J67" i="46"/>
  <c r="I80" i="46"/>
  <c r="I68" i="46"/>
  <c r="J207" i="46"/>
  <c r="BP104" i="32" s="1"/>
  <c r="J219" i="46"/>
  <c r="BO95" i="32"/>
  <c r="BO114" i="32"/>
  <c r="BP97" i="32"/>
  <c r="BP90" i="32"/>
  <c r="BO100" i="32"/>
  <c r="BO106" i="32"/>
  <c r="BO107" i="32"/>
  <c r="J159" i="46"/>
  <c r="AD14" i="43"/>
  <c r="E182" i="43"/>
  <c r="I124" i="46"/>
  <c r="AE11" i="43"/>
  <c r="D202" i="43"/>
  <c r="I148" i="46"/>
  <c r="BO99" i="32" s="1"/>
  <c r="AE13" i="43"/>
  <c r="D204" i="43"/>
  <c r="I248" i="46"/>
  <c r="J243" i="46"/>
  <c r="E175" i="43"/>
  <c r="AD7" i="43"/>
  <c r="E186" i="43"/>
  <c r="J231" i="46"/>
  <c r="AD20" i="43"/>
  <c r="E188" i="43"/>
  <c r="AD18" i="43"/>
  <c r="C325" i="43"/>
  <c r="C314" i="43"/>
  <c r="C309" i="43"/>
  <c r="C322" i="43"/>
  <c r="C321" i="43"/>
  <c r="C326" i="43"/>
  <c r="C287" i="43"/>
  <c r="C292" i="43"/>
  <c r="E265" i="43"/>
  <c r="E277" i="43"/>
  <c r="E272" i="43"/>
  <c r="E266" i="43"/>
  <c r="E271" i="43"/>
  <c r="E239" i="43"/>
  <c r="E249" i="43"/>
  <c r="E254" i="43"/>
  <c r="BA13" i="43"/>
  <c r="AE8" i="43"/>
  <c r="AD4" i="43"/>
  <c r="E172" i="43"/>
  <c r="BH7" i="43"/>
  <c r="C313" i="43"/>
  <c r="BH11" i="43"/>
  <c r="C317" i="43"/>
  <c r="BH18" i="43"/>
  <c r="C324" i="43"/>
  <c r="BH5" i="43"/>
  <c r="C311" i="43"/>
  <c r="BH12" i="43"/>
  <c r="C318" i="43"/>
  <c r="C310" i="43"/>
  <c r="BH14" i="43"/>
  <c r="C320" i="43"/>
  <c r="BH17" i="43"/>
  <c r="C323" i="43"/>
  <c r="BH10" i="43"/>
  <c r="C316" i="43"/>
  <c r="BH6" i="43"/>
  <c r="C312" i="43"/>
  <c r="BH21" i="43"/>
  <c r="C327" i="43"/>
  <c r="BH22" i="43"/>
  <c r="C328" i="43"/>
  <c r="BC5" i="43"/>
  <c r="D288" i="43"/>
  <c r="BC17" i="43"/>
  <c r="D300" i="43"/>
  <c r="BC7" i="43"/>
  <c r="D290" i="43"/>
  <c r="BC6" i="43"/>
  <c r="D289" i="43"/>
  <c r="BC11" i="43"/>
  <c r="D294" i="43"/>
  <c r="BC12" i="43"/>
  <c r="D295" i="43"/>
  <c r="BC13" i="43"/>
  <c r="D296" i="43"/>
  <c r="BC21" i="43"/>
  <c r="D304" i="43"/>
  <c r="BB2" i="43"/>
  <c r="C285" i="43"/>
  <c r="BB22" i="43"/>
  <c r="C305" i="43"/>
  <c r="AW2" i="43"/>
  <c r="D262" i="43"/>
  <c r="BF13" i="43" a="1"/>
  <c r="BF13" i="43" s="1"/>
  <c r="D199" i="43"/>
  <c r="AE15" i="43"/>
  <c r="D206" i="43"/>
  <c r="AE22" i="43"/>
  <c r="D213" i="43"/>
  <c r="BF9" i="43" a="1"/>
  <c r="BF9" i="43" s="1"/>
  <c r="BJ9" i="43"/>
  <c r="BL9" i="43" s="1" a="1"/>
  <c r="BL9" i="43" s="1"/>
  <c r="AD3" i="43"/>
  <c r="E171" i="43"/>
  <c r="AD16" i="43"/>
  <c r="E184" i="43"/>
  <c r="AD12" i="43"/>
  <c r="E180" i="43"/>
  <c r="AD6" i="43"/>
  <c r="E174" i="43"/>
  <c r="AD17" i="43"/>
  <c r="E185" i="43"/>
  <c r="AD10" i="43"/>
  <c r="E178" i="43"/>
  <c r="AD21" i="43"/>
  <c r="E189" i="43"/>
  <c r="AD19" i="43"/>
  <c r="E187" i="43"/>
  <c r="BF2" i="43" a="1"/>
  <c r="BF2" i="43" s="1"/>
  <c r="BJ2" i="43"/>
  <c r="BA2" i="43"/>
  <c r="BL19" i="43" a="1"/>
  <c r="BL19" i="43" s="1"/>
  <c r="BG19" i="43"/>
  <c r="BP19" i="43"/>
  <c r="BM19" i="43" s="1"/>
  <c r="BL21" i="43" a="1"/>
  <c r="BL21" i="43" s="1"/>
  <c r="BG21" i="43"/>
  <c r="BP21" i="43"/>
  <c r="BM21" i="43" s="1"/>
  <c r="BP7" i="43"/>
  <c r="BM7" i="43" s="1"/>
  <c r="BG7" i="43"/>
  <c r="BL7" i="43" a="1"/>
  <c r="BL7" i="43" s="1"/>
  <c r="BG11" i="43"/>
  <c r="BP11" i="43"/>
  <c r="BM11" i="43" s="1"/>
  <c r="BL11" i="43" a="1"/>
  <c r="BL11" i="43" s="1"/>
  <c r="BG6" i="43"/>
  <c r="BP6" i="43"/>
  <c r="BM6" i="43" s="1"/>
  <c r="BL6" i="43" a="1"/>
  <c r="BL6" i="43" s="1"/>
  <c r="BG15" i="43"/>
  <c r="BL15" i="43" a="1"/>
  <c r="BL15" i="43" s="1"/>
  <c r="BP15" i="43"/>
  <c r="BM15" i="43" s="1"/>
  <c r="BL8" i="43" a="1"/>
  <c r="BL8" i="43" s="1"/>
  <c r="BP8" i="43"/>
  <c r="BM8" i="43" s="1"/>
  <c r="BG8" i="43"/>
  <c r="BL22" i="43" a="1"/>
  <c r="BL22" i="43" s="1"/>
  <c r="BG22" i="43"/>
  <c r="BP22" i="43"/>
  <c r="BM22" i="43" s="1"/>
  <c r="BG4" i="43"/>
  <c r="BL4" i="43" a="1"/>
  <c r="BL4" i="43" s="1"/>
  <c r="BP4" i="43"/>
  <c r="BM4" i="43" s="1"/>
  <c r="BL20" i="43" a="1"/>
  <c r="BL20" i="43" s="1"/>
  <c r="BG20" i="43"/>
  <c r="BP20" i="43"/>
  <c r="BM20" i="43" s="1"/>
  <c r="BP5" i="43"/>
  <c r="BM5" i="43" s="1"/>
  <c r="BG5" i="43"/>
  <c r="BL5" i="43" a="1"/>
  <c r="BL5" i="43" s="1"/>
  <c r="BG10" i="43"/>
  <c r="BP10" i="43"/>
  <c r="BM10" i="43" s="1"/>
  <c r="BL10" i="43" a="1"/>
  <c r="BL10" i="43" s="1"/>
  <c r="BP16" i="43"/>
  <c r="BM16" i="43" s="1"/>
  <c r="BG16" i="43"/>
  <c r="BL16" i="43" a="1"/>
  <c r="BL16" i="43" s="1"/>
  <c r="BP17" i="43"/>
  <c r="BM17" i="43" s="1"/>
  <c r="BL17" i="43" a="1"/>
  <c r="BL17" i="43" s="1"/>
  <c r="BG17" i="43"/>
  <c r="BP12" i="43"/>
  <c r="BM12" i="43" s="1"/>
  <c r="BG12" i="43"/>
  <c r="BL12" i="43" a="1"/>
  <c r="BL12" i="43" s="1"/>
  <c r="BG14" i="43"/>
  <c r="BP14" i="43"/>
  <c r="BM14" i="43" s="1"/>
  <c r="BL14" i="43" a="1"/>
  <c r="BL14" i="43" s="1"/>
  <c r="BP18" i="43"/>
  <c r="BM18" i="43" s="1"/>
  <c r="BL18" i="43" a="1"/>
  <c r="BL18" i="43" s="1"/>
  <c r="BG18" i="43"/>
  <c r="BP3" i="43"/>
  <c r="BM3" i="43" s="1"/>
  <c r="BL3" i="43" a="1"/>
  <c r="BL3" i="43" s="1"/>
  <c r="BG3" i="43"/>
  <c r="BL13" i="43" a="1"/>
  <c r="BL13" i="43" s="1"/>
  <c r="BP13" i="43"/>
  <c r="BM13" i="43" s="1"/>
  <c r="BG13" i="43"/>
  <c r="V168" i="1"/>
  <c r="BN177" i="1"/>
  <c r="P42" i="5"/>
  <c r="AE9" i="43" l="1"/>
  <c r="J100" i="51" s="1"/>
  <c r="D200" i="43"/>
  <c r="I244" i="51"/>
  <c r="I196" i="51"/>
  <c r="I28" i="51"/>
  <c r="J19" i="51"/>
  <c r="J128" i="51"/>
  <c r="I249" i="51"/>
  <c r="I220" i="51"/>
  <c r="I112" i="51"/>
  <c r="I64" i="51"/>
  <c r="I184" i="51"/>
  <c r="J256" i="51"/>
  <c r="I260" i="51"/>
  <c r="J248" i="51"/>
  <c r="J140" i="51"/>
  <c r="J68" i="51"/>
  <c r="J200" i="51"/>
  <c r="I261" i="51"/>
  <c r="I69" i="51"/>
  <c r="I201" i="51"/>
  <c r="J88" i="51"/>
  <c r="I232" i="51"/>
  <c r="J148" i="51"/>
  <c r="I136" i="51"/>
  <c r="J172" i="51"/>
  <c r="I20" i="51"/>
  <c r="J152" i="51"/>
  <c r="J80" i="51"/>
  <c r="J56" i="51"/>
  <c r="I117" i="51"/>
  <c r="I165" i="51"/>
  <c r="I208" i="51"/>
  <c r="I160" i="51"/>
  <c r="I57" i="51"/>
  <c r="I129" i="51"/>
  <c r="I40" i="51"/>
  <c r="I76" i="51"/>
  <c r="J124" i="51"/>
  <c r="I141" i="51"/>
  <c r="I213" i="51"/>
  <c r="I81" i="51"/>
  <c r="BP98" i="32"/>
  <c r="BP95" i="32"/>
  <c r="BP92" i="32"/>
  <c r="BP88" i="32"/>
  <c r="BP91" i="32"/>
  <c r="BP85" i="32"/>
  <c r="BP73" i="32"/>
  <c r="BP103" i="32"/>
  <c r="I76" i="46"/>
  <c r="I141" i="46"/>
  <c r="I81" i="46"/>
  <c r="I196" i="46"/>
  <c r="I28" i="46"/>
  <c r="BO108" i="32" s="1"/>
  <c r="J172" i="46"/>
  <c r="I20" i="46"/>
  <c r="J128" i="46"/>
  <c r="J56" i="46"/>
  <c r="I117" i="46"/>
  <c r="I213" i="46"/>
  <c r="I136" i="46"/>
  <c r="BO118" i="32" s="1"/>
  <c r="J19" i="46"/>
  <c r="J152" i="46"/>
  <c r="J80" i="46"/>
  <c r="I165" i="46"/>
  <c r="I208" i="46"/>
  <c r="I57" i="46"/>
  <c r="I220" i="46"/>
  <c r="I64" i="46"/>
  <c r="BO111" i="32" s="1"/>
  <c r="I261" i="46"/>
  <c r="J88" i="46"/>
  <c r="BP114" i="32" s="1"/>
  <c r="I129" i="46"/>
  <c r="I40" i="46"/>
  <c r="I112" i="46"/>
  <c r="I184" i="46"/>
  <c r="J256" i="46"/>
  <c r="I260" i="46"/>
  <c r="J140" i="46"/>
  <c r="J200" i="46"/>
  <c r="I69" i="46"/>
  <c r="J68" i="46"/>
  <c r="I201" i="46"/>
  <c r="BP96" i="32"/>
  <c r="BO117" i="32"/>
  <c r="BP106" i="32"/>
  <c r="BP107" i="32"/>
  <c r="BP99" i="32"/>
  <c r="BP100" i="32"/>
  <c r="I160" i="46"/>
  <c r="AE14" i="43"/>
  <c r="D205" i="43"/>
  <c r="J124" i="46"/>
  <c r="AJ11" i="43"/>
  <c r="E202" i="43"/>
  <c r="J148" i="46"/>
  <c r="E204" i="43"/>
  <c r="AJ13" i="43"/>
  <c r="J248" i="46"/>
  <c r="I249" i="46"/>
  <c r="I244" i="46"/>
  <c r="AJ8" i="43"/>
  <c r="D198" i="43"/>
  <c r="AE7" i="43"/>
  <c r="I232" i="46"/>
  <c r="D211" i="43"/>
  <c r="AE20" i="43"/>
  <c r="D209" i="43"/>
  <c r="AE18" i="43"/>
  <c r="C345" i="43"/>
  <c r="C337" i="43"/>
  <c r="E295" i="43"/>
  <c r="E300" i="43"/>
  <c r="E294" i="43"/>
  <c r="E288" i="43"/>
  <c r="E304" i="43"/>
  <c r="E289" i="43"/>
  <c r="E296" i="43"/>
  <c r="E290" i="43"/>
  <c r="E262" i="43"/>
  <c r="D195" i="43"/>
  <c r="AE4" i="43"/>
  <c r="E199" i="43"/>
  <c r="BN6" i="43"/>
  <c r="C335" i="43"/>
  <c r="BN22" i="43"/>
  <c r="C351" i="43"/>
  <c r="BN17" i="43"/>
  <c r="C346" i="43"/>
  <c r="BN5" i="43"/>
  <c r="C334" i="43"/>
  <c r="BN13" i="43"/>
  <c r="C342" i="43"/>
  <c r="C332" i="43"/>
  <c r="BN12" i="43"/>
  <c r="C341" i="43"/>
  <c r="BN9" i="43"/>
  <c r="C338" i="43"/>
  <c r="BN10" i="43"/>
  <c r="C339" i="43"/>
  <c r="BN20" i="43"/>
  <c r="C349" i="43"/>
  <c r="BN11" i="43"/>
  <c r="C340" i="43"/>
  <c r="BN21" i="43"/>
  <c r="C350" i="43"/>
  <c r="BN18" i="43"/>
  <c r="C347" i="43"/>
  <c r="C333" i="43"/>
  <c r="BN19" i="43"/>
  <c r="C348" i="43"/>
  <c r="BN15" i="43"/>
  <c r="C344" i="43"/>
  <c r="BN7" i="43"/>
  <c r="C336" i="43"/>
  <c r="BN14" i="43"/>
  <c r="C343" i="43"/>
  <c r="BI6" i="43"/>
  <c r="D312" i="43"/>
  <c r="BI11" i="43"/>
  <c r="D317" i="43"/>
  <c r="BI22" i="43"/>
  <c r="D328" i="43"/>
  <c r="BI17" i="43"/>
  <c r="D323" i="43"/>
  <c r="BI5" i="43"/>
  <c r="D311" i="43"/>
  <c r="BI14" i="43"/>
  <c r="D320" i="43"/>
  <c r="BI18" i="43"/>
  <c r="D324" i="43"/>
  <c r="BI21" i="43"/>
  <c r="D327" i="43"/>
  <c r="BI10" i="43"/>
  <c r="D316" i="43"/>
  <c r="BI12" i="43"/>
  <c r="D318" i="43"/>
  <c r="BI7" i="43"/>
  <c r="D313" i="43"/>
  <c r="BH9" i="43"/>
  <c r="C315" i="43"/>
  <c r="BH13" i="43"/>
  <c r="C319" i="43"/>
  <c r="BH2" i="43"/>
  <c r="C308" i="43"/>
  <c r="BC22" i="43"/>
  <c r="D305" i="43"/>
  <c r="BC2" i="43"/>
  <c r="D285" i="43"/>
  <c r="AJ15" i="43"/>
  <c r="E206" i="43"/>
  <c r="AJ22" i="43"/>
  <c r="E213" i="43"/>
  <c r="AE21" i="43"/>
  <c r="D212" i="43"/>
  <c r="AE12" i="43"/>
  <c r="D203" i="43"/>
  <c r="AE10" i="43"/>
  <c r="D201" i="43"/>
  <c r="AE16" i="43"/>
  <c r="D207" i="43"/>
  <c r="AE19" i="43"/>
  <c r="D210" i="43"/>
  <c r="AE6" i="43"/>
  <c r="D197" i="43"/>
  <c r="BP9" i="43"/>
  <c r="BM9" i="43" s="1"/>
  <c r="AE17" i="43"/>
  <c r="D208" i="43"/>
  <c r="AE3" i="43"/>
  <c r="D194" i="43"/>
  <c r="BG9" i="43"/>
  <c r="BP2" i="43"/>
  <c r="BM2" i="43" s="1"/>
  <c r="BL2" i="43" a="1"/>
  <c r="BL2" i="43" s="1"/>
  <c r="BG2" i="43"/>
  <c r="Q166" i="1"/>
  <c r="Q167" i="1"/>
  <c r="E200" i="43" l="1"/>
  <c r="AJ9" i="43"/>
  <c r="I101" i="51" s="1"/>
  <c r="J100" i="46"/>
  <c r="J184" i="51"/>
  <c r="J136" i="51"/>
  <c r="J260" i="51"/>
  <c r="J117" i="51"/>
  <c r="J57" i="51"/>
  <c r="J69" i="51"/>
  <c r="I58" i="51"/>
  <c r="I89" i="51"/>
  <c r="I125" i="51"/>
  <c r="J64" i="51"/>
  <c r="I257" i="51"/>
  <c r="I153" i="51"/>
  <c r="J213" i="51"/>
  <c r="I82" i="51"/>
  <c r="J28" i="51"/>
  <c r="I214" i="51"/>
  <c r="I130" i="51"/>
  <c r="I118" i="51"/>
  <c r="I142" i="51"/>
  <c r="J232" i="51"/>
  <c r="J160" i="51"/>
  <c r="I173" i="51"/>
  <c r="J81" i="51"/>
  <c r="J261" i="51"/>
  <c r="I226" i="51"/>
  <c r="I262" i="51"/>
  <c r="J40" i="51"/>
  <c r="I149" i="51"/>
  <c r="J196" i="51"/>
  <c r="I250" i="51"/>
  <c r="I238" i="51"/>
  <c r="I106" i="51"/>
  <c r="J208" i="51"/>
  <c r="J220" i="51"/>
  <c r="J112" i="51"/>
  <c r="J244" i="51"/>
  <c r="J20" i="51"/>
  <c r="I21" i="51"/>
  <c r="I105" i="51"/>
  <c r="J141" i="51"/>
  <c r="J249" i="51"/>
  <c r="J165" i="51"/>
  <c r="J201" i="51"/>
  <c r="J129" i="51"/>
  <c r="I166" i="51"/>
  <c r="I178" i="51"/>
  <c r="I154" i="51"/>
  <c r="I202" i="51"/>
  <c r="I70" i="51"/>
  <c r="J76" i="51"/>
  <c r="BO93" i="32"/>
  <c r="BO121" i="32"/>
  <c r="BO115" i="32"/>
  <c r="BO123" i="32"/>
  <c r="BO116" i="32"/>
  <c r="BO69" i="32"/>
  <c r="BO112" i="32"/>
  <c r="BO122" i="32"/>
  <c r="I130" i="46"/>
  <c r="I142" i="46"/>
  <c r="J57" i="46"/>
  <c r="I238" i="46"/>
  <c r="J208" i="46"/>
  <c r="I173" i="46"/>
  <c r="J220" i="46"/>
  <c r="J20" i="46"/>
  <c r="I105" i="46"/>
  <c r="J201" i="46"/>
  <c r="I70" i="46"/>
  <c r="J28" i="46"/>
  <c r="BP108" i="32" s="1"/>
  <c r="I214" i="46"/>
  <c r="I118" i="46"/>
  <c r="I166" i="46"/>
  <c r="I154" i="46"/>
  <c r="J184" i="46"/>
  <c r="I257" i="46"/>
  <c r="J260" i="46"/>
  <c r="J81" i="46"/>
  <c r="J213" i="46"/>
  <c r="J261" i="46"/>
  <c r="I82" i="46"/>
  <c r="I58" i="46"/>
  <c r="J40" i="46"/>
  <c r="I106" i="46"/>
  <c r="BO105" i="32"/>
  <c r="I153" i="46"/>
  <c r="J117" i="46"/>
  <c r="J69" i="46"/>
  <c r="I226" i="46"/>
  <c r="I262" i="46"/>
  <c r="I89" i="46"/>
  <c r="J112" i="46"/>
  <c r="I21" i="46"/>
  <c r="J141" i="46"/>
  <c r="J165" i="46"/>
  <c r="J129" i="46"/>
  <c r="I178" i="46"/>
  <c r="I202" i="46"/>
  <c r="J76" i="46"/>
  <c r="BO125" i="32"/>
  <c r="BO126" i="32"/>
  <c r="BO119" i="32"/>
  <c r="BO120" i="32"/>
  <c r="J160" i="46"/>
  <c r="AJ14" i="43"/>
  <c r="E205" i="43"/>
  <c r="BZ166" i="1"/>
  <c r="J136" i="46"/>
  <c r="BP117" i="32" s="1"/>
  <c r="AJ12" i="43"/>
  <c r="J64" i="46"/>
  <c r="BP111" i="32" s="1"/>
  <c r="AJ6" i="43"/>
  <c r="I125" i="46"/>
  <c r="AK11" i="43"/>
  <c r="D225" i="43"/>
  <c r="I149" i="46"/>
  <c r="AK13" i="43"/>
  <c r="D227" i="43"/>
  <c r="I250" i="46"/>
  <c r="J249" i="46"/>
  <c r="J244" i="46"/>
  <c r="J196" i="46"/>
  <c r="AJ17" i="43"/>
  <c r="D222" i="43"/>
  <c r="AK8" i="43"/>
  <c r="E198" i="43"/>
  <c r="AJ7" i="43"/>
  <c r="AJ18" i="43"/>
  <c r="E209" i="43"/>
  <c r="J232" i="46"/>
  <c r="E211" i="43"/>
  <c r="AJ20" i="43"/>
  <c r="E316" i="43"/>
  <c r="E311" i="43"/>
  <c r="E327" i="43"/>
  <c r="E323" i="43"/>
  <c r="E312" i="43"/>
  <c r="E313" i="43"/>
  <c r="E324" i="43"/>
  <c r="E328" i="43"/>
  <c r="E318" i="43"/>
  <c r="E320" i="43"/>
  <c r="E317" i="43"/>
  <c r="E305" i="43"/>
  <c r="E285" i="43"/>
  <c r="AJ4" i="43"/>
  <c r="E195" i="43"/>
  <c r="E203" i="43"/>
  <c r="E208" i="43"/>
  <c r="E197" i="43"/>
  <c r="BO15" i="43"/>
  <c r="D344" i="43"/>
  <c r="BO21" i="43"/>
  <c r="D350" i="43"/>
  <c r="BO9" i="43"/>
  <c r="D338" i="43"/>
  <c r="BO5" i="43"/>
  <c r="D334" i="43"/>
  <c r="BO19" i="43"/>
  <c r="D348" i="43"/>
  <c r="BO11" i="43"/>
  <c r="D340" i="43"/>
  <c r="BO12" i="43"/>
  <c r="D341" i="43"/>
  <c r="BO17" i="43"/>
  <c r="D346" i="43"/>
  <c r="BO14" i="43"/>
  <c r="D343" i="43"/>
  <c r="BO20" i="43"/>
  <c r="D349" i="43"/>
  <c r="BO22" i="43"/>
  <c r="D351" i="43"/>
  <c r="BO7" i="43"/>
  <c r="D336" i="43"/>
  <c r="BO18" i="43"/>
  <c r="D347" i="43"/>
  <c r="BO10" i="43"/>
  <c r="D339" i="43"/>
  <c r="BO13" i="43"/>
  <c r="D342" i="43"/>
  <c r="BO6" i="43"/>
  <c r="D335" i="43"/>
  <c r="BN2" i="43"/>
  <c r="C331" i="43"/>
  <c r="BI13" i="43"/>
  <c r="D319" i="43"/>
  <c r="BI2" i="43"/>
  <c r="D308" i="43"/>
  <c r="BI9" i="43"/>
  <c r="D315" i="43"/>
  <c r="AK22" i="43"/>
  <c r="D236" i="43"/>
  <c r="AK15" i="43"/>
  <c r="D229" i="43"/>
  <c r="AJ19" i="43"/>
  <c r="E210" i="43"/>
  <c r="AJ3" i="43"/>
  <c r="E194" i="43"/>
  <c r="AJ21" i="43"/>
  <c r="E212" i="43"/>
  <c r="AJ16" i="43"/>
  <c r="E207" i="43"/>
  <c r="AJ10" i="43"/>
  <c r="E201" i="43"/>
  <c r="BN175" i="1"/>
  <c r="V167" i="1"/>
  <c r="BN176" i="1"/>
  <c r="V166" i="1"/>
  <c r="Q165" i="1"/>
  <c r="I101" i="46" l="1"/>
  <c r="AK9" i="43"/>
  <c r="D223" i="43"/>
  <c r="I185" i="51"/>
  <c r="I29" i="51"/>
  <c r="J173" i="51"/>
  <c r="J257" i="51"/>
  <c r="J21" i="51"/>
  <c r="I22" i="51"/>
  <c r="J154" i="51"/>
  <c r="J214" i="51"/>
  <c r="J262" i="51"/>
  <c r="J166" i="51"/>
  <c r="J142" i="51"/>
  <c r="J226" i="51"/>
  <c r="J106" i="51"/>
  <c r="J178" i="51"/>
  <c r="I77" i="51"/>
  <c r="I197" i="51"/>
  <c r="I233" i="51"/>
  <c r="I209" i="51"/>
  <c r="I65" i="51"/>
  <c r="I41" i="51"/>
  <c r="J125" i="51"/>
  <c r="I137" i="51"/>
  <c r="I161" i="51"/>
  <c r="I113" i="51"/>
  <c r="I245" i="51"/>
  <c r="I221" i="51"/>
  <c r="J101" i="51"/>
  <c r="J105" i="51"/>
  <c r="J153" i="51"/>
  <c r="J70" i="51"/>
  <c r="J118" i="51"/>
  <c r="J82" i="51"/>
  <c r="J238" i="51"/>
  <c r="J202" i="51"/>
  <c r="J130" i="51"/>
  <c r="J58" i="51"/>
  <c r="J250" i="51"/>
  <c r="J89" i="51"/>
  <c r="J149" i="51"/>
  <c r="BP93" i="32"/>
  <c r="BP123" i="32"/>
  <c r="BP115" i="32"/>
  <c r="BP121" i="32"/>
  <c r="BP122" i="32"/>
  <c r="BP116" i="32"/>
  <c r="BP105" i="32"/>
  <c r="I185" i="46"/>
  <c r="J173" i="46"/>
  <c r="J21" i="46"/>
  <c r="J154" i="46"/>
  <c r="J262" i="46"/>
  <c r="J142" i="46"/>
  <c r="J106" i="46"/>
  <c r="I209" i="46"/>
  <c r="AP11" i="43"/>
  <c r="I29" i="46"/>
  <c r="BO127" i="32" s="1"/>
  <c r="J257" i="46"/>
  <c r="I22" i="46"/>
  <c r="J214" i="46"/>
  <c r="J166" i="46"/>
  <c r="J226" i="46"/>
  <c r="J178" i="46"/>
  <c r="I77" i="46"/>
  <c r="I41" i="46"/>
  <c r="BO110" i="32" s="1"/>
  <c r="BP69" i="32"/>
  <c r="J153" i="46"/>
  <c r="J238" i="46"/>
  <c r="J130" i="46"/>
  <c r="J101" i="46"/>
  <c r="J118" i="46"/>
  <c r="I113" i="46"/>
  <c r="I221" i="46"/>
  <c r="J105" i="46"/>
  <c r="J70" i="46"/>
  <c r="J82" i="46"/>
  <c r="J202" i="46"/>
  <c r="J58" i="46"/>
  <c r="J89" i="46"/>
  <c r="BO140" i="32"/>
  <c r="BP118" i="32"/>
  <c r="BP125" i="32"/>
  <c r="BP126" i="32"/>
  <c r="BP120" i="32"/>
  <c r="BP112" i="32"/>
  <c r="I161" i="46"/>
  <c r="AK14" i="43"/>
  <c r="D228" i="43"/>
  <c r="BN174" i="1"/>
  <c r="I137" i="46"/>
  <c r="BO135" i="32" s="1"/>
  <c r="D226" i="43"/>
  <c r="AK12" i="43"/>
  <c r="I65" i="46"/>
  <c r="AK6" i="43"/>
  <c r="D220" i="43"/>
  <c r="J125" i="46"/>
  <c r="E225" i="43"/>
  <c r="J149" i="46"/>
  <c r="BP119" i="32" s="1"/>
  <c r="AP13" i="43"/>
  <c r="E227" i="43"/>
  <c r="J250" i="46"/>
  <c r="I245" i="46"/>
  <c r="I197" i="46"/>
  <c r="AK17" i="43"/>
  <c r="D231" i="43"/>
  <c r="E222" i="43"/>
  <c r="AP8" i="43"/>
  <c r="D221" i="43"/>
  <c r="AK7" i="43"/>
  <c r="D232" i="43"/>
  <c r="AK18" i="43"/>
  <c r="I233" i="46"/>
  <c r="AK20" i="43"/>
  <c r="D234" i="43"/>
  <c r="E335" i="43"/>
  <c r="E350" i="43"/>
  <c r="E342" i="43"/>
  <c r="E351" i="43"/>
  <c r="E348" i="43"/>
  <c r="E344" i="43"/>
  <c r="E336" i="43"/>
  <c r="E340" i="43"/>
  <c r="E343" i="43"/>
  <c r="E334" i="43"/>
  <c r="E339" i="43"/>
  <c r="E346" i="43"/>
  <c r="E347" i="43"/>
  <c r="E349" i="43"/>
  <c r="E341" i="43"/>
  <c r="E338" i="43"/>
  <c r="E308" i="43"/>
  <c r="E319" i="43"/>
  <c r="E315" i="43"/>
  <c r="D218" i="43"/>
  <c r="AK4" i="43"/>
  <c r="BO2" i="43"/>
  <c r="D331" i="43"/>
  <c r="AP9" i="43"/>
  <c r="E223" i="43"/>
  <c r="AP15" i="43"/>
  <c r="E229" i="43"/>
  <c r="AP22" i="43"/>
  <c r="E236" i="43"/>
  <c r="AK16" i="43"/>
  <c r="D230" i="43"/>
  <c r="AK21" i="43"/>
  <c r="D235" i="43"/>
  <c r="AK3" i="43"/>
  <c r="D217" i="43"/>
  <c r="AK10" i="43"/>
  <c r="D224" i="43"/>
  <c r="AK19" i="43"/>
  <c r="D233" i="43"/>
  <c r="V165" i="1"/>
  <c r="Q164" i="1"/>
  <c r="J113" i="51" l="1"/>
  <c r="J245" i="51"/>
  <c r="I258" i="51"/>
  <c r="I102" i="51"/>
  <c r="J233" i="51"/>
  <c r="J77" i="51"/>
  <c r="J221" i="51"/>
  <c r="J29" i="51"/>
  <c r="J185" i="51"/>
  <c r="I174" i="51"/>
  <c r="J22" i="51"/>
  <c r="J197" i="51"/>
  <c r="J137" i="51"/>
  <c r="J65" i="51"/>
  <c r="J41" i="51"/>
  <c r="J209" i="51"/>
  <c r="I90" i="51"/>
  <c r="I150" i="51"/>
  <c r="J161" i="51"/>
  <c r="D248" i="43"/>
  <c r="I126" i="51"/>
  <c r="BO133" i="32"/>
  <c r="BO113" i="32"/>
  <c r="BO139" i="32"/>
  <c r="BO132" i="32"/>
  <c r="BO89" i="32"/>
  <c r="BO124" i="32"/>
  <c r="I102" i="46"/>
  <c r="I258" i="46"/>
  <c r="J77" i="46"/>
  <c r="AQ11" i="43"/>
  <c r="J221" i="46"/>
  <c r="J185" i="46"/>
  <c r="J22" i="46"/>
  <c r="J41" i="46"/>
  <c r="BP110" i="32" s="1"/>
  <c r="J209" i="46"/>
  <c r="J113" i="46"/>
  <c r="J29" i="46"/>
  <c r="BP127" i="32" s="1"/>
  <c r="I174" i="46"/>
  <c r="BO134" i="32"/>
  <c r="I90" i="46"/>
  <c r="I126" i="46"/>
  <c r="BO136" i="32"/>
  <c r="BO142" i="32"/>
  <c r="BO143" i="32"/>
  <c r="BO137" i="32"/>
  <c r="BO138" i="32"/>
  <c r="BO130" i="32"/>
  <c r="J161" i="46"/>
  <c r="AP14" i="43"/>
  <c r="E228" i="43"/>
  <c r="BN173" i="1"/>
  <c r="BY164" i="1"/>
  <c r="J137" i="46"/>
  <c r="BP135" i="32" s="1"/>
  <c r="E226" i="43"/>
  <c r="J65" i="46"/>
  <c r="E220" i="43"/>
  <c r="AP6" i="43"/>
  <c r="I150" i="46"/>
  <c r="AQ13" i="43"/>
  <c r="D250" i="43"/>
  <c r="J245" i="46"/>
  <c r="J197" i="46"/>
  <c r="E231" i="43"/>
  <c r="D245" i="43"/>
  <c r="AQ8" i="43"/>
  <c r="E221" i="43"/>
  <c r="AP7" i="43"/>
  <c r="E232" i="43"/>
  <c r="AP18" i="43"/>
  <c r="J233" i="46"/>
  <c r="AP20" i="43"/>
  <c r="E234" i="43"/>
  <c r="E331" i="43"/>
  <c r="E218" i="43"/>
  <c r="AP4" i="43"/>
  <c r="AQ22" i="43"/>
  <c r="D259" i="43"/>
  <c r="AQ9" i="43"/>
  <c r="D246" i="43"/>
  <c r="AQ15" i="43"/>
  <c r="D252" i="43"/>
  <c r="AP3" i="43"/>
  <c r="E217" i="43"/>
  <c r="AP21" i="43"/>
  <c r="E235" i="43"/>
  <c r="AP19" i="43"/>
  <c r="E233" i="43"/>
  <c r="AP16" i="43"/>
  <c r="E230" i="43"/>
  <c r="AP10" i="43"/>
  <c r="E224" i="43"/>
  <c r="V164" i="1"/>
  <c r="Q163" i="1"/>
  <c r="I114" i="51" l="1"/>
  <c r="I222" i="51"/>
  <c r="J102" i="51"/>
  <c r="I210" i="51"/>
  <c r="J90" i="51"/>
  <c r="I162" i="51"/>
  <c r="I186" i="51"/>
  <c r="I246" i="51"/>
  <c r="J174" i="51"/>
  <c r="J258" i="51"/>
  <c r="I42" i="51"/>
  <c r="I234" i="51"/>
  <c r="I78" i="51"/>
  <c r="J150" i="51"/>
  <c r="I30" i="51"/>
  <c r="I66" i="51"/>
  <c r="J126" i="46"/>
  <c r="J126" i="51"/>
  <c r="BO152" i="32"/>
  <c r="BP132" i="32"/>
  <c r="BP139" i="32"/>
  <c r="BO153" i="32"/>
  <c r="BP113" i="32"/>
  <c r="BP133" i="32"/>
  <c r="BP124" i="32"/>
  <c r="BP89" i="32"/>
  <c r="BP140" i="32"/>
  <c r="E248" i="43"/>
  <c r="I210" i="46"/>
  <c r="J258" i="46"/>
  <c r="I42" i="46"/>
  <c r="BO129" i="32" s="1"/>
  <c r="I78" i="46"/>
  <c r="BP134" i="32"/>
  <c r="J90" i="46"/>
  <c r="I114" i="46"/>
  <c r="I30" i="46"/>
  <c r="BO144" i="32" s="1"/>
  <c r="I186" i="46"/>
  <c r="BO156" i="32" s="1"/>
  <c r="J174" i="46"/>
  <c r="I222" i="46"/>
  <c r="J102" i="46"/>
  <c r="BP142" i="32"/>
  <c r="BP143" i="32"/>
  <c r="BP137" i="32"/>
  <c r="BP138" i="32"/>
  <c r="BP136" i="32"/>
  <c r="BP130" i="32"/>
  <c r="I162" i="46"/>
  <c r="AQ14" i="43"/>
  <c r="D251" i="43"/>
  <c r="BN172" i="1"/>
  <c r="BZ163" i="1"/>
  <c r="I66" i="46"/>
  <c r="AQ6" i="43"/>
  <c r="D243" i="43"/>
  <c r="J150" i="46"/>
  <c r="AV13" i="43"/>
  <c r="E250" i="43"/>
  <c r="I246" i="46"/>
  <c r="E245" i="43"/>
  <c r="AV8" i="43"/>
  <c r="D244" i="43"/>
  <c r="AQ18" i="43"/>
  <c r="AQ7" i="43"/>
  <c r="D255" i="43"/>
  <c r="I234" i="46"/>
  <c r="AQ20" i="43"/>
  <c r="D257" i="43"/>
  <c r="D241" i="43"/>
  <c r="AQ4" i="43"/>
  <c r="AV22" i="43"/>
  <c r="E259" i="43"/>
  <c r="AV15" i="43"/>
  <c r="E252" i="43"/>
  <c r="AV9" i="43"/>
  <c r="E246" i="43"/>
  <c r="AQ21" i="43"/>
  <c r="D258" i="43"/>
  <c r="AQ10" i="43"/>
  <c r="D247" i="43"/>
  <c r="AQ3" i="43"/>
  <c r="D240" i="43"/>
  <c r="AQ16" i="43"/>
  <c r="D253" i="43"/>
  <c r="AQ19" i="43"/>
  <c r="D256" i="43"/>
  <c r="V163" i="1"/>
  <c r="J186" i="51" l="1"/>
  <c r="J114" i="51"/>
  <c r="I103" i="51"/>
  <c r="I259" i="51"/>
  <c r="J234" i="51"/>
  <c r="J210" i="51"/>
  <c r="J42" i="51"/>
  <c r="J66" i="51"/>
  <c r="J222" i="51"/>
  <c r="J30" i="51"/>
  <c r="J246" i="51"/>
  <c r="I175" i="51"/>
  <c r="I91" i="51"/>
  <c r="I151" i="51"/>
  <c r="J162" i="51"/>
  <c r="J78" i="51"/>
  <c r="BO131" i="32"/>
  <c r="BP153" i="32"/>
  <c r="BO150" i="32"/>
  <c r="BP152" i="32"/>
  <c r="BO149" i="32"/>
  <c r="BO151" i="32"/>
  <c r="BO157" i="32"/>
  <c r="BO141" i="32"/>
  <c r="BO109" i="32"/>
  <c r="J222" i="46"/>
  <c r="I91" i="46"/>
  <c r="BO164" i="32" s="1"/>
  <c r="J30" i="46"/>
  <c r="BP144" i="32" s="1"/>
  <c r="I175" i="46"/>
  <c r="J78" i="46"/>
  <c r="J114" i="46"/>
  <c r="I259" i="46"/>
  <c r="J210" i="46"/>
  <c r="J186" i="46"/>
  <c r="BP156" i="32" s="1"/>
  <c r="I103" i="46"/>
  <c r="J42" i="46"/>
  <c r="BP129" i="32" s="1"/>
  <c r="BO147" i="32"/>
  <c r="BO159" i="32"/>
  <c r="BO160" i="32"/>
  <c r="BO154" i="32"/>
  <c r="BO155" i="32"/>
  <c r="J162" i="46"/>
  <c r="AV14" i="43"/>
  <c r="E251" i="43"/>
  <c r="J66" i="46"/>
  <c r="E243" i="43"/>
  <c r="I151" i="46"/>
  <c r="D273" i="43"/>
  <c r="AW13" i="43"/>
  <c r="J246" i="46"/>
  <c r="D268" i="43"/>
  <c r="AW8" i="43"/>
  <c r="E244" i="43"/>
  <c r="AV7" i="43"/>
  <c r="E255" i="43"/>
  <c r="AV18" i="43"/>
  <c r="J234" i="46"/>
  <c r="AV20" i="43"/>
  <c r="E257" i="43"/>
  <c r="E241" i="43"/>
  <c r="AV4" i="43"/>
  <c r="AW9" i="43"/>
  <c r="D269" i="43"/>
  <c r="AW15" i="43"/>
  <c r="D275" i="43"/>
  <c r="AW22" i="43"/>
  <c r="D282" i="43"/>
  <c r="AV10" i="43"/>
  <c r="E247" i="43"/>
  <c r="AV3" i="43"/>
  <c r="E240" i="43"/>
  <c r="AV19" i="43"/>
  <c r="E256" i="43"/>
  <c r="AV21" i="43"/>
  <c r="E258" i="43"/>
  <c r="AV16" i="43"/>
  <c r="E253" i="43"/>
  <c r="X166" i="1"/>
  <c r="BM53" i="1"/>
  <c r="BM54" i="1" s="1"/>
  <c r="BM55" i="1" s="1"/>
  <c r="BM56" i="1" s="1"/>
  <c r="BM57" i="1" s="1"/>
  <c r="BM58" i="1" s="1"/>
  <c r="BM59" i="1" s="1"/>
  <c r="BM60" i="1" s="1"/>
  <c r="BM61" i="1" s="1"/>
  <c r="BM62" i="1" s="1"/>
  <c r="BM63" i="1" s="1"/>
  <c r="BM64" i="1" s="1"/>
  <c r="BM65" i="1" s="1"/>
  <c r="BM66" i="1" s="1"/>
  <c r="BM67" i="1" s="1"/>
  <c r="BM68" i="1" s="1"/>
  <c r="BM69" i="1" s="1"/>
  <c r="BM70" i="1" s="1"/>
  <c r="BM109" i="1"/>
  <c r="BM110" i="1" s="1"/>
  <c r="BM111" i="1" s="1"/>
  <c r="BM3" i="1"/>
  <c r="BM4" i="1" s="1"/>
  <c r="BM5" i="1" s="1"/>
  <c r="BM6" i="1" s="1"/>
  <c r="BM7" i="1" s="1"/>
  <c r="BM8" i="1" s="1"/>
  <c r="BM9" i="1" s="1"/>
  <c r="BM10" i="1" s="1"/>
  <c r="BM11" i="1" s="1"/>
  <c r="BM12" i="1" s="1"/>
  <c r="BM13" i="1" s="1"/>
  <c r="BM14" i="1" s="1"/>
  <c r="BM15" i="1" s="1"/>
  <c r="I187" i="51" l="1"/>
  <c r="I223" i="51"/>
  <c r="I115" i="51"/>
  <c r="J175" i="51"/>
  <c r="I211" i="51"/>
  <c r="J91" i="51"/>
  <c r="I163" i="51"/>
  <c r="I247" i="51"/>
  <c r="I31" i="51"/>
  <c r="J259" i="51"/>
  <c r="J103" i="51"/>
  <c r="I235" i="51"/>
  <c r="I79" i="51"/>
  <c r="I43" i="51"/>
  <c r="J151" i="51"/>
  <c r="BP150" i="32"/>
  <c r="BP131" i="32"/>
  <c r="BP149" i="32"/>
  <c r="BP141" i="32"/>
  <c r="BP151" i="32"/>
  <c r="BP109" i="32"/>
  <c r="I223" i="46"/>
  <c r="J175" i="46"/>
  <c r="I211" i="46"/>
  <c r="BP157" i="32"/>
  <c r="I31" i="46"/>
  <c r="BO161" i="32" s="1"/>
  <c r="J103" i="46"/>
  <c r="I79" i="46"/>
  <c r="I43" i="46"/>
  <c r="BO146" i="32" s="1"/>
  <c r="I187" i="46"/>
  <c r="I115" i="46"/>
  <c r="J91" i="46"/>
  <c r="BP164" i="32" s="1"/>
  <c r="J259" i="46"/>
  <c r="BO128" i="32"/>
  <c r="BP159" i="32"/>
  <c r="BP160" i="32"/>
  <c r="BP155" i="32"/>
  <c r="BP147" i="32"/>
  <c r="I163" i="46"/>
  <c r="AW14" i="43"/>
  <c r="D274" i="43"/>
  <c r="J151" i="46"/>
  <c r="E273" i="43"/>
  <c r="I247" i="46"/>
  <c r="E268" i="43"/>
  <c r="BB8" i="43"/>
  <c r="D278" i="43"/>
  <c r="AW7" i="43"/>
  <c r="D267" i="43"/>
  <c r="AW18" i="43"/>
  <c r="I235" i="46"/>
  <c r="D280" i="43"/>
  <c r="AW20" i="43"/>
  <c r="E282" i="43"/>
  <c r="D264" i="43"/>
  <c r="AW4" i="43"/>
  <c r="BB15" i="43"/>
  <c r="E275" i="43"/>
  <c r="BB9" i="43"/>
  <c r="E269" i="43"/>
  <c r="AW3" i="43"/>
  <c r="D263" i="43"/>
  <c r="AW10" i="43"/>
  <c r="D270" i="43"/>
  <c r="AW16" i="43"/>
  <c r="D276" i="43"/>
  <c r="AW21" i="43"/>
  <c r="D281" i="43"/>
  <c r="AW19" i="43"/>
  <c r="D279" i="43"/>
  <c r="BM16" i="1"/>
  <c r="BM71" i="1"/>
  <c r="BM112" i="1"/>
  <c r="BM113" i="1" s="1"/>
  <c r="BM114" i="1" s="1"/>
  <c r="BM115" i="1" s="1"/>
  <c r="Q161" i="1"/>
  <c r="Q162" i="1"/>
  <c r="J211" i="51" l="1"/>
  <c r="I92" i="51"/>
  <c r="J223" i="51"/>
  <c r="J187" i="51"/>
  <c r="J31" i="51"/>
  <c r="I176" i="51"/>
  <c r="J235" i="51"/>
  <c r="J43" i="51"/>
  <c r="J79" i="51"/>
  <c r="J163" i="51"/>
  <c r="J247" i="51"/>
  <c r="J115" i="51"/>
  <c r="I104" i="51"/>
  <c r="BO165" i="32"/>
  <c r="BO166" i="32"/>
  <c r="BO169" i="32"/>
  <c r="BP154" i="32"/>
  <c r="BO158" i="32"/>
  <c r="J223" i="46"/>
  <c r="J31" i="46"/>
  <c r="BP161" i="32" s="1"/>
  <c r="J211" i="46"/>
  <c r="J187" i="46"/>
  <c r="I176" i="46"/>
  <c r="J43" i="46"/>
  <c r="BP146" i="32" s="1"/>
  <c r="J79" i="46"/>
  <c r="J115" i="46"/>
  <c r="I104" i="46"/>
  <c r="I92" i="46"/>
  <c r="BO170" i="32"/>
  <c r="BO172" i="32"/>
  <c r="BO167" i="32"/>
  <c r="BO168" i="32"/>
  <c r="J163" i="46"/>
  <c r="BB14" i="43"/>
  <c r="E274" i="43"/>
  <c r="BY162" i="1"/>
  <c r="BZ161" i="1"/>
  <c r="J247" i="46"/>
  <c r="D291" i="43"/>
  <c r="BC8" i="43"/>
  <c r="E267" i="43"/>
  <c r="E278" i="43"/>
  <c r="BB18" i="43"/>
  <c r="J235" i="46"/>
  <c r="E280" i="43"/>
  <c r="BB20" i="43"/>
  <c r="BB4" i="43"/>
  <c r="E281" i="43"/>
  <c r="E264" i="43"/>
  <c r="BC15" i="43"/>
  <c r="D298" i="43"/>
  <c r="BC9" i="43"/>
  <c r="D292" i="43"/>
  <c r="BB19" i="43"/>
  <c r="E279" i="43"/>
  <c r="BB3" i="43"/>
  <c r="E263" i="43"/>
  <c r="BB16" i="43"/>
  <c r="E276" i="43"/>
  <c r="BB10" i="43"/>
  <c r="E270" i="43"/>
  <c r="BM17" i="1"/>
  <c r="BM18" i="1" s="1"/>
  <c r="BM19" i="1" s="1"/>
  <c r="BM20" i="1" s="1"/>
  <c r="BM21" i="1" s="1"/>
  <c r="BM22" i="1" s="1"/>
  <c r="BM23" i="1" s="1"/>
  <c r="BM24" i="1" s="1"/>
  <c r="BM25" i="1" s="1"/>
  <c r="BM26" i="1" s="1"/>
  <c r="BM27" i="1" s="1"/>
  <c r="BM28" i="1" s="1"/>
  <c r="BM29" i="1" s="1"/>
  <c r="BM30" i="1" s="1"/>
  <c r="BM31" i="1" s="1"/>
  <c r="BM32" i="1" s="1"/>
  <c r="BM33" i="1" s="1"/>
  <c r="BM34" i="1" s="1"/>
  <c r="BM35" i="1" s="1"/>
  <c r="BM36" i="1" s="1"/>
  <c r="BM37" i="1" s="1"/>
  <c r="BM38" i="1" s="1"/>
  <c r="BM39" i="1" s="1"/>
  <c r="BM40" i="1" s="1"/>
  <c r="BM41" i="1" s="1"/>
  <c r="BM42" i="1" s="1"/>
  <c r="BM43" i="1" s="1"/>
  <c r="BM44" i="1" s="1"/>
  <c r="BM45" i="1" s="1"/>
  <c r="BM46" i="1" s="1"/>
  <c r="BM47" i="1" s="1"/>
  <c r="BM48" i="1" s="1"/>
  <c r="BM49" i="1" s="1"/>
  <c r="BM50" i="1" s="1"/>
  <c r="BM51" i="1" s="1"/>
  <c r="BM52" i="1" s="1"/>
  <c r="BN170" i="1"/>
  <c r="BM72" i="1"/>
  <c r="BM73" i="1" s="1"/>
  <c r="BM74" i="1" s="1"/>
  <c r="BM75" i="1" s="1"/>
  <c r="BM76" i="1" s="1"/>
  <c r="BM77" i="1" s="1"/>
  <c r="BM78" i="1" s="1"/>
  <c r="BM79" i="1" s="1"/>
  <c r="BM80" i="1" s="1"/>
  <c r="BM81" i="1" s="1"/>
  <c r="BM82" i="1" s="1"/>
  <c r="BM83" i="1" s="1"/>
  <c r="BM84" i="1" s="1"/>
  <c r="BM85" i="1" s="1"/>
  <c r="BM86" i="1" s="1"/>
  <c r="BM87" i="1" s="1"/>
  <c r="BM88" i="1" s="1"/>
  <c r="BM89" i="1" s="1"/>
  <c r="BM90" i="1" s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N171" i="1"/>
  <c r="BM116" i="1"/>
  <c r="BM117" i="1" s="1"/>
  <c r="V161" i="1"/>
  <c r="V162" i="1"/>
  <c r="AL168" i="1"/>
  <c r="AL166" i="1"/>
  <c r="I212" i="51" l="1"/>
  <c r="I188" i="51"/>
  <c r="I224" i="51"/>
  <c r="J176" i="51"/>
  <c r="I236" i="51"/>
  <c r="I164" i="51"/>
  <c r="I44" i="51"/>
  <c r="I116" i="51"/>
  <c r="I32" i="51"/>
  <c r="J104" i="51"/>
  <c r="J92" i="51"/>
  <c r="BP166" i="32"/>
  <c r="BP165" i="32"/>
  <c r="BP169" i="32"/>
  <c r="BP128" i="32"/>
  <c r="BP158" i="32"/>
  <c r="BP170" i="32"/>
  <c r="I212" i="46"/>
  <c r="J104" i="46"/>
  <c r="I116" i="46"/>
  <c r="BO176" i="32" s="1"/>
  <c r="I224" i="46"/>
  <c r="I188" i="46"/>
  <c r="J176" i="46"/>
  <c r="I32" i="46"/>
  <c r="BO173" i="32" s="1"/>
  <c r="J92" i="46"/>
  <c r="I44" i="46"/>
  <c r="BO148" i="32" s="1"/>
  <c r="BP172" i="32"/>
  <c r="BP167" i="32"/>
  <c r="BP168" i="32"/>
  <c r="I164" i="46"/>
  <c r="D297" i="43"/>
  <c r="BC14" i="43"/>
  <c r="E291" i="43"/>
  <c r="BH8" i="43"/>
  <c r="D301" i="43"/>
  <c r="BC18" i="43"/>
  <c r="I236" i="46"/>
  <c r="D303" i="43"/>
  <c r="BC20" i="43"/>
  <c r="E292" i="43"/>
  <c r="D287" i="43"/>
  <c r="BC4" i="43"/>
  <c r="BH15" i="43"/>
  <c r="E298" i="43"/>
  <c r="BC10" i="43"/>
  <c r="D293" i="43"/>
  <c r="BC16" i="43"/>
  <c r="D299" i="43"/>
  <c r="BC3" i="43"/>
  <c r="D286" i="43"/>
  <c r="BC19" i="43"/>
  <c r="D302" i="43"/>
  <c r="BM118" i="1"/>
  <c r="BM119" i="1" s="1"/>
  <c r="BM120" i="1" s="1"/>
  <c r="BM121" i="1" s="1"/>
  <c r="BM122" i="1" s="1"/>
  <c r="BM123" i="1" s="1"/>
  <c r="BM124" i="1" s="1"/>
  <c r="F166" i="1"/>
  <c r="X168" i="1"/>
  <c r="F168" i="1"/>
  <c r="Q159" i="1"/>
  <c r="Q160" i="1"/>
  <c r="J32" i="51" l="1"/>
  <c r="J116" i="51"/>
  <c r="J212" i="51"/>
  <c r="I177" i="51"/>
  <c r="J164" i="51"/>
  <c r="J224" i="51"/>
  <c r="J188" i="51"/>
  <c r="J236" i="51"/>
  <c r="J44" i="51"/>
  <c r="I93" i="51"/>
  <c r="BO178" i="32"/>
  <c r="BO171" i="32"/>
  <c r="BO177" i="32"/>
  <c r="BO179" i="32"/>
  <c r="J224" i="46"/>
  <c r="I177" i="46"/>
  <c r="J116" i="46"/>
  <c r="BP176" i="32" s="1"/>
  <c r="J212" i="46"/>
  <c r="BO145" i="32"/>
  <c r="I93" i="46"/>
  <c r="BO183" i="32" s="1"/>
  <c r="J188" i="46"/>
  <c r="J32" i="46"/>
  <c r="BP173" i="32" s="1"/>
  <c r="J164" i="46"/>
  <c r="E297" i="43"/>
  <c r="BY159" i="1"/>
  <c r="BN169" i="1"/>
  <c r="BY160" i="1"/>
  <c r="J44" i="46"/>
  <c r="BP148" i="32" s="1"/>
  <c r="BH4" i="43"/>
  <c r="AP168" i="1"/>
  <c r="AK168" i="1"/>
  <c r="AP166" i="1"/>
  <c r="D314" i="43"/>
  <c r="BI8" i="43"/>
  <c r="E301" i="43"/>
  <c r="J236" i="46"/>
  <c r="BH20" i="43"/>
  <c r="E303" i="43"/>
  <c r="E287" i="43"/>
  <c r="E293" i="43"/>
  <c r="BI15" i="43"/>
  <c r="D321" i="43"/>
  <c r="BH19" i="43"/>
  <c r="E302" i="43"/>
  <c r="BH3" i="43"/>
  <c r="E286" i="43"/>
  <c r="BH16" i="43"/>
  <c r="E299" i="43"/>
  <c r="BN168" i="1"/>
  <c r="BM125" i="1"/>
  <c r="BM126" i="1" s="1"/>
  <c r="BM127" i="1" s="1"/>
  <c r="BM128" i="1" s="1"/>
  <c r="BM129" i="1" s="1"/>
  <c r="BM130" i="1" s="1"/>
  <c r="BM131" i="1" s="1"/>
  <c r="BM132" i="1" s="1"/>
  <c r="BM133" i="1" s="1"/>
  <c r="BM134" i="1" s="1"/>
  <c r="V160" i="1"/>
  <c r="V159" i="1"/>
  <c r="BL2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71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16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Y5" i="26"/>
  <c r="BK3" i="1"/>
  <c r="BK4" i="1"/>
  <c r="BK5" i="1"/>
  <c r="BK6" i="1"/>
  <c r="BK7" i="1"/>
  <c r="BK8" i="1"/>
  <c r="BK9" i="1"/>
  <c r="BK10" i="1"/>
  <c r="BK11" i="1"/>
  <c r="BK12" i="1"/>
  <c r="BK13" i="1"/>
  <c r="BK14" i="1"/>
  <c r="BK15" i="1"/>
  <c r="BK71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16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29" i="1"/>
  <c r="BK130" i="1"/>
  <c r="BK131" i="1"/>
  <c r="BK132" i="1"/>
  <c r="BK133" i="1"/>
  <c r="BK134" i="1"/>
  <c r="BK135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BK2" i="1"/>
  <c r="I33" i="51" l="1"/>
  <c r="J177" i="51"/>
  <c r="I237" i="51"/>
  <c r="I45" i="51"/>
  <c r="J93" i="51"/>
  <c r="I189" i="51"/>
  <c r="I225" i="51"/>
  <c r="BP178" i="32"/>
  <c r="BP171" i="32"/>
  <c r="BP177" i="32"/>
  <c r="BP179" i="32"/>
  <c r="J177" i="46"/>
  <c r="I225" i="46"/>
  <c r="I33" i="46"/>
  <c r="BO181" i="32" s="1"/>
  <c r="J93" i="46"/>
  <c r="BP183" i="32" s="1"/>
  <c r="I189" i="46"/>
  <c r="BP145" i="32"/>
  <c r="I45" i="46"/>
  <c r="D310" i="43"/>
  <c r="BI4" i="43"/>
  <c r="E314" i="43"/>
  <c r="BN8" i="43"/>
  <c r="I237" i="46"/>
  <c r="BI20" i="43"/>
  <c r="D326" i="43"/>
  <c r="E321" i="43"/>
  <c r="BI16" i="43"/>
  <c r="D322" i="43"/>
  <c r="BI3" i="43"/>
  <c r="D309" i="43"/>
  <c r="BI19" i="43"/>
  <c r="D325" i="43"/>
  <c r="BM135" i="1"/>
  <c r="BM136" i="1" s="1"/>
  <c r="BM137" i="1" s="1"/>
  <c r="Q158" i="1"/>
  <c r="J237" i="51" l="1"/>
  <c r="J45" i="51"/>
  <c r="J33" i="51"/>
  <c r="J225" i="51"/>
  <c r="J189" i="51"/>
  <c r="I94" i="51"/>
  <c r="BO184" i="32"/>
  <c r="BO163" i="32"/>
  <c r="BO182" i="32"/>
  <c r="BO180" i="32"/>
  <c r="BN4" i="43"/>
  <c r="J189" i="46"/>
  <c r="J225" i="46"/>
  <c r="I94" i="46"/>
  <c r="BO162" i="32"/>
  <c r="BN167" i="1"/>
  <c r="BY158" i="1"/>
  <c r="J45" i="46"/>
  <c r="E310" i="43"/>
  <c r="J33" i="46"/>
  <c r="BP181" i="32" s="1"/>
  <c r="BN3" i="43"/>
  <c r="D337" i="43"/>
  <c r="BO8" i="43"/>
  <c r="J237" i="46"/>
  <c r="E326" i="43"/>
  <c r="E309" i="43"/>
  <c r="E325" i="43"/>
  <c r="BN16" i="43"/>
  <c r="E322" i="43"/>
  <c r="BM138" i="1"/>
  <c r="BM139" i="1" s="1"/>
  <c r="V15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71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16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60" i="1"/>
  <c r="X159" i="1"/>
  <c r="X158" i="1"/>
  <c r="X162" i="1"/>
  <c r="X167" i="1"/>
  <c r="X161" i="1"/>
  <c r="X164" i="1"/>
  <c r="X165" i="1"/>
  <c r="X163" i="1"/>
  <c r="X2" i="1"/>
  <c r="J94" i="51" l="1"/>
  <c r="I34" i="51"/>
  <c r="I190" i="51"/>
  <c r="I46" i="51"/>
  <c r="BP184" i="32"/>
  <c r="BP163" i="32"/>
  <c r="BP182" i="32"/>
  <c r="BP180" i="32"/>
  <c r="I46" i="46"/>
  <c r="J94" i="46"/>
  <c r="BO4" i="43"/>
  <c r="I190" i="46"/>
  <c r="D333" i="43"/>
  <c r="BP162" i="32"/>
  <c r="G43" i="5"/>
  <c r="F43" i="5"/>
  <c r="E43" i="5"/>
  <c r="D43" i="5"/>
  <c r="G42" i="5"/>
  <c r="F42" i="5"/>
  <c r="E42" i="5"/>
  <c r="D42" i="5"/>
  <c r="I34" i="46"/>
  <c r="BO185" i="32" s="1"/>
  <c r="BO3" i="43"/>
  <c r="D332" i="43"/>
  <c r="E337" i="43"/>
  <c r="BO16" i="43"/>
  <c r="D345" i="43"/>
  <c r="G37" i="5"/>
  <c r="F36" i="5"/>
  <c r="E35" i="5"/>
  <c r="D34" i="5"/>
  <c r="D33" i="5"/>
  <c r="G38" i="5"/>
  <c r="E36" i="5"/>
  <c r="G39" i="5"/>
  <c r="F38" i="5"/>
  <c r="E37" i="5"/>
  <c r="D36" i="5"/>
  <c r="G40" i="5"/>
  <c r="F39" i="5"/>
  <c r="E38" i="5"/>
  <c r="D37" i="5"/>
  <c r="F35" i="5"/>
  <c r="D41" i="5"/>
  <c r="G41" i="5"/>
  <c r="F40" i="5"/>
  <c r="E39" i="5"/>
  <c r="D38" i="5"/>
  <c r="F34" i="5"/>
  <c r="E41" i="5"/>
  <c r="G36" i="5"/>
  <c r="E33" i="5"/>
  <c r="D35" i="5"/>
  <c r="G34" i="5"/>
  <c r="G33" i="5"/>
  <c r="F41" i="5"/>
  <c r="E40" i="5"/>
  <c r="D39" i="5"/>
  <c r="G35" i="5"/>
  <c r="F33" i="5"/>
  <c r="D40" i="5"/>
  <c r="E34" i="5"/>
  <c r="F37" i="5"/>
  <c r="G32" i="5"/>
  <c r="F28" i="5"/>
  <c r="E32" i="5"/>
  <c r="F26" i="5"/>
  <c r="F29" i="5"/>
  <c r="E26" i="5"/>
  <c r="F30" i="5"/>
  <c r="D26" i="5"/>
  <c r="F32" i="5"/>
  <c r="G27" i="5"/>
  <c r="F31" i="5"/>
  <c r="E27" i="5"/>
  <c r="G28" i="5"/>
  <c r="E28" i="5"/>
  <c r="G29" i="5"/>
  <c r="E29" i="5"/>
  <c r="G30" i="5"/>
  <c r="E30" i="5"/>
  <c r="G31" i="5"/>
  <c r="F27" i="5"/>
  <c r="E31" i="5"/>
  <c r="G26" i="5"/>
  <c r="D31" i="5"/>
  <c r="D27" i="5"/>
  <c r="D28" i="5"/>
  <c r="D29" i="5"/>
  <c r="D32" i="5"/>
  <c r="D30" i="5"/>
  <c r="BM140" i="1"/>
  <c r="BM141" i="1" s="1"/>
  <c r="Q156" i="1"/>
  <c r="Q157" i="1"/>
  <c r="J190" i="51" l="1"/>
  <c r="J34" i="51"/>
  <c r="E333" i="43"/>
  <c r="J46" i="51"/>
  <c r="BO174" i="32"/>
  <c r="BO175" i="32"/>
  <c r="J46" i="46"/>
  <c r="J190" i="46"/>
  <c r="I43" i="5"/>
  <c r="I42" i="5"/>
  <c r="BN166" i="1"/>
  <c r="BY157" i="1"/>
  <c r="BY156" i="1"/>
  <c r="J34" i="46"/>
  <c r="BP185" i="32" s="1"/>
  <c r="E332" i="43"/>
  <c r="E345" i="43"/>
  <c r="I41" i="5"/>
  <c r="I40" i="5"/>
  <c r="I39" i="5"/>
  <c r="I37" i="5"/>
  <c r="I38" i="5"/>
  <c r="BN165" i="1"/>
  <c r="BM142" i="1"/>
  <c r="BM143" i="1" s="1"/>
  <c r="BM144" i="1" s="1"/>
  <c r="V157" i="1"/>
  <c r="V156" i="1"/>
  <c r="S42" i="5"/>
  <c r="Q155" i="1"/>
  <c r="BP174" i="32" l="1"/>
  <c r="BP175" i="32"/>
  <c r="L43" i="5"/>
  <c r="M43" i="5"/>
  <c r="L39" i="5"/>
  <c r="L40" i="5"/>
  <c r="L41" i="5"/>
  <c r="L42" i="5"/>
  <c r="M39" i="5"/>
  <c r="M40" i="5"/>
  <c r="M41" i="5"/>
  <c r="M42" i="5"/>
  <c r="BN164" i="1"/>
  <c r="BY155" i="1"/>
  <c r="BM145" i="1"/>
  <c r="BM146" i="1" s="1"/>
  <c r="V155" i="1"/>
  <c r="R42" i="5"/>
  <c r="BM147" i="1" l="1"/>
  <c r="BM148" i="1" s="1"/>
  <c r="AL163" i="1"/>
  <c r="F163" i="1"/>
  <c r="AP163" i="1" l="1"/>
  <c r="BM149" i="1"/>
  <c r="BM150" i="1" s="1"/>
  <c r="BM151" i="1" s="1"/>
  <c r="BM152" i="1" s="1"/>
  <c r="BM153" i="1" s="1"/>
  <c r="BM154" i="1" s="1"/>
  <c r="BM155" i="1" s="1"/>
  <c r="BM156" i="1" s="1"/>
  <c r="BM157" i="1" s="1"/>
  <c r="BM158" i="1" s="1"/>
  <c r="BM159" i="1" s="1"/>
  <c r="BM160" i="1" s="1"/>
  <c r="BM161" i="1" s="1"/>
  <c r="BM162" i="1" s="1"/>
  <c r="BM163" i="1" s="1"/>
  <c r="BM164" i="1" s="1"/>
  <c r="BM165" i="1" s="1"/>
  <c r="BM166" i="1" s="1"/>
  <c r="BM167" i="1" s="1"/>
  <c r="BM168" i="1" s="1"/>
  <c r="BM169" i="1" s="1"/>
  <c r="L3" i="30"/>
  <c r="M3" i="30" s="1"/>
  <c r="L4" i="30"/>
  <c r="M4" i="30" s="1"/>
  <c r="L5" i="30"/>
  <c r="M5" i="30" s="1"/>
  <c r="L6" i="30"/>
  <c r="M6" i="30" s="1"/>
  <c r="L7" i="30"/>
  <c r="M7" i="30" s="1"/>
  <c r="L8" i="30"/>
  <c r="M8" i="30" s="1"/>
  <c r="L9" i="30"/>
  <c r="M9" i="30" s="1"/>
  <c r="L10" i="30"/>
  <c r="M10" i="30" s="1"/>
  <c r="L11" i="30"/>
  <c r="L12" i="30"/>
  <c r="M12" i="30" s="1"/>
  <c r="L13" i="30"/>
  <c r="M13" i="30" s="1"/>
  <c r="L14" i="30"/>
  <c r="M14" i="30" s="1"/>
  <c r="L15" i="30"/>
  <c r="M15" i="30" s="1"/>
  <c r="L16" i="30"/>
  <c r="M16" i="30" s="1"/>
  <c r="L17" i="30"/>
  <c r="M17" i="30" s="1"/>
  <c r="L18" i="30"/>
  <c r="M18" i="30" s="1"/>
  <c r="L19" i="30"/>
  <c r="M19" i="30" s="1"/>
  <c r="L20" i="30"/>
  <c r="M20" i="30" s="1"/>
  <c r="L21" i="30"/>
  <c r="M21" i="30" s="1"/>
  <c r="L22" i="30"/>
  <c r="M22" i="30" s="1"/>
  <c r="L23" i="30"/>
  <c r="M23" i="30" s="1"/>
  <c r="L24" i="30"/>
  <c r="M24" i="30" s="1"/>
  <c r="L25" i="30"/>
  <c r="M25" i="30" s="1"/>
  <c r="L26" i="30"/>
  <c r="M26" i="30" s="1"/>
  <c r="L27" i="30"/>
  <c r="M27" i="30" s="1"/>
  <c r="L28" i="30"/>
  <c r="M28" i="30" s="1"/>
  <c r="L29" i="30"/>
  <c r="M29" i="30" s="1"/>
  <c r="L30" i="30"/>
  <c r="M30" i="30" s="1"/>
  <c r="L31" i="30"/>
  <c r="M31" i="30" s="1"/>
  <c r="L32" i="30"/>
  <c r="M32" i="30" s="1"/>
  <c r="L33" i="30"/>
  <c r="M33" i="30" s="1"/>
  <c r="L2" i="30"/>
  <c r="M2" i="30" s="1"/>
  <c r="M11" i="30"/>
  <c r="Q18" i="30"/>
  <c r="R18" i="30" s="1"/>
  <c r="Q19" i="30"/>
  <c r="R19" i="30" s="1"/>
  <c r="Q20" i="30"/>
  <c r="R20" i="30" s="1"/>
  <c r="Q21" i="30"/>
  <c r="R21" i="30" s="1"/>
  <c r="Q22" i="30"/>
  <c r="R22" i="30" s="1"/>
  <c r="Q23" i="30"/>
  <c r="R23" i="30" s="1"/>
  <c r="Q24" i="30"/>
  <c r="R24" i="30" s="1"/>
  <c r="Q25" i="30"/>
  <c r="R25" i="30" s="1"/>
  <c r="Q26" i="30"/>
  <c r="R26" i="30" s="1"/>
  <c r="Q27" i="30"/>
  <c r="R27" i="30" s="1"/>
  <c r="Q28" i="30"/>
  <c r="R28" i="30" s="1"/>
  <c r="Q29" i="30"/>
  <c r="R29" i="30" s="1"/>
  <c r="Q30" i="30"/>
  <c r="R30" i="30" s="1"/>
  <c r="Q31" i="30"/>
  <c r="R31" i="30" s="1"/>
  <c r="Q32" i="30"/>
  <c r="R32" i="30" s="1"/>
  <c r="Q33" i="30"/>
  <c r="R33" i="30" s="1"/>
  <c r="Q3" i="30"/>
  <c r="R3" i="30" s="1"/>
  <c r="Q4" i="30"/>
  <c r="R4" i="30" s="1"/>
  <c r="Q5" i="30"/>
  <c r="R5" i="30" s="1"/>
  <c r="Q6" i="30"/>
  <c r="R6" i="30" s="1"/>
  <c r="Q7" i="30"/>
  <c r="R7" i="30" s="1"/>
  <c r="Q8" i="30"/>
  <c r="R8" i="30" s="1"/>
  <c r="Q9" i="30"/>
  <c r="R9" i="30" s="1"/>
  <c r="Q10" i="30"/>
  <c r="R10" i="30" s="1"/>
  <c r="Q11" i="30"/>
  <c r="R11" i="30" s="1"/>
  <c r="Q12" i="30"/>
  <c r="R12" i="30" s="1"/>
  <c r="Q13" i="30"/>
  <c r="R13" i="30" s="1"/>
  <c r="Q14" i="30"/>
  <c r="R14" i="30" s="1"/>
  <c r="Q15" i="30"/>
  <c r="R15" i="30" s="1"/>
  <c r="Q16" i="30"/>
  <c r="R16" i="30" s="1"/>
  <c r="Q17" i="30"/>
  <c r="R17" i="30" s="1"/>
  <c r="Q2" i="30"/>
  <c r="R2" i="30" s="1"/>
  <c r="Y160" i="29"/>
  <c r="V160" i="29" a="1"/>
  <c r="V160" i="29" s="1"/>
  <c r="U160" i="29"/>
  <c r="T160" i="29"/>
  <c r="Y159" i="29"/>
  <c r="V159" i="29" a="1"/>
  <c r="V159" i="29" s="1"/>
  <c r="U159" i="29"/>
  <c r="T159" i="29"/>
  <c r="Y158" i="29"/>
  <c r="V158" i="29" a="1"/>
  <c r="V158" i="29" s="1"/>
  <c r="U158" i="29"/>
  <c r="T158" i="29"/>
  <c r="Y157" i="29"/>
  <c r="V157" i="29" a="1"/>
  <c r="V157" i="29" s="1"/>
  <c r="U157" i="29"/>
  <c r="T157" i="29"/>
  <c r="Y156" i="29"/>
  <c r="V156" i="29" a="1"/>
  <c r="V156" i="29" s="1"/>
  <c r="U156" i="29"/>
  <c r="T156" i="29"/>
  <c r="Y155" i="29"/>
  <c r="V155" i="29" a="1"/>
  <c r="V155" i="29" s="1"/>
  <c r="U155" i="29"/>
  <c r="T155" i="29"/>
  <c r="Y154" i="29"/>
  <c r="V154" i="29" a="1"/>
  <c r="V154" i="29" s="1"/>
  <c r="U154" i="29"/>
  <c r="T154" i="29"/>
  <c r="Y153" i="29"/>
  <c r="V153" i="29" a="1"/>
  <c r="V153" i="29" s="1"/>
  <c r="U153" i="29"/>
  <c r="T153" i="29"/>
  <c r="Y152" i="29"/>
  <c r="V152" i="29" a="1"/>
  <c r="V152" i="29" s="1"/>
  <c r="U152" i="29"/>
  <c r="T152" i="29"/>
  <c r="Y151" i="29"/>
  <c r="V151" i="29" a="1"/>
  <c r="V151" i="29" s="1"/>
  <c r="U151" i="29"/>
  <c r="T151" i="29"/>
  <c r="Y150" i="29"/>
  <c r="V150" i="29" a="1"/>
  <c r="V150" i="29" s="1"/>
  <c r="U150" i="29"/>
  <c r="T150" i="29"/>
  <c r="Y149" i="29"/>
  <c r="V149" i="29" a="1"/>
  <c r="V149" i="29" s="1"/>
  <c r="U149" i="29"/>
  <c r="T149" i="29"/>
  <c r="Y148" i="29"/>
  <c r="V148" i="29" a="1"/>
  <c r="V148" i="29" s="1"/>
  <c r="U148" i="29"/>
  <c r="T148" i="29"/>
  <c r="Y147" i="29"/>
  <c r="V147" i="29" a="1"/>
  <c r="V147" i="29" s="1"/>
  <c r="U147" i="29"/>
  <c r="T147" i="29"/>
  <c r="Y146" i="29"/>
  <c r="V146" i="29" a="1"/>
  <c r="V146" i="29" s="1"/>
  <c r="U146" i="29"/>
  <c r="T146" i="29"/>
  <c r="Y145" i="29"/>
  <c r="V145" i="29" a="1"/>
  <c r="V145" i="29" s="1"/>
  <c r="U145" i="29"/>
  <c r="T145" i="29"/>
  <c r="Y144" i="29"/>
  <c r="V144" i="29" a="1"/>
  <c r="V144" i="29" s="1"/>
  <c r="U144" i="29"/>
  <c r="T144" i="29"/>
  <c r="Y143" i="29"/>
  <c r="V143" i="29" a="1"/>
  <c r="V143" i="29" s="1"/>
  <c r="U143" i="29"/>
  <c r="T143" i="29"/>
  <c r="Y142" i="29"/>
  <c r="V142" i="29" a="1"/>
  <c r="V142" i="29" s="1"/>
  <c r="U142" i="29"/>
  <c r="T142" i="29"/>
  <c r="Y141" i="29"/>
  <c r="V141" i="29" a="1"/>
  <c r="V141" i="29" s="1"/>
  <c r="U141" i="29"/>
  <c r="T141" i="29"/>
  <c r="Y140" i="29"/>
  <c r="V140" i="29" a="1"/>
  <c r="V140" i="29" s="1"/>
  <c r="U140" i="29"/>
  <c r="T140" i="29"/>
  <c r="Y139" i="29"/>
  <c r="V139" i="29" a="1"/>
  <c r="V139" i="29" s="1"/>
  <c r="U139" i="29"/>
  <c r="T139" i="29"/>
  <c r="Y138" i="29"/>
  <c r="V138" i="29" a="1"/>
  <c r="V138" i="29" s="1"/>
  <c r="U138" i="29"/>
  <c r="T138" i="29"/>
  <c r="Y137" i="29"/>
  <c r="V137" i="29" a="1"/>
  <c r="V137" i="29" s="1"/>
  <c r="U137" i="29"/>
  <c r="T137" i="29"/>
  <c r="Y136" i="29"/>
  <c r="V136" i="29" a="1"/>
  <c r="V136" i="29" s="1"/>
  <c r="U136" i="29"/>
  <c r="T136" i="29"/>
  <c r="Y135" i="29"/>
  <c r="V135" i="29" a="1"/>
  <c r="V135" i="29" s="1"/>
  <c r="U135" i="29"/>
  <c r="T135" i="29"/>
  <c r="Y134" i="29"/>
  <c r="V134" i="29" a="1"/>
  <c r="V134" i="29" s="1"/>
  <c r="U134" i="29"/>
  <c r="T134" i="29"/>
  <c r="Y133" i="29"/>
  <c r="V133" i="29" a="1"/>
  <c r="V133" i="29" s="1"/>
  <c r="U133" i="29"/>
  <c r="T133" i="29"/>
  <c r="Y132" i="29"/>
  <c r="V132" i="29" a="1"/>
  <c r="V132" i="29" s="1"/>
  <c r="U132" i="29"/>
  <c r="T132" i="29"/>
  <c r="Y131" i="29"/>
  <c r="V131" i="29" a="1"/>
  <c r="V131" i="29" s="1"/>
  <c r="U131" i="29"/>
  <c r="T131" i="29"/>
  <c r="Y130" i="29"/>
  <c r="V130" i="29" a="1"/>
  <c r="V130" i="29" s="1"/>
  <c r="U130" i="29"/>
  <c r="T130" i="29"/>
  <c r="Y129" i="29"/>
  <c r="V129" i="29" a="1"/>
  <c r="V129" i="29" s="1"/>
  <c r="U129" i="29"/>
  <c r="T129" i="29"/>
  <c r="Y128" i="29"/>
  <c r="V128" i="29" a="1"/>
  <c r="V128" i="29" s="1"/>
  <c r="U128" i="29"/>
  <c r="T128" i="29"/>
  <c r="Y127" i="29"/>
  <c r="V127" i="29" a="1"/>
  <c r="V127" i="29" s="1"/>
  <c r="U127" i="29"/>
  <c r="T127" i="29"/>
  <c r="Y126" i="29"/>
  <c r="V126" i="29" a="1"/>
  <c r="V126" i="29" s="1"/>
  <c r="U126" i="29"/>
  <c r="T126" i="29"/>
  <c r="Y125" i="29"/>
  <c r="V125" i="29" a="1"/>
  <c r="V125" i="29" s="1"/>
  <c r="U125" i="29"/>
  <c r="T125" i="29"/>
  <c r="Y124" i="29"/>
  <c r="V124" i="29" a="1"/>
  <c r="V124" i="29" s="1"/>
  <c r="U124" i="29"/>
  <c r="T124" i="29"/>
  <c r="Y123" i="29"/>
  <c r="V123" i="29" a="1"/>
  <c r="V123" i="29" s="1"/>
  <c r="U123" i="29"/>
  <c r="T123" i="29"/>
  <c r="Y122" i="29"/>
  <c r="V122" i="29" a="1"/>
  <c r="V122" i="29" s="1"/>
  <c r="U122" i="29"/>
  <c r="T122" i="29"/>
  <c r="Y121" i="29"/>
  <c r="V121" i="29" a="1"/>
  <c r="V121" i="29" s="1"/>
  <c r="U121" i="29"/>
  <c r="T121" i="29"/>
  <c r="Y120" i="29"/>
  <c r="V120" i="29" a="1"/>
  <c r="V120" i="29" s="1"/>
  <c r="U120" i="29"/>
  <c r="T120" i="29"/>
  <c r="Y119" i="29"/>
  <c r="V119" i="29" a="1"/>
  <c r="V119" i="29" s="1"/>
  <c r="U119" i="29"/>
  <c r="T119" i="29"/>
  <c r="Y118" i="29"/>
  <c r="V118" i="29" a="1"/>
  <c r="V118" i="29" s="1"/>
  <c r="U118" i="29"/>
  <c r="T118" i="29"/>
  <c r="Y117" i="29"/>
  <c r="V117" i="29" a="1"/>
  <c r="V117" i="29" s="1"/>
  <c r="U117" i="29"/>
  <c r="T117" i="29"/>
  <c r="Y116" i="29"/>
  <c r="V116" i="29" a="1"/>
  <c r="V116" i="29" s="1"/>
  <c r="U116" i="29"/>
  <c r="T116" i="29"/>
  <c r="Y115" i="29"/>
  <c r="V115" i="29" a="1"/>
  <c r="V115" i="29" s="1"/>
  <c r="U115" i="29"/>
  <c r="T115" i="29"/>
  <c r="Y114" i="29"/>
  <c r="V114" i="29" a="1"/>
  <c r="V114" i="29" s="1"/>
  <c r="U114" i="29"/>
  <c r="T114" i="29"/>
  <c r="Y113" i="29"/>
  <c r="V113" i="29" a="1"/>
  <c r="V113" i="29" s="1"/>
  <c r="U113" i="29"/>
  <c r="T113" i="29"/>
  <c r="Y112" i="29"/>
  <c r="V112" i="29" a="1"/>
  <c r="V112" i="29" s="1"/>
  <c r="U112" i="29"/>
  <c r="T112" i="29"/>
  <c r="Y111" i="29"/>
  <c r="V111" i="29" a="1"/>
  <c r="V111" i="29" s="1"/>
  <c r="U111" i="29"/>
  <c r="T111" i="29"/>
  <c r="Y110" i="29"/>
  <c r="V110" i="29" a="1"/>
  <c r="V110" i="29" s="1"/>
  <c r="U110" i="29"/>
  <c r="T110" i="29"/>
  <c r="Y109" i="29"/>
  <c r="V109" i="29" a="1"/>
  <c r="V109" i="29" s="1"/>
  <c r="U109" i="29"/>
  <c r="T109" i="29"/>
  <c r="Y108" i="29"/>
  <c r="V108" i="29" a="1"/>
  <c r="V108" i="29" s="1"/>
  <c r="U108" i="29"/>
  <c r="T108" i="29"/>
  <c r="Y107" i="29"/>
  <c r="V107" i="29" a="1"/>
  <c r="V107" i="29" s="1"/>
  <c r="U107" i="29"/>
  <c r="T107" i="29"/>
  <c r="Y106" i="29"/>
  <c r="V106" i="29" a="1"/>
  <c r="V106" i="29" s="1"/>
  <c r="U106" i="29"/>
  <c r="T106" i="29"/>
  <c r="Y105" i="29"/>
  <c r="V105" i="29" a="1"/>
  <c r="V105" i="29" s="1"/>
  <c r="U105" i="29"/>
  <c r="T105" i="29"/>
  <c r="Y104" i="29"/>
  <c r="V104" i="29" a="1"/>
  <c r="V104" i="29" s="1"/>
  <c r="U104" i="29"/>
  <c r="T104" i="29"/>
  <c r="Y103" i="29"/>
  <c r="V103" i="29" a="1"/>
  <c r="V103" i="29" s="1"/>
  <c r="U103" i="29"/>
  <c r="T103" i="29"/>
  <c r="Y102" i="29"/>
  <c r="V102" i="29" a="1"/>
  <c r="V102" i="29" s="1"/>
  <c r="U102" i="29"/>
  <c r="T102" i="29"/>
  <c r="Y101" i="29"/>
  <c r="V101" i="29" a="1"/>
  <c r="V101" i="29" s="1"/>
  <c r="U101" i="29"/>
  <c r="T101" i="29"/>
  <c r="Y100" i="29"/>
  <c r="V100" i="29" a="1"/>
  <c r="V100" i="29" s="1"/>
  <c r="U100" i="29"/>
  <c r="T100" i="29"/>
  <c r="Y99" i="29"/>
  <c r="V99" i="29" a="1"/>
  <c r="V99" i="29" s="1"/>
  <c r="U99" i="29"/>
  <c r="T99" i="29"/>
  <c r="Y98" i="29"/>
  <c r="V98" i="29" a="1"/>
  <c r="V98" i="29" s="1"/>
  <c r="U98" i="29"/>
  <c r="T98" i="29"/>
  <c r="Y97" i="29"/>
  <c r="V97" i="29" a="1"/>
  <c r="V97" i="29" s="1"/>
  <c r="U97" i="29"/>
  <c r="T97" i="29"/>
  <c r="Y96" i="29"/>
  <c r="V96" i="29" a="1"/>
  <c r="V96" i="29" s="1"/>
  <c r="U96" i="29"/>
  <c r="T96" i="29"/>
  <c r="Y95" i="29"/>
  <c r="V95" i="29" a="1"/>
  <c r="V95" i="29" s="1"/>
  <c r="U95" i="29"/>
  <c r="T95" i="29"/>
  <c r="Y94" i="29"/>
  <c r="V94" i="29" a="1"/>
  <c r="V94" i="29" s="1"/>
  <c r="U94" i="29"/>
  <c r="T94" i="29"/>
  <c r="Y93" i="29"/>
  <c r="V93" i="29" a="1"/>
  <c r="V93" i="29" s="1"/>
  <c r="U93" i="29"/>
  <c r="T93" i="29"/>
  <c r="Y92" i="29"/>
  <c r="V92" i="29" a="1"/>
  <c r="V92" i="29" s="1"/>
  <c r="U92" i="29"/>
  <c r="T92" i="29"/>
  <c r="Y91" i="29"/>
  <c r="V91" i="29" a="1"/>
  <c r="V91" i="29" s="1"/>
  <c r="U91" i="29"/>
  <c r="T91" i="29"/>
  <c r="Y90" i="29"/>
  <c r="V90" i="29" a="1"/>
  <c r="V90" i="29" s="1"/>
  <c r="U90" i="29"/>
  <c r="T90" i="29"/>
  <c r="Y89" i="29"/>
  <c r="V89" i="29" a="1"/>
  <c r="V89" i="29" s="1"/>
  <c r="U89" i="29"/>
  <c r="T89" i="29"/>
  <c r="Y88" i="29"/>
  <c r="V88" i="29" a="1"/>
  <c r="V88" i="29" s="1"/>
  <c r="U88" i="29"/>
  <c r="T88" i="29"/>
  <c r="Y87" i="29"/>
  <c r="V87" i="29" a="1"/>
  <c r="V87" i="29" s="1"/>
  <c r="U87" i="29"/>
  <c r="T87" i="29"/>
  <c r="Y86" i="29"/>
  <c r="V86" i="29" a="1"/>
  <c r="V86" i="29" s="1"/>
  <c r="U86" i="29"/>
  <c r="T86" i="29"/>
  <c r="Y85" i="29"/>
  <c r="V85" i="29" a="1"/>
  <c r="V85" i="29" s="1"/>
  <c r="U85" i="29"/>
  <c r="T85" i="29"/>
  <c r="Y84" i="29"/>
  <c r="V84" i="29" a="1"/>
  <c r="V84" i="29" s="1"/>
  <c r="U84" i="29"/>
  <c r="T84" i="29"/>
  <c r="Y83" i="29"/>
  <c r="V83" i="29" a="1"/>
  <c r="V83" i="29" s="1"/>
  <c r="U83" i="29"/>
  <c r="T83" i="29"/>
  <c r="Y82" i="29"/>
  <c r="V82" i="29" a="1"/>
  <c r="V82" i="29" s="1"/>
  <c r="U82" i="29"/>
  <c r="T82" i="29"/>
  <c r="Y81" i="29"/>
  <c r="V81" i="29" a="1"/>
  <c r="V81" i="29" s="1"/>
  <c r="U81" i="29"/>
  <c r="T81" i="29"/>
  <c r="Y80" i="29"/>
  <c r="V80" i="29" a="1"/>
  <c r="V80" i="29" s="1"/>
  <c r="U80" i="29"/>
  <c r="T80" i="29"/>
  <c r="Y79" i="29"/>
  <c r="V79" i="29" a="1"/>
  <c r="V79" i="29" s="1"/>
  <c r="U79" i="29"/>
  <c r="T79" i="29"/>
  <c r="Y78" i="29"/>
  <c r="V78" i="29" a="1"/>
  <c r="V78" i="29" s="1"/>
  <c r="U78" i="29"/>
  <c r="T78" i="29"/>
  <c r="Y77" i="29"/>
  <c r="V77" i="29" a="1"/>
  <c r="V77" i="29" s="1"/>
  <c r="U77" i="29"/>
  <c r="T77" i="29"/>
  <c r="Y76" i="29"/>
  <c r="V76" i="29" a="1"/>
  <c r="V76" i="29" s="1"/>
  <c r="U76" i="29"/>
  <c r="T76" i="29"/>
  <c r="Y75" i="29"/>
  <c r="V75" i="29" a="1"/>
  <c r="V75" i="29" s="1"/>
  <c r="U75" i="29"/>
  <c r="T75" i="29"/>
  <c r="Y74" i="29"/>
  <c r="V74" i="29" a="1"/>
  <c r="V74" i="29" s="1"/>
  <c r="U74" i="29"/>
  <c r="T74" i="29"/>
  <c r="Y73" i="29"/>
  <c r="V73" i="29" a="1"/>
  <c r="V73" i="29" s="1"/>
  <c r="U73" i="29"/>
  <c r="T73" i="29"/>
  <c r="Y72" i="29"/>
  <c r="V72" i="29" a="1"/>
  <c r="V72" i="29" s="1"/>
  <c r="U72" i="29"/>
  <c r="T72" i="29"/>
  <c r="Y71" i="29"/>
  <c r="V71" i="29" a="1"/>
  <c r="V71" i="29" s="1"/>
  <c r="U71" i="29"/>
  <c r="T71" i="29"/>
  <c r="Y70" i="29"/>
  <c r="V70" i="29" a="1"/>
  <c r="V70" i="29" s="1"/>
  <c r="U70" i="29"/>
  <c r="T70" i="29"/>
  <c r="Y69" i="29"/>
  <c r="V69" i="29" a="1"/>
  <c r="V69" i="29" s="1"/>
  <c r="U69" i="29"/>
  <c r="T69" i="29"/>
  <c r="Y68" i="29"/>
  <c r="V68" i="29" a="1"/>
  <c r="V68" i="29" s="1"/>
  <c r="U68" i="29"/>
  <c r="T68" i="29"/>
  <c r="Y67" i="29"/>
  <c r="V67" i="29" a="1"/>
  <c r="V67" i="29" s="1"/>
  <c r="U67" i="29"/>
  <c r="T67" i="29"/>
  <c r="Y66" i="29"/>
  <c r="V66" i="29" a="1"/>
  <c r="V66" i="29" s="1"/>
  <c r="U66" i="29"/>
  <c r="T66" i="29"/>
  <c r="Y65" i="29"/>
  <c r="V65" i="29" a="1"/>
  <c r="V65" i="29" s="1"/>
  <c r="U65" i="29"/>
  <c r="T65" i="29"/>
  <c r="Y64" i="29"/>
  <c r="V64" i="29" a="1"/>
  <c r="V64" i="29" s="1"/>
  <c r="U64" i="29"/>
  <c r="T64" i="29"/>
  <c r="Y63" i="29"/>
  <c r="V63" i="29" a="1"/>
  <c r="V63" i="29" s="1"/>
  <c r="U63" i="29"/>
  <c r="T63" i="29"/>
  <c r="Y62" i="29"/>
  <c r="V62" i="29" a="1"/>
  <c r="V62" i="29" s="1"/>
  <c r="U62" i="29"/>
  <c r="T62" i="29"/>
  <c r="Y61" i="29"/>
  <c r="V61" i="29" a="1"/>
  <c r="V61" i="29" s="1"/>
  <c r="U61" i="29"/>
  <c r="T61" i="29"/>
  <c r="Y60" i="29"/>
  <c r="V60" i="29" a="1"/>
  <c r="V60" i="29" s="1"/>
  <c r="U60" i="29"/>
  <c r="T60" i="29"/>
  <c r="Y59" i="29"/>
  <c r="V59" i="29" a="1"/>
  <c r="V59" i="29" s="1"/>
  <c r="U59" i="29"/>
  <c r="T59" i="29"/>
  <c r="Y58" i="29"/>
  <c r="V58" i="29" a="1"/>
  <c r="V58" i="29" s="1"/>
  <c r="U58" i="29"/>
  <c r="T58" i="29"/>
  <c r="Y57" i="29"/>
  <c r="V57" i="29" a="1"/>
  <c r="V57" i="29" s="1"/>
  <c r="U57" i="29"/>
  <c r="T57" i="29"/>
  <c r="Y56" i="29"/>
  <c r="V56" i="29" a="1"/>
  <c r="V56" i="29" s="1"/>
  <c r="U56" i="29"/>
  <c r="T56" i="29"/>
  <c r="Y55" i="29"/>
  <c r="V55" i="29" a="1"/>
  <c r="V55" i="29" s="1"/>
  <c r="U55" i="29"/>
  <c r="T55" i="29"/>
  <c r="Y54" i="29"/>
  <c r="V54" i="29" a="1"/>
  <c r="V54" i="29" s="1"/>
  <c r="U54" i="29"/>
  <c r="T54" i="29"/>
  <c r="Y53" i="29"/>
  <c r="V53" i="29" a="1"/>
  <c r="V53" i="29" s="1"/>
  <c r="U53" i="29"/>
  <c r="T53" i="29"/>
  <c r="Y52" i="29"/>
  <c r="V52" i="29" a="1"/>
  <c r="V52" i="29" s="1"/>
  <c r="U52" i="29"/>
  <c r="T52" i="29"/>
  <c r="Y51" i="29"/>
  <c r="V51" i="29" a="1"/>
  <c r="V51" i="29" s="1"/>
  <c r="U51" i="29"/>
  <c r="T51" i="29"/>
  <c r="Y50" i="29"/>
  <c r="V50" i="29" a="1"/>
  <c r="V50" i="29" s="1"/>
  <c r="U50" i="29"/>
  <c r="T50" i="29"/>
  <c r="Y49" i="29"/>
  <c r="V49" i="29" a="1"/>
  <c r="V49" i="29" s="1"/>
  <c r="U49" i="29"/>
  <c r="T49" i="29"/>
  <c r="Y48" i="29"/>
  <c r="V48" i="29" a="1"/>
  <c r="V48" i="29" s="1"/>
  <c r="U48" i="29"/>
  <c r="T48" i="29"/>
  <c r="Y47" i="29"/>
  <c r="V47" i="29" a="1"/>
  <c r="V47" i="29" s="1"/>
  <c r="U47" i="29"/>
  <c r="T47" i="29"/>
  <c r="Y46" i="29"/>
  <c r="V46" i="29" a="1"/>
  <c r="V46" i="29" s="1"/>
  <c r="U46" i="29"/>
  <c r="T46" i="29"/>
  <c r="Y45" i="29"/>
  <c r="V45" i="29" a="1"/>
  <c r="V45" i="29" s="1"/>
  <c r="U45" i="29"/>
  <c r="T45" i="29"/>
  <c r="Y44" i="29"/>
  <c r="V44" i="29" a="1"/>
  <c r="V44" i="29" s="1"/>
  <c r="U44" i="29"/>
  <c r="T44" i="29"/>
  <c r="Y43" i="29"/>
  <c r="V43" i="29" a="1"/>
  <c r="V43" i="29" s="1"/>
  <c r="U43" i="29"/>
  <c r="T43" i="29"/>
  <c r="Y42" i="29"/>
  <c r="V42" i="29" a="1"/>
  <c r="V42" i="29" s="1"/>
  <c r="U42" i="29"/>
  <c r="T42" i="29"/>
  <c r="Y41" i="29"/>
  <c r="V41" i="29" a="1"/>
  <c r="V41" i="29" s="1"/>
  <c r="U41" i="29"/>
  <c r="T41" i="29"/>
  <c r="Y40" i="29"/>
  <c r="V40" i="29" a="1"/>
  <c r="V40" i="29" s="1"/>
  <c r="U40" i="29"/>
  <c r="T40" i="29"/>
  <c r="Y39" i="29"/>
  <c r="V39" i="29" a="1"/>
  <c r="V39" i="29" s="1"/>
  <c r="U39" i="29"/>
  <c r="T39" i="29"/>
  <c r="Y38" i="29"/>
  <c r="V38" i="29" a="1"/>
  <c r="V38" i="29" s="1"/>
  <c r="U38" i="29"/>
  <c r="T38" i="29"/>
  <c r="Y37" i="29"/>
  <c r="V37" i="29" a="1"/>
  <c r="V37" i="29" s="1"/>
  <c r="U37" i="29"/>
  <c r="T37" i="29"/>
  <c r="Y36" i="29"/>
  <c r="V36" i="29" a="1"/>
  <c r="V36" i="29" s="1"/>
  <c r="U36" i="29"/>
  <c r="T36" i="29"/>
  <c r="Y35" i="29"/>
  <c r="V35" i="29" a="1"/>
  <c r="V35" i="29" s="1"/>
  <c r="U35" i="29"/>
  <c r="T35" i="29"/>
  <c r="Y34" i="29"/>
  <c r="V34" i="29" a="1"/>
  <c r="V34" i="29" s="1"/>
  <c r="U34" i="29"/>
  <c r="T34" i="29"/>
  <c r="Y33" i="29"/>
  <c r="V33" i="29" a="1"/>
  <c r="V33" i="29" s="1"/>
  <c r="U33" i="29"/>
  <c r="T33" i="29"/>
  <c r="Y32" i="29"/>
  <c r="V32" i="29" a="1"/>
  <c r="V32" i="29" s="1"/>
  <c r="U32" i="29"/>
  <c r="T32" i="29"/>
  <c r="Y31" i="29"/>
  <c r="V31" i="29" a="1"/>
  <c r="V31" i="29" s="1"/>
  <c r="U31" i="29"/>
  <c r="T31" i="29"/>
  <c r="Y30" i="29"/>
  <c r="V30" i="29" a="1"/>
  <c r="V30" i="29" s="1"/>
  <c r="U30" i="29"/>
  <c r="T30" i="29"/>
  <c r="Y29" i="29"/>
  <c r="V29" i="29" a="1"/>
  <c r="V29" i="29" s="1"/>
  <c r="U29" i="29"/>
  <c r="T29" i="29"/>
  <c r="Y28" i="29"/>
  <c r="V28" i="29" a="1"/>
  <c r="V28" i="29" s="1"/>
  <c r="U28" i="29"/>
  <c r="T28" i="29"/>
  <c r="Y27" i="29"/>
  <c r="V27" i="29" a="1"/>
  <c r="V27" i="29" s="1"/>
  <c r="U27" i="29"/>
  <c r="T27" i="29"/>
  <c r="Y26" i="29"/>
  <c r="V26" i="29" a="1"/>
  <c r="V26" i="29" s="1"/>
  <c r="U26" i="29"/>
  <c r="T26" i="29"/>
  <c r="Y25" i="29"/>
  <c r="V25" i="29" a="1"/>
  <c r="V25" i="29" s="1"/>
  <c r="U25" i="29"/>
  <c r="T25" i="29"/>
  <c r="Y24" i="29"/>
  <c r="V24" i="29" a="1"/>
  <c r="V24" i="29" s="1"/>
  <c r="U24" i="29"/>
  <c r="T24" i="29"/>
  <c r="Y23" i="29"/>
  <c r="V23" i="29" a="1"/>
  <c r="V23" i="29" s="1"/>
  <c r="U23" i="29"/>
  <c r="T23" i="29"/>
  <c r="Y22" i="29"/>
  <c r="V22" i="29" a="1"/>
  <c r="V22" i="29" s="1"/>
  <c r="U22" i="29"/>
  <c r="T22" i="29"/>
  <c r="Y21" i="29"/>
  <c r="V21" i="29" a="1"/>
  <c r="V21" i="29" s="1"/>
  <c r="U21" i="29"/>
  <c r="T21" i="29"/>
  <c r="Y20" i="29"/>
  <c r="V20" i="29" a="1"/>
  <c r="V20" i="29" s="1"/>
  <c r="U20" i="29"/>
  <c r="T20" i="29"/>
  <c r="Y19" i="29"/>
  <c r="V19" i="29" a="1"/>
  <c r="V19" i="29" s="1"/>
  <c r="U19" i="29"/>
  <c r="T19" i="29"/>
  <c r="Y18" i="29"/>
  <c r="V18" i="29" a="1"/>
  <c r="V18" i="29" s="1"/>
  <c r="U18" i="29"/>
  <c r="T18" i="29"/>
  <c r="Y17" i="29"/>
  <c r="V17" i="29" a="1"/>
  <c r="V17" i="29" s="1"/>
  <c r="U17" i="29"/>
  <c r="T17" i="29"/>
  <c r="Y16" i="29"/>
  <c r="V16" i="29" a="1"/>
  <c r="V16" i="29" s="1"/>
  <c r="U16" i="29"/>
  <c r="T16" i="29"/>
  <c r="Y15" i="29"/>
  <c r="V15" i="29" a="1"/>
  <c r="V15" i="29" s="1"/>
  <c r="U15" i="29"/>
  <c r="T15" i="29"/>
  <c r="Y14" i="29"/>
  <c r="V14" i="29" a="1"/>
  <c r="V14" i="29" s="1"/>
  <c r="U14" i="29"/>
  <c r="T14" i="29"/>
  <c r="Y13" i="29"/>
  <c r="V13" i="29" a="1"/>
  <c r="V13" i="29" s="1"/>
  <c r="U13" i="29"/>
  <c r="T13" i="29"/>
  <c r="V12" i="29" a="1"/>
  <c r="V12" i="29" s="1"/>
  <c r="U12" i="29"/>
  <c r="T12" i="29"/>
  <c r="Y11" i="29"/>
  <c r="V11" i="29" a="1"/>
  <c r="V11" i="29" s="1"/>
  <c r="U11" i="29"/>
  <c r="T11" i="29"/>
  <c r="Y10" i="29"/>
  <c r="V10" i="29" a="1"/>
  <c r="V10" i="29" s="1"/>
  <c r="U10" i="29"/>
  <c r="T10" i="29"/>
  <c r="Y9" i="29"/>
  <c r="V9" i="29" a="1"/>
  <c r="V9" i="29" s="1"/>
  <c r="U9" i="29"/>
  <c r="T9" i="29"/>
  <c r="Y8" i="29"/>
  <c r="V8" i="29" a="1"/>
  <c r="V8" i="29" s="1"/>
  <c r="U8" i="29"/>
  <c r="T8" i="29"/>
  <c r="Y7" i="29"/>
  <c r="V7" i="29" a="1"/>
  <c r="V7" i="29" s="1"/>
  <c r="U7" i="29"/>
  <c r="T7" i="29"/>
  <c r="Y6" i="29"/>
  <c r="V6" i="29" a="1"/>
  <c r="V6" i="29" s="1"/>
  <c r="U6" i="29"/>
  <c r="T6" i="29"/>
  <c r="Y5" i="29"/>
  <c r="V5" i="29" a="1"/>
  <c r="V5" i="29" s="1"/>
  <c r="U5" i="29"/>
  <c r="T5" i="29"/>
  <c r="AJ3" i="29"/>
  <c r="AG3" i="29"/>
  <c r="AG3" i="26"/>
  <c r="AJ3" i="26"/>
  <c r="Y17" i="26"/>
  <c r="Y39" i="26"/>
  <c r="Y167" i="26"/>
  <c r="Y168" i="26"/>
  <c r="Y13" i="26"/>
  <c r="Y169" i="26"/>
  <c r="Y170" i="26"/>
  <c r="Y15" i="26"/>
  <c r="Y34" i="26"/>
  <c r="Y48" i="26"/>
  <c r="Y61" i="26"/>
  <c r="Y81" i="26"/>
  <c r="Y112" i="26"/>
  <c r="Y141" i="26"/>
  <c r="Y171" i="26"/>
  <c r="Y7" i="26"/>
  <c r="Y19" i="26"/>
  <c r="Y172" i="26"/>
  <c r="Y12" i="26"/>
  <c r="Y31" i="26"/>
  <c r="Y45" i="26"/>
  <c r="Y66" i="26"/>
  <c r="Y173" i="26"/>
  <c r="Y174" i="26"/>
  <c r="Y16" i="26"/>
  <c r="Y30" i="26"/>
  <c r="Y44" i="26"/>
  <c r="Y58" i="26"/>
  <c r="Y77" i="26"/>
  <c r="Y108" i="26"/>
  <c r="Y175" i="26"/>
  <c r="Y176" i="26"/>
  <c r="Y9" i="26"/>
  <c r="Y24" i="26"/>
  <c r="Y43" i="26"/>
  <c r="Y52" i="26"/>
  <c r="Y64" i="26"/>
  <c r="Y82" i="26"/>
  <c r="Y107" i="26"/>
  <c r="Y137" i="26"/>
  <c r="Y177" i="26"/>
  <c r="Y178" i="26"/>
  <c r="Y179" i="26"/>
  <c r="Y180" i="26"/>
  <c r="Y20" i="26"/>
  <c r="Y36" i="26"/>
  <c r="Y62" i="26"/>
  <c r="Y83" i="26"/>
  <c r="Y181" i="26"/>
  <c r="Y182" i="26"/>
  <c r="Y183" i="26"/>
  <c r="Y184" i="26"/>
  <c r="Y14" i="26"/>
  <c r="Y28" i="26"/>
  <c r="Y47" i="26"/>
  <c r="Y59" i="26"/>
  <c r="Y78" i="26"/>
  <c r="Y109" i="26"/>
  <c r="Y138" i="26"/>
  <c r="Y18" i="26"/>
  <c r="Y33" i="26"/>
  <c r="Y46" i="26"/>
  <c r="Y60" i="26"/>
  <c r="Y79" i="26"/>
  <c r="Y110" i="26"/>
  <c r="Y139" i="26"/>
  <c r="Y25" i="26"/>
  <c r="Y35" i="26"/>
  <c r="Y54" i="26"/>
  <c r="Y80" i="26"/>
  <c r="Y111" i="26"/>
  <c r="Y140" i="26"/>
  <c r="Y10" i="26"/>
  <c r="Y29" i="26"/>
  <c r="Y40" i="26"/>
  <c r="Y57" i="26"/>
  <c r="Y74" i="26"/>
  <c r="Y104" i="26"/>
  <c r="Y135" i="26"/>
  <c r="Y160" i="26"/>
  <c r="Y32" i="26"/>
  <c r="Y50" i="26"/>
  <c r="Y65" i="26"/>
  <c r="Y86" i="26"/>
  <c r="Y116" i="26"/>
  <c r="Y21" i="26"/>
  <c r="Y49" i="26"/>
  <c r="Y63" i="26"/>
  <c r="Y85" i="26"/>
  <c r="Y115" i="26"/>
  <c r="Y11" i="26"/>
  <c r="Y26" i="26"/>
  <c r="Y38" i="26"/>
  <c r="Y53" i="26"/>
  <c r="Y71" i="26"/>
  <c r="Y100" i="26"/>
  <c r="Y130" i="26"/>
  <c r="Y8" i="26"/>
  <c r="Y27" i="26"/>
  <c r="Y37" i="26"/>
  <c r="Y56" i="26"/>
  <c r="Y73" i="26"/>
  <c r="Y102" i="26"/>
  <c r="Y133" i="26"/>
  <c r="Y157" i="26"/>
  <c r="Y22" i="26"/>
  <c r="Y41" i="26"/>
  <c r="Y51" i="26"/>
  <c r="Y97" i="26"/>
  <c r="Y126" i="26"/>
  <c r="Y142" i="26"/>
  <c r="Y162" i="26"/>
  <c r="Y165" i="26"/>
  <c r="Y23" i="26"/>
  <c r="Y42" i="26"/>
  <c r="Y55" i="26"/>
  <c r="Y72" i="26"/>
  <c r="Y101" i="26"/>
  <c r="Y131" i="26"/>
  <c r="Y156" i="26"/>
  <c r="Y67" i="26"/>
  <c r="Y128" i="26"/>
  <c r="Y155" i="26"/>
  <c r="Y68" i="26"/>
  <c r="Y98" i="26"/>
  <c r="Y127" i="26"/>
  <c r="Y144" i="26"/>
  <c r="Y158" i="26"/>
  <c r="Y69" i="26"/>
  <c r="Y99" i="26"/>
  <c r="Y134" i="26"/>
  <c r="Y159" i="26"/>
  <c r="Y70" i="26"/>
  <c r="Y84" i="26"/>
  <c r="Y114" i="26"/>
  <c r="Y145" i="26"/>
  <c r="Y103" i="26"/>
  <c r="Y132" i="26"/>
  <c r="Y164" i="26"/>
  <c r="Y75" i="26"/>
  <c r="Y105" i="26"/>
  <c r="Y129" i="26"/>
  <c r="Y154" i="26"/>
  <c r="Y76" i="26"/>
  <c r="Y106" i="26"/>
  <c r="Y136" i="26"/>
  <c r="Y161" i="26"/>
  <c r="Y87" i="26"/>
  <c r="Y117" i="26"/>
  <c r="Y148" i="26"/>
  <c r="Y88" i="26"/>
  <c r="Y118" i="26"/>
  <c r="Y89" i="26"/>
  <c r="Y119" i="26"/>
  <c r="Y146" i="26"/>
  <c r="Y90" i="26"/>
  <c r="Y120" i="26"/>
  <c r="Y147" i="26"/>
  <c r="Y91" i="26"/>
  <c r="Y113" i="26"/>
  <c r="Y143" i="26"/>
  <c r="Y163" i="26"/>
  <c r="Y92" i="26"/>
  <c r="Y121" i="26"/>
  <c r="Y149" i="26"/>
  <c r="Y93" i="26"/>
  <c r="Y122" i="26"/>
  <c r="Y150" i="26"/>
  <c r="Y94" i="26"/>
  <c r="Y123" i="26"/>
  <c r="Y151" i="26"/>
  <c r="Y95" i="26"/>
  <c r="Y124" i="26"/>
  <c r="Y152" i="26"/>
  <c r="Y96" i="26"/>
  <c r="Y125" i="26"/>
  <c r="Y153" i="26"/>
  <c r="Y166" i="26"/>
  <c r="T166" i="26"/>
  <c r="T39" i="26"/>
  <c r="T167" i="26"/>
  <c r="T168" i="26"/>
  <c r="T13" i="26"/>
  <c r="T169" i="26"/>
  <c r="T170" i="26"/>
  <c r="T15" i="26"/>
  <c r="T34" i="26"/>
  <c r="T48" i="26"/>
  <c r="T61" i="26"/>
  <c r="T81" i="26"/>
  <c r="T112" i="26"/>
  <c r="T141" i="26"/>
  <c r="T171" i="26"/>
  <c r="T7" i="26"/>
  <c r="T19" i="26"/>
  <c r="T172" i="26"/>
  <c r="T12" i="26"/>
  <c r="T31" i="26"/>
  <c r="T45" i="26"/>
  <c r="T66" i="26"/>
  <c r="T173" i="26"/>
  <c r="T174" i="26"/>
  <c r="T16" i="26"/>
  <c r="T30" i="26"/>
  <c r="T44" i="26"/>
  <c r="T58" i="26"/>
  <c r="T77" i="26"/>
  <c r="T108" i="26"/>
  <c r="T175" i="26"/>
  <c r="T176" i="26"/>
  <c r="T9" i="26"/>
  <c r="T24" i="26"/>
  <c r="T43" i="26"/>
  <c r="T52" i="26"/>
  <c r="T64" i="26"/>
  <c r="T82" i="26"/>
  <c r="T107" i="26"/>
  <c r="T137" i="26"/>
  <c r="T177" i="26"/>
  <c r="T178" i="26"/>
  <c r="T179" i="26"/>
  <c r="T180" i="26"/>
  <c r="T20" i="26"/>
  <c r="T36" i="26"/>
  <c r="T62" i="26"/>
  <c r="T83" i="26"/>
  <c r="T181" i="26"/>
  <c r="T182" i="26"/>
  <c r="T183" i="26"/>
  <c r="T184" i="26"/>
  <c r="T14" i="26"/>
  <c r="T28" i="26"/>
  <c r="T47" i="26"/>
  <c r="T59" i="26"/>
  <c r="T78" i="26"/>
  <c r="T109" i="26"/>
  <c r="T138" i="26"/>
  <c r="T5" i="26"/>
  <c r="T18" i="26"/>
  <c r="T33" i="26"/>
  <c r="T46" i="26"/>
  <c r="T60" i="26"/>
  <c r="T79" i="26"/>
  <c r="T110" i="26"/>
  <c r="T139" i="26"/>
  <c r="T6" i="26"/>
  <c r="T25" i="26"/>
  <c r="T35" i="26"/>
  <c r="T54" i="26"/>
  <c r="T80" i="26"/>
  <c r="T111" i="26"/>
  <c r="T140" i="26"/>
  <c r="T10" i="26"/>
  <c r="T29" i="26"/>
  <c r="T40" i="26"/>
  <c r="T57" i="26"/>
  <c r="T74" i="26"/>
  <c r="T104" i="26"/>
  <c r="T135" i="26"/>
  <c r="T160" i="26"/>
  <c r="T32" i="26"/>
  <c r="T50" i="26"/>
  <c r="T65" i="26"/>
  <c r="T86" i="26"/>
  <c r="T116" i="26"/>
  <c r="T21" i="26"/>
  <c r="T49" i="26"/>
  <c r="T63" i="26"/>
  <c r="T85" i="26"/>
  <c r="T115" i="26"/>
  <c r="T11" i="26"/>
  <c r="T26" i="26"/>
  <c r="T38" i="26"/>
  <c r="T53" i="26"/>
  <c r="T71" i="26"/>
  <c r="T100" i="26"/>
  <c r="T130" i="26"/>
  <c r="T8" i="26"/>
  <c r="T27" i="26"/>
  <c r="T37" i="26"/>
  <c r="T56" i="26"/>
  <c r="T73" i="26"/>
  <c r="T102" i="26"/>
  <c r="T133" i="26"/>
  <c r="T157" i="26"/>
  <c r="T22" i="26"/>
  <c r="T41" i="26"/>
  <c r="T51" i="26"/>
  <c r="T97" i="26"/>
  <c r="T126" i="26"/>
  <c r="T142" i="26"/>
  <c r="T162" i="26"/>
  <c r="T165" i="26"/>
  <c r="T23" i="26"/>
  <c r="T42" i="26"/>
  <c r="T55" i="26"/>
  <c r="T72" i="26"/>
  <c r="T101" i="26"/>
  <c r="T131" i="26"/>
  <c r="T156" i="26"/>
  <c r="T67" i="26"/>
  <c r="T128" i="26"/>
  <c r="T155" i="26"/>
  <c r="T68" i="26"/>
  <c r="T98" i="26"/>
  <c r="T127" i="26"/>
  <c r="T144" i="26"/>
  <c r="T158" i="26"/>
  <c r="T69" i="26"/>
  <c r="T99" i="26"/>
  <c r="T134" i="26"/>
  <c r="T159" i="26"/>
  <c r="T70" i="26"/>
  <c r="T84" i="26"/>
  <c r="T114" i="26"/>
  <c r="T145" i="26"/>
  <c r="T103" i="26"/>
  <c r="T132" i="26"/>
  <c r="T164" i="26"/>
  <c r="T75" i="26"/>
  <c r="T105" i="26"/>
  <c r="T129" i="26"/>
  <c r="T154" i="26"/>
  <c r="T76" i="26"/>
  <c r="T106" i="26"/>
  <c r="T136" i="26"/>
  <c r="T161" i="26"/>
  <c r="T87" i="26"/>
  <c r="T117" i="26"/>
  <c r="T148" i="26"/>
  <c r="T88" i="26"/>
  <c r="T118" i="26"/>
  <c r="T89" i="26"/>
  <c r="T119" i="26"/>
  <c r="T146" i="26"/>
  <c r="T90" i="26"/>
  <c r="T120" i="26"/>
  <c r="T147" i="26"/>
  <c r="T91" i="26"/>
  <c r="T113" i="26"/>
  <c r="T143" i="26"/>
  <c r="T163" i="26"/>
  <c r="T92" i="26"/>
  <c r="T121" i="26"/>
  <c r="T149" i="26"/>
  <c r="T93" i="26"/>
  <c r="T122" i="26"/>
  <c r="T150" i="26"/>
  <c r="T94" i="26"/>
  <c r="T123" i="26"/>
  <c r="T151" i="26"/>
  <c r="T95" i="26"/>
  <c r="T124" i="26"/>
  <c r="T152" i="26"/>
  <c r="T96" i="26"/>
  <c r="T125" i="26"/>
  <c r="T153" i="26"/>
  <c r="T17" i="26"/>
  <c r="B92" i="27" l="1"/>
  <c r="AB81" i="29"/>
  <c r="C92" i="27"/>
  <c r="B116" i="27" s="1"/>
  <c r="C116" i="27" s="1"/>
  <c r="C93" i="27"/>
  <c r="B117" i="27" s="1"/>
  <c r="C117" i="27" s="1"/>
  <c r="X124" i="29" a="1"/>
  <c r="X124" i="29" s="1"/>
  <c r="X136" i="29" a="1"/>
  <c r="X136" i="29" s="1"/>
  <c r="X156" i="29" a="1"/>
  <c r="X156" i="29" s="1"/>
  <c r="B93" i="27"/>
  <c r="X45" i="29" a="1"/>
  <c r="X45" i="29" s="1"/>
  <c r="X61" i="29" a="1"/>
  <c r="X61" i="29" s="1"/>
  <c r="X159" i="29" a="1"/>
  <c r="X159" i="29" s="1"/>
  <c r="AB70" i="29"/>
  <c r="AA56" i="29"/>
  <c r="AB50" i="29"/>
  <c r="D26" i="27" a="1"/>
  <c r="D26" i="27" s="1"/>
  <c r="D18" i="27" a="1"/>
  <c r="D18" i="27" s="1"/>
  <c r="D13" i="27" a="1"/>
  <c r="D13" i="27" s="1"/>
  <c r="D28" i="27" a="1"/>
  <c r="D28" i="27" s="1"/>
  <c r="D17" i="27" a="1"/>
  <c r="D17" i="27" s="1"/>
  <c r="D27" i="27" a="1"/>
  <c r="D27" i="27" s="1"/>
  <c r="D22" i="27" a="1"/>
  <c r="D22" i="27" s="1"/>
  <c r="D23" i="27" a="1"/>
  <c r="D23" i="27" s="1"/>
  <c r="D16" i="27" a="1"/>
  <c r="D16" i="27" s="1"/>
  <c r="D12" i="27" a="1"/>
  <c r="D12" i="27" s="1"/>
  <c r="D15" i="27" a="1"/>
  <c r="D15" i="27" s="1"/>
  <c r="D25" i="27" a="1"/>
  <c r="D25" i="27" s="1"/>
  <c r="D20" i="27" a="1"/>
  <c r="D20" i="27" s="1"/>
  <c r="D31" i="27" a="1"/>
  <c r="D31" i="27" s="1"/>
  <c r="D30" i="27" a="1"/>
  <c r="D30" i="27" s="1"/>
  <c r="D19" i="27" a="1"/>
  <c r="D19" i="27" s="1"/>
  <c r="D14" i="27" a="1"/>
  <c r="D14" i="27" s="1"/>
  <c r="D21" i="27" a="1"/>
  <c r="D21" i="27" s="1"/>
  <c r="D29" i="27" a="1"/>
  <c r="D29" i="27" s="1"/>
  <c r="D24" i="27" a="1"/>
  <c r="D24" i="27" s="1"/>
  <c r="AA97" i="29"/>
  <c r="AB105" i="29"/>
  <c r="AA107" i="29"/>
  <c r="AB109" i="29"/>
  <c r="AA113" i="29"/>
  <c r="AB125" i="29"/>
  <c r="AA127" i="29"/>
  <c r="AB133" i="29"/>
  <c r="AA135" i="29"/>
  <c r="AB139" i="29"/>
  <c r="AB141" i="29"/>
  <c r="AB145" i="29"/>
  <c r="AB157" i="29"/>
  <c r="AA81" i="29"/>
  <c r="AB92" i="29"/>
  <c r="AB130" i="29"/>
  <c r="AA132" i="29"/>
  <c r="AA136" i="29"/>
  <c r="AA140" i="29"/>
  <c r="AB144" i="29"/>
  <c r="AB87" i="29"/>
  <c r="AB97" i="29"/>
  <c r="AB121" i="29"/>
  <c r="AA156" i="29"/>
  <c r="AB24" i="29"/>
  <c r="AB51" i="29"/>
  <c r="AA75" i="29"/>
  <c r="AA145" i="29"/>
  <c r="AB27" i="29"/>
  <c r="AB29" i="29"/>
  <c r="AB35" i="29"/>
  <c r="AA96" i="29"/>
  <c r="AB101" i="29"/>
  <c r="AB18" i="29"/>
  <c r="AA24" i="29"/>
  <c r="AB137" i="29"/>
  <c r="AB78" i="29"/>
  <c r="AA11" i="29"/>
  <c r="AA89" i="29"/>
  <c r="AB93" i="29"/>
  <c r="AB120" i="29"/>
  <c r="AB122" i="29"/>
  <c r="AB126" i="29"/>
  <c r="AB147" i="29"/>
  <c r="AA149" i="29"/>
  <c r="AA153" i="29"/>
  <c r="AA99" i="29"/>
  <c r="AA53" i="29"/>
  <c r="AA55" i="29"/>
  <c r="AA104" i="29"/>
  <c r="AB116" i="29"/>
  <c r="AB148" i="29"/>
  <c r="AA137" i="29"/>
  <c r="AA69" i="29"/>
  <c r="AA123" i="29"/>
  <c r="AB127" i="29"/>
  <c r="AB10" i="29"/>
  <c r="AA16" i="29"/>
  <c r="AB56" i="29"/>
  <c r="AB75" i="29"/>
  <c r="AB89" i="29"/>
  <c r="AA119" i="29"/>
  <c r="AA128" i="29"/>
  <c r="AA141" i="29"/>
  <c r="AA150" i="29"/>
  <c r="AB155" i="29"/>
  <c r="AB153" i="29"/>
  <c r="AB136" i="29"/>
  <c r="AB26" i="29"/>
  <c r="AA29" i="29"/>
  <c r="W45" i="29"/>
  <c r="AC45" i="29" s="1"/>
  <c r="AA57" i="29"/>
  <c r="AB64" i="29"/>
  <c r="AB84" i="29"/>
  <c r="AB106" i="29"/>
  <c r="AB107" i="29"/>
  <c r="AA109" i="29"/>
  <c r="AB134" i="29"/>
  <c r="AA157" i="29"/>
  <c r="AA38" i="29"/>
  <c r="AA46" i="29"/>
  <c r="AB28" i="29"/>
  <c r="AA30" i="29"/>
  <c r="AB49" i="29"/>
  <c r="AA68" i="29"/>
  <c r="AA93" i="29"/>
  <c r="AB110" i="29"/>
  <c r="AB142" i="29"/>
  <c r="AA144" i="29"/>
  <c r="W156" i="29"/>
  <c r="AC156" i="29" s="1"/>
  <c r="AB159" i="29"/>
  <c r="W159" i="29"/>
  <c r="AC159" i="29" s="1"/>
  <c r="AB53" i="29"/>
  <c r="AB140" i="29"/>
  <c r="AB149" i="29"/>
  <c r="AB156" i="29"/>
  <c r="AB158" i="29"/>
  <c r="AB52" i="29"/>
  <c r="AB58" i="29"/>
  <c r="AB61" i="29"/>
  <c r="AB74" i="29"/>
  <c r="AB95" i="29"/>
  <c r="AB99" i="29"/>
  <c r="AB135" i="29"/>
  <c r="AA148" i="29"/>
  <c r="AB150" i="29"/>
  <c r="AA19" i="29"/>
  <c r="AA126" i="29"/>
  <c r="AB23" i="29"/>
  <c r="AB16" i="29"/>
  <c r="AA28" i="29"/>
  <c r="AB41" i="29"/>
  <c r="AB45" i="29"/>
  <c r="AA60" i="29"/>
  <c r="AA66" i="29"/>
  <c r="AB67" i="29"/>
  <c r="AA90" i="29"/>
  <c r="AB96" i="29"/>
  <c r="AB98" i="29"/>
  <c r="AB104" i="29"/>
  <c r="AB113" i="29"/>
  <c r="AB119" i="29"/>
  <c r="AA122" i="29"/>
  <c r="AB143" i="29"/>
  <c r="AA146" i="29"/>
  <c r="AB151" i="29"/>
  <c r="AA158" i="29"/>
  <c r="AB39" i="29"/>
  <c r="AA65" i="29"/>
  <c r="AA117" i="29"/>
  <c r="AA138" i="29"/>
  <c r="AA15" i="29"/>
  <c r="AB30" i="29"/>
  <c r="AB46" i="29"/>
  <c r="W61" i="29"/>
  <c r="AC61" i="29" s="1"/>
  <c r="AA105" i="29"/>
  <c r="AB123" i="29"/>
  <c r="AA125" i="29"/>
  <c r="W136" i="29"/>
  <c r="AC136" i="29" s="1"/>
  <c r="AA142" i="29"/>
  <c r="AB37" i="29"/>
  <c r="AB100" i="29"/>
  <c r="AB132" i="29"/>
  <c r="AA154" i="29"/>
  <c r="AA8" i="29"/>
  <c r="AA5" i="29"/>
  <c r="AA7" i="29"/>
  <c r="AB8" i="29"/>
  <c r="AB59" i="29"/>
  <c r="AA64" i="29"/>
  <c r="AB69" i="29"/>
  <c r="AA78" i="29"/>
  <c r="AA36" i="29"/>
  <c r="AA6" i="29"/>
  <c r="AB11" i="29"/>
  <c r="AA12" i="29"/>
  <c r="AA14" i="29"/>
  <c r="AB19" i="29"/>
  <c r="AA20" i="29"/>
  <c r="AA22" i="29"/>
  <c r="AA25" i="29"/>
  <c r="AB34" i="29"/>
  <c r="AA34" i="29"/>
  <c r="AA63" i="29"/>
  <c r="AA77" i="29"/>
  <c r="AB77" i="29"/>
  <c r="AA80" i="29"/>
  <c r="AB80" i="29"/>
  <c r="AB6" i="29"/>
  <c r="AB12" i="29"/>
  <c r="AB20" i="29"/>
  <c r="AA26" i="29"/>
  <c r="AB33" i="29"/>
  <c r="AA47" i="29"/>
  <c r="AB47" i="29"/>
  <c r="AA71" i="29"/>
  <c r="AB71" i="29"/>
  <c r="AA31" i="29"/>
  <c r="AB31" i="29"/>
  <c r="AB36" i="29"/>
  <c r="AA10" i="29"/>
  <c r="AB15" i="29"/>
  <c r="AA18" i="29"/>
  <c r="AB38" i="29"/>
  <c r="AB124" i="29"/>
  <c r="AA124" i="29"/>
  <c r="AB9" i="29"/>
  <c r="AA82" i="29"/>
  <c r="AB82" i="29"/>
  <c r="AB25" i="29"/>
  <c r="AB73" i="29"/>
  <c r="AA73" i="29"/>
  <c r="AA115" i="29"/>
  <c r="AB115" i="29"/>
  <c r="AB17" i="29"/>
  <c r="AA32" i="29"/>
  <c r="AB32" i="29"/>
  <c r="AB13" i="29"/>
  <c r="AB14" i="29"/>
  <c r="AB21" i="29"/>
  <c r="AB22" i="29"/>
  <c r="AB42" i="29"/>
  <c r="AA42" i="29"/>
  <c r="AB43" i="29"/>
  <c r="AA83" i="29"/>
  <c r="AB85" i="29"/>
  <c r="AA85" i="29"/>
  <c r="AA86" i="29"/>
  <c r="AA88" i="29"/>
  <c r="AA91" i="29"/>
  <c r="AB5" i="29"/>
  <c r="AB7" i="29"/>
  <c r="AA23" i="29"/>
  <c r="AA40" i="29"/>
  <c r="AB40" i="29"/>
  <c r="AA50" i="29"/>
  <c r="AA59" i="29"/>
  <c r="AB60" i="29"/>
  <c r="AA62" i="29"/>
  <c r="AB62" i="29"/>
  <c r="AB65" i="29"/>
  <c r="AB66" i="29"/>
  <c r="AA94" i="29"/>
  <c r="AB94" i="29"/>
  <c r="AA43" i="29"/>
  <c r="AA114" i="29"/>
  <c r="AB114" i="29"/>
  <c r="AA9" i="29"/>
  <c r="AA13" i="29"/>
  <c r="AA17" i="29"/>
  <c r="AA21" i="29"/>
  <c r="AA33" i="29"/>
  <c r="AA51" i="29"/>
  <c r="AA54" i="29"/>
  <c r="AB54" i="29"/>
  <c r="AB57" i="29"/>
  <c r="AA61" i="29"/>
  <c r="AA74" i="29"/>
  <c r="AB83" i="29"/>
  <c r="AB86" i="29"/>
  <c r="AA129" i="29"/>
  <c r="AB129" i="29"/>
  <c r="AA35" i="29"/>
  <c r="AA70" i="29"/>
  <c r="AA72" i="29"/>
  <c r="AB88" i="29"/>
  <c r="AB91" i="29"/>
  <c r="AA48" i="29"/>
  <c r="AB48" i="29"/>
  <c r="AB63" i="29"/>
  <c r="AA27" i="29"/>
  <c r="AA37" i="29"/>
  <c r="AA39" i="29"/>
  <c r="AA44" i="29"/>
  <c r="AB44" i="29"/>
  <c r="AB55" i="29"/>
  <c r="AA58" i="29"/>
  <c r="AA67" i="29"/>
  <c r="AB68" i="29"/>
  <c r="AB72" i="29"/>
  <c r="AB90" i="29"/>
  <c r="AA101" i="29"/>
  <c r="AA76" i="29"/>
  <c r="AA79" i="29"/>
  <c r="AA92" i="29"/>
  <c r="AA112" i="29"/>
  <c r="AB112" i="29"/>
  <c r="AB152" i="29"/>
  <c r="AA152" i="29"/>
  <c r="AA95" i="29"/>
  <c r="AA100" i="29"/>
  <c r="AA111" i="29"/>
  <c r="AB111" i="29"/>
  <c r="AA84" i="29"/>
  <c r="AA87" i="29"/>
  <c r="AB103" i="29"/>
  <c r="AA103" i="29"/>
  <c r="AA108" i="29"/>
  <c r="AB108" i="29"/>
  <c r="AA41" i="29"/>
  <c r="AA45" i="29"/>
  <c r="AA49" i="29"/>
  <c r="AA52" i="29"/>
  <c r="AB76" i="29"/>
  <c r="AB79" i="29"/>
  <c r="AA116" i="29"/>
  <c r="AB102" i="29"/>
  <c r="AB128" i="29"/>
  <c r="AB131" i="29"/>
  <c r="AA131" i="29"/>
  <c r="AB117" i="29"/>
  <c r="AA110" i="29"/>
  <c r="AA120" i="29"/>
  <c r="AA121" i="29"/>
  <c r="AA98" i="29"/>
  <c r="AA102" i="29"/>
  <c r="AA106" i="29"/>
  <c r="W124" i="29"/>
  <c r="AC124" i="29" s="1"/>
  <c r="AA133" i="29"/>
  <c r="AB118" i="29"/>
  <c r="AA130" i="29"/>
  <c r="AA118" i="29"/>
  <c r="AA160" i="29"/>
  <c r="AB160" i="29"/>
  <c r="AB138" i="29"/>
  <c r="AB146" i="29"/>
  <c r="AB154" i="29"/>
  <c r="AA134" i="29"/>
  <c r="AA139" i="29"/>
  <c r="AA143" i="29"/>
  <c r="AA147" i="29"/>
  <c r="AA151" i="29"/>
  <c r="AA155" i="29"/>
  <c r="AA159" i="29"/>
  <c r="AB121" i="26"/>
  <c r="AA159" i="26"/>
  <c r="AB37" i="26"/>
  <c r="AA35" i="26"/>
  <c r="AB28" i="26"/>
  <c r="AB87" i="26"/>
  <c r="AB55" i="26"/>
  <c r="AB82" i="26"/>
  <c r="AA169" i="26"/>
  <c r="AB71" i="26"/>
  <c r="AB79" i="26"/>
  <c r="AB9" i="26"/>
  <c r="AB144" i="26"/>
  <c r="AB84" i="26"/>
  <c r="AA73" i="26"/>
  <c r="AB80" i="26"/>
  <c r="AB59" i="26"/>
  <c r="AA137" i="26"/>
  <c r="AA174" i="26"/>
  <c r="AB15" i="26"/>
  <c r="AB148" i="26"/>
  <c r="AB101" i="26"/>
  <c r="AB18" i="26"/>
  <c r="AA145" i="26"/>
  <c r="AA29" i="26"/>
  <c r="AA80" i="26"/>
  <c r="AB93" i="26"/>
  <c r="AA93" i="26"/>
  <c r="AA15" i="26"/>
  <c r="AB146" i="26"/>
  <c r="AB155" i="26"/>
  <c r="AB11" i="26"/>
  <c r="AB20" i="26"/>
  <c r="AB77" i="26"/>
  <c r="AB112" i="26"/>
  <c r="AA132" i="26"/>
  <c r="AA180" i="26"/>
  <c r="AA81" i="26"/>
  <c r="AB120" i="26"/>
  <c r="AB98" i="26"/>
  <c r="AB38" i="26"/>
  <c r="AB46" i="26"/>
  <c r="AB175" i="26"/>
  <c r="AA150" i="26"/>
  <c r="AA133" i="26"/>
  <c r="AA140" i="26"/>
  <c r="AA48" i="26"/>
  <c r="AA96" i="26"/>
  <c r="AA91" i="26"/>
  <c r="AA84" i="26"/>
  <c r="AA154" i="26"/>
  <c r="AB151" i="26"/>
  <c r="AB164" i="26"/>
  <c r="AB41" i="26"/>
  <c r="AB40" i="26"/>
  <c r="AA62" i="26"/>
  <c r="AB171" i="26"/>
  <c r="AB94" i="26"/>
  <c r="AB89" i="26"/>
  <c r="AB103" i="26"/>
  <c r="AB67" i="26"/>
  <c r="AB157" i="26"/>
  <c r="AB85" i="26"/>
  <c r="AB10" i="26"/>
  <c r="AB138" i="26"/>
  <c r="AB179" i="26"/>
  <c r="AB44" i="26"/>
  <c r="AB61" i="26"/>
  <c r="AB91" i="26"/>
  <c r="AB17" i="26"/>
  <c r="AB150" i="26"/>
  <c r="AB118" i="26"/>
  <c r="AB145" i="26"/>
  <c r="AB156" i="26"/>
  <c r="AB133" i="26"/>
  <c r="AB63" i="26"/>
  <c r="AB140" i="26"/>
  <c r="AB109" i="26"/>
  <c r="AB178" i="26"/>
  <c r="AB30" i="26"/>
  <c r="AB48" i="26"/>
  <c r="AA178" i="26"/>
  <c r="AA17" i="26"/>
  <c r="AB123" i="26"/>
  <c r="AB163" i="26"/>
  <c r="AA163" i="26"/>
  <c r="AB119" i="26"/>
  <c r="AA119" i="26"/>
  <c r="AB136" i="26"/>
  <c r="AA136" i="26"/>
  <c r="AB132" i="26"/>
  <c r="AB99" i="26"/>
  <c r="AA99" i="26"/>
  <c r="AB128" i="26"/>
  <c r="AA128" i="26"/>
  <c r="AB23" i="26"/>
  <c r="AA23" i="26"/>
  <c r="AB22" i="26"/>
  <c r="AB8" i="26"/>
  <c r="AA8" i="26"/>
  <c r="AB115" i="26"/>
  <c r="AA115" i="26"/>
  <c r="AB50" i="26"/>
  <c r="AA50" i="26"/>
  <c r="AB29" i="26"/>
  <c r="AB6" i="26"/>
  <c r="AA6" i="26"/>
  <c r="AB5" i="26"/>
  <c r="AA5" i="26"/>
  <c r="AB184" i="26"/>
  <c r="AA184" i="26"/>
  <c r="AB180" i="26"/>
  <c r="AB52" i="26"/>
  <c r="AA52" i="26"/>
  <c r="AB58" i="26"/>
  <c r="AA58" i="26"/>
  <c r="AB31" i="26"/>
  <c r="AA31" i="26"/>
  <c r="AB81" i="26"/>
  <c r="AB168" i="26"/>
  <c r="AA168" i="26"/>
  <c r="AA22" i="26"/>
  <c r="AA123" i="26"/>
  <c r="AB124" i="26"/>
  <c r="AB105" i="26"/>
  <c r="AB97" i="26"/>
  <c r="AB74" i="26"/>
  <c r="AB160" i="26"/>
  <c r="AA160" i="26"/>
  <c r="AB110" i="26"/>
  <c r="AA110" i="26"/>
  <c r="AB182" i="26"/>
  <c r="AA182" i="26"/>
  <c r="AB24" i="26"/>
  <c r="AA24" i="26"/>
  <c r="AB172" i="26"/>
  <c r="AA172" i="26"/>
  <c r="AB39" i="26"/>
  <c r="AA39" i="26"/>
  <c r="AB166" i="26"/>
  <c r="AA166" i="26"/>
  <c r="AA121" i="26"/>
  <c r="AA37" i="26"/>
  <c r="AA82" i="26"/>
  <c r="AB76" i="26"/>
  <c r="AA76" i="26"/>
  <c r="AB158" i="26"/>
  <c r="AA158" i="26"/>
  <c r="AB162" i="26"/>
  <c r="AA162" i="26"/>
  <c r="AA122" i="26"/>
  <c r="AB122" i="26"/>
  <c r="AA88" i="26"/>
  <c r="AB88" i="26"/>
  <c r="AA114" i="26"/>
  <c r="AB114" i="26"/>
  <c r="AA142" i="26"/>
  <c r="AA49" i="26"/>
  <c r="AB49" i="26"/>
  <c r="AA111" i="26"/>
  <c r="AB111" i="26"/>
  <c r="AA181" i="26"/>
  <c r="AA16" i="26"/>
  <c r="AB16" i="26"/>
  <c r="AA34" i="26"/>
  <c r="AB34" i="26"/>
  <c r="AB135" i="26"/>
  <c r="AB137" i="26"/>
  <c r="AB7" i="26"/>
  <c r="AA7" i="26"/>
  <c r="AA118" i="26"/>
  <c r="AA156" i="26"/>
  <c r="AA63" i="26"/>
  <c r="AA109" i="26"/>
  <c r="AA30" i="26"/>
  <c r="AB62" i="26"/>
  <c r="AB100" i="26"/>
  <c r="AA100" i="26"/>
  <c r="AA131" i="26"/>
  <c r="AB131" i="26"/>
  <c r="AA102" i="26"/>
  <c r="AB102" i="26"/>
  <c r="AA135" i="26"/>
  <c r="AA79" i="26"/>
  <c r="AA78" i="26"/>
  <c r="AB78" i="26"/>
  <c r="AA9" i="26"/>
  <c r="AA19" i="26"/>
  <c r="AB181" i="26"/>
  <c r="AB147" i="26"/>
  <c r="AA147" i="26"/>
  <c r="AB129" i="26"/>
  <c r="AA129" i="26"/>
  <c r="AB126" i="26"/>
  <c r="AA126" i="26"/>
  <c r="AB73" i="26"/>
  <c r="AB53" i="26"/>
  <c r="AA53" i="26"/>
  <c r="AB21" i="26"/>
  <c r="AB104" i="26"/>
  <c r="AA104" i="26"/>
  <c r="AB60" i="26"/>
  <c r="AA60" i="26"/>
  <c r="AA124" i="26"/>
  <c r="AA149" i="26"/>
  <c r="AB149" i="26"/>
  <c r="AA120" i="26"/>
  <c r="AA117" i="26"/>
  <c r="AB117" i="26"/>
  <c r="AA105" i="26"/>
  <c r="AA70" i="26"/>
  <c r="AB70" i="26"/>
  <c r="AA98" i="26"/>
  <c r="AA72" i="26"/>
  <c r="AB72" i="26"/>
  <c r="AA97" i="26"/>
  <c r="AA56" i="26"/>
  <c r="AB56" i="26"/>
  <c r="AA38" i="26"/>
  <c r="AA116" i="26"/>
  <c r="AB116" i="26"/>
  <c r="AA74" i="26"/>
  <c r="AA54" i="26"/>
  <c r="AB54" i="26"/>
  <c r="AA46" i="26"/>
  <c r="AA47" i="26"/>
  <c r="AB47" i="26"/>
  <c r="AA107" i="26"/>
  <c r="AB107" i="26"/>
  <c r="AA175" i="26"/>
  <c r="AA173" i="26"/>
  <c r="AB173" i="26"/>
  <c r="AA171" i="26"/>
  <c r="AA170" i="26"/>
  <c r="AB170" i="26"/>
  <c r="AA148" i="26"/>
  <c r="AA101" i="26"/>
  <c r="AA21" i="26"/>
  <c r="AA59" i="26"/>
  <c r="AB125" i="26"/>
  <c r="AA125" i="26"/>
  <c r="AB113" i="26"/>
  <c r="AA113" i="26"/>
  <c r="AA144" i="26"/>
  <c r="AA71" i="26"/>
  <c r="AA177" i="26"/>
  <c r="AB177" i="26"/>
  <c r="AB96" i="26"/>
  <c r="AB154" i="26"/>
  <c r="AB142" i="26"/>
  <c r="AB19" i="26"/>
  <c r="AB152" i="26"/>
  <c r="AA152" i="26"/>
  <c r="AB127" i="26"/>
  <c r="AA127" i="26"/>
  <c r="AB83" i="26"/>
  <c r="AA83" i="26"/>
  <c r="AB176" i="26"/>
  <c r="AA176" i="26"/>
  <c r="AB174" i="26"/>
  <c r="AB95" i="26"/>
  <c r="AA95" i="26"/>
  <c r="AB90" i="26"/>
  <c r="AA90" i="26"/>
  <c r="AB75" i="26"/>
  <c r="AA75" i="26"/>
  <c r="AB159" i="26"/>
  <c r="AB68" i="26"/>
  <c r="AA68" i="26"/>
  <c r="AB51" i="26"/>
  <c r="AA51" i="26"/>
  <c r="AB26" i="26"/>
  <c r="AA26" i="26"/>
  <c r="AB86" i="26"/>
  <c r="AB57" i="26"/>
  <c r="AA57" i="26"/>
  <c r="AB35" i="26"/>
  <c r="AB33" i="26"/>
  <c r="AA33" i="26"/>
  <c r="AB36" i="26"/>
  <c r="AA36" i="26"/>
  <c r="AB108" i="26"/>
  <c r="AA108" i="26"/>
  <c r="AB66" i="26"/>
  <c r="AB141" i="26"/>
  <c r="AA141" i="26"/>
  <c r="AB169" i="26"/>
  <c r="AA87" i="26"/>
  <c r="AA55" i="26"/>
  <c r="AA86" i="26"/>
  <c r="AA28" i="26"/>
  <c r="AA66" i="26"/>
  <c r="AA151" i="26"/>
  <c r="AA92" i="26"/>
  <c r="AA146" i="26"/>
  <c r="AA161" i="26"/>
  <c r="AA164" i="26"/>
  <c r="AA134" i="26"/>
  <c r="AA155" i="26"/>
  <c r="AA42" i="26"/>
  <c r="AA41" i="26"/>
  <c r="AA27" i="26"/>
  <c r="AA11" i="26"/>
  <c r="AA65" i="26"/>
  <c r="AA40" i="26"/>
  <c r="AA25" i="26"/>
  <c r="AA18" i="26"/>
  <c r="AA14" i="26"/>
  <c r="AA20" i="26"/>
  <c r="AA64" i="26"/>
  <c r="AA77" i="26"/>
  <c r="AA45" i="26"/>
  <c r="AA112" i="26"/>
  <c r="AA13" i="26"/>
  <c r="AB92" i="26"/>
  <c r="AB161" i="26"/>
  <c r="AB134" i="26"/>
  <c r="AB42" i="26"/>
  <c r="AB27" i="26"/>
  <c r="AB65" i="26"/>
  <c r="AB25" i="26"/>
  <c r="AB14" i="26"/>
  <c r="AB64" i="26"/>
  <c r="AB45" i="26"/>
  <c r="AB13" i="26"/>
  <c r="AA153" i="26"/>
  <c r="AA94" i="26"/>
  <c r="AA143" i="26"/>
  <c r="AA89" i="26"/>
  <c r="AA106" i="26"/>
  <c r="AA103" i="26"/>
  <c r="AA69" i="26"/>
  <c r="AA67" i="26"/>
  <c r="AA165" i="26"/>
  <c r="AA157" i="26"/>
  <c r="AA130" i="26"/>
  <c r="AA85" i="26"/>
  <c r="AA32" i="26"/>
  <c r="AA10" i="26"/>
  <c r="AA139" i="26"/>
  <c r="AA138" i="26"/>
  <c r="AA183" i="26"/>
  <c r="AA179" i="26"/>
  <c r="AA43" i="26"/>
  <c r="AA44" i="26"/>
  <c r="AA12" i="26"/>
  <c r="AA61" i="26"/>
  <c r="AA167" i="26"/>
  <c r="AB153" i="26"/>
  <c r="AB143" i="26"/>
  <c r="AB106" i="26"/>
  <c r="AB69" i="26"/>
  <c r="AB165" i="26"/>
  <c r="AB130" i="26"/>
  <c r="AB32" i="26"/>
  <c r="AB139" i="26"/>
  <c r="AB183" i="26"/>
  <c r="AB43" i="26"/>
  <c r="AB12" i="26"/>
  <c r="AB167" i="26"/>
  <c r="V17" i="26" l="1" a="1"/>
  <c r="V17" i="26" s="1"/>
  <c r="V39" i="26" a="1"/>
  <c r="V39" i="26" s="1"/>
  <c r="V167" i="26" a="1"/>
  <c r="V167" i="26" s="1"/>
  <c r="V168" i="26" a="1"/>
  <c r="V168" i="26" s="1"/>
  <c r="V13" i="26" a="1"/>
  <c r="V13" i="26" s="1"/>
  <c r="V169" i="26" a="1"/>
  <c r="V169" i="26" s="1"/>
  <c r="V170" i="26" a="1"/>
  <c r="V170" i="26" s="1"/>
  <c r="V15" i="26" a="1"/>
  <c r="V15" i="26" s="1"/>
  <c r="V34" i="26" a="1"/>
  <c r="V34" i="26" s="1"/>
  <c r="V48" i="26" a="1"/>
  <c r="V48" i="26" s="1"/>
  <c r="V61" i="26" a="1"/>
  <c r="V61" i="26" s="1"/>
  <c r="V81" i="26" a="1"/>
  <c r="V81" i="26" s="1"/>
  <c r="V112" i="26" a="1"/>
  <c r="V112" i="26" s="1"/>
  <c r="V141" i="26" a="1"/>
  <c r="V141" i="26" s="1"/>
  <c r="V171" i="26" a="1"/>
  <c r="V171" i="26" s="1"/>
  <c r="V7" i="26" a="1"/>
  <c r="V7" i="26" s="1"/>
  <c r="V19" i="26" a="1"/>
  <c r="V19" i="26" s="1"/>
  <c r="V172" i="26" a="1"/>
  <c r="V172" i="26" s="1"/>
  <c r="V12" i="26" a="1"/>
  <c r="V12" i="26" s="1"/>
  <c r="V31" i="26" a="1"/>
  <c r="V31" i="26" s="1"/>
  <c r="V45" i="26" a="1"/>
  <c r="V45" i="26" s="1"/>
  <c r="V66" i="26" a="1"/>
  <c r="V66" i="26" s="1"/>
  <c r="V173" i="26" a="1"/>
  <c r="V173" i="26" s="1"/>
  <c r="V174" i="26" a="1"/>
  <c r="V174" i="26" s="1"/>
  <c r="V16" i="26" a="1"/>
  <c r="V16" i="26" s="1"/>
  <c r="V30" i="26" a="1"/>
  <c r="V30" i="26" s="1"/>
  <c r="V44" i="26" a="1"/>
  <c r="V44" i="26" s="1"/>
  <c r="V58" i="26" a="1"/>
  <c r="V58" i="26" s="1"/>
  <c r="V77" i="26" a="1"/>
  <c r="V77" i="26" s="1"/>
  <c r="V108" i="26" a="1"/>
  <c r="V108" i="26" s="1"/>
  <c r="V175" i="26" a="1"/>
  <c r="V175" i="26" s="1"/>
  <c r="X175" i="26" s="1" a="1"/>
  <c r="X175" i="26" s="1"/>
  <c r="V176" i="26" a="1"/>
  <c r="V176" i="26" s="1"/>
  <c r="X176" i="26" s="1" a="1"/>
  <c r="X176" i="26" s="1"/>
  <c r="V9" i="26" a="1"/>
  <c r="V9" i="26" s="1"/>
  <c r="V24" i="26" a="1"/>
  <c r="V24" i="26" s="1"/>
  <c r="V43" i="26" a="1"/>
  <c r="V43" i="26" s="1"/>
  <c r="V52" i="26" a="1"/>
  <c r="V52" i="26" s="1"/>
  <c r="V64" i="26" a="1"/>
  <c r="V64" i="26" s="1"/>
  <c r="V82" i="26" a="1"/>
  <c r="V82" i="26" s="1"/>
  <c r="V107" i="26" a="1"/>
  <c r="V107" i="26" s="1"/>
  <c r="V137" i="26" a="1"/>
  <c r="V137" i="26" s="1"/>
  <c r="V177" i="26" a="1"/>
  <c r="V177" i="26" s="1"/>
  <c r="V178" i="26" a="1"/>
  <c r="V178" i="26" s="1"/>
  <c r="V179" i="26" a="1"/>
  <c r="V179" i="26" s="1"/>
  <c r="V180" i="26" a="1"/>
  <c r="V180" i="26" s="1"/>
  <c r="V20" i="26" a="1"/>
  <c r="V20" i="26" s="1"/>
  <c r="V36" i="26" a="1"/>
  <c r="V36" i="26" s="1"/>
  <c r="V62" i="26" a="1"/>
  <c r="V62" i="26" s="1"/>
  <c r="V83" i="26" a="1"/>
  <c r="V83" i="26" s="1"/>
  <c r="V181" i="26" a="1"/>
  <c r="V181" i="26" s="1"/>
  <c r="V182" i="26" a="1"/>
  <c r="V182" i="26" s="1"/>
  <c r="V183" i="26" a="1"/>
  <c r="V183" i="26" s="1"/>
  <c r="V184" i="26" a="1"/>
  <c r="V184" i="26" s="1"/>
  <c r="V14" i="26" a="1"/>
  <c r="V14" i="26" s="1"/>
  <c r="V28" i="26" a="1"/>
  <c r="V28" i="26" s="1"/>
  <c r="V47" i="26" a="1"/>
  <c r="V47" i="26" s="1"/>
  <c r="V59" i="26" a="1"/>
  <c r="V59" i="26" s="1"/>
  <c r="V78" i="26" a="1"/>
  <c r="V78" i="26" s="1"/>
  <c r="V109" i="26" a="1"/>
  <c r="V109" i="26" s="1"/>
  <c r="V138" i="26" a="1"/>
  <c r="V138" i="26" s="1"/>
  <c r="V5" i="26" a="1"/>
  <c r="V5" i="26" s="1"/>
  <c r="V18" i="26" a="1"/>
  <c r="V18" i="26" s="1"/>
  <c r="V33" i="26" a="1"/>
  <c r="V33" i="26" s="1"/>
  <c r="V46" i="26" a="1"/>
  <c r="V46" i="26" s="1"/>
  <c r="V60" i="26" a="1"/>
  <c r="V60" i="26" s="1"/>
  <c r="V79" i="26" a="1"/>
  <c r="V79" i="26" s="1"/>
  <c r="V110" i="26" a="1"/>
  <c r="V110" i="26" s="1"/>
  <c r="V139" i="26" a="1"/>
  <c r="V139" i="26" s="1"/>
  <c r="V6" i="26" a="1"/>
  <c r="V6" i="26" s="1"/>
  <c r="V25" i="26" a="1"/>
  <c r="V25" i="26" s="1"/>
  <c r="V35" i="26" a="1"/>
  <c r="V35" i="26" s="1"/>
  <c r="V54" i="26" a="1"/>
  <c r="V54" i="26" s="1"/>
  <c r="V80" i="26" a="1"/>
  <c r="V80" i="26" s="1"/>
  <c r="V111" i="26" a="1"/>
  <c r="V111" i="26" s="1"/>
  <c r="V140" i="26" a="1"/>
  <c r="V140" i="26" s="1"/>
  <c r="V10" i="26" a="1"/>
  <c r="V10" i="26" s="1"/>
  <c r="V29" i="26" a="1"/>
  <c r="V29" i="26" s="1"/>
  <c r="V40" i="26" a="1"/>
  <c r="V40" i="26" s="1"/>
  <c r="V57" i="26" a="1"/>
  <c r="V57" i="26" s="1"/>
  <c r="V74" i="26" a="1"/>
  <c r="V74" i="26" s="1"/>
  <c r="V104" i="26" a="1"/>
  <c r="V104" i="26" s="1"/>
  <c r="V135" i="26" a="1"/>
  <c r="V135" i="26" s="1"/>
  <c r="V160" i="26" a="1"/>
  <c r="V160" i="26" s="1"/>
  <c r="V32" i="26" a="1"/>
  <c r="V32" i="26" s="1"/>
  <c r="V50" i="26" a="1"/>
  <c r="V50" i="26" s="1"/>
  <c r="V65" i="26" a="1"/>
  <c r="V65" i="26" s="1"/>
  <c r="V86" i="26" a="1"/>
  <c r="V86" i="26" s="1"/>
  <c r="V116" i="26" a="1"/>
  <c r="V116" i="26" s="1"/>
  <c r="V21" i="26" a="1"/>
  <c r="V21" i="26" s="1"/>
  <c r="V49" i="26" a="1"/>
  <c r="V49" i="26" s="1"/>
  <c r="V63" i="26" a="1"/>
  <c r="V63" i="26" s="1"/>
  <c r="V85" i="26" a="1"/>
  <c r="V85" i="26" s="1"/>
  <c r="V115" i="26" a="1"/>
  <c r="V115" i="26" s="1"/>
  <c r="V11" i="26" a="1"/>
  <c r="V11" i="26" s="1"/>
  <c r="V26" i="26" a="1"/>
  <c r="V26" i="26" s="1"/>
  <c r="V38" i="26" a="1"/>
  <c r="V38" i="26" s="1"/>
  <c r="V53" i="26" a="1"/>
  <c r="V53" i="26" s="1"/>
  <c r="V71" i="26" a="1"/>
  <c r="V71" i="26" s="1"/>
  <c r="V100" i="26" a="1"/>
  <c r="V100" i="26" s="1"/>
  <c r="V130" i="26" a="1"/>
  <c r="V130" i="26" s="1"/>
  <c r="X130" i="26" s="1" a="1"/>
  <c r="X130" i="26" s="1"/>
  <c r="V8" i="26" a="1"/>
  <c r="V8" i="26" s="1"/>
  <c r="V27" i="26" a="1"/>
  <c r="V27" i="26" s="1"/>
  <c r="V37" i="26" a="1"/>
  <c r="V37" i="26" s="1"/>
  <c r="V56" i="26" a="1"/>
  <c r="V56" i="26" s="1"/>
  <c r="V73" i="26" a="1"/>
  <c r="V73" i="26" s="1"/>
  <c r="V102" i="26" a="1"/>
  <c r="V102" i="26" s="1"/>
  <c r="V133" i="26" a="1"/>
  <c r="V133" i="26" s="1"/>
  <c r="V157" i="26" a="1"/>
  <c r="V157" i="26" s="1"/>
  <c r="V22" i="26" a="1"/>
  <c r="V22" i="26" s="1"/>
  <c r="V41" i="26" a="1"/>
  <c r="V41" i="26" s="1"/>
  <c r="V51" i="26" a="1"/>
  <c r="V51" i="26" s="1"/>
  <c r="X51" i="26" s="1" a="1"/>
  <c r="X51" i="26" s="1"/>
  <c r="V97" i="26" a="1"/>
  <c r="V97" i="26" s="1"/>
  <c r="V126" i="26" a="1"/>
  <c r="V126" i="26" s="1"/>
  <c r="V142" i="26" a="1"/>
  <c r="V142" i="26" s="1"/>
  <c r="X142" i="26" s="1" a="1"/>
  <c r="X142" i="26" s="1"/>
  <c r="V162" i="26" a="1"/>
  <c r="V162" i="26" s="1"/>
  <c r="X162" i="26" s="1" a="1"/>
  <c r="X162" i="26" s="1"/>
  <c r="V165" i="26" a="1"/>
  <c r="V165" i="26" s="1"/>
  <c r="X165" i="26" s="1" a="1"/>
  <c r="X165" i="26" s="1"/>
  <c r="V23" i="26" a="1"/>
  <c r="V23" i="26" s="1"/>
  <c r="V42" i="26" a="1"/>
  <c r="V42" i="26" s="1"/>
  <c r="V55" i="26" a="1"/>
  <c r="V55" i="26" s="1"/>
  <c r="V72" i="26" a="1"/>
  <c r="V72" i="26" s="1"/>
  <c r="V101" i="26" a="1"/>
  <c r="V101" i="26" s="1"/>
  <c r="V131" i="26" a="1"/>
  <c r="V131" i="26" s="1"/>
  <c r="V156" i="26" a="1"/>
  <c r="V156" i="26" s="1"/>
  <c r="V67" i="26" a="1"/>
  <c r="V67" i="26" s="1"/>
  <c r="X67" i="26" s="1" a="1"/>
  <c r="X67" i="26" s="1"/>
  <c r="V128" i="26" a="1"/>
  <c r="V128" i="26" s="1"/>
  <c r="V155" i="26" a="1"/>
  <c r="V155" i="26" s="1"/>
  <c r="V68" i="26" a="1"/>
  <c r="V68" i="26" s="1"/>
  <c r="V98" i="26" a="1"/>
  <c r="V98" i="26" s="1"/>
  <c r="V127" i="26" a="1"/>
  <c r="V127" i="26" s="1"/>
  <c r="V144" i="26" a="1"/>
  <c r="V144" i="26" s="1"/>
  <c r="V158" i="26" a="1"/>
  <c r="V158" i="26" s="1"/>
  <c r="V69" i="26" a="1"/>
  <c r="V69" i="26" s="1"/>
  <c r="V99" i="26" a="1"/>
  <c r="V99" i="26" s="1"/>
  <c r="V134" i="26" a="1"/>
  <c r="V134" i="26" s="1"/>
  <c r="V159" i="26" a="1"/>
  <c r="V159" i="26" s="1"/>
  <c r="V70" i="26" a="1"/>
  <c r="V70" i="26" s="1"/>
  <c r="V84" i="26" a="1"/>
  <c r="V84" i="26" s="1"/>
  <c r="V114" i="26" a="1"/>
  <c r="V114" i="26" s="1"/>
  <c r="V145" i="26" a="1"/>
  <c r="V145" i="26" s="1"/>
  <c r="V103" i="26" a="1"/>
  <c r="V103" i="26" s="1"/>
  <c r="V132" i="26" a="1"/>
  <c r="V132" i="26" s="1"/>
  <c r="V164" i="26" a="1"/>
  <c r="V164" i="26" s="1"/>
  <c r="V75" i="26" a="1"/>
  <c r="V75" i="26" s="1"/>
  <c r="V105" i="26" a="1"/>
  <c r="V105" i="26" s="1"/>
  <c r="V129" i="26" a="1"/>
  <c r="V129" i="26" s="1"/>
  <c r="V154" i="26" a="1"/>
  <c r="V154" i="26" s="1"/>
  <c r="V76" i="26" a="1"/>
  <c r="V76" i="26" s="1"/>
  <c r="V106" i="26" a="1"/>
  <c r="V106" i="26" s="1"/>
  <c r="V136" i="26" a="1"/>
  <c r="V136" i="26" s="1"/>
  <c r="V161" i="26" a="1"/>
  <c r="V161" i="26" s="1"/>
  <c r="V87" i="26" a="1"/>
  <c r="V87" i="26" s="1"/>
  <c r="V117" i="26" a="1"/>
  <c r="V117" i="26" s="1"/>
  <c r="V148" i="26" a="1"/>
  <c r="V148" i="26" s="1"/>
  <c r="V88" i="26" a="1"/>
  <c r="V88" i="26" s="1"/>
  <c r="V118" i="26" a="1"/>
  <c r="V118" i="26" s="1"/>
  <c r="V89" i="26" a="1"/>
  <c r="V89" i="26" s="1"/>
  <c r="V119" i="26" a="1"/>
  <c r="V119" i="26" s="1"/>
  <c r="V146" i="26" a="1"/>
  <c r="V146" i="26" s="1"/>
  <c r="V90" i="26" a="1"/>
  <c r="V90" i="26" s="1"/>
  <c r="V120" i="26" a="1"/>
  <c r="V120" i="26" s="1"/>
  <c r="V147" i="26" a="1"/>
  <c r="V147" i="26" s="1"/>
  <c r="V91" i="26" a="1"/>
  <c r="V91" i="26" s="1"/>
  <c r="V113" i="26" a="1"/>
  <c r="V113" i="26" s="1"/>
  <c r="V143" i="26" a="1"/>
  <c r="V143" i="26" s="1"/>
  <c r="V163" i="26" a="1"/>
  <c r="V163" i="26" s="1"/>
  <c r="V92" i="26" a="1"/>
  <c r="V92" i="26" s="1"/>
  <c r="V121" i="26" a="1"/>
  <c r="V121" i="26" s="1"/>
  <c r="V149" i="26" a="1"/>
  <c r="V149" i="26" s="1"/>
  <c r="V93" i="26" a="1"/>
  <c r="V93" i="26" s="1"/>
  <c r="V122" i="26" a="1"/>
  <c r="V122" i="26" s="1"/>
  <c r="V150" i="26" a="1"/>
  <c r="V150" i="26" s="1"/>
  <c r="V94" i="26" a="1"/>
  <c r="V94" i="26" s="1"/>
  <c r="V123" i="26" a="1"/>
  <c r="V123" i="26" s="1"/>
  <c r="V151" i="26" a="1"/>
  <c r="V151" i="26" s="1"/>
  <c r="V95" i="26" a="1"/>
  <c r="V95" i="26" s="1"/>
  <c r="V124" i="26" a="1"/>
  <c r="V124" i="26" s="1"/>
  <c r="V152" i="26" a="1"/>
  <c r="V152" i="26" s="1"/>
  <c r="V96" i="26" a="1"/>
  <c r="V96" i="26" s="1"/>
  <c r="V125" i="26" a="1"/>
  <c r="V125" i="26" s="1"/>
  <c r="V153" i="26" a="1"/>
  <c r="V153" i="26" s="1"/>
  <c r="U166" i="26"/>
  <c r="V166" i="26" a="1"/>
  <c r="V166" i="26" s="1"/>
  <c r="U17" i="26"/>
  <c r="U39" i="26"/>
  <c r="U167" i="26"/>
  <c r="U168" i="26"/>
  <c r="U13" i="26"/>
  <c r="U169" i="26"/>
  <c r="U170" i="26"/>
  <c r="U15" i="26"/>
  <c r="U34" i="26"/>
  <c r="U48" i="26"/>
  <c r="U61" i="26"/>
  <c r="U81" i="26"/>
  <c r="U112" i="26"/>
  <c r="U141" i="26"/>
  <c r="U171" i="26"/>
  <c r="U7" i="26"/>
  <c r="U19" i="26"/>
  <c r="U172" i="26"/>
  <c r="U12" i="26"/>
  <c r="U31" i="26"/>
  <c r="U45" i="26"/>
  <c r="U66" i="26"/>
  <c r="U173" i="26"/>
  <c r="U174" i="26"/>
  <c r="U16" i="26"/>
  <c r="U30" i="26"/>
  <c r="U44" i="26"/>
  <c r="U58" i="26"/>
  <c r="U77" i="26"/>
  <c r="U108" i="26"/>
  <c r="U175" i="26"/>
  <c r="U176" i="26"/>
  <c r="U9" i="26"/>
  <c r="U24" i="26"/>
  <c r="U43" i="26"/>
  <c r="U52" i="26"/>
  <c r="U64" i="26"/>
  <c r="U82" i="26"/>
  <c r="U107" i="26"/>
  <c r="U137" i="26"/>
  <c r="U177" i="26"/>
  <c r="U178" i="26"/>
  <c r="U179" i="26"/>
  <c r="U180" i="26"/>
  <c r="U20" i="26"/>
  <c r="U36" i="26"/>
  <c r="U62" i="26"/>
  <c r="U83" i="26"/>
  <c r="U181" i="26"/>
  <c r="U182" i="26"/>
  <c r="U183" i="26"/>
  <c r="U184" i="26"/>
  <c r="U14" i="26"/>
  <c r="U28" i="26"/>
  <c r="U47" i="26"/>
  <c r="U59" i="26"/>
  <c r="U78" i="26"/>
  <c r="U109" i="26"/>
  <c r="U138" i="26"/>
  <c r="U5" i="26"/>
  <c r="U18" i="26"/>
  <c r="U33" i="26"/>
  <c r="U46" i="26"/>
  <c r="U60" i="26"/>
  <c r="U79" i="26"/>
  <c r="U110" i="26"/>
  <c r="U139" i="26"/>
  <c r="U6" i="26"/>
  <c r="U25" i="26"/>
  <c r="U35" i="26"/>
  <c r="U54" i="26"/>
  <c r="U80" i="26"/>
  <c r="U111" i="26"/>
  <c r="U140" i="26"/>
  <c r="U10" i="26"/>
  <c r="U29" i="26"/>
  <c r="U40" i="26"/>
  <c r="U57" i="26"/>
  <c r="U74" i="26"/>
  <c r="U104" i="26"/>
  <c r="U135" i="26"/>
  <c r="U160" i="26"/>
  <c r="U32" i="26"/>
  <c r="U50" i="26"/>
  <c r="U65" i="26"/>
  <c r="U86" i="26"/>
  <c r="U116" i="26"/>
  <c r="U21" i="26"/>
  <c r="U49" i="26"/>
  <c r="U63" i="26"/>
  <c r="U85" i="26"/>
  <c r="U115" i="26"/>
  <c r="U11" i="26"/>
  <c r="U26" i="26"/>
  <c r="U38" i="26"/>
  <c r="U53" i="26"/>
  <c r="U71" i="26"/>
  <c r="U100" i="26"/>
  <c r="U130" i="26"/>
  <c r="U8" i="26"/>
  <c r="U27" i="26"/>
  <c r="U37" i="26"/>
  <c r="U56" i="26"/>
  <c r="U73" i="26"/>
  <c r="U102" i="26"/>
  <c r="U133" i="26"/>
  <c r="U157" i="26"/>
  <c r="U22" i="26"/>
  <c r="U41" i="26"/>
  <c r="U51" i="26"/>
  <c r="U97" i="26"/>
  <c r="U126" i="26"/>
  <c r="U142" i="26"/>
  <c r="U162" i="26"/>
  <c r="U165" i="26"/>
  <c r="U23" i="26"/>
  <c r="U42" i="26"/>
  <c r="U55" i="26"/>
  <c r="U72" i="26"/>
  <c r="U101" i="26"/>
  <c r="U131" i="26"/>
  <c r="U156" i="26"/>
  <c r="U67" i="26"/>
  <c r="U128" i="26"/>
  <c r="U155" i="26"/>
  <c r="U68" i="26"/>
  <c r="U98" i="26"/>
  <c r="U127" i="26"/>
  <c r="U144" i="26"/>
  <c r="U158" i="26"/>
  <c r="U69" i="26"/>
  <c r="U99" i="26"/>
  <c r="U134" i="26"/>
  <c r="U159" i="26"/>
  <c r="U70" i="26"/>
  <c r="U84" i="26"/>
  <c r="U114" i="26"/>
  <c r="U145" i="26"/>
  <c r="U103" i="26"/>
  <c r="U132" i="26"/>
  <c r="U164" i="26"/>
  <c r="U75" i="26"/>
  <c r="U105" i="26"/>
  <c r="U129" i="26"/>
  <c r="U154" i="26"/>
  <c r="U76" i="26"/>
  <c r="U106" i="26"/>
  <c r="U136" i="26"/>
  <c r="U161" i="26"/>
  <c r="U87" i="26"/>
  <c r="U117" i="26"/>
  <c r="U148" i="26"/>
  <c r="U88" i="26"/>
  <c r="U118" i="26"/>
  <c r="U89" i="26"/>
  <c r="U119" i="26"/>
  <c r="U146" i="26"/>
  <c r="U90" i="26"/>
  <c r="U120" i="26"/>
  <c r="U147" i="26"/>
  <c r="U91" i="26"/>
  <c r="U113" i="26"/>
  <c r="U143" i="26"/>
  <c r="U163" i="26"/>
  <c r="U92" i="26"/>
  <c r="U121" i="26"/>
  <c r="U149" i="26"/>
  <c r="U93" i="26"/>
  <c r="U122" i="26"/>
  <c r="U150" i="26"/>
  <c r="U94" i="26"/>
  <c r="U123" i="26"/>
  <c r="U151" i="26"/>
  <c r="U95" i="26"/>
  <c r="U124" i="26"/>
  <c r="U152" i="26"/>
  <c r="U96" i="26"/>
  <c r="U125" i="26"/>
  <c r="U153" i="26"/>
  <c r="I8" i="27" a="1"/>
  <c r="I8" i="27" s="1"/>
  <c r="I9" i="27" a="1"/>
  <c r="I9" i="27" s="1"/>
  <c r="I11" i="27" a="1"/>
  <c r="I11" i="27" s="1"/>
  <c r="I7" i="27" a="1"/>
  <c r="I7" i="27" s="1"/>
  <c r="G7" i="27"/>
  <c r="G8" i="27"/>
  <c r="G9" i="27"/>
  <c r="G10" i="27"/>
  <c r="G11" i="27"/>
  <c r="G2" i="27"/>
  <c r="D2" i="27" a="1"/>
  <c r="D2" i="27" s="1"/>
  <c r="E2" i="27" s="1"/>
  <c r="D11" i="27" a="1"/>
  <c r="D11" i="27" s="1"/>
  <c r="D10" i="27" a="1"/>
  <c r="D10" i="27" s="1"/>
  <c r="D9" i="27" a="1"/>
  <c r="D9" i="27" s="1"/>
  <c r="D8" i="27" a="1"/>
  <c r="D8" i="27" s="1"/>
  <c r="D7" i="27" a="1"/>
  <c r="D7" i="27" s="1"/>
  <c r="D6" i="27" a="1"/>
  <c r="D6" i="27" s="1"/>
  <c r="D5" i="27" a="1"/>
  <c r="D5" i="27" s="1"/>
  <c r="D4" i="27" a="1"/>
  <c r="D4" i="27" s="1"/>
  <c r="D3" i="27" a="1"/>
  <c r="D3" i="27" s="1"/>
  <c r="E4" i="27" l="1"/>
  <c r="W67" i="26"/>
  <c r="AC67" i="26" s="1"/>
  <c r="W130" i="26"/>
  <c r="AC130" i="26" s="1"/>
  <c r="W51" i="26"/>
  <c r="AC51" i="26" s="1"/>
  <c r="W176" i="26"/>
  <c r="AC176" i="26" s="1"/>
  <c r="W165" i="26"/>
  <c r="AC165" i="26" s="1"/>
  <c r="W162" i="26"/>
  <c r="AC162" i="26" s="1"/>
  <c r="W175" i="26"/>
  <c r="AC175" i="26" s="1"/>
  <c r="W142" i="26"/>
  <c r="AC142" i="26" s="1"/>
  <c r="E3" i="27"/>
  <c r="E5" i="27"/>
  <c r="E6" i="27"/>
  <c r="E7" i="27"/>
  <c r="E11" i="27"/>
  <c r="E8" i="27"/>
  <c r="E9" i="27"/>
  <c r="E10" i="27"/>
  <c r="G71" i="15" l="1"/>
  <c r="G70" i="15"/>
  <c r="G69" i="15"/>
  <c r="G68" i="15"/>
  <c r="O43" i="5" l="1"/>
  <c r="T43" i="5"/>
  <c r="O44" i="5"/>
  <c r="T44" i="5"/>
  <c r="O45" i="5"/>
  <c r="T45" i="5"/>
  <c r="O46" i="5"/>
  <c r="R46" i="5"/>
  <c r="S46" i="5"/>
  <c r="U46" i="5" s="1"/>
  <c r="T46" i="5"/>
  <c r="O47" i="5"/>
  <c r="T47" i="5"/>
  <c r="O48" i="5"/>
  <c r="R48" i="5"/>
  <c r="S48" i="5"/>
  <c r="U48" i="5" s="1"/>
  <c r="T48" i="5"/>
  <c r="O49" i="5"/>
  <c r="T49" i="5"/>
  <c r="O50" i="5"/>
  <c r="T50" i="5"/>
  <c r="N48" i="5"/>
  <c r="N49" i="5"/>
  <c r="N50" i="5"/>
  <c r="N43" i="5"/>
  <c r="N44" i="5"/>
  <c r="N45" i="5"/>
  <c r="N46" i="5"/>
  <c r="N47" i="5"/>
  <c r="Q148" i="1" l="1"/>
  <c r="Q149" i="1"/>
  <c r="Q150" i="1"/>
  <c r="Q151" i="1"/>
  <c r="Q152" i="1"/>
  <c r="Q153" i="1"/>
  <c r="Q154" i="1"/>
  <c r="O146" i="1"/>
  <c r="Q147" i="1"/>
  <c r="G141" i="25" l="1" a="1"/>
  <c r="G141" i="25" s="1"/>
  <c r="G132" i="25" a="1"/>
  <c r="G132" i="25" s="1"/>
  <c r="G128" i="25" a="1"/>
  <c r="G128" i="25" s="1"/>
  <c r="G119" i="25" a="1"/>
  <c r="G119" i="25" s="1"/>
  <c r="G110" i="25" a="1"/>
  <c r="G110" i="25" s="1"/>
  <c r="G71" i="25" a="1"/>
  <c r="G71" i="25" s="1"/>
  <c r="H60" i="25" a="1"/>
  <c r="H60" i="25" s="1"/>
  <c r="G50" i="25" a="1"/>
  <c r="G50" i="25" s="1"/>
  <c r="H39" i="25" a="1"/>
  <c r="H39" i="25" s="1"/>
  <c r="G99" i="25" a="1"/>
  <c r="G99" i="25" s="1"/>
  <c r="G90" i="25" a="1"/>
  <c r="G90" i="25" s="1"/>
  <c r="G31" i="25" a="1"/>
  <c r="G31" i="25" s="1"/>
  <c r="G19" i="25" a="1"/>
  <c r="G19" i="25" s="1"/>
  <c r="J8" i="5" a="1"/>
  <c r="J8" i="5" s="1"/>
  <c r="AI8" i="47" a="1"/>
  <c r="AI8" i="47" s="1"/>
  <c r="AH5" i="47"/>
  <c r="H140" i="25" a="1"/>
  <c r="H140" i="25" s="1"/>
  <c r="H131" i="25" a="1"/>
  <c r="H131" i="25" s="1"/>
  <c r="H122" i="25" a="1"/>
  <c r="H122" i="25" s="1"/>
  <c r="H118" i="25" a="1"/>
  <c r="H118" i="25" s="1"/>
  <c r="H109" i="25" a="1"/>
  <c r="H109" i="25" s="1"/>
  <c r="H70" i="25" a="1"/>
  <c r="H70" i="25" s="1"/>
  <c r="G60" i="25" a="1"/>
  <c r="G60" i="25" s="1"/>
  <c r="H49" i="25" a="1"/>
  <c r="H49" i="25" s="1"/>
  <c r="G39" i="25" a="1"/>
  <c r="G39" i="25" s="1"/>
  <c r="H102" i="25" a="1"/>
  <c r="H102" i="25" s="1"/>
  <c r="H98" i="25" a="1"/>
  <c r="H98" i="25" s="1"/>
  <c r="H89" i="25" a="1"/>
  <c r="H89" i="25" s="1"/>
  <c r="H30" i="25" a="1"/>
  <c r="H30" i="25" s="1"/>
  <c r="H22" i="25" a="1"/>
  <c r="H22" i="25" s="1"/>
  <c r="H18" i="25" a="1"/>
  <c r="H18" i="25" s="1"/>
  <c r="G10" i="25" a="1"/>
  <c r="G10" i="25" s="1"/>
  <c r="AJ9" i="47" a="1"/>
  <c r="AJ9" i="47" s="1"/>
  <c r="AH8" i="47"/>
  <c r="H19" i="25" a="1"/>
  <c r="H19" i="25" s="1"/>
  <c r="AF9" i="47"/>
  <c r="G140" i="25" a="1"/>
  <c r="G140" i="25" s="1"/>
  <c r="G131" i="25" a="1"/>
  <c r="G131" i="25" s="1"/>
  <c r="G122" i="25" a="1"/>
  <c r="G122" i="25" s="1"/>
  <c r="G118" i="25" a="1"/>
  <c r="G118" i="25" s="1"/>
  <c r="G109" i="25" a="1"/>
  <c r="G109" i="25" s="1"/>
  <c r="G70" i="25" a="1"/>
  <c r="G70" i="25" s="1"/>
  <c r="H59" i="25" a="1"/>
  <c r="H59" i="25" s="1"/>
  <c r="G49" i="25" a="1"/>
  <c r="G49" i="25" s="1"/>
  <c r="H42" i="25" a="1"/>
  <c r="H42" i="25" s="1"/>
  <c r="H38" i="25" a="1"/>
  <c r="H38" i="25" s="1"/>
  <c r="G102" i="25" a="1"/>
  <c r="G102" i="25" s="1"/>
  <c r="G98" i="25" a="1"/>
  <c r="G98" i="25" s="1"/>
  <c r="G89" i="25" a="1"/>
  <c r="G89" i="25" s="1"/>
  <c r="G30" i="25" a="1"/>
  <c r="G30" i="25" s="1"/>
  <c r="G22" i="25" a="1"/>
  <c r="G22" i="25" s="1"/>
  <c r="G18" i="25" a="1"/>
  <c r="G18" i="25" s="1"/>
  <c r="AJ8" i="47" a="1"/>
  <c r="AJ8" i="47" s="1"/>
  <c r="AI7" i="47" a="1"/>
  <c r="AI7" i="47" s="1"/>
  <c r="J12" i="5" a="1"/>
  <c r="J12" i="5" s="1"/>
  <c r="H129" i="25" a="1"/>
  <c r="H129" i="25" s="1"/>
  <c r="H111" i="25" a="1"/>
  <c r="H111" i="25" s="1"/>
  <c r="G62" i="25" a="1"/>
  <c r="G62" i="25" s="1"/>
  <c r="G41" i="25" a="1"/>
  <c r="G41" i="25" s="1"/>
  <c r="H100" i="25" a="1"/>
  <c r="H100" i="25" s="1"/>
  <c r="H28" i="25" a="1"/>
  <c r="H28" i="25" s="1"/>
  <c r="H20" i="25" a="1"/>
  <c r="H20" i="25" s="1"/>
  <c r="G12" i="25" a="1"/>
  <c r="G12" i="25" s="1"/>
  <c r="AH6" i="47"/>
  <c r="G138" i="25" a="1"/>
  <c r="G138" i="25" s="1"/>
  <c r="G120" i="25" a="1"/>
  <c r="G120" i="25" s="1"/>
  <c r="G68" i="25" a="1"/>
  <c r="G68" i="25" s="1"/>
  <c r="H40" i="25" a="1"/>
  <c r="H40" i="25" s="1"/>
  <c r="G91" i="25" a="1"/>
  <c r="G91" i="25" s="1"/>
  <c r="G20" i="25" a="1"/>
  <c r="G20" i="25" s="1"/>
  <c r="J10" i="5" a="1"/>
  <c r="J10" i="5" s="1"/>
  <c r="H141" i="25" a="1"/>
  <c r="H141" i="25" s="1"/>
  <c r="H119" i="25" a="1"/>
  <c r="H119" i="25" s="1"/>
  <c r="H71" i="25" a="1"/>
  <c r="H71" i="25" s="1"/>
  <c r="H50" i="25" a="1"/>
  <c r="H50" i="25" s="1"/>
  <c r="H99" i="25" a="1"/>
  <c r="H99" i="25" s="1"/>
  <c r="H31" i="25" a="1"/>
  <c r="H31" i="25" s="1"/>
  <c r="AI5" i="47" a="1"/>
  <c r="AI5" i="47" s="1"/>
  <c r="H139" i="25" a="1"/>
  <c r="H139" i="25" s="1"/>
  <c r="H130" i="25" a="1"/>
  <c r="H130" i="25" s="1"/>
  <c r="H121" i="25" a="1"/>
  <c r="H121" i="25" s="1"/>
  <c r="H112" i="25" a="1"/>
  <c r="H112" i="25" s="1"/>
  <c r="H108" i="25" a="1"/>
  <c r="H108" i="25" s="1"/>
  <c r="H69" i="25" a="1"/>
  <c r="H69" i="25" s="1"/>
  <c r="G59" i="25" a="1"/>
  <c r="G59" i="25" s="1"/>
  <c r="H52" i="25" a="1"/>
  <c r="H52" i="25" s="1"/>
  <c r="H48" i="25" a="1"/>
  <c r="H48" i="25" s="1"/>
  <c r="G42" i="25" a="1"/>
  <c r="G42" i="25" s="1"/>
  <c r="G38" i="25" a="1"/>
  <c r="G38" i="25" s="1"/>
  <c r="H101" i="25" a="1"/>
  <c r="H101" i="25" s="1"/>
  <c r="H92" i="25" a="1"/>
  <c r="H92" i="25" s="1"/>
  <c r="H88" i="25" a="1"/>
  <c r="H88" i="25" s="1"/>
  <c r="H29" i="25" a="1"/>
  <c r="H29" i="25" s="1"/>
  <c r="H21" i="25" a="1"/>
  <c r="H21" i="25" s="1"/>
  <c r="G9" i="25" a="1"/>
  <c r="G9" i="25" s="1"/>
  <c r="H12" i="25"/>
  <c r="AJ7" i="47" a="1"/>
  <c r="AJ7" i="47" s="1"/>
  <c r="AH7" i="47"/>
  <c r="AI6" i="47" a="1"/>
  <c r="AI6" i="47" s="1"/>
  <c r="H138" i="25" a="1"/>
  <c r="H138" i="25" s="1"/>
  <c r="H120" i="25" a="1"/>
  <c r="H120" i="25" s="1"/>
  <c r="H68" i="25" a="1"/>
  <c r="H68" i="25" s="1"/>
  <c r="G58" i="25" a="1"/>
  <c r="G58" i="25" s="1"/>
  <c r="H91" i="25" a="1"/>
  <c r="H91" i="25" s="1"/>
  <c r="AI9" i="47" a="1"/>
  <c r="AI9" i="47" s="1"/>
  <c r="G129" i="25" a="1"/>
  <c r="G129" i="25" s="1"/>
  <c r="G111" i="25" a="1"/>
  <c r="G111" i="25" s="1"/>
  <c r="H61" i="25" a="1"/>
  <c r="H61" i="25" s="1"/>
  <c r="G100" i="25" a="1"/>
  <c r="G100" i="25" s="1"/>
  <c r="G32" i="25" a="1"/>
  <c r="G32" i="25" s="1"/>
  <c r="H132" i="25" a="1"/>
  <c r="H132" i="25" s="1"/>
  <c r="G40" i="25" a="1"/>
  <c r="G40" i="25" s="1"/>
  <c r="G139" i="25" a="1"/>
  <c r="G139" i="25" s="1"/>
  <c r="G130" i="25" a="1"/>
  <c r="G130" i="25" s="1"/>
  <c r="G121" i="25" a="1"/>
  <c r="G121" i="25" s="1"/>
  <c r="G112" i="25" a="1"/>
  <c r="G112" i="25" s="1"/>
  <c r="G108" i="25" a="1"/>
  <c r="G108" i="25" s="1"/>
  <c r="G69" i="25" a="1"/>
  <c r="G69" i="25" s="1"/>
  <c r="H62" i="25" a="1"/>
  <c r="H62" i="25" s="1"/>
  <c r="H58" i="25" a="1"/>
  <c r="H58" i="25" s="1"/>
  <c r="G52" i="25" a="1"/>
  <c r="G52" i="25" s="1"/>
  <c r="G48" i="25" a="1"/>
  <c r="G48" i="25" s="1"/>
  <c r="H41" i="25" a="1"/>
  <c r="H41" i="25" s="1"/>
  <c r="G101" i="25" a="1"/>
  <c r="G101" i="25" s="1"/>
  <c r="G92" i="25" a="1"/>
  <c r="G92" i="25" s="1"/>
  <c r="G88" i="25" a="1"/>
  <c r="G88" i="25" s="1"/>
  <c r="G29" i="25" a="1"/>
  <c r="G29" i="25" s="1"/>
  <c r="G21" i="25" a="1"/>
  <c r="G21" i="25" s="1"/>
  <c r="AJ6" i="47" a="1"/>
  <c r="AJ6" i="47" s="1"/>
  <c r="H142" i="25" a="1"/>
  <c r="H142" i="25" s="1"/>
  <c r="H72" i="25" a="1"/>
  <c r="H72" i="25" s="1"/>
  <c r="H51" i="25" a="1"/>
  <c r="H51" i="25" s="1"/>
  <c r="H32" i="25" a="1"/>
  <c r="H32" i="25" s="1"/>
  <c r="G8" i="25" a="1"/>
  <c r="G8" i="25" s="1"/>
  <c r="J11" i="5" a="1"/>
  <c r="J11" i="5" s="1"/>
  <c r="G142" i="25" a="1"/>
  <c r="G142" i="25" s="1"/>
  <c r="G72" i="25" a="1"/>
  <c r="G72" i="25" s="1"/>
  <c r="G51" i="25" a="1"/>
  <c r="G51" i="25" s="1"/>
  <c r="G28" i="25" a="1"/>
  <c r="G28" i="25" s="1"/>
  <c r="AH9" i="47"/>
  <c r="AJ5" i="47" a="1"/>
  <c r="AJ5" i="47" s="1"/>
  <c r="H128" i="25" a="1"/>
  <c r="H128" i="25" s="1"/>
  <c r="H110" i="25" a="1"/>
  <c r="H110" i="25" s="1"/>
  <c r="G61" i="25" a="1"/>
  <c r="G61" i="25" s="1"/>
  <c r="H90" i="25" a="1"/>
  <c r="H90" i="25" s="1"/>
  <c r="G11" i="25" a="1"/>
  <c r="G11" i="25" s="1"/>
  <c r="J9" i="5" a="1"/>
  <c r="J9" i="5" s="1"/>
  <c r="BN163" i="1"/>
  <c r="BY154" i="1"/>
  <c r="BY150" i="1"/>
  <c r="BY152" i="1"/>
  <c r="BZ149" i="1"/>
  <c r="BY153" i="1"/>
  <c r="BY151" i="1"/>
  <c r="BZ147" i="1"/>
  <c r="BY148" i="1"/>
  <c r="H290" i="25" a="1"/>
  <c r="H290" i="25" s="1"/>
  <c r="H277" i="25" a="1"/>
  <c r="H277" i="25" s="1"/>
  <c r="H259" i="25" a="1"/>
  <c r="H259" i="25" s="1"/>
  <c r="H246" i="25" a="1"/>
  <c r="H246" i="25" s="1"/>
  <c r="H288" i="25" a="1"/>
  <c r="H288" i="25" s="1"/>
  <c r="H257" i="25" a="1"/>
  <c r="H257" i="25" s="1"/>
  <c r="H239" i="25" a="1"/>
  <c r="H239" i="25" s="1"/>
  <c r="H260" i="25" a="1"/>
  <c r="H260" i="25" s="1"/>
  <c r="H289" i="25" a="1"/>
  <c r="H289" i="25" s="1"/>
  <c r="H276" i="25" a="1"/>
  <c r="H276" i="25" s="1"/>
  <c r="H258" i="25" a="1"/>
  <c r="H258" i="25" s="1"/>
  <c r="H240" i="25" a="1"/>
  <c r="H240" i="25" s="1"/>
  <c r="H270" i="25" a="1"/>
  <c r="H270" i="25" s="1"/>
  <c r="H248" i="25" a="1"/>
  <c r="H248" i="25" s="1"/>
  <c r="H287" i="25" a="1"/>
  <c r="H287" i="25" s="1"/>
  <c r="H269" i="25" a="1"/>
  <c r="H269" i="25" s="1"/>
  <c r="H256" i="25" a="1"/>
  <c r="H256" i="25" s="1"/>
  <c r="H238" i="25" a="1"/>
  <c r="H238" i="25" s="1"/>
  <c r="H280" i="25" a="1"/>
  <c r="H280" i="25" s="1"/>
  <c r="H236" i="25" a="1"/>
  <c r="H236" i="25" s="1"/>
  <c r="H266" i="25" a="1"/>
  <c r="H266" i="25" s="1"/>
  <c r="H247" i="25" a="1"/>
  <c r="H247" i="25" s="1"/>
  <c r="H286" i="25" a="1"/>
  <c r="H286" i="25" s="1"/>
  <c r="H268" i="25" a="1"/>
  <c r="H268" i="25" s="1"/>
  <c r="H250" i="25" a="1"/>
  <c r="H250" i="25" s="1"/>
  <c r="H237" i="25" a="1"/>
  <c r="H237" i="25" s="1"/>
  <c r="H267" i="25" a="1"/>
  <c r="H267" i="25" s="1"/>
  <c r="H249" i="25" a="1"/>
  <c r="H249" i="25" s="1"/>
  <c r="H279" i="25" a="1"/>
  <c r="H279" i="25" s="1"/>
  <c r="H278" i="25" a="1"/>
  <c r="H278" i="25" s="1"/>
  <c r="G290" i="25" a="1"/>
  <c r="G290" i="25" s="1"/>
  <c r="G279" i="25" a="1"/>
  <c r="G279" i="25" s="1"/>
  <c r="G250" i="25" a="1"/>
  <c r="G250" i="25" s="1"/>
  <c r="G237" i="25" a="1"/>
  <c r="G237" i="25" s="1"/>
  <c r="G277" i="25" a="1"/>
  <c r="G277" i="25" s="1"/>
  <c r="G248" i="25" a="1"/>
  <c r="G248" i="25" s="1"/>
  <c r="G247" i="25" a="1"/>
  <c r="G247" i="25" s="1"/>
  <c r="G259" i="25" a="1"/>
  <c r="G259" i="25" s="1"/>
  <c r="G278" i="25" a="1"/>
  <c r="G278" i="25" s="1"/>
  <c r="G267" i="25" a="1"/>
  <c r="G267" i="25" s="1"/>
  <c r="G249" i="25" a="1"/>
  <c r="G249" i="25" s="1"/>
  <c r="G236" i="25" a="1"/>
  <c r="G236" i="25" s="1"/>
  <c r="G289" i="25" a="1"/>
  <c r="G289" i="25" s="1"/>
  <c r="G266" i="25" a="1"/>
  <c r="G266" i="25" s="1"/>
  <c r="G288" i="25" a="1"/>
  <c r="G288" i="25" s="1"/>
  <c r="G276" i="25" a="1"/>
  <c r="G276" i="25" s="1"/>
  <c r="G286" i="25" a="1"/>
  <c r="G286" i="25" s="1"/>
  <c r="G270" i="25" a="1"/>
  <c r="G270" i="25" s="1"/>
  <c r="G258" i="25" a="1"/>
  <c r="G258" i="25" s="1"/>
  <c r="G240" i="25" a="1"/>
  <c r="G240" i="25" s="1"/>
  <c r="G256" i="25" a="1"/>
  <c r="G256" i="25" s="1"/>
  <c r="G260" i="25" a="1"/>
  <c r="G260" i="25" s="1"/>
  <c r="G269" i="25" a="1"/>
  <c r="G269" i="25" s="1"/>
  <c r="G257" i="25" a="1"/>
  <c r="G257" i="25" s="1"/>
  <c r="G239" i="25" a="1"/>
  <c r="G239" i="25" s="1"/>
  <c r="G280" i="25" a="1"/>
  <c r="G280" i="25" s="1"/>
  <c r="G268" i="25" a="1"/>
  <c r="G268" i="25" s="1"/>
  <c r="G238" i="25" a="1"/>
  <c r="G238" i="25" s="1"/>
  <c r="G287" i="25" a="1"/>
  <c r="G287" i="25" s="1"/>
  <c r="G246" i="25" a="1"/>
  <c r="G246" i="25" s="1"/>
  <c r="F12" i="5"/>
  <c r="K25" i="15" a="1"/>
  <c r="K25" i="15" s="1"/>
  <c r="O58" i="15" a="1"/>
  <c r="O58" i="15" s="1"/>
  <c r="O57" i="15" a="1"/>
  <c r="O57" i="15" s="1"/>
  <c r="O56" i="15" a="1"/>
  <c r="O56" i="15" s="1"/>
  <c r="O55" i="15" a="1"/>
  <c r="O55" i="15" s="1"/>
  <c r="O54" i="15" a="1"/>
  <c r="O54" i="15" s="1"/>
  <c r="O50" i="15" a="1"/>
  <c r="O50" i="15" s="1"/>
  <c r="O49" i="15" a="1"/>
  <c r="O49" i="15" s="1"/>
  <c r="O48" i="15" a="1"/>
  <c r="O48" i="15" s="1"/>
  <c r="O47" i="15" a="1"/>
  <c r="O47" i="15" s="1"/>
  <c r="O46" i="15" a="1"/>
  <c r="O46" i="15" s="1"/>
  <c r="R28" i="15" a="1"/>
  <c r="R28" i="15" s="1"/>
  <c r="R27" i="15" a="1"/>
  <c r="R27" i="15" s="1"/>
  <c r="R26" i="15" a="1"/>
  <c r="R26" i="15" s="1"/>
  <c r="R25" i="15" a="1"/>
  <c r="R25" i="15" s="1"/>
  <c r="R24" i="15" a="1"/>
  <c r="R24" i="15" s="1"/>
  <c r="G58" i="15" a="1"/>
  <c r="G58" i="15" s="1"/>
  <c r="G56" i="15" a="1"/>
  <c r="G56" i="15" s="1"/>
  <c r="G54" i="15" a="1"/>
  <c r="G54" i="15" s="1"/>
  <c r="G49" i="15" a="1"/>
  <c r="G49" i="15" s="1"/>
  <c r="G47" i="15" a="1"/>
  <c r="G47" i="15" s="1"/>
  <c r="J28" i="15" a="1"/>
  <c r="J28" i="15" s="1"/>
  <c r="P25" i="15" a="1"/>
  <c r="P25" i="15" s="1"/>
  <c r="I27" i="15"/>
  <c r="J26" i="15" a="1"/>
  <c r="J26" i="15" s="1"/>
  <c r="M57" i="15" a="1"/>
  <c r="M57" i="15" s="1"/>
  <c r="M56" i="15" a="1"/>
  <c r="M56" i="15" s="1"/>
  <c r="M54" i="15" a="1"/>
  <c r="M54" i="15" s="1"/>
  <c r="M49" i="15" a="1"/>
  <c r="M49" i="15" s="1"/>
  <c r="M47" i="15" a="1"/>
  <c r="M47" i="15" s="1"/>
  <c r="N28" i="15" a="1"/>
  <c r="N28" i="15" s="1"/>
  <c r="N26" i="15" a="1"/>
  <c r="N26" i="15" s="1"/>
  <c r="N24" i="15" a="1"/>
  <c r="N24" i="15" s="1"/>
  <c r="I55" i="15" a="1"/>
  <c r="I55" i="15" s="1"/>
  <c r="I48" i="15" a="1"/>
  <c r="I48" i="15" s="1"/>
  <c r="I46" i="15" a="1"/>
  <c r="I46" i="15" s="1"/>
  <c r="P24" i="15" a="1"/>
  <c r="P24" i="15" s="1"/>
  <c r="L58" i="15" a="1"/>
  <c r="L58" i="15" s="1"/>
  <c r="L56" i="15" a="1"/>
  <c r="L56" i="15" s="1"/>
  <c r="L54" i="15" a="1"/>
  <c r="L54" i="15" s="1"/>
  <c r="L49" i="15" a="1"/>
  <c r="L49" i="15" s="1"/>
  <c r="L47" i="15" a="1"/>
  <c r="L47" i="15" s="1"/>
  <c r="M28" i="15" a="1"/>
  <c r="M28" i="15" s="1"/>
  <c r="M26" i="15" a="1"/>
  <c r="M26" i="15" s="1"/>
  <c r="M24" i="15" a="1"/>
  <c r="M24" i="15" s="1"/>
  <c r="H50" i="15" a="1"/>
  <c r="H50" i="15" s="1"/>
  <c r="K27" i="15" a="1"/>
  <c r="K27" i="15" s="1"/>
  <c r="I25" i="15"/>
  <c r="H37" i="15" a="1"/>
  <c r="H37" i="15" s="1"/>
  <c r="K24" i="15" a="1"/>
  <c r="K24" i="15" s="1"/>
  <c r="N58" i="15" a="1"/>
  <c r="N58" i="15" s="1"/>
  <c r="N57" i="15" a="1"/>
  <c r="N57" i="15" s="1"/>
  <c r="N56" i="15" a="1"/>
  <c r="N56" i="15" s="1"/>
  <c r="N55" i="15" a="1"/>
  <c r="N55" i="15" s="1"/>
  <c r="N54" i="15" a="1"/>
  <c r="N54" i="15" s="1"/>
  <c r="N50" i="15" a="1"/>
  <c r="N50" i="15" s="1"/>
  <c r="N49" i="15" a="1"/>
  <c r="N49" i="15" s="1"/>
  <c r="N48" i="15" a="1"/>
  <c r="N48" i="15" s="1"/>
  <c r="N47" i="15" a="1"/>
  <c r="N47" i="15" s="1"/>
  <c r="N46" i="15" a="1"/>
  <c r="N46" i="15" s="1"/>
  <c r="O28" i="15" a="1"/>
  <c r="O28" i="15" s="1"/>
  <c r="O27" i="15" a="1"/>
  <c r="O27" i="15" s="1"/>
  <c r="O26" i="15" a="1"/>
  <c r="O26" i="15" s="1"/>
  <c r="O25" i="15" a="1"/>
  <c r="O25" i="15" s="1"/>
  <c r="O24" i="15" a="1"/>
  <c r="O24" i="15" s="1"/>
  <c r="J57" i="15" a="1"/>
  <c r="J57" i="15" s="1"/>
  <c r="J55" i="15" a="1"/>
  <c r="J55" i="15" s="1"/>
  <c r="J50" i="15" a="1"/>
  <c r="J50" i="15" s="1"/>
  <c r="J48" i="15" a="1"/>
  <c r="J48" i="15" s="1"/>
  <c r="J46" i="15" a="1"/>
  <c r="J46" i="15" s="1"/>
  <c r="Q27" i="15" a="1"/>
  <c r="Q27" i="15" s="1"/>
  <c r="Q24" i="15" a="1"/>
  <c r="Q24" i="15" s="1"/>
  <c r="I28" i="15"/>
  <c r="M58" i="15" a="1"/>
  <c r="M58" i="15" s="1"/>
  <c r="M55" i="15" a="1"/>
  <c r="M55" i="15" s="1"/>
  <c r="M50" i="15" a="1"/>
  <c r="M50" i="15" s="1"/>
  <c r="M48" i="15" a="1"/>
  <c r="M48" i="15" s="1"/>
  <c r="M46" i="15" a="1"/>
  <c r="M46" i="15" s="1"/>
  <c r="N27" i="15" a="1"/>
  <c r="N27" i="15" s="1"/>
  <c r="N25" i="15" a="1"/>
  <c r="N25" i="15" s="1"/>
  <c r="I57" i="15" a="1"/>
  <c r="I57" i="15" s="1"/>
  <c r="I50" i="15" a="1"/>
  <c r="I50" i="15" s="1"/>
  <c r="P27" i="15" a="1"/>
  <c r="P27" i="15" s="1"/>
  <c r="I26" i="15"/>
  <c r="J25" i="15" a="1"/>
  <c r="J25" i="15" s="1"/>
  <c r="L57" i="15" a="1"/>
  <c r="L57" i="15" s="1"/>
  <c r="L55" i="15" a="1"/>
  <c r="L55" i="15" s="1"/>
  <c r="L50" i="15" a="1"/>
  <c r="L50" i="15" s="1"/>
  <c r="L48" i="15" a="1"/>
  <c r="L48" i="15" s="1"/>
  <c r="L46" i="15" a="1"/>
  <c r="L46" i="15" s="1"/>
  <c r="M27" i="15" a="1"/>
  <c r="M27" i="15" s="1"/>
  <c r="M25" i="15" a="1"/>
  <c r="M25" i="15" s="1"/>
  <c r="H57" i="15" a="1"/>
  <c r="H57" i="15" s="1"/>
  <c r="H55" i="15" a="1"/>
  <c r="H55" i="15" s="1"/>
  <c r="H48" i="15" a="1"/>
  <c r="H48" i="15" s="1"/>
  <c r="H46" i="15" a="1"/>
  <c r="H46" i="15" s="1"/>
  <c r="H41" i="15" a="1"/>
  <c r="H41" i="15" s="1"/>
  <c r="F5" i="15"/>
  <c r="J24" i="15" a="1"/>
  <c r="J24" i="15" s="1"/>
  <c r="K58" i="15" a="1"/>
  <c r="K58" i="15" s="1"/>
  <c r="K57" i="15" a="1"/>
  <c r="K57" i="15" s="1"/>
  <c r="K56" i="15" a="1"/>
  <c r="K56" i="15" s="1"/>
  <c r="K55" i="15" a="1"/>
  <c r="K55" i="15" s="1"/>
  <c r="K54" i="15" a="1"/>
  <c r="K54" i="15" s="1"/>
  <c r="K50" i="15" a="1"/>
  <c r="K50" i="15" s="1"/>
  <c r="K49" i="15" a="1"/>
  <c r="K49" i="15" s="1"/>
  <c r="K48" i="15" a="1"/>
  <c r="K48" i="15" s="1"/>
  <c r="K47" i="15" a="1"/>
  <c r="K47" i="15" s="1"/>
  <c r="K46" i="15" a="1"/>
  <c r="K46" i="15" s="1"/>
  <c r="L28" i="15" a="1"/>
  <c r="L28" i="15" s="1"/>
  <c r="L27" i="15" a="1"/>
  <c r="L27" i="15" s="1"/>
  <c r="L26" i="15" a="1"/>
  <c r="L26" i="15" s="1"/>
  <c r="L25" i="15" a="1"/>
  <c r="L25" i="15" s="1"/>
  <c r="L24" i="15" a="1"/>
  <c r="L24" i="15" s="1"/>
  <c r="G57" i="15" a="1"/>
  <c r="G57" i="15" s="1"/>
  <c r="G55" i="15" a="1"/>
  <c r="G55" i="15" s="1"/>
  <c r="G50" i="15" a="1"/>
  <c r="G50" i="15" s="1"/>
  <c r="G48" i="15" a="1"/>
  <c r="G48" i="15" s="1"/>
  <c r="G46" i="15" a="1"/>
  <c r="G46" i="15" s="1"/>
  <c r="J27" i="15" a="1"/>
  <c r="J27" i="15" s="1"/>
  <c r="H40" i="15" a="1"/>
  <c r="H40" i="15" s="1"/>
  <c r="I24" i="15"/>
  <c r="Q58" i="15" a="1"/>
  <c r="Q58" i="15" s="1"/>
  <c r="Q55" i="15" a="1"/>
  <c r="Q55" i="15" s="1"/>
  <c r="Q50" i="15" a="1"/>
  <c r="Q50" i="15" s="1"/>
  <c r="Q48" i="15" a="1"/>
  <c r="Q48" i="15" s="1"/>
  <c r="Q46" i="15" a="1"/>
  <c r="Q46" i="15" s="1"/>
  <c r="T27" i="15" a="1"/>
  <c r="T27" i="15" s="1"/>
  <c r="T25" i="15" a="1"/>
  <c r="T25" i="15" s="1"/>
  <c r="I58" i="15" a="1"/>
  <c r="I58" i="15" s="1"/>
  <c r="I49" i="15" a="1"/>
  <c r="I49" i="15" s="1"/>
  <c r="P28" i="15" a="1"/>
  <c r="P28" i="15" s="1"/>
  <c r="P58" i="15" a="1"/>
  <c r="P58" i="15" s="1"/>
  <c r="P55" i="15" a="1"/>
  <c r="P55" i="15" s="1"/>
  <c r="P50" i="15" a="1"/>
  <c r="P50" i="15" s="1"/>
  <c r="P48" i="15" a="1"/>
  <c r="P48" i="15" s="1"/>
  <c r="P46" i="15" a="1"/>
  <c r="P46" i="15" s="1"/>
  <c r="S27" i="15" a="1"/>
  <c r="S27" i="15" s="1"/>
  <c r="S26" i="15" a="1"/>
  <c r="S26" i="15" s="1"/>
  <c r="S24" i="15" a="1"/>
  <c r="S24" i="15" s="1"/>
  <c r="H56" i="15" a="1"/>
  <c r="H56" i="15" s="1"/>
  <c r="H49" i="15" a="1"/>
  <c r="H49" i="15" s="1"/>
  <c r="K28" i="15" a="1"/>
  <c r="K28" i="15" s="1"/>
  <c r="R58" i="15" a="1"/>
  <c r="R58" i="15" s="1"/>
  <c r="R57" i="15" a="1"/>
  <c r="R57" i="15" s="1"/>
  <c r="R56" i="15" a="1"/>
  <c r="R56" i="15" s="1"/>
  <c r="R55" i="15" a="1"/>
  <c r="R55" i="15" s="1"/>
  <c r="R54" i="15" a="1"/>
  <c r="R54" i="15" s="1"/>
  <c r="R50" i="15" a="1"/>
  <c r="R50" i="15" s="1"/>
  <c r="R49" i="15" a="1"/>
  <c r="R49" i="15" s="1"/>
  <c r="R48" i="15" a="1"/>
  <c r="R48" i="15" s="1"/>
  <c r="R47" i="15" a="1"/>
  <c r="R47" i="15" s="1"/>
  <c r="R46" i="15" a="1"/>
  <c r="R46" i="15" s="1"/>
  <c r="U28" i="15" a="1"/>
  <c r="U28" i="15" s="1"/>
  <c r="U27" i="15" a="1"/>
  <c r="U27" i="15" s="1"/>
  <c r="U26" i="15" a="1"/>
  <c r="U26" i="15" s="1"/>
  <c r="U25" i="15" a="1"/>
  <c r="U25" i="15" s="1"/>
  <c r="U24" i="15" a="1"/>
  <c r="U24" i="15" s="1"/>
  <c r="J58" i="15" a="1"/>
  <c r="J58" i="15" s="1"/>
  <c r="J56" i="15" a="1"/>
  <c r="J56" i="15" s="1"/>
  <c r="J54" i="15" a="1"/>
  <c r="J54" i="15" s="1"/>
  <c r="J49" i="15" a="1"/>
  <c r="J49" i="15" s="1"/>
  <c r="J47" i="15" a="1"/>
  <c r="J47" i="15" s="1"/>
  <c r="Q28" i="15" a="1"/>
  <c r="Q28" i="15" s="1"/>
  <c r="Q26" i="15" a="1"/>
  <c r="Q26" i="15" s="1"/>
  <c r="H39" i="15" a="1"/>
  <c r="H39" i="15" s="1"/>
  <c r="Q57" i="15" a="1"/>
  <c r="Q57" i="15" s="1"/>
  <c r="Q56" i="15" a="1"/>
  <c r="Q56" i="15" s="1"/>
  <c r="Q54" i="15" a="1"/>
  <c r="Q54" i="15" s="1"/>
  <c r="Q49" i="15" a="1"/>
  <c r="Q49" i="15" s="1"/>
  <c r="Q47" i="15" a="1"/>
  <c r="Q47" i="15" s="1"/>
  <c r="T28" i="15" a="1"/>
  <c r="T28" i="15" s="1"/>
  <c r="T26" i="15" a="1"/>
  <c r="T26" i="15" s="1"/>
  <c r="T24" i="15" a="1"/>
  <c r="T24" i="15" s="1"/>
  <c r="I56" i="15" a="1"/>
  <c r="I56" i="15" s="1"/>
  <c r="I54" i="15" a="1"/>
  <c r="I54" i="15" s="1"/>
  <c r="I47" i="15" a="1"/>
  <c r="I47" i="15" s="1"/>
  <c r="P26" i="15" a="1"/>
  <c r="P26" i="15" s="1"/>
  <c r="H38" i="15" a="1"/>
  <c r="H38" i="15" s="1"/>
  <c r="K26" i="15" a="1"/>
  <c r="K26" i="15" s="1"/>
  <c r="P57" i="15" a="1"/>
  <c r="P57" i="15" s="1"/>
  <c r="P56" i="15" a="1"/>
  <c r="P56" i="15" s="1"/>
  <c r="P54" i="15" a="1"/>
  <c r="P54" i="15" s="1"/>
  <c r="P49" i="15" a="1"/>
  <c r="P49" i="15" s="1"/>
  <c r="P47" i="15" a="1"/>
  <c r="P47" i="15" s="1"/>
  <c r="S28" i="15" a="1"/>
  <c r="S28" i="15" s="1"/>
  <c r="S25" i="15" a="1"/>
  <c r="S25" i="15" s="1"/>
  <c r="H58" i="15" a="1"/>
  <c r="H58" i="15" s="1"/>
  <c r="H54" i="15" a="1"/>
  <c r="H54" i="15" s="1"/>
  <c r="H47" i="15" a="1"/>
  <c r="H47" i="15" s="1"/>
  <c r="Q25" i="15" a="1"/>
  <c r="Q25" i="15" s="1"/>
  <c r="BN160" i="1"/>
  <c r="BN158" i="1"/>
  <c r="BN159" i="1"/>
  <c r="BN157" i="1"/>
  <c r="BN162" i="1"/>
  <c r="BN161" i="1"/>
  <c r="BN148" i="1"/>
  <c r="BN156" i="1"/>
  <c r="BN149" i="1"/>
  <c r="BN150" i="1"/>
  <c r="BN151" i="1"/>
  <c r="BN152" i="1"/>
  <c r="BN147" i="1"/>
  <c r="BN153" i="1"/>
  <c r="BN154" i="1"/>
  <c r="BN155" i="1"/>
  <c r="G170" i="25" a="1"/>
  <c r="G170" i="25" s="1"/>
  <c r="H169" i="25" a="1"/>
  <c r="H169" i="25" s="1"/>
  <c r="H180" i="25" a="1"/>
  <c r="H180" i="25" s="1"/>
  <c r="G189" i="25" a="1"/>
  <c r="G189" i="25" s="1"/>
  <c r="H190" i="25" a="1"/>
  <c r="H190" i="25" s="1"/>
  <c r="G207" i="25" a="1"/>
  <c r="G207" i="25" s="1"/>
  <c r="I10" i="5" a="1"/>
  <c r="I10" i="5" s="1"/>
  <c r="G167" i="25" a="1"/>
  <c r="G167" i="25" s="1"/>
  <c r="H198" i="25" a="1"/>
  <c r="H198" i="25" s="1"/>
  <c r="I11" i="5" a="1"/>
  <c r="I11" i="5" s="1"/>
  <c r="G196" i="25" a="1"/>
  <c r="G196" i="25" s="1"/>
  <c r="H188" i="25" a="1"/>
  <c r="H188" i="25" s="1"/>
  <c r="H207" i="25" a="1"/>
  <c r="H207" i="25" s="1"/>
  <c r="G190" i="25" a="1"/>
  <c r="G190" i="25" s="1"/>
  <c r="I8" i="5" a="1"/>
  <c r="I8" i="5" s="1"/>
  <c r="G166" i="25" a="1"/>
  <c r="G166" i="25" s="1"/>
  <c r="G219" i="25" a="1"/>
  <c r="G219" i="25" s="1"/>
  <c r="H176" i="25" a="1"/>
  <c r="H176" i="25" s="1"/>
  <c r="H178" i="25" a="1"/>
  <c r="H178" i="25" s="1"/>
  <c r="H186" i="25" a="1"/>
  <c r="H186" i="25" s="1"/>
  <c r="H200" i="25" a="1"/>
  <c r="H200" i="25" s="1"/>
  <c r="G217" i="25" a="1"/>
  <c r="G217" i="25" s="1"/>
  <c r="G159" i="25" a="1"/>
  <c r="G159" i="25" s="1"/>
  <c r="H208" i="25" a="1"/>
  <c r="H208" i="25" s="1"/>
  <c r="G199" i="25" a="1"/>
  <c r="G199" i="25" s="1"/>
  <c r="G218" i="25" a="1"/>
  <c r="G218" i="25" s="1"/>
  <c r="H196" i="25" a="1"/>
  <c r="H196" i="25" s="1"/>
  <c r="H199" i="25" a="1"/>
  <c r="H199" i="25" s="1"/>
  <c r="H177" i="25" a="1"/>
  <c r="H177" i="25" s="1"/>
  <c r="H217" i="25" a="1"/>
  <c r="H217" i="25" s="1"/>
  <c r="H170" i="25" a="1"/>
  <c r="H170" i="25" s="1"/>
  <c r="G220" i="25" a="1"/>
  <c r="G220" i="25" s="1"/>
  <c r="G158" i="25" a="1"/>
  <c r="G158" i="25" s="1"/>
  <c r="G177" i="25" a="1"/>
  <c r="G177" i="25" s="1"/>
  <c r="H168" i="25" a="1"/>
  <c r="H168" i="25" s="1"/>
  <c r="H166" i="25" a="1"/>
  <c r="H166" i="25" s="1"/>
  <c r="G180" i="25" a="1"/>
  <c r="G180" i="25" s="1"/>
  <c r="G186" i="25" a="1"/>
  <c r="G186" i="25" s="1"/>
  <c r="H210" i="25" a="1"/>
  <c r="H210" i="25" s="1"/>
  <c r="I9" i="5" a="1"/>
  <c r="I9" i="5" s="1"/>
  <c r="G198" i="25" a="1"/>
  <c r="G198" i="25" s="1"/>
  <c r="G168" i="25" a="1"/>
  <c r="G168" i="25" s="1"/>
  <c r="G200" i="25" a="1"/>
  <c r="G200" i="25" s="1"/>
  <c r="H219" i="25" a="1"/>
  <c r="H219" i="25" s="1"/>
  <c r="G160" i="25" a="1"/>
  <c r="G160" i="25" s="1"/>
  <c r="G210" i="25" a="1"/>
  <c r="G210" i="25" s="1"/>
  <c r="G209" i="25" a="1"/>
  <c r="G209" i="25" s="1"/>
  <c r="H12" i="5"/>
  <c r="G206" i="25" a="1"/>
  <c r="G206" i="25" s="1"/>
  <c r="G187" i="25" a="1"/>
  <c r="G187" i="25" s="1"/>
  <c r="G169" i="25" a="1"/>
  <c r="G169" i="25" s="1"/>
  <c r="G216" i="25" a="1"/>
  <c r="G216" i="25" s="1"/>
  <c r="H11" i="5"/>
  <c r="H8" i="5"/>
  <c r="H160" i="25"/>
  <c r="G188" i="25" a="1"/>
  <c r="G188" i="25" s="1"/>
  <c r="G176" i="25" a="1"/>
  <c r="G176" i="25" s="1"/>
  <c r="H179" i="25" a="1"/>
  <c r="H179" i="25" s="1"/>
  <c r="H206" i="25" a="1"/>
  <c r="H206" i="25" s="1"/>
  <c r="H10" i="5"/>
  <c r="H187" i="25" a="1"/>
  <c r="H187" i="25" s="1"/>
  <c r="H209" i="25" a="1"/>
  <c r="H209" i="25" s="1"/>
  <c r="H9" i="5"/>
  <c r="H218" i="25" a="1"/>
  <c r="H218" i="25" s="1"/>
  <c r="G156" i="25" a="1"/>
  <c r="G156" i="25" s="1"/>
  <c r="I12" i="5" a="1"/>
  <c r="I12" i="5" s="1"/>
  <c r="H167" i="25" a="1"/>
  <c r="H167" i="25" s="1"/>
  <c r="H220" i="25" a="1"/>
  <c r="H220" i="25" s="1"/>
  <c r="G157" i="25" a="1"/>
  <c r="G157" i="25" s="1"/>
  <c r="G208" i="25" a="1"/>
  <c r="G208" i="25" s="1"/>
  <c r="H216" i="25" a="1"/>
  <c r="H216" i="25" s="1"/>
  <c r="H197" i="25" a="1"/>
  <c r="H197" i="25" s="1"/>
  <c r="H189" i="25" a="1"/>
  <c r="H189" i="25" s="1"/>
  <c r="G178" i="25" a="1"/>
  <c r="G178" i="25" s="1"/>
  <c r="G197" i="25" a="1"/>
  <c r="G197" i="25" s="1"/>
  <c r="G179" i="25" a="1"/>
  <c r="G179" i="25" s="1"/>
  <c r="H134" i="24" a="1"/>
  <c r="H134" i="24" s="1"/>
  <c r="H116" i="24" a="1"/>
  <c r="H116" i="24" s="1"/>
  <c r="G103" i="24" a="1"/>
  <c r="G103" i="24" s="1"/>
  <c r="G91" i="24" a="1"/>
  <c r="G91" i="24" s="1"/>
  <c r="G88" i="24" a="1"/>
  <c r="G88" i="24" s="1"/>
  <c r="H77" i="24" a="1"/>
  <c r="H77" i="24" s="1"/>
  <c r="G65" i="24" a="1"/>
  <c r="G65" i="24" s="1"/>
  <c r="G62" i="24" a="1"/>
  <c r="G62" i="24" s="1"/>
  <c r="H50" i="24" a="1"/>
  <c r="H50" i="24" s="1"/>
  <c r="H47" i="24" a="1"/>
  <c r="H47" i="24" s="1"/>
  <c r="G33" i="24" a="1"/>
  <c r="G33" i="24" s="1"/>
  <c r="G22" i="24" a="1"/>
  <c r="G22" i="24" s="1"/>
  <c r="H18" i="24" a="1"/>
  <c r="H18" i="24" s="1"/>
  <c r="H7" i="24" a="1"/>
  <c r="H7" i="24" s="1"/>
  <c r="G4" i="24" a="1"/>
  <c r="G4" i="24" s="1"/>
  <c r="G119" i="24" a="1"/>
  <c r="G119" i="24" s="1"/>
  <c r="H79" i="24" a="1"/>
  <c r="H79" i="24" s="1"/>
  <c r="G50" i="24" a="1"/>
  <c r="G50" i="24" s="1"/>
  <c r="G21" i="24" a="1"/>
  <c r="G21" i="24" s="1"/>
  <c r="H6" i="24" a="1"/>
  <c r="H6" i="24" s="1"/>
  <c r="G134" i="24" a="1"/>
  <c r="G134" i="24" s="1"/>
  <c r="H131" i="24" a="1"/>
  <c r="H131" i="24" s="1"/>
  <c r="H119" i="24" a="1"/>
  <c r="H119" i="24" s="1"/>
  <c r="G116" i="24" a="1"/>
  <c r="G116" i="24" s="1"/>
  <c r="H105" i="24" a="1"/>
  <c r="H105" i="24" s="1"/>
  <c r="H102" i="24" a="1"/>
  <c r="H102" i="24" s="1"/>
  <c r="H90" i="24" a="1"/>
  <c r="H90" i="24" s="1"/>
  <c r="G77" i="24" a="1"/>
  <c r="G77" i="24" s="1"/>
  <c r="H74" i="24" a="1"/>
  <c r="H74" i="24" s="1"/>
  <c r="H64" i="24" a="1"/>
  <c r="H64" i="24" s="1"/>
  <c r="H61" i="24" a="1"/>
  <c r="H61" i="24" s="1"/>
  <c r="G47" i="24" a="1"/>
  <c r="G47" i="24" s="1"/>
  <c r="G36" i="24" a="1"/>
  <c r="G36" i="24" s="1"/>
  <c r="H32" i="24" a="1"/>
  <c r="H32" i="24" s="1"/>
  <c r="H21" i="24" a="1"/>
  <c r="H21" i="24" s="1"/>
  <c r="G7" i="24" a="1"/>
  <c r="G7" i="24" s="1"/>
  <c r="G105" i="24" a="1"/>
  <c r="G105" i="24" s="1"/>
  <c r="H93" i="24" a="1"/>
  <c r="H93" i="24" s="1"/>
  <c r="G61" i="24" a="1"/>
  <c r="G61" i="24" s="1"/>
  <c r="H46" i="24" a="1"/>
  <c r="H46" i="24" s="1"/>
  <c r="H35" i="24" a="1"/>
  <c r="H35" i="24" s="1"/>
  <c r="G18" i="24" a="1"/>
  <c r="G18" i="24" s="1"/>
  <c r="H133" i="24" a="1"/>
  <c r="H133" i="24" s="1"/>
  <c r="G131" i="24" a="1"/>
  <c r="G131" i="24" s="1"/>
  <c r="H118" i="24" a="1"/>
  <c r="H118" i="24" s="1"/>
  <c r="G115" i="24" a="1"/>
  <c r="G115" i="24" s="1"/>
  <c r="H107" i="24" a="1"/>
  <c r="H107" i="24" s="1"/>
  <c r="H104" i="24" a="1"/>
  <c r="H104" i="24" s="1"/>
  <c r="G102" i="24" a="1"/>
  <c r="G102" i="24" s="1"/>
  <c r="G93" i="24" a="1"/>
  <c r="G93" i="24" s="1"/>
  <c r="G90" i="24" a="1"/>
  <c r="G90" i="24" s="1"/>
  <c r="G87" i="24" a="1"/>
  <c r="G87" i="24" s="1"/>
  <c r="G79" i="24" a="1"/>
  <c r="G79" i="24" s="1"/>
  <c r="H76" i="24" a="1"/>
  <c r="H76" i="24" s="1"/>
  <c r="G74" i="24" a="1"/>
  <c r="G74" i="24" s="1"/>
  <c r="G64" i="24" a="1"/>
  <c r="G64" i="24" s="1"/>
  <c r="H60" i="24" a="1"/>
  <c r="H60" i="24" s="1"/>
  <c r="H49" i="24" a="1"/>
  <c r="H49" i="24" s="1"/>
  <c r="G35" i="24" a="1"/>
  <c r="G35" i="24" s="1"/>
  <c r="G32" i="24" a="1"/>
  <c r="G32" i="24" s="1"/>
  <c r="H20" i="24" a="1"/>
  <c r="H20" i="24" s="1"/>
  <c r="H9" i="24" a="1"/>
  <c r="H9" i="24" s="1"/>
  <c r="H130" i="24" a="1"/>
  <c r="H130" i="24" s="1"/>
  <c r="H121" i="24" a="1"/>
  <c r="H121" i="24" s="1"/>
  <c r="H103" i="24" a="1"/>
  <c r="H103" i="24" s="1"/>
  <c r="H75" i="24" a="1"/>
  <c r="H75" i="24" s="1"/>
  <c r="H62" i="24" a="1"/>
  <c r="H62" i="24" s="1"/>
  <c r="G34" i="24" a="1"/>
  <c r="G34" i="24" s="1"/>
  <c r="H19" i="24" a="1"/>
  <c r="H19" i="24" s="1"/>
  <c r="G5" i="24" a="1"/>
  <c r="G5" i="24" s="1"/>
  <c r="G120" i="24" a="1"/>
  <c r="G120" i="24" s="1"/>
  <c r="H78" i="24" a="1"/>
  <c r="H78" i="24" s="1"/>
  <c r="H8" i="24" a="1"/>
  <c r="H8" i="24" s="1"/>
  <c r="G78" i="24" a="1"/>
  <c r="G78" i="24" s="1"/>
  <c r="G89" i="24" a="1"/>
  <c r="G89" i="24" s="1"/>
  <c r="G49" i="24" a="1"/>
  <c r="G49" i="24" s="1"/>
  <c r="G132" i="24" a="1"/>
  <c r="G132" i="24" s="1"/>
  <c r="G63" i="24" a="1"/>
  <c r="G63" i="24" s="1"/>
  <c r="H135" i="24" a="1"/>
  <c r="H135" i="24" s="1"/>
  <c r="G130" i="24" a="1"/>
  <c r="G130" i="24" s="1"/>
  <c r="G121" i="24" a="1"/>
  <c r="G121" i="24" s="1"/>
  <c r="G107" i="24" a="1"/>
  <c r="G107" i="24" s="1"/>
  <c r="H92" i="24" a="1"/>
  <c r="H92" i="24" s="1"/>
  <c r="G75" i="24" a="1"/>
  <c r="G75" i="24" s="1"/>
  <c r="G48" i="24" a="1"/>
  <c r="G48" i="24" s="1"/>
  <c r="H33" i="24" a="1"/>
  <c r="H33" i="24" s="1"/>
  <c r="G19" i="24" a="1"/>
  <c r="G19" i="24" s="1"/>
  <c r="H4" i="24" a="1"/>
  <c r="H4" i="24" s="1"/>
  <c r="G129" i="24" a="1"/>
  <c r="G129" i="24" s="1"/>
  <c r="G92" i="24" a="1"/>
  <c r="G92" i="24" s="1"/>
  <c r="G60" i="24" a="1"/>
  <c r="G60" i="24" s="1"/>
  <c r="G23" i="24" a="1"/>
  <c r="G23" i="24" s="1"/>
  <c r="H36" i="24" a="1"/>
  <c r="H36" i="24" s="1"/>
  <c r="H132" i="24" a="1"/>
  <c r="H132" i="24" s="1"/>
  <c r="G6" i="24" a="1"/>
  <c r="G6" i="24" s="1"/>
  <c r="G117" i="24" a="1"/>
  <c r="G117" i="24" s="1"/>
  <c r="G76" i="24" a="1"/>
  <c r="G76" i="24" s="1"/>
  <c r="H5" i="24" a="1"/>
  <c r="H5" i="24" s="1"/>
  <c r="H120" i="24" a="1"/>
  <c r="H120" i="24" s="1"/>
  <c r="H106" i="24" a="1"/>
  <c r="H106" i="24" s="1"/>
  <c r="G101" i="24" a="1"/>
  <c r="G101" i="24" s="1"/>
  <c r="G46" i="24" a="1"/>
  <c r="G46" i="24" s="1"/>
  <c r="H23" i="24" a="1"/>
  <c r="H23" i="24" s="1"/>
  <c r="G9" i="24" a="1"/>
  <c r="G9" i="24" s="1"/>
  <c r="G135" i="24" a="1"/>
  <c r="G135" i="24" s="1"/>
  <c r="H37" i="24" a="1"/>
  <c r="H37" i="24" s="1"/>
  <c r="H89" i="24" a="1"/>
  <c r="H89" i="24" s="1"/>
  <c r="G51" i="24" a="1"/>
  <c r="G51" i="24" s="1"/>
  <c r="G8" i="24" a="1"/>
  <c r="G8" i="24" s="1"/>
  <c r="H117" i="24" a="1"/>
  <c r="H117" i="24" s="1"/>
  <c r="H63" i="24" a="1"/>
  <c r="H63" i="24" s="1"/>
  <c r="H88" i="24" a="1"/>
  <c r="H88" i="24" s="1"/>
  <c r="H48" i="24" a="1"/>
  <c r="H48" i="24" s="1"/>
  <c r="G118" i="24" a="1"/>
  <c r="G118" i="24" s="1"/>
  <c r="G106" i="24" a="1"/>
  <c r="G106" i="24" s="1"/>
  <c r="H91" i="24" a="1"/>
  <c r="H91" i="24" s="1"/>
  <c r="G73" i="24" a="1"/>
  <c r="G73" i="24" s="1"/>
  <c r="H51" i="24" a="1"/>
  <c r="H51" i="24" s="1"/>
  <c r="G37" i="24" a="1"/>
  <c r="G37" i="24" s="1"/>
  <c r="H22" i="24" a="1"/>
  <c r="H22" i="24" s="1"/>
  <c r="G133" i="24" a="1"/>
  <c r="G133" i="24" s="1"/>
  <c r="H65" i="24" a="1"/>
  <c r="H65" i="24" s="1"/>
  <c r="G104" i="24" a="1"/>
  <c r="G104" i="24" s="1"/>
  <c r="H34" i="24" a="1"/>
  <c r="H34" i="24" s="1"/>
  <c r="G20" i="24" a="1"/>
  <c r="G20" i="24" s="1"/>
  <c r="V147" i="1"/>
  <c r="Q43" i="5" s="1"/>
  <c r="V148" i="1"/>
  <c r="Q44" i="5" s="1"/>
  <c r="V152" i="1"/>
  <c r="Q48" i="5" s="1"/>
  <c r="V151" i="1"/>
  <c r="Q47" i="5" s="1"/>
  <c r="V150" i="1"/>
  <c r="Q46" i="5" s="1"/>
  <c r="P45" i="5"/>
  <c r="V149" i="1"/>
  <c r="Q45" i="5" s="1"/>
  <c r="P50" i="5"/>
  <c r="V154" i="1"/>
  <c r="Q50" i="5" s="1"/>
  <c r="P49" i="5"/>
  <c r="V153" i="1"/>
  <c r="Q49" i="5" s="1"/>
  <c r="N8" i="27" a="1"/>
  <c r="N8" i="27" s="1"/>
  <c r="R16" i="27" a="1"/>
  <c r="R16" i="27" s="1"/>
  <c r="P17" i="27" a="1"/>
  <c r="P17" i="27" s="1"/>
  <c r="N16" i="27" a="1"/>
  <c r="N16" i="27" s="1"/>
  <c r="S7" i="27" a="1"/>
  <c r="S7" i="27" s="1"/>
  <c r="V4" i="27" a="1"/>
  <c r="V4" i="27" s="1"/>
  <c r="S16" i="27" a="1"/>
  <c r="S16" i="27" s="1"/>
  <c r="S4" i="27" a="1"/>
  <c r="S4" i="27" s="1"/>
  <c r="Q17" i="27" a="1"/>
  <c r="Q17" i="27" s="1"/>
  <c r="X9" i="26" s="1" a="1"/>
  <c r="X9" i="26" s="1"/>
  <c r="Q5" i="27" a="1"/>
  <c r="Q5" i="27" s="1"/>
  <c r="N5" i="27" a="1"/>
  <c r="N5" i="27" s="1"/>
  <c r="Q16" i="27" a="1"/>
  <c r="Q16" i="27" s="1"/>
  <c r="O6" i="27" a="1"/>
  <c r="O6" i="27" s="1"/>
  <c r="R18" i="27" a="1"/>
  <c r="R18" i="27" s="1"/>
  <c r="O8" i="27" a="1"/>
  <c r="O8" i="27" s="1"/>
  <c r="S18" i="27" a="1"/>
  <c r="S18" i="27" s="1"/>
  <c r="R15" i="27" a="1"/>
  <c r="R15" i="27" s="1"/>
  <c r="P16" i="27" a="1"/>
  <c r="P16" i="27" s="1"/>
  <c r="O18" i="27" a="1"/>
  <c r="O18" i="27" s="1"/>
  <c r="N15" i="27" a="1"/>
  <c r="N15" i="27" s="1"/>
  <c r="S6" i="27" a="1"/>
  <c r="S6" i="27" s="1"/>
  <c r="R7" i="27" a="1"/>
  <c r="R7" i="27" s="1"/>
  <c r="Q18" i="27" a="1"/>
  <c r="Q18" i="27" s="1"/>
  <c r="R8" i="27" a="1"/>
  <c r="R8" i="27" s="1"/>
  <c r="P6" i="27" a="1"/>
  <c r="P6" i="27" s="1"/>
  <c r="S14" i="27" a="1"/>
  <c r="S14" i="27" s="1"/>
  <c r="P5" i="27" a="1"/>
  <c r="P5" i="27" s="1"/>
  <c r="V8" i="27" a="1"/>
  <c r="V8" i="27" s="1"/>
  <c r="P4" i="27" a="1"/>
  <c r="P4" i="27" s="1"/>
  <c r="P8" i="27" a="1"/>
  <c r="P8" i="27" s="1"/>
  <c r="S17" i="27" a="1"/>
  <c r="S17" i="27" s="1"/>
  <c r="R14" i="27" a="1"/>
  <c r="R14" i="27" s="1"/>
  <c r="P15" i="27" a="1"/>
  <c r="P15" i="27" s="1"/>
  <c r="O17" i="27" a="1"/>
  <c r="O17" i="27" s="1"/>
  <c r="N14" i="27" a="1"/>
  <c r="N14" i="27" s="1"/>
  <c r="S5" i="27" a="1"/>
  <c r="S5" i="27" s="1"/>
  <c r="R6" i="27" a="1"/>
  <c r="R6" i="27" s="1"/>
  <c r="Q7" i="27" a="1"/>
  <c r="Q7" i="27" s="1"/>
  <c r="W9" i="26" s="1"/>
  <c r="AC9" i="26" s="1"/>
  <c r="N7" i="27" a="1"/>
  <c r="N7" i="27" s="1"/>
  <c r="O16" i="27" a="1"/>
  <c r="O16" i="27" s="1"/>
  <c r="Q6" i="27" a="1"/>
  <c r="Q6" i="27" s="1"/>
  <c r="N6" i="27" a="1"/>
  <c r="N6" i="27" s="1"/>
  <c r="S15" i="27" a="1"/>
  <c r="S15" i="27" s="1"/>
  <c r="R4" i="27" a="1"/>
  <c r="R4" i="27" s="1"/>
  <c r="O7" i="27" a="1"/>
  <c r="O7" i="27" s="1"/>
  <c r="O14" i="27" a="1"/>
  <c r="O14" i="27" s="1"/>
  <c r="Q4" i="27" a="1"/>
  <c r="Q4" i="27" s="1"/>
  <c r="N4" i="27" a="1"/>
  <c r="N4" i="27" s="1"/>
  <c r="N18" i="27" a="1"/>
  <c r="N18" i="27" s="1"/>
  <c r="V7" i="27" a="1"/>
  <c r="V7" i="27" s="1"/>
  <c r="R17" i="27" a="1"/>
  <c r="R17" i="27" s="1"/>
  <c r="Q14" i="27" a="1"/>
  <c r="Q14" i="27" s="1"/>
  <c r="P18" i="27" a="1"/>
  <c r="P18" i="27" s="1"/>
  <c r="N17" i="27" a="1"/>
  <c r="N17" i="27" s="1"/>
  <c r="O4" i="27" a="1"/>
  <c r="O4" i="27" s="1"/>
  <c r="V6" i="27" a="1"/>
  <c r="V6" i="27" s="1"/>
  <c r="V5" i="27" a="1"/>
  <c r="V5" i="27" s="1"/>
  <c r="Q8" i="27" a="1"/>
  <c r="Q8" i="27" s="1"/>
  <c r="P14" i="27" a="1"/>
  <c r="P14" i="27" s="1"/>
  <c r="R5" i="27" a="1"/>
  <c r="R5" i="27" s="1"/>
  <c r="P7" i="27" a="1"/>
  <c r="P7" i="27" s="1"/>
  <c r="W5" i="29" s="1" a="1"/>
  <c r="W5" i="29" s="1"/>
  <c r="O15" i="27" a="1"/>
  <c r="O15" i="27" s="1"/>
  <c r="S8" i="27" a="1"/>
  <c r="S8" i="27" s="1"/>
  <c r="Q15" i="27" a="1"/>
  <c r="Q15" i="27" s="1"/>
  <c r="O5" i="27" a="1"/>
  <c r="O5" i="27" s="1"/>
  <c r="G410" i="15" a="1"/>
  <c r="G410" i="15" s="1"/>
  <c r="G397" i="15" a="1"/>
  <c r="G397" i="15" s="1"/>
  <c r="G379" i="15" a="1"/>
  <c r="G379" i="15" s="1"/>
  <c r="G366" i="15" a="1"/>
  <c r="G366" i="15" s="1"/>
  <c r="G338" i="15" a="1"/>
  <c r="G338" i="15" s="1"/>
  <c r="G330" i="15" a="1"/>
  <c r="G330" i="15" s="1"/>
  <c r="G306" i="15" a="1"/>
  <c r="G306" i="15" s="1"/>
  <c r="G298" i="15" a="1"/>
  <c r="G298" i="15" s="1"/>
  <c r="G290" i="15" a="1"/>
  <c r="G290" i="15" s="1"/>
  <c r="G376" i="15" a="1"/>
  <c r="G376" i="15" s="1"/>
  <c r="G319" i="15" a="1"/>
  <c r="G319" i="15" s="1"/>
  <c r="G370" i="15" a="1"/>
  <c r="G370" i="15" s="1"/>
  <c r="G318" i="15" a="1"/>
  <c r="G318" i="15" s="1"/>
  <c r="G278" i="15" a="1"/>
  <c r="G278" i="15" s="1"/>
  <c r="G387" i="15" a="1"/>
  <c r="G387" i="15" s="1"/>
  <c r="G317" i="15" a="1"/>
  <c r="G317" i="15" s="1"/>
  <c r="G277" i="15" a="1"/>
  <c r="G277" i="15" s="1"/>
  <c r="G409" i="15" a="1"/>
  <c r="G409" i="15" s="1"/>
  <c r="G396" i="15" a="1"/>
  <c r="G396" i="15" s="1"/>
  <c r="G378" i="15" a="1"/>
  <c r="G378" i="15" s="1"/>
  <c r="G360" i="15" a="1"/>
  <c r="G360" i="15" s="1"/>
  <c r="G337" i="15" a="1"/>
  <c r="G337" i="15" s="1"/>
  <c r="G329" i="15" a="1"/>
  <c r="G329" i="15" s="1"/>
  <c r="G297" i="15" a="1"/>
  <c r="G297" i="15" s="1"/>
  <c r="G289" i="15" a="1"/>
  <c r="G289" i="15" s="1"/>
  <c r="G407" i="15" a="1"/>
  <c r="G407" i="15" s="1"/>
  <c r="G358" i="15" a="1"/>
  <c r="G358" i="15" s="1"/>
  <c r="G279" i="15" a="1"/>
  <c r="G279" i="15" s="1"/>
  <c r="G406" i="15" a="1"/>
  <c r="G406" i="15" s="1"/>
  <c r="G357" i="15" a="1"/>
  <c r="G357" i="15" s="1"/>
  <c r="G310" i="15" a="1"/>
  <c r="G310" i="15" s="1"/>
  <c r="G369" i="15" a="1"/>
  <c r="G369" i="15" s="1"/>
  <c r="G408" i="15" a="1"/>
  <c r="G408" i="15" s="1"/>
  <c r="G390" i="15" a="1"/>
  <c r="G390" i="15" s="1"/>
  <c r="G377" i="15" a="1"/>
  <c r="G377" i="15" s="1"/>
  <c r="G359" i="15" a="1"/>
  <c r="G359" i="15" s="1"/>
  <c r="G336" i="15" a="1"/>
  <c r="G336" i="15" s="1"/>
  <c r="G328" i="15" a="1"/>
  <c r="G328" i="15" s="1"/>
  <c r="G320" i="15" a="1"/>
  <c r="G320" i="15" s="1"/>
  <c r="G296" i="15" a="1"/>
  <c r="G296" i="15" s="1"/>
  <c r="G288" i="15" a="1"/>
  <c r="G288" i="15" s="1"/>
  <c r="G280" i="15" a="1"/>
  <c r="G280" i="15" s="1"/>
  <c r="G389" i="15" a="1"/>
  <c r="G389" i="15" s="1"/>
  <c r="G327" i="15" a="1"/>
  <c r="G327" i="15" s="1"/>
  <c r="G287" i="15" a="1"/>
  <c r="G287" i="15" s="1"/>
  <c r="G388" i="15" a="1"/>
  <c r="G388" i="15" s="1"/>
  <c r="G326" i="15" a="1"/>
  <c r="G326" i="15" s="1"/>
  <c r="G286" i="15" a="1"/>
  <c r="G286" i="15" s="1"/>
  <c r="G356" i="15" a="1"/>
  <c r="G356" i="15" s="1"/>
  <c r="G309" i="15" a="1"/>
  <c r="G309" i="15" s="1"/>
  <c r="G399" i="15" a="1"/>
  <c r="G399" i="15" s="1"/>
  <c r="G386" i="15" a="1"/>
  <c r="G386" i="15" s="1"/>
  <c r="G368" i="15" a="1"/>
  <c r="G368" i="15" s="1"/>
  <c r="G340" i="15" a="1"/>
  <c r="G340" i="15" s="1"/>
  <c r="G316" i="15" a="1"/>
  <c r="G316" i="15" s="1"/>
  <c r="G308" i="15" a="1"/>
  <c r="G308" i="15" s="1"/>
  <c r="G300" i="15" a="1"/>
  <c r="G300" i="15" s="1"/>
  <c r="G276" i="15" a="1"/>
  <c r="G276" i="15" s="1"/>
  <c r="G398" i="15" a="1"/>
  <c r="G398" i="15" s="1"/>
  <c r="G380" i="15" a="1"/>
  <c r="G380" i="15" s="1"/>
  <c r="G367" i="15" a="1"/>
  <c r="G367" i="15" s="1"/>
  <c r="G339" i="15" a="1"/>
  <c r="G339" i="15" s="1"/>
  <c r="G307" i="15" a="1"/>
  <c r="G307" i="15" s="1"/>
  <c r="G299" i="15" a="1"/>
  <c r="G299" i="15" s="1"/>
  <c r="G400" i="15" a="1"/>
  <c r="G400" i="15" s="1"/>
  <c r="Q89" i="15" a="1"/>
  <c r="Q89" i="15" s="1"/>
  <c r="I89" i="15" a="1"/>
  <c r="I89" i="15" s="1"/>
  <c r="M88" i="15" a="1"/>
  <c r="M88" i="15" s="1"/>
  <c r="Q87" i="15" a="1"/>
  <c r="Q87" i="15" s="1"/>
  <c r="I87" i="15" a="1"/>
  <c r="I87" i="15" s="1"/>
  <c r="M86" i="15" a="1"/>
  <c r="M86" i="15" s="1"/>
  <c r="Q85" i="15" a="1"/>
  <c r="Q85" i="15" s="1"/>
  <c r="I85" i="15" a="1"/>
  <c r="I85" i="15" s="1"/>
  <c r="M81" i="15" a="1"/>
  <c r="M81" i="15" s="1"/>
  <c r="Q80" i="15" a="1"/>
  <c r="Q80" i="15" s="1"/>
  <c r="I80" i="15" a="1"/>
  <c r="I80" i="15" s="1"/>
  <c r="M79" i="15" a="1"/>
  <c r="M79" i="15" s="1"/>
  <c r="Q78" i="15" a="1"/>
  <c r="Q78" i="15" s="1"/>
  <c r="I78" i="15" a="1"/>
  <c r="I78" i="15" s="1"/>
  <c r="M77" i="15" a="1"/>
  <c r="M77" i="15" s="1"/>
  <c r="H69" i="15" a="1"/>
  <c r="H69" i="15" s="1"/>
  <c r="G89" i="15" a="1"/>
  <c r="G89" i="15" s="1"/>
  <c r="O87" i="15" a="1"/>
  <c r="O87" i="15" s="1"/>
  <c r="G87" i="15" a="1"/>
  <c r="G87" i="15" s="1"/>
  <c r="O85" i="15" a="1"/>
  <c r="O85" i="15" s="1"/>
  <c r="K81" i="15" a="1"/>
  <c r="K81" i="15" s="1"/>
  <c r="K79" i="15" a="1"/>
  <c r="K79" i="15" s="1"/>
  <c r="G78" i="15" a="1"/>
  <c r="G78" i="15" s="1"/>
  <c r="R87" i="15" a="1"/>
  <c r="R87" i="15" s="1"/>
  <c r="J87" i="15" a="1"/>
  <c r="J87" i="15" s="1"/>
  <c r="N81" i="15" a="1"/>
  <c r="N81" i="15" s="1"/>
  <c r="J78" i="15" a="1"/>
  <c r="J78" i="15" s="1"/>
  <c r="P89" i="15" a="1"/>
  <c r="P89" i="15" s="1"/>
  <c r="H89" i="15" a="1"/>
  <c r="H89" i="15" s="1"/>
  <c r="L88" i="15" a="1"/>
  <c r="L88" i="15" s="1"/>
  <c r="P87" i="15" a="1"/>
  <c r="P87" i="15" s="1"/>
  <c r="H87" i="15" a="1"/>
  <c r="H87" i="15" s="1"/>
  <c r="L86" i="15" a="1"/>
  <c r="L86" i="15" s="1"/>
  <c r="P85" i="15" a="1"/>
  <c r="P85" i="15" s="1"/>
  <c r="H85" i="15" a="1"/>
  <c r="H85" i="15" s="1"/>
  <c r="L81" i="15" a="1"/>
  <c r="L81" i="15" s="1"/>
  <c r="P80" i="15" a="1"/>
  <c r="P80" i="15" s="1"/>
  <c r="H80" i="15" a="1"/>
  <c r="H80" i="15" s="1"/>
  <c r="L79" i="15" a="1"/>
  <c r="L79" i="15" s="1"/>
  <c r="P78" i="15" a="1"/>
  <c r="P78" i="15" s="1"/>
  <c r="H78" i="15" a="1"/>
  <c r="H78" i="15" s="1"/>
  <c r="L77" i="15" a="1"/>
  <c r="L77" i="15" s="1"/>
  <c r="O89" i="15" a="1"/>
  <c r="O89" i="15" s="1"/>
  <c r="K88" i="15" a="1"/>
  <c r="K88" i="15" s="1"/>
  <c r="K86" i="15" a="1"/>
  <c r="K86" i="15" s="1"/>
  <c r="G85" i="15" a="1"/>
  <c r="G85" i="15" s="1"/>
  <c r="O80" i="15" a="1"/>
  <c r="O80" i="15" s="1"/>
  <c r="G80" i="15" a="1"/>
  <c r="G80" i="15" s="1"/>
  <c r="O78" i="15" a="1"/>
  <c r="O78" i="15" s="1"/>
  <c r="K77" i="15" a="1"/>
  <c r="K77" i="15" s="1"/>
  <c r="N88" i="15" a="1"/>
  <c r="N88" i="15" s="1"/>
  <c r="N86" i="15" a="1"/>
  <c r="N86" i="15" s="1"/>
  <c r="R80" i="15" a="1"/>
  <c r="R80" i="15" s="1"/>
  <c r="R78" i="15" a="1"/>
  <c r="R78" i="15" s="1"/>
  <c r="H68" i="15" a="1"/>
  <c r="H68" i="15" s="1"/>
  <c r="N89" i="15" a="1"/>
  <c r="N89" i="15" s="1"/>
  <c r="R88" i="15" a="1"/>
  <c r="R88" i="15" s="1"/>
  <c r="J88" i="15" a="1"/>
  <c r="J88" i="15" s="1"/>
  <c r="N87" i="15" a="1"/>
  <c r="N87" i="15" s="1"/>
  <c r="R86" i="15" a="1"/>
  <c r="R86" i="15" s="1"/>
  <c r="J86" i="15" a="1"/>
  <c r="J86" i="15" s="1"/>
  <c r="N85" i="15" a="1"/>
  <c r="N85" i="15" s="1"/>
  <c r="R81" i="15" a="1"/>
  <c r="R81" i="15" s="1"/>
  <c r="J81" i="15" a="1"/>
  <c r="J81" i="15" s="1"/>
  <c r="N80" i="15" a="1"/>
  <c r="N80" i="15" s="1"/>
  <c r="R79" i="15" a="1"/>
  <c r="R79" i="15" s="1"/>
  <c r="J79" i="15" a="1"/>
  <c r="J79" i="15" s="1"/>
  <c r="N78" i="15" a="1"/>
  <c r="N78" i="15" s="1"/>
  <c r="R77" i="15" a="1"/>
  <c r="R77" i="15" s="1"/>
  <c r="J77" i="15" a="1"/>
  <c r="J77" i="15" s="1"/>
  <c r="M89" i="15" a="1"/>
  <c r="M89" i="15" s="1"/>
  <c r="Q88" i="15" a="1"/>
  <c r="Q88" i="15" s="1"/>
  <c r="I88" i="15" a="1"/>
  <c r="I88" i="15" s="1"/>
  <c r="M87" i="15" a="1"/>
  <c r="M87" i="15" s="1"/>
  <c r="Q86" i="15" a="1"/>
  <c r="Q86" i="15" s="1"/>
  <c r="I86" i="15" a="1"/>
  <c r="I86" i="15" s="1"/>
  <c r="M85" i="15" a="1"/>
  <c r="M85" i="15" s="1"/>
  <c r="Q81" i="15" a="1"/>
  <c r="Q81" i="15" s="1"/>
  <c r="I81" i="15" a="1"/>
  <c r="I81" i="15" s="1"/>
  <c r="M80" i="15" a="1"/>
  <c r="M80" i="15" s="1"/>
  <c r="Q79" i="15" a="1"/>
  <c r="Q79" i="15" s="1"/>
  <c r="I79" i="15" a="1"/>
  <c r="I79" i="15" s="1"/>
  <c r="M78" i="15" a="1"/>
  <c r="M78" i="15" s="1"/>
  <c r="Q77" i="15" a="1"/>
  <c r="Q77" i="15" s="1"/>
  <c r="I77" i="15" a="1"/>
  <c r="I77" i="15" s="1"/>
  <c r="H72" i="15" a="1"/>
  <c r="H72" i="15" s="1"/>
  <c r="R89" i="15" a="1"/>
  <c r="R89" i="15" s="1"/>
  <c r="J85" i="15" a="1"/>
  <c r="J85" i="15" s="1"/>
  <c r="J80" i="15" a="1"/>
  <c r="J80" i="15" s="1"/>
  <c r="N77" i="15" a="1"/>
  <c r="N77" i="15" s="1"/>
  <c r="L89" i="15" a="1"/>
  <c r="L89" i="15" s="1"/>
  <c r="P88" i="15" a="1"/>
  <c r="P88" i="15" s="1"/>
  <c r="H88" i="15" a="1"/>
  <c r="H88" i="15" s="1"/>
  <c r="L87" i="15" a="1"/>
  <c r="L87" i="15" s="1"/>
  <c r="P86" i="15" a="1"/>
  <c r="P86" i="15" s="1"/>
  <c r="H86" i="15" a="1"/>
  <c r="H86" i="15" s="1"/>
  <c r="L85" i="15" a="1"/>
  <c r="L85" i="15" s="1"/>
  <c r="P81" i="15" a="1"/>
  <c r="P81" i="15" s="1"/>
  <c r="H81" i="15" a="1"/>
  <c r="H81" i="15" s="1"/>
  <c r="L80" i="15" a="1"/>
  <c r="L80" i="15" s="1"/>
  <c r="P79" i="15" a="1"/>
  <c r="P79" i="15" s="1"/>
  <c r="H79" i="15" a="1"/>
  <c r="H79" i="15" s="1"/>
  <c r="L78" i="15" a="1"/>
  <c r="L78" i="15" s="1"/>
  <c r="P77" i="15" a="1"/>
  <c r="P77" i="15" s="1"/>
  <c r="H77" i="15" a="1"/>
  <c r="H77" i="15" s="1"/>
  <c r="H70" i="15" a="1"/>
  <c r="H70" i="15" s="1"/>
  <c r="K89" i="15" a="1"/>
  <c r="K89" i="15" s="1"/>
  <c r="O88" i="15" a="1"/>
  <c r="O88" i="15" s="1"/>
  <c r="G88" i="15" a="1"/>
  <c r="G88" i="15" s="1"/>
  <c r="K87" i="15" a="1"/>
  <c r="K87" i="15" s="1"/>
  <c r="O86" i="15" a="1"/>
  <c r="O86" i="15" s="1"/>
  <c r="G86" i="15" a="1"/>
  <c r="G86" i="15" s="1"/>
  <c r="K85" i="15" a="1"/>
  <c r="K85" i="15" s="1"/>
  <c r="O81" i="15" a="1"/>
  <c r="O81" i="15" s="1"/>
  <c r="G81" i="15" a="1"/>
  <c r="G81" i="15" s="1"/>
  <c r="K80" i="15" a="1"/>
  <c r="K80" i="15" s="1"/>
  <c r="O79" i="15" a="1"/>
  <c r="O79" i="15" s="1"/>
  <c r="G79" i="15" a="1"/>
  <c r="G79" i="15" s="1"/>
  <c r="K78" i="15" a="1"/>
  <c r="K78" i="15" s="1"/>
  <c r="O77" i="15" a="1"/>
  <c r="O77" i="15" s="1"/>
  <c r="G77" i="15" a="1"/>
  <c r="G77" i="15" s="1"/>
  <c r="H71" i="15" a="1"/>
  <c r="H71" i="15" s="1"/>
  <c r="J89" i="15" a="1"/>
  <c r="J89" i="15" s="1"/>
  <c r="R85" i="15" a="1"/>
  <c r="R85" i="15" s="1"/>
  <c r="N79" i="15" a="1"/>
  <c r="N79" i="15" s="1"/>
  <c r="F4" i="15"/>
  <c r="F3" i="15"/>
  <c r="P46" i="5"/>
  <c r="P47" i="5"/>
  <c r="P48" i="5"/>
  <c r="P44" i="5"/>
  <c r="P43" i="5"/>
  <c r="I36" i="5"/>
  <c r="X46" i="29" l="1" a="1"/>
  <c r="X46" i="29" s="1"/>
  <c r="AD46" i="29" s="1"/>
  <c r="X121" i="29" a="1"/>
  <c r="X121" i="29" s="1"/>
  <c r="AD121" i="29" s="1"/>
  <c r="X7" i="26" a="1"/>
  <c r="X7" i="26" s="1"/>
  <c r="AD7" i="26" s="1"/>
  <c r="X24" i="26" a="1"/>
  <c r="X24" i="26" s="1"/>
  <c r="AD24" i="26" s="1"/>
  <c r="X168" i="26" a="1"/>
  <c r="X168" i="26" s="1"/>
  <c r="AD168" i="26" s="1"/>
  <c r="X179" i="26" a="1"/>
  <c r="X179" i="26" s="1"/>
  <c r="AD179" i="26" s="1"/>
  <c r="X18" i="29" a="1"/>
  <c r="X18" i="29" s="1"/>
  <c r="AD18" i="29" s="1"/>
  <c r="X25" i="26" a="1"/>
  <c r="X25" i="26" s="1"/>
  <c r="AD25" i="26" s="1"/>
  <c r="X30" i="26" a="1"/>
  <c r="X30" i="26" s="1"/>
  <c r="AD30" i="26" s="1"/>
  <c r="X41" i="26" a="1"/>
  <c r="X41" i="26" s="1"/>
  <c r="AD41" i="26" s="1"/>
  <c r="X105" i="26" a="1"/>
  <c r="X105" i="26" s="1"/>
  <c r="AD105" i="26" s="1"/>
  <c r="X126" i="26" a="1"/>
  <c r="X126" i="26" s="1"/>
  <c r="AD126" i="26" s="1"/>
  <c r="X169" i="26" a="1"/>
  <c r="X169" i="26" s="1"/>
  <c r="AD169" i="26" s="1"/>
  <c r="X52" i="26" a="1"/>
  <c r="X52" i="26" s="1"/>
  <c r="AD52" i="26" s="1"/>
  <c r="X127" i="26" a="1"/>
  <c r="X127" i="26" s="1"/>
  <c r="AD127" i="26" s="1"/>
  <c r="X180" i="26" a="1"/>
  <c r="X180" i="26" s="1"/>
  <c r="AD180" i="26" s="1"/>
  <c r="X23" i="29" a="1"/>
  <c r="X23" i="29" s="1"/>
  <c r="AD23" i="29" s="1"/>
  <c r="X29" i="26" a="1"/>
  <c r="X29" i="26" s="1"/>
  <c r="AD29" i="26" s="1"/>
  <c r="X24" i="29" a="1"/>
  <c r="X24" i="29" s="1"/>
  <c r="AD24" i="29" s="1"/>
  <c r="X37" i="29" a="1"/>
  <c r="X37" i="29" s="1"/>
  <c r="AD37" i="29" s="1"/>
  <c r="X178" i="26" a="1"/>
  <c r="X178" i="26" s="1"/>
  <c r="AD178" i="26" s="1"/>
  <c r="X120" i="29" a="1"/>
  <c r="X120" i="29" s="1"/>
  <c r="AD120" i="29" s="1"/>
  <c r="X138" i="29" a="1"/>
  <c r="X138" i="29" s="1"/>
  <c r="AD138" i="29" s="1"/>
  <c r="X99" i="29" a="1"/>
  <c r="X99" i="29" s="1"/>
  <c r="AD99" i="29" s="1"/>
  <c r="X43" i="26" a="1"/>
  <c r="X43" i="26" s="1"/>
  <c r="AD43" i="26" s="1"/>
  <c r="X172" i="26" a="1"/>
  <c r="X172" i="26" s="1"/>
  <c r="AD172" i="26" s="1"/>
  <c r="X19" i="29" a="1"/>
  <c r="X19" i="29" s="1"/>
  <c r="AD19" i="29" s="1"/>
  <c r="X173" i="26" a="1"/>
  <c r="X173" i="26" s="1"/>
  <c r="AD173" i="26" s="1"/>
  <c r="X35" i="29" a="1"/>
  <c r="X35" i="29" s="1"/>
  <c r="AD35" i="29" s="1"/>
  <c r="X27" i="26" a="1"/>
  <c r="X27" i="26" s="1"/>
  <c r="AD27" i="26" s="1"/>
  <c r="X21" i="29" a="1"/>
  <c r="X21" i="29" s="1"/>
  <c r="AD21" i="29" s="1"/>
  <c r="X144" i="26" a="1"/>
  <c r="X144" i="26" s="1"/>
  <c r="AD144" i="26" s="1"/>
  <c r="X166" i="26" a="1"/>
  <c r="X166" i="26" s="1"/>
  <c r="AD166" i="26" s="1"/>
  <c r="X182" i="26" a="1"/>
  <c r="X182" i="26" s="1"/>
  <c r="AD182" i="26" s="1"/>
  <c r="X6" i="26" a="1"/>
  <c r="X6" i="26" s="1"/>
  <c r="AD6" i="26" s="1"/>
  <c r="X17" i="26" a="1"/>
  <c r="X17" i="26" s="1"/>
  <c r="AD17" i="26" s="1"/>
  <c r="X54" i="26" a="1"/>
  <c r="X54" i="26" s="1"/>
  <c r="AD54" i="26" s="1"/>
  <c r="X118" i="26" a="1"/>
  <c r="X118" i="26" s="1"/>
  <c r="AD118" i="26" s="1"/>
  <c r="X150" i="26" a="1"/>
  <c r="X150" i="26" s="1"/>
  <c r="AD150" i="26" s="1"/>
  <c r="X30" i="29" a="1"/>
  <c r="X30" i="29" s="1"/>
  <c r="AD30" i="29" s="1"/>
  <c r="X126" i="29" a="1"/>
  <c r="X126" i="29" s="1"/>
  <c r="AD126" i="29" s="1"/>
  <c r="X39" i="26" a="1"/>
  <c r="X39" i="26" s="1"/>
  <c r="AD39" i="26" s="1"/>
  <c r="X99" i="26" a="1"/>
  <c r="X99" i="26" s="1"/>
  <c r="AD99" i="26" s="1"/>
  <c r="X115" i="26" a="1"/>
  <c r="X115" i="26" s="1"/>
  <c r="AD115" i="26" s="1"/>
  <c r="X5" i="26" a="1"/>
  <c r="X5" i="26" s="1"/>
  <c r="X11" i="29" a="1"/>
  <c r="X11" i="29" s="1"/>
  <c r="AD11" i="29" s="1"/>
  <c r="X48" i="29" a="1"/>
  <c r="X48" i="29" s="1"/>
  <c r="AD48" i="29" s="1"/>
  <c r="X112" i="29" a="1"/>
  <c r="X112" i="29" s="1"/>
  <c r="AD112" i="29" s="1"/>
  <c r="X144" i="29" a="1"/>
  <c r="X144" i="29" s="1"/>
  <c r="AD144" i="29" s="1"/>
  <c r="X160" i="29" a="1"/>
  <c r="X160" i="29" s="1"/>
  <c r="AD160" i="29" s="1"/>
  <c r="X5" i="29" a="1"/>
  <c r="X5" i="29" s="1"/>
  <c r="X181" i="26" a="1"/>
  <c r="X181" i="26" s="1"/>
  <c r="AD181" i="26" s="1"/>
  <c r="X33" i="29" a="1"/>
  <c r="X33" i="29" s="1"/>
  <c r="AD33" i="29" s="1"/>
  <c r="X36" i="26" a="1"/>
  <c r="X36" i="26" s="1"/>
  <c r="AD36" i="26" s="1"/>
  <c r="X132" i="26" a="1"/>
  <c r="X132" i="26" s="1"/>
  <c r="AD132" i="26" s="1"/>
  <c r="X39" i="29" a="1"/>
  <c r="X39" i="29" s="1"/>
  <c r="AD39" i="29" s="1"/>
  <c r="X21" i="26" a="1"/>
  <c r="X21" i="26" s="1"/>
  <c r="AD21" i="26" s="1"/>
  <c r="X109" i="29" a="1"/>
  <c r="X109" i="29" s="1"/>
  <c r="AD109" i="29" s="1"/>
  <c r="X15" i="29" a="1"/>
  <c r="X15" i="29" s="1"/>
  <c r="AD15" i="29" s="1"/>
  <c r="X45" i="26" a="1"/>
  <c r="X45" i="26" s="1"/>
  <c r="AD45" i="26" s="1"/>
  <c r="X93" i="29" a="1"/>
  <c r="X93" i="29" s="1"/>
  <c r="AD93" i="29" s="1"/>
  <c r="X22" i="26" a="1"/>
  <c r="X22" i="26" s="1"/>
  <c r="AD22" i="26" s="1"/>
  <c r="X97" i="26" a="1"/>
  <c r="X97" i="26" s="1"/>
  <c r="AD97" i="26" s="1"/>
  <c r="X177" i="26" a="1"/>
  <c r="X177" i="26" s="1"/>
  <c r="AD177" i="26" s="1"/>
  <c r="X9" i="29" a="1"/>
  <c r="X9" i="29" s="1"/>
  <c r="AD9" i="29" s="1"/>
  <c r="X78" i="29" a="1"/>
  <c r="X78" i="29" s="1"/>
  <c r="AD78" i="29" s="1"/>
  <c r="X89" i="29" a="1"/>
  <c r="X89" i="29" s="1"/>
  <c r="AD89" i="29" s="1"/>
  <c r="X12" i="26" a="1"/>
  <c r="X12" i="26" s="1"/>
  <c r="AD12" i="26" s="1"/>
  <c r="X23" i="26" a="1"/>
  <c r="X23" i="26" s="1"/>
  <c r="AD23" i="26" s="1"/>
  <c r="X71" i="26" a="1"/>
  <c r="X71" i="26" s="1"/>
  <c r="AD71" i="26" s="1"/>
  <c r="X87" i="26" a="1"/>
  <c r="X87" i="26" s="1"/>
  <c r="AD87" i="26" s="1"/>
  <c r="X92" i="26" a="1"/>
  <c r="X92" i="26" s="1"/>
  <c r="AD92" i="26" s="1"/>
  <c r="X56" i="26" a="1"/>
  <c r="X56" i="26" s="1"/>
  <c r="AD56" i="26" s="1"/>
  <c r="X72" i="26" a="1"/>
  <c r="X72" i="26" s="1"/>
  <c r="AD72" i="26" s="1"/>
  <c r="X83" i="26" a="1"/>
  <c r="X83" i="26" s="1"/>
  <c r="AD83" i="26" s="1"/>
  <c r="X131" i="26" a="1"/>
  <c r="X131" i="26" s="1"/>
  <c r="AD131" i="26" s="1"/>
  <c r="X16" i="29" a="1"/>
  <c r="X16" i="29" s="1"/>
  <c r="AD16" i="29" s="1"/>
  <c r="X91" i="29" a="1"/>
  <c r="X91" i="29" s="1"/>
  <c r="AD91" i="29" s="1"/>
  <c r="X90" i="26" a="1"/>
  <c r="X90" i="26" s="1"/>
  <c r="AD90" i="26" s="1"/>
  <c r="X50" i="29" a="1"/>
  <c r="X50" i="29" s="1"/>
  <c r="AD50" i="29" s="1"/>
  <c r="X57" i="26" a="1"/>
  <c r="X57" i="26" s="1"/>
  <c r="AD57" i="26" s="1"/>
  <c r="X73" i="26" a="1"/>
  <c r="X73" i="26" s="1"/>
  <c r="AD73" i="26" s="1"/>
  <c r="X89" i="26" a="1"/>
  <c r="X89" i="26" s="1"/>
  <c r="AD89" i="26" s="1"/>
  <c r="X153" i="26" a="1"/>
  <c r="X153" i="26" s="1"/>
  <c r="AD153" i="26" s="1"/>
  <c r="X6" i="29" a="1"/>
  <c r="X6" i="29" s="1"/>
  <c r="AD6" i="29" s="1"/>
  <c r="X17" i="29" a="1"/>
  <c r="X17" i="29" s="1"/>
  <c r="AD17" i="29" s="1"/>
  <c r="X65" i="29" a="1"/>
  <c r="X65" i="29" s="1"/>
  <c r="AD65" i="29" s="1"/>
  <c r="X81" i="29" a="1"/>
  <c r="X81" i="29" s="1"/>
  <c r="AD81" i="29" s="1"/>
  <c r="X86" i="29" a="1"/>
  <c r="X86" i="29" s="1"/>
  <c r="AD86" i="29" s="1"/>
  <c r="X15" i="26" a="1"/>
  <c r="X15" i="26" s="1"/>
  <c r="AD15" i="26" s="1"/>
  <c r="X84" i="26" a="1"/>
  <c r="X84" i="26" s="1"/>
  <c r="AD84" i="26" s="1"/>
  <c r="X95" i="26" a="1"/>
  <c r="X95" i="26" s="1"/>
  <c r="AD95" i="26" s="1"/>
  <c r="X92" i="29" a="1"/>
  <c r="X92" i="29" s="1"/>
  <c r="AD92" i="29" s="1"/>
  <c r="X119" i="29" a="1"/>
  <c r="X119" i="29" s="1"/>
  <c r="AD119" i="29" s="1"/>
  <c r="X151" i="29" a="1"/>
  <c r="X151" i="29" s="1"/>
  <c r="AD151" i="29" s="1"/>
  <c r="X10" i="26" a="1"/>
  <c r="X10" i="26" s="1"/>
  <c r="AD10" i="26" s="1"/>
  <c r="X74" i="26" a="1"/>
  <c r="X74" i="26" s="1"/>
  <c r="AD74" i="26" s="1"/>
  <c r="X106" i="26" a="1"/>
  <c r="X106" i="26" s="1"/>
  <c r="AD106" i="26" s="1"/>
  <c r="X149" i="26" a="1"/>
  <c r="X149" i="26" s="1"/>
  <c r="AD149" i="26" s="1"/>
  <c r="X139" i="26" a="1"/>
  <c r="X139" i="26" s="1"/>
  <c r="AD139" i="26" s="1"/>
  <c r="X51" i="29" a="1"/>
  <c r="X51" i="29" s="1"/>
  <c r="AD51" i="29" s="1"/>
  <c r="X84" i="29" a="1"/>
  <c r="X84" i="29" s="1"/>
  <c r="AD84" i="29" s="1"/>
  <c r="X147" i="29" a="1"/>
  <c r="X147" i="29" s="1"/>
  <c r="AD147" i="29" s="1"/>
  <c r="X67" i="29" a="1"/>
  <c r="X67" i="29" s="1"/>
  <c r="AD67" i="29" s="1"/>
  <c r="X157" i="26" a="1"/>
  <c r="X157" i="26" s="1"/>
  <c r="AD157" i="26" s="1"/>
  <c r="X68" i="29" a="1"/>
  <c r="X68" i="29" s="1"/>
  <c r="AD68" i="29" s="1"/>
  <c r="X125" i="26" a="1"/>
  <c r="X125" i="26" s="1"/>
  <c r="AD125" i="26" s="1"/>
  <c r="X100" i="29" a="1"/>
  <c r="X100" i="29" s="1"/>
  <c r="AD100" i="29" s="1"/>
  <c r="X66" i="29" a="1"/>
  <c r="X66" i="29" s="1"/>
  <c r="AD66" i="29" s="1"/>
  <c r="X77" i="29" a="1"/>
  <c r="X77" i="29" s="1"/>
  <c r="AD77" i="29" s="1"/>
  <c r="X171" i="26" a="1"/>
  <c r="X171" i="26" s="1"/>
  <c r="AD171" i="26" s="1"/>
  <c r="X75" i="26" a="1"/>
  <c r="X75" i="26" s="1"/>
  <c r="AD75" i="26" s="1"/>
  <c r="X69" i="29" a="1"/>
  <c r="X69" i="29" s="1"/>
  <c r="AD69" i="29" s="1"/>
  <c r="X143" i="29" a="1"/>
  <c r="X143" i="29" s="1"/>
  <c r="AD143" i="29" s="1"/>
  <c r="X98" i="26" a="1"/>
  <c r="X98" i="26" s="1"/>
  <c r="AD98" i="26" s="1"/>
  <c r="X133" i="29" a="1"/>
  <c r="X133" i="29" s="1"/>
  <c r="AD133" i="29" s="1"/>
  <c r="X83" i="29" a="1"/>
  <c r="X83" i="29" s="1"/>
  <c r="AD83" i="29" s="1"/>
  <c r="X125" i="29" a="1"/>
  <c r="X125" i="29" s="1"/>
  <c r="AD125" i="29" s="1"/>
  <c r="X153" i="29" a="1"/>
  <c r="X153" i="29" s="1"/>
  <c r="AD153" i="29" s="1"/>
  <c r="X138" i="26" a="1"/>
  <c r="X138" i="26" s="1"/>
  <c r="AD138" i="26" s="1"/>
  <c r="X159" i="26" a="1"/>
  <c r="X159" i="26" s="1"/>
  <c r="AD159" i="26" s="1"/>
  <c r="X155" i="26" a="1"/>
  <c r="X155" i="26" s="1"/>
  <c r="AD155" i="26" s="1"/>
  <c r="X149" i="29" a="1"/>
  <c r="X149" i="29" s="1"/>
  <c r="AD149" i="29" s="1"/>
  <c r="X132" i="29" a="1"/>
  <c r="X132" i="29" s="1"/>
  <c r="AD132" i="29" s="1"/>
  <c r="X49" i="26" a="1"/>
  <c r="X49" i="26" s="1"/>
  <c r="AD49" i="26" s="1"/>
  <c r="X65" i="26" a="1"/>
  <c r="X65" i="26" s="1"/>
  <c r="AD65" i="26" s="1"/>
  <c r="X102" i="26" a="1"/>
  <c r="X102" i="26" s="1"/>
  <c r="AD102" i="26" s="1"/>
  <c r="X55" i="26" a="1"/>
  <c r="X55" i="26" s="1"/>
  <c r="AD55" i="26" s="1"/>
  <c r="X60" i="26" a="1"/>
  <c r="X60" i="26" s="1"/>
  <c r="AD60" i="26" s="1"/>
  <c r="X108" i="26" a="1"/>
  <c r="X108" i="26" s="1"/>
  <c r="AD108" i="26" s="1"/>
  <c r="X8" i="26" a="1"/>
  <c r="X8" i="26" s="1"/>
  <c r="AD8" i="26" s="1"/>
  <c r="X19" i="26" a="1"/>
  <c r="X19" i="26" s="1"/>
  <c r="AD19" i="26" s="1"/>
  <c r="X147" i="26" a="1"/>
  <c r="X147" i="26" s="1"/>
  <c r="AD147" i="26" s="1"/>
  <c r="X152" i="26" a="1"/>
  <c r="X152" i="26" s="1"/>
  <c r="AD152" i="26" s="1"/>
  <c r="X43" i="29" a="1"/>
  <c r="X43" i="29" s="1"/>
  <c r="AD43" i="29" s="1"/>
  <c r="X59" i="29" a="1"/>
  <c r="X59" i="29" s="1"/>
  <c r="AD59" i="29" s="1"/>
  <c r="X96" i="29" a="1"/>
  <c r="X96" i="29" s="1"/>
  <c r="AD96" i="29" s="1"/>
  <c r="X129" i="29" a="1"/>
  <c r="X129" i="29" s="1"/>
  <c r="AD129" i="29" s="1"/>
  <c r="X133" i="26" a="1"/>
  <c r="X133" i="26" s="1"/>
  <c r="AD133" i="26" s="1"/>
  <c r="X110" i="26" a="1"/>
  <c r="X110" i="26" s="1"/>
  <c r="AD110" i="26" s="1"/>
  <c r="X158" i="26" a="1"/>
  <c r="X158" i="26" s="1"/>
  <c r="AD158" i="26" s="1"/>
  <c r="X49" i="29" a="1"/>
  <c r="X49" i="29" s="1"/>
  <c r="AD49" i="29" s="1"/>
  <c r="X54" i="29" a="1"/>
  <c r="X54" i="29" s="1"/>
  <c r="AD54" i="29" s="1"/>
  <c r="X102" i="29" a="1"/>
  <c r="X102" i="29" s="1"/>
  <c r="AD102" i="29" s="1"/>
  <c r="X37" i="26" a="1"/>
  <c r="X37" i="26" s="1"/>
  <c r="AD37" i="26" s="1"/>
  <c r="X53" i="26" a="1"/>
  <c r="X53" i="26" s="1"/>
  <c r="AD53" i="26" s="1"/>
  <c r="X13" i="29" a="1"/>
  <c r="X13" i="29" s="1"/>
  <c r="AD13" i="29" s="1"/>
  <c r="X152" i="29" a="1"/>
  <c r="X152" i="29" s="1"/>
  <c r="AD152" i="29" s="1"/>
  <c r="X32" i="26" a="1"/>
  <c r="X32" i="26" s="1"/>
  <c r="AD32" i="26" s="1"/>
  <c r="X127" i="29" a="1"/>
  <c r="X127" i="29" s="1"/>
  <c r="AD127" i="29" s="1"/>
  <c r="X26" i="29" a="1"/>
  <c r="X26" i="29" s="1"/>
  <c r="AD26" i="29" s="1"/>
  <c r="X141" i="29" a="1"/>
  <c r="X141" i="29" s="1"/>
  <c r="AD141" i="29" s="1"/>
  <c r="X135" i="26" a="1"/>
  <c r="X135" i="26" s="1"/>
  <c r="AD135" i="26" s="1"/>
  <c r="X47" i="29" a="1"/>
  <c r="X47" i="29" s="1"/>
  <c r="AD47" i="29" s="1"/>
  <c r="X104" i="29" a="1"/>
  <c r="X104" i="29" s="1"/>
  <c r="AD104" i="29" s="1"/>
  <c r="X146" i="29" a="1"/>
  <c r="X146" i="29" s="1"/>
  <c r="AD146" i="29" s="1"/>
  <c r="X31" i="29" a="1"/>
  <c r="X31" i="29" s="1"/>
  <c r="AD31" i="29" s="1"/>
  <c r="X113" i="26" a="1"/>
  <c r="X113" i="26" s="1"/>
  <c r="AD113" i="26" s="1"/>
  <c r="X129" i="26" a="1"/>
  <c r="X129" i="26" s="1"/>
  <c r="AD129" i="26" s="1"/>
  <c r="X161" i="26" a="1"/>
  <c r="X161" i="26" s="1"/>
  <c r="AD161" i="26" s="1"/>
  <c r="X137" i="29" a="1"/>
  <c r="X137" i="29" s="1"/>
  <c r="AD137" i="29" s="1"/>
  <c r="X158" i="29" a="1"/>
  <c r="X158" i="29" s="1"/>
  <c r="AD158" i="29" s="1"/>
  <c r="X103" i="26" a="1"/>
  <c r="X103" i="26" s="1"/>
  <c r="AD103" i="26" s="1"/>
  <c r="X119" i="26" a="1"/>
  <c r="X119" i="26" s="1"/>
  <c r="AD119" i="26" s="1"/>
  <c r="X120" i="26" a="1"/>
  <c r="X120" i="26" s="1"/>
  <c r="AD120" i="26" s="1"/>
  <c r="X163" i="26" a="1"/>
  <c r="X163" i="26" s="1"/>
  <c r="AD163" i="26" s="1"/>
  <c r="X107" i="29" a="1"/>
  <c r="X107" i="29" s="1"/>
  <c r="AD107" i="29" s="1"/>
  <c r="X123" i="29" a="1"/>
  <c r="X123" i="29" s="1"/>
  <c r="AD123" i="29" s="1"/>
  <c r="X155" i="29" a="1"/>
  <c r="X155" i="29" s="1"/>
  <c r="AD155" i="29" s="1"/>
  <c r="X97" i="29" a="1"/>
  <c r="X97" i="29" s="1"/>
  <c r="AD97" i="29" s="1"/>
  <c r="X113" i="29" a="1"/>
  <c r="X113" i="29" s="1"/>
  <c r="AD113" i="29" s="1"/>
  <c r="X46" i="26" a="1"/>
  <c r="X46" i="26" s="1"/>
  <c r="AD46" i="26" s="1"/>
  <c r="X143" i="26" a="1"/>
  <c r="X143" i="26" s="1"/>
  <c r="AD143" i="26" s="1"/>
  <c r="X164" i="26" a="1"/>
  <c r="X164" i="26" s="1"/>
  <c r="AD164" i="26" s="1"/>
  <c r="X108" i="29" a="1"/>
  <c r="X108" i="29" s="1"/>
  <c r="AD108" i="29" s="1"/>
  <c r="X157" i="29" a="1"/>
  <c r="X157" i="29" s="1"/>
  <c r="AD157" i="29" s="1"/>
  <c r="X40" i="29" a="1"/>
  <c r="X40" i="29" s="1"/>
  <c r="AD40" i="29" s="1"/>
  <c r="X85" i="29" a="1"/>
  <c r="X85" i="29" s="1"/>
  <c r="AD85" i="29" s="1"/>
  <c r="X42" i="29" a="1"/>
  <c r="X42" i="29" s="1"/>
  <c r="AD42" i="29" s="1"/>
  <c r="X91" i="26" a="1"/>
  <c r="X91" i="26" s="1"/>
  <c r="AD91" i="26" s="1"/>
  <c r="X114" i="26" a="1"/>
  <c r="X114" i="26" s="1"/>
  <c r="AD114" i="26" s="1"/>
  <c r="X114" i="29" a="1"/>
  <c r="X114" i="29" s="1"/>
  <c r="AD114" i="29" s="1"/>
  <c r="X48" i="26" a="1"/>
  <c r="X48" i="26" s="1"/>
  <c r="AD48" i="26" s="1"/>
  <c r="X33" i="26" a="1"/>
  <c r="X33" i="26" s="1"/>
  <c r="AD33" i="26" s="1"/>
  <c r="X38" i="26" a="1"/>
  <c r="X38" i="26" s="1"/>
  <c r="AD38" i="26" s="1"/>
  <c r="X70" i="26" a="1"/>
  <c r="X70" i="26" s="1"/>
  <c r="AD70" i="26" s="1"/>
  <c r="X25" i="29" a="1"/>
  <c r="X25" i="29" s="1"/>
  <c r="AD25" i="29" s="1"/>
  <c r="X41" i="29" a="1"/>
  <c r="X41" i="29" s="1"/>
  <c r="AD41" i="29" s="1"/>
  <c r="X27" i="29" a="1"/>
  <c r="X27" i="29" s="1"/>
  <c r="AD27" i="29" s="1"/>
  <c r="X32" i="29" a="1"/>
  <c r="X32" i="29" s="1"/>
  <c r="AD32" i="29" s="1"/>
  <c r="X64" i="29" a="1"/>
  <c r="X64" i="29" s="1"/>
  <c r="AD64" i="29" s="1"/>
  <c r="X14" i="26" a="1"/>
  <c r="X14" i="26" s="1"/>
  <c r="AD14" i="26" s="1"/>
  <c r="X174" i="26" a="1"/>
  <c r="X174" i="26" s="1"/>
  <c r="AD174" i="26" s="1"/>
  <c r="X31" i="26" a="1"/>
  <c r="X31" i="26" s="1"/>
  <c r="AD31" i="26" s="1"/>
  <c r="X47" i="26" a="1"/>
  <c r="X47" i="26" s="1"/>
  <c r="AD47" i="26" s="1"/>
  <c r="X7" i="29" a="1"/>
  <c r="X7" i="29" s="1"/>
  <c r="AD7" i="29" s="1"/>
  <c r="X12" i="29" a="1"/>
  <c r="X12" i="29" s="1"/>
  <c r="AD12" i="29" s="1"/>
  <c r="X28" i="29" a="1"/>
  <c r="X28" i="29" s="1"/>
  <c r="AD28" i="29" s="1"/>
  <c r="X76" i="29" a="1"/>
  <c r="X76" i="29" s="1"/>
  <c r="AD76" i="29" s="1"/>
  <c r="X26" i="26" a="1"/>
  <c r="X26" i="26" s="1"/>
  <c r="AD26" i="26" s="1"/>
  <c r="X42" i="26" a="1"/>
  <c r="X42" i="26" s="1"/>
  <c r="AD42" i="26" s="1"/>
  <c r="X82" i="26" a="1"/>
  <c r="X82" i="26" s="1"/>
  <c r="AD82" i="26" s="1"/>
  <c r="X18" i="26" a="1"/>
  <c r="X18" i="26" s="1"/>
  <c r="AD18" i="26" s="1"/>
  <c r="X11" i="26" a="1"/>
  <c r="X11" i="26" s="1"/>
  <c r="AD11" i="26" s="1"/>
  <c r="X10" i="29" a="1"/>
  <c r="X10" i="29" s="1"/>
  <c r="AD10" i="29" s="1"/>
  <c r="X13" i="26" a="1"/>
  <c r="X13" i="26" s="1"/>
  <c r="AD13" i="26" s="1"/>
  <c r="X34" i="26" a="1"/>
  <c r="X34" i="26" s="1"/>
  <c r="AD34" i="26" s="1"/>
  <c r="X167" i="26" a="1"/>
  <c r="X167" i="26" s="1"/>
  <c r="AD167" i="26" s="1"/>
  <c r="X16" i="26" a="1"/>
  <c r="X16" i="26" s="1"/>
  <c r="AD16" i="26" s="1"/>
  <c r="X183" i="26" a="1"/>
  <c r="X183" i="26" s="1"/>
  <c r="AD183" i="26" s="1"/>
  <c r="X58" i="29" a="1"/>
  <c r="X58" i="29" s="1"/>
  <c r="AD58" i="29" s="1"/>
  <c r="X20" i="29" a="1"/>
  <c r="X20" i="29" s="1"/>
  <c r="AD20" i="29" s="1"/>
  <c r="X64" i="26" a="1"/>
  <c r="X64" i="26" s="1"/>
  <c r="AD64" i="26" s="1"/>
  <c r="X8" i="29" a="1"/>
  <c r="X8" i="29" s="1"/>
  <c r="AD8" i="29" s="1"/>
  <c r="X36" i="29" a="1"/>
  <c r="X36" i="29" s="1"/>
  <c r="AD36" i="29" s="1"/>
  <c r="X81" i="26" a="1"/>
  <c r="X81" i="26" s="1"/>
  <c r="AD81" i="26" s="1"/>
  <c r="X86" i="26" a="1"/>
  <c r="X86" i="26" s="1"/>
  <c r="AD86" i="26" s="1"/>
  <c r="X134" i="26" a="1"/>
  <c r="X134" i="26" s="1"/>
  <c r="AD134" i="26" s="1"/>
  <c r="X145" i="26" a="1"/>
  <c r="X145" i="26" s="1"/>
  <c r="AD145" i="26" s="1"/>
  <c r="X14" i="29" a="1"/>
  <c r="X14" i="29" s="1"/>
  <c r="AD14" i="29" s="1"/>
  <c r="X57" i="29" a="1"/>
  <c r="X57" i="29" s="1"/>
  <c r="AD57" i="29" s="1"/>
  <c r="X62" i="29" a="1"/>
  <c r="X62" i="29" s="1"/>
  <c r="AD62" i="29" s="1"/>
  <c r="X73" i="29" a="1"/>
  <c r="X73" i="29" s="1"/>
  <c r="AD73" i="29" s="1"/>
  <c r="X94" i="29" a="1"/>
  <c r="X94" i="29" s="1"/>
  <c r="AD94" i="29" s="1"/>
  <c r="X105" i="29" a="1"/>
  <c r="X105" i="29" s="1"/>
  <c r="AD105" i="29" s="1"/>
  <c r="X110" i="29" a="1"/>
  <c r="X110" i="29" s="1"/>
  <c r="AD110" i="29" s="1"/>
  <c r="X142" i="29" a="1"/>
  <c r="X142" i="29" s="1"/>
  <c r="AD142" i="29" s="1"/>
  <c r="X28" i="26" a="1"/>
  <c r="X28" i="26" s="1"/>
  <c r="AD28" i="26" s="1"/>
  <c r="X44" i="26" a="1"/>
  <c r="X44" i="26" s="1"/>
  <c r="AD44" i="26" s="1"/>
  <c r="X76" i="26" a="1"/>
  <c r="X76" i="26" s="1"/>
  <c r="AD76" i="26" s="1"/>
  <c r="X35" i="26" a="1"/>
  <c r="X35" i="26" s="1"/>
  <c r="AD35" i="26" s="1"/>
  <c r="X40" i="26" a="1"/>
  <c r="X40" i="26" s="1"/>
  <c r="AD40" i="26" s="1"/>
  <c r="X88" i="26" a="1"/>
  <c r="X88" i="26" s="1"/>
  <c r="AD88" i="26" s="1"/>
  <c r="X104" i="26" a="1"/>
  <c r="X104" i="26" s="1"/>
  <c r="AD104" i="26" s="1"/>
  <c r="X136" i="26" a="1"/>
  <c r="X136" i="26" s="1"/>
  <c r="AD136" i="26" s="1"/>
  <c r="X75" i="29" a="1"/>
  <c r="X75" i="29" s="1"/>
  <c r="AD75" i="29" s="1"/>
  <c r="X80" i="29" a="1"/>
  <c r="X80" i="29" s="1"/>
  <c r="AD80" i="29" s="1"/>
  <c r="X128" i="29" a="1"/>
  <c r="X128" i="29" s="1"/>
  <c r="AD128" i="29" s="1"/>
  <c r="X139" i="29" a="1"/>
  <c r="X139" i="29" s="1"/>
  <c r="AD139" i="29" s="1"/>
  <c r="X145" i="29" a="1"/>
  <c r="X145" i="29" s="1"/>
  <c r="AD145" i="29" s="1"/>
  <c r="X154" i="26" a="1"/>
  <c r="X154" i="26" s="1"/>
  <c r="AD154" i="26" s="1"/>
  <c r="X62" i="26" a="1"/>
  <c r="X62" i="26" s="1"/>
  <c r="AD62" i="26" s="1"/>
  <c r="X78" i="26" a="1"/>
  <c r="X78" i="26" s="1"/>
  <c r="AD78" i="26" s="1"/>
  <c r="X94" i="26" a="1"/>
  <c r="X94" i="26" s="1"/>
  <c r="AD94" i="26" s="1"/>
  <c r="X121" i="26" a="1"/>
  <c r="X121" i="26" s="1"/>
  <c r="AD121" i="26" s="1"/>
  <c r="X137" i="26" a="1"/>
  <c r="X137" i="26" s="1"/>
  <c r="AD137" i="26" s="1"/>
  <c r="X22" i="29" a="1"/>
  <c r="X22" i="29" s="1"/>
  <c r="AD22" i="29" s="1"/>
  <c r="X38" i="29" a="1"/>
  <c r="X38" i="29" s="1"/>
  <c r="AD38" i="29" s="1"/>
  <c r="X70" i="29" a="1"/>
  <c r="X70" i="29" s="1"/>
  <c r="AD70" i="29" s="1"/>
  <c r="X118" i="29" a="1"/>
  <c r="X118" i="29" s="1"/>
  <c r="AD118" i="29" s="1"/>
  <c r="X134" i="29" a="1"/>
  <c r="X134" i="29" s="1"/>
  <c r="AD134" i="29" s="1"/>
  <c r="X150" i="29" a="1"/>
  <c r="X150" i="29" s="1"/>
  <c r="AD150" i="29" s="1"/>
  <c r="X101" i="26" a="1"/>
  <c r="X101" i="26" s="1"/>
  <c r="AD101" i="26" s="1"/>
  <c r="X117" i="26" a="1"/>
  <c r="X117" i="26" s="1"/>
  <c r="AD117" i="26" s="1"/>
  <c r="X34" i="29" a="1"/>
  <c r="X34" i="29" s="1"/>
  <c r="AD34" i="29" s="1"/>
  <c r="X20" i="26" a="1"/>
  <c r="X20" i="26" s="1"/>
  <c r="AD20" i="26" s="1"/>
  <c r="X63" i="26" a="1"/>
  <c r="X63" i="26" s="1"/>
  <c r="AD63" i="26" s="1"/>
  <c r="X68" i="26" a="1"/>
  <c r="X68" i="26" s="1"/>
  <c r="AD68" i="26" s="1"/>
  <c r="X79" i="26" a="1"/>
  <c r="X79" i="26" s="1"/>
  <c r="AD79" i="26" s="1"/>
  <c r="X100" i="26" a="1"/>
  <c r="X100" i="26" s="1"/>
  <c r="AD100" i="26" s="1"/>
  <c r="X111" i="26" a="1"/>
  <c r="X111" i="26" s="1"/>
  <c r="AD111" i="26" s="1"/>
  <c r="X116" i="26" a="1"/>
  <c r="X116" i="26" s="1"/>
  <c r="AD116" i="26" s="1"/>
  <c r="X148" i="26" a="1"/>
  <c r="X148" i="26" s="1"/>
  <c r="AD148" i="26" s="1"/>
  <c r="X44" i="29" a="1"/>
  <c r="X44" i="29" s="1"/>
  <c r="AD44" i="29" s="1"/>
  <c r="X55" i="29" a="1"/>
  <c r="X55" i="29" s="1"/>
  <c r="AD55" i="29" s="1"/>
  <c r="X60" i="29" a="1"/>
  <c r="X60" i="29" s="1"/>
  <c r="AD60" i="29" s="1"/>
  <c r="X71" i="29" a="1"/>
  <c r="X71" i="29" s="1"/>
  <c r="AD71" i="29" s="1"/>
  <c r="X87" i="29" a="1"/>
  <c r="X87" i="29" s="1"/>
  <c r="AD87" i="29" s="1"/>
  <c r="X103" i="29" a="1"/>
  <c r="X103" i="29" s="1"/>
  <c r="AD103" i="29" s="1"/>
  <c r="X135" i="29" a="1"/>
  <c r="X135" i="29" s="1"/>
  <c r="AD135" i="29" s="1"/>
  <c r="X140" i="29" a="1"/>
  <c r="X140" i="29" s="1"/>
  <c r="AD140" i="29" s="1"/>
  <c r="X58" i="26" a="1"/>
  <c r="X58" i="26" s="1"/>
  <c r="AD58" i="26" s="1"/>
  <c r="X69" i="26" a="1"/>
  <c r="X69" i="26" s="1"/>
  <c r="AD69" i="26" s="1"/>
  <c r="X85" i="26" a="1"/>
  <c r="X85" i="26" s="1"/>
  <c r="AD85" i="26" s="1"/>
  <c r="X122" i="26" a="1"/>
  <c r="X122" i="26" s="1"/>
  <c r="AD122" i="26" s="1"/>
  <c r="X170" i="26" a="1"/>
  <c r="X170" i="26" s="1"/>
  <c r="AD170" i="26" s="1"/>
  <c r="X29" i="29" a="1"/>
  <c r="X29" i="29" s="1"/>
  <c r="AD29" i="29" s="1"/>
  <c r="X50" i="26" a="1"/>
  <c r="X50" i="26" s="1"/>
  <c r="AD50" i="26" s="1"/>
  <c r="X66" i="26" a="1"/>
  <c r="X66" i="26" s="1"/>
  <c r="AD66" i="26" s="1"/>
  <c r="X124" i="26" a="1"/>
  <c r="X124" i="26" s="1"/>
  <c r="AD124" i="26" s="1"/>
  <c r="X151" i="26" a="1"/>
  <c r="X151" i="26" s="1"/>
  <c r="AD151" i="26" s="1"/>
  <c r="X63" i="29" a="1"/>
  <c r="X63" i="29" s="1"/>
  <c r="AD63" i="29" s="1"/>
  <c r="X95" i="29" a="1"/>
  <c r="X95" i="29" s="1"/>
  <c r="AD95" i="29" s="1"/>
  <c r="X116" i="29" a="1"/>
  <c r="X116" i="29" s="1"/>
  <c r="AD116" i="29" s="1"/>
  <c r="X107" i="26" a="1"/>
  <c r="X107" i="26" s="1"/>
  <c r="AD107" i="26" s="1"/>
  <c r="X140" i="26" a="1"/>
  <c r="X140" i="26" s="1"/>
  <c r="AD140" i="26" s="1"/>
  <c r="X52" i="29" a="1"/>
  <c r="X52" i="29" s="1"/>
  <c r="AD52" i="29" s="1"/>
  <c r="X74" i="29" a="1"/>
  <c r="X74" i="29" s="1"/>
  <c r="AD74" i="29" s="1"/>
  <c r="X106" i="29" a="1"/>
  <c r="X106" i="29" s="1"/>
  <c r="AD106" i="29" s="1"/>
  <c r="X117" i="29" a="1"/>
  <c r="X117" i="29" s="1"/>
  <c r="AD117" i="29" s="1"/>
  <c r="X148" i="29" a="1"/>
  <c r="X148" i="29" s="1"/>
  <c r="AD148" i="29" s="1"/>
  <c r="X88" i="29" a="1"/>
  <c r="X88" i="29" s="1"/>
  <c r="AD88" i="29" s="1"/>
  <c r="X130" i="29" a="1"/>
  <c r="X130" i="29" s="1"/>
  <c r="AD130" i="29" s="1"/>
  <c r="X109" i="26" a="1"/>
  <c r="X109" i="26" s="1"/>
  <c r="AD109" i="26" s="1"/>
  <c r="X128" i="26" a="1"/>
  <c r="X128" i="26" s="1"/>
  <c r="AD128" i="26" s="1"/>
  <c r="X141" i="26" a="1"/>
  <c r="X141" i="26" s="1"/>
  <c r="AD141" i="26" s="1"/>
  <c r="X53" i="29" a="1"/>
  <c r="X53" i="29" s="1"/>
  <c r="AD53" i="29" s="1"/>
  <c r="X98" i="29" a="1"/>
  <c r="X98" i="29" s="1"/>
  <c r="AD98" i="29" s="1"/>
  <c r="X112" i="26" a="1"/>
  <c r="X112" i="26" s="1"/>
  <c r="AD112" i="26" s="1"/>
  <c r="X156" i="26" a="1"/>
  <c r="X156" i="26" s="1"/>
  <c r="AD156" i="26" s="1"/>
  <c r="X56" i="29" a="1"/>
  <c r="X56" i="29" s="1"/>
  <c r="AD56" i="29" s="1"/>
  <c r="X79" i="29" a="1"/>
  <c r="X79" i="29" s="1"/>
  <c r="AD79" i="29" s="1"/>
  <c r="X131" i="29" a="1"/>
  <c r="X131" i="29" s="1"/>
  <c r="AD131" i="29" s="1"/>
  <c r="X59" i="26" a="1"/>
  <c r="X59" i="26" s="1"/>
  <c r="AD59" i="26" s="1"/>
  <c r="X96" i="26" a="1"/>
  <c r="X96" i="26" s="1"/>
  <c r="AD96" i="26" s="1"/>
  <c r="X160" i="26" a="1"/>
  <c r="X160" i="26" s="1"/>
  <c r="AD160" i="26" s="1"/>
  <c r="X90" i="29" a="1"/>
  <c r="X90" i="29" s="1"/>
  <c r="AD90" i="29" s="1"/>
  <c r="X101" i="29" a="1"/>
  <c r="X101" i="29" s="1"/>
  <c r="AD101" i="29" s="1"/>
  <c r="X122" i="29" a="1"/>
  <c r="X122" i="29" s="1"/>
  <c r="AD122" i="29" s="1"/>
  <c r="X61" i="26" a="1"/>
  <c r="X61" i="26" s="1"/>
  <c r="AD61" i="26" s="1"/>
  <c r="X77" i="26" a="1"/>
  <c r="X77" i="26" s="1"/>
  <c r="AD77" i="26" s="1"/>
  <c r="X146" i="26" a="1"/>
  <c r="X146" i="26" s="1"/>
  <c r="AD146" i="26" s="1"/>
  <c r="X82" i="29" a="1"/>
  <c r="X82" i="29" s="1"/>
  <c r="AD82" i="29" s="1"/>
  <c r="X154" i="29" a="1"/>
  <c r="X154" i="29" s="1"/>
  <c r="AD154" i="29" s="1"/>
  <c r="X80" i="26" a="1"/>
  <c r="X80" i="26" s="1"/>
  <c r="AD80" i="26" s="1"/>
  <c r="X123" i="26" a="1"/>
  <c r="X123" i="26" s="1"/>
  <c r="AD123" i="26" s="1"/>
  <c r="X72" i="29" a="1"/>
  <c r="X72" i="29" s="1"/>
  <c r="AD72" i="29" s="1"/>
  <c r="X115" i="29" a="1"/>
  <c r="X115" i="29" s="1"/>
  <c r="AD115" i="29" s="1"/>
  <c r="X93" i="26" a="1"/>
  <c r="X93" i="26" s="1"/>
  <c r="AD93" i="26" s="1"/>
  <c r="X111" i="29" a="1"/>
  <c r="X111" i="29" s="1"/>
  <c r="AD111" i="29" s="1"/>
  <c r="K8" i="24"/>
  <c r="K36" i="24"/>
  <c r="L36" i="24" s="1"/>
  <c r="M36" i="24" s="1"/>
  <c r="K64" i="24"/>
  <c r="L64" i="24" s="1"/>
  <c r="M64" i="24" s="1"/>
  <c r="K92" i="24"/>
  <c r="L92" i="24" s="1"/>
  <c r="M92" i="24" s="1"/>
  <c r="K120" i="24"/>
  <c r="L120" i="24" s="1"/>
  <c r="M120" i="24" s="1"/>
  <c r="K49" i="24"/>
  <c r="L49" i="24" s="1"/>
  <c r="M49" i="24" s="1"/>
  <c r="K105" i="24"/>
  <c r="L105" i="24" s="1"/>
  <c r="M105" i="24" s="1"/>
  <c r="K9" i="24"/>
  <c r="K37" i="24"/>
  <c r="L37" i="24" s="1"/>
  <c r="M37" i="24" s="1"/>
  <c r="K65" i="24"/>
  <c r="L65" i="24" s="1"/>
  <c r="M65" i="24" s="1"/>
  <c r="K93" i="24"/>
  <c r="L93" i="24" s="1"/>
  <c r="M93" i="24" s="1"/>
  <c r="K121" i="24"/>
  <c r="L121" i="24" s="1"/>
  <c r="M121" i="24" s="1"/>
  <c r="K21" i="24"/>
  <c r="L21" i="24" s="1"/>
  <c r="M21" i="24" s="1"/>
  <c r="K77" i="24"/>
  <c r="K133" i="24"/>
  <c r="L133" i="24" s="1"/>
  <c r="M133" i="24" s="1"/>
  <c r="K22" i="24"/>
  <c r="L22" i="24" s="1"/>
  <c r="M22" i="24" s="1"/>
  <c r="K50" i="24"/>
  <c r="L50" i="24" s="1"/>
  <c r="M50" i="24" s="1"/>
  <c r="K78" i="24"/>
  <c r="K106" i="24"/>
  <c r="L106" i="24" s="1"/>
  <c r="M106" i="24" s="1"/>
  <c r="K134" i="24"/>
  <c r="L134" i="24" s="1"/>
  <c r="M134" i="24" s="1"/>
  <c r="K20" i="24"/>
  <c r="L20" i="24" s="1"/>
  <c r="M20" i="24" s="1"/>
  <c r="K48" i="24"/>
  <c r="L48" i="24" s="1"/>
  <c r="M48" i="24" s="1"/>
  <c r="K76" i="24"/>
  <c r="K104" i="24"/>
  <c r="L104" i="24" s="1"/>
  <c r="M104" i="24" s="1"/>
  <c r="K132" i="24"/>
  <c r="L132" i="24" s="1"/>
  <c r="M132" i="24" s="1"/>
  <c r="K23" i="24"/>
  <c r="L23" i="24" s="1"/>
  <c r="M23" i="24" s="1"/>
  <c r="K51" i="24"/>
  <c r="L51" i="24" s="1"/>
  <c r="M51" i="24" s="1"/>
  <c r="K79" i="24"/>
  <c r="K107" i="24"/>
  <c r="L107" i="24" s="1"/>
  <c r="M107" i="24" s="1"/>
  <c r="K135" i="24"/>
  <c r="L135" i="24" s="1"/>
  <c r="M135" i="24" s="1"/>
  <c r="K6" i="24"/>
  <c r="K34" i="24"/>
  <c r="L34" i="24" s="1"/>
  <c r="M34" i="24" s="1"/>
  <c r="K62" i="24"/>
  <c r="L62" i="24" s="1"/>
  <c r="M62" i="24" s="1"/>
  <c r="K90" i="24"/>
  <c r="L90" i="24" s="1"/>
  <c r="M90" i="24" s="1"/>
  <c r="K118" i="24"/>
  <c r="L118" i="24" s="1"/>
  <c r="M118" i="24" s="1"/>
  <c r="K7" i="24"/>
  <c r="K35" i="24"/>
  <c r="L35" i="24" s="1"/>
  <c r="M35" i="24" s="1"/>
  <c r="K63" i="24"/>
  <c r="L63" i="24" s="1"/>
  <c r="M63" i="24" s="1"/>
  <c r="K91" i="24"/>
  <c r="L91" i="24" s="1"/>
  <c r="M91" i="24" s="1"/>
  <c r="K119" i="24"/>
  <c r="L119" i="24" s="1"/>
  <c r="M119" i="24" s="1"/>
  <c r="AD9" i="26"/>
  <c r="AD136" i="29"/>
  <c r="AD61" i="29"/>
  <c r="AD124" i="29"/>
  <c r="AD156" i="29"/>
  <c r="AD159" i="29"/>
  <c r="AD45" i="29"/>
  <c r="AD67" i="26"/>
  <c r="AD51" i="26"/>
  <c r="AD130" i="26"/>
  <c r="AD162" i="26"/>
  <c r="AD176" i="26"/>
  <c r="AD142" i="26"/>
  <c r="AD165" i="26"/>
  <c r="AD175" i="26"/>
  <c r="W31" i="29"/>
  <c r="AC31" i="29" s="1"/>
  <c r="W152" i="29"/>
  <c r="AC152" i="29" s="1"/>
  <c r="W133" i="26"/>
  <c r="AC133" i="26" s="1"/>
  <c r="W102" i="26"/>
  <c r="AC102" i="26" s="1"/>
  <c r="W147" i="26"/>
  <c r="AC147" i="26" s="1"/>
  <c r="W60" i="26"/>
  <c r="AC60" i="26" s="1"/>
  <c r="W49" i="26"/>
  <c r="AC49" i="26" s="1"/>
  <c r="W19" i="26"/>
  <c r="AC19" i="26" s="1"/>
  <c r="W54" i="29"/>
  <c r="AC54" i="29" s="1"/>
  <c r="W102" i="29"/>
  <c r="AC102" i="29" s="1"/>
  <c r="W53" i="26"/>
  <c r="AC53" i="26" s="1"/>
  <c r="W43" i="29"/>
  <c r="AC43" i="29" s="1"/>
  <c r="W108" i="26"/>
  <c r="AC108" i="26" s="1"/>
  <c r="W127" i="29"/>
  <c r="AC127" i="29" s="1"/>
  <c r="W49" i="29"/>
  <c r="AC49" i="29" s="1"/>
  <c r="W158" i="26"/>
  <c r="AC158" i="26" s="1"/>
  <c r="W8" i="26"/>
  <c r="AC8" i="26" s="1"/>
  <c r="W96" i="29"/>
  <c r="AC96" i="29" s="1"/>
  <c r="W146" i="29"/>
  <c r="AC146" i="29" s="1"/>
  <c r="W129" i="29"/>
  <c r="AC129" i="29" s="1"/>
  <c r="W110" i="26"/>
  <c r="AC110" i="26" s="1"/>
  <c r="W65" i="26"/>
  <c r="AC65" i="26" s="1"/>
  <c r="W26" i="29"/>
  <c r="AC26" i="29" s="1"/>
  <c r="W59" i="29"/>
  <c r="AC59" i="29" s="1"/>
  <c r="W135" i="26"/>
  <c r="AC135" i="26" s="1"/>
  <c r="W13" i="29"/>
  <c r="AC13" i="29" s="1"/>
  <c r="W32" i="26"/>
  <c r="AC32" i="26" s="1"/>
  <c r="W55" i="26"/>
  <c r="AC55" i="26" s="1"/>
  <c r="W104" i="29"/>
  <c r="AC104" i="29" s="1"/>
  <c r="W152" i="26"/>
  <c r="AC152" i="26" s="1"/>
  <c r="W37" i="26"/>
  <c r="AC37" i="26" s="1"/>
  <c r="W47" i="29"/>
  <c r="AC47" i="29" s="1"/>
  <c r="W141" i="29"/>
  <c r="AC141" i="29" s="1"/>
  <c r="X184" i="26"/>
  <c r="AD184" i="26" s="1"/>
  <c r="W25" i="29"/>
  <c r="AC25" i="29" s="1"/>
  <c r="W7" i="29"/>
  <c r="AC7" i="29" s="1"/>
  <c r="W36" i="29"/>
  <c r="AC36" i="29" s="1"/>
  <c r="W34" i="26"/>
  <c r="AC34" i="26" s="1"/>
  <c r="W31" i="26"/>
  <c r="AC31" i="26" s="1"/>
  <c r="W16" i="26"/>
  <c r="AC16" i="26" s="1"/>
  <c r="W26" i="26"/>
  <c r="AC26" i="26" s="1"/>
  <c r="W32" i="29"/>
  <c r="AC32" i="29" s="1"/>
  <c r="W28" i="29"/>
  <c r="AC28" i="29" s="1"/>
  <c r="W64" i="29"/>
  <c r="AC64" i="29" s="1"/>
  <c r="W10" i="29"/>
  <c r="AC10" i="29" s="1"/>
  <c r="W47" i="26"/>
  <c r="AC47" i="26" s="1"/>
  <c r="W33" i="26"/>
  <c r="AC33" i="26" s="1"/>
  <c r="W14" i="26"/>
  <c r="AC14" i="26" s="1"/>
  <c r="W8" i="29"/>
  <c r="AC8" i="29" s="1"/>
  <c r="W38" i="26"/>
  <c r="AC38" i="26" s="1"/>
  <c r="W18" i="26"/>
  <c r="AC18" i="26" s="1"/>
  <c r="W20" i="29"/>
  <c r="AC20" i="29" s="1"/>
  <c r="W27" i="29"/>
  <c r="AC27" i="29" s="1"/>
  <c r="W12" i="29"/>
  <c r="AC12" i="29" s="1"/>
  <c r="W167" i="26"/>
  <c r="AC167" i="26" s="1"/>
  <c r="W42" i="26"/>
  <c r="AC42" i="26" s="1"/>
  <c r="W82" i="26"/>
  <c r="AC82" i="26" s="1"/>
  <c r="W64" i="26"/>
  <c r="AC64" i="26" s="1"/>
  <c r="W174" i="26"/>
  <c r="AC174" i="26" s="1"/>
  <c r="W58" i="29"/>
  <c r="AC58" i="29" s="1"/>
  <c r="W41" i="29"/>
  <c r="AC41" i="29" s="1"/>
  <c r="W70" i="26"/>
  <c r="AC70" i="26" s="1"/>
  <c r="W183" i="26"/>
  <c r="AC183" i="26" s="1"/>
  <c r="W13" i="26"/>
  <c r="AC13" i="26" s="1"/>
  <c r="W11" i="26"/>
  <c r="AC11" i="26" s="1"/>
  <c r="W76" i="29"/>
  <c r="AC76" i="29" s="1"/>
  <c r="W140" i="29"/>
  <c r="AC140" i="29" s="1"/>
  <c r="W52" i="29"/>
  <c r="AC52" i="29" s="1"/>
  <c r="W94" i="29"/>
  <c r="AC94" i="29" s="1"/>
  <c r="W29" i="29"/>
  <c r="AC29" i="29" s="1"/>
  <c r="W22" i="29"/>
  <c r="AC22" i="29" s="1"/>
  <c r="W70" i="29"/>
  <c r="AC70" i="29" s="1"/>
  <c r="W44" i="29"/>
  <c r="AC44" i="29" s="1"/>
  <c r="W137" i="26"/>
  <c r="AC137" i="26" s="1"/>
  <c r="W78" i="26"/>
  <c r="AC78" i="26" s="1"/>
  <c r="W94" i="26"/>
  <c r="AC94" i="26" s="1"/>
  <c r="W34" i="29"/>
  <c r="AC34" i="29" s="1"/>
  <c r="W87" i="29"/>
  <c r="AC87" i="29" s="1"/>
  <c r="W111" i="29"/>
  <c r="AC111" i="29" s="1"/>
  <c r="W53" i="29"/>
  <c r="AC53" i="29" s="1"/>
  <c r="W101" i="29"/>
  <c r="AC101" i="29" s="1"/>
  <c r="W80" i="29"/>
  <c r="AC80" i="29" s="1"/>
  <c r="W139" i="29"/>
  <c r="AC139" i="29" s="1"/>
  <c r="W58" i="26"/>
  <c r="AC58" i="26" s="1"/>
  <c r="W122" i="26"/>
  <c r="AC122" i="26" s="1"/>
  <c r="W111" i="26"/>
  <c r="AC111" i="26" s="1"/>
  <c r="W93" i="26"/>
  <c r="AC93" i="26" s="1"/>
  <c r="W80" i="26"/>
  <c r="AC80" i="26" s="1"/>
  <c r="W123" i="26"/>
  <c r="AC123" i="26" s="1"/>
  <c r="W88" i="26"/>
  <c r="AC88" i="26" s="1"/>
  <c r="W154" i="26"/>
  <c r="AC154" i="26" s="1"/>
  <c r="W101" i="26"/>
  <c r="AC101" i="26" s="1"/>
  <c r="W156" i="26"/>
  <c r="AC156" i="26" s="1"/>
  <c r="W110" i="29"/>
  <c r="AC110" i="29" s="1"/>
  <c r="W98" i="29"/>
  <c r="AC98" i="29" s="1"/>
  <c r="W74" i="29"/>
  <c r="AC74" i="29" s="1"/>
  <c r="W135" i="29"/>
  <c r="AC135" i="29" s="1"/>
  <c r="W75" i="29"/>
  <c r="AC75" i="29" s="1"/>
  <c r="W79" i="26"/>
  <c r="AC79" i="26" s="1"/>
  <c r="W134" i="26"/>
  <c r="AC134" i="26" s="1"/>
  <c r="W145" i="29"/>
  <c r="AC145" i="29" s="1"/>
  <c r="W122" i="29"/>
  <c r="AC122" i="29" s="1"/>
  <c r="W117" i="26"/>
  <c r="AC117" i="26" s="1"/>
  <c r="W130" i="29"/>
  <c r="AC130" i="29" s="1"/>
  <c r="W88" i="29"/>
  <c r="AC88" i="29" s="1"/>
  <c r="W62" i="29"/>
  <c r="AC62" i="29" s="1"/>
  <c r="W56" i="29"/>
  <c r="AC56" i="29" s="1"/>
  <c r="W72" i="29"/>
  <c r="AC72" i="29" s="1"/>
  <c r="W104" i="26"/>
  <c r="AC104" i="26" s="1"/>
  <c r="W124" i="26"/>
  <c r="AC124" i="26" s="1"/>
  <c r="W86" i="26"/>
  <c r="AC86" i="26" s="1"/>
  <c r="W62" i="26"/>
  <c r="AC62" i="26" s="1"/>
  <c r="W40" i="26"/>
  <c r="AC40" i="26" s="1"/>
  <c r="W35" i="26"/>
  <c r="AC35" i="26" s="1"/>
  <c r="W81" i="26"/>
  <c r="AC81" i="26" s="1"/>
  <c r="W77" i="26"/>
  <c r="AC77" i="26" s="1"/>
  <c r="W134" i="29"/>
  <c r="AC134" i="29" s="1"/>
  <c r="W116" i="29"/>
  <c r="AC116" i="29" s="1"/>
  <c r="W38" i="29"/>
  <c r="AC38" i="29" s="1"/>
  <c r="W145" i="26"/>
  <c r="AC145" i="26" s="1"/>
  <c r="W60" i="29"/>
  <c r="AC60" i="29" s="1"/>
  <c r="W106" i="29"/>
  <c r="AC106" i="29" s="1"/>
  <c r="W63" i="29"/>
  <c r="AC63" i="29" s="1"/>
  <c r="W103" i="29"/>
  <c r="AC103" i="29" s="1"/>
  <c r="W116" i="26"/>
  <c r="AC116" i="26" s="1"/>
  <c r="W66" i="26"/>
  <c r="AC66" i="26" s="1"/>
  <c r="W170" i="26"/>
  <c r="AC170" i="26" s="1"/>
  <c r="W148" i="26"/>
  <c r="AC148" i="26" s="1"/>
  <c r="W71" i="29"/>
  <c r="AC71" i="29" s="1"/>
  <c r="W128" i="29"/>
  <c r="AC128" i="29" s="1"/>
  <c r="W121" i="26"/>
  <c r="AC121" i="26" s="1"/>
  <c r="W160" i="26"/>
  <c r="AC160" i="26" s="1"/>
  <c r="W142" i="29"/>
  <c r="AC142" i="29" s="1"/>
  <c r="W115" i="29"/>
  <c r="AC115" i="29" s="1"/>
  <c r="W117" i="29"/>
  <c r="AC117" i="29" s="1"/>
  <c r="W131" i="29"/>
  <c r="AC131" i="29" s="1"/>
  <c r="W85" i="26"/>
  <c r="AC85" i="26" s="1"/>
  <c r="W44" i="26"/>
  <c r="AC44" i="26" s="1"/>
  <c r="W69" i="26"/>
  <c r="AC69" i="26" s="1"/>
  <c r="W140" i="26"/>
  <c r="AC140" i="26" s="1"/>
  <c r="W20" i="26"/>
  <c r="AC20" i="26" s="1"/>
  <c r="W61" i="26"/>
  <c r="AC61" i="26" s="1"/>
  <c r="W109" i="26"/>
  <c r="AC109" i="26" s="1"/>
  <c r="W146" i="26"/>
  <c r="AC146" i="26" s="1"/>
  <c r="W14" i="29"/>
  <c r="AC14" i="29" s="1"/>
  <c r="W95" i="29"/>
  <c r="AC95" i="29" s="1"/>
  <c r="W154" i="29"/>
  <c r="AC154" i="29" s="1"/>
  <c r="W107" i="26"/>
  <c r="AC107" i="26" s="1"/>
  <c r="W118" i="29"/>
  <c r="AC118" i="29" s="1"/>
  <c r="W128" i="26"/>
  <c r="AC128" i="26" s="1"/>
  <c r="W90" i="29"/>
  <c r="AC90" i="29" s="1"/>
  <c r="W148" i="29"/>
  <c r="AC148" i="29" s="1"/>
  <c r="W141" i="26"/>
  <c r="AC141" i="26" s="1"/>
  <c r="W100" i="26"/>
  <c r="AC100" i="26" s="1"/>
  <c r="W151" i="26"/>
  <c r="AC151" i="26" s="1"/>
  <c r="W150" i="29"/>
  <c r="AC150" i="29" s="1"/>
  <c r="W73" i="29"/>
  <c r="AC73" i="29" s="1"/>
  <c r="W28" i="26"/>
  <c r="AC28" i="26" s="1"/>
  <c r="W68" i="26"/>
  <c r="AC68" i="26" s="1"/>
  <c r="W57" i="29"/>
  <c r="AC57" i="29" s="1"/>
  <c r="W50" i="26"/>
  <c r="AC50" i="26" s="1"/>
  <c r="W59" i="26"/>
  <c r="AC59" i="26" s="1"/>
  <c r="W136" i="26"/>
  <c r="AC136" i="26" s="1"/>
  <c r="W82" i="29"/>
  <c r="AC82" i="29" s="1"/>
  <c r="W79" i="29"/>
  <c r="AC79" i="29" s="1"/>
  <c r="W105" i="29"/>
  <c r="AC105" i="29" s="1"/>
  <c r="W55" i="29"/>
  <c r="AC55" i="29" s="1"/>
  <c r="W76" i="26"/>
  <c r="AC76" i="26" s="1"/>
  <c r="W96" i="26"/>
  <c r="AC96" i="26" s="1"/>
  <c r="W63" i="26"/>
  <c r="AC63" i="26" s="1"/>
  <c r="W112" i="26"/>
  <c r="AC112" i="26" s="1"/>
  <c r="W17" i="29"/>
  <c r="AC17" i="29" s="1"/>
  <c r="W81" i="29"/>
  <c r="AC81" i="29" s="1"/>
  <c r="W66" i="29"/>
  <c r="AC66" i="29" s="1"/>
  <c r="W139" i="26"/>
  <c r="AC139" i="26" s="1"/>
  <c r="W84" i="26"/>
  <c r="AC84" i="26" s="1"/>
  <c r="W73" i="26"/>
  <c r="AC73" i="26" s="1"/>
  <c r="W22" i="26"/>
  <c r="AC22" i="26" s="1"/>
  <c r="W131" i="26"/>
  <c r="AC131" i="26" s="1"/>
  <c r="W9" i="29"/>
  <c r="AC9" i="29" s="1"/>
  <c r="W50" i="29"/>
  <c r="AC50" i="29" s="1"/>
  <c r="W68" i="29"/>
  <c r="AC68" i="29" s="1"/>
  <c r="W177" i="26"/>
  <c r="AC177" i="26" s="1"/>
  <c r="W15" i="26"/>
  <c r="AC15" i="26" s="1"/>
  <c r="W12" i="26"/>
  <c r="AC12" i="26" s="1"/>
  <c r="W84" i="29"/>
  <c r="AC84" i="29" s="1"/>
  <c r="W147" i="29"/>
  <c r="AC147" i="29" s="1"/>
  <c r="W89" i="26"/>
  <c r="AC89" i="26" s="1"/>
  <c r="W23" i="26"/>
  <c r="AC23" i="26" s="1"/>
  <c r="W106" i="26"/>
  <c r="AC106" i="26" s="1"/>
  <c r="W92" i="26"/>
  <c r="AC92" i="26" s="1"/>
  <c r="W67" i="29"/>
  <c r="AC67" i="29" s="1"/>
  <c r="W74" i="26"/>
  <c r="AC74" i="26" s="1"/>
  <c r="W78" i="29"/>
  <c r="AC78" i="29" s="1"/>
  <c r="W91" i="29"/>
  <c r="AC91" i="29" s="1"/>
  <c r="W69" i="29"/>
  <c r="AC69" i="29" s="1"/>
  <c r="W149" i="26"/>
  <c r="AC149" i="26" s="1"/>
  <c r="W89" i="29"/>
  <c r="AC89" i="29" s="1"/>
  <c r="W119" i="29"/>
  <c r="AC119" i="29" s="1"/>
  <c r="W86" i="29"/>
  <c r="AC86" i="29" s="1"/>
  <c r="W92" i="29"/>
  <c r="AC92" i="29" s="1"/>
  <c r="W51" i="29"/>
  <c r="AC51" i="29" s="1"/>
  <c r="W87" i="26"/>
  <c r="AC87" i="26" s="1"/>
  <c r="W97" i="26"/>
  <c r="AC97" i="26" s="1"/>
  <c r="W6" i="29"/>
  <c r="AC6" i="29" s="1"/>
  <c r="W57" i="26"/>
  <c r="AC57" i="26" s="1"/>
  <c r="W153" i="26"/>
  <c r="AC153" i="26" s="1"/>
  <c r="W77" i="29"/>
  <c r="AC77" i="29" s="1"/>
  <c r="W125" i="29"/>
  <c r="AC125" i="29" s="1"/>
  <c r="W16" i="29"/>
  <c r="AC16" i="29" s="1"/>
  <c r="W72" i="26"/>
  <c r="AC72" i="26" s="1"/>
  <c r="W95" i="26"/>
  <c r="AC95" i="26" s="1"/>
  <c r="W56" i="26"/>
  <c r="AC56" i="26" s="1"/>
  <c r="W125" i="26"/>
  <c r="AC125" i="26" s="1"/>
  <c r="W100" i="29"/>
  <c r="AC100" i="29" s="1"/>
  <c r="W83" i="26"/>
  <c r="AC83" i="26" s="1"/>
  <c r="W98" i="26"/>
  <c r="AC98" i="26" s="1"/>
  <c r="W65" i="29"/>
  <c r="AC65" i="29" s="1"/>
  <c r="W90" i="26"/>
  <c r="AC90" i="26" s="1"/>
  <c r="W157" i="26"/>
  <c r="AC157" i="26" s="1"/>
  <c r="W83" i="29"/>
  <c r="AC83" i="29" s="1"/>
  <c r="W75" i="26"/>
  <c r="AC75" i="26" s="1"/>
  <c r="W151" i="29"/>
  <c r="AC151" i="29" s="1"/>
  <c r="W10" i="26"/>
  <c r="AC10" i="26" s="1"/>
  <c r="W171" i="26"/>
  <c r="AC171" i="26" s="1"/>
  <c r="W71" i="26"/>
  <c r="AC71" i="26" s="1"/>
  <c r="W143" i="29"/>
  <c r="AC143" i="29" s="1"/>
  <c r="W133" i="29"/>
  <c r="AC133" i="29" s="1"/>
  <c r="W155" i="29"/>
  <c r="AC155" i="29" s="1"/>
  <c r="W114" i="29"/>
  <c r="AC114" i="29" s="1"/>
  <c r="W85" i="29"/>
  <c r="AC85" i="29" s="1"/>
  <c r="W42" i="29"/>
  <c r="AC42" i="29" s="1"/>
  <c r="W129" i="26"/>
  <c r="AC129" i="26" s="1"/>
  <c r="W119" i="26"/>
  <c r="AC119" i="26" s="1"/>
  <c r="W114" i="26"/>
  <c r="AC114" i="26" s="1"/>
  <c r="W123" i="29"/>
  <c r="AC123" i="29" s="1"/>
  <c r="W161" i="26"/>
  <c r="AC161" i="26" s="1"/>
  <c r="W113" i="29"/>
  <c r="AC113" i="29" s="1"/>
  <c r="W97" i="29"/>
  <c r="AC97" i="29" s="1"/>
  <c r="W143" i="26"/>
  <c r="AC143" i="26" s="1"/>
  <c r="W120" i="26"/>
  <c r="AC120" i="26" s="1"/>
  <c r="W157" i="29"/>
  <c r="AC157" i="29" s="1"/>
  <c r="W48" i="26"/>
  <c r="AC48" i="26" s="1"/>
  <c r="W108" i="29"/>
  <c r="AC108" i="29" s="1"/>
  <c r="W158" i="29"/>
  <c r="AC158" i="29" s="1"/>
  <c r="W164" i="26"/>
  <c r="AC164" i="26" s="1"/>
  <c r="W107" i="29"/>
  <c r="AC107" i="29" s="1"/>
  <c r="W91" i="26"/>
  <c r="AC91" i="26" s="1"/>
  <c r="W163" i="26"/>
  <c r="AC163" i="26" s="1"/>
  <c r="W103" i="26"/>
  <c r="AC103" i="26" s="1"/>
  <c r="W137" i="29"/>
  <c r="AC137" i="29" s="1"/>
  <c r="W113" i="26"/>
  <c r="AC113" i="26" s="1"/>
  <c r="W40" i="29"/>
  <c r="AC40" i="29" s="1"/>
  <c r="W46" i="26"/>
  <c r="AC46" i="26" s="1"/>
  <c r="W24" i="29"/>
  <c r="AC24" i="29" s="1"/>
  <c r="W120" i="29"/>
  <c r="AC120" i="29" s="1"/>
  <c r="W127" i="26"/>
  <c r="AC127" i="26" s="1"/>
  <c r="W30" i="26"/>
  <c r="AC30" i="26" s="1"/>
  <c r="W179" i="26"/>
  <c r="AC179" i="26" s="1"/>
  <c r="W19" i="29"/>
  <c r="AC19" i="29" s="1"/>
  <c r="W99" i="29"/>
  <c r="AC99" i="29" s="1"/>
  <c r="W173" i="26"/>
  <c r="AC173" i="26" s="1"/>
  <c r="W25" i="26"/>
  <c r="AC25" i="26" s="1"/>
  <c r="W168" i="26"/>
  <c r="AC168" i="26" s="1"/>
  <c r="W23" i="29"/>
  <c r="AC23" i="29" s="1"/>
  <c r="W178" i="26"/>
  <c r="AC178" i="26" s="1"/>
  <c r="W29" i="26"/>
  <c r="AC29" i="26" s="1"/>
  <c r="W18" i="29"/>
  <c r="AC18" i="29" s="1"/>
  <c r="W126" i="26"/>
  <c r="AC126" i="26" s="1"/>
  <c r="W41" i="26"/>
  <c r="AC41" i="26" s="1"/>
  <c r="W138" i="29"/>
  <c r="AC138" i="29" s="1"/>
  <c r="W27" i="26"/>
  <c r="AC27" i="26" s="1"/>
  <c r="W43" i="26"/>
  <c r="AC43" i="26" s="1"/>
  <c r="W24" i="26"/>
  <c r="AC24" i="26" s="1"/>
  <c r="W21" i="29"/>
  <c r="AC21" i="29" s="1"/>
  <c r="W105" i="26"/>
  <c r="AC105" i="26" s="1"/>
  <c r="W46" i="29"/>
  <c r="AC46" i="29" s="1"/>
  <c r="W144" i="26"/>
  <c r="AC144" i="26" s="1"/>
  <c r="W169" i="26"/>
  <c r="AC169" i="26" s="1"/>
  <c r="W35" i="29"/>
  <c r="AC35" i="29" s="1"/>
  <c r="W121" i="29"/>
  <c r="AC121" i="29" s="1"/>
  <c r="W180" i="26"/>
  <c r="AC180" i="26" s="1"/>
  <c r="W52" i="26"/>
  <c r="AC52" i="26" s="1"/>
  <c r="W7" i="26"/>
  <c r="AC7" i="26" s="1"/>
  <c r="W172" i="26"/>
  <c r="AC172" i="26" s="1"/>
  <c r="W37" i="29"/>
  <c r="AC37" i="29" s="1"/>
  <c r="W184" i="26"/>
  <c r="AC184" i="26" s="1"/>
  <c r="W160" i="29"/>
  <c r="AC160" i="29" s="1"/>
  <c r="W11" i="29"/>
  <c r="AC11" i="29" s="1"/>
  <c r="W99" i="26"/>
  <c r="AC99" i="26" s="1"/>
  <c r="W6" i="26"/>
  <c r="AC6" i="26" s="1"/>
  <c r="W39" i="29"/>
  <c r="AC39" i="29" s="1"/>
  <c r="W112" i="29"/>
  <c r="AC112" i="29" s="1"/>
  <c r="W48" i="29"/>
  <c r="AC48" i="29" s="1"/>
  <c r="W39" i="26"/>
  <c r="AC39" i="26" s="1"/>
  <c r="W45" i="26"/>
  <c r="AC45" i="26" s="1"/>
  <c r="W118" i="26"/>
  <c r="AC118" i="26" s="1"/>
  <c r="W30" i="29"/>
  <c r="AC30" i="29" s="1"/>
  <c r="W126" i="29"/>
  <c r="AC126" i="29" s="1"/>
  <c r="W144" i="29"/>
  <c r="AC144" i="29" s="1"/>
  <c r="W36" i="26"/>
  <c r="AC36" i="26" s="1"/>
  <c r="W181" i="26"/>
  <c r="AC181" i="26" s="1"/>
  <c r="W5" i="26"/>
  <c r="W33" i="29"/>
  <c r="AC33" i="29" s="1"/>
  <c r="W17" i="26"/>
  <c r="AC17" i="26" s="1"/>
  <c r="W15" i="29"/>
  <c r="AC15" i="29" s="1"/>
  <c r="W21" i="26"/>
  <c r="AC21" i="26" s="1"/>
  <c r="W115" i="26"/>
  <c r="AC115" i="26" s="1"/>
  <c r="W150" i="26"/>
  <c r="AC150" i="26" s="1"/>
  <c r="W109" i="29"/>
  <c r="AC109" i="29" s="1"/>
  <c r="W93" i="29"/>
  <c r="AC93" i="29" s="1"/>
  <c r="W132" i="26"/>
  <c r="AC132" i="26" s="1"/>
  <c r="W54" i="26"/>
  <c r="AC54" i="26" s="1"/>
  <c r="W138" i="26"/>
  <c r="AC138" i="26" s="1"/>
  <c r="W153" i="29"/>
  <c r="AC153" i="29" s="1"/>
  <c r="W149" i="29"/>
  <c r="AC149" i="29" s="1"/>
  <c r="W159" i="26"/>
  <c r="AC159" i="26" s="1"/>
  <c r="W132" i="29"/>
  <c r="AC132" i="29" s="1"/>
  <c r="W155" i="26"/>
  <c r="AC155" i="26" s="1"/>
  <c r="W166" i="26"/>
  <c r="AC166" i="26" s="1"/>
  <c r="W182" i="26"/>
  <c r="AC182" i="26" s="1"/>
  <c r="N22" i="24" l="1"/>
  <c r="N23" i="24"/>
  <c r="N21" i="24"/>
  <c r="N20" i="24"/>
  <c r="N120" i="24"/>
  <c r="N118" i="24"/>
  <c r="N121" i="24"/>
  <c r="N119" i="24"/>
  <c r="N65" i="24"/>
  <c r="N62" i="24"/>
  <c r="N63" i="24"/>
  <c r="N64" i="24"/>
  <c r="N35" i="24"/>
  <c r="N36" i="24"/>
  <c r="N37" i="24"/>
  <c r="N34" i="24"/>
  <c r="N90" i="24"/>
  <c r="N91" i="24"/>
  <c r="N92" i="24"/>
  <c r="N93" i="24"/>
  <c r="N132" i="24"/>
  <c r="N133" i="24"/>
  <c r="N134" i="24"/>
  <c r="N135" i="24"/>
  <c r="N106" i="24"/>
  <c r="N107" i="24"/>
  <c r="N104" i="24"/>
  <c r="N105" i="24"/>
  <c r="N49" i="24"/>
  <c r="N50" i="24"/>
  <c r="N51" i="24"/>
  <c r="N48" i="24"/>
  <c r="AD5" i="26"/>
  <c r="AI5" i="26"/>
  <c r="AE5" i="29"/>
  <c r="AE5" i="26"/>
  <c r="AI5" i="29"/>
  <c r="AD5" i="29"/>
  <c r="AL165" i="1"/>
  <c r="F165" i="1"/>
  <c r="AP165" i="1" l="1"/>
  <c r="AK165" i="1"/>
  <c r="AK5" i="29"/>
  <c r="AJ5" i="29"/>
  <c r="AI6" i="29"/>
  <c r="AG5" i="26"/>
  <c r="AH5" i="26"/>
  <c r="AE6" i="26"/>
  <c r="AF5" i="26"/>
  <c r="AH5" i="29"/>
  <c r="AE6" i="29"/>
  <c r="AF5" i="29"/>
  <c r="AG5" i="29"/>
  <c r="AI6" i="26"/>
  <c r="AJ5" i="26"/>
  <c r="AK5" i="26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71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16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60" i="1"/>
  <c r="AL159" i="1"/>
  <c r="AL152" i="1"/>
  <c r="AL156" i="1"/>
  <c r="AL151" i="1"/>
  <c r="AL155" i="1"/>
  <c r="AL154" i="1"/>
  <c r="AL158" i="1"/>
  <c r="AL153" i="1"/>
  <c r="AL162" i="1"/>
  <c r="AL167" i="1"/>
  <c r="AL161" i="1"/>
  <c r="AL157" i="1"/>
  <c r="AL164" i="1"/>
  <c r="AL2" i="1"/>
  <c r="AI7" i="26" l="1"/>
  <c r="AJ6" i="26"/>
  <c r="AK6" i="26"/>
  <c r="AI7" i="29"/>
  <c r="AJ6" i="29"/>
  <c r="AK6" i="29"/>
  <c r="AE7" i="26"/>
  <c r="AG6" i="26"/>
  <c r="AH6" i="26"/>
  <c r="AF6" i="26"/>
  <c r="AE7" i="29"/>
  <c r="AF6" i="29"/>
  <c r="AG6" i="29"/>
  <c r="AH6" i="29"/>
  <c r="F164" i="1"/>
  <c r="F157" i="1"/>
  <c r="F161" i="1"/>
  <c r="F167" i="1"/>
  <c r="F162" i="1"/>
  <c r="AP157" i="1" l="1"/>
  <c r="AK157" i="1"/>
  <c r="AP164" i="1"/>
  <c r="AK164" i="1"/>
  <c r="AP162" i="1"/>
  <c r="AK162" i="1"/>
  <c r="AP167" i="1"/>
  <c r="AP161" i="1"/>
  <c r="AE8" i="29"/>
  <c r="AF7" i="29"/>
  <c r="AG7" i="29"/>
  <c r="AH7" i="29"/>
  <c r="AE8" i="26"/>
  <c r="AG7" i="26"/>
  <c r="AF7" i="26"/>
  <c r="AH7" i="26"/>
  <c r="AI8" i="29"/>
  <c r="AK7" i="29"/>
  <c r="AJ7" i="29"/>
  <c r="AI8" i="26"/>
  <c r="AJ7" i="26"/>
  <c r="AK7" i="26"/>
  <c r="G18" i="5"/>
  <c r="G19" i="5"/>
  <c r="G17" i="5"/>
  <c r="F18" i="5"/>
  <c r="F19" i="5"/>
  <c r="F17" i="5"/>
  <c r="AI9" i="29" l="1"/>
  <c r="AJ8" i="29"/>
  <c r="AK8" i="29"/>
  <c r="AE9" i="29"/>
  <c r="AF8" i="29"/>
  <c r="AG8" i="29"/>
  <c r="AH8" i="29"/>
  <c r="AE9" i="26"/>
  <c r="AH8" i="26"/>
  <c r="AG8" i="26"/>
  <c r="AF8" i="26"/>
  <c r="AI9" i="26"/>
  <c r="AK8" i="26"/>
  <c r="AJ8" i="26"/>
  <c r="AE10" i="26" l="1"/>
  <c r="AH9" i="26"/>
  <c r="AG9" i="26"/>
  <c r="AF9" i="26"/>
  <c r="AE10" i="29"/>
  <c r="AH9" i="29"/>
  <c r="AF9" i="29"/>
  <c r="AG9" i="29"/>
  <c r="AI10" i="26"/>
  <c r="AJ9" i="26"/>
  <c r="AK9" i="26"/>
  <c r="AI10" i="29"/>
  <c r="AJ9" i="29"/>
  <c r="AK9" i="29"/>
  <c r="AI11" i="29" l="1"/>
  <c r="AK10" i="29"/>
  <c r="AJ10" i="29"/>
  <c r="AI11" i="26"/>
  <c r="AJ10" i="26"/>
  <c r="AK10" i="26"/>
  <c r="AE11" i="26"/>
  <c r="AG10" i="26"/>
  <c r="AF10" i="26"/>
  <c r="AH10" i="26"/>
  <c r="AE11" i="29"/>
  <c r="AH10" i="29"/>
  <c r="AF10" i="29"/>
  <c r="AG10" i="29"/>
  <c r="I35" i="5"/>
  <c r="N41" i="5"/>
  <c r="O41" i="5"/>
  <c r="P41" i="5"/>
  <c r="T41" i="5"/>
  <c r="O145" i="1"/>
  <c r="V145" i="1"/>
  <c r="O143" i="1"/>
  <c r="V143" i="1"/>
  <c r="O144" i="1"/>
  <c r="V144" i="1"/>
  <c r="O142" i="1"/>
  <c r="V142" i="1"/>
  <c r="O141" i="1"/>
  <c r="AE12" i="29" l="1"/>
  <c r="AF11" i="29"/>
  <c r="AG11" i="29"/>
  <c r="AH11" i="29"/>
  <c r="AI12" i="29"/>
  <c r="AJ11" i="29"/>
  <c r="AK11" i="29"/>
  <c r="AE12" i="26"/>
  <c r="AG11" i="26"/>
  <c r="AF11" i="26"/>
  <c r="AH11" i="26"/>
  <c r="AI12" i="26"/>
  <c r="AK11" i="26"/>
  <c r="AJ11" i="26"/>
  <c r="Q41" i="5"/>
  <c r="S50" i="5"/>
  <c r="U50" i="5" s="1"/>
  <c r="S43" i="5"/>
  <c r="U43" i="5" s="1"/>
  <c r="S49" i="5"/>
  <c r="U49" i="5" s="1"/>
  <c r="F153" i="1"/>
  <c r="F150" i="1"/>
  <c r="F158" i="1"/>
  <c r="F147" i="1"/>
  <c r="F154" i="1"/>
  <c r="F160" i="1"/>
  <c r="F155" i="1"/>
  <c r="AP158" i="1" l="1"/>
  <c r="AK158" i="1"/>
  <c r="AP160" i="1"/>
  <c r="AK160" i="1"/>
  <c r="AP154" i="1"/>
  <c r="AK154" i="1"/>
  <c r="AP150" i="1"/>
  <c r="AK150" i="1"/>
  <c r="AP153" i="1"/>
  <c r="AK153" i="1"/>
  <c r="AP147" i="1"/>
  <c r="AP155" i="1"/>
  <c r="AK155" i="1"/>
  <c r="AE13" i="26"/>
  <c r="AG12" i="26"/>
  <c r="AH12" i="26"/>
  <c r="AF12" i="26"/>
  <c r="AI13" i="26"/>
  <c r="AK12" i="26"/>
  <c r="AJ12" i="26"/>
  <c r="AI13" i="29"/>
  <c r="AJ12" i="29"/>
  <c r="AK12" i="29"/>
  <c r="AE13" i="29"/>
  <c r="AF12" i="29"/>
  <c r="AG12" i="29"/>
  <c r="AH12" i="29"/>
  <c r="R50" i="5"/>
  <c r="R49" i="5"/>
  <c r="R43" i="5"/>
  <c r="AP2" i="1"/>
  <c r="AP52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16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E14" i="29" l="1"/>
  <c r="AF13" i="29"/>
  <c r="AH13" i="29"/>
  <c r="AG13" i="29"/>
  <c r="AI14" i="26"/>
  <c r="AK13" i="26"/>
  <c r="AJ13" i="26"/>
  <c r="AI14" i="29"/>
  <c r="AJ13" i="29"/>
  <c r="AK13" i="29"/>
  <c r="AE14" i="26"/>
  <c r="AG13" i="26"/>
  <c r="AH13" i="26"/>
  <c r="AF13" i="26"/>
  <c r="G17" i="8"/>
  <c r="H17" i="8"/>
  <c r="G18" i="8"/>
  <c r="H18" i="8"/>
  <c r="G19" i="8"/>
  <c r="H19" i="8"/>
  <c r="G20" i="8"/>
  <c r="H20" i="8"/>
  <c r="G21" i="8"/>
  <c r="H21" i="8"/>
  <c r="G22" i="8"/>
  <c r="H22" i="8"/>
  <c r="G23" i="8"/>
  <c r="H23" i="8"/>
  <c r="G24" i="8"/>
  <c r="H24" i="8"/>
  <c r="G25" i="8"/>
  <c r="H25" i="8"/>
  <c r="G26" i="8"/>
  <c r="H26" i="8"/>
  <c r="G27" i="8"/>
  <c r="H27" i="8"/>
  <c r="G28" i="8"/>
  <c r="H28" i="8"/>
  <c r="G29" i="8"/>
  <c r="H29" i="8"/>
  <c r="G30" i="8"/>
  <c r="H30" i="8"/>
  <c r="G31" i="8"/>
  <c r="H31" i="8"/>
  <c r="G32" i="8"/>
  <c r="H32" i="8"/>
  <c r="G33" i="8"/>
  <c r="H33" i="8"/>
  <c r="G34" i="8"/>
  <c r="H34" i="8"/>
  <c r="G35" i="8"/>
  <c r="H35" i="8"/>
  <c r="G36" i="8"/>
  <c r="H36" i="8"/>
  <c r="G37" i="8"/>
  <c r="H37" i="8"/>
  <c r="G38" i="8"/>
  <c r="H38" i="8"/>
  <c r="G39" i="8"/>
  <c r="H39" i="8"/>
  <c r="G40" i="8"/>
  <c r="H40" i="8"/>
  <c r="H16" i="8"/>
  <c r="G16" i="8"/>
  <c r="AI15" i="26" l="1"/>
  <c r="AK14" i="26"/>
  <c r="AJ14" i="26"/>
  <c r="AE15" i="26"/>
  <c r="AH14" i="26"/>
  <c r="AG14" i="26"/>
  <c r="AF14" i="26"/>
  <c r="AI15" i="29"/>
  <c r="AJ14" i="29"/>
  <c r="AK14" i="29"/>
  <c r="AE15" i="29"/>
  <c r="AG14" i="29"/>
  <c r="AF14" i="29"/>
  <c r="AH14" i="29"/>
  <c r="AI16" i="29" l="1"/>
  <c r="AK15" i="29"/>
  <c r="AJ15" i="29"/>
  <c r="AE16" i="29"/>
  <c r="AF15" i="29"/>
  <c r="AH15" i="29"/>
  <c r="AG15" i="29"/>
  <c r="AE16" i="26"/>
  <c r="AF15" i="26"/>
  <c r="AG15" i="26"/>
  <c r="AH15" i="26"/>
  <c r="AI16" i="26"/>
  <c r="AK15" i="26"/>
  <c r="AJ15" i="26"/>
  <c r="T35" i="5"/>
  <c r="T36" i="5"/>
  <c r="T37" i="5"/>
  <c r="T38" i="5"/>
  <c r="T39" i="5"/>
  <c r="T40" i="5"/>
  <c r="S6" i="5"/>
  <c r="U6" i="5" s="1"/>
  <c r="S7" i="5"/>
  <c r="U7" i="5" s="1"/>
  <c r="S8" i="5"/>
  <c r="U8" i="5" s="1"/>
  <c r="S9" i="5"/>
  <c r="U9" i="5" s="1"/>
  <c r="S10" i="5"/>
  <c r="U10" i="5" s="1"/>
  <c r="S11" i="5"/>
  <c r="U11" i="5" s="1"/>
  <c r="S12" i="5"/>
  <c r="U12" i="5" s="1"/>
  <c r="S13" i="5"/>
  <c r="U13" i="5" s="1"/>
  <c r="S14" i="5"/>
  <c r="U14" i="5" s="1"/>
  <c r="S15" i="5"/>
  <c r="U15" i="5" s="1"/>
  <c r="S16" i="5"/>
  <c r="U16" i="5" s="1"/>
  <c r="S17" i="5"/>
  <c r="U17" i="5" s="1"/>
  <c r="S18" i="5"/>
  <c r="U18" i="5" s="1"/>
  <c r="S19" i="5"/>
  <c r="U19" i="5" s="1"/>
  <c r="S20" i="5"/>
  <c r="U20" i="5" s="1"/>
  <c r="S21" i="5"/>
  <c r="U21" i="5" s="1"/>
  <c r="S22" i="5"/>
  <c r="U22" i="5" s="1"/>
  <c r="S23" i="5"/>
  <c r="U23" i="5" s="1"/>
  <c r="S24" i="5"/>
  <c r="U24" i="5" s="1"/>
  <c r="S25" i="5"/>
  <c r="U25" i="5" s="1"/>
  <c r="S26" i="5"/>
  <c r="U26" i="5" s="1"/>
  <c r="S27" i="5"/>
  <c r="U27" i="5" s="1"/>
  <c r="S28" i="5"/>
  <c r="U28" i="5" s="1"/>
  <c r="S29" i="5"/>
  <c r="U29" i="5" s="1"/>
  <c r="S30" i="5"/>
  <c r="U30" i="5" s="1"/>
  <c r="S31" i="5"/>
  <c r="U31" i="5" s="1"/>
  <c r="S32" i="5"/>
  <c r="U32" i="5" s="1"/>
  <c r="S33" i="5"/>
  <c r="U33" i="5" s="1"/>
  <c r="S34" i="5"/>
  <c r="U34" i="5" s="1"/>
  <c r="S35" i="5"/>
  <c r="U35" i="5" s="1"/>
  <c r="S36" i="5"/>
  <c r="U36" i="5" s="1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6" i="5"/>
  <c r="R37" i="5"/>
  <c r="Q38" i="5"/>
  <c r="Q39" i="5"/>
  <c r="Q40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O6" i="5"/>
  <c r="O7" i="5"/>
  <c r="O8" i="5"/>
  <c r="O9" i="5"/>
  <c r="O10" i="5"/>
  <c r="O11" i="5"/>
  <c r="O12" i="5"/>
  <c r="O13" i="5"/>
  <c r="O14" i="5"/>
  <c r="O15" i="5"/>
  <c r="O16" i="5"/>
  <c r="O17" i="5"/>
  <c r="O19" i="5"/>
  <c r="O20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I34" i="5"/>
  <c r="AE17" i="26" l="1"/>
  <c r="AG16" i="26"/>
  <c r="AH16" i="26"/>
  <c r="AF16" i="26"/>
  <c r="AE17" i="29"/>
  <c r="AG16" i="29"/>
  <c r="AH16" i="29"/>
  <c r="AF16" i="29"/>
  <c r="AI17" i="26"/>
  <c r="AK16" i="26"/>
  <c r="AJ16" i="26"/>
  <c r="AI17" i="29"/>
  <c r="AK16" i="29"/>
  <c r="AJ16" i="29"/>
  <c r="S45" i="5"/>
  <c r="U45" i="5" s="1"/>
  <c r="S41" i="5"/>
  <c r="U41" i="5" s="1"/>
  <c r="S44" i="5"/>
  <c r="U44" i="5" s="1"/>
  <c r="S47" i="5"/>
  <c r="U47" i="5" s="1"/>
  <c r="S37" i="5"/>
  <c r="U37" i="5" s="1"/>
  <c r="G41" i="15" l="1"/>
  <c r="H73" i="24"/>
  <c r="AE18" i="29"/>
  <c r="AF17" i="29"/>
  <c r="AH17" i="29"/>
  <c r="AG17" i="29"/>
  <c r="AI18" i="29"/>
  <c r="AJ17" i="29"/>
  <c r="AK17" i="29"/>
  <c r="AI18" i="26"/>
  <c r="AK17" i="26"/>
  <c r="AJ17" i="26"/>
  <c r="AE18" i="26"/>
  <c r="AG17" i="26"/>
  <c r="AH17" i="26"/>
  <c r="AF17" i="26"/>
  <c r="G72" i="15"/>
  <c r="R47" i="5"/>
  <c r="R44" i="5"/>
  <c r="R45" i="5"/>
  <c r="U42" i="5"/>
  <c r="R41" i="5"/>
  <c r="S38" i="5"/>
  <c r="U38" i="5" s="1"/>
  <c r="S39" i="5"/>
  <c r="U39" i="5" s="1"/>
  <c r="S40" i="5"/>
  <c r="U40" i="5" s="1"/>
  <c r="R40" i="5"/>
  <c r="R38" i="5"/>
  <c r="R39" i="5"/>
  <c r="R35" i="5"/>
  <c r="R34" i="5"/>
  <c r="M151" i="1"/>
  <c r="F151" i="1"/>
  <c r="M135" i="1"/>
  <c r="M159" i="1"/>
  <c r="M152" i="1"/>
  <c r="M156" i="1"/>
  <c r="M142" i="1"/>
  <c r="M144" i="1"/>
  <c r="M143" i="1"/>
  <c r="M146" i="1"/>
  <c r="M149" i="1"/>
  <c r="M145" i="1"/>
  <c r="M148" i="1"/>
  <c r="F148" i="1"/>
  <c r="F142" i="1"/>
  <c r="F144" i="1"/>
  <c r="F143" i="1"/>
  <c r="F146" i="1"/>
  <c r="F149" i="1"/>
  <c r="F145" i="1"/>
  <c r="O135" i="1"/>
  <c r="V135" i="1"/>
  <c r="AP151" i="1" l="1"/>
  <c r="AK151" i="1"/>
  <c r="AP143" i="1"/>
  <c r="AP146" i="1"/>
  <c r="AK146" i="1"/>
  <c r="AP142" i="1"/>
  <c r="AP148" i="1"/>
  <c r="AK148" i="1"/>
  <c r="AP144" i="1"/>
  <c r="AK144" i="1"/>
  <c r="AP145" i="1"/>
  <c r="AP149" i="1"/>
  <c r="N40" i="15" a="1"/>
  <c r="N40" i="15" s="1"/>
  <c r="M38" i="15" a="1"/>
  <c r="M38" i="15" s="1"/>
  <c r="Q41" i="15" a="1"/>
  <c r="Q41" i="15" s="1"/>
  <c r="I40" i="15" a="1"/>
  <c r="I40" i="15" s="1"/>
  <c r="H26" i="15"/>
  <c r="P40" i="15" a="1"/>
  <c r="P40" i="15" s="1"/>
  <c r="O38" i="15" a="1"/>
  <c r="O38" i="15" s="1"/>
  <c r="J40" i="15" a="1"/>
  <c r="J40" i="15" s="1"/>
  <c r="N38" i="15" a="1"/>
  <c r="N38" i="15" s="1"/>
  <c r="I41" i="15" a="1"/>
  <c r="I41" i="15" s="1"/>
  <c r="Q39" i="15" a="1"/>
  <c r="Q39" i="15" s="1"/>
  <c r="H27" i="15"/>
  <c r="Q40" i="15" a="1"/>
  <c r="Q40" i="15" s="1"/>
  <c r="P38" i="15" a="1"/>
  <c r="P38" i="15" s="1"/>
  <c r="K41" i="15" a="1"/>
  <c r="K41" i="15" s="1"/>
  <c r="J39" i="15" a="1"/>
  <c r="J39" i="15" s="1"/>
  <c r="P41" i="15" a="1"/>
  <c r="P41" i="15" s="1"/>
  <c r="M41" i="15" a="1"/>
  <c r="M41" i="15" s="1"/>
  <c r="J37" i="15" a="1"/>
  <c r="J37" i="15" s="1"/>
  <c r="P39" i="15" a="1"/>
  <c r="P39" i="15" s="1"/>
  <c r="M39" i="15" a="1"/>
  <c r="M39" i="15" s="1"/>
  <c r="I37" i="15" a="1"/>
  <c r="I37" i="15" s="1"/>
  <c r="K38" i="15" a="1"/>
  <c r="K38" i="15" s="1"/>
  <c r="P37" i="15" a="1"/>
  <c r="P37" i="15" s="1"/>
  <c r="I38" i="15" a="1"/>
  <c r="I38" i="15" s="1"/>
  <c r="J41" i="15" a="1"/>
  <c r="J41" i="15" s="1"/>
  <c r="O41" i="15" a="1"/>
  <c r="O41" i="15" s="1"/>
  <c r="Q37" i="15" a="1"/>
  <c r="Q37" i="15" s="1"/>
  <c r="O39" i="15" a="1"/>
  <c r="O39" i="15" s="1"/>
  <c r="Q38" i="15" a="1"/>
  <c r="Q38" i="15" s="1"/>
  <c r="L41" i="15" a="1"/>
  <c r="L41" i="15" s="1"/>
  <c r="K37" i="15" a="1"/>
  <c r="K37" i="15" s="1"/>
  <c r="O37" i="15" a="1"/>
  <c r="O37" i="15" s="1"/>
  <c r="N41" i="15" a="1"/>
  <c r="N41" i="15" s="1"/>
  <c r="L39" i="15" a="1"/>
  <c r="L39" i="15" s="1"/>
  <c r="K40" i="15" a="1"/>
  <c r="K40" i="15" s="1"/>
  <c r="N39" i="15" a="1"/>
  <c r="N39" i="15" s="1"/>
  <c r="L37" i="15" a="1"/>
  <c r="L37" i="15" s="1"/>
  <c r="M37" i="15" a="1"/>
  <c r="M37" i="15" s="1"/>
  <c r="G28" i="15"/>
  <c r="H28" i="15"/>
  <c r="L40" i="15" a="1"/>
  <c r="L40" i="15" s="1"/>
  <c r="J38" i="15" a="1"/>
  <c r="J38" i="15" s="1"/>
  <c r="H25" i="15"/>
  <c r="H24" i="15"/>
  <c r="M40" i="15" a="1"/>
  <c r="M40" i="15" s="1"/>
  <c r="N37" i="15" a="1"/>
  <c r="N37" i="15" s="1"/>
  <c r="L38" i="15" a="1"/>
  <c r="L38" i="15" s="1"/>
  <c r="I39" i="15" a="1"/>
  <c r="I39" i="15" s="1"/>
  <c r="K39" i="15" a="1"/>
  <c r="K39" i="15" s="1"/>
  <c r="O40" i="15" a="1"/>
  <c r="O40" i="15" s="1"/>
  <c r="G212" i="25" a="1"/>
  <c r="G212" i="25" s="1"/>
  <c r="H171" i="25" a="1"/>
  <c r="H171" i="25" s="1"/>
  <c r="G205" i="25" a="1"/>
  <c r="G205" i="25" s="1"/>
  <c r="H173" i="25" a="1"/>
  <c r="H173" i="25" s="1"/>
  <c r="H174" i="25" a="1"/>
  <c r="H174" i="25" s="1"/>
  <c r="G215" i="25" a="1"/>
  <c r="G215" i="25" s="1"/>
  <c r="G183" i="25" a="1"/>
  <c r="G183" i="25" s="1"/>
  <c r="G211" i="25" a="1"/>
  <c r="G211" i="25" s="1"/>
  <c r="H172" i="25" a="1"/>
  <c r="H172" i="25" s="1"/>
  <c r="G193" i="25" a="1"/>
  <c r="G193" i="25" s="1"/>
  <c r="G204" i="25" a="1"/>
  <c r="G204" i="25" s="1"/>
  <c r="H175" i="25" a="1"/>
  <c r="H175" i="25" s="1"/>
  <c r="G194" i="25" a="1"/>
  <c r="G194" i="25" s="1"/>
  <c r="H162" i="25" a="1"/>
  <c r="H162" i="25" s="1"/>
  <c r="G192" i="25" a="1"/>
  <c r="G192" i="25" s="1"/>
  <c r="G201" i="25" a="1"/>
  <c r="G201" i="25" s="1"/>
  <c r="H165" i="25" a="1"/>
  <c r="H165" i="25" s="1"/>
  <c r="G151" i="25" a="1"/>
  <c r="G151" i="25" s="1"/>
  <c r="G213" i="25" a="1"/>
  <c r="G213" i="25" s="1"/>
  <c r="G10" i="5"/>
  <c r="G11" i="5"/>
  <c r="G163" i="25" a="1"/>
  <c r="G163" i="25" s="1"/>
  <c r="G174" i="25" a="1"/>
  <c r="G174" i="25" s="1"/>
  <c r="G161" i="25" a="1"/>
  <c r="G161" i="25" s="1"/>
  <c r="G191" i="25" a="1"/>
  <c r="G191" i="25" s="1"/>
  <c r="G181" i="25" a="1"/>
  <c r="G181" i="25" s="1"/>
  <c r="G155" i="25" a="1"/>
  <c r="G155" i="25" s="1"/>
  <c r="G175" i="25" a="1"/>
  <c r="G175" i="25" s="1"/>
  <c r="G173" i="25" a="1"/>
  <c r="G173" i="25" s="1"/>
  <c r="H161" i="25" a="1"/>
  <c r="H161" i="25" s="1"/>
  <c r="G214" i="25" a="1"/>
  <c r="G214" i="25" s="1"/>
  <c r="G182" i="25" a="1"/>
  <c r="G182" i="25" s="1"/>
  <c r="G12" i="5"/>
  <c r="G195" i="25" a="1"/>
  <c r="G195" i="25" s="1"/>
  <c r="G8" i="5"/>
  <c r="G203" i="25" a="1"/>
  <c r="G203" i="25" s="1"/>
  <c r="G165" i="25" a="1"/>
  <c r="G165" i="25" s="1"/>
  <c r="G9" i="5"/>
  <c r="G202" i="25" a="1"/>
  <c r="G202" i="25" s="1"/>
  <c r="H164" i="25" a="1"/>
  <c r="H164" i="25" s="1"/>
  <c r="G171" i="25" a="1"/>
  <c r="G171" i="25" s="1"/>
  <c r="G154" i="25" a="1"/>
  <c r="G154" i="25" s="1"/>
  <c r="G172" i="25" a="1"/>
  <c r="G172" i="25" s="1"/>
  <c r="G153" i="25" a="1"/>
  <c r="G153" i="25" s="1"/>
  <c r="G164" i="25" a="1"/>
  <c r="G164" i="25" s="1"/>
  <c r="H163" i="25" a="1"/>
  <c r="H163" i="25" s="1"/>
  <c r="G162" i="25" a="1"/>
  <c r="G162" i="25" s="1"/>
  <c r="G185" i="25" a="1"/>
  <c r="G185" i="25" s="1"/>
  <c r="G184" i="25" a="1"/>
  <c r="G184" i="25" s="1"/>
  <c r="G152" i="25" a="1"/>
  <c r="G152" i="25" s="1"/>
  <c r="G126" i="24" a="1"/>
  <c r="G126" i="24" s="1"/>
  <c r="G108" i="24" a="1"/>
  <c r="G108" i="24" s="1"/>
  <c r="H110" i="24" a="1"/>
  <c r="H110" i="24" s="1"/>
  <c r="G138" i="24" a="1"/>
  <c r="G138" i="24" s="1"/>
  <c r="G111" i="24" a="1"/>
  <c r="G111" i="24" s="1"/>
  <c r="G124" i="24" a="1"/>
  <c r="G124" i="24" s="1"/>
  <c r="G110" i="24" a="1"/>
  <c r="G110" i="24" s="1"/>
  <c r="G127" i="24" a="1"/>
  <c r="G127" i="24" s="1"/>
  <c r="H109" i="24" a="1"/>
  <c r="H109" i="24" s="1"/>
  <c r="H137" i="24" a="1"/>
  <c r="H137" i="24" s="1"/>
  <c r="G141" i="24" a="1"/>
  <c r="G141" i="24" s="1"/>
  <c r="H81" i="24" a="1"/>
  <c r="H81" i="24" s="1"/>
  <c r="G137" i="24" a="1"/>
  <c r="G137" i="24" s="1"/>
  <c r="G100" i="24" a="1"/>
  <c r="G100" i="24" s="1"/>
  <c r="G84" i="24" a="1"/>
  <c r="G84" i="24" s="1"/>
  <c r="G94" i="24" a="1"/>
  <c r="G94" i="24" s="1"/>
  <c r="G139" i="24" a="1"/>
  <c r="G139" i="24" s="1"/>
  <c r="G123" i="24" a="1"/>
  <c r="G123" i="24" s="1"/>
  <c r="G80" i="24" a="1"/>
  <c r="G80" i="24" s="1"/>
  <c r="G85" i="24" a="1"/>
  <c r="G85" i="24" s="1"/>
  <c r="G112" i="24" a="1"/>
  <c r="G112" i="24" s="1"/>
  <c r="G83" i="24" a="1"/>
  <c r="G83" i="24" s="1"/>
  <c r="G114" i="24" a="1"/>
  <c r="G114" i="24" s="1"/>
  <c r="G128" i="24" a="1"/>
  <c r="G128" i="24" s="1"/>
  <c r="G109" i="24" a="1"/>
  <c r="G109" i="24" s="1"/>
  <c r="H82" i="24" a="1"/>
  <c r="H82" i="24" s="1"/>
  <c r="G113" i="24" a="1"/>
  <c r="G113" i="24" s="1"/>
  <c r="G97" i="24" a="1"/>
  <c r="G97" i="24" s="1"/>
  <c r="H124" i="24" a="1"/>
  <c r="H124" i="24" s="1"/>
  <c r="G99" i="24" a="1"/>
  <c r="G99" i="24" s="1"/>
  <c r="G81" i="24" a="1"/>
  <c r="G81" i="24" s="1"/>
  <c r="G122" i="24" a="1"/>
  <c r="G122" i="24" s="1"/>
  <c r="H96" i="24" a="1"/>
  <c r="H96" i="24" s="1"/>
  <c r="G96" i="24" a="1"/>
  <c r="G96" i="24" s="1"/>
  <c r="G95" i="24" a="1"/>
  <c r="G95" i="24" s="1"/>
  <c r="G142" i="24" a="1"/>
  <c r="G142" i="24" s="1"/>
  <c r="H123" i="24" a="1"/>
  <c r="H123" i="24" s="1"/>
  <c r="G125" i="24" a="1"/>
  <c r="G125" i="24" s="1"/>
  <c r="G98" i="24" a="1"/>
  <c r="G98" i="24" s="1"/>
  <c r="G136" i="24" a="1"/>
  <c r="G136" i="24" s="1"/>
  <c r="G140" i="24" a="1"/>
  <c r="G140" i="24" s="1"/>
  <c r="H138" i="24" a="1"/>
  <c r="H138" i="24" s="1"/>
  <c r="G82" i="24" a="1"/>
  <c r="G82" i="24" s="1"/>
  <c r="H95" i="24" a="1"/>
  <c r="H95" i="24" s="1"/>
  <c r="G86" i="24" a="1"/>
  <c r="G86" i="24" s="1"/>
  <c r="AE19" i="26"/>
  <c r="AF18" i="26"/>
  <c r="AG18" i="26"/>
  <c r="AH18" i="26"/>
  <c r="AI19" i="29"/>
  <c r="AK18" i="29"/>
  <c r="AJ18" i="29"/>
  <c r="AI19" i="26"/>
  <c r="AJ18" i="26"/>
  <c r="AK18" i="26"/>
  <c r="AE19" i="29"/>
  <c r="AF18" i="29"/>
  <c r="AG18" i="29"/>
  <c r="AH18" i="29"/>
  <c r="L7" i="24"/>
  <c r="M7" i="24" s="1"/>
  <c r="L76" i="24"/>
  <c r="M76" i="24" s="1"/>
  <c r="L79" i="24"/>
  <c r="M79" i="24" s="1"/>
  <c r="L6" i="24"/>
  <c r="M6" i="24" s="1"/>
  <c r="L77" i="24"/>
  <c r="M77" i="24" s="1"/>
  <c r="L78" i="24"/>
  <c r="M78" i="24" s="1"/>
  <c r="L9" i="24"/>
  <c r="M9" i="24" s="1"/>
  <c r="L8" i="24"/>
  <c r="M8" i="24" s="1"/>
  <c r="G282" i="15" a="1"/>
  <c r="G282" i="15" s="1"/>
  <c r="G305" i="15" a="1"/>
  <c r="G305" i="15" s="1"/>
  <c r="G312" i="15" a="1"/>
  <c r="G312" i="15" s="1"/>
  <c r="G292" i="15" a="1"/>
  <c r="G292" i="15" s="1"/>
  <c r="G285" i="15" a="1"/>
  <c r="G285" i="15" s="1"/>
  <c r="G321" i="15" a="1"/>
  <c r="G321" i="15" s="1"/>
  <c r="G332" i="15" a="1"/>
  <c r="G332" i="15" s="1"/>
  <c r="G283" i="15" a="1"/>
  <c r="G283" i="15" s="1"/>
  <c r="G313" i="15" a="1"/>
  <c r="G313" i="15" s="1"/>
  <c r="G324" i="15" a="1"/>
  <c r="G324" i="15" s="1"/>
  <c r="G274" i="15" a="1"/>
  <c r="G274" i="15" s="1"/>
  <c r="G281" i="15" a="1"/>
  <c r="G281" i="15" s="1"/>
  <c r="G304" i="15" a="1"/>
  <c r="G304" i="15" s="1"/>
  <c r="G284" i="15" a="1"/>
  <c r="G284" i="15" s="1"/>
  <c r="G271" i="15" a="1"/>
  <c r="G271" i="15" s="1"/>
  <c r="G272" i="15" a="1"/>
  <c r="G272" i="15" s="1"/>
  <c r="G323" i="15" a="1"/>
  <c r="G323" i="15" s="1"/>
  <c r="G295" i="15" a="1"/>
  <c r="G295" i="15" s="1"/>
  <c r="G273" i="15" a="1"/>
  <c r="G273" i="15" s="1"/>
  <c r="G303" i="15" a="1"/>
  <c r="G303" i="15" s="1"/>
  <c r="G331" i="15" a="1"/>
  <c r="G331" i="15" s="1"/>
  <c r="G334" i="15" a="1"/>
  <c r="G334" i="15" s="1"/>
  <c r="G322" i="15" a="1"/>
  <c r="G322" i="15" s="1"/>
  <c r="G325" i="15" a="1"/>
  <c r="G325" i="15" s="1"/>
  <c r="G275" i="15" a="1"/>
  <c r="G275" i="15" s="1"/>
  <c r="G294" i="15" a="1"/>
  <c r="G294" i="15" s="1"/>
  <c r="G335" i="15" a="1"/>
  <c r="G335" i="15" s="1"/>
  <c r="G302" i="15" a="1"/>
  <c r="G302" i="15" s="1"/>
  <c r="G315" i="15" a="1"/>
  <c r="G315" i="15" s="1"/>
  <c r="G293" i="15" a="1"/>
  <c r="G293" i="15" s="1"/>
  <c r="G311" i="15" a="1"/>
  <c r="G311" i="15" s="1"/>
  <c r="G333" i="15" a="1"/>
  <c r="G333" i="15" s="1"/>
  <c r="G291" i="15" a="1"/>
  <c r="G291" i="15" s="1"/>
  <c r="G314" i="15" a="1"/>
  <c r="G314" i="15" s="1"/>
  <c r="G301" i="15" a="1"/>
  <c r="G301" i="15" s="1"/>
  <c r="N70" i="15" a="1"/>
  <c r="N70" i="15" s="1"/>
  <c r="L72" i="15" a="1"/>
  <c r="L72" i="15" s="1"/>
  <c r="M72" i="15" a="1"/>
  <c r="M72" i="15" s="1"/>
  <c r="P70" i="15" a="1"/>
  <c r="P70" i="15" s="1"/>
  <c r="K71" i="15" a="1"/>
  <c r="K71" i="15" s="1"/>
  <c r="O68" i="15" a="1"/>
  <c r="O68" i="15" s="1"/>
  <c r="L70" i="15" a="1"/>
  <c r="L70" i="15" s="1"/>
  <c r="I71" i="15" a="1"/>
  <c r="I71" i="15" s="1"/>
  <c r="Q69" i="15" a="1"/>
  <c r="Q69" i="15" s="1"/>
  <c r="L71" i="15" a="1"/>
  <c r="L71" i="15" s="1"/>
  <c r="G3" i="15"/>
  <c r="H3" i="15" s="1"/>
  <c r="P69" i="15" a="1"/>
  <c r="P69" i="15" s="1"/>
  <c r="N72" i="15" a="1"/>
  <c r="N72" i="15" s="1"/>
  <c r="O70" i="15" a="1"/>
  <c r="O70" i="15" s="1"/>
  <c r="M69" i="15" a="1"/>
  <c r="M69" i="15" s="1"/>
  <c r="I72" i="15" a="1"/>
  <c r="I72" i="15" s="1"/>
  <c r="K68" i="15" a="1"/>
  <c r="K68" i="15" s="1"/>
  <c r="N68" i="15" a="1"/>
  <c r="N68" i="15" s="1"/>
  <c r="O72" i="15" a="1"/>
  <c r="O72" i="15" s="1"/>
  <c r="O69" i="15" a="1"/>
  <c r="O69" i="15" s="1"/>
  <c r="K70" i="15" a="1"/>
  <c r="K70" i="15" s="1"/>
  <c r="J70" i="15" a="1"/>
  <c r="J70" i="15" s="1"/>
  <c r="M71" i="15" a="1"/>
  <c r="M71" i="15" s="1"/>
  <c r="I70" i="15" a="1"/>
  <c r="I70" i="15" s="1"/>
  <c r="Q72" i="15" a="1"/>
  <c r="Q72" i="15" s="1"/>
  <c r="J68" i="15" a="1"/>
  <c r="J68" i="15" s="1"/>
  <c r="M70" i="15" a="1"/>
  <c r="M70" i="15" s="1"/>
  <c r="O71" i="15" a="1"/>
  <c r="O71" i="15" s="1"/>
  <c r="N69" i="15" a="1"/>
  <c r="N69" i="15" s="1"/>
  <c r="J71" i="15" a="1"/>
  <c r="J71" i="15" s="1"/>
  <c r="Q68" i="15" a="1"/>
  <c r="Q68" i="15" s="1"/>
  <c r="P68" i="15" a="1"/>
  <c r="P68" i="15" s="1"/>
  <c r="G4" i="15"/>
  <c r="H4" i="15" s="1"/>
  <c r="Q71" i="15" a="1"/>
  <c r="Q71" i="15" s="1"/>
  <c r="J72" i="15" a="1"/>
  <c r="J72" i="15" s="1"/>
  <c r="P71" i="15" a="1"/>
  <c r="P71" i="15" s="1"/>
  <c r="Q70" i="15" a="1"/>
  <c r="Q70" i="15" s="1"/>
  <c r="I69" i="15" a="1"/>
  <c r="I69" i="15" s="1"/>
  <c r="N71" i="15" a="1"/>
  <c r="N71" i="15" s="1"/>
  <c r="I68" i="15" a="1"/>
  <c r="I68" i="15" s="1"/>
  <c r="K69" i="15" a="1"/>
  <c r="K69" i="15" s="1"/>
  <c r="L69" i="15" a="1"/>
  <c r="L69" i="15" s="1"/>
  <c r="J69" i="15" a="1"/>
  <c r="J69" i="15" s="1"/>
  <c r="L68" i="15" a="1"/>
  <c r="L68" i="15" s="1"/>
  <c r="M68" i="15" a="1"/>
  <c r="M68" i="15" s="1"/>
  <c r="K72" i="15" a="1"/>
  <c r="K72" i="15" s="1"/>
  <c r="P72" i="15" a="1"/>
  <c r="P72" i="15" s="1"/>
  <c r="G5" i="15"/>
  <c r="H5" i="15" s="1"/>
  <c r="O140" i="1"/>
  <c r="O139" i="1"/>
  <c r="N7" i="24" l="1"/>
  <c r="N8" i="24"/>
  <c r="N9" i="24"/>
  <c r="N77" i="24"/>
  <c r="N79" i="24"/>
  <c r="N78" i="24"/>
  <c r="N76" i="24"/>
  <c r="N6" i="24"/>
  <c r="AI20" i="26"/>
  <c r="AK19" i="26"/>
  <c r="AJ19" i="26"/>
  <c r="AE20" i="29"/>
  <c r="AF19" i="29"/>
  <c r="AH19" i="29"/>
  <c r="AG19" i="29"/>
  <c r="AI20" i="29"/>
  <c r="AJ19" i="29"/>
  <c r="AK19" i="29"/>
  <c r="AE20" i="26"/>
  <c r="AH19" i="26"/>
  <c r="AG19" i="26"/>
  <c r="AF19" i="26"/>
  <c r="I33" i="5"/>
  <c r="O138" i="1"/>
  <c r="AE21" i="26" l="1"/>
  <c r="AH20" i="26"/>
  <c r="AG20" i="26"/>
  <c r="AF20" i="26"/>
  <c r="AI21" i="29"/>
  <c r="AJ20" i="29"/>
  <c r="AK20" i="29"/>
  <c r="AE21" i="29"/>
  <c r="AG20" i="29"/>
  <c r="AH20" i="29"/>
  <c r="AF20" i="29"/>
  <c r="AI21" i="26"/>
  <c r="AJ20" i="26"/>
  <c r="AK20" i="26"/>
  <c r="V138" i="1"/>
  <c r="V141" i="1"/>
  <c r="Q37" i="5" s="1"/>
  <c r="V139" i="1"/>
  <c r="V140" i="1"/>
  <c r="AE22" i="29" l="1"/>
  <c r="AF21" i="29"/>
  <c r="AG21" i="29"/>
  <c r="AH21" i="29"/>
  <c r="AI22" i="26"/>
  <c r="AK21" i="26"/>
  <c r="AJ21" i="26"/>
  <c r="AI22" i="29"/>
  <c r="AK21" i="29"/>
  <c r="AJ21" i="29"/>
  <c r="AE22" i="26"/>
  <c r="AF21" i="26"/>
  <c r="AG21" i="26"/>
  <c r="AH21" i="26"/>
  <c r="Q36" i="5"/>
  <c r="Q35" i="5"/>
  <c r="AM138" i="1"/>
  <c r="T34" i="5" s="1"/>
  <c r="Q34" i="5"/>
  <c r="Y48" i="19"/>
  <c r="X48" i="19"/>
  <c r="W48" i="19"/>
  <c r="V48" i="19"/>
  <c r="U48" i="19"/>
  <c r="T48" i="19"/>
  <c r="S48" i="19"/>
  <c r="Y47" i="19"/>
  <c r="X47" i="19"/>
  <c r="W47" i="19"/>
  <c r="V47" i="19"/>
  <c r="U47" i="19"/>
  <c r="T47" i="19"/>
  <c r="S47" i="19"/>
  <c r="Y46" i="19"/>
  <c r="X46" i="19"/>
  <c r="W46" i="19"/>
  <c r="V46" i="19"/>
  <c r="U46" i="19"/>
  <c r="T46" i="19"/>
  <c r="S46" i="19"/>
  <c r="Y45" i="19"/>
  <c r="X45" i="19"/>
  <c r="W45" i="19"/>
  <c r="V45" i="19"/>
  <c r="U45" i="19"/>
  <c r="T45" i="19"/>
  <c r="S45" i="19"/>
  <c r="Y44" i="19"/>
  <c r="X44" i="19"/>
  <c r="W44" i="19"/>
  <c r="V44" i="19"/>
  <c r="U44" i="19"/>
  <c r="T44" i="19"/>
  <c r="S44" i="19"/>
  <c r="Y43" i="19"/>
  <c r="X43" i="19"/>
  <c r="W43" i="19"/>
  <c r="V43" i="19"/>
  <c r="U43" i="19"/>
  <c r="T43" i="19"/>
  <c r="S43" i="19"/>
  <c r="Y42" i="19"/>
  <c r="X42" i="19"/>
  <c r="W42" i="19"/>
  <c r="V42" i="19"/>
  <c r="U42" i="19"/>
  <c r="T42" i="19"/>
  <c r="S42" i="19"/>
  <c r="Y41" i="19"/>
  <c r="X41" i="19"/>
  <c r="W41" i="19"/>
  <c r="V41" i="19"/>
  <c r="U41" i="19"/>
  <c r="T41" i="19"/>
  <c r="S41" i="19"/>
  <c r="Y40" i="19"/>
  <c r="X40" i="19"/>
  <c r="W40" i="19"/>
  <c r="V40" i="19"/>
  <c r="U40" i="19"/>
  <c r="T40" i="19"/>
  <c r="S40" i="19"/>
  <c r="Y39" i="19"/>
  <c r="X39" i="19"/>
  <c r="W39" i="19"/>
  <c r="V39" i="19"/>
  <c r="U39" i="19"/>
  <c r="T39" i="19"/>
  <c r="S39" i="19"/>
  <c r="Y38" i="19"/>
  <c r="X38" i="19"/>
  <c r="W38" i="19"/>
  <c r="V38" i="19"/>
  <c r="U38" i="19"/>
  <c r="T38" i="19"/>
  <c r="S38" i="19"/>
  <c r="Y37" i="19"/>
  <c r="X37" i="19"/>
  <c r="W37" i="19"/>
  <c r="V37" i="19"/>
  <c r="U37" i="19"/>
  <c r="T37" i="19"/>
  <c r="S37" i="19"/>
  <c r="Z36" i="19"/>
  <c r="AA36" i="19" s="1"/>
  <c r="C36" i="19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20" i="19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" i="19"/>
  <c r="C4" i="19" s="1"/>
  <c r="C5" i="19" s="1"/>
  <c r="C6" i="19" s="1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K78" i="18"/>
  <c r="CJ78" i="18"/>
  <c r="CI78" i="18"/>
  <c r="CH78" i="18"/>
  <c r="CG78" i="18"/>
  <c r="CF78" i="18"/>
  <c r="CE78" i="18"/>
  <c r="CD78" i="18"/>
  <c r="CC78" i="18"/>
  <c r="CB78" i="18"/>
  <c r="CA78" i="18"/>
  <c r="BZ78" i="18"/>
  <c r="BY78" i="18"/>
  <c r="BX78" i="18"/>
  <c r="BW78" i="18"/>
  <c r="BV78" i="18"/>
  <c r="BU78" i="18"/>
  <c r="BT78" i="18"/>
  <c r="BS78" i="18"/>
  <c r="BR78" i="18"/>
  <c r="BQ78" i="18"/>
  <c r="BP78" i="18"/>
  <c r="BO78" i="18"/>
  <c r="BN78" i="18"/>
  <c r="BM78" i="18"/>
  <c r="BL78" i="18"/>
  <c r="BK78" i="18"/>
  <c r="BJ78" i="18"/>
  <c r="BI78" i="18"/>
  <c r="BH78" i="18"/>
  <c r="BG78" i="18"/>
  <c r="BF78" i="18"/>
  <c r="BE78" i="18"/>
  <c r="BD78" i="18"/>
  <c r="BC78" i="18"/>
  <c r="BB78" i="18"/>
  <c r="BA78" i="18"/>
  <c r="AZ78" i="18"/>
  <c r="AY78" i="18"/>
  <c r="AX78" i="18"/>
  <c r="AW78" i="18"/>
  <c r="AV78" i="18"/>
  <c r="AU78" i="18"/>
  <c r="AT78" i="18"/>
  <c r="AS78" i="18"/>
  <c r="AR78" i="18"/>
  <c r="AQ78" i="18"/>
  <c r="AP78" i="18"/>
  <c r="AO78" i="18"/>
  <c r="AN78" i="18"/>
  <c r="AM78" i="18"/>
  <c r="AL78" i="18"/>
  <c r="AK78" i="18"/>
  <c r="AJ78" i="18"/>
  <c r="AI78" i="18"/>
  <c r="AH78" i="18"/>
  <c r="AG78" i="18"/>
  <c r="AF78" i="18"/>
  <c r="AE78" i="18"/>
  <c r="AD78" i="18"/>
  <c r="AC78" i="18"/>
  <c r="AB78" i="18"/>
  <c r="AA78" i="18"/>
  <c r="Z78" i="18"/>
  <c r="Y78" i="18"/>
  <c r="X78" i="18"/>
  <c r="W78" i="18"/>
  <c r="V78" i="18"/>
  <c r="U78" i="18"/>
  <c r="P77" i="18"/>
  <c r="S77" i="18" s="1"/>
  <c r="Q77" i="18" s="1"/>
  <c r="K77" i="18"/>
  <c r="L77" i="18" s="1"/>
  <c r="M77" i="18" s="1"/>
  <c r="H77" i="18"/>
  <c r="K76" i="18"/>
  <c r="L76" i="18" s="1"/>
  <c r="M76" i="18" s="1"/>
  <c r="H76" i="18"/>
  <c r="P75" i="18"/>
  <c r="S75" i="18" s="1"/>
  <c r="Q75" i="18" s="1"/>
  <c r="K75" i="18"/>
  <c r="L75" i="18" s="1"/>
  <c r="M75" i="18" s="1"/>
  <c r="H75" i="18"/>
  <c r="P74" i="18"/>
  <c r="S74" i="18" s="1"/>
  <c r="Q74" i="18" s="1"/>
  <c r="K74" i="18"/>
  <c r="L74" i="18" s="1"/>
  <c r="M74" i="18" s="1"/>
  <c r="H74" i="18"/>
  <c r="NU73" i="18"/>
  <c r="P73" i="18"/>
  <c r="S73" i="18" s="1"/>
  <c r="Q73" i="18" s="1"/>
  <c r="K73" i="18"/>
  <c r="L73" i="18" s="1"/>
  <c r="M73" i="18" s="1"/>
  <c r="H73" i="18"/>
  <c r="NU72" i="18"/>
  <c r="P72" i="18"/>
  <c r="S72" i="18" s="1"/>
  <c r="Q72" i="18" s="1"/>
  <c r="K72" i="18"/>
  <c r="L72" i="18" s="1"/>
  <c r="M72" i="18" s="1"/>
  <c r="H72" i="18"/>
  <c r="K71" i="18"/>
  <c r="L71" i="18" s="1"/>
  <c r="M71" i="18" s="1"/>
  <c r="H71" i="18"/>
  <c r="K70" i="18"/>
  <c r="L70" i="18" s="1"/>
  <c r="M70" i="18" s="1"/>
  <c r="H70" i="18"/>
  <c r="NP69" i="18"/>
  <c r="P69" i="18"/>
  <c r="S69" i="18" s="1"/>
  <c r="Q69" i="18" s="1"/>
  <c r="K69" i="18"/>
  <c r="L69" i="18" s="1"/>
  <c r="M69" i="18" s="1"/>
  <c r="H69" i="18"/>
  <c r="NA68" i="18"/>
  <c r="P68" i="18"/>
  <c r="S68" i="18" s="1"/>
  <c r="Q68" i="18" s="1"/>
  <c r="K68" i="18"/>
  <c r="L68" i="18" s="1"/>
  <c r="M68" i="18" s="1"/>
  <c r="H68" i="18"/>
  <c r="NA67" i="18"/>
  <c r="P67" i="18"/>
  <c r="S67" i="18" s="1"/>
  <c r="Q67" i="18" s="1"/>
  <c r="K67" i="18"/>
  <c r="L67" i="18" s="1"/>
  <c r="M67" i="18" s="1"/>
  <c r="H67" i="18"/>
  <c r="MV66" i="18"/>
  <c r="P66" i="18"/>
  <c r="S66" i="18" s="1"/>
  <c r="Q66" i="18" s="1"/>
  <c r="K66" i="18"/>
  <c r="L66" i="18" s="1"/>
  <c r="M66" i="18" s="1"/>
  <c r="H66" i="18"/>
  <c r="MQ65" i="18"/>
  <c r="P65" i="18"/>
  <c r="S65" i="18" s="1"/>
  <c r="Q65" i="18" s="1"/>
  <c r="K65" i="18"/>
  <c r="L65" i="18" s="1"/>
  <c r="M65" i="18" s="1"/>
  <c r="H65" i="18"/>
  <c r="K64" i="18"/>
  <c r="L64" i="18" s="1"/>
  <c r="M64" i="18" s="1"/>
  <c r="H64" i="18"/>
  <c r="K63" i="18"/>
  <c r="L63" i="18" s="1"/>
  <c r="M63" i="18" s="1"/>
  <c r="H63" i="18"/>
  <c r="MB62" i="18"/>
  <c r="P62" i="18"/>
  <c r="S62" i="18" s="1"/>
  <c r="Q62" i="18" s="1"/>
  <c r="K62" i="18"/>
  <c r="L62" i="18" s="1"/>
  <c r="M62" i="18" s="1"/>
  <c r="H62" i="18"/>
  <c r="LW61" i="18"/>
  <c r="P61" i="18"/>
  <c r="S61" i="18" s="1"/>
  <c r="Q61" i="18" s="1"/>
  <c r="K61" i="18"/>
  <c r="L61" i="18" s="1"/>
  <c r="M61" i="18" s="1"/>
  <c r="H61" i="18"/>
  <c r="LW60" i="18"/>
  <c r="P60" i="18"/>
  <c r="S60" i="18" s="1"/>
  <c r="Q60" i="18" s="1"/>
  <c r="K60" i="18"/>
  <c r="L60" i="18" s="1"/>
  <c r="M60" i="18" s="1"/>
  <c r="H60" i="18"/>
  <c r="K59" i="18"/>
  <c r="L59" i="18" s="1"/>
  <c r="M59" i="18" s="1"/>
  <c r="H59" i="18"/>
  <c r="LH58" i="18"/>
  <c r="P58" i="18"/>
  <c r="S58" i="18" s="1"/>
  <c r="Q58" i="18" s="1"/>
  <c r="K58" i="18"/>
  <c r="L58" i="18" s="1"/>
  <c r="M58" i="18" s="1"/>
  <c r="H58" i="18"/>
  <c r="LC57" i="18"/>
  <c r="P57" i="18"/>
  <c r="S57" i="18" s="1"/>
  <c r="Q57" i="18" s="1"/>
  <c r="K57" i="18"/>
  <c r="L57" i="18" s="1"/>
  <c r="M57" i="18" s="1"/>
  <c r="H57" i="18"/>
  <c r="K56" i="18"/>
  <c r="L56" i="18" s="1"/>
  <c r="M56" i="18" s="1"/>
  <c r="H56" i="18"/>
  <c r="K55" i="18"/>
  <c r="L55" i="18" s="1"/>
  <c r="M55" i="18" s="1"/>
  <c r="H55" i="18"/>
  <c r="K54" i="18"/>
  <c r="L54" i="18" s="1"/>
  <c r="M54" i="18" s="1"/>
  <c r="H54" i="18"/>
  <c r="LC53" i="18"/>
  <c r="P53" i="18"/>
  <c r="S53" i="18" s="1"/>
  <c r="Q53" i="18" s="1"/>
  <c r="K53" i="18"/>
  <c r="L53" i="18" s="1"/>
  <c r="M53" i="18" s="1"/>
  <c r="H53" i="18"/>
  <c r="KS52" i="18"/>
  <c r="P52" i="18"/>
  <c r="S52" i="18" s="1"/>
  <c r="Q52" i="18" s="1"/>
  <c r="K52" i="18"/>
  <c r="L52" i="18" s="1"/>
  <c r="M52" i="18" s="1"/>
  <c r="H52" i="18"/>
  <c r="KD51" i="18"/>
  <c r="P51" i="18"/>
  <c r="S51" i="18" s="1"/>
  <c r="Q51" i="18" s="1"/>
  <c r="K51" i="18"/>
  <c r="L51" i="18" s="1"/>
  <c r="M51" i="18" s="1"/>
  <c r="H51" i="18"/>
  <c r="K50" i="18"/>
  <c r="L50" i="18" s="1"/>
  <c r="M50" i="18" s="1"/>
  <c r="H50" i="18"/>
  <c r="K49" i="18"/>
  <c r="L49" i="18" s="1"/>
  <c r="M49" i="18" s="1"/>
  <c r="H49" i="18"/>
  <c r="K48" i="18"/>
  <c r="L48" i="18" s="1"/>
  <c r="M48" i="18" s="1"/>
  <c r="H48" i="18"/>
  <c r="K47" i="18"/>
  <c r="L47" i="18" s="1"/>
  <c r="M47" i="18" s="1"/>
  <c r="H47" i="18"/>
  <c r="K46" i="18"/>
  <c r="L46" i="18" s="1"/>
  <c r="M46" i="18" s="1"/>
  <c r="H46" i="18"/>
  <c r="K45" i="18"/>
  <c r="L45" i="18" s="1"/>
  <c r="M45" i="18" s="1"/>
  <c r="H45" i="18"/>
  <c r="MB44" i="18"/>
  <c r="P44" i="18"/>
  <c r="S44" i="18" s="1"/>
  <c r="Q44" i="18" s="1"/>
  <c r="K44" i="18"/>
  <c r="L44" i="18" s="1"/>
  <c r="M44" i="18" s="1"/>
  <c r="H44" i="18"/>
  <c r="JJ43" i="18"/>
  <c r="P43" i="18"/>
  <c r="S43" i="18" s="1"/>
  <c r="Q43" i="18" s="1"/>
  <c r="K43" i="18"/>
  <c r="L43" i="18" s="1"/>
  <c r="M43" i="18" s="1"/>
  <c r="H43" i="18"/>
  <c r="IZ42" i="18"/>
  <c r="P42" i="18"/>
  <c r="S42" i="18" s="1"/>
  <c r="Q42" i="18" s="1"/>
  <c r="K42" i="18"/>
  <c r="L42" i="18" s="1"/>
  <c r="M42" i="18" s="1"/>
  <c r="H42" i="18"/>
  <c r="IZ41" i="18"/>
  <c r="P41" i="18"/>
  <c r="S41" i="18" s="1"/>
  <c r="Q41" i="18" s="1"/>
  <c r="K41" i="18"/>
  <c r="L41" i="18" s="1"/>
  <c r="M41" i="18" s="1"/>
  <c r="H41" i="18"/>
  <c r="IU40" i="18"/>
  <c r="P40" i="18"/>
  <c r="S40" i="18" s="1"/>
  <c r="Q40" i="18" s="1"/>
  <c r="K40" i="18"/>
  <c r="L40" i="18" s="1"/>
  <c r="M40" i="18" s="1"/>
  <c r="H40" i="18"/>
  <c r="LK39" i="18"/>
  <c r="P39" i="18"/>
  <c r="S39" i="18" s="1"/>
  <c r="Q39" i="18" s="1"/>
  <c r="K39" i="18"/>
  <c r="L39" i="18" s="1"/>
  <c r="M39" i="18" s="1"/>
  <c r="H39" i="18"/>
  <c r="K38" i="18"/>
  <c r="L38" i="18" s="1"/>
  <c r="M38" i="18" s="1"/>
  <c r="H38" i="18"/>
  <c r="K37" i="18"/>
  <c r="L37" i="18" s="1"/>
  <c r="M37" i="18" s="1"/>
  <c r="H37" i="18"/>
  <c r="K36" i="18"/>
  <c r="L36" i="18" s="1"/>
  <c r="M36" i="18" s="1"/>
  <c r="H36" i="18"/>
  <c r="K35" i="18"/>
  <c r="L35" i="18" s="1"/>
  <c r="M35" i="18" s="1"/>
  <c r="H35" i="18"/>
  <c r="K34" i="18"/>
  <c r="L34" i="18" s="1"/>
  <c r="M34" i="18" s="1"/>
  <c r="H34" i="18"/>
  <c r="K33" i="18"/>
  <c r="L33" i="18" s="1"/>
  <c r="M33" i="18" s="1"/>
  <c r="H33" i="18"/>
  <c r="GR32" i="18"/>
  <c r="P32" i="18"/>
  <c r="S32" i="18" s="1"/>
  <c r="Q32" i="18" s="1"/>
  <c r="K32" i="18"/>
  <c r="L32" i="18" s="1"/>
  <c r="M32" i="18" s="1"/>
  <c r="H32" i="18"/>
  <c r="GR31" i="18"/>
  <c r="P31" i="18"/>
  <c r="S31" i="18" s="1"/>
  <c r="Q31" i="18" s="1"/>
  <c r="K31" i="18"/>
  <c r="L31" i="18" s="1"/>
  <c r="M31" i="18" s="1"/>
  <c r="H31" i="18"/>
  <c r="GM30" i="18"/>
  <c r="P30" i="18"/>
  <c r="S30" i="18" s="1"/>
  <c r="Q30" i="18" s="1"/>
  <c r="K30" i="18"/>
  <c r="L30" i="18" s="1"/>
  <c r="M30" i="18" s="1"/>
  <c r="H30" i="18"/>
  <c r="IF29" i="18"/>
  <c r="P29" i="18"/>
  <c r="S29" i="18" s="1"/>
  <c r="K29" i="18"/>
  <c r="L29" i="18" s="1"/>
  <c r="M29" i="18" s="1"/>
  <c r="H29" i="18"/>
  <c r="IF28" i="18"/>
  <c r="P28" i="18"/>
  <c r="S28" i="18" s="1"/>
  <c r="Q28" i="18" s="1"/>
  <c r="K28" i="18"/>
  <c r="L28" i="18" s="1"/>
  <c r="M28" i="18" s="1"/>
  <c r="H28" i="18"/>
  <c r="IF27" i="18"/>
  <c r="P27" i="18"/>
  <c r="S27" i="18" s="1"/>
  <c r="K27" i="18"/>
  <c r="L27" i="18" s="1"/>
  <c r="M27" i="18" s="1"/>
  <c r="H27" i="18"/>
  <c r="K26" i="18"/>
  <c r="L26" i="18" s="1"/>
  <c r="M26" i="18" s="1"/>
  <c r="H26" i="18"/>
  <c r="K25" i="18"/>
  <c r="L25" i="18" s="1"/>
  <c r="M25" i="18" s="1"/>
  <c r="H25" i="18"/>
  <c r="K24" i="18"/>
  <c r="L24" i="18" s="1"/>
  <c r="M24" i="18" s="1"/>
  <c r="H24" i="18"/>
  <c r="K23" i="18"/>
  <c r="L23" i="18" s="1"/>
  <c r="M23" i="18" s="1"/>
  <c r="H23" i="18"/>
  <c r="K22" i="18"/>
  <c r="L22" i="18" s="1"/>
  <c r="M22" i="18" s="1"/>
  <c r="H22" i="18"/>
  <c r="K21" i="18"/>
  <c r="L21" i="18" s="1"/>
  <c r="M21" i="18" s="1"/>
  <c r="H21" i="18"/>
  <c r="EE20" i="18"/>
  <c r="P20" i="18"/>
  <c r="S20" i="18" s="1"/>
  <c r="Q20" i="18" s="1"/>
  <c r="K20" i="18"/>
  <c r="L20" i="18" s="1"/>
  <c r="M20" i="18" s="1"/>
  <c r="H20" i="18"/>
  <c r="EE19" i="18"/>
  <c r="P19" i="18"/>
  <c r="S19" i="18" s="1"/>
  <c r="Q19" i="18" s="1"/>
  <c r="K19" i="18"/>
  <c r="L19" i="18" s="1"/>
  <c r="M19" i="18" s="1"/>
  <c r="H19" i="18"/>
  <c r="EE18" i="18"/>
  <c r="P18" i="18"/>
  <c r="S18" i="18" s="1"/>
  <c r="Q18" i="18" s="1"/>
  <c r="K18" i="18"/>
  <c r="L18" i="18" s="1"/>
  <c r="M18" i="18" s="1"/>
  <c r="H18" i="18"/>
  <c r="GC17" i="18"/>
  <c r="P17" i="18"/>
  <c r="S17" i="18" s="1"/>
  <c r="K17" i="18"/>
  <c r="L17" i="18" s="1"/>
  <c r="M17" i="18" s="1"/>
  <c r="H17" i="18"/>
  <c r="GC16" i="18"/>
  <c r="P16" i="18"/>
  <c r="S16" i="18" s="1"/>
  <c r="K16" i="18"/>
  <c r="L16" i="18" s="1"/>
  <c r="M16" i="18" s="1"/>
  <c r="H16" i="18"/>
  <c r="FS15" i="18"/>
  <c r="P15" i="18"/>
  <c r="S15" i="18" s="1"/>
  <c r="K15" i="18"/>
  <c r="L15" i="18" s="1"/>
  <c r="M15" i="18" s="1"/>
  <c r="H15" i="18"/>
  <c r="K14" i="18"/>
  <c r="L14" i="18" s="1"/>
  <c r="M14" i="18" s="1"/>
  <c r="H14" i="18"/>
  <c r="K13" i="18"/>
  <c r="L13" i="18" s="1"/>
  <c r="M13" i="18" s="1"/>
  <c r="H13" i="18"/>
  <c r="K12" i="18"/>
  <c r="L12" i="18" s="1"/>
  <c r="M12" i="18" s="1"/>
  <c r="H12" i="18"/>
  <c r="K11" i="18"/>
  <c r="L11" i="18" s="1"/>
  <c r="M11" i="18" s="1"/>
  <c r="H11" i="18"/>
  <c r="K10" i="18"/>
  <c r="L10" i="18" s="1"/>
  <c r="M10" i="18" s="1"/>
  <c r="H10" i="18"/>
  <c r="K9" i="18"/>
  <c r="L9" i="18" s="1"/>
  <c r="M9" i="18" s="1"/>
  <c r="H9" i="18"/>
  <c r="CL8" i="18"/>
  <c r="P8" i="18"/>
  <c r="S8" i="18" s="1"/>
  <c r="K8" i="18"/>
  <c r="L8" i="18" s="1"/>
  <c r="M8" i="18" s="1"/>
  <c r="H8" i="18"/>
  <c r="CL7" i="18"/>
  <c r="P7" i="18"/>
  <c r="S7" i="18" s="1"/>
  <c r="K7" i="18"/>
  <c r="L7" i="18" s="1"/>
  <c r="M7" i="18" s="1"/>
  <c r="H7" i="18"/>
  <c r="CL6" i="18"/>
  <c r="P6" i="18"/>
  <c r="S6" i="18" s="1"/>
  <c r="K6" i="18"/>
  <c r="L6" i="18" s="1"/>
  <c r="M6" i="18" s="1"/>
  <c r="H6" i="18"/>
  <c r="EJ5" i="18"/>
  <c r="P5" i="18"/>
  <c r="S5" i="18" s="1"/>
  <c r="K5" i="18"/>
  <c r="L5" i="18" s="1"/>
  <c r="M5" i="18" s="1"/>
  <c r="H5" i="18"/>
  <c r="EJ4" i="18"/>
  <c r="P4" i="18"/>
  <c r="S4" i="18" s="1"/>
  <c r="K4" i="18"/>
  <c r="L4" i="18" s="1"/>
  <c r="M4" i="18" s="1"/>
  <c r="H4" i="18"/>
  <c r="EJ3" i="18"/>
  <c r="P3" i="18"/>
  <c r="S3" i="18" s="1"/>
  <c r="K3" i="18"/>
  <c r="L3" i="18" s="1"/>
  <c r="M3" i="18" s="1"/>
  <c r="H3" i="18"/>
  <c r="U2" i="18"/>
  <c r="V2" i="18" s="1"/>
  <c r="W2" i="18" s="1"/>
  <c r="X2" i="18" s="1"/>
  <c r="Y2" i="18" s="1"/>
  <c r="Z2" i="18" s="1"/>
  <c r="AA2" i="18" s="1"/>
  <c r="AB2" i="18" s="1"/>
  <c r="AC2" i="18" s="1"/>
  <c r="AD2" i="18" s="1"/>
  <c r="AE2" i="18" s="1"/>
  <c r="AF2" i="18" s="1"/>
  <c r="AG2" i="18" s="1"/>
  <c r="AH2" i="18" s="1"/>
  <c r="AI2" i="18" s="1"/>
  <c r="AJ2" i="18" s="1"/>
  <c r="AK2" i="18" s="1"/>
  <c r="AL2" i="18" s="1"/>
  <c r="AM2" i="18" s="1"/>
  <c r="AN2" i="18" s="1"/>
  <c r="AO2" i="18" s="1"/>
  <c r="AP2" i="18" s="1"/>
  <c r="AQ2" i="18" s="1"/>
  <c r="AR2" i="18" s="1"/>
  <c r="AS2" i="18" s="1"/>
  <c r="AT2" i="18" s="1"/>
  <c r="AU2" i="18" s="1"/>
  <c r="AV2" i="18" s="1"/>
  <c r="AW2" i="18" s="1"/>
  <c r="AX2" i="18" s="1"/>
  <c r="AY2" i="18" s="1"/>
  <c r="AZ2" i="18" s="1"/>
  <c r="BA2" i="18" s="1"/>
  <c r="BB2" i="18" s="1"/>
  <c r="BC2" i="18" s="1"/>
  <c r="BD2" i="18" s="1"/>
  <c r="BE2" i="18" s="1"/>
  <c r="BF2" i="18" s="1"/>
  <c r="BG2" i="18" s="1"/>
  <c r="BH2" i="18" s="1"/>
  <c r="BI2" i="18" s="1"/>
  <c r="BJ2" i="18" s="1"/>
  <c r="BK2" i="18" s="1"/>
  <c r="BL2" i="18" s="1"/>
  <c r="BM2" i="18" s="1"/>
  <c r="BN2" i="18" s="1"/>
  <c r="BO2" i="18" s="1"/>
  <c r="BP2" i="18" s="1"/>
  <c r="BQ2" i="18" s="1"/>
  <c r="BR2" i="18" s="1"/>
  <c r="BS2" i="18" s="1"/>
  <c r="BT2" i="18" s="1"/>
  <c r="BU2" i="18" s="1"/>
  <c r="BV2" i="18" s="1"/>
  <c r="BW2" i="18" s="1"/>
  <c r="BX2" i="18" s="1"/>
  <c r="BY2" i="18" s="1"/>
  <c r="BZ2" i="18" s="1"/>
  <c r="CA2" i="18" s="1"/>
  <c r="CB2" i="18" s="1"/>
  <c r="CC2" i="18" s="1"/>
  <c r="CD2" i="18" s="1"/>
  <c r="CE2" i="18" s="1"/>
  <c r="CF2" i="18" s="1"/>
  <c r="CG2" i="18" s="1"/>
  <c r="CH2" i="18" s="1"/>
  <c r="CI2" i="18" s="1"/>
  <c r="CJ2" i="18" s="1"/>
  <c r="CK2" i="18" s="1"/>
  <c r="CL2" i="18" s="1"/>
  <c r="CM2" i="18" s="1"/>
  <c r="CN2" i="18" s="1"/>
  <c r="CO2" i="18" s="1"/>
  <c r="CP2" i="18" s="1"/>
  <c r="CQ2" i="18" s="1"/>
  <c r="CR2" i="18" s="1"/>
  <c r="CS2" i="18" s="1"/>
  <c r="CT2" i="18" s="1"/>
  <c r="CU2" i="18" s="1"/>
  <c r="CV2" i="18" s="1"/>
  <c r="CW2" i="18" s="1"/>
  <c r="CX2" i="18" s="1"/>
  <c r="CY2" i="18" s="1"/>
  <c r="CZ2" i="18" s="1"/>
  <c r="DA2" i="18" s="1"/>
  <c r="DB2" i="18" s="1"/>
  <c r="DC2" i="18" s="1"/>
  <c r="DD2" i="18" s="1"/>
  <c r="DE2" i="18" s="1"/>
  <c r="DF2" i="18" s="1"/>
  <c r="DG2" i="18" s="1"/>
  <c r="DH2" i="18" s="1"/>
  <c r="DI2" i="18" s="1"/>
  <c r="DJ2" i="18" s="1"/>
  <c r="DK2" i="18" s="1"/>
  <c r="DL2" i="18" s="1"/>
  <c r="DM2" i="18" s="1"/>
  <c r="DN2" i="18" s="1"/>
  <c r="DO2" i="18" s="1"/>
  <c r="DP2" i="18" s="1"/>
  <c r="DQ2" i="18" s="1"/>
  <c r="DR2" i="18" s="1"/>
  <c r="DS2" i="18" s="1"/>
  <c r="DT2" i="18" s="1"/>
  <c r="DU2" i="18" s="1"/>
  <c r="DV2" i="18" s="1"/>
  <c r="DW2" i="18" s="1"/>
  <c r="DX2" i="18" s="1"/>
  <c r="DY2" i="18" s="1"/>
  <c r="DZ2" i="18" s="1"/>
  <c r="EA2" i="18" s="1"/>
  <c r="EB2" i="18" s="1"/>
  <c r="EC2" i="18" s="1"/>
  <c r="ED2" i="18" s="1"/>
  <c r="EE2" i="18" s="1"/>
  <c r="EF2" i="18" s="1"/>
  <c r="EG2" i="18" s="1"/>
  <c r="EH2" i="18" s="1"/>
  <c r="EI2" i="18" s="1"/>
  <c r="EJ2" i="18" s="1"/>
  <c r="EK2" i="18" s="1"/>
  <c r="EL2" i="18" s="1"/>
  <c r="EM2" i="18" s="1"/>
  <c r="EN2" i="18" s="1"/>
  <c r="EO2" i="18" s="1"/>
  <c r="EP2" i="18" s="1"/>
  <c r="EQ2" i="18" s="1"/>
  <c r="ER2" i="18" s="1"/>
  <c r="ES2" i="18" s="1"/>
  <c r="ET2" i="18" s="1"/>
  <c r="EU2" i="18" s="1"/>
  <c r="EV2" i="18" s="1"/>
  <c r="EW2" i="18" s="1"/>
  <c r="EX2" i="18" s="1"/>
  <c r="EY2" i="18" s="1"/>
  <c r="EZ2" i="18" s="1"/>
  <c r="FA2" i="18" s="1"/>
  <c r="FB2" i="18" s="1"/>
  <c r="FC2" i="18" s="1"/>
  <c r="FD2" i="18" s="1"/>
  <c r="FE2" i="18" s="1"/>
  <c r="FF2" i="18" s="1"/>
  <c r="FG2" i="18" s="1"/>
  <c r="FH2" i="18" s="1"/>
  <c r="FI2" i="18" s="1"/>
  <c r="FJ2" i="18" s="1"/>
  <c r="FK2" i="18" s="1"/>
  <c r="FL2" i="18" s="1"/>
  <c r="FM2" i="18" s="1"/>
  <c r="FN2" i="18" s="1"/>
  <c r="FO2" i="18" s="1"/>
  <c r="FP2" i="18" s="1"/>
  <c r="FQ2" i="18" s="1"/>
  <c r="FR2" i="18" s="1"/>
  <c r="FS2" i="18" s="1"/>
  <c r="FT2" i="18" s="1"/>
  <c r="FU2" i="18" s="1"/>
  <c r="FV2" i="18" s="1"/>
  <c r="FW2" i="18" s="1"/>
  <c r="FX2" i="18" s="1"/>
  <c r="FY2" i="18" s="1"/>
  <c r="FZ2" i="18" s="1"/>
  <c r="GA2" i="18" s="1"/>
  <c r="GB2" i="18" s="1"/>
  <c r="GC2" i="18" s="1"/>
  <c r="GD2" i="18" s="1"/>
  <c r="GE2" i="18" s="1"/>
  <c r="GF2" i="18" s="1"/>
  <c r="GG2" i="18" s="1"/>
  <c r="GH2" i="18" s="1"/>
  <c r="GI2" i="18" s="1"/>
  <c r="GJ2" i="18" s="1"/>
  <c r="GK2" i="18" s="1"/>
  <c r="GL2" i="18" s="1"/>
  <c r="GM2" i="18" s="1"/>
  <c r="GN2" i="18" s="1"/>
  <c r="GO2" i="18" s="1"/>
  <c r="GP2" i="18" s="1"/>
  <c r="GQ2" i="18" s="1"/>
  <c r="GR2" i="18" s="1"/>
  <c r="GS2" i="18" s="1"/>
  <c r="GT2" i="18" s="1"/>
  <c r="GU2" i="18" s="1"/>
  <c r="GV2" i="18" s="1"/>
  <c r="GW2" i="18" s="1"/>
  <c r="GX2" i="18" s="1"/>
  <c r="GY2" i="18" s="1"/>
  <c r="GZ2" i="18" s="1"/>
  <c r="HA2" i="18" s="1"/>
  <c r="HB2" i="18" s="1"/>
  <c r="HC2" i="18" s="1"/>
  <c r="HD2" i="18" s="1"/>
  <c r="HE2" i="18" s="1"/>
  <c r="HF2" i="18" s="1"/>
  <c r="HG2" i="18" s="1"/>
  <c r="HH2" i="18" s="1"/>
  <c r="HI2" i="18" s="1"/>
  <c r="HJ2" i="18" s="1"/>
  <c r="HK2" i="18" s="1"/>
  <c r="HL2" i="18" s="1"/>
  <c r="HM2" i="18" s="1"/>
  <c r="HN2" i="18" s="1"/>
  <c r="HO2" i="18" s="1"/>
  <c r="HP2" i="18" s="1"/>
  <c r="HQ2" i="18" s="1"/>
  <c r="HR2" i="18" s="1"/>
  <c r="HS2" i="18" s="1"/>
  <c r="HT2" i="18" s="1"/>
  <c r="HU2" i="18" s="1"/>
  <c r="HV2" i="18" s="1"/>
  <c r="HW2" i="18" s="1"/>
  <c r="HX2" i="18" s="1"/>
  <c r="HY2" i="18" s="1"/>
  <c r="HZ2" i="18" s="1"/>
  <c r="IA2" i="18" s="1"/>
  <c r="IB2" i="18" s="1"/>
  <c r="IC2" i="18" s="1"/>
  <c r="ID2" i="18" s="1"/>
  <c r="IE2" i="18" s="1"/>
  <c r="IF2" i="18" s="1"/>
  <c r="IG2" i="18" s="1"/>
  <c r="IH2" i="18" s="1"/>
  <c r="II2" i="18" s="1"/>
  <c r="IJ2" i="18" s="1"/>
  <c r="IK2" i="18" s="1"/>
  <c r="IL2" i="18" s="1"/>
  <c r="IM2" i="18" s="1"/>
  <c r="IN2" i="18" s="1"/>
  <c r="IO2" i="18" s="1"/>
  <c r="IP2" i="18" s="1"/>
  <c r="IQ2" i="18" s="1"/>
  <c r="IR2" i="18" s="1"/>
  <c r="IS2" i="18" s="1"/>
  <c r="IT2" i="18" s="1"/>
  <c r="IU2" i="18" s="1"/>
  <c r="IV2" i="18" s="1"/>
  <c r="IW2" i="18" s="1"/>
  <c r="IX2" i="18" s="1"/>
  <c r="IY2" i="18" s="1"/>
  <c r="IZ2" i="18" s="1"/>
  <c r="JA2" i="18" s="1"/>
  <c r="JB2" i="18" s="1"/>
  <c r="JC2" i="18" s="1"/>
  <c r="JD2" i="18" s="1"/>
  <c r="JE2" i="18" s="1"/>
  <c r="JF2" i="18" s="1"/>
  <c r="JG2" i="18" s="1"/>
  <c r="JH2" i="18" s="1"/>
  <c r="JI2" i="18" s="1"/>
  <c r="JJ2" i="18" s="1"/>
  <c r="JK2" i="18" s="1"/>
  <c r="JL2" i="18" s="1"/>
  <c r="JM2" i="18" s="1"/>
  <c r="JN2" i="18" s="1"/>
  <c r="JO2" i="18" s="1"/>
  <c r="JP2" i="18" s="1"/>
  <c r="JQ2" i="18" s="1"/>
  <c r="JR2" i="18" s="1"/>
  <c r="JS2" i="18" s="1"/>
  <c r="JT2" i="18" s="1"/>
  <c r="JU2" i="18" s="1"/>
  <c r="JV2" i="18" s="1"/>
  <c r="JW2" i="18" s="1"/>
  <c r="JX2" i="18" s="1"/>
  <c r="JY2" i="18" s="1"/>
  <c r="JZ2" i="18" s="1"/>
  <c r="KA2" i="18" s="1"/>
  <c r="KB2" i="18" s="1"/>
  <c r="KC2" i="18" s="1"/>
  <c r="KD2" i="18" s="1"/>
  <c r="KE2" i="18" s="1"/>
  <c r="KF2" i="18" s="1"/>
  <c r="KG2" i="18" s="1"/>
  <c r="KH2" i="18" s="1"/>
  <c r="KI2" i="18" s="1"/>
  <c r="KJ2" i="18" s="1"/>
  <c r="KK2" i="18" s="1"/>
  <c r="KL2" i="18" s="1"/>
  <c r="KM2" i="18" s="1"/>
  <c r="KN2" i="18" s="1"/>
  <c r="KO2" i="18" s="1"/>
  <c r="KP2" i="18" s="1"/>
  <c r="KQ2" i="18" s="1"/>
  <c r="KR2" i="18" s="1"/>
  <c r="KS2" i="18" s="1"/>
  <c r="KT2" i="18" s="1"/>
  <c r="KU2" i="18" s="1"/>
  <c r="KV2" i="18" s="1"/>
  <c r="KW2" i="18" s="1"/>
  <c r="KX2" i="18" s="1"/>
  <c r="KY2" i="18" s="1"/>
  <c r="KZ2" i="18" s="1"/>
  <c r="LA2" i="18" s="1"/>
  <c r="LB2" i="18" s="1"/>
  <c r="LC2" i="18" s="1"/>
  <c r="LD2" i="18" s="1"/>
  <c r="LE2" i="18" s="1"/>
  <c r="LF2" i="18" s="1"/>
  <c r="LG2" i="18" s="1"/>
  <c r="LH2" i="18" s="1"/>
  <c r="LI2" i="18" s="1"/>
  <c r="LJ2" i="18" s="1"/>
  <c r="LK2" i="18" s="1"/>
  <c r="LL2" i="18" s="1"/>
  <c r="LM2" i="18" s="1"/>
  <c r="LN2" i="18" s="1"/>
  <c r="LO2" i="18" s="1"/>
  <c r="LP2" i="18" s="1"/>
  <c r="LQ2" i="18" s="1"/>
  <c r="LR2" i="18" s="1"/>
  <c r="LS2" i="18" s="1"/>
  <c r="LT2" i="18" s="1"/>
  <c r="LU2" i="18" s="1"/>
  <c r="LV2" i="18" s="1"/>
  <c r="LW2" i="18" s="1"/>
  <c r="LX2" i="18" s="1"/>
  <c r="LY2" i="18" s="1"/>
  <c r="LZ2" i="18" s="1"/>
  <c r="MA2" i="18" s="1"/>
  <c r="MB2" i="18" s="1"/>
  <c r="MC2" i="18" s="1"/>
  <c r="MD2" i="18" s="1"/>
  <c r="ME2" i="18" s="1"/>
  <c r="MF2" i="18" s="1"/>
  <c r="MG2" i="18" s="1"/>
  <c r="MH2" i="18" s="1"/>
  <c r="MI2" i="18" s="1"/>
  <c r="MJ2" i="18" s="1"/>
  <c r="MK2" i="18" s="1"/>
  <c r="ML2" i="18" s="1"/>
  <c r="MM2" i="18" s="1"/>
  <c r="MN2" i="18" s="1"/>
  <c r="MO2" i="18" s="1"/>
  <c r="MP2" i="18" s="1"/>
  <c r="MQ2" i="18" s="1"/>
  <c r="MR2" i="18" s="1"/>
  <c r="MS2" i="18" s="1"/>
  <c r="MT2" i="18" s="1"/>
  <c r="MU2" i="18" s="1"/>
  <c r="MV2" i="18" s="1"/>
  <c r="MW2" i="18" s="1"/>
  <c r="MX2" i="18" s="1"/>
  <c r="MY2" i="18" s="1"/>
  <c r="MZ2" i="18" s="1"/>
  <c r="NA2" i="18" s="1"/>
  <c r="NB2" i="18" s="1"/>
  <c r="NC2" i="18" s="1"/>
  <c r="ND2" i="18" s="1"/>
  <c r="NE2" i="18" s="1"/>
  <c r="NF2" i="18" s="1"/>
  <c r="NG2" i="18" s="1"/>
  <c r="NH2" i="18" s="1"/>
  <c r="NI2" i="18" s="1"/>
  <c r="NJ2" i="18" s="1"/>
  <c r="NK2" i="18" s="1"/>
  <c r="NL2" i="18" s="1"/>
  <c r="NM2" i="18" s="1"/>
  <c r="NN2" i="18" s="1"/>
  <c r="NO2" i="18" s="1"/>
  <c r="NP2" i="18" s="1"/>
  <c r="NQ2" i="18" s="1"/>
  <c r="NR2" i="18" s="1"/>
  <c r="NS2" i="18" s="1"/>
  <c r="NT2" i="18" s="1"/>
  <c r="NU2" i="18" s="1"/>
  <c r="AI23" i="29" l="1"/>
  <c r="AJ22" i="29"/>
  <c r="AK22" i="29"/>
  <c r="AE23" i="26"/>
  <c r="AF22" i="26"/>
  <c r="AH22" i="26"/>
  <c r="AG22" i="26"/>
  <c r="AI23" i="26"/>
  <c r="AJ22" i="26"/>
  <c r="AK22" i="26"/>
  <c r="AE23" i="29"/>
  <c r="AG22" i="29"/>
  <c r="AF22" i="29"/>
  <c r="AH22" i="29"/>
  <c r="R19" i="18"/>
  <c r="R53" i="18"/>
  <c r="R73" i="18"/>
  <c r="R62" i="18"/>
  <c r="R40" i="18"/>
  <c r="R51" i="18"/>
  <c r="MC44" i="18"/>
  <c r="MD44" i="18" s="1"/>
  <c r="ME44" i="18" s="1"/>
  <c r="MF44" i="18" s="1"/>
  <c r="MG44" i="18" s="1"/>
  <c r="MH44" i="18" s="1"/>
  <c r="MI44" i="18" s="1"/>
  <c r="MJ44" i="18" s="1"/>
  <c r="MK44" i="18" s="1"/>
  <c r="ML44" i="18" s="1"/>
  <c r="MM44" i="18" s="1"/>
  <c r="MN44" i="18" s="1"/>
  <c r="MO44" i="18" s="1"/>
  <c r="MP44" i="18" s="1"/>
  <c r="MQ44" i="18" s="1"/>
  <c r="MR44" i="18" s="1"/>
  <c r="MS44" i="18" s="1"/>
  <c r="MT44" i="18" s="1"/>
  <c r="MU44" i="18" s="1"/>
  <c r="MV44" i="18" s="1"/>
  <c r="MW44" i="18" s="1"/>
  <c r="MX44" i="18" s="1"/>
  <c r="MY44" i="18" s="1"/>
  <c r="MZ44" i="18" s="1"/>
  <c r="NA44" i="18" s="1"/>
  <c r="NB44" i="18" s="1"/>
  <c r="NC44" i="18" s="1"/>
  <c r="ND44" i="18" s="1"/>
  <c r="NE44" i="18" s="1"/>
  <c r="NF44" i="18" s="1"/>
  <c r="NG44" i="18" s="1"/>
  <c r="NH44" i="18" s="1"/>
  <c r="NI44" i="18" s="1"/>
  <c r="NJ44" i="18" s="1"/>
  <c r="NK44" i="18" s="1"/>
  <c r="NL44" i="18" s="1"/>
  <c r="NM44" i="18" s="1"/>
  <c r="NN44" i="18" s="1"/>
  <c r="NO44" i="18" s="1"/>
  <c r="NP44" i="18" s="1"/>
  <c r="NQ44" i="18" s="1"/>
  <c r="NR44" i="18" s="1"/>
  <c r="NS44" i="18" s="1"/>
  <c r="NT44" i="18" s="1"/>
  <c r="NU44" i="18" s="1"/>
  <c r="MW66" i="18"/>
  <c r="MX66" i="18" s="1"/>
  <c r="MY66" i="18" s="1"/>
  <c r="MZ66" i="18" s="1"/>
  <c r="NA66" i="18" s="1"/>
  <c r="NB66" i="18" s="1"/>
  <c r="NC66" i="18" s="1"/>
  <c r="ND66" i="18" s="1"/>
  <c r="NE66" i="18" s="1"/>
  <c r="NF66" i="18" s="1"/>
  <c r="NG66" i="18" s="1"/>
  <c r="NH66" i="18" s="1"/>
  <c r="NI66" i="18" s="1"/>
  <c r="NJ66" i="18" s="1"/>
  <c r="NK66" i="18" s="1"/>
  <c r="NL66" i="18" s="1"/>
  <c r="NM66" i="18" s="1"/>
  <c r="NN66" i="18" s="1"/>
  <c r="NO66" i="18" s="1"/>
  <c r="NP66" i="18" s="1"/>
  <c r="NQ66" i="18" s="1"/>
  <c r="NR66" i="18" s="1"/>
  <c r="NS66" i="18" s="1"/>
  <c r="NT66" i="18" s="1"/>
  <c r="NU66" i="18" s="1"/>
  <c r="R43" i="18"/>
  <c r="R20" i="18"/>
  <c r="R32" i="18"/>
  <c r="EF20" i="18"/>
  <c r="EG20" i="18" s="1"/>
  <c r="EH20" i="18" s="1"/>
  <c r="EI20" i="18" s="1"/>
  <c r="EJ20" i="18" s="1"/>
  <c r="EK20" i="18" s="1"/>
  <c r="EL20" i="18" s="1"/>
  <c r="EM20" i="18" s="1"/>
  <c r="EN20" i="18" s="1"/>
  <c r="EO20" i="18" s="1"/>
  <c r="EP20" i="18" s="1"/>
  <c r="EQ20" i="18" s="1"/>
  <c r="ER20" i="18" s="1"/>
  <c r="ES20" i="18" s="1"/>
  <c r="ET20" i="18" s="1"/>
  <c r="EU20" i="18" s="1"/>
  <c r="EV20" i="18" s="1"/>
  <c r="EW20" i="18" s="1"/>
  <c r="EX20" i="18" s="1"/>
  <c r="EY20" i="18" s="1"/>
  <c r="EZ20" i="18" s="1"/>
  <c r="FA20" i="18" s="1"/>
  <c r="FB20" i="18" s="1"/>
  <c r="FC20" i="18" s="1"/>
  <c r="FD20" i="18" s="1"/>
  <c r="FE20" i="18" s="1"/>
  <c r="FF20" i="18" s="1"/>
  <c r="FG20" i="18" s="1"/>
  <c r="FH20" i="18" s="1"/>
  <c r="FI20" i="18" s="1"/>
  <c r="FJ20" i="18" s="1"/>
  <c r="FK20" i="18" s="1"/>
  <c r="FL20" i="18" s="1"/>
  <c r="FM20" i="18" s="1"/>
  <c r="FN20" i="18" s="1"/>
  <c r="FO20" i="18" s="1"/>
  <c r="FP20" i="18" s="1"/>
  <c r="FQ20" i="18" s="1"/>
  <c r="FR20" i="18" s="1"/>
  <c r="FS20" i="18" s="1"/>
  <c r="FT20" i="18" s="1"/>
  <c r="FU20" i="18" s="1"/>
  <c r="FV20" i="18" s="1"/>
  <c r="FW20" i="18" s="1"/>
  <c r="FX20" i="18" s="1"/>
  <c r="FY20" i="18" s="1"/>
  <c r="FZ20" i="18" s="1"/>
  <c r="GA20" i="18" s="1"/>
  <c r="GB20" i="18" s="1"/>
  <c r="GC20" i="18" s="1"/>
  <c r="GD20" i="18" s="1"/>
  <c r="GE20" i="18" s="1"/>
  <c r="GF20" i="18" s="1"/>
  <c r="GG20" i="18" s="1"/>
  <c r="GH20" i="18" s="1"/>
  <c r="GI20" i="18" s="1"/>
  <c r="GJ20" i="18" s="1"/>
  <c r="GK20" i="18" s="1"/>
  <c r="GL20" i="18" s="1"/>
  <c r="GM20" i="18" s="1"/>
  <c r="GN20" i="18" s="1"/>
  <c r="GO20" i="18" s="1"/>
  <c r="GP20" i="18" s="1"/>
  <c r="GQ20" i="18" s="1"/>
  <c r="GR20" i="18" s="1"/>
  <c r="GS20" i="18" s="1"/>
  <c r="GT20" i="18" s="1"/>
  <c r="GU20" i="18" s="1"/>
  <c r="GV20" i="18" s="1"/>
  <c r="GW20" i="18" s="1"/>
  <c r="GX20" i="18" s="1"/>
  <c r="GY20" i="18" s="1"/>
  <c r="GZ20" i="18" s="1"/>
  <c r="HA20" i="18" s="1"/>
  <c r="HB20" i="18" s="1"/>
  <c r="HC20" i="18" s="1"/>
  <c r="HD20" i="18" s="1"/>
  <c r="HE20" i="18" s="1"/>
  <c r="HF20" i="18" s="1"/>
  <c r="HG20" i="18" s="1"/>
  <c r="HH20" i="18" s="1"/>
  <c r="HI20" i="18" s="1"/>
  <c r="HJ20" i="18" s="1"/>
  <c r="HK20" i="18" s="1"/>
  <c r="HL20" i="18" s="1"/>
  <c r="HM20" i="18" s="1"/>
  <c r="HN20" i="18" s="1"/>
  <c r="HO20" i="18" s="1"/>
  <c r="HP20" i="18" s="1"/>
  <c r="HQ20" i="18" s="1"/>
  <c r="HR20" i="18" s="1"/>
  <c r="HS20" i="18" s="1"/>
  <c r="HT20" i="18" s="1"/>
  <c r="HU20" i="18" s="1"/>
  <c r="HV20" i="18" s="1"/>
  <c r="HW20" i="18" s="1"/>
  <c r="HX20" i="18" s="1"/>
  <c r="HY20" i="18" s="1"/>
  <c r="HZ20" i="18" s="1"/>
  <c r="IA20" i="18" s="1"/>
  <c r="IB20" i="18" s="1"/>
  <c r="IC20" i="18" s="1"/>
  <c r="ID20" i="18" s="1"/>
  <c r="IE20" i="18" s="1"/>
  <c r="IF20" i="18" s="1"/>
  <c r="IG20" i="18" s="1"/>
  <c r="IH20" i="18" s="1"/>
  <c r="II20" i="18" s="1"/>
  <c r="IJ20" i="18" s="1"/>
  <c r="IK20" i="18" s="1"/>
  <c r="IL20" i="18" s="1"/>
  <c r="IM20" i="18" s="1"/>
  <c r="IN20" i="18" s="1"/>
  <c r="IO20" i="18" s="1"/>
  <c r="IP20" i="18" s="1"/>
  <c r="IQ20" i="18" s="1"/>
  <c r="IR20" i="18" s="1"/>
  <c r="IS20" i="18" s="1"/>
  <c r="IT20" i="18" s="1"/>
  <c r="IU20" i="18" s="1"/>
  <c r="IV20" i="18" s="1"/>
  <c r="IW20" i="18" s="1"/>
  <c r="IX20" i="18" s="1"/>
  <c r="IY20" i="18" s="1"/>
  <c r="IZ20" i="18" s="1"/>
  <c r="JA20" i="18" s="1"/>
  <c r="JB20" i="18" s="1"/>
  <c r="JC20" i="18" s="1"/>
  <c r="JD20" i="18" s="1"/>
  <c r="JE20" i="18" s="1"/>
  <c r="JF20" i="18" s="1"/>
  <c r="JG20" i="18" s="1"/>
  <c r="JH20" i="18" s="1"/>
  <c r="JI20" i="18" s="1"/>
  <c r="JJ20" i="18" s="1"/>
  <c r="JK20" i="18" s="1"/>
  <c r="JL20" i="18" s="1"/>
  <c r="JM20" i="18" s="1"/>
  <c r="JN20" i="18" s="1"/>
  <c r="JO20" i="18" s="1"/>
  <c r="JP20" i="18" s="1"/>
  <c r="JQ20" i="18" s="1"/>
  <c r="JR20" i="18" s="1"/>
  <c r="JS20" i="18" s="1"/>
  <c r="JT20" i="18" s="1"/>
  <c r="JU20" i="18" s="1"/>
  <c r="JV20" i="18" s="1"/>
  <c r="JW20" i="18" s="1"/>
  <c r="JX20" i="18" s="1"/>
  <c r="JY20" i="18" s="1"/>
  <c r="JZ20" i="18" s="1"/>
  <c r="KA20" i="18" s="1"/>
  <c r="KB20" i="18" s="1"/>
  <c r="KC20" i="18" s="1"/>
  <c r="KD20" i="18" s="1"/>
  <c r="KE20" i="18" s="1"/>
  <c r="KF20" i="18" s="1"/>
  <c r="KG20" i="18" s="1"/>
  <c r="KH20" i="18" s="1"/>
  <c r="KI20" i="18" s="1"/>
  <c r="KJ20" i="18" s="1"/>
  <c r="KK20" i="18" s="1"/>
  <c r="KL20" i="18" s="1"/>
  <c r="KM20" i="18" s="1"/>
  <c r="KN20" i="18" s="1"/>
  <c r="KO20" i="18" s="1"/>
  <c r="KP20" i="18" s="1"/>
  <c r="KQ20" i="18" s="1"/>
  <c r="KR20" i="18" s="1"/>
  <c r="KS20" i="18" s="1"/>
  <c r="KT20" i="18" s="1"/>
  <c r="KU20" i="18" s="1"/>
  <c r="KV20" i="18" s="1"/>
  <c r="KW20" i="18" s="1"/>
  <c r="KX20" i="18" s="1"/>
  <c r="KY20" i="18" s="1"/>
  <c r="KZ20" i="18" s="1"/>
  <c r="LA20" i="18" s="1"/>
  <c r="LB20" i="18" s="1"/>
  <c r="LC20" i="18" s="1"/>
  <c r="LD20" i="18" s="1"/>
  <c r="LE20" i="18" s="1"/>
  <c r="LF20" i="18" s="1"/>
  <c r="LG20" i="18" s="1"/>
  <c r="LH20" i="18" s="1"/>
  <c r="LI20" i="18" s="1"/>
  <c r="LJ20" i="18" s="1"/>
  <c r="LK20" i="18" s="1"/>
  <c r="LL20" i="18" s="1"/>
  <c r="LM20" i="18" s="1"/>
  <c r="LN20" i="18" s="1"/>
  <c r="LO20" i="18" s="1"/>
  <c r="LP20" i="18" s="1"/>
  <c r="LQ20" i="18" s="1"/>
  <c r="LR20" i="18" s="1"/>
  <c r="LS20" i="18" s="1"/>
  <c r="LT20" i="18" s="1"/>
  <c r="LU20" i="18" s="1"/>
  <c r="LV20" i="18" s="1"/>
  <c r="LW20" i="18" s="1"/>
  <c r="LX20" i="18" s="1"/>
  <c r="LY20" i="18" s="1"/>
  <c r="LZ20" i="18" s="1"/>
  <c r="MA20" i="18" s="1"/>
  <c r="MB20" i="18" s="1"/>
  <c r="MC20" i="18" s="1"/>
  <c r="MD20" i="18" s="1"/>
  <c r="ME20" i="18" s="1"/>
  <c r="MF20" i="18" s="1"/>
  <c r="MG20" i="18" s="1"/>
  <c r="MH20" i="18" s="1"/>
  <c r="MI20" i="18" s="1"/>
  <c r="MJ20" i="18" s="1"/>
  <c r="MK20" i="18" s="1"/>
  <c r="ML20" i="18" s="1"/>
  <c r="MM20" i="18" s="1"/>
  <c r="MN20" i="18" s="1"/>
  <c r="MO20" i="18" s="1"/>
  <c r="MP20" i="18" s="1"/>
  <c r="MQ20" i="18" s="1"/>
  <c r="MR20" i="18" s="1"/>
  <c r="MS20" i="18" s="1"/>
  <c r="MT20" i="18" s="1"/>
  <c r="MU20" i="18" s="1"/>
  <c r="MV20" i="18" s="1"/>
  <c r="MW20" i="18" s="1"/>
  <c r="MX20" i="18" s="1"/>
  <c r="MY20" i="18" s="1"/>
  <c r="MZ20" i="18" s="1"/>
  <c r="NA20" i="18" s="1"/>
  <c r="NB20" i="18" s="1"/>
  <c r="NC20" i="18" s="1"/>
  <c r="ND20" i="18" s="1"/>
  <c r="NE20" i="18" s="1"/>
  <c r="NF20" i="18" s="1"/>
  <c r="NG20" i="18" s="1"/>
  <c r="NH20" i="18" s="1"/>
  <c r="NI20" i="18" s="1"/>
  <c r="NJ20" i="18" s="1"/>
  <c r="NK20" i="18" s="1"/>
  <c r="NL20" i="18" s="1"/>
  <c r="NM20" i="18" s="1"/>
  <c r="NN20" i="18" s="1"/>
  <c r="NO20" i="18" s="1"/>
  <c r="NP20" i="18" s="1"/>
  <c r="NQ20" i="18" s="1"/>
  <c r="NR20" i="18" s="1"/>
  <c r="NS20" i="18" s="1"/>
  <c r="NT20" i="18" s="1"/>
  <c r="NU20" i="18" s="1"/>
  <c r="KT52" i="18"/>
  <c r="KU52" i="18" s="1"/>
  <c r="KV52" i="18" s="1"/>
  <c r="KW52" i="18" s="1"/>
  <c r="KX52" i="18" s="1"/>
  <c r="KY52" i="18" s="1"/>
  <c r="KZ52" i="18" s="1"/>
  <c r="LA52" i="18" s="1"/>
  <c r="LB52" i="18" s="1"/>
  <c r="LC52" i="18" s="1"/>
  <c r="LD52" i="18" s="1"/>
  <c r="LE52" i="18" s="1"/>
  <c r="LF52" i="18" s="1"/>
  <c r="LG52" i="18" s="1"/>
  <c r="LH52" i="18" s="1"/>
  <c r="LI52" i="18" s="1"/>
  <c r="LJ52" i="18" s="1"/>
  <c r="LK52" i="18" s="1"/>
  <c r="LL52" i="18" s="1"/>
  <c r="LM52" i="18" s="1"/>
  <c r="LN52" i="18" s="1"/>
  <c r="LO52" i="18" s="1"/>
  <c r="LP52" i="18" s="1"/>
  <c r="LQ52" i="18" s="1"/>
  <c r="LR52" i="18" s="1"/>
  <c r="LS52" i="18" s="1"/>
  <c r="LT52" i="18" s="1"/>
  <c r="LU52" i="18" s="1"/>
  <c r="LV52" i="18" s="1"/>
  <c r="LW52" i="18" s="1"/>
  <c r="LX52" i="18" s="1"/>
  <c r="LY52" i="18" s="1"/>
  <c r="LZ52" i="18" s="1"/>
  <c r="MA52" i="18" s="1"/>
  <c r="MB52" i="18" s="1"/>
  <c r="MC52" i="18" s="1"/>
  <c r="MD52" i="18" s="1"/>
  <c r="ME52" i="18" s="1"/>
  <c r="MF52" i="18" s="1"/>
  <c r="MG52" i="18" s="1"/>
  <c r="MH52" i="18" s="1"/>
  <c r="MI52" i="18" s="1"/>
  <c r="MJ52" i="18" s="1"/>
  <c r="MK52" i="18" s="1"/>
  <c r="ML52" i="18" s="1"/>
  <c r="MM52" i="18" s="1"/>
  <c r="MN52" i="18" s="1"/>
  <c r="MO52" i="18" s="1"/>
  <c r="MP52" i="18" s="1"/>
  <c r="MQ52" i="18" s="1"/>
  <c r="MR52" i="18" s="1"/>
  <c r="MS52" i="18" s="1"/>
  <c r="MT52" i="18" s="1"/>
  <c r="MU52" i="18" s="1"/>
  <c r="MV52" i="18" s="1"/>
  <c r="MW52" i="18" s="1"/>
  <c r="MX52" i="18" s="1"/>
  <c r="MY52" i="18" s="1"/>
  <c r="MZ52" i="18" s="1"/>
  <c r="NA52" i="18" s="1"/>
  <c r="NB52" i="18" s="1"/>
  <c r="NC52" i="18" s="1"/>
  <c r="ND52" i="18" s="1"/>
  <c r="NE52" i="18" s="1"/>
  <c r="NF52" i="18" s="1"/>
  <c r="NG52" i="18" s="1"/>
  <c r="NH52" i="18" s="1"/>
  <c r="NI52" i="18" s="1"/>
  <c r="NJ52" i="18" s="1"/>
  <c r="NK52" i="18" s="1"/>
  <c r="NL52" i="18" s="1"/>
  <c r="NM52" i="18" s="1"/>
  <c r="NN52" i="18" s="1"/>
  <c r="NO52" i="18" s="1"/>
  <c r="NP52" i="18" s="1"/>
  <c r="NQ52" i="18" s="1"/>
  <c r="NR52" i="18" s="1"/>
  <c r="NS52" i="18" s="1"/>
  <c r="NT52" i="18" s="1"/>
  <c r="NU52" i="18" s="1"/>
  <c r="R57" i="18"/>
  <c r="R28" i="18"/>
  <c r="R52" i="18"/>
  <c r="R44" i="18"/>
  <c r="LX61" i="18"/>
  <c r="LY61" i="18" s="1"/>
  <c r="LZ61" i="18" s="1"/>
  <c r="MA61" i="18" s="1"/>
  <c r="MB61" i="18" s="1"/>
  <c r="MC61" i="18" s="1"/>
  <c r="MD61" i="18" s="1"/>
  <c r="ME61" i="18" s="1"/>
  <c r="MF61" i="18" s="1"/>
  <c r="MG61" i="18" s="1"/>
  <c r="MH61" i="18" s="1"/>
  <c r="MI61" i="18" s="1"/>
  <c r="MJ61" i="18" s="1"/>
  <c r="MK61" i="18" s="1"/>
  <c r="ML61" i="18" s="1"/>
  <c r="MM61" i="18" s="1"/>
  <c r="MN61" i="18" s="1"/>
  <c r="MO61" i="18" s="1"/>
  <c r="MP61" i="18" s="1"/>
  <c r="MQ61" i="18" s="1"/>
  <c r="MR61" i="18" s="1"/>
  <c r="MS61" i="18" s="1"/>
  <c r="MT61" i="18" s="1"/>
  <c r="MU61" i="18" s="1"/>
  <c r="MV61" i="18" s="1"/>
  <c r="MW61" i="18" s="1"/>
  <c r="MX61" i="18" s="1"/>
  <c r="MY61" i="18" s="1"/>
  <c r="MZ61" i="18" s="1"/>
  <c r="NA61" i="18" s="1"/>
  <c r="NB61" i="18" s="1"/>
  <c r="NC61" i="18" s="1"/>
  <c r="ND61" i="18" s="1"/>
  <c r="NE61" i="18" s="1"/>
  <c r="NF61" i="18" s="1"/>
  <c r="NG61" i="18" s="1"/>
  <c r="NH61" i="18" s="1"/>
  <c r="NI61" i="18" s="1"/>
  <c r="NJ61" i="18" s="1"/>
  <c r="NK61" i="18" s="1"/>
  <c r="NL61" i="18" s="1"/>
  <c r="NM61" i="18" s="1"/>
  <c r="NN61" i="18" s="1"/>
  <c r="NO61" i="18" s="1"/>
  <c r="NP61" i="18" s="1"/>
  <c r="NQ61" i="18" s="1"/>
  <c r="NR61" i="18" s="1"/>
  <c r="NS61" i="18" s="1"/>
  <c r="NT61" i="18" s="1"/>
  <c r="NU61" i="18" s="1"/>
  <c r="R66" i="18"/>
  <c r="R68" i="18"/>
  <c r="R75" i="18"/>
  <c r="JA41" i="18"/>
  <c r="JB41" i="18" s="1"/>
  <c r="JC41" i="18" s="1"/>
  <c r="JD41" i="18" s="1"/>
  <c r="JE41" i="18" s="1"/>
  <c r="JF41" i="18" s="1"/>
  <c r="JG41" i="18" s="1"/>
  <c r="JH41" i="18" s="1"/>
  <c r="JI41" i="18" s="1"/>
  <c r="JJ41" i="18" s="1"/>
  <c r="JK41" i="18" s="1"/>
  <c r="JL41" i="18" s="1"/>
  <c r="JM41" i="18" s="1"/>
  <c r="JN41" i="18" s="1"/>
  <c r="JO41" i="18" s="1"/>
  <c r="JP41" i="18" s="1"/>
  <c r="JQ41" i="18" s="1"/>
  <c r="JR41" i="18" s="1"/>
  <c r="JS41" i="18" s="1"/>
  <c r="JT41" i="18" s="1"/>
  <c r="JU41" i="18" s="1"/>
  <c r="JV41" i="18" s="1"/>
  <c r="JW41" i="18" s="1"/>
  <c r="JX41" i="18" s="1"/>
  <c r="JY41" i="18" s="1"/>
  <c r="JZ41" i="18" s="1"/>
  <c r="KA41" i="18" s="1"/>
  <c r="KB41" i="18" s="1"/>
  <c r="KC41" i="18" s="1"/>
  <c r="KD41" i="18" s="1"/>
  <c r="KE41" i="18" s="1"/>
  <c r="KF41" i="18" s="1"/>
  <c r="KG41" i="18" s="1"/>
  <c r="KH41" i="18" s="1"/>
  <c r="KI41" i="18" s="1"/>
  <c r="KJ41" i="18" s="1"/>
  <c r="KK41" i="18" s="1"/>
  <c r="KL41" i="18" s="1"/>
  <c r="KM41" i="18" s="1"/>
  <c r="KN41" i="18" s="1"/>
  <c r="KO41" i="18" s="1"/>
  <c r="KP41" i="18" s="1"/>
  <c r="KQ41" i="18" s="1"/>
  <c r="KR41" i="18" s="1"/>
  <c r="KS41" i="18" s="1"/>
  <c r="KT41" i="18" s="1"/>
  <c r="KU41" i="18" s="1"/>
  <c r="KV41" i="18" s="1"/>
  <c r="KW41" i="18" s="1"/>
  <c r="KX41" i="18" s="1"/>
  <c r="KY41" i="18" s="1"/>
  <c r="KZ41" i="18" s="1"/>
  <c r="LA41" i="18" s="1"/>
  <c r="LB41" i="18" s="1"/>
  <c r="LC41" i="18" s="1"/>
  <c r="LD41" i="18" s="1"/>
  <c r="LE41" i="18" s="1"/>
  <c r="LF41" i="18" s="1"/>
  <c r="LG41" i="18" s="1"/>
  <c r="LH41" i="18" s="1"/>
  <c r="LI41" i="18" s="1"/>
  <c r="LJ41" i="18" s="1"/>
  <c r="LK41" i="18" s="1"/>
  <c r="LL41" i="18" s="1"/>
  <c r="LM41" i="18" s="1"/>
  <c r="LN41" i="18" s="1"/>
  <c r="LO41" i="18" s="1"/>
  <c r="LP41" i="18" s="1"/>
  <c r="LQ41" i="18" s="1"/>
  <c r="LR41" i="18" s="1"/>
  <c r="LS41" i="18" s="1"/>
  <c r="LT41" i="18" s="1"/>
  <c r="LU41" i="18" s="1"/>
  <c r="LV41" i="18" s="1"/>
  <c r="LW41" i="18" s="1"/>
  <c r="LX41" i="18" s="1"/>
  <c r="LY41" i="18" s="1"/>
  <c r="LZ41" i="18" s="1"/>
  <c r="MA41" i="18" s="1"/>
  <c r="MB41" i="18" s="1"/>
  <c r="MC41" i="18" s="1"/>
  <c r="MD41" i="18" s="1"/>
  <c r="ME41" i="18" s="1"/>
  <c r="MF41" i="18" s="1"/>
  <c r="MG41" i="18" s="1"/>
  <c r="MH41" i="18" s="1"/>
  <c r="MI41" i="18" s="1"/>
  <c r="MJ41" i="18" s="1"/>
  <c r="MK41" i="18" s="1"/>
  <c r="ML41" i="18" s="1"/>
  <c r="MM41" i="18" s="1"/>
  <c r="MN41" i="18" s="1"/>
  <c r="MO41" i="18" s="1"/>
  <c r="MP41" i="18" s="1"/>
  <c r="MQ41" i="18" s="1"/>
  <c r="MR41" i="18" s="1"/>
  <c r="MS41" i="18" s="1"/>
  <c r="MT41" i="18" s="1"/>
  <c r="MU41" i="18" s="1"/>
  <c r="MV41" i="18" s="1"/>
  <c r="MW41" i="18" s="1"/>
  <c r="MX41" i="18" s="1"/>
  <c r="MY41" i="18" s="1"/>
  <c r="MZ41" i="18" s="1"/>
  <c r="NA41" i="18" s="1"/>
  <c r="NB41" i="18" s="1"/>
  <c r="NC41" i="18" s="1"/>
  <c r="ND41" i="18" s="1"/>
  <c r="NE41" i="18" s="1"/>
  <c r="NF41" i="18" s="1"/>
  <c r="NG41" i="18" s="1"/>
  <c r="NH41" i="18" s="1"/>
  <c r="NI41" i="18" s="1"/>
  <c r="NJ41" i="18" s="1"/>
  <c r="NK41" i="18" s="1"/>
  <c r="NL41" i="18" s="1"/>
  <c r="NM41" i="18" s="1"/>
  <c r="NN41" i="18" s="1"/>
  <c r="NO41" i="18" s="1"/>
  <c r="NP41" i="18" s="1"/>
  <c r="NQ41" i="18" s="1"/>
  <c r="NR41" i="18" s="1"/>
  <c r="NS41" i="18" s="1"/>
  <c r="NT41" i="18" s="1"/>
  <c r="NU41" i="18" s="1"/>
  <c r="LD53" i="18"/>
  <c r="LE53" i="18" s="1"/>
  <c r="LF53" i="18" s="1"/>
  <c r="LG53" i="18" s="1"/>
  <c r="LH53" i="18" s="1"/>
  <c r="LI53" i="18" s="1"/>
  <c r="LJ53" i="18" s="1"/>
  <c r="LK53" i="18" s="1"/>
  <c r="LL53" i="18" s="1"/>
  <c r="LM53" i="18" s="1"/>
  <c r="LN53" i="18" s="1"/>
  <c r="LO53" i="18" s="1"/>
  <c r="LP53" i="18" s="1"/>
  <c r="LQ53" i="18" s="1"/>
  <c r="LR53" i="18" s="1"/>
  <c r="LS53" i="18" s="1"/>
  <c r="LT53" i="18" s="1"/>
  <c r="LU53" i="18" s="1"/>
  <c r="LV53" i="18" s="1"/>
  <c r="LW53" i="18" s="1"/>
  <c r="LX53" i="18" s="1"/>
  <c r="LY53" i="18" s="1"/>
  <c r="LZ53" i="18" s="1"/>
  <c r="MA53" i="18" s="1"/>
  <c r="MB53" i="18" s="1"/>
  <c r="MC53" i="18" s="1"/>
  <c r="MD53" i="18" s="1"/>
  <c r="ME53" i="18" s="1"/>
  <c r="MF53" i="18" s="1"/>
  <c r="MG53" i="18" s="1"/>
  <c r="MH53" i="18" s="1"/>
  <c r="MI53" i="18" s="1"/>
  <c r="MJ53" i="18" s="1"/>
  <c r="MK53" i="18" s="1"/>
  <c r="ML53" i="18" s="1"/>
  <c r="MM53" i="18" s="1"/>
  <c r="MN53" i="18" s="1"/>
  <c r="MO53" i="18" s="1"/>
  <c r="MP53" i="18" s="1"/>
  <c r="MQ53" i="18" s="1"/>
  <c r="MR53" i="18" s="1"/>
  <c r="MS53" i="18" s="1"/>
  <c r="MT53" i="18" s="1"/>
  <c r="MU53" i="18" s="1"/>
  <c r="MV53" i="18" s="1"/>
  <c r="MW53" i="18" s="1"/>
  <c r="MX53" i="18" s="1"/>
  <c r="MY53" i="18" s="1"/>
  <c r="MZ53" i="18" s="1"/>
  <c r="NA53" i="18" s="1"/>
  <c r="NB53" i="18" s="1"/>
  <c r="NC53" i="18" s="1"/>
  <c r="ND53" i="18" s="1"/>
  <c r="NE53" i="18" s="1"/>
  <c r="NF53" i="18" s="1"/>
  <c r="NG53" i="18" s="1"/>
  <c r="NH53" i="18" s="1"/>
  <c r="NI53" i="18" s="1"/>
  <c r="NJ53" i="18" s="1"/>
  <c r="NK53" i="18" s="1"/>
  <c r="NL53" i="18" s="1"/>
  <c r="NM53" i="18" s="1"/>
  <c r="NN53" i="18" s="1"/>
  <c r="NO53" i="18" s="1"/>
  <c r="NP53" i="18" s="1"/>
  <c r="NQ53" i="18" s="1"/>
  <c r="NR53" i="18" s="1"/>
  <c r="NS53" i="18" s="1"/>
  <c r="NT53" i="18" s="1"/>
  <c r="NU53" i="18" s="1"/>
  <c r="R74" i="18"/>
  <c r="R77" i="18"/>
  <c r="Z38" i="19"/>
  <c r="Z46" i="19"/>
  <c r="Z48" i="19"/>
  <c r="Q16" i="18"/>
  <c r="R16" i="18" s="1"/>
  <c r="GD16" i="18"/>
  <c r="GE16" i="18" s="1"/>
  <c r="GF16" i="18" s="1"/>
  <c r="GG16" i="18" s="1"/>
  <c r="GH16" i="18" s="1"/>
  <c r="GI16" i="18" s="1"/>
  <c r="GJ16" i="18" s="1"/>
  <c r="GK16" i="18" s="1"/>
  <c r="GL16" i="18" s="1"/>
  <c r="GM16" i="18" s="1"/>
  <c r="GN16" i="18" s="1"/>
  <c r="GO16" i="18" s="1"/>
  <c r="GP16" i="18" s="1"/>
  <c r="GQ16" i="18" s="1"/>
  <c r="GR16" i="18" s="1"/>
  <c r="GS16" i="18" s="1"/>
  <c r="GT16" i="18" s="1"/>
  <c r="GU16" i="18" s="1"/>
  <c r="GV16" i="18" s="1"/>
  <c r="GW16" i="18" s="1"/>
  <c r="GX16" i="18" s="1"/>
  <c r="GY16" i="18" s="1"/>
  <c r="GZ16" i="18" s="1"/>
  <c r="HA16" i="18" s="1"/>
  <c r="HB16" i="18" s="1"/>
  <c r="HC16" i="18" s="1"/>
  <c r="HD16" i="18" s="1"/>
  <c r="HE16" i="18" s="1"/>
  <c r="HF16" i="18" s="1"/>
  <c r="HG16" i="18" s="1"/>
  <c r="HH16" i="18" s="1"/>
  <c r="HI16" i="18" s="1"/>
  <c r="HJ16" i="18" s="1"/>
  <c r="HK16" i="18" s="1"/>
  <c r="HL16" i="18" s="1"/>
  <c r="HM16" i="18" s="1"/>
  <c r="HN16" i="18" s="1"/>
  <c r="HO16" i="18" s="1"/>
  <c r="HP16" i="18" s="1"/>
  <c r="HQ16" i="18" s="1"/>
  <c r="HR16" i="18" s="1"/>
  <c r="HS16" i="18" s="1"/>
  <c r="HT16" i="18" s="1"/>
  <c r="HU16" i="18" s="1"/>
  <c r="HV16" i="18" s="1"/>
  <c r="HW16" i="18" s="1"/>
  <c r="HX16" i="18" s="1"/>
  <c r="HY16" i="18" s="1"/>
  <c r="HZ16" i="18" s="1"/>
  <c r="IA16" i="18" s="1"/>
  <c r="IB16" i="18" s="1"/>
  <c r="IC16" i="18" s="1"/>
  <c r="ID16" i="18" s="1"/>
  <c r="IE16" i="18" s="1"/>
  <c r="IF16" i="18" s="1"/>
  <c r="IG16" i="18" s="1"/>
  <c r="IH16" i="18" s="1"/>
  <c r="II16" i="18" s="1"/>
  <c r="IJ16" i="18" s="1"/>
  <c r="IK16" i="18" s="1"/>
  <c r="IL16" i="18" s="1"/>
  <c r="IM16" i="18" s="1"/>
  <c r="IN16" i="18" s="1"/>
  <c r="IO16" i="18" s="1"/>
  <c r="IP16" i="18" s="1"/>
  <c r="IQ16" i="18" s="1"/>
  <c r="IR16" i="18" s="1"/>
  <c r="IS16" i="18" s="1"/>
  <c r="IT16" i="18" s="1"/>
  <c r="IU16" i="18" s="1"/>
  <c r="IV16" i="18" s="1"/>
  <c r="IW16" i="18" s="1"/>
  <c r="IX16" i="18" s="1"/>
  <c r="IY16" i="18" s="1"/>
  <c r="IZ16" i="18" s="1"/>
  <c r="JA16" i="18" s="1"/>
  <c r="JB16" i="18" s="1"/>
  <c r="JC16" i="18" s="1"/>
  <c r="JD16" i="18" s="1"/>
  <c r="JE16" i="18" s="1"/>
  <c r="JF16" i="18" s="1"/>
  <c r="JG16" i="18" s="1"/>
  <c r="JH16" i="18" s="1"/>
  <c r="JI16" i="18" s="1"/>
  <c r="JJ16" i="18" s="1"/>
  <c r="JK16" i="18" s="1"/>
  <c r="JL16" i="18" s="1"/>
  <c r="JM16" i="18" s="1"/>
  <c r="JN16" i="18" s="1"/>
  <c r="JO16" i="18" s="1"/>
  <c r="JP16" i="18" s="1"/>
  <c r="JQ16" i="18" s="1"/>
  <c r="JR16" i="18" s="1"/>
  <c r="JS16" i="18" s="1"/>
  <c r="JT16" i="18" s="1"/>
  <c r="JU16" i="18" s="1"/>
  <c r="JV16" i="18" s="1"/>
  <c r="JW16" i="18" s="1"/>
  <c r="JX16" i="18" s="1"/>
  <c r="JY16" i="18" s="1"/>
  <c r="JZ16" i="18" s="1"/>
  <c r="KA16" i="18" s="1"/>
  <c r="KB16" i="18" s="1"/>
  <c r="KC16" i="18" s="1"/>
  <c r="KD16" i="18" s="1"/>
  <c r="KE16" i="18" s="1"/>
  <c r="KF16" i="18" s="1"/>
  <c r="KG16" i="18" s="1"/>
  <c r="KH16" i="18" s="1"/>
  <c r="KI16" i="18" s="1"/>
  <c r="KJ16" i="18" s="1"/>
  <c r="KK16" i="18" s="1"/>
  <c r="KL16" i="18" s="1"/>
  <c r="KM16" i="18" s="1"/>
  <c r="KN16" i="18" s="1"/>
  <c r="KO16" i="18" s="1"/>
  <c r="KP16" i="18" s="1"/>
  <c r="KQ16" i="18" s="1"/>
  <c r="KR16" i="18" s="1"/>
  <c r="KS16" i="18" s="1"/>
  <c r="KT16" i="18" s="1"/>
  <c r="KU16" i="18" s="1"/>
  <c r="KV16" i="18" s="1"/>
  <c r="KW16" i="18" s="1"/>
  <c r="KX16" i="18" s="1"/>
  <c r="KY16" i="18" s="1"/>
  <c r="KZ16" i="18" s="1"/>
  <c r="LA16" i="18" s="1"/>
  <c r="LB16" i="18" s="1"/>
  <c r="LC16" i="18" s="1"/>
  <c r="LD16" i="18" s="1"/>
  <c r="LE16" i="18" s="1"/>
  <c r="LF16" i="18" s="1"/>
  <c r="LG16" i="18" s="1"/>
  <c r="LH16" i="18" s="1"/>
  <c r="LI16" i="18" s="1"/>
  <c r="LJ16" i="18" s="1"/>
  <c r="LK16" i="18" s="1"/>
  <c r="LL16" i="18" s="1"/>
  <c r="LM16" i="18" s="1"/>
  <c r="LN16" i="18" s="1"/>
  <c r="LO16" i="18" s="1"/>
  <c r="LP16" i="18" s="1"/>
  <c r="LQ16" i="18" s="1"/>
  <c r="LR16" i="18" s="1"/>
  <c r="LS16" i="18" s="1"/>
  <c r="LT16" i="18" s="1"/>
  <c r="LU16" i="18" s="1"/>
  <c r="LV16" i="18" s="1"/>
  <c r="LW16" i="18" s="1"/>
  <c r="LX16" i="18" s="1"/>
  <c r="LY16" i="18" s="1"/>
  <c r="LZ16" i="18" s="1"/>
  <c r="MA16" i="18" s="1"/>
  <c r="MB16" i="18" s="1"/>
  <c r="MC16" i="18" s="1"/>
  <c r="MD16" i="18" s="1"/>
  <c r="ME16" i="18" s="1"/>
  <c r="MF16" i="18" s="1"/>
  <c r="MG16" i="18" s="1"/>
  <c r="MH16" i="18" s="1"/>
  <c r="MI16" i="18" s="1"/>
  <c r="MJ16" i="18" s="1"/>
  <c r="MK16" i="18" s="1"/>
  <c r="ML16" i="18" s="1"/>
  <c r="MM16" i="18" s="1"/>
  <c r="MN16" i="18" s="1"/>
  <c r="MO16" i="18" s="1"/>
  <c r="MP16" i="18" s="1"/>
  <c r="MQ16" i="18" s="1"/>
  <c r="MR16" i="18" s="1"/>
  <c r="MS16" i="18" s="1"/>
  <c r="MT16" i="18" s="1"/>
  <c r="MU16" i="18" s="1"/>
  <c r="MV16" i="18" s="1"/>
  <c r="MW16" i="18" s="1"/>
  <c r="MX16" i="18" s="1"/>
  <c r="MY16" i="18" s="1"/>
  <c r="MZ16" i="18" s="1"/>
  <c r="NA16" i="18" s="1"/>
  <c r="NB16" i="18" s="1"/>
  <c r="NC16" i="18" s="1"/>
  <c r="ND16" i="18" s="1"/>
  <c r="NE16" i="18" s="1"/>
  <c r="NF16" i="18" s="1"/>
  <c r="NG16" i="18" s="1"/>
  <c r="NH16" i="18" s="1"/>
  <c r="NI16" i="18" s="1"/>
  <c r="NJ16" i="18" s="1"/>
  <c r="NK16" i="18" s="1"/>
  <c r="NL16" i="18" s="1"/>
  <c r="NM16" i="18" s="1"/>
  <c r="NN16" i="18" s="1"/>
  <c r="NO16" i="18" s="1"/>
  <c r="NP16" i="18" s="1"/>
  <c r="NQ16" i="18" s="1"/>
  <c r="NR16" i="18" s="1"/>
  <c r="NS16" i="18" s="1"/>
  <c r="NT16" i="18" s="1"/>
  <c r="NU16" i="18" s="1"/>
  <c r="LI58" i="18"/>
  <c r="LJ58" i="18" s="1"/>
  <c r="LK58" i="18" s="1"/>
  <c r="LL58" i="18" s="1"/>
  <c r="LM58" i="18" s="1"/>
  <c r="LN58" i="18" s="1"/>
  <c r="LO58" i="18" s="1"/>
  <c r="LP58" i="18" s="1"/>
  <c r="LQ58" i="18" s="1"/>
  <c r="LR58" i="18" s="1"/>
  <c r="LS58" i="18" s="1"/>
  <c r="LT58" i="18" s="1"/>
  <c r="LU58" i="18" s="1"/>
  <c r="LV58" i="18" s="1"/>
  <c r="LW58" i="18" s="1"/>
  <c r="LX58" i="18" s="1"/>
  <c r="LY58" i="18" s="1"/>
  <c r="LZ58" i="18" s="1"/>
  <c r="MA58" i="18" s="1"/>
  <c r="MB58" i="18" s="1"/>
  <c r="MC58" i="18" s="1"/>
  <c r="MD58" i="18" s="1"/>
  <c r="ME58" i="18" s="1"/>
  <c r="MF58" i="18" s="1"/>
  <c r="MG58" i="18" s="1"/>
  <c r="MH58" i="18" s="1"/>
  <c r="MI58" i="18" s="1"/>
  <c r="MJ58" i="18" s="1"/>
  <c r="MK58" i="18" s="1"/>
  <c r="ML58" i="18" s="1"/>
  <c r="MM58" i="18" s="1"/>
  <c r="MN58" i="18" s="1"/>
  <c r="MO58" i="18" s="1"/>
  <c r="MP58" i="18" s="1"/>
  <c r="MQ58" i="18" s="1"/>
  <c r="MR58" i="18" s="1"/>
  <c r="MS58" i="18" s="1"/>
  <c r="MT58" i="18" s="1"/>
  <c r="MU58" i="18" s="1"/>
  <c r="MV58" i="18" s="1"/>
  <c r="MW58" i="18" s="1"/>
  <c r="MX58" i="18" s="1"/>
  <c r="MY58" i="18" s="1"/>
  <c r="MZ58" i="18" s="1"/>
  <c r="NA58" i="18" s="1"/>
  <c r="NB58" i="18" s="1"/>
  <c r="NC58" i="18" s="1"/>
  <c r="ND58" i="18" s="1"/>
  <c r="NE58" i="18" s="1"/>
  <c r="NF58" i="18" s="1"/>
  <c r="NG58" i="18" s="1"/>
  <c r="NH58" i="18" s="1"/>
  <c r="NI58" i="18" s="1"/>
  <c r="NJ58" i="18" s="1"/>
  <c r="NK58" i="18" s="1"/>
  <c r="NL58" i="18" s="1"/>
  <c r="NM58" i="18" s="1"/>
  <c r="NN58" i="18" s="1"/>
  <c r="NO58" i="18" s="1"/>
  <c r="NP58" i="18" s="1"/>
  <c r="NQ58" i="18" s="1"/>
  <c r="NR58" i="18" s="1"/>
  <c r="NS58" i="18" s="1"/>
  <c r="NT58" i="18" s="1"/>
  <c r="NU58" i="18" s="1"/>
  <c r="GN30" i="18"/>
  <c r="GO30" i="18" s="1"/>
  <c r="GP30" i="18" s="1"/>
  <c r="GQ30" i="18" s="1"/>
  <c r="GR30" i="18" s="1"/>
  <c r="GS30" i="18" s="1"/>
  <c r="GT30" i="18" s="1"/>
  <c r="GU30" i="18" s="1"/>
  <c r="GV30" i="18" s="1"/>
  <c r="GW30" i="18" s="1"/>
  <c r="GX30" i="18" s="1"/>
  <c r="GY30" i="18" s="1"/>
  <c r="GZ30" i="18" s="1"/>
  <c r="HA30" i="18" s="1"/>
  <c r="HB30" i="18" s="1"/>
  <c r="HC30" i="18" s="1"/>
  <c r="HD30" i="18" s="1"/>
  <c r="HE30" i="18" s="1"/>
  <c r="HF30" i="18" s="1"/>
  <c r="HG30" i="18" s="1"/>
  <c r="HH30" i="18" s="1"/>
  <c r="HI30" i="18" s="1"/>
  <c r="HJ30" i="18" s="1"/>
  <c r="HK30" i="18" s="1"/>
  <c r="HL30" i="18" s="1"/>
  <c r="HM30" i="18" s="1"/>
  <c r="HN30" i="18" s="1"/>
  <c r="HO30" i="18" s="1"/>
  <c r="HP30" i="18" s="1"/>
  <c r="HQ30" i="18" s="1"/>
  <c r="HR30" i="18" s="1"/>
  <c r="HS30" i="18" s="1"/>
  <c r="HT30" i="18" s="1"/>
  <c r="HU30" i="18" s="1"/>
  <c r="HV30" i="18" s="1"/>
  <c r="HW30" i="18" s="1"/>
  <c r="HX30" i="18" s="1"/>
  <c r="HY30" i="18" s="1"/>
  <c r="HZ30" i="18" s="1"/>
  <c r="IA30" i="18" s="1"/>
  <c r="IB30" i="18" s="1"/>
  <c r="IC30" i="18" s="1"/>
  <c r="ID30" i="18" s="1"/>
  <c r="IE30" i="18" s="1"/>
  <c r="IF30" i="18" s="1"/>
  <c r="IG30" i="18" s="1"/>
  <c r="IH30" i="18" s="1"/>
  <c r="II30" i="18" s="1"/>
  <c r="IJ30" i="18" s="1"/>
  <c r="IK30" i="18" s="1"/>
  <c r="IL30" i="18" s="1"/>
  <c r="IM30" i="18" s="1"/>
  <c r="IN30" i="18" s="1"/>
  <c r="IO30" i="18" s="1"/>
  <c r="IP30" i="18" s="1"/>
  <c r="IQ30" i="18" s="1"/>
  <c r="IR30" i="18" s="1"/>
  <c r="IS30" i="18" s="1"/>
  <c r="IT30" i="18" s="1"/>
  <c r="IU30" i="18" s="1"/>
  <c r="IV30" i="18" s="1"/>
  <c r="IW30" i="18" s="1"/>
  <c r="IX30" i="18" s="1"/>
  <c r="IY30" i="18" s="1"/>
  <c r="IZ30" i="18" s="1"/>
  <c r="JA30" i="18" s="1"/>
  <c r="JB30" i="18" s="1"/>
  <c r="JC30" i="18" s="1"/>
  <c r="JD30" i="18" s="1"/>
  <c r="JE30" i="18" s="1"/>
  <c r="JF30" i="18" s="1"/>
  <c r="JG30" i="18" s="1"/>
  <c r="JH30" i="18" s="1"/>
  <c r="JI30" i="18" s="1"/>
  <c r="JJ30" i="18" s="1"/>
  <c r="JK30" i="18" s="1"/>
  <c r="JL30" i="18" s="1"/>
  <c r="JM30" i="18" s="1"/>
  <c r="JN30" i="18" s="1"/>
  <c r="JO30" i="18" s="1"/>
  <c r="JP30" i="18" s="1"/>
  <c r="JQ30" i="18" s="1"/>
  <c r="JR30" i="18" s="1"/>
  <c r="JS30" i="18" s="1"/>
  <c r="JT30" i="18" s="1"/>
  <c r="JU30" i="18" s="1"/>
  <c r="JV30" i="18" s="1"/>
  <c r="JW30" i="18" s="1"/>
  <c r="JX30" i="18" s="1"/>
  <c r="JY30" i="18" s="1"/>
  <c r="JZ30" i="18" s="1"/>
  <c r="KA30" i="18" s="1"/>
  <c r="KB30" i="18" s="1"/>
  <c r="KC30" i="18" s="1"/>
  <c r="KD30" i="18" s="1"/>
  <c r="KE30" i="18" s="1"/>
  <c r="KF30" i="18" s="1"/>
  <c r="KG30" i="18" s="1"/>
  <c r="KH30" i="18" s="1"/>
  <c r="KI30" i="18" s="1"/>
  <c r="KJ30" i="18" s="1"/>
  <c r="KK30" i="18" s="1"/>
  <c r="KL30" i="18" s="1"/>
  <c r="KM30" i="18" s="1"/>
  <c r="KN30" i="18" s="1"/>
  <c r="KO30" i="18" s="1"/>
  <c r="KP30" i="18" s="1"/>
  <c r="KQ30" i="18" s="1"/>
  <c r="KR30" i="18" s="1"/>
  <c r="KS30" i="18" s="1"/>
  <c r="KT30" i="18" s="1"/>
  <c r="KU30" i="18" s="1"/>
  <c r="KV30" i="18" s="1"/>
  <c r="KW30" i="18" s="1"/>
  <c r="KX30" i="18" s="1"/>
  <c r="KY30" i="18" s="1"/>
  <c r="KZ30" i="18" s="1"/>
  <c r="LA30" i="18" s="1"/>
  <c r="LB30" i="18" s="1"/>
  <c r="LC30" i="18" s="1"/>
  <c r="LD30" i="18" s="1"/>
  <c r="LE30" i="18" s="1"/>
  <c r="LF30" i="18" s="1"/>
  <c r="LG30" i="18" s="1"/>
  <c r="LH30" i="18" s="1"/>
  <c r="LI30" i="18" s="1"/>
  <c r="LJ30" i="18" s="1"/>
  <c r="LK30" i="18" s="1"/>
  <c r="LL30" i="18" s="1"/>
  <c r="LM30" i="18" s="1"/>
  <c r="LN30" i="18" s="1"/>
  <c r="LO30" i="18" s="1"/>
  <c r="LP30" i="18" s="1"/>
  <c r="LQ30" i="18" s="1"/>
  <c r="LR30" i="18" s="1"/>
  <c r="LS30" i="18" s="1"/>
  <c r="LT30" i="18" s="1"/>
  <c r="LU30" i="18" s="1"/>
  <c r="LV30" i="18" s="1"/>
  <c r="LW30" i="18" s="1"/>
  <c r="LX30" i="18" s="1"/>
  <c r="LY30" i="18" s="1"/>
  <c r="LZ30" i="18" s="1"/>
  <c r="MA30" i="18" s="1"/>
  <c r="MB30" i="18" s="1"/>
  <c r="MC30" i="18" s="1"/>
  <c r="MD30" i="18" s="1"/>
  <c r="ME30" i="18" s="1"/>
  <c r="MF30" i="18" s="1"/>
  <c r="MG30" i="18" s="1"/>
  <c r="MH30" i="18" s="1"/>
  <c r="MI30" i="18" s="1"/>
  <c r="MJ30" i="18" s="1"/>
  <c r="MK30" i="18" s="1"/>
  <c r="ML30" i="18" s="1"/>
  <c r="MM30" i="18" s="1"/>
  <c r="MN30" i="18" s="1"/>
  <c r="MO30" i="18" s="1"/>
  <c r="MP30" i="18" s="1"/>
  <c r="MQ30" i="18" s="1"/>
  <c r="MR30" i="18" s="1"/>
  <c r="MS30" i="18" s="1"/>
  <c r="MT30" i="18" s="1"/>
  <c r="MU30" i="18" s="1"/>
  <c r="MV30" i="18" s="1"/>
  <c r="MW30" i="18" s="1"/>
  <c r="MX30" i="18" s="1"/>
  <c r="MY30" i="18" s="1"/>
  <c r="MZ30" i="18" s="1"/>
  <c r="NA30" i="18" s="1"/>
  <c r="NB30" i="18" s="1"/>
  <c r="NC30" i="18" s="1"/>
  <c r="ND30" i="18" s="1"/>
  <c r="NE30" i="18" s="1"/>
  <c r="NF30" i="18" s="1"/>
  <c r="NG30" i="18" s="1"/>
  <c r="NH30" i="18" s="1"/>
  <c r="NI30" i="18" s="1"/>
  <c r="NJ30" i="18" s="1"/>
  <c r="NK30" i="18" s="1"/>
  <c r="NL30" i="18" s="1"/>
  <c r="NM30" i="18" s="1"/>
  <c r="NN30" i="18" s="1"/>
  <c r="NO30" i="18" s="1"/>
  <c r="NP30" i="18" s="1"/>
  <c r="NQ30" i="18" s="1"/>
  <c r="NR30" i="18" s="1"/>
  <c r="NS30" i="18" s="1"/>
  <c r="NT30" i="18" s="1"/>
  <c r="NU30" i="18" s="1"/>
  <c r="MC62" i="18"/>
  <c r="MD62" i="18" s="1"/>
  <c r="ME62" i="18" s="1"/>
  <c r="MF62" i="18" s="1"/>
  <c r="MG62" i="18" s="1"/>
  <c r="MH62" i="18" s="1"/>
  <c r="MI62" i="18" s="1"/>
  <c r="MJ62" i="18" s="1"/>
  <c r="MK62" i="18" s="1"/>
  <c r="ML62" i="18" s="1"/>
  <c r="MM62" i="18" s="1"/>
  <c r="MN62" i="18" s="1"/>
  <c r="MO62" i="18" s="1"/>
  <c r="MP62" i="18" s="1"/>
  <c r="MQ62" i="18" s="1"/>
  <c r="MR62" i="18" s="1"/>
  <c r="MS62" i="18" s="1"/>
  <c r="MT62" i="18" s="1"/>
  <c r="MU62" i="18" s="1"/>
  <c r="MV62" i="18" s="1"/>
  <c r="MW62" i="18" s="1"/>
  <c r="MX62" i="18" s="1"/>
  <c r="MY62" i="18" s="1"/>
  <c r="MZ62" i="18" s="1"/>
  <c r="NA62" i="18" s="1"/>
  <c r="NB62" i="18" s="1"/>
  <c r="NC62" i="18" s="1"/>
  <c r="ND62" i="18" s="1"/>
  <c r="NE62" i="18" s="1"/>
  <c r="NF62" i="18" s="1"/>
  <c r="NG62" i="18" s="1"/>
  <c r="NH62" i="18" s="1"/>
  <c r="NI62" i="18" s="1"/>
  <c r="NJ62" i="18" s="1"/>
  <c r="NK62" i="18" s="1"/>
  <c r="NL62" i="18" s="1"/>
  <c r="NM62" i="18" s="1"/>
  <c r="NN62" i="18" s="1"/>
  <c r="NO62" i="18" s="1"/>
  <c r="NP62" i="18" s="1"/>
  <c r="NQ62" i="18" s="1"/>
  <c r="NR62" i="18" s="1"/>
  <c r="NS62" i="18" s="1"/>
  <c r="NT62" i="18" s="1"/>
  <c r="NU62" i="18" s="1"/>
  <c r="JA42" i="18"/>
  <c r="JB42" i="18" s="1"/>
  <c r="JC42" i="18" s="1"/>
  <c r="JD42" i="18" s="1"/>
  <c r="JE42" i="18" s="1"/>
  <c r="JF42" i="18" s="1"/>
  <c r="JG42" i="18" s="1"/>
  <c r="JH42" i="18" s="1"/>
  <c r="JI42" i="18" s="1"/>
  <c r="JJ42" i="18" s="1"/>
  <c r="JK42" i="18" s="1"/>
  <c r="JL42" i="18" s="1"/>
  <c r="JM42" i="18" s="1"/>
  <c r="JN42" i="18" s="1"/>
  <c r="JO42" i="18" s="1"/>
  <c r="JP42" i="18" s="1"/>
  <c r="JQ42" i="18" s="1"/>
  <c r="JR42" i="18" s="1"/>
  <c r="JS42" i="18" s="1"/>
  <c r="JT42" i="18" s="1"/>
  <c r="JU42" i="18" s="1"/>
  <c r="JV42" i="18" s="1"/>
  <c r="JW42" i="18" s="1"/>
  <c r="JX42" i="18" s="1"/>
  <c r="JY42" i="18" s="1"/>
  <c r="JZ42" i="18" s="1"/>
  <c r="KA42" i="18" s="1"/>
  <c r="KB42" i="18" s="1"/>
  <c r="KC42" i="18" s="1"/>
  <c r="KD42" i="18" s="1"/>
  <c r="KE42" i="18" s="1"/>
  <c r="KF42" i="18" s="1"/>
  <c r="KG42" i="18" s="1"/>
  <c r="KH42" i="18" s="1"/>
  <c r="KI42" i="18" s="1"/>
  <c r="KJ42" i="18" s="1"/>
  <c r="KK42" i="18" s="1"/>
  <c r="KL42" i="18" s="1"/>
  <c r="KM42" i="18" s="1"/>
  <c r="KN42" i="18" s="1"/>
  <c r="KO42" i="18" s="1"/>
  <c r="KP42" i="18" s="1"/>
  <c r="KQ42" i="18" s="1"/>
  <c r="KR42" i="18" s="1"/>
  <c r="KS42" i="18" s="1"/>
  <c r="KT42" i="18" s="1"/>
  <c r="KU42" i="18" s="1"/>
  <c r="KV42" i="18" s="1"/>
  <c r="KW42" i="18" s="1"/>
  <c r="KX42" i="18" s="1"/>
  <c r="KY42" i="18" s="1"/>
  <c r="KZ42" i="18" s="1"/>
  <c r="LA42" i="18" s="1"/>
  <c r="LB42" i="18" s="1"/>
  <c r="LC42" i="18" s="1"/>
  <c r="LD42" i="18" s="1"/>
  <c r="LE42" i="18" s="1"/>
  <c r="LF42" i="18" s="1"/>
  <c r="LG42" i="18" s="1"/>
  <c r="LH42" i="18" s="1"/>
  <c r="LI42" i="18" s="1"/>
  <c r="LJ42" i="18" s="1"/>
  <c r="LK42" i="18" s="1"/>
  <c r="LL42" i="18" s="1"/>
  <c r="LM42" i="18" s="1"/>
  <c r="LN42" i="18" s="1"/>
  <c r="LO42" i="18" s="1"/>
  <c r="LP42" i="18" s="1"/>
  <c r="LQ42" i="18" s="1"/>
  <c r="LR42" i="18" s="1"/>
  <c r="LS42" i="18" s="1"/>
  <c r="LT42" i="18" s="1"/>
  <c r="LU42" i="18" s="1"/>
  <c r="LV42" i="18" s="1"/>
  <c r="LW42" i="18" s="1"/>
  <c r="LX42" i="18" s="1"/>
  <c r="LY42" i="18" s="1"/>
  <c r="LZ42" i="18" s="1"/>
  <c r="MA42" i="18" s="1"/>
  <c r="MB42" i="18" s="1"/>
  <c r="MC42" i="18" s="1"/>
  <c r="MD42" i="18" s="1"/>
  <c r="ME42" i="18" s="1"/>
  <c r="MF42" i="18" s="1"/>
  <c r="MG42" i="18" s="1"/>
  <c r="MH42" i="18" s="1"/>
  <c r="MI42" i="18" s="1"/>
  <c r="MJ42" i="18" s="1"/>
  <c r="MK42" i="18" s="1"/>
  <c r="ML42" i="18" s="1"/>
  <c r="MM42" i="18" s="1"/>
  <c r="MN42" i="18" s="1"/>
  <c r="MO42" i="18" s="1"/>
  <c r="MP42" i="18" s="1"/>
  <c r="MQ42" i="18" s="1"/>
  <c r="MR42" i="18" s="1"/>
  <c r="MS42" i="18" s="1"/>
  <c r="MT42" i="18" s="1"/>
  <c r="MU42" i="18" s="1"/>
  <c r="MV42" i="18" s="1"/>
  <c r="MW42" i="18" s="1"/>
  <c r="MX42" i="18" s="1"/>
  <c r="MY42" i="18" s="1"/>
  <c r="MZ42" i="18" s="1"/>
  <c r="NA42" i="18" s="1"/>
  <c r="NB42" i="18" s="1"/>
  <c r="NC42" i="18" s="1"/>
  <c r="ND42" i="18" s="1"/>
  <c r="NE42" i="18" s="1"/>
  <c r="NF42" i="18" s="1"/>
  <c r="NG42" i="18" s="1"/>
  <c r="NH42" i="18" s="1"/>
  <c r="NI42" i="18" s="1"/>
  <c r="NJ42" i="18" s="1"/>
  <c r="NK42" i="18" s="1"/>
  <c r="NL42" i="18" s="1"/>
  <c r="NM42" i="18" s="1"/>
  <c r="NN42" i="18" s="1"/>
  <c r="NO42" i="18" s="1"/>
  <c r="NP42" i="18" s="1"/>
  <c r="NQ42" i="18" s="1"/>
  <c r="NR42" i="18" s="1"/>
  <c r="NS42" i="18" s="1"/>
  <c r="NT42" i="18" s="1"/>
  <c r="NU42" i="18" s="1"/>
  <c r="NQ69" i="18"/>
  <c r="NR69" i="18" s="1"/>
  <c r="NS69" i="18" s="1"/>
  <c r="NT69" i="18" s="1"/>
  <c r="NU69" i="18" s="1"/>
  <c r="CM7" i="18"/>
  <c r="CN7" i="18" s="1"/>
  <c r="CO7" i="18" s="1"/>
  <c r="CP7" i="18" s="1"/>
  <c r="CQ7" i="18" s="1"/>
  <c r="CR7" i="18" s="1"/>
  <c r="CS7" i="18" s="1"/>
  <c r="CT7" i="18" s="1"/>
  <c r="CU7" i="18" s="1"/>
  <c r="CV7" i="18" s="1"/>
  <c r="CW7" i="18" s="1"/>
  <c r="CX7" i="18" s="1"/>
  <c r="CY7" i="18" s="1"/>
  <c r="CZ7" i="18" s="1"/>
  <c r="DA7" i="18" s="1"/>
  <c r="DB7" i="18" s="1"/>
  <c r="DC7" i="18" s="1"/>
  <c r="DD7" i="18" s="1"/>
  <c r="DE7" i="18" s="1"/>
  <c r="DF7" i="18" s="1"/>
  <c r="DG7" i="18" s="1"/>
  <c r="DH7" i="18" s="1"/>
  <c r="DI7" i="18" s="1"/>
  <c r="DJ7" i="18" s="1"/>
  <c r="DK7" i="18" s="1"/>
  <c r="DL7" i="18" s="1"/>
  <c r="DM7" i="18" s="1"/>
  <c r="DN7" i="18" s="1"/>
  <c r="DO7" i="18" s="1"/>
  <c r="DP7" i="18" s="1"/>
  <c r="DQ7" i="18" s="1"/>
  <c r="DR7" i="18" s="1"/>
  <c r="DS7" i="18" s="1"/>
  <c r="DT7" i="18" s="1"/>
  <c r="DU7" i="18" s="1"/>
  <c r="DV7" i="18" s="1"/>
  <c r="DW7" i="18" s="1"/>
  <c r="DX7" i="18" s="1"/>
  <c r="DY7" i="18" s="1"/>
  <c r="DZ7" i="18" s="1"/>
  <c r="EA7" i="18" s="1"/>
  <c r="EB7" i="18" s="1"/>
  <c r="EC7" i="18" s="1"/>
  <c r="ED7" i="18" s="1"/>
  <c r="EE7" i="18" s="1"/>
  <c r="EF7" i="18" s="1"/>
  <c r="EG7" i="18" s="1"/>
  <c r="EH7" i="18" s="1"/>
  <c r="EI7" i="18" s="1"/>
  <c r="EJ7" i="18" s="1"/>
  <c r="EK7" i="18" s="1"/>
  <c r="EL7" i="18" s="1"/>
  <c r="EM7" i="18" s="1"/>
  <c r="EN7" i="18" s="1"/>
  <c r="EO7" i="18" s="1"/>
  <c r="EP7" i="18" s="1"/>
  <c r="EQ7" i="18" s="1"/>
  <c r="ER7" i="18" s="1"/>
  <c r="ES7" i="18" s="1"/>
  <c r="ET7" i="18" s="1"/>
  <c r="EU7" i="18" s="1"/>
  <c r="EV7" i="18" s="1"/>
  <c r="EW7" i="18" s="1"/>
  <c r="EX7" i="18" s="1"/>
  <c r="EY7" i="18" s="1"/>
  <c r="EZ7" i="18" s="1"/>
  <c r="FA7" i="18" s="1"/>
  <c r="FB7" i="18" s="1"/>
  <c r="FC7" i="18" s="1"/>
  <c r="FD7" i="18" s="1"/>
  <c r="FE7" i="18" s="1"/>
  <c r="FF7" i="18" s="1"/>
  <c r="FG7" i="18" s="1"/>
  <c r="FH7" i="18" s="1"/>
  <c r="FI7" i="18" s="1"/>
  <c r="FJ7" i="18" s="1"/>
  <c r="FK7" i="18" s="1"/>
  <c r="FL7" i="18" s="1"/>
  <c r="FM7" i="18" s="1"/>
  <c r="FN7" i="18" s="1"/>
  <c r="FO7" i="18" s="1"/>
  <c r="FP7" i="18" s="1"/>
  <c r="FQ7" i="18" s="1"/>
  <c r="FR7" i="18" s="1"/>
  <c r="FS7" i="18" s="1"/>
  <c r="FT7" i="18" s="1"/>
  <c r="FU7" i="18" s="1"/>
  <c r="FV7" i="18" s="1"/>
  <c r="FW7" i="18" s="1"/>
  <c r="FX7" i="18" s="1"/>
  <c r="FY7" i="18" s="1"/>
  <c r="FZ7" i="18" s="1"/>
  <c r="GA7" i="18" s="1"/>
  <c r="GB7" i="18" s="1"/>
  <c r="GC7" i="18" s="1"/>
  <c r="GD7" i="18" s="1"/>
  <c r="GE7" i="18" s="1"/>
  <c r="GF7" i="18" s="1"/>
  <c r="GG7" i="18" s="1"/>
  <c r="GH7" i="18" s="1"/>
  <c r="GI7" i="18" s="1"/>
  <c r="GJ7" i="18" s="1"/>
  <c r="GK7" i="18" s="1"/>
  <c r="GL7" i="18" s="1"/>
  <c r="GM7" i="18" s="1"/>
  <c r="GN7" i="18" s="1"/>
  <c r="GO7" i="18" s="1"/>
  <c r="GP7" i="18" s="1"/>
  <c r="GQ7" i="18" s="1"/>
  <c r="GR7" i="18" s="1"/>
  <c r="GS7" i="18" s="1"/>
  <c r="GT7" i="18" s="1"/>
  <c r="GU7" i="18" s="1"/>
  <c r="GV7" i="18" s="1"/>
  <c r="GW7" i="18" s="1"/>
  <c r="GX7" i="18" s="1"/>
  <c r="GY7" i="18" s="1"/>
  <c r="GZ7" i="18" s="1"/>
  <c r="HA7" i="18" s="1"/>
  <c r="HB7" i="18" s="1"/>
  <c r="HC7" i="18" s="1"/>
  <c r="HD7" i="18" s="1"/>
  <c r="HE7" i="18" s="1"/>
  <c r="HF7" i="18" s="1"/>
  <c r="HG7" i="18" s="1"/>
  <c r="HH7" i="18" s="1"/>
  <c r="HI7" i="18" s="1"/>
  <c r="HJ7" i="18" s="1"/>
  <c r="HK7" i="18" s="1"/>
  <c r="HL7" i="18" s="1"/>
  <c r="HM7" i="18" s="1"/>
  <c r="HN7" i="18" s="1"/>
  <c r="HO7" i="18" s="1"/>
  <c r="HP7" i="18" s="1"/>
  <c r="HQ7" i="18" s="1"/>
  <c r="HR7" i="18" s="1"/>
  <c r="HS7" i="18" s="1"/>
  <c r="HT7" i="18" s="1"/>
  <c r="HU7" i="18" s="1"/>
  <c r="HV7" i="18" s="1"/>
  <c r="HW7" i="18" s="1"/>
  <c r="HX7" i="18" s="1"/>
  <c r="HY7" i="18" s="1"/>
  <c r="HZ7" i="18" s="1"/>
  <c r="IA7" i="18" s="1"/>
  <c r="IB7" i="18" s="1"/>
  <c r="IC7" i="18" s="1"/>
  <c r="ID7" i="18" s="1"/>
  <c r="IE7" i="18" s="1"/>
  <c r="IF7" i="18" s="1"/>
  <c r="IG7" i="18" s="1"/>
  <c r="IH7" i="18" s="1"/>
  <c r="II7" i="18" s="1"/>
  <c r="IJ7" i="18" s="1"/>
  <c r="IK7" i="18" s="1"/>
  <c r="IL7" i="18" s="1"/>
  <c r="IM7" i="18" s="1"/>
  <c r="IN7" i="18" s="1"/>
  <c r="IO7" i="18" s="1"/>
  <c r="IP7" i="18" s="1"/>
  <c r="IQ7" i="18" s="1"/>
  <c r="IR7" i="18" s="1"/>
  <c r="IS7" i="18" s="1"/>
  <c r="IT7" i="18" s="1"/>
  <c r="IU7" i="18" s="1"/>
  <c r="IV7" i="18" s="1"/>
  <c r="IW7" i="18" s="1"/>
  <c r="IX7" i="18" s="1"/>
  <c r="IY7" i="18" s="1"/>
  <c r="IZ7" i="18" s="1"/>
  <c r="JA7" i="18" s="1"/>
  <c r="JB7" i="18" s="1"/>
  <c r="JC7" i="18" s="1"/>
  <c r="JD7" i="18" s="1"/>
  <c r="JE7" i="18" s="1"/>
  <c r="JF7" i="18" s="1"/>
  <c r="JG7" i="18" s="1"/>
  <c r="JH7" i="18" s="1"/>
  <c r="JI7" i="18" s="1"/>
  <c r="JJ7" i="18" s="1"/>
  <c r="JK7" i="18" s="1"/>
  <c r="JL7" i="18" s="1"/>
  <c r="JM7" i="18" s="1"/>
  <c r="JN7" i="18" s="1"/>
  <c r="JO7" i="18" s="1"/>
  <c r="JP7" i="18" s="1"/>
  <c r="JQ7" i="18" s="1"/>
  <c r="JR7" i="18" s="1"/>
  <c r="JS7" i="18" s="1"/>
  <c r="JT7" i="18" s="1"/>
  <c r="JU7" i="18" s="1"/>
  <c r="JV7" i="18" s="1"/>
  <c r="JW7" i="18" s="1"/>
  <c r="JX7" i="18" s="1"/>
  <c r="JY7" i="18" s="1"/>
  <c r="JZ7" i="18" s="1"/>
  <c r="KA7" i="18" s="1"/>
  <c r="KB7" i="18" s="1"/>
  <c r="KC7" i="18" s="1"/>
  <c r="KD7" i="18" s="1"/>
  <c r="KE7" i="18" s="1"/>
  <c r="KF7" i="18" s="1"/>
  <c r="KG7" i="18" s="1"/>
  <c r="KH7" i="18" s="1"/>
  <c r="KI7" i="18" s="1"/>
  <c r="KJ7" i="18" s="1"/>
  <c r="KK7" i="18" s="1"/>
  <c r="KL7" i="18" s="1"/>
  <c r="KM7" i="18" s="1"/>
  <c r="KN7" i="18" s="1"/>
  <c r="KO7" i="18" s="1"/>
  <c r="KP7" i="18" s="1"/>
  <c r="KQ7" i="18" s="1"/>
  <c r="KR7" i="18" s="1"/>
  <c r="KS7" i="18" s="1"/>
  <c r="KT7" i="18" s="1"/>
  <c r="KU7" i="18" s="1"/>
  <c r="KV7" i="18" s="1"/>
  <c r="KW7" i="18" s="1"/>
  <c r="KX7" i="18" s="1"/>
  <c r="KY7" i="18" s="1"/>
  <c r="KZ7" i="18" s="1"/>
  <c r="LA7" i="18" s="1"/>
  <c r="LB7" i="18" s="1"/>
  <c r="LC7" i="18" s="1"/>
  <c r="LD7" i="18" s="1"/>
  <c r="LE7" i="18" s="1"/>
  <c r="LF7" i="18" s="1"/>
  <c r="LG7" i="18" s="1"/>
  <c r="LH7" i="18" s="1"/>
  <c r="LI7" i="18" s="1"/>
  <c r="LJ7" i="18" s="1"/>
  <c r="LK7" i="18" s="1"/>
  <c r="LL7" i="18" s="1"/>
  <c r="LM7" i="18" s="1"/>
  <c r="LN7" i="18" s="1"/>
  <c r="LO7" i="18" s="1"/>
  <c r="LP7" i="18" s="1"/>
  <c r="LQ7" i="18" s="1"/>
  <c r="LR7" i="18" s="1"/>
  <c r="LS7" i="18" s="1"/>
  <c r="LT7" i="18" s="1"/>
  <c r="LU7" i="18" s="1"/>
  <c r="LV7" i="18" s="1"/>
  <c r="LW7" i="18" s="1"/>
  <c r="LX7" i="18" s="1"/>
  <c r="LY7" i="18" s="1"/>
  <c r="LZ7" i="18" s="1"/>
  <c r="MA7" i="18" s="1"/>
  <c r="MB7" i="18" s="1"/>
  <c r="MC7" i="18" s="1"/>
  <c r="MD7" i="18" s="1"/>
  <c r="ME7" i="18" s="1"/>
  <c r="MF7" i="18" s="1"/>
  <c r="MG7" i="18" s="1"/>
  <c r="MH7" i="18" s="1"/>
  <c r="MI7" i="18" s="1"/>
  <c r="MJ7" i="18" s="1"/>
  <c r="MK7" i="18" s="1"/>
  <c r="ML7" i="18" s="1"/>
  <c r="MM7" i="18" s="1"/>
  <c r="MN7" i="18" s="1"/>
  <c r="MO7" i="18" s="1"/>
  <c r="MP7" i="18" s="1"/>
  <c r="MQ7" i="18" s="1"/>
  <c r="MR7" i="18" s="1"/>
  <c r="MS7" i="18" s="1"/>
  <c r="MT7" i="18" s="1"/>
  <c r="MU7" i="18" s="1"/>
  <c r="MV7" i="18" s="1"/>
  <c r="MW7" i="18" s="1"/>
  <c r="MX7" i="18" s="1"/>
  <c r="MY7" i="18" s="1"/>
  <c r="MZ7" i="18" s="1"/>
  <c r="NA7" i="18" s="1"/>
  <c r="NB7" i="18" s="1"/>
  <c r="NC7" i="18" s="1"/>
  <c r="ND7" i="18" s="1"/>
  <c r="NE7" i="18" s="1"/>
  <c r="NF7" i="18" s="1"/>
  <c r="NG7" i="18" s="1"/>
  <c r="NH7" i="18" s="1"/>
  <c r="NI7" i="18" s="1"/>
  <c r="NJ7" i="18" s="1"/>
  <c r="NK7" i="18" s="1"/>
  <c r="NL7" i="18" s="1"/>
  <c r="NM7" i="18" s="1"/>
  <c r="NN7" i="18" s="1"/>
  <c r="NO7" i="18" s="1"/>
  <c r="NP7" i="18" s="1"/>
  <c r="NQ7" i="18" s="1"/>
  <c r="NR7" i="18" s="1"/>
  <c r="NS7" i="18" s="1"/>
  <c r="NT7" i="18" s="1"/>
  <c r="NU7" i="18" s="1"/>
  <c r="R61" i="18"/>
  <c r="Z41" i="19"/>
  <c r="EK4" i="18"/>
  <c r="EL4" i="18" s="1"/>
  <c r="EM4" i="18" s="1"/>
  <c r="EN4" i="18" s="1"/>
  <c r="EO4" i="18" s="1"/>
  <c r="EP4" i="18" s="1"/>
  <c r="EQ4" i="18" s="1"/>
  <c r="ER4" i="18" s="1"/>
  <c r="ES4" i="18" s="1"/>
  <c r="ET4" i="18" s="1"/>
  <c r="EU4" i="18" s="1"/>
  <c r="EV4" i="18" s="1"/>
  <c r="EW4" i="18" s="1"/>
  <c r="EX4" i="18" s="1"/>
  <c r="EY4" i="18" s="1"/>
  <c r="EZ4" i="18" s="1"/>
  <c r="FA4" i="18" s="1"/>
  <c r="FB4" i="18" s="1"/>
  <c r="FC4" i="18" s="1"/>
  <c r="FD4" i="18" s="1"/>
  <c r="FE4" i="18" s="1"/>
  <c r="FF4" i="18" s="1"/>
  <c r="FG4" i="18" s="1"/>
  <c r="FH4" i="18" s="1"/>
  <c r="FI4" i="18" s="1"/>
  <c r="FJ4" i="18" s="1"/>
  <c r="FK4" i="18" s="1"/>
  <c r="FL4" i="18" s="1"/>
  <c r="FM4" i="18" s="1"/>
  <c r="FN4" i="18" s="1"/>
  <c r="FO4" i="18" s="1"/>
  <c r="FP4" i="18" s="1"/>
  <c r="FQ4" i="18" s="1"/>
  <c r="FR4" i="18" s="1"/>
  <c r="FS4" i="18" s="1"/>
  <c r="FT4" i="18" s="1"/>
  <c r="FU4" i="18" s="1"/>
  <c r="FV4" i="18" s="1"/>
  <c r="FW4" i="18" s="1"/>
  <c r="FX4" i="18" s="1"/>
  <c r="FY4" i="18" s="1"/>
  <c r="FZ4" i="18" s="1"/>
  <c r="GA4" i="18" s="1"/>
  <c r="GB4" i="18" s="1"/>
  <c r="GC4" i="18" s="1"/>
  <c r="GD4" i="18" s="1"/>
  <c r="GE4" i="18" s="1"/>
  <c r="GF4" i="18" s="1"/>
  <c r="GG4" i="18" s="1"/>
  <c r="GH4" i="18" s="1"/>
  <c r="GI4" i="18" s="1"/>
  <c r="GJ4" i="18" s="1"/>
  <c r="GK4" i="18" s="1"/>
  <c r="GL4" i="18" s="1"/>
  <c r="GM4" i="18" s="1"/>
  <c r="GN4" i="18" s="1"/>
  <c r="GO4" i="18" s="1"/>
  <c r="GP4" i="18" s="1"/>
  <c r="GQ4" i="18" s="1"/>
  <c r="GR4" i="18" s="1"/>
  <c r="GS4" i="18" s="1"/>
  <c r="GT4" i="18" s="1"/>
  <c r="GU4" i="18" s="1"/>
  <c r="GV4" i="18" s="1"/>
  <c r="GW4" i="18" s="1"/>
  <c r="GX4" i="18" s="1"/>
  <c r="GY4" i="18" s="1"/>
  <c r="GZ4" i="18" s="1"/>
  <c r="HA4" i="18" s="1"/>
  <c r="HB4" i="18" s="1"/>
  <c r="HC4" i="18" s="1"/>
  <c r="HD4" i="18" s="1"/>
  <c r="HE4" i="18" s="1"/>
  <c r="HF4" i="18" s="1"/>
  <c r="HG4" i="18" s="1"/>
  <c r="HH4" i="18" s="1"/>
  <c r="HI4" i="18" s="1"/>
  <c r="HJ4" i="18" s="1"/>
  <c r="HK4" i="18" s="1"/>
  <c r="HL4" i="18" s="1"/>
  <c r="HM4" i="18" s="1"/>
  <c r="HN4" i="18" s="1"/>
  <c r="HO4" i="18" s="1"/>
  <c r="HP4" i="18" s="1"/>
  <c r="HQ4" i="18" s="1"/>
  <c r="HR4" i="18" s="1"/>
  <c r="HS4" i="18" s="1"/>
  <c r="HT4" i="18" s="1"/>
  <c r="HU4" i="18" s="1"/>
  <c r="HV4" i="18" s="1"/>
  <c r="HW4" i="18" s="1"/>
  <c r="HX4" i="18" s="1"/>
  <c r="HY4" i="18" s="1"/>
  <c r="HZ4" i="18" s="1"/>
  <c r="IA4" i="18" s="1"/>
  <c r="IB4" i="18" s="1"/>
  <c r="IC4" i="18" s="1"/>
  <c r="ID4" i="18" s="1"/>
  <c r="IE4" i="18" s="1"/>
  <c r="IF4" i="18" s="1"/>
  <c r="IG4" i="18" s="1"/>
  <c r="IH4" i="18" s="1"/>
  <c r="II4" i="18" s="1"/>
  <c r="IJ4" i="18" s="1"/>
  <c r="IK4" i="18" s="1"/>
  <c r="IL4" i="18" s="1"/>
  <c r="IM4" i="18" s="1"/>
  <c r="IN4" i="18" s="1"/>
  <c r="IO4" i="18" s="1"/>
  <c r="IP4" i="18" s="1"/>
  <c r="IQ4" i="18" s="1"/>
  <c r="IR4" i="18" s="1"/>
  <c r="IS4" i="18" s="1"/>
  <c r="IT4" i="18" s="1"/>
  <c r="IU4" i="18" s="1"/>
  <c r="IV4" i="18" s="1"/>
  <c r="IW4" i="18" s="1"/>
  <c r="IX4" i="18" s="1"/>
  <c r="IY4" i="18" s="1"/>
  <c r="IZ4" i="18" s="1"/>
  <c r="JA4" i="18" s="1"/>
  <c r="JB4" i="18" s="1"/>
  <c r="JC4" i="18" s="1"/>
  <c r="JD4" i="18" s="1"/>
  <c r="JE4" i="18" s="1"/>
  <c r="JF4" i="18" s="1"/>
  <c r="JG4" i="18" s="1"/>
  <c r="JH4" i="18" s="1"/>
  <c r="JI4" i="18" s="1"/>
  <c r="JJ4" i="18" s="1"/>
  <c r="JK4" i="18" s="1"/>
  <c r="JL4" i="18" s="1"/>
  <c r="JM4" i="18" s="1"/>
  <c r="JN4" i="18" s="1"/>
  <c r="JO4" i="18" s="1"/>
  <c r="JP4" i="18" s="1"/>
  <c r="JQ4" i="18" s="1"/>
  <c r="JR4" i="18" s="1"/>
  <c r="JS4" i="18" s="1"/>
  <c r="JT4" i="18" s="1"/>
  <c r="JU4" i="18" s="1"/>
  <c r="JV4" i="18" s="1"/>
  <c r="JW4" i="18" s="1"/>
  <c r="JX4" i="18" s="1"/>
  <c r="JY4" i="18" s="1"/>
  <c r="JZ4" i="18" s="1"/>
  <c r="KA4" i="18" s="1"/>
  <c r="KB4" i="18" s="1"/>
  <c r="KC4" i="18" s="1"/>
  <c r="KD4" i="18" s="1"/>
  <c r="KE4" i="18" s="1"/>
  <c r="KF4" i="18" s="1"/>
  <c r="KG4" i="18" s="1"/>
  <c r="KH4" i="18" s="1"/>
  <c r="KI4" i="18" s="1"/>
  <c r="KJ4" i="18" s="1"/>
  <c r="KK4" i="18" s="1"/>
  <c r="KL4" i="18" s="1"/>
  <c r="KM4" i="18" s="1"/>
  <c r="KN4" i="18" s="1"/>
  <c r="KO4" i="18" s="1"/>
  <c r="KP4" i="18" s="1"/>
  <c r="KQ4" i="18" s="1"/>
  <c r="KR4" i="18" s="1"/>
  <c r="KS4" i="18" s="1"/>
  <c r="KT4" i="18" s="1"/>
  <c r="KU4" i="18" s="1"/>
  <c r="KV4" i="18" s="1"/>
  <c r="KW4" i="18" s="1"/>
  <c r="KX4" i="18" s="1"/>
  <c r="KY4" i="18" s="1"/>
  <c r="KZ4" i="18" s="1"/>
  <c r="LA4" i="18" s="1"/>
  <c r="LB4" i="18" s="1"/>
  <c r="LC4" i="18" s="1"/>
  <c r="LD4" i="18" s="1"/>
  <c r="LE4" i="18" s="1"/>
  <c r="LF4" i="18" s="1"/>
  <c r="LG4" i="18" s="1"/>
  <c r="LH4" i="18" s="1"/>
  <c r="LI4" i="18" s="1"/>
  <c r="LJ4" i="18" s="1"/>
  <c r="LK4" i="18" s="1"/>
  <c r="LL4" i="18" s="1"/>
  <c r="LM4" i="18" s="1"/>
  <c r="LN4" i="18" s="1"/>
  <c r="LO4" i="18" s="1"/>
  <c r="LP4" i="18" s="1"/>
  <c r="LQ4" i="18" s="1"/>
  <c r="LR4" i="18" s="1"/>
  <c r="LS4" i="18" s="1"/>
  <c r="LT4" i="18" s="1"/>
  <c r="LU4" i="18" s="1"/>
  <c r="LV4" i="18" s="1"/>
  <c r="LW4" i="18" s="1"/>
  <c r="LX4" i="18" s="1"/>
  <c r="LY4" i="18" s="1"/>
  <c r="LZ4" i="18" s="1"/>
  <c r="MA4" i="18" s="1"/>
  <c r="MB4" i="18" s="1"/>
  <c r="MC4" i="18" s="1"/>
  <c r="MD4" i="18" s="1"/>
  <c r="ME4" i="18" s="1"/>
  <c r="MF4" i="18" s="1"/>
  <c r="MG4" i="18" s="1"/>
  <c r="MH4" i="18" s="1"/>
  <c r="MI4" i="18" s="1"/>
  <c r="MJ4" i="18" s="1"/>
  <c r="MK4" i="18" s="1"/>
  <c r="ML4" i="18" s="1"/>
  <c r="MM4" i="18" s="1"/>
  <c r="MN4" i="18" s="1"/>
  <c r="MO4" i="18" s="1"/>
  <c r="MP4" i="18" s="1"/>
  <c r="MQ4" i="18" s="1"/>
  <c r="MR4" i="18" s="1"/>
  <c r="MS4" i="18" s="1"/>
  <c r="MT4" i="18" s="1"/>
  <c r="MU4" i="18" s="1"/>
  <c r="MV4" i="18" s="1"/>
  <c r="MW4" i="18" s="1"/>
  <c r="MX4" i="18" s="1"/>
  <c r="MY4" i="18" s="1"/>
  <c r="MZ4" i="18" s="1"/>
  <c r="NA4" i="18" s="1"/>
  <c r="NB4" i="18" s="1"/>
  <c r="NC4" i="18" s="1"/>
  <c r="ND4" i="18" s="1"/>
  <c r="NE4" i="18" s="1"/>
  <c r="NF4" i="18" s="1"/>
  <c r="NG4" i="18" s="1"/>
  <c r="NH4" i="18" s="1"/>
  <c r="NI4" i="18" s="1"/>
  <c r="NJ4" i="18" s="1"/>
  <c r="NK4" i="18" s="1"/>
  <c r="NL4" i="18" s="1"/>
  <c r="NM4" i="18" s="1"/>
  <c r="NN4" i="18" s="1"/>
  <c r="NO4" i="18" s="1"/>
  <c r="NP4" i="18" s="1"/>
  <c r="NQ4" i="18" s="1"/>
  <c r="NR4" i="18" s="1"/>
  <c r="NS4" i="18" s="1"/>
  <c r="NT4" i="18" s="1"/>
  <c r="NU4" i="18" s="1"/>
  <c r="R31" i="18"/>
  <c r="R60" i="18"/>
  <c r="Z40" i="19"/>
  <c r="LL39" i="18"/>
  <c r="LM39" i="18" s="1"/>
  <c r="LN39" i="18" s="1"/>
  <c r="LO39" i="18" s="1"/>
  <c r="LP39" i="18" s="1"/>
  <c r="LQ39" i="18" s="1"/>
  <c r="LR39" i="18" s="1"/>
  <c r="LS39" i="18" s="1"/>
  <c r="LT39" i="18" s="1"/>
  <c r="LU39" i="18" s="1"/>
  <c r="LV39" i="18" s="1"/>
  <c r="LW39" i="18" s="1"/>
  <c r="LX39" i="18" s="1"/>
  <c r="LY39" i="18" s="1"/>
  <c r="LZ39" i="18" s="1"/>
  <c r="MA39" i="18" s="1"/>
  <c r="MB39" i="18" s="1"/>
  <c r="MC39" i="18" s="1"/>
  <c r="MD39" i="18" s="1"/>
  <c r="ME39" i="18" s="1"/>
  <c r="MF39" i="18" s="1"/>
  <c r="MG39" i="18" s="1"/>
  <c r="MH39" i="18" s="1"/>
  <c r="MI39" i="18" s="1"/>
  <c r="MJ39" i="18" s="1"/>
  <c r="MK39" i="18" s="1"/>
  <c r="ML39" i="18" s="1"/>
  <c r="MM39" i="18" s="1"/>
  <c r="MN39" i="18" s="1"/>
  <c r="MO39" i="18" s="1"/>
  <c r="MP39" i="18" s="1"/>
  <c r="MQ39" i="18" s="1"/>
  <c r="MR39" i="18" s="1"/>
  <c r="MS39" i="18" s="1"/>
  <c r="MT39" i="18" s="1"/>
  <c r="MU39" i="18" s="1"/>
  <c r="MV39" i="18" s="1"/>
  <c r="MW39" i="18" s="1"/>
  <c r="MX39" i="18" s="1"/>
  <c r="MY39" i="18" s="1"/>
  <c r="MZ39" i="18" s="1"/>
  <c r="NA39" i="18" s="1"/>
  <c r="NB39" i="18" s="1"/>
  <c r="NC39" i="18" s="1"/>
  <c r="ND39" i="18" s="1"/>
  <c r="NE39" i="18" s="1"/>
  <c r="NF39" i="18" s="1"/>
  <c r="NG39" i="18" s="1"/>
  <c r="NH39" i="18" s="1"/>
  <c r="NI39" i="18" s="1"/>
  <c r="NJ39" i="18" s="1"/>
  <c r="NK39" i="18" s="1"/>
  <c r="NL39" i="18" s="1"/>
  <c r="NM39" i="18" s="1"/>
  <c r="NN39" i="18" s="1"/>
  <c r="NO39" i="18" s="1"/>
  <c r="NP39" i="18" s="1"/>
  <c r="NQ39" i="18" s="1"/>
  <c r="NR39" i="18" s="1"/>
  <c r="NS39" i="18" s="1"/>
  <c r="NT39" i="18" s="1"/>
  <c r="NU39" i="18" s="1"/>
  <c r="LD57" i="18"/>
  <c r="LE57" i="18" s="1"/>
  <c r="LF57" i="18" s="1"/>
  <c r="LG57" i="18" s="1"/>
  <c r="LH57" i="18" s="1"/>
  <c r="LI57" i="18" s="1"/>
  <c r="LJ57" i="18" s="1"/>
  <c r="LK57" i="18" s="1"/>
  <c r="LL57" i="18" s="1"/>
  <c r="LM57" i="18" s="1"/>
  <c r="LN57" i="18" s="1"/>
  <c r="LO57" i="18" s="1"/>
  <c r="LP57" i="18" s="1"/>
  <c r="LQ57" i="18" s="1"/>
  <c r="LR57" i="18" s="1"/>
  <c r="LS57" i="18" s="1"/>
  <c r="LT57" i="18" s="1"/>
  <c r="LU57" i="18" s="1"/>
  <c r="LV57" i="18" s="1"/>
  <c r="LW57" i="18" s="1"/>
  <c r="LX57" i="18" s="1"/>
  <c r="LY57" i="18" s="1"/>
  <c r="LZ57" i="18" s="1"/>
  <c r="MA57" i="18" s="1"/>
  <c r="MB57" i="18" s="1"/>
  <c r="MC57" i="18" s="1"/>
  <c r="MD57" i="18" s="1"/>
  <c r="ME57" i="18" s="1"/>
  <c r="MF57" i="18" s="1"/>
  <c r="MG57" i="18" s="1"/>
  <c r="MH57" i="18" s="1"/>
  <c r="MI57" i="18" s="1"/>
  <c r="MJ57" i="18" s="1"/>
  <c r="MK57" i="18" s="1"/>
  <c r="ML57" i="18" s="1"/>
  <c r="MM57" i="18" s="1"/>
  <c r="MN57" i="18" s="1"/>
  <c r="MO57" i="18" s="1"/>
  <c r="MP57" i="18" s="1"/>
  <c r="MQ57" i="18" s="1"/>
  <c r="MR57" i="18" s="1"/>
  <c r="MS57" i="18" s="1"/>
  <c r="MT57" i="18" s="1"/>
  <c r="MU57" i="18" s="1"/>
  <c r="MV57" i="18" s="1"/>
  <c r="MW57" i="18" s="1"/>
  <c r="MX57" i="18" s="1"/>
  <c r="MY57" i="18" s="1"/>
  <c r="MZ57" i="18" s="1"/>
  <c r="NA57" i="18" s="1"/>
  <c r="NB57" i="18" s="1"/>
  <c r="NC57" i="18" s="1"/>
  <c r="ND57" i="18" s="1"/>
  <c r="NE57" i="18" s="1"/>
  <c r="NF57" i="18" s="1"/>
  <c r="NG57" i="18" s="1"/>
  <c r="NH57" i="18" s="1"/>
  <c r="NI57" i="18" s="1"/>
  <c r="NJ57" i="18" s="1"/>
  <c r="NK57" i="18" s="1"/>
  <c r="NL57" i="18" s="1"/>
  <c r="NM57" i="18" s="1"/>
  <c r="NN57" i="18" s="1"/>
  <c r="NO57" i="18" s="1"/>
  <c r="NP57" i="18" s="1"/>
  <c r="NQ57" i="18" s="1"/>
  <c r="NR57" i="18" s="1"/>
  <c r="NS57" i="18" s="1"/>
  <c r="NT57" i="18" s="1"/>
  <c r="NU57" i="18" s="1"/>
  <c r="Z45" i="19"/>
  <c r="Z42" i="19"/>
  <c r="EK5" i="18"/>
  <c r="EL5" i="18" s="1"/>
  <c r="EM5" i="18" s="1"/>
  <c r="EN5" i="18" s="1"/>
  <c r="EO5" i="18" s="1"/>
  <c r="EP5" i="18" s="1"/>
  <c r="EQ5" i="18" s="1"/>
  <c r="ER5" i="18" s="1"/>
  <c r="ES5" i="18" s="1"/>
  <c r="ET5" i="18" s="1"/>
  <c r="EU5" i="18" s="1"/>
  <c r="EV5" i="18" s="1"/>
  <c r="EW5" i="18" s="1"/>
  <c r="EX5" i="18" s="1"/>
  <c r="EY5" i="18" s="1"/>
  <c r="EZ5" i="18" s="1"/>
  <c r="FA5" i="18" s="1"/>
  <c r="FB5" i="18" s="1"/>
  <c r="FC5" i="18" s="1"/>
  <c r="FD5" i="18" s="1"/>
  <c r="FE5" i="18" s="1"/>
  <c r="FF5" i="18" s="1"/>
  <c r="FG5" i="18" s="1"/>
  <c r="FH5" i="18" s="1"/>
  <c r="FI5" i="18" s="1"/>
  <c r="FJ5" i="18" s="1"/>
  <c r="FK5" i="18" s="1"/>
  <c r="FL5" i="18" s="1"/>
  <c r="FM5" i="18" s="1"/>
  <c r="FN5" i="18" s="1"/>
  <c r="FO5" i="18" s="1"/>
  <c r="FP5" i="18" s="1"/>
  <c r="FQ5" i="18" s="1"/>
  <c r="FR5" i="18" s="1"/>
  <c r="FS5" i="18" s="1"/>
  <c r="FT5" i="18" s="1"/>
  <c r="FU5" i="18" s="1"/>
  <c r="FV5" i="18" s="1"/>
  <c r="FW5" i="18" s="1"/>
  <c r="FX5" i="18" s="1"/>
  <c r="FY5" i="18" s="1"/>
  <c r="FZ5" i="18" s="1"/>
  <c r="GA5" i="18" s="1"/>
  <c r="GB5" i="18" s="1"/>
  <c r="GC5" i="18" s="1"/>
  <c r="GD5" i="18" s="1"/>
  <c r="GE5" i="18" s="1"/>
  <c r="GF5" i="18" s="1"/>
  <c r="GG5" i="18" s="1"/>
  <c r="GH5" i="18" s="1"/>
  <c r="GI5" i="18" s="1"/>
  <c r="GJ5" i="18" s="1"/>
  <c r="GK5" i="18" s="1"/>
  <c r="GL5" i="18" s="1"/>
  <c r="GM5" i="18" s="1"/>
  <c r="GN5" i="18" s="1"/>
  <c r="GO5" i="18" s="1"/>
  <c r="GP5" i="18" s="1"/>
  <c r="GQ5" i="18" s="1"/>
  <c r="GR5" i="18" s="1"/>
  <c r="GS5" i="18" s="1"/>
  <c r="GT5" i="18" s="1"/>
  <c r="GU5" i="18" s="1"/>
  <c r="GV5" i="18" s="1"/>
  <c r="GW5" i="18" s="1"/>
  <c r="GX5" i="18" s="1"/>
  <c r="GY5" i="18" s="1"/>
  <c r="GZ5" i="18" s="1"/>
  <c r="HA5" i="18" s="1"/>
  <c r="HB5" i="18" s="1"/>
  <c r="HC5" i="18" s="1"/>
  <c r="HD5" i="18" s="1"/>
  <c r="HE5" i="18" s="1"/>
  <c r="HF5" i="18" s="1"/>
  <c r="HG5" i="18" s="1"/>
  <c r="HH5" i="18" s="1"/>
  <c r="HI5" i="18" s="1"/>
  <c r="HJ5" i="18" s="1"/>
  <c r="HK5" i="18" s="1"/>
  <c r="HL5" i="18" s="1"/>
  <c r="HM5" i="18" s="1"/>
  <c r="HN5" i="18" s="1"/>
  <c r="HO5" i="18" s="1"/>
  <c r="HP5" i="18" s="1"/>
  <c r="HQ5" i="18" s="1"/>
  <c r="HR5" i="18" s="1"/>
  <c r="HS5" i="18" s="1"/>
  <c r="HT5" i="18" s="1"/>
  <c r="HU5" i="18" s="1"/>
  <c r="HV5" i="18" s="1"/>
  <c r="HW5" i="18" s="1"/>
  <c r="HX5" i="18" s="1"/>
  <c r="HY5" i="18" s="1"/>
  <c r="HZ5" i="18" s="1"/>
  <c r="IA5" i="18" s="1"/>
  <c r="IB5" i="18" s="1"/>
  <c r="IC5" i="18" s="1"/>
  <c r="ID5" i="18" s="1"/>
  <c r="IE5" i="18" s="1"/>
  <c r="IF5" i="18" s="1"/>
  <c r="IG5" i="18" s="1"/>
  <c r="IH5" i="18" s="1"/>
  <c r="II5" i="18" s="1"/>
  <c r="IJ5" i="18" s="1"/>
  <c r="IK5" i="18" s="1"/>
  <c r="IL5" i="18" s="1"/>
  <c r="IM5" i="18" s="1"/>
  <c r="IN5" i="18" s="1"/>
  <c r="IO5" i="18" s="1"/>
  <c r="IP5" i="18" s="1"/>
  <c r="IQ5" i="18" s="1"/>
  <c r="IR5" i="18" s="1"/>
  <c r="IS5" i="18" s="1"/>
  <c r="IT5" i="18" s="1"/>
  <c r="IU5" i="18" s="1"/>
  <c r="IV5" i="18" s="1"/>
  <c r="IW5" i="18" s="1"/>
  <c r="IX5" i="18" s="1"/>
  <c r="IY5" i="18" s="1"/>
  <c r="IZ5" i="18" s="1"/>
  <c r="JA5" i="18" s="1"/>
  <c r="JB5" i="18" s="1"/>
  <c r="JC5" i="18" s="1"/>
  <c r="JD5" i="18" s="1"/>
  <c r="JE5" i="18" s="1"/>
  <c r="JF5" i="18" s="1"/>
  <c r="JG5" i="18" s="1"/>
  <c r="JH5" i="18" s="1"/>
  <c r="JI5" i="18" s="1"/>
  <c r="JJ5" i="18" s="1"/>
  <c r="JK5" i="18" s="1"/>
  <c r="JL5" i="18" s="1"/>
  <c r="JM5" i="18" s="1"/>
  <c r="JN5" i="18" s="1"/>
  <c r="JO5" i="18" s="1"/>
  <c r="JP5" i="18" s="1"/>
  <c r="JQ5" i="18" s="1"/>
  <c r="JR5" i="18" s="1"/>
  <c r="JS5" i="18" s="1"/>
  <c r="JT5" i="18" s="1"/>
  <c r="JU5" i="18" s="1"/>
  <c r="JV5" i="18" s="1"/>
  <c r="JW5" i="18" s="1"/>
  <c r="JX5" i="18" s="1"/>
  <c r="JY5" i="18" s="1"/>
  <c r="JZ5" i="18" s="1"/>
  <c r="KA5" i="18" s="1"/>
  <c r="KB5" i="18" s="1"/>
  <c r="KC5" i="18" s="1"/>
  <c r="KD5" i="18" s="1"/>
  <c r="KE5" i="18" s="1"/>
  <c r="KF5" i="18" s="1"/>
  <c r="KG5" i="18" s="1"/>
  <c r="KH5" i="18" s="1"/>
  <c r="KI5" i="18" s="1"/>
  <c r="KJ5" i="18" s="1"/>
  <c r="KK5" i="18" s="1"/>
  <c r="KL5" i="18" s="1"/>
  <c r="KM5" i="18" s="1"/>
  <c r="KN5" i="18" s="1"/>
  <c r="KO5" i="18" s="1"/>
  <c r="KP5" i="18" s="1"/>
  <c r="KQ5" i="18" s="1"/>
  <c r="KR5" i="18" s="1"/>
  <c r="KS5" i="18" s="1"/>
  <c r="KT5" i="18" s="1"/>
  <c r="KU5" i="18" s="1"/>
  <c r="KV5" i="18" s="1"/>
  <c r="KW5" i="18" s="1"/>
  <c r="KX5" i="18" s="1"/>
  <c r="KY5" i="18" s="1"/>
  <c r="KZ5" i="18" s="1"/>
  <c r="LA5" i="18" s="1"/>
  <c r="LB5" i="18" s="1"/>
  <c r="LC5" i="18" s="1"/>
  <c r="LD5" i="18" s="1"/>
  <c r="LE5" i="18" s="1"/>
  <c r="LF5" i="18" s="1"/>
  <c r="LG5" i="18" s="1"/>
  <c r="LH5" i="18" s="1"/>
  <c r="LI5" i="18" s="1"/>
  <c r="LJ5" i="18" s="1"/>
  <c r="LK5" i="18" s="1"/>
  <c r="LL5" i="18" s="1"/>
  <c r="LM5" i="18" s="1"/>
  <c r="LN5" i="18" s="1"/>
  <c r="LO5" i="18" s="1"/>
  <c r="LP5" i="18" s="1"/>
  <c r="LQ5" i="18" s="1"/>
  <c r="LR5" i="18" s="1"/>
  <c r="LS5" i="18" s="1"/>
  <c r="LT5" i="18" s="1"/>
  <c r="LU5" i="18" s="1"/>
  <c r="LV5" i="18" s="1"/>
  <c r="LW5" i="18" s="1"/>
  <c r="LX5" i="18" s="1"/>
  <c r="LY5" i="18" s="1"/>
  <c r="LZ5" i="18" s="1"/>
  <c r="MA5" i="18" s="1"/>
  <c r="MB5" i="18" s="1"/>
  <c r="MC5" i="18" s="1"/>
  <c r="MD5" i="18" s="1"/>
  <c r="ME5" i="18" s="1"/>
  <c r="MF5" i="18" s="1"/>
  <c r="MG5" i="18" s="1"/>
  <c r="MH5" i="18" s="1"/>
  <c r="MI5" i="18" s="1"/>
  <c r="MJ5" i="18" s="1"/>
  <c r="MK5" i="18" s="1"/>
  <c r="ML5" i="18" s="1"/>
  <c r="MM5" i="18" s="1"/>
  <c r="MN5" i="18" s="1"/>
  <c r="MO5" i="18" s="1"/>
  <c r="MP5" i="18" s="1"/>
  <c r="MQ5" i="18" s="1"/>
  <c r="MR5" i="18" s="1"/>
  <c r="MS5" i="18" s="1"/>
  <c r="MT5" i="18" s="1"/>
  <c r="MU5" i="18" s="1"/>
  <c r="MV5" i="18" s="1"/>
  <c r="MW5" i="18" s="1"/>
  <c r="MX5" i="18" s="1"/>
  <c r="MY5" i="18" s="1"/>
  <c r="MZ5" i="18" s="1"/>
  <c r="NA5" i="18" s="1"/>
  <c r="NB5" i="18" s="1"/>
  <c r="NC5" i="18" s="1"/>
  <c r="ND5" i="18" s="1"/>
  <c r="NE5" i="18" s="1"/>
  <c r="NF5" i="18" s="1"/>
  <c r="NG5" i="18" s="1"/>
  <c r="NH5" i="18" s="1"/>
  <c r="NI5" i="18" s="1"/>
  <c r="NJ5" i="18" s="1"/>
  <c r="NK5" i="18" s="1"/>
  <c r="NL5" i="18" s="1"/>
  <c r="NM5" i="18" s="1"/>
  <c r="NN5" i="18" s="1"/>
  <c r="NO5" i="18" s="1"/>
  <c r="NP5" i="18" s="1"/>
  <c r="NQ5" i="18" s="1"/>
  <c r="NR5" i="18" s="1"/>
  <c r="NS5" i="18" s="1"/>
  <c r="NT5" i="18" s="1"/>
  <c r="NU5" i="18" s="1"/>
  <c r="R41" i="18"/>
  <c r="R58" i="18"/>
  <c r="R65" i="18"/>
  <c r="NB67" i="18"/>
  <c r="NC67" i="18" s="1"/>
  <c r="ND67" i="18" s="1"/>
  <c r="NE67" i="18" s="1"/>
  <c r="NF67" i="18" s="1"/>
  <c r="NG67" i="18" s="1"/>
  <c r="NH67" i="18" s="1"/>
  <c r="NI67" i="18" s="1"/>
  <c r="NJ67" i="18" s="1"/>
  <c r="NK67" i="18" s="1"/>
  <c r="NL67" i="18" s="1"/>
  <c r="NM67" i="18" s="1"/>
  <c r="NN67" i="18" s="1"/>
  <c r="NO67" i="18" s="1"/>
  <c r="NP67" i="18" s="1"/>
  <c r="NQ67" i="18" s="1"/>
  <c r="NR67" i="18" s="1"/>
  <c r="NS67" i="18" s="1"/>
  <c r="NT67" i="18" s="1"/>
  <c r="NU67" i="18" s="1"/>
  <c r="Z39" i="19"/>
  <c r="Z47" i="19"/>
  <c r="Z43" i="19"/>
  <c r="EF19" i="18"/>
  <c r="EG19" i="18" s="1"/>
  <c r="EH19" i="18" s="1"/>
  <c r="EI19" i="18" s="1"/>
  <c r="EJ19" i="18" s="1"/>
  <c r="EK19" i="18" s="1"/>
  <c r="EL19" i="18" s="1"/>
  <c r="EM19" i="18" s="1"/>
  <c r="EN19" i="18" s="1"/>
  <c r="EO19" i="18" s="1"/>
  <c r="EP19" i="18" s="1"/>
  <c r="EQ19" i="18" s="1"/>
  <c r="ER19" i="18" s="1"/>
  <c r="ES19" i="18" s="1"/>
  <c r="ET19" i="18" s="1"/>
  <c r="EU19" i="18" s="1"/>
  <c r="EV19" i="18" s="1"/>
  <c r="EW19" i="18" s="1"/>
  <c r="EX19" i="18" s="1"/>
  <c r="EY19" i="18" s="1"/>
  <c r="EZ19" i="18" s="1"/>
  <c r="FA19" i="18" s="1"/>
  <c r="FB19" i="18" s="1"/>
  <c r="FC19" i="18" s="1"/>
  <c r="FD19" i="18" s="1"/>
  <c r="FE19" i="18" s="1"/>
  <c r="FF19" i="18" s="1"/>
  <c r="FG19" i="18" s="1"/>
  <c r="FH19" i="18" s="1"/>
  <c r="FI19" i="18" s="1"/>
  <c r="FJ19" i="18" s="1"/>
  <c r="FK19" i="18" s="1"/>
  <c r="FL19" i="18" s="1"/>
  <c r="FM19" i="18" s="1"/>
  <c r="FN19" i="18" s="1"/>
  <c r="FO19" i="18" s="1"/>
  <c r="FP19" i="18" s="1"/>
  <c r="FQ19" i="18" s="1"/>
  <c r="FR19" i="18" s="1"/>
  <c r="FS19" i="18" s="1"/>
  <c r="FT19" i="18" s="1"/>
  <c r="FU19" i="18" s="1"/>
  <c r="FV19" i="18" s="1"/>
  <c r="FW19" i="18" s="1"/>
  <c r="FX19" i="18" s="1"/>
  <c r="FY19" i="18" s="1"/>
  <c r="FZ19" i="18" s="1"/>
  <c r="GA19" i="18" s="1"/>
  <c r="GB19" i="18" s="1"/>
  <c r="GC19" i="18" s="1"/>
  <c r="GD19" i="18" s="1"/>
  <c r="GE19" i="18" s="1"/>
  <c r="GF19" i="18" s="1"/>
  <c r="GG19" i="18" s="1"/>
  <c r="GH19" i="18" s="1"/>
  <c r="GI19" i="18" s="1"/>
  <c r="GJ19" i="18" s="1"/>
  <c r="GK19" i="18" s="1"/>
  <c r="GL19" i="18" s="1"/>
  <c r="GM19" i="18" s="1"/>
  <c r="GN19" i="18" s="1"/>
  <c r="GO19" i="18" s="1"/>
  <c r="GP19" i="18" s="1"/>
  <c r="GQ19" i="18" s="1"/>
  <c r="GR19" i="18" s="1"/>
  <c r="GS19" i="18" s="1"/>
  <c r="GT19" i="18" s="1"/>
  <c r="GU19" i="18" s="1"/>
  <c r="GV19" i="18" s="1"/>
  <c r="GW19" i="18" s="1"/>
  <c r="GX19" i="18" s="1"/>
  <c r="GY19" i="18" s="1"/>
  <c r="GZ19" i="18" s="1"/>
  <c r="HA19" i="18" s="1"/>
  <c r="HB19" i="18" s="1"/>
  <c r="HC19" i="18" s="1"/>
  <c r="HD19" i="18" s="1"/>
  <c r="HE19" i="18" s="1"/>
  <c r="HF19" i="18" s="1"/>
  <c r="HG19" i="18" s="1"/>
  <c r="HH19" i="18" s="1"/>
  <c r="HI19" i="18" s="1"/>
  <c r="HJ19" i="18" s="1"/>
  <c r="HK19" i="18" s="1"/>
  <c r="HL19" i="18" s="1"/>
  <c r="HM19" i="18" s="1"/>
  <c r="HN19" i="18" s="1"/>
  <c r="HO19" i="18" s="1"/>
  <c r="HP19" i="18" s="1"/>
  <c r="HQ19" i="18" s="1"/>
  <c r="HR19" i="18" s="1"/>
  <c r="HS19" i="18" s="1"/>
  <c r="HT19" i="18" s="1"/>
  <c r="HU19" i="18" s="1"/>
  <c r="HV19" i="18" s="1"/>
  <c r="HW19" i="18" s="1"/>
  <c r="HX19" i="18" s="1"/>
  <c r="HY19" i="18" s="1"/>
  <c r="HZ19" i="18" s="1"/>
  <c r="IA19" i="18" s="1"/>
  <c r="IB19" i="18" s="1"/>
  <c r="IC19" i="18" s="1"/>
  <c r="ID19" i="18" s="1"/>
  <c r="IE19" i="18" s="1"/>
  <c r="IF19" i="18" s="1"/>
  <c r="IG19" i="18" s="1"/>
  <c r="IH19" i="18" s="1"/>
  <c r="II19" i="18" s="1"/>
  <c r="IJ19" i="18" s="1"/>
  <c r="IK19" i="18" s="1"/>
  <c r="IL19" i="18" s="1"/>
  <c r="IM19" i="18" s="1"/>
  <c r="IN19" i="18" s="1"/>
  <c r="IO19" i="18" s="1"/>
  <c r="IP19" i="18" s="1"/>
  <c r="IQ19" i="18" s="1"/>
  <c r="IR19" i="18" s="1"/>
  <c r="IS19" i="18" s="1"/>
  <c r="IT19" i="18" s="1"/>
  <c r="IU19" i="18" s="1"/>
  <c r="IV19" i="18" s="1"/>
  <c r="IW19" i="18" s="1"/>
  <c r="IX19" i="18" s="1"/>
  <c r="IY19" i="18" s="1"/>
  <c r="IZ19" i="18" s="1"/>
  <c r="JA19" i="18" s="1"/>
  <c r="JB19" i="18" s="1"/>
  <c r="JC19" i="18" s="1"/>
  <c r="JD19" i="18" s="1"/>
  <c r="JE19" i="18" s="1"/>
  <c r="JF19" i="18" s="1"/>
  <c r="JG19" i="18" s="1"/>
  <c r="JH19" i="18" s="1"/>
  <c r="JI19" i="18" s="1"/>
  <c r="JJ19" i="18" s="1"/>
  <c r="JK19" i="18" s="1"/>
  <c r="JL19" i="18" s="1"/>
  <c r="JM19" i="18" s="1"/>
  <c r="JN19" i="18" s="1"/>
  <c r="JO19" i="18" s="1"/>
  <c r="JP19" i="18" s="1"/>
  <c r="JQ19" i="18" s="1"/>
  <c r="JR19" i="18" s="1"/>
  <c r="JS19" i="18" s="1"/>
  <c r="JT19" i="18" s="1"/>
  <c r="JU19" i="18" s="1"/>
  <c r="JV19" i="18" s="1"/>
  <c r="JW19" i="18" s="1"/>
  <c r="JX19" i="18" s="1"/>
  <c r="JY19" i="18" s="1"/>
  <c r="JZ19" i="18" s="1"/>
  <c r="KA19" i="18" s="1"/>
  <c r="KB19" i="18" s="1"/>
  <c r="KC19" i="18" s="1"/>
  <c r="KD19" i="18" s="1"/>
  <c r="KE19" i="18" s="1"/>
  <c r="KF19" i="18" s="1"/>
  <c r="KG19" i="18" s="1"/>
  <c r="KH19" i="18" s="1"/>
  <c r="KI19" i="18" s="1"/>
  <c r="KJ19" i="18" s="1"/>
  <c r="KK19" i="18" s="1"/>
  <c r="KL19" i="18" s="1"/>
  <c r="KM19" i="18" s="1"/>
  <c r="KN19" i="18" s="1"/>
  <c r="KO19" i="18" s="1"/>
  <c r="KP19" i="18" s="1"/>
  <c r="KQ19" i="18" s="1"/>
  <c r="KR19" i="18" s="1"/>
  <c r="KS19" i="18" s="1"/>
  <c r="KT19" i="18" s="1"/>
  <c r="KU19" i="18" s="1"/>
  <c r="KV19" i="18" s="1"/>
  <c r="KW19" i="18" s="1"/>
  <c r="KX19" i="18" s="1"/>
  <c r="KY19" i="18" s="1"/>
  <c r="KZ19" i="18" s="1"/>
  <c r="LA19" i="18" s="1"/>
  <c r="LB19" i="18" s="1"/>
  <c r="LC19" i="18" s="1"/>
  <c r="LD19" i="18" s="1"/>
  <c r="LE19" i="18" s="1"/>
  <c r="LF19" i="18" s="1"/>
  <c r="LG19" i="18" s="1"/>
  <c r="LH19" i="18" s="1"/>
  <c r="LI19" i="18" s="1"/>
  <c r="LJ19" i="18" s="1"/>
  <c r="LK19" i="18" s="1"/>
  <c r="LL19" i="18" s="1"/>
  <c r="LM19" i="18" s="1"/>
  <c r="LN19" i="18" s="1"/>
  <c r="LO19" i="18" s="1"/>
  <c r="LP19" i="18" s="1"/>
  <c r="LQ19" i="18" s="1"/>
  <c r="LR19" i="18" s="1"/>
  <c r="LS19" i="18" s="1"/>
  <c r="LT19" i="18" s="1"/>
  <c r="LU19" i="18" s="1"/>
  <c r="LV19" i="18" s="1"/>
  <c r="LW19" i="18" s="1"/>
  <c r="LX19" i="18" s="1"/>
  <c r="LY19" i="18" s="1"/>
  <c r="LZ19" i="18" s="1"/>
  <c r="MA19" i="18" s="1"/>
  <c r="MB19" i="18" s="1"/>
  <c r="MC19" i="18" s="1"/>
  <c r="MD19" i="18" s="1"/>
  <c r="ME19" i="18" s="1"/>
  <c r="MF19" i="18" s="1"/>
  <c r="MG19" i="18" s="1"/>
  <c r="MH19" i="18" s="1"/>
  <c r="MI19" i="18" s="1"/>
  <c r="MJ19" i="18" s="1"/>
  <c r="MK19" i="18" s="1"/>
  <c r="ML19" i="18" s="1"/>
  <c r="MM19" i="18" s="1"/>
  <c r="MN19" i="18" s="1"/>
  <c r="MO19" i="18" s="1"/>
  <c r="MP19" i="18" s="1"/>
  <c r="MQ19" i="18" s="1"/>
  <c r="MR19" i="18" s="1"/>
  <c r="MS19" i="18" s="1"/>
  <c r="MT19" i="18" s="1"/>
  <c r="MU19" i="18" s="1"/>
  <c r="MV19" i="18" s="1"/>
  <c r="MW19" i="18" s="1"/>
  <c r="MX19" i="18" s="1"/>
  <c r="MY19" i="18" s="1"/>
  <c r="MZ19" i="18" s="1"/>
  <c r="NA19" i="18" s="1"/>
  <c r="NB19" i="18" s="1"/>
  <c r="NC19" i="18" s="1"/>
  <c r="ND19" i="18" s="1"/>
  <c r="NE19" i="18" s="1"/>
  <c r="NF19" i="18" s="1"/>
  <c r="NG19" i="18" s="1"/>
  <c r="NH19" i="18" s="1"/>
  <c r="NI19" i="18" s="1"/>
  <c r="NJ19" i="18" s="1"/>
  <c r="NK19" i="18" s="1"/>
  <c r="NL19" i="18" s="1"/>
  <c r="NM19" i="18" s="1"/>
  <c r="NN19" i="18" s="1"/>
  <c r="NO19" i="18" s="1"/>
  <c r="NP19" i="18" s="1"/>
  <c r="NQ19" i="18" s="1"/>
  <c r="NR19" i="18" s="1"/>
  <c r="NS19" i="18" s="1"/>
  <c r="NT19" i="18" s="1"/>
  <c r="NU19" i="18" s="1"/>
  <c r="EF18" i="18"/>
  <c r="EG18" i="18" s="1"/>
  <c r="EH18" i="18" s="1"/>
  <c r="EI18" i="18" s="1"/>
  <c r="EJ18" i="18" s="1"/>
  <c r="EK18" i="18" s="1"/>
  <c r="EL18" i="18" s="1"/>
  <c r="EM18" i="18" s="1"/>
  <c r="EN18" i="18" s="1"/>
  <c r="EO18" i="18" s="1"/>
  <c r="EP18" i="18" s="1"/>
  <c r="EQ18" i="18" s="1"/>
  <c r="ER18" i="18" s="1"/>
  <c r="ES18" i="18" s="1"/>
  <c r="ET18" i="18" s="1"/>
  <c r="EU18" i="18" s="1"/>
  <c r="EV18" i="18" s="1"/>
  <c r="EW18" i="18" s="1"/>
  <c r="EX18" i="18" s="1"/>
  <c r="EY18" i="18" s="1"/>
  <c r="EZ18" i="18" s="1"/>
  <c r="FA18" i="18" s="1"/>
  <c r="FB18" i="18" s="1"/>
  <c r="FC18" i="18" s="1"/>
  <c r="FD18" i="18" s="1"/>
  <c r="FE18" i="18" s="1"/>
  <c r="FF18" i="18" s="1"/>
  <c r="FG18" i="18" s="1"/>
  <c r="FH18" i="18" s="1"/>
  <c r="FI18" i="18" s="1"/>
  <c r="FJ18" i="18" s="1"/>
  <c r="FK18" i="18" s="1"/>
  <c r="FL18" i="18" s="1"/>
  <c r="FM18" i="18" s="1"/>
  <c r="FN18" i="18" s="1"/>
  <c r="FO18" i="18" s="1"/>
  <c r="FP18" i="18" s="1"/>
  <c r="FQ18" i="18" s="1"/>
  <c r="FR18" i="18" s="1"/>
  <c r="FS18" i="18" s="1"/>
  <c r="FT18" i="18" s="1"/>
  <c r="FU18" i="18" s="1"/>
  <c r="FV18" i="18" s="1"/>
  <c r="FW18" i="18" s="1"/>
  <c r="FX18" i="18" s="1"/>
  <c r="FY18" i="18" s="1"/>
  <c r="FZ18" i="18" s="1"/>
  <c r="GA18" i="18" s="1"/>
  <c r="GB18" i="18" s="1"/>
  <c r="GC18" i="18" s="1"/>
  <c r="GD18" i="18" s="1"/>
  <c r="GE18" i="18" s="1"/>
  <c r="GF18" i="18" s="1"/>
  <c r="GG18" i="18" s="1"/>
  <c r="GH18" i="18" s="1"/>
  <c r="GI18" i="18" s="1"/>
  <c r="GJ18" i="18" s="1"/>
  <c r="GK18" i="18" s="1"/>
  <c r="GL18" i="18" s="1"/>
  <c r="GM18" i="18" s="1"/>
  <c r="GN18" i="18" s="1"/>
  <c r="GO18" i="18" s="1"/>
  <c r="GP18" i="18" s="1"/>
  <c r="GQ18" i="18" s="1"/>
  <c r="GR18" i="18" s="1"/>
  <c r="GS18" i="18" s="1"/>
  <c r="GT18" i="18" s="1"/>
  <c r="GU18" i="18" s="1"/>
  <c r="GV18" i="18" s="1"/>
  <c r="GW18" i="18" s="1"/>
  <c r="GX18" i="18" s="1"/>
  <c r="GY18" i="18" s="1"/>
  <c r="GZ18" i="18" s="1"/>
  <c r="HA18" i="18" s="1"/>
  <c r="HB18" i="18" s="1"/>
  <c r="HC18" i="18" s="1"/>
  <c r="HD18" i="18" s="1"/>
  <c r="HE18" i="18" s="1"/>
  <c r="HF18" i="18" s="1"/>
  <c r="HG18" i="18" s="1"/>
  <c r="HH18" i="18" s="1"/>
  <c r="HI18" i="18" s="1"/>
  <c r="HJ18" i="18" s="1"/>
  <c r="HK18" i="18" s="1"/>
  <c r="HL18" i="18" s="1"/>
  <c r="HM18" i="18" s="1"/>
  <c r="HN18" i="18" s="1"/>
  <c r="HO18" i="18" s="1"/>
  <c r="HP18" i="18" s="1"/>
  <c r="HQ18" i="18" s="1"/>
  <c r="HR18" i="18" s="1"/>
  <c r="HS18" i="18" s="1"/>
  <c r="HT18" i="18" s="1"/>
  <c r="HU18" i="18" s="1"/>
  <c r="HV18" i="18" s="1"/>
  <c r="HW18" i="18" s="1"/>
  <c r="HX18" i="18" s="1"/>
  <c r="HY18" i="18" s="1"/>
  <c r="HZ18" i="18" s="1"/>
  <c r="IA18" i="18" s="1"/>
  <c r="IB18" i="18" s="1"/>
  <c r="IC18" i="18" s="1"/>
  <c r="ID18" i="18" s="1"/>
  <c r="IE18" i="18" s="1"/>
  <c r="IF18" i="18" s="1"/>
  <c r="IG18" i="18" s="1"/>
  <c r="IH18" i="18" s="1"/>
  <c r="II18" i="18" s="1"/>
  <c r="IJ18" i="18" s="1"/>
  <c r="IK18" i="18" s="1"/>
  <c r="IL18" i="18" s="1"/>
  <c r="IM18" i="18" s="1"/>
  <c r="IN18" i="18" s="1"/>
  <c r="IO18" i="18" s="1"/>
  <c r="IP18" i="18" s="1"/>
  <c r="IQ18" i="18" s="1"/>
  <c r="IR18" i="18" s="1"/>
  <c r="IS18" i="18" s="1"/>
  <c r="IT18" i="18" s="1"/>
  <c r="IU18" i="18" s="1"/>
  <c r="IV18" i="18" s="1"/>
  <c r="IW18" i="18" s="1"/>
  <c r="IX18" i="18" s="1"/>
  <c r="IY18" i="18" s="1"/>
  <c r="IZ18" i="18" s="1"/>
  <c r="JA18" i="18" s="1"/>
  <c r="JB18" i="18" s="1"/>
  <c r="JC18" i="18" s="1"/>
  <c r="JD18" i="18" s="1"/>
  <c r="JE18" i="18" s="1"/>
  <c r="JF18" i="18" s="1"/>
  <c r="JG18" i="18" s="1"/>
  <c r="JH18" i="18" s="1"/>
  <c r="JI18" i="18" s="1"/>
  <c r="JJ18" i="18" s="1"/>
  <c r="JK18" i="18" s="1"/>
  <c r="JL18" i="18" s="1"/>
  <c r="JM18" i="18" s="1"/>
  <c r="JN18" i="18" s="1"/>
  <c r="JO18" i="18" s="1"/>
  <c r="JP18" i="18" s="1"/>
  <c r="JQ18" i="18" s="1"/>
  <c r="JR18" i="18" s="1"/>
  <c r="JS18" i="18" s="1"/>
  <c r="JT18" i="18" s="1"/>
  <c r="JU18" i="18" s="1"/>
  <c r="JV18" i="18" s="1"/>
  <c r="JW18" i="18" s="1"/>
  <c r="JX18" i="18" s="1"/>
  <c r="JY18" i="18" s="1"/>
  <c r="JZ18" i="18" s="1"/>
  <c r="KA18" i="18" s="1"/>
  <c r="KB18" i="18" s="1"/>
  <c r="KC18" i="18" s="1"/>
  <c r="KD18" i="18" s="1"/>
  <c r="KE18" i="18" s="1"/>
  <c r="KF18" i="18" s="1"/>
  <c r="KG18" i="18" s="1"/>
  <c r="KH18" i="18" s="1"/>
  <c r="KI18" i="18" s="1"/>
  <c r="KJ18" i="18" s="1"/>
  <c r="KK18" i="18" s="1"/>
  <c r="KL18" i="18" s="1"/>
  <c r="KM18" i="18" s="1"/>
  <c r="KN18" i="18" s="1"/>
  <c r="KO18" i="18" s="1"/>
  <c r="KP18" i="18" s="1"/>
  <c r="KQ18" i="18" s="1"/>
  <c r="KR18" i="18" s="1"/>
  <c r="KS18" i="18" s="1"/>
  <c r="KT18" i="18" s="1"/>
  <c r="KU18" i="18" s="1"/>
  <c r="KV18" i="18" s="1"/>
  <c r="KW18" i="18" s="1"/>
  <c r="KX18" i="18" s="1"/>
  <c r="KY18" i="18" s="1"/>
  <c r="KZ18" i="18" s="1"/>
  <c r="LA18" i="18" s="1"/>
  <c r="LB18" i="18" s="1"/>
  <c r="LC18" i="18" s="1"/>
  <c r="LD18" i="18" s="1"/>
  <c r="LE18" i="18" s="1"/>
  <c r="LF18" i="18" s="1"/>
  <c r="LG18" i="18" s="1"/>
  <c r="LH18" i="18" s="1"/>
  <c r="LI18" i="18" s="1"/>
  <c r="LJ18" i="18" s="1"/>
  <c r="LK18" i="18" s="1"/>
  <c r="LL18" i="18" s="1"/>
  <c r="LM18" i="18" s="1"/>
  <c r="LN18" i="18" s="1"/>
  <c r="LO18" i="18" s="1"/>
  <c r="LP18" i="18" s="1"/>
  <c r="LQ18" i="18" s="1"/>
  <c r="LR18" i="18" s="1"/>
  <c r="LS18" i="18" s="1"/>
  <c r="LT18" i="18" s="1"/>
  <c r="LU18" i="18" s="1"/>
  <c r="LV18" i="18" s="1"/>
  <c r="LW18" i="18" s="1"/>
  <c r="LX18" i="18" s="1"/>
  <c r="LY18" i="18" s="1"/>
  <c r="LZ18" i="18" s="1"/>
  <c r="MA18" i="18" s="1"/>
  <c r="MB18" i="18" s="1"/>
  <c r="MC18" i="18" s="1"/>
  <c r="MD18" i="18" s="1"/>
  <c r="ME18" i="18" s="1"/>
  <c r="MF18" i="18" s="1"/>
  <c r="MG18" i="18" s="1"/>
  <c r="MH18" i="18" s="1"/>
  <c r="MI18" i="18" s="1"/>
  <c r="MJ18" i="18" s="1"/>
  <c r="MK18" i="18" s="1"/>
  <c r="ML18" i="18" s="1"/>
  <c r="MM18" i="18" s="1"/>
  <c r="MN18" i="18" s="1"/>
  <c r="MO18" i="18" s="1"/>
  <c r="MP18" i="18" s="1"/>
  <c r="MQ18" i="18" s="1"/>
  <c r="MR18" i="18" s="1"/>
  <c r="MS18" i="18" s="1"/>
  <c r="MT18" i="18" s="1"/>
  <c r="MU18" i="18" s="1"/>
  <c r="MV18" i="18" s="1"/>
  <c r="MW18" i="18" s="1"/>
  <c r="MX18" i="18" s="1"/>
  <c r="MY18" i="18" s="1"/>
  <c r="MZ18" i="18" s="1"/>
  <c r="NA18" i="18" s="1"/>
  <c r="NB18" i="18" s="1"/>
  <c r="NC18" i="18" s="1"/>
  <c r="ND18" i="18" s="1"/>
  <c r="NE18" i="18" s="1"/>
  <c r="NF18" i="18" s="1"/>
  <c r="NG18" i="18" s="1"/>
  <c r="NH18" i="18" s="1"/>
  <c r="NI18" i="18" s="1"/>
  <c r="NJ18" i="18" s="1"/>
  <c r="NK18" i="18" s="1"/>
  <c r="NL18" i="18" s="1"/>
  <c r="NM18" i="18" s="1"/>
  <c r="NN18" i="18" s="1"/>
  <c r="NO18" i="18" s="1"/>
  <c r="NP18" i="18" s="1"/>
  <c r="NQ18" i="18" s="1"/>
  <c r="NR18" i="18" s="1"/>
  <c r="NS18" i="18" s="1"/>
  <c r="NT18" i="18" s="1"/>
  <c r="NU18" i="18" s="1"/>
  <c r="IV40" i="18"/>
  <c r="IW40" i="18" s="1"/>
  <c r="IX40" i="18" s="1"/>
  <c r="IY40" i="18" s="1"/>
  <c r="IZ40" i="18" s="1"/>
  <c r="JA40" i="18" s="1"/>
  <c r="JB40" i="18" s="1"/>
  <c r="JC40" i="18" s="1"/>
  <c r="JD40" i="18" s="1"/>
  <c r="JE40" i="18" s="1"/>
  <c r="JF40" i="18" s="1"/>
  <c r="JG40" i="18" s="1"/>
  <c r="JH40" i="18" s="1"/>
  <c r="JI40" i="18" s="1"/>
  <c r="JJ40" i="18" s="1"/>
  <c r="JK40" i="18" s="1"/>
  <c r="JL40" i="18" s="1"/>
  <c r="JM40" i="18" s="1"/>
  <c r="JN40" i="18" s="1"/>
  <c r="JO40" i="18" s="1"/>
  <c r="JP40" i="18" s="1"/>
  <c r="JQ40" i="18" s="1"/>
  <c r="JR40" i="18" s="1"/>
  <c r="JS40" i="18" s="1"/>
  <c r="JT40" i="18" s="1"/>
  <c r="JU40" i="18" s="1"/>
  <c r="JV40" i="18" s="1"/>
  <c r="JW40" i="18" s="1"/>
  <c r="JX40" i="18" s="1"/>
  <c r="JY40" i="18" s="1"/>
  <c r="JZ40" i="18" s="1"/>
  <c r="KA40" i="18" s="1"/>
  <c r="KB40" i="18" s="1"/>
  <c r="KC40" i="18" s="1"/>
  <c r="KD40" i="18" s="1"/>
  <c r="KE40" i="18" s="1"/>
  <c r="KF40" i="18" s="1"/>
  <c r="KG40" i="18" s="1"/>
  <c r="KH40" i="18" s="1"/>
  <c r="KI40" i="18" s="1"/>
  <c r="KJ40" i="18" s="1"/>
  <c r="KK40" i="18" s="1"/>
  <c r="KL40" i="18" s="1"/>
  <c r="KM40" i="18" s="1"/>
  <c r="KN40" i="18" s="1"/>
  <c r="KO40" i="18" s="1"/>
  <c r="KP40" i="18" s="1"/>
  <c r="KQ40" i="18" s="1"/>
  <c r="KR40" i="18" s="1"/>
  <c r="KS40" i="18" s="1"/>
  <c r="KT40" i="18" s="1"/>
  <c r="KU40" i="18" s="1"/>
  <c r="KV40" i="18" s="1"/>
  <c r="KW40" i="18" s="1"/>
  <c r="KX40" i="18" s="1"/>
  <c r="KY40" i="18" s="1"/>
  <c r="KZ40" i="18" s="1"/>
  <c r="LA40" i="18" s="1"/>
  <c r="LB40" i="18" s="1"/>
  <c r="LC40" i="18" s="1"/>
  <c r="LD40" i="18" s="1"/>
  <c r="LE40" i="18" s="1"/>
  <c r="LF40" i="18" s="1"/>
  <c r="LG40" i="18" s="1"/>
  <c r="LH40" i="18" s="1"/>
  <c r="LI40" i="18" s="1"/>
  <c r="LJ40" i="18" s="1"/>
  <c r="LK40" i="18" s="1"/>
  <c r="LL40" i="18" s="1"/>
  <c r="LM40" i="18" s="1"/>
  <c r="LN40" i="18" s="1"/>
  <c r="LO40" i="18" s="1"/>
  <c r="LP40" i="18" s="1"/>
  <c r="LQ40" i="18" s="1"/>
  <c r="LR40" i="18" s="1"/>
  <c r="LS40" i="18" s="1"/>
  <c r="LT40" i="18" s="1"/>
  <c r="LU40" i="18" s="1"/>
  <c r="LV40" i="18" s="1"/>
  <c r="LW40" i="18" s="1"/>
  <c r="LX40" i="18" s="1"/>
  <c r="LY40" i="18" s="1"/>
  <c r="LZ40" i="18" s="1"/>
  <c r="MA40" i="18" s="1"/>
  <c r="MB40" i="18" s="1"/>
  <c r="MC40" i="18" s="1"/>
  <c r="MD40" i="18" s="1"/>
  <c r="ME40" i="18" s="1"/>
  <c r="MF40" i="18" s="1"/>
  <c r="MG40" i="18" s="1"/>
  <c r="MH40" i="18" s="1"/>
  <c r="MI40" i="18" s="1"/>
  <c r="MJ40" i="18" s="1"/>
  <c r="MK40" i="18" s="1"/>
  <c r="ML40" i="18" s="1"/>
  <c r="MM40" i="18" s="1"/>
  <c r="MN40" i="18" s="1"/>
  <c r="MO40" i="18" s="1"/>
  <c r="MP40" i="18" s="1"/>
  <c r="MQ40" i="18" s="1"/>
  <c r="MR40" i="18" s="1"/>
  <c r="MS40" i="18" s="1"/>
  <c r="MT40" i="18" s="1"/>
  <c r="MU40" i="18" s="1"/>
  <c r="MV40" i="18" s="1"/>
  <c r="MW40" i="18" s="1"/>
  <c r="MX40" i="18" s="1"/>
  <c r="MY40" i="18" s="1"/>
  <c r="MZ40" i="18" s="1"/>
  <c r="NA40" i="18" s="1"/>
  <c r="NB40" i="18" s="1"/>
  <c r="NC40" i="18" s="1"/>
  <c r="ND40" i="18" s="1"/>
  <c r="NE40" i="18" s="1"/>
  <c r="NF40" i="18" s="1"/>
  <c r="NG40" i="18" s="1"/>
  <c r="NH40" i="18" s="1"/>
  <c r="NI40" i="18" s="1"/>
  <c r="NJ40" i="18" s="1"/>
  <c r="NK40" i="18" s="1"/>
  <c r="NL40" i="18" s="1"/>
  <c r="NM40" i="18" s="1"/>
  <c r="NN40" i="18" s="1"/>
  <c r="NO40" i="18" s="1"/>
  <c r="NP40" i="18" s="1"/>
  <c r="NQ40" i="18" s="1"/>
  <c r="NR40" i="18" s="1"/>
  <c r="NS40" i="18" s="1"/>
  <c r="NT40" i="18" s="1"/>
  <c r="NU40" i="18" s="1"/>
  <c r="Z37" i="19"/>
  <c r="AA37" i="19" s="1"/>
  <c r="AA38" i="19" s="1"/>
  <c r="IG28" i="18"/>
  <c r="IH28" i="18" s="1"/>
  <c r="II28" i="18" s="1"/>
  <c r="IJ28" i="18" s="1"/>
  <c r="IK28" i="18" s="1"/>
  <c r="IL28" i="18" s="1"/>
  <c r="IM28" i="18" s="1"/>
  <c r="IN28" i="18" s="1"/>
  <c r="IO28" i="18" s="1"/>
  <c r="IP28" i="18" s="1"/>
  <c r="IQ28" i="18" s="1"/>
  <c r="IR28" i="18" s="1"/>
  <c r="IS28" i="18" s="1"/>
  <c r="IT28" i="18" s="1"/>
  <c r="IU28" i="18" s="1"/>
  <c r="IV28" i="18" s="1"/>
  <c r="IW28" i="18" s="1"/>
  <c r="IX28" i="18" s="1"/>
  <c r="IY28" i="18" s="1"/>
  <c r="IZ28" i="18" s="1"/>
  <c r="JA28" i="18" s="1"/>
  <c r="JB28" i="18" s="1"/>
  <c r="JC28" i="18" s="1"/>
  <c r="JD28" i="18" s="1"/>
  <c r="JE28" i="18" s="1"/>
  <c r="JF28" i="18" s="1"/>
  <c r="JG28" i="18" s="1"/>
  <c r="JH28" i="18" s="1"/>
  <c r="JI28" i="18" s="1"/>
  <c r="JJ28" i="18" s="1"/>
  <c r="JK28" i="18" s="1"/>
  <c r="JL28" i="18" s="1"/>
  <c r="JM28" i="18" s="1"/>
  <c r="JN28" i="18" s="1"/>
  <c r="JO28" i="18" s="1"/>
  <c r="JP28" i="18" s="1"/>
  <c r="JQ28" i="18" s="1"/>
  <c r="JR28" i="18" s="1"/>
  <c r="JS28" i="18" s="1"/>
  <c r="JT28" i="18" s="1"/>
  <c r="JU28" i="18" s="1"/>
  <c r="JV28" i="18" s="1"/>
  <c r="JW28" i="18" s="1"/>
  <c r="JX28" i="18" s="1"/>
  <c r="JY28" i="18" s="1"/>
  <c r="JZ28" i="18" s="1"/>
  <c r="KA28" i="18" s="1"/>
  <c r="KB28" i="18" s="1"/>
  <c r="KC28" i="18" s="1"/>
  <c r="KD28" i="18" s="1"/>
  <c r="KE28" i="18" s="1"/>
  <c r="KF28" i="18" s="1"/>
  <c r="KG28" i="18" s="1"/>
  <c r="KH28" i="18" s="1"/>
  <c r="KI28" i="18" s="1"/>
  <c r="KJ28" i="18" s="1"/>
  <c r="KK28" i="18" s="1"/>
  <c r="KL28" i="18" s="1"/>
  <c r="KM28" i="18" s="1"/>
  <c r="KN28" i="18" s="1"/>
  <c r="KO28" i="18" s="1"/>
  <c r="KP28" i="18" s="1"/>
  <c r="KQ28" i="18" s="1"/>
  <c r="KR28" i="18" s="1"/>
  <c r="KS28" i="18" s="1"/>
  <c r="KT28" i="18" s="1"/>
  <c r="KU28" i="18" s="1"/>
  <c r="KV28" i="18" s="1"/>
  <c r="KW28" i="18" s="1"/>
  <c r="KX28" i="18" s="1"/>
  <c r="KY28" i="18" s="1"/>
  <c r="KZ28" i="18" s="1"/>
  <c r="LA28" i="18" s="1"/>
  <c r="LB28" i="18" s="1"/>
  <c r="LC28" i="18" s="1"/>
  <c r="LD28" i="18" s="1"/>
  <c r="LE28" i="18" s="1"/>
  <c r="LF28" i="18" s="1"/>
  <c r="LG28" i="18" s="1"/>
  <c r="LH28" i="18" s="1"/>
  <c r="LI28" i="18" s="1"/>
  <c r="LJ28" i="18" s="1"/>
  <c r="LK28" i="18" s="1"/>
  <c r="LL28" i="18" s="1"/>
  <c r="LM28" i="18" s="1"/>
  <c r="LN28" i="18" s="1"/>
  <c r="LO28" i="18" s="1"/>
  <c r="LP28" i="18" s="1"/>
  <c r="LQ28" i="18" s="1"/>
  <c r="LR28" i="18" s="1"/>
  <c r="LS28" i="18" s="1"/>
  <c r="LT28" i="18" s="1"/>
  <c r="LU28" i="18" s="1"/>
  <c r="LV28" i="18" s="1"/>
  <c r="LW28" i="18" s="1"/>
  <c r="LX28" i="18" s="1"/>
  <c r="LY28" i="18" s="1"/>
  <c r="LZ28" i="18" s="1"/>
  <c r="MA28" i="18" s="1"/>
  <c r="MB28" i="18" s="1"/>
  <c r="MC28" i="18" s="1"/>
  <c r="MD28" i="18" s="1"/>
  <c r="ME28" i="18" s="1"/>
  <c r="MF28" i="18" s="1"/>
  <c r="MG28" i="18" s="1"/>
  <c r="MH28" i="18" s="1"/>
  <c r="MI28" i="18" s="1"/>
  <c r="MJ28" i="18" s="1"/>
  <c r="MK28" i="18" s="1"/>
  <c r="ML28" i="18" s="1"/>
  <c r="MM28" i="18" s="1"/>
  <c r="MN28" i="18" s="1"/>
  <c r="MO28" i="18" s="1"/>
  <c r="MP28" i="18" s="1"/>
  <c r="MQ28" i="18" s="1"/>
  <c r="MR28" i="18" s="1"/>
  <c r="MS28" i="18" s="1"/>
  <c r="MT28" i="18" s="1"/>
  <c r="MU28" i="18" s="1"/>
  <c r="MV28" i="18" s="1"/>
  <c r="MW28" i="18" s="1"/>
  <c r="MX28" i="18" s="1"/>
  <c r="MY28" i="18" s="1"/>
  <c r="MZ28" i="18" s="1"/>
  <c r="NA28" i="18" s="1"/>
  <c r="NB28" i="18" s="1"/>
  <c r="NC28" i="18" s="1"/>
  <c r="ND28" i="18" s="1"/>
  <c r="NE28" i="18" s="1"/>
  <c r="NF28" i="18" s="1"/>
  <c r="NG28" i="18" s="1"/>
  <c r="NH28" i="18" s="1"/>
  <c r="NI28" i="18" s="1"/>
  <c r="NJ28" i="18" s="1"/>
  <c r="NK28" i="18" s="1"/>
  <c r="NL28" i="18" s="1"/>
  <c r="NM28" i="18" s="1"/>
  <c r="NN28" i="18" s="1"/>
  <c r="NO28" i="18" s="1"/>
  <c r="NP28" i="18" s="1"/>
  <c r="NQ28" i="18" s="1"/>
  <c r="NR28" i="18" s="1"/>
  <c r="NS28" i="18" s="1"/>
  <c r="NT28" i="18" s="1"/>
  <c r="NU28" i="18" s="1"/>
  <c r="Z44" i="19"/>
  <c r="Q17" i="18"/>
  <c r="R17" i="18" s="1"/>
  <c r="GD17" i="18"/>
  <c r="GE17" i="18" s="1"/>
  <c r="GF17" i="18" s="1"/>
  <c r="GG17" i="18" s="1"/>
  <c r="GH17" i="18" s="1"/>
  <c r="GI17" i="18" s="1"/>
  <c r="GJ17" i="18" s="1"/>
  <c r="GK17" i="18" s="1"/>
  <c r="GL17" i="18" s="1"/>
  <c r="GM17" i="18" s="1"/>
  <c r="GN17" i="18" s="1"/>
  <c r="GO17" i="18" s="1"/>
  <c r="GP17" i="18" s="1"/>
  <c r="GQ17" i="18" s="1"/>
  <c r="GR17" i="18" s="1"/>
  <c r="GS17" i="18" s="1"/>
  <c r="GT17" i="18" s="1"/>
  <c r="GU17" i="18" s="1"/>
  <c r="GV17" i="18" s="1"/>
  <c r="GW17" i="18" s="1"/>
  <c r="GX17" i="18" s="1"/>
  <c r="GY17" i="18" s="1"/>
  <c r="GZ17" i="18" s="1"/>
  <c r="HA17" i="18" s="1"/>
  <c r="HB17" i="18" s="1"/>
  <c r="HC17" i="18" s="1"/>
  <c r="HD17" i="18" s="1"/>
  <c r="HE17" i="18" s="1"/>
  <c r="HF17" i="18" s="1"/>
  <c r="HG17" i="18" s="1"/>
  <c r="HH17" i="18" s="1"/>
  <c r="HI17" i="18" s="1"/>
  <c r="HJ17" i="18" s="1"/>
  <c r="HK17" i="18" s="1"/>
  <c r="HL17" i="18" s="1"/>
  <c r="HM17" i="18" s="1"/>
  <c r="HN17" i="18" s="1"/>
  <c r="HO17" i="18" s="1"/>
  <c r="HP17" i="18" s="1"/>
  <c r="HQ17" i="18" s="1"/>
  <c r="HR17" i="18" s="1"/>
  <c r="HS17" i="18" s="1"/>
  <c r="HT17" i="18" s="1"/>
  <c r="HU17" i="18" s="1"/>
  <c r="HV17" i="18" s="1"/>
  <c r="HW17" i="18" s="1"/>
  <c r="HX17" i="18" s="1"/>
  <c r="HY17" i="18" s="1"/>
  <c r="HZ17" i="18" s="1"/>
  <c r="IA17" i="18" s="1"/>
  <c r="IB17" i="18" s="1"/>
  <c r="IC17" i="18" s="1"/>
  <c r="ID17" i="18" s="1"/>
  <c r="IE17" i="18" s="1"/>
  <c r="IF17" i="18" s="1"/>
  <c r="IG17" i="18" s="1"/>
  <c r="IH17" i="18" s="1"/>
  <c r="II17" i="18" s="1"/>
  <c r="IJ17" i="18" s="1"/>
  <c r="IK17" i="18" s="1"/>
  <c r="IL17" i="18" s="1"/>
  <c r="IM17" i="18" s="1"/>
  <c r="IN17" i="18" s="1"/>
  <c r="IO17" i="18" s="1"/>
  <c r="IP17" i="18" s="1"/>
  <c r="IQ17" i="18" s="1"/>
  <c r="IR17" i="18" s="1"/>
  <c r="IS17" i="18" s="1"/>
  <c r="IT17" i="18" s="1"/>
  <c r="IU17" i="18" s="1"/>
  <c r="IV17" i="18" s="1"/>
  <c r="IW17" i="18" s="1"/>
  <c r="IX17" i="18" s="1"/>
  <c r="IY17" i="18" s="1"/>
  <c r="IZ17" i="18" s="1"/>
  <c r="JA17" i="18" s="1"/>
  <c r="JB17" i="18" s="1"/>
  <c r="JC17" i="18" s="1"/>
  <c r="JD17" i="18" s="1"/>
  <c r="JE17" i="18" s="1"/>
  <c r="JF17" i="18" s="1"/>
  <c r="JG17" i="18" s="1"/>
  <c r="JH17" i="18" s="1"/>
  <c r="JI17" i="18" s="1"/>
  <c r="JJ17" i="18" s="1"/>
  <c r="JK17" i="18" s="1"/>
  <c r="JL17" i="18" s="1"/>
  <c r="JM17" i="18" s="1"/>
  <c r="JN17" i="18" s="1"/>
  <c r="JO17" i="18" s="1"/>
  <c r="JP17" i="18" s="1"/>
  <c r="JQ17" i="18" s="1"/>
  <c r="JR17" i="18" s="1"/>
  <c r="JS17" i="18" s="1"/>
  <c r="JT17" i="18" s="1"/>
  <c r="JU17" i="18" s="1"/>
  <c r="JV17" i="18" s="1"/>
  <c r="JW17" i="18" s="1"/>
  <c r="JX17" i="18" s="1"/>
  <c r="JY17" i="18" s="1"/>
  <c r="JZ17" i="18" s="1"/>
  <c r="KA17" i="18" s="1"/>
  <c r="KB17" i="18" s="1"/>
  <c r="KC17" i="18" s="1"/>
  <c r="KD17" i="18" s="1"/>
  <c r="KE17" i="18" s="1"/>
  <c r="KF17" i="18" s="1"/>
  <c r="KG17" i="18" s="1"/>
  <c r="KH17" i="18" s="1"/>
  <c r="KI17" i="18" s="1"/>
  <c r="KJ17" i="18" s="1"/>
  <c r="KK17" i="18" s="1"/>
  <c r="KL17" i="18" s="1"/>
  <c r="KM17" i="18" s="1"/>
  <c r="KN17" i="18" s="1"/>
  <c r="KO17" i="18" s="1"/>
  <c r="KP17" i="18" s="1"/>
  <c r="KQ17" i="18" s="1"/>
  <c r="KR17" i="18" s="1"/>
  <c r="KS17" i="18" s="1"/>
  <c r="KT17" i="18" s="1"/>
  <c r="KU17" i="18" s="1"/>
  <c r="KV17" i="18" s="1"/>
  <c r="KW17" i="18" s="1"/>
  <c r="KX17" i="18" s="1"/>
  <c r="KY17" i="18" s="1"/>
  <c r="KZ17" i="18" s="1"/>
  <c r="LA17" i="18" s="1"/>
  <c r="LB17" i="18" s="1"/>
  <c r="LC17" i="18" s="1"/>
  <c r="LD17" i="18" s="1"/>
  <c r="LE17" i="18" s="1"/>
  <c r="LF17" i="18" s="1"/>
  <c r="LG17" i="18" s="1"/>
  <c r="LH17" i="18" s="1"/>
  <c r="LI17" i="18" s="1"/>
  <c r="LJ17" i="18" s="1"/>
  <c r="LK17" i="18" s="1"/>
  <c r="LL17" i="18" s="1"/>
  <c r="LM17" i="18" s="1"/>
  <c r="LN17" i="18" s="1"/>
  <c r="LO17" i="18" s="1"/>
  <c r="LP17" i="18" s="1"/>
  <c r="LQ17" i="18" s="1"/>
  <c r="LR17" i="18" s="1"/>
  <c r="LS17" i="18" s="1"/>
  <c r="LT17" i="18" s="1"/>
  <c r="LU17" i="18" s="1"/>
  <c r="LV17" i="18" s="1"/>
  <c r="LW17" i="18" s="1"/>
  <c r="LX17" i="18" s="1"/>
  <c r="LY17" i="18" s="1"/>
  <c r="LZ17" i="18" s="1"/>
  <c r="MA17" i="18" s="1"/>
  <c r="MB17" i="18" s="1"/>
  <c r="MC17" i="18" s="1"/>
  <c r="MD17" i="18" s="1"/>
  <c r="ME17" i="18" s="1"/>
  <c r="MF17" i="18" s="1"/>
  <c r="MG17" i="18" s="1"/>
  <c r="MH17" i="18" s="1"/>
  <c r="MI17" i="18" s="1"/>
  <c r="MJ17" i="18" s="1"/>
  <c r="MK17" i="18" s="1"/>
  <c r="ML17" i="18" s="1"/>
  <c r="MM17" i="18" s="1"/>
  <c r="MN17" i="18" s="1"/>
  <c r="MO17" i="18" s="1"/>
  <c r="MP17" i="18" s="1"/>
  <c r="MQ17" i="18" s="1"/>
  <c r="MR17" i="18" s="1"/>
  <c r="MS17" i="18" s="1"/>
  <c r="MT17" i="18" s="1"/>
  <c r="MU17" i="18" s="1"/>
  <c r="MV17" i="18" s="1"/>
  <c r="MW17" i="18" s="1"/>
  <c r="MX17" i="18" s="1"/>
  <c r="MY17" i="18" s="1"/>
  <c r="MZ17" i="18" s="1"/>
  <c r="NA17" i="18" s="1"/>
  <c r="NB17" i="18" s="1"/>
  <c r="NC17" i="18" s="1"/>
  <c r="ND17" i="18" s="1"/>
  <c r="NE17" i="18" s="1"/>
  <c r="NF17" i="18" s="1"/>
  <c r="NG17" i="18" s="1"/>
  <c r="NH17" i="18" s="1"/>
  <c r="NI17" i="18" s="1"/>
  <c r="NJ17" i="18" s="1"/>
  <c r="NK17" i="18" s="1"/>
  <c r="NL17" i="18" s="1"/>
  <c r="NM17" i="18" s="1"/>
  <c r="NN17" i="18" s="1"/>
  <c r="NO17" i="18" s="1"/>
  <c r="NP17" i="18" s="1"/>
  <c r="NQ17" i="18" s="1"/>
  <c r="NR17" i="18" s="1"/>
  <c r="NS17" i="18" s="1"/>
  <c r="NT17" i="18" s="1"/>
  <c r="NU17" i="18" s="1"/>
  <c r="CL78" i="18"/>
  <c r="CM6" i="18"/>
  <c r="EK3" i="18"/>
  <c r="Q27" i="18"/>
  <c r="R27" i="18" s="1"/>
  <c r="IG27" i="18"/>
  <c r="IH27" i="18" s="1"/>
  <c r="II27" i="18" s="1"/>
  <c r="IJ27" i="18" s="1"/>
  <c r="IK27" i="18" s="1"/>
  <c r="IL27" i="18" s="1"/>
  <c r="IM27" i="18" s="1"/>
  <c r="IN27" i="18" s="1"/>
  <c r="IO27" i="18" s="1"/>
  <c r="IP27" i="18" s="1"/>
  <c r="IQ27" i="18" s="1"/>
  <c r="IR27" i="18" s="1"/>
  <c r="IS27" i="18" s="1"/>
  <c r="IT27" i="18" s="1"/>
  <c r="IU27" i="18" s="1"/>
  <c r="IV27" i="18" s="1"/>
  <c r="IW27" i="18" s="1"/>
  <c r="IX27" i="18" s="1"/>
  <c r="IY27" i="18" s="1"/>
  <c r="IZ27" i="18" s="1"/>
  <c r="JA27" i="18" s="1"/>
  <c r="JB27" i="18" s="1"/>
  <c r="JC27" i="18" s="1"/>
  <c r="JD27" i="18" s="1"/>
  <c r="JE27" i="18" s="1"/>
  <c r="JF27" i="18" s="1"/>
  <c r="JG27" i="18" s="1"/>
  <c r="JH27" i="18" s="1"/>
  <c r="JI27" i="18" s="1"/>
  <c r="JJ27" i="18" s="1"/>
  <c r="JK27" i="18" s="1"/>
  <c r="JL27" i="18" s="1"/>
  <c r="JM27" i="18" s="1"/>
  <c r="JN27" i="18" s="1"/>
  <c r="JO27" i="18" s="1"/>
  <c r="JP27" i="18" s="1"/>
  <c r="JQ27" i="18" s="1"/>
  <c r="JR27" i="18" s="1"/>
  <c r="JS27" i="18" s="1"/>
  <c r="JT27" i="18" s="1"/>
  <c r="JU27" i="18" s="1"/>
  <c r="JV27" i="18" s="1"/>
  <c r="JW27" i="18" s="1"/>
  <c r="JX27" i="18" s="1"/>
  <c r="JY27" i="18" s="1"/>
  <c r="JZ27" i="18" s="1"/>
  <c r="KA27" i="18" s="1"/>
  <c r="KB27" i="18" s="1"/>
  <c r="KC27" i="18" s="1"/>
  <c r="KD27" i="18" s="1"/>
  <c r="KE27" i="18" s="1"/>
  <c r="KF27" i="18" s="1"/>
  <c r="KG27" i="18" s="1"/>
  <c r="KH27" i="18" s="1"/>
  <c r="KI27" i="18" s="1"/>
  <c r="KJ27" i="18" s="1"/>
  <c r="KK27" i="18" s="1"/>
  <c r="KL27" i="18" s="1"/>
  <c r="KM27" i="18" s="1"/>
  <c r="KN27" i="18" s="1"/>
  <c r="KO27" i="18" s="1"/>
  <c r="KP27" i="18" s="1"/>
  <c r="KQ27" i="18" s="1"/>
  <c r="KR27" i="18" s="1"/>
  <c r="KS27" i="18" s="1"/>
  <c r="KT27" i="18" s="1"/>
  <c r="KU27" i="18" s="1"/>
  <c r="KV27" i="18" s="1"/>
  <c r="KW27" i="18" s="1"/>
  <c r="KX27" i="18" s="1"/>
  <c r="KY27" i="18" s="1"/>
  <c r="KZ27" i="18" s="1"/>
  <c r="LA27" i="18" s="1"/>
  <c r="LB27" i="18" s="1"/>
  <c r="LC27" i="18" s="1"/>
  <c r="LD27" i="18" s="1"/>
  <c r="LE27" i="18" s="1"/>
  <c r="LF27" i="18" s="1"/>
  <c r="LG27" i="18" s="1"/>
  <c r="LH27" i="18" s="1"/>
  <c r="LI27" i="18" s="1"/>
  <c r="LJ27" i="18" s="1"/>
  <c r="LK27" i="18" s="1"/>
  <c r="LL27" i="18" s="1"/>
  <c r="LM27" i="18" s="1"/>
  <c r="LN27" i="18" s="1"/>
  <c r="LO27" i="18" s="1"/>
  <c r="LP27" i="18" s="1"/>
  <c r="LQ27" i="18" s="1"/>
  <c r="LR27" i="18" s="1"/>
  <c r="LS27" i="18" s="1"/>
  <c r="LT27" i="18" s="1"/>
  <c r="LU27" i="18" s="1"/>
  <c r="LV27" i="18" s="1"/>
  <c r="LW27" i="18" s="1"/>
  <c r="LX27" i="18" s="1"/>
  <c r="LY27" i="18" s="1"/>
  <c r="LZ27" i="18" s="1"/>
  <c r="MA27" i="18" s="1"/>
  <c r="MB27" i="18" s="1"/>
  <c r="MC27" i="18" s="1"/>
  <c r="MD27" i="18" s="1"/>
  <c r="ME27" i="18" s="1"/>
  <c r="MF27" i="18" s="1"/>
  <c r="MG27" i="18" s="1"/>
  <c r="MH27" i="18" s="1"/>
  <c r="MI27" i="18" s="1"/>
  <c r="MJ27" i="18" s="1"/>
  <c r="MK27" i="18" s="1"/>
  <c r="ML27" i="18" s="1"/>
  <c r="MM27" i="18" s="1"/>
  <c r="MN27" i="18" s="1"/>
  <c r="MO27" i="18" s="1"/>
  <c r="MP27" i="18" s="1"/>
  <c r="MQ27" i="18" s="1"/>
  <c r="MR27" i="18" s="1"/>
  <c r="MS27" i="18" s="1"/>
  <c r="MT27" i="18" s="1"/>
  <c r="MU27" i="18" s="1"/>
  <c r="MV27" i="18" s="1"/>
  <c r="MW27" i="18" s="1"/>
  <c r="MX27" i="18" s="1"/>
  <c r="MY27" i="18" s="1"/>
  <c r="MZ27" i="18" s="1"/>
  <c r="NA27" i="18" s="1"/>
  <c r="NB27" i="18" s="1"/>
  <c r="NC27" i="18" s="1"/>
  <c r="ND27" i="18" s="1"/>
  <c r="NE27" i="18" s="1"/>
  <c r="NF27" i="18" s="1"/>
  <c r="NG27" i="18" s="1"/>
  <c r="NH27" i="18" s="1"/>
  <c r="NI27" i="18" s="1"/>
  <c r="NJ27" i="18" s="1"/>
  <c r="NK27" i="18" s="1"/>
  <c r="NL27" i="18" s="1"/>
  <c r="NM27" i="18" s="1"/>
  <c r="NN27" i="18" s="1"/>
  <c r="NO27" i="18" s="1"/>
  <c r="NP27" i="18" s="1"/>
  <c r="NQ27" i="18" s="1"/>
  <c r="NR27" i="18" s="1"/>
  <c r="NS27" i="18" s="1"/>
  <c r="NT27" i="18" s="1"/>
  <c r="NU27" i="18" s="1"/>
  <c r="GS32" i="18"/>
  <c r="GT32" i="18" s="1"/>
  <c r="GU32" i="18" s="1"/>
  <c r="GV32" i="18" s="1"/>
  <c r="GW32" i="18" s="1"/>
  <c r="GX32" i="18" s="1"/>
  <c r="GY32" i="18" s="1"/>
  <c r="GZ32" i="18" s="1"/>
  <c r="HA32" i="18" s="1"/>
  <c r="HB32" i="18" s="1"/>
  <c r="HC32" i="18" s="1"/>
  <c r="HD32" i="18" s="1"/>
  <c r="HE32" i="18" s="1"/>
  <c r="HF32" i="18" s="1"/>
  <c r="HG32" i="18" s="1"/>
  <c r="HH32" i="18" s="1"/>
  <c r="HI32" i="18" s="1"/>
  <c r="HJ32" i="18" s="1"/>
  <c r="HK32" i="18" s="1"/>
  <c r="HL32" i="18" s="1"/>
  <c r="HM32" i="18" s="1"/>
  <c r="HN32" i="18" s="1"/>
  <c r="HO32" i="18" s="1"/>
  <c r="HP32" i="18" s="1"/>
  <c r="HQ32" i="18" s="1"/>
  <c r="HR32" i="18" s="1"/>
  <c r="HS32" i="18" s="1"/>
  <c r="HT32" i="18" s="1"/>
  <c r="HU32" i="18" s="1"/>
  <c r="HV32" i="18" s="1"/>
  <c r="HW32" i="18" s="1"/>
  <c r="HX32" i="18" s="1"/>
  <c r="HY32" i="18" s="1"/>
  <c r="HZ32" i="18" s="1"/>
  <c r="IA32" i="18" s="1"/>
  <c r="IB32" i="18" s="1"/>
  <c r="IC32" i="18" s="1"/>
  <c r="ID32" i="18" s="1"/>
  <c r="IE32" i="18" s="1"/>
  <c r="IF32" i="18" s="1"/>
  <c r="IG32" i="18" s="1"/>
  <c r="IH32" i="18" s="1"/>
  <c r="II32" i="18" s="1"/>
  <c r="IJ32" i="18" s="1"/>
  <c r="IK32" i="18" s="1"/>
  <c r="IL32" i="18" s="1"/>
  <c r="IM32" i="18" s="1"/>
  <c r="IN32" i="18" s="1"/>
  <c r="IO32" i="18" s="1"/>
  <c r="IP32" i="18" s="1"/>
  <c r="IQ32" i="18" s="1"/>
  <c r="IR32" i="18" s="1"/>
  <c r="IS32" i="18" s="1"/>
  <c r="IT32" i="18" s="1"/>
  <c r="IU32" i="18" s="1"/>
  <c r="IV32" i="18" s="1"/>
  <c r="IW32" i="18" s="1"/>
  <c r="IX32" i="18" s="1"/>
  <c r="IY32" i="18" s="1"/>
  <c r="IZ32" i="18" s="1"/>
  <c r="JA32" i="18" s="1"/>
  <c r="JB32" i="18" s="1"/>
  <c r="JC32" i="18" s="1"/>
  <c r="JD32" i="18" s="1"/>
  <c r="JE32" i="18" s="1"/>
  <c r="JF32" i="18" s="1"/>
  <c r="JG32" i="18" s="1"/>
  <c r="JH32" i="18" s="1"/>
  <c r="JI32" i="18" s="1"/>
  <c r="JJ32" i="18" s="1"/>
  <c r="JK32" i="18" s="1"/>
  <c r="JL32" i="18" s="1"/>
  <c r="JM32" i="18" s="1"/>
  <c r="JN32" i="18" s="1"/>
  <c r="JO32" i="18" s="1"/>
  <c r="JP32" i="18" s="1"/>
  <c r="JQ32" i="18" s="1"/>
  <c r="JR32" i="18" s="1"/>
  <c r="JS32" i="18" s="1"/>
  <c r="JT32" i="18" s="1"/>
  <c r="JU32" i="18" s="1"/>
  <c r="JV32" i="18" s="1"/>
  <c r="JW32" i="18" s="1"/>
  <c r="JX32" i="18" s="1"/>
  <c r="JY32" i="18" s="1"/>
  <c r="JZ32" i="18" s="1"/>
  <c r="KA32" i="18" s="1"/>
  <c r="KB32" i="18" s="1"/>
  <c r="KC32" i="18" s="1"/>
  <c r="KD32" i="18" s="1"/>
  <c r="KE32" i="18" s="1"/>
  <c r="KF32" i="18" s="1"/>
  <c r="KG32" i="18" s="1"/>
  <c r="KH32" i="18" s="1"/>
  <c r="KI32" i="18" s="1"/>
  <c r="KJ32" i="18" s="1"/>
  <c r="KK32" i="18" s="1"/>
  <c r="KL32" i="18" s="1"/>
  <c r="KM32" i="18" s="1"/>
  <c r="KN32" i="18" s="1"/>
  <c r="KO32" i="18" s="1"/>
  <c r="KP32" i="18" s="1"/>
  <c r="KQ32" i="18" s="1"/>
  <c r="KR32" i="18" s="1"/>
  <c r="KS32" i="18" s="1"/>
  <c r="KT32" i="18" s="1"/>
  <c r="KU32" i="18" s="1"/>
  <c r="KV32" i="18" s="1"/>
  <c r="KW32" i="18" s="1"/>
  <c r="KX32" i="18" s="1"/>
  <c r="KY32" i="18" s="1"/>
  <c r="KZ32" i="18" s="1"/>
  <c r="LA32" i="18" s="1"/>
  <c r="LB32" i="18" s="1"/>
  <c r="LC32" i="18" s="1"/>
  <c r="LD32" i="18" s="1"/>
  <c r="LE32" i="18" s="1"/>
  <c r="LF32" i="18" s="1"/>
  <c r="LG32" i="18" s="1"/>
  <c r="LH32" i="18" s="1"/>
  <c r="LI32" i="18" s="1"/>
  <c r="LJ32" i="18" s="1"/>
  <c r="LK32" i="18" s="1"/>
  <c r="LL32" i="18" s="1"/>
  <c r="LM32" i="18" s="1"/>
  <c r="LN32" i="18" s="1"/>
  <c r="LO32" i="18" s="1"/>
  <c r="LP32" i="18" s="1"/>
  <c r="LQ32" i="18" s="1"/>
  <c r="LR32" i="18" s="1"/>
  <c r="LS32" i="18" s="1"/>
  <c r="LT32" i="18" s="1"/>
  <c r="LU32" i="18" s="1"/>
  <c r="LV32" i="18" s="1"/>
  <c r="LW32" i="18" s="1"/>
  <c r="LX32" i="18" s="1"/>
  <c r="LY32" i="18" s="1"/>
  <c r="LZ32" i="18" s="1"/>
  <c r="MA32" i="18" s="1"/>
  <c r="MB32" i="18" s="1"/>
  <c r="MC32" i="18" s="1"/>
  <c r="MD32" i="18" s="1"/>
  <c r="ME32" i="18" s="1"/>
  <c r="MF32" i="18" s="1"/>
  <c r="MG32" i="18" s="1"/>
  <c r="MH32" i="18" s="1"/>
  <c r="MI32" i="18" s="1"/>
  <c r="MJ32" i="18" s="1"/>
  <c r="MK32" i="18" s="1"/>
  <c r="ML32" i="18" s="1"/>
  <c r="MM32" i="18" s="1"/>
  <c r="MN32" i="18" s="1"/>
  <c r="MO32" i="18" s="1"/>
  <c r="MP32" i="18" s="1"/>
  <c r="MQ32" i="18" s="1"/>
  <c r="MR32" i="18" s="1"/>
  <c r="MS32" i="18" s="1"/>
  <c r="MT32" i="18" s="1"/>
  <c r="MU32" i="18" s="1"/>
  <c r="MV32" i="18" s="1"/>
  <c r="MW32" i="18" s="1"/>
  <c r="MX32" i="18" s="1"/>
  <c r="MY32" i="18" s="1"/>
  <c r="MZ32" i="18" s="1"/>
  <c r="NA32" i="18" s="1"/>
  <c r="NB32" i="18" s="1"/>
  <c r="NC32" i="18" s="1"/>
  <c r="ND32" i="18" s="1"/>
  <c r="NE32" i="18" s="1"/>
  <c r="NF32" i="18" s="1"/>
  <c r="NG32" i="18" s="1"/>
  <c r="NH32" i="18" s="1"/>
  <c r="NI32" i="18" s="1"/>
  <c r="NJ32" i="18" s="1"/>
  <c r="NK32" i="18" s="1"/>
  <c r="NL32" i="18" s="1"/>
  <c r="NM32" i="18" s="1"/>
  <c r="NN32" i="18" s="1"/>
  <c r="NO32" i="18" s="1"/>
  <c r="NP32" i="18" s="1"/>
  <c r="NQ32" i="18" s="1"/>
  <c r="NR32" i="18" s="1"/>
  <c r="NS32" i="18" s="1"/>
  <c r="NT32" i="18" s="1"/>
  <c r="NU32" i="18" s="1"/>
  <c r="Q15" i="18"/>
  <c r="R15" i="18" s="1"/>
  <c r="FT15" i="18"/>
  <c r="FU15" i="18" s="1"/>
  <c r="FV15" i="18" s="1"/>
  <c r="FW15" i="18" s="1"/>
  <c r="FX15" i="18" s="1"/>
  <c r="FY15" i="18" s="1"/>
  <c r="FZ15" i="18" s="1"/>
  <c r="GA15" i="18" s="1"/>
  <c r="GB15" i="18" s="1"/>
  <c r="GC15" i="18" s="1"/>
  <c r="GD15" i="18" s="1"/>
  <c r="GE15" i="18" s="1"/>
  <c r="GF15" i="18" s="1"/>
  <c r="GG15" i="18" s="1"/>
  <c r="GH15" i="18" s="1"/>
  <c r="GI15" i="18" s="1"/>
  <c r="GJ15" i="18" s="1"/>
  <c r="GK15" i="18" s="1"/>
  <c r="GL15" i="18" s="1"/>
  <c r="GM15" i="18" s="1"/>
  <c r="GN15" i="18" s="1"/>
  <c r="GO15" i="18" s="1"/>
  <c r="GP15" i="18" s="1"/>
  <c r="GQ15" i="18" s="1"/>
  <c r="GR15" i="18" s="1"/>
  <c r="GS15" i="18" s="1"/>
  <c r="GT15" i="18" s="1"/>
  <c r="GU15" i="18" s="1"/>
  <c r="GV15" i="18" s="1"/>
  <c r="GW15" i="18" s="1"/>
  <c r="GX15" i="18" s="1"/>
  <c r="GY15" i="18" s="1"/>
  <c r="GZ15" i="18" s="1"/>
  <c r="HA15" i="18" s="1"/>
  <c r="HB15" i="18" s="1"/>
  <c r="HC15" i="18" s="1"/>
  <c r="HD15" i="18" s="1"/>
  <c r="HE15" i="18" s="1"/>
  <c r="HF15" i="18" s="1"/>
  <c r="HG15" i="18" s="1"/>
  <c r="HH15" i="18" s="1"/>
  <c r="HI15" i="18" s="1"/>
  <c r="HJ15" i="18" s="1"/>
  <c r="HK15" i="18" s="1"/>
  <c r="HL15" i="18" s="1"/>
  <c r="HM15" i="18" s="1"/>
  <c r="HN15" i="18" s="1"/>
  <c r="HO15" i="18" s="1"/>
  <c r="HP15" i="18" s="1"/>
  <c r="HQ15" i="18" s="1"/>
  <c r="HR15" i="18" s="1"/>
  <c r="HS15" i="18" s="1"/>
  <c r="HT15" i="18" s="1"/>
  <c r="HU15" i="18" s="1"/>
  <c r="HV15" i="18" s="1"/>
  <c r="HW15" i="18" s="1"/>
  <c r="HX15" i="18" s="1"/>
  <c r="HY15" i="18" s="1"/>
  <c r="HZ15" i="18" s="1"/>
  <c r="IA15" i="18" s="1"/>
  <c r="IB15" i="18" s="1"/>
  <c r="IC15" i="18" s="1"/>
  <c r="ID15" i="18" s="1"/>
  <c r="IE15" i="18" s="1"/>
  <c r="IF15" i="18" s="1"/>
  <c r="IG15" i="18" s="1"/>
  <c r="IH15" i="18" s="1"/>
  <c r="II15" i="18" s="1"/>
  <c r="IJ15" i="18" s="1"/>
  <c r="IK15" i="18" s="1"/>
  <c r="IL15" i="18" s="1"/>
  <c r="IM15" i="18" s="1"/>
  <c r="IN15" i="18" s="1"/>
  <c r="IO15" i="18" s="1"/>
  <c r="IP15" i="18" s="1"/>
  <c r="IQ15" i="18" s="1"/>
  <c r="IR15" i="18" s="1"/>
  <c r="IS15" i="18" s="1"/>
  <c r="IT15" i="18" s="1"/>
  <c r="IU15" i="18" s="1"/>
  <c r="IV15" i="18" s="1"/>
  <c r="IW15" i="18" s="1"/>
  <c r="IX15" i="18" s="1"/>
  <c r="IY15" i="18" s="1"/>
  <c r="IZ15" i="18" s="1"/>
  <c r="JA15" i="18" s="1"/>
  <c r="JB15" i="18" s="1"/>
  <c r="JC15" i="18" s="1"/>
  <c r="JD15" i="18" s="1"/>
  <c r="JE15" i="18" s="1"/>
  <c r="JF15" i="18" s="1"/>
  <c r="JG15" i="18" s="1"/>
  <c r="JH15" i="18" s="1"/>
  <c r="JI15" i="18" s="1"/>
  <c r="JJ15" i="18" s="1"/>
  <c r="JK15" i="18" s="1"/>
  <c r="JL15" i="18" s="1"/>
  <c r="JM15" i="18" s="1"/>
  <c r="JN15" i="18" s="1"/>
  <c r="JO15" i="18" s="1"/>
  <c r="JP15" i="18" s="1"/>
  <c r="JQ15" i="18" s="1"/>
  <c r="JR15" i="18" s="1"/>
  <c r="JS15" i="18" s="1"/>
  <c r="JT15" i="18" s="1"/>
  <c r="JU15" i="18" s="1"/>
  <c r="JV15" i="18" s="1"/>
  <c r="JW15" i="18" s="1"/>
  <c r="JX15" i="18" s="1"/>
  <c r="JY15" i="18" s="1"/>
  <c r="JZ15" i="18" s="1"/>
  <c r="KA15" i="18" s="1"/>
  <c r="KB15" i="18" s="1"/>
  <c r="KC15" i="18" s="1"/>
  <c r="KD15" i="18" s="1"/>
  <c r="KE15" i="18" s="1"/>
  <c r="KF15" i="18" s="1"/>
  <c r="KG15" i="18" s="1"/>
  <c r="KH15" i="18" s="1"/>
  <c r="KI15" i="18" s="1"/>
  <c r="KJ15" i="18" s="1"/>
  <c r="KK15" i="18" s="1"/>
  <c r="KL15" i="18" s="1"/>
  <c r="KM15" i="18" s="1"/>
  <c r="KN15" i="18" s="1"/>
  <c r="KO15" i="18" s="1"/>
  <c r="KP15" i="18" s="1"/>
  <c r="KQ15" i="18" s="1"/>
  <c r="KR15" i="18" s="1"/>
  <c r="KS15" i="18" s="1"/>
  <c r="KT15" i="18" s="1"/>
  <c r="KU15" i="18" s="1"/>
  <c r="KV15" i="18" s="1"/>
  <c r="KW15" i="18" s="1"/>
  <c r="KX15" i="18" s="1"/>
  <c r="KY15" i="18" s="1"/>
  <c r="KZ15" i="18" s="1"/>
  <c r="LA15" i="18" s="1"/>
  <c r="LB15" i="18" s="1"/>
  <c r="LC15" i="18" s="1"/>
  <c r="LD15" i="18" s="1"/>
  <c r="LE15" i="18" s="1"/>
  <c r="LF15" i="18" s="1"/>
  <c r="LG15" i="18" s="1"/>
  <c r="LH15" i="18" s="1"/>
  <c r="LI15" i="18" s="1"/>
  <c r="LJ15" i="18" s="1"/>
  <c r="LK15" i="18" s="1"/>
  <c r="LL15" i="18" s="1"/>
  <c r="LM15" i="18" s="1"/>
  <c r="LN15" i="18" s="1"/>
  <c r="LO15" i="18" s="1"/>
  <c r="LP15" i="18" s="1"/>
  <c r="LQ15" i="18" s="1"/>
  <c r="LR15" i="18" s="1"/>
  <c r="LS15" i="18" s="1"/>
  <c r="LT15" i="18" s="1"/>
  <c r="LU15" i="18" s="1"/>
  <c r="LV15" i="18" s="1"/>
  <c r="LW15" i="18" s="1"/>
  <c r="LX15" i="18" s="1"/>
  <c r="LY15" i="18" s="1"/>
  <c r="LZ15" i="18" s="1"/>
  <c r="MA15" i="18" s="1"/>
  <c r="MB15" i="18" s="1"/>
  <c r="MC15" i="18" s="1"/>
  <c r="MD15" i="18" s="1"/>
  <c r="ME15" i="18" s="1"/>
  <c r="MF15" i="18" s="1"/>
  <c r="MG15" i="18" s="1"/>
  <c r="MH15" i="18" s="1"/>
  <c r="MI15" i="18" s="1"/>
  <c r="MJ15" i="18" s="1"/>
  <c r="MK15" i="18" s="1"/>
  <c r="ML15" i="18" s="1"/>
  <c r="MM15" i="18" s="1"/>
  <c r="MN15" i="18" s="1"/>
  <c r="MO15" i="18" s="1"/>
  <c r="MP15" i="18" s="1"/>
  <c r="MQ15" i="18" s="1"/>
  <c r="MR15" i="18" s="1"/>
  <c r="MS15" i="18" s="1"/>
  <c r="MT15" i="18" s="1"/>
  <c r="MU15" i="18" s="1"/>
  <c r="MV15" i="18" s="1"/>
  <c r="MW15" i="18" s="1"/>
  <c r="MX15" i="18" s="1"/>
  <c r="MY15" i="18" s="1"/>
  <c r="MZ15" i="18" s="1"/>
  <c r="NA15" i="18" s="1"/>
  <c r="NB15" i="18" s="1"/>
  <c r="NC15" i="18" s="1"/>
  <c r="ND15" i="18" s="1"/>
  <c r="NE15" i="18" s="1"/>
  <c r="NF15" i="18" s="1"/>
  <c r="NG15" i="18" s="1"/>
  <c r="NH15" i="18" s="1"/>
  <c r="NI15" i="18" s="1"/>
  <c r="NJ15" i="18" s="1"/>
  <c r="NK15" i="18" s="1"/>
  <c r="NL15" i="18" s="1"/>
  <c r="NM15" i="18" s="1"/>
  <c r="NN15" i="18" s="1"/>
  <c r="NO15" i="18" s="1"/>
  <c r="NP15" i="18" s="1"/>
  <c r="NQ15" i="18" s="1"/>
  <c r="NR15" i="18" s="1"/>
  <c r="NS15" i="18" s="1"/>
  <c r="NT15" i="18" s="1"/>
  <c r="NU15" i="18" s="1"/>
  <c r="R18" i="18"/>
  <c r="IG29" i="18"/>
  <c r="IH29" i="18" s="1"/>
  <c r="II29" i="18" s="1"/>
  <c r="IJ29" i="18" s="1"/>
  <c r="IK29" i="18" s="1"/>
  <c r="IL29" i="18" s="1"/>
  <c r="IM29" i="18" s="1"/>
  <c r="IN29" i="18" s="1"/>
  <c r="IO29" i="18" s="1"/>
  <c r="IP29" i="18" s="1"/>
  <c r="IQ29" i="18" s="1"/>
  <c r="IR29" i="18" s="1"/>
  <c r="IS29" i="18" s="1"/>
  <c r="IT29" i="18" s="1"/>
  <c r="IU29" i="18" s="1"/>
  <c r="IV29" i="18" s="1"/>
  <c r="IW29" i="18" s="1"/>
  <c r="IX29" i="18" s="1"/>
  <c r="IY29" i="18" s="1"/>
  <c r="IZ29" i="18" s="1"/>
  <c r="JA29" i="18" s="1"/>
  <c r="JB29" i="18" s="1"/>
  <c r="JC29" i="18" s="1"/>
  <c r="JD29" i="18" s="1"/>
  <c r="JE29" i="18" s="1"/>
  <c r="JF29" i="18" s="1"/>
  <c r="JG29" i="18" s="1"/>
  <c r="JH29" i="18" s="1"/>
  <c r="JI29" i="18" s="1"/>
  <c r="JJ29" i="18" s="1"/>
  <c r="JK29" i="18" s="1"/>
  <c r="JL29" i="18" s="1"/>
  <c r="JM29" i="18" s="1"/>
  <c r="JN29" i="18" s="1"/>
  <c r="JO29" i="18" s="1"/>
  <c r="JP29" i="18" s="1"/>
  <c r="JQ29" i="18" s="1"/>
  <c r="JR29" i="18" s="1"/>
  <c r="JS29" i="18" s="1"/>
  <c r="JT29" i="18" s="1"/>
  <c r="JU29" i="18" s="1"/>
  <c r="JV29" i="18" s="1"/>
  <c r="JW29" i="18" s="1"/>
  <c r="JX29" i="18" s="1"/>
  <c r="JY29" i="18" s="1"/>
  <c r="JZ29" i="18" s="1"/>
  <c r="KA29" i="18" s="1"/>
  <c r="KB29" i="18" s="1"/>
  <c r="KC29" i="18" s="1"/>
  <c r="KD29" i="18" s="1"/>
  <c r="KE29" i="18" s="1"/>
  <c r="KF29" i="18" s="1"/>
  <c r="KG29" i="18" s="1"/>
  <c r="KH29" i="18" s="1"/>
  <c r="KI29" i="18" s="1"/>
  <c r="KJ29" i="18" s="1"/>
  <c r="KK29" i="18" s="1"/>
  <c r="KL29" i="18" s="1"/>
  <c r="KM29" i="18" s="1"/>
  <c r="KN29" i="18" s="1"/>
  <c r="KO29" i="18" s="1"/>
  <c r="KP29" i="18" s="1"/>
  <c r="KQ29" i="18" s="1"/>
  <c r="KR29" i="18" s="1"/>
  <c r="KS29" i="18" s="1"/>
  <c r="KT29" i="18" s="1"/>
  <c r="KU29" i="18" s="1"/>
  <c r="KV29" i="18" s="1"/>
  <c r="KW29" i="18" s="1"/>
  <c r="KX29" i="18" s="1"/>
  <c r="KY29" i="18" s="1"/>
  <c r="KZ29" i="18" s="1"/>
  <c r="LA29" i="18" s="1"/>
  <c r="LB29" i="18" s="1"/>
  <c r="LC29" i="18" s="1"/>
  <c r="LD29" i="18" s="1"/>
  <c r="LE29" i="18" s="1"/>
  <c r="LF29" i="18" s="1"/>
  <c r="LG29" i="18" s="1"/>
  <c r="LH29" i="18" s="1"/>
  <c r="LI29" i="18" s="1"/>
  <c r="LJ29" i="18" s="1"/>
  <c r="LK29" i="18" s="1"/>
  <c r="LL29" i="18" s="1"/>
  <c r="LM29" i="18" s="1"/>
  <c r="LN29" i="18" s="1"/>
  <c r="LO29" i="18" s="1"/>
  <c r="LP29" i="18" s="1"/>
  <c r="LQ29" i="18" s="1"/>
  <c r="LR29" i="18" s="1"/>
  <c r="LS29" i="18" s="1"/>
  <c r="LT29" i="18" s="1"/>
  <c r="LU29" i="18" s="1"/>
  <c r="LV29" i="18" s="1"/>
  <c r="LW29" i="18" s="1"/>
  <c r="LX29" i="18" s="1"/>
  <c r="LY29" i="18" s="1"/>
  <c r="LZ29" i="18" s="1"/>
  <c r="MA29" i="18" s="1"/>
  <c r="MB29" i="18" s="1"/>
  <c r="MC29" i="18" s="1"/>
  <c r="MD29" i="18" s="1"/>
  <c r="ME29" i="18" s="1"/>
  <c r="MF29" i="18" s="1"/>
  <c r="MG29" i="18" s="1"/>
  <c r="MH29" i="18" s="1"/>
  <c r="MI29" i="18" s="1"/>
  <c r="MJ29" i="18" s="1"/>
  <c r="MK29" i="18" s="1"/>
  <c r="ML29" i="18" s="1"/>
  <c r="MM29" i="18" s="1"/>
  <c r="MN29" i="18" s="1"/>
  <c r="MO29" i="18" s="1"/>
  <c r="MP29" i="18" s="1"/>
  <c r="MQ29" i="18" s="1"/>
  <c r="MR29" i="18" s="1"/>
  <c r="MS29" i="18" s="1"/>
  <c r="MT29" i="18" s="1"/>
  <c r="MU29" i="18" s="1"/>
  <c r="MV29" i="18" s="1"/>
  <c r="MW29" i="18" s="1"/>
  <c r="MX29" i="18" s="1"/>
  <c r="MY29" i="18" s="1"/>
  <c r="MZ29" i="18" s="1"/>
  <c r="NA29" i="18" s="1"/>
  <c r="NB29" i="18" s="1"/>
  <c r="NC29" i="18" s="1"/>
  <c r="ND29" i="18" s="1"/>
  <c r="NE29" i="18" s="1"/>
  <c r="NF29" i="18" s="1"/>
  <c r="NG29" i="18" s="1"/>
  <c r="NH29" i="18" s="1"/>
  <c r="NI29" i="18" s="1"/>
  <c r="NJ29" i="18" s="1"/>
  <c r="NK29" i="18" s="1"/>
  <c r="NL29" i="18" s="1"/>
  <c r="NM29" i="18" s="1"/>
  <c r="NN29" i="18" s="1"/>
  <c r="NO29" i="18" s="1"/>
  <c r="NP29" i="18" s="1"/>
  <c r="NQ29" i="18" s="1"/>
  <c r="NR29" i="18" s="1"/>
  <c r="NS29" i="18" s="1"/>
  <c r="NT29" i="18" s="1"/>
  <c r="NU29" i="18" s="1"/>
  <c r="Q29" i="18"/>
  <c r="R29" i="18" s="1"/>
  <c r="CM8" i="18"/>
  <c r="CN8" i="18" s="1"/>
  <c r="CO8" i="18" s="1"/>
  <c r="CP8" i="18" s="1"/>
  <c r="CQ8" i="18" s="1"/>
  <c r="CR8" i="18" s="1"/>
  <c r="CS8" i="18" s="1"/>
  <c r="CT8" i="18" s="1"/>
  <c r="CU8" i="18" s="1"/>
  <c r="CV8" i="18" s="1"/>
  <c r="CW8" i="18" s="1"/>
  <c r="CX8" i="18" s="1"/>
  <c r="CY8" i="18" s="1"/>
  <c r="CZ8" i="18" s="1"/>
  <c r="DA8" i="18" s="1"/>
  <c r="DB8" i="18" s="1"/>
  <c r="DC8" i="18" s="1"/>
  <c r="DD8" i="18" s="1"/>
  <c r="DE8" i="18" s="1"/>
  <c r="DF8" i="18" s="1"/>
  <c r="DG8" i="18" s="1"/>
  <c r="DH8" i="18" s="1"/>
  <c r="DI8" i="18" s="1"/>
  <c r="DJ8" i="18" s="1"/>
  <c r="DK8" i="18" s="1"/>
  <c r="DL8" i="18" s="1"/>
  <c r="DM8" i="18" s="1"/>
  <c r="DN8" i="18" s="1"/>
  <c r="DO8" i="18" s="1"/>
  <c r="DP8" i="18" s="1"/>
  <c r="DQ8" i="18" s="1"/>
  <c r="DR8" i="18" s="1"/>
  <c r="DS8" i="18" s="1"/>
  <c r="DT8" i="18" s="1"/>
  <c r="DU8" i="18" s="1"/>
  <c r="DV8" i="18" s="1"/>
  <c r="DW8" i="18" s="1"/>
  <c r="DX8" i="18" s="1"/>
  <c r="DY8" i="18" s="1"/>
  <c r="DZ8" i="18" s="1"/>
  <c r="EA8" i="18" s="1"/>
  <c r="EB8" i="18" s="1"/>
  <c r="EC8" i="18" s="1"/>
  <c r="ED8" i="18" s="1"/>
  <c r="EE8" i="18" s="1"/>
  <c r="EF8" i="18" s="1"/>
  <c r="EG8" i="18" s="1"/>
  <c r="EH8" i="18" s="1"/>
  <c r="EI8" i="18" s="1"/>
  <c r="EJ8" i="18" s="1"/>
  <c r="EK8" i="18" s="1"/>
  <c r="EL8" i="18" s="1"/>
  <c r="EM8" i="18" s="1"/>
  <c r="EN8" i="18" s="1"/>
  <c r="EO8" i="18" s="1"/>
  <c r="EP8" i="18" s="1"/>
  <c r="EQ8" i="18" s="1"/>
  <c r="ER8" i="18" s="1"/>
  <c r="ES8" i="18" s="1"/>
  <c r="ET8" i="18" s="1"/>
  <c r="EU8" i="18" s="1"/>
  <c r="EV8" i="18" s="1"/>
  <c r="EW8" i="18" s="1"/>
  <c r="EX8" i="18" s="1"/>
  <c r="EY8" i="18" s="1"/>
  <c r="EZ8" i="18" s="1"/>
  <c r="FA8" i="18" s="1"/>
  <c r="FB8" i="18" s="1"/>
  <c r="FC8" i="18" s="1"/>
  <c r="FD8" i="18" s="1"/>
  <c r="FE8" i="18" s="1"/>
  <c r="FF8" i="18" s="1"/>
  <c r="FG8" i="18" s="1"/>
  <c r="FH8" i="18" s="1"/>
  <c r="FI8" i="18" s="1"/>
  <c r="FJ8" i="18" s="1"/>
  <c r="FK8" i="18" s="1"/>
  <c r="FL8" i="18" s="1"/>
  <c r="FM8" i="18" s="1"/>
  <c r="FN8" i="18" s="1"/>
  <c r="FO8" i="18" s="1"/>
  <c r="FP8" i="18" s="1"/>
  <c r="FQ8" i="18" s="1"/>
  <c r="FR8" i="18" s="1"/>
  <c r="FS8" i="18" s="1"/>
  <c r="FT8" i="18" s="1"/>
  <c r="FU8" i="18" s="1"/>
  <c r="FV8" i="18" s="1"/>
  <c r="FW8" i="18" s="1"/>
  <c r="FX8" i="18" s="1"/>
  <c r="FY8" i="18" s="1"/>
  <c r="FZ8" i="18" s="1"/>
  <c r="GA8" i="18" s="1"/>
  <c r="GB8" i="18" s="1"/>
  <c r="GC8" i="18" s="1"/>
  <c r="GD8" i="18" s="1"/>
  <c r="GE8" i="18" s="1"/>
  <c r="GF8" i="18" s="1"/>
  <c r="GG8" i="18" s="1"/>
  <c r="GH8" i="18" s="1"/>
  <c r="GI8" i="18" s="1"/>
  <c r="GJ8" i="18" s="1"/>
  <c r="GK8" i="18" s="1"/>
  <c r="GL8" i="18" s="1"/>
  <c r="GM8" i="18" s="1"/>
  <c r="GN8" i="18" s="1"/>
  <c r="GO8" i="18" s="1"/>
  <c r="GP8" i="18" s="1"/>
  <c r="GQ8" i="18" s="1"/>
  <c r="GR8" i="18" s="1"/>
  <c r="GS8" i="18" s="1"/>
  <c r="GT8" i="18" s="1"/>
  <c r="GU8" i="18" s="1"/>
  <c r="GV8" i="18" s="1"/>
  <c r="GW8" i="18" s="1"/>
  <c r="GX8" i="18" s="1"/>
  <c r="GY8" i="18" s="1"/>
  <c r="GZ8" i="18" s="1"/>
  <c r="HA8" i="18" s="1"/>
  <c r="HB8" i="18" s="1"/>
  <c r="HC8" i="18" s="1"/>
  <c r="HD8" i="18" s="1"/>
  <c r="HE8" i="18" s="1"/>
  <c r="HF8" i="18" s="1"/>
  <c r="HG8" i="18" s="1"/>
  <c r="HH8" i="18" s="1"/>
  <c r="HI8" i="18" s="1"/>
  <c r="HJ8" i="18" s="1"/>
  <c r="HK8" i="18" s="1"/>
  <c r="HL8" i="18" s="1"/>
  <c r="HM8" i="18" s="1"/>
  <c r="HN8" i="18" s="1"/>
  <c r="HO8" i="18" s="1"/>
  <c r="HP8" i="18" s="1"/>
  <c r="HQ8" i="18" s="1"/>
  <c r="HR8" i="18" s="1"/>
  <c r="HS8" i="18" s="1"/>
  <c r="HT8" i="18" s="1"/>
  <c r="HU8" i="18" s="1"/>
  <c r="HV8" i="18" s="1"/>
  <c r="HW8" i="18" s="1"/>
  <c r="HX8" i="18" s="1"/>
  <c r="HY8" i="18" s="1"/>
  <c r="HZ8" i="18" s="1"/>
  <c r="IA8" i="18" s="1"/>
  <c r="IB8" i="18" s="1"/>
  <c r="IC8" i="18" s="1"/>
  <c r="ID8" i="18" s="1"/>
  <c r="IE8" i="18" s="1"/>
  <c r="IF8" i="18" s="1"/>
  <c r="IG8" i="18" s="1"/>
  <c r="IH8" i="18" s="1"/>
  <c r="II8" i="18" s="1"/>
  <c r="IJ8" i="18" s="1"/>
  <c r="IK8" i="18" s="1"/>
  <c r="IL8" i="18" s="1"/>
  <c r="IM8" i="18" s="1"/>
  <c r="IN8" i="18" s="1"/>
  <c r="IO8" i="18" s="1"/>
  <c r="IP8" i="18" s="1"/>
  <c r="IQ8" i="18" s="1"/>
  <c r="IR8" i="18" s="1"/>
  <c r="IS8" i="18" s="1"/>
  <c r="IT8" i="18" s="1"/>
  <c r="IU8" i="18" s="1"/>
  <c r="IV8" i="18" s="1"/>
  <c r="IW8" i="18" s="1"/>
  <c r="IX8" i="18" s="1"/>
  <c r="IY8" i="18" s="1"/>
  <c r="IZ8" i="18" s="1"/>
  <c r="JA8" i="18" s="1"/>
  <c r="JB8" i="18" s="1"/>
  <c r="JC8" i="18" s="1"/>
  <c r="JD8" i="18" s="1"/>
  <c r="JE8" i="18" s="1"/>
  <c r="JF8" i="18" s="1"/>
  <c r="JG8" i="18" s="1"/>
  <c r="JH8" i="18" s="1"/>
  <c r="JI8" i="18" s="1"/>
  <c r="JJ8" i="18" s="1"/>
  <c r="JK8" i="18" s="1"/>
  <c r="JL8" i="18" s="1"/>
  <c r="JM8" i="18" s="1"/>
  <c r="JN8" i="18" s="1"/>
  <c r="JO8" i="18" s="1"/>
  <c r="JP8" i="18" s="1"/>
  <c r="JQ8" i="18" s="1"/>
  <c r="JR8" i="18" s="1"/>
  <c r="JS8" i="18" s="1"/>
  <c r="JT8" i="18" s="1"/>
  <c r="JU8" i="18" s="1"/>
  <c r="JV8" i="18" s="1"/>
  <c r="JW8" i="18" s="1"/>
  <c r="JX8" i="18" s="1"/>
  <c r="JY8" i="18" s="1"/>
  <c r="JZ8" i="18" s="1"/>
  <c r="KA8" i="18" s="1"/>
  <c r="KB8" i="18" s="1"/>
  <c r="KC8" i="18" s="1"/>
  <c r="KD8" i="18" s="1"/>
  <c r="KE8" i="18" s="1"/>
  <c r="KF8" i="18" s="1"/>
  <c r="KG8" i="18" s="1"/>
  <c r="KH8" i="18" s="1"/>
  <c r="KI8" i="18" s="1"/>
  <c r="KJ8" i="18" s="1"/>
  <c r="KK8" i="18" s="1"/>
  <c r="KL8" i="18" s="1"/>
  <c r="KM8" i="18" s="1"/>
  <c r="KN8" i="18" s="1"/>
  <c r="KO8" i="18" s="1"/>
  <c r="KP8" i="18" s="1"/>
  <c r="KQ8" i="18" s="1"/>
  <c r="KR8" i="18" s="1"/>
  <c r="KS8" i="18" s="1"/>
  <c r="KT8" i="18" s="1"/>
  <c r="KU8" i="18" s="1"/>
  <c r="KV8" i="18" s="1"/>
  <c r="KW8" i="18" s="1"/>
  <c r="KX8" i="18" s="1"/>
  <c r="KY8" i="18" s="1"/>
  <c r="KZ8" i="18" s="1"/>
  <c r="LA8" i="18" s="1"/>
  <c r="LB8" i="18" s="1"/>
  <c r="LC8" i="18" s="1"/>
  <c r="LD8" i="18" s="1"/>
  <c r="LE8" i="18" s="1"/>
  <c r="LF8" i="18" s="1"/>
  <c r="LG8" i="18" s="1"/>
  <c r="LH8" i="18" s="1"/>
  <c r="LI8" i="18" s="1"/>
  <c r="LJ8" i="18" s="1"/>
  <c r="LK8" i="18" s="1"/>
  <c r="LL8" i="18" s="1"/>
  <c r="LM8" i="18" s="1"/>
  <c r="LN8" i="18" s="1"/>
  <c r="LO8" i="18" s="1"/>
  <c r="LP8" i="18" s="1"/>
  <c r="LQ8" i="18" s="1"/>
  <c r="LR8" i="18" s="1"/>
  <c r="LS8" i="18" s="1"/>
  <c r="LT8" i="18" s="1"/>
  <c r="LU8" i="18" s="1"/>
  <c r="LV8" i="18" s="1"/>
  <c r="LW8" i="18" s="1"/>
  <c r="LX8" i="18" s="1"/>
  <c r="LY8" i="18" s="1"/>
  <c r="LZ8" i="18" s="1"/>
  <c r="MA8" i="18" s="1"/>
  <c r="MB8" i="18" s="1"/>
  <c r="MC8" i="18" s="1"/>
  <c r="MD8" i="18" s="1"/>
  <c r="ME8" i="18" s="1"/>
  <c r="MF8" i="18" s="1"/>
  <c r="MG8" i="18" s="1"/>
  <c r="MH8" i="18" s="1"/>
  <c r="MI8" i="18" s="1"/>
  <c r="MJ8" i="18" s="1"/>
  <c r="MK8" i="18" s="1"/>
  <c r="ML8" i="18" s="1"/>
  <c r="MM8" i="18" s="1"/>
  <c r="MN8" i="18" s="1"/>
  <c r="MO8" i="18" s="1"/>
  <c r="MP8" i="18" s="1"/>
  <c r="MQ8" i="18" s="1"/>
  <c r="MR8" i="18" s="1"/>
  <c r="MS8" i="18" s="1"/>
  <c r="MT8" i="18" s="1"/>
  <c r="MU8" i="18" s="1"/>
  <c r="MV8" i="18" s="1"/>
  <c r="MW8" i="18" s="1"/>
  <c r="MX8" i="18" s="1"/>
  <c r="MY8" i="18" s="1"/>
  <c r="MZ8" i="18" s="1"/>
  <c r="NA8" i="18" s="1"/>
  <c r="NB8" i="18" s="1"/>
  <c r="NC8" i="18" s="1"/>
  <c r="ND8" i="18" s="1"/>
  <c r="NE8" i="18" s="1"/>
  <c r="NF8" i="18" s="1"/>
  <c r="NG8" i="18" s="1"/>
  <c r="NH8" i="18" s="1"/>
  <c r="NI8" i="18" s="1"/>
  <c r="NJ8" i="18" s="1"/>
  <c r="NK8" i="18" s="1"/>
  <c r="NL8" i="18" s="1"/>
  <c r="NM8" i="18" s="1"/>
  <c r="NN8" i="18" s="1"/>
  <c r="NO8" i="18" s="1"/>
  <c r="NP8" i="18" s="1"/>
  <c r="NQ8" i="18" s="1"/>
  <c r="NR8" i="18" s="1"/>
  <c r="NS8" i="18" s="1"/>
  <c r="NT8" i="18" s="1"/>
  <c r="NU8" i="18" s="1"/>
  <c r="R30" i="18"/>
  <c r="R39" i="18"/>
  <c r="GS31" i="18"/>
  <c r="GT31" i="18" s="1"/>
  <c r="GU31" i="18" s="1"/>
  <c r="GV31" i="18" s="1"/>
  <c r="GW31" i="18" s="1"/>
  <c r="GX31" i="18" s="1"/>
  <c r="GY31" i="18" s="1"/>
  <c r="GZ31" i="18" s="1"/>
  <c r="HA31" i="18" s="1"/>
  <c r="HB31" i="18" s="1"/>
  <c r="HC31" i="18" s="1"/>
  <c r="HD31" i="18" s="1"/>
  <c r="HE31" i="18" s="1"/>
  <c r="HF31" i="18" s="1"/>
  <c r="HG31" i="18" s="1"/>
  <c r="HH31" i="18" s="1"/>
  <c r="HI31" i="18" s="1"/>
  <c r="HJ31" i="18" s="1"/>
  <c r="HK31" i="18" s="1"/>
  <c r="HL31" i="18" s="1"/>
  <c r="HM31" i="18" s="1"/>
  <c r="HN31" i="18" s="1"/>
  <c r="HO31" i="18" s="1"/>
  <c r="HP31" i="18" s="1"/>
  <c r="HQ31" i="18" s="1"/>
  <c r="HR31" i="18" s="1"/>
  <c r="HS31" i="18" s="1"/>
  <c r="HT31" i="18" s="1"/>
  <c r="HU31" i="18" s="1"/>
  <c r="HV31" i="18" s="1"/>
  <c r="HW31" i="18" s="1"/>
  <c r="HX31" i="18" s="1"/>
  <c r="HY31" i="18" s="1"/>
  <c r="HZ31" i="18" s="1"/>
  <c r="IA31" i="18" s="1"/>
  <c r="IB31" i="18" s="1"/>
  <c r="IC31" i="18" s="1"/>
  <c r="ID31" i="18" s="1"/>
  <c r="IE31" i="18" s="1"/>
  <c r="IF31" i="18" s="1"/>
  <c r="IG31" i="18" s="1"/>
  <c r="IH31" i="18" s="1"/>
  <c r="II31" i="18" s="1"/>
  <c r="IJ31" i="18" s="1"/>
  <c r="IK31" i="18" s="1"/>
  <c r="IL31" i="18" s="1"/>
  <c r="IM31" i="18" s="1"/>
  <c r="IN31" i="18" s="1"/>
  <c r="IO31" i="18" s="1"/>
  <c r="IP31" i="18" s="1"/>
  <c r="IQ31" i="18" s="1"/>
  <c r="IR31" i="18" s="1"/>
  <c r="IS31" i="18" s="1"/>
  <c r="IT31" i="18" s="1"/>
  <c r="IU31" i="18" s="1"/>
  <c r="IV31" i="18" s="1"/>
  <c r="IW31" i="18" s="1"/>
  <c r="IX31" i="18" s="1"/>
  <c r="IY31" i="18" s="1"/>
  <c r="IZ31" i="18" s="1"/>
  <c r="JA31" i="18" s="1"/>
  <c r="JB31" i="18" s="1"/>
  <c r="JC31" i="18" s="1"/>
  <c r="JD31" i="18" s="1"/>
  <c r="JE31" i="18" s="1"/>
  <c r="JF31" i="18" s="1"/>
  <c r="JG31" i="18" s="1"/>
  <c r="JH31" i="18" s="1"/>
  <c r="JI31" i="18" s="1"/>
  <c r="JJ31" i="18" s="1"/>
  <c r="JK31" i="18" s="1"/>
  <c r="JL31" i="18" s="1"/>
  <c r="JM31" i="18" s="1"/>
  <c r="JN31" i="18" s="1"/>
  <c r="JO31" i="18" s="1"/>
  <c r="JP31" i="18" s="1"/>
  <c r="JQ31" i="18" s="1"/>
  <c r="JR31" i="18" s="1"/>
  <c r="JS31" i="18" s="1"/>
  <c r="JT31" i="18" s="1"/>
  <c r="JU31" i="18" s="1"/>
  <c r="JV31" i="18" s="1"/>
  <c r="JW31" i="18" s="1"/>
  <c r="JX31" i="18" s="1"/>
  <c r="JY31" i="18" s="1"/>
  <c r="JZ31" i="18" s="1"/>
  <c r="KA31" i="18" s="1"/>
  <c r="KB31" i="18" s="1"/>
  <c r="KC31" i="18" s="1"/>
  <c r="KD31" i="18" s="1"/>
  <c r="KE31" i="18" s="1"/>
  <c r="KF31" i="18" s="1"/>
  <c r="KG31" i="18" s="1"/>
  <c r="KH31" i="18" s="1"/>
  <c r="KI31" i="18" s="1"/>
  <c r="KJ31" i="18" s="1"/>
  <c r="KK31" i="18" s="1"/>
  <c r="KL31" i="18" s="1"/>
  <c r="KM31" i="18" s="1"/>
  <c r="KN31" i="18" s="1"/>
  <c r="KO31" i="18" s="1"/>
  <c r="KP31" i="18" s="1"/>
  <c r="KQ31" i="18" s="1"/>
  <c r="KR31" i="18" s="1"/>
  <c r="KS31" i="18" s="1"/>
  <c r="KT31" i="18" s="1"/>
  <c r="KU31" i="18" s="1"/>
  <c r="KV31" i="18" s="1"/>
  <c r="KW31" i="18" s="1"/>
  <c r="KX31" i="18" s="1"/>
  <c r="KY31" i="18" s="1"/>
  <c r="KZ31" i="18" s="1"/>
  <c r="LA31" i="18" s="1"/>
  <c r="LB31" i="18" s="1"/>
  <c r="LC31" i="18" s="1"/>
  <c r="LD31" i="18" s="1"/>
  <c r="LE31" i="18" s="1"/>
  <c r="LF31" i="18" s="1"/>
  <c r="LG31" i="18" s="1"/>
  <c r="LH31" i="18" s="1"/>
  <c r="LI31" i="18" s="1"/>
  <c r="LJ31" i="18" s="1"/>
  <c r="LK31" i="18" s="1"/>
  <c r="LL31" i="18" s="1"/>
  <c r="LM31" i="18" s="1"/>
  <c r="LN31" i="18" s="1"/>
  <c r="LO31" i="18" s="1"/>
  <c r="LP31" i="18" s="1"/>
  <c r="LQ31" i="18" s="1"/>
  <c r="LR31" i="18" s="1"/>
  <c r="LS31" i="18" s="1"/>
  <c r="LT31" i="18" s="1"/>
  <c r="LU31" i="18" s="1"/>
  <c r="LV31" i="18" s="1"/>
  <c r="LW31" i="18" s="1"/>
  <c r="LX31" i="18" s="1"/>
  <c r="LY31" i="18" s="1"/>
  <c r="LZ31" i="18" s="1"/>
  <c r="MA31" i="18" s="1"/>
  <c r="MB31" i="18" s="1"/>
  <c r="MC31" i="18" s="1"/>
  <c r="MD31" i="18" s="1"/>
  <c r="ME31" i="18" s="1"/>
  <c r="MF31" i="18" s="1"/>
  <c r="MG31" i="18" s="1"/>
  <c r="MH31" i="18" s="1"/>
  <c r="MI31" i="18" s="1"/>
  <c r="MJ31" i="18" s="1"/>
  <c r="MK31" i="18" s="1"/>
  <c r="ML31" i="18" s="1"/>
  <c r="MM31" i="18" s="1"/>
  <c r="MN31" i="18" s="1"/>
  <c r="MO31" i="18" s="1"/>
  <c r="MP31" i="18" s="1"/>
  <c r="MQ31" i="18" s="1"/>
  <c r="MR31" i="18" s="1"/>
  <c r="MS31" i="18" s="1"/>
  <c r="MT31" i="18" s="1"/>
  <c r="MU31" i="18" s="1"/>
  <c r="MV31" i="18" s="1"/>
  <c r="MW31" i="18" s="1"/>
  <c r="MX31" i="18" s="1"/>
  <c r="MY31" i="18" s="1"/>
  <c r="MZ31" i="18" s="1"/>
  <c r="NA31" i="18" s="1"/>
  <c r="NB31" i="18" s="1"/>
  <c r="NC31" i="18" s="1"/>
  <c r="ND31" i="18" s="1"/>
  <c r="NE31" i="18" s="1"/>
  <c r="NF31" i="18" s="1"/>
  <c r="NG31" i="18" s="1"/>
  <c r="NH31" i="18" s="1"/>
  <c r="NI31" i="18" s="1"/>
  <c r="NJ31" i="18" s="1"/>
  <c r="NK31" i="18" s="1"/>
  <c r="NL31" i="18" s="1"/>
  <c r="NM31" i="18" s="1"/>
  <c r="NN31" i="18" s="1"/>
  <c r="NO31" i="18" s="1"/>
  <c r="NP31" i="18" s="1"/>
  <c r="NQ31" i="18" s="1"/>
  <c r="NR31" i="18" s="1"/>
  <c r="NS31" i="18" s="1"/>
  <c r="NT31" i="18" s="1"/>
  <c r="NU31" i="18" s="1"/>
  <c r="JK43" i="18"/>
  <c r="JL43" i="18" s="1"/>
  <c r="JM43" i="18" s="1"/>
  <c r="JN43" i="18" s="1"/>
  <c r="JO43" i="18" s="1"/>
  <c r="JP43" i="18" s="1"/>
  <c r="JQ43" i="18" s="1"/>
  <c r="JR43" i="18" s="1"/>
  <c r="JS43" i="18" s="1"/>
  <c r="JT43" i="18" s="1"/>
  <c r="JU43" i="18" s="1"/>
  <c r="JV43" i="18" s="1"/>
  <c r="JW43" i="18" s="1"/>
  <c r="JX43" i="18" s="1"/>
  <c r="JY43" i="18" s="1"/>
  <c r="JZ43" i="18" s="1"/>
  <c r="KA43" i="18" s="1"/>
  <c r="KB43" i="18" s="1"/>
  <c r="KC43" i="18" s="1"/>
  <c r="KD43" i="18" s="1"/>
  <c r="KE43" i="18" s="1"/>
  <c r="KF43" i="18" s="1"/>
  <c r="KG43" i="18" s="1"/>
  <c r="KH43" i="18" s="1"/>
  <c r="KI43" i="18" s="1"/>
  <c r="KJ43" i="18" s="1"/>
  <c r="KK43" i="18" s="1"/>
  <c r="KL43" i="18" s="1"/>
  <c r="KM43" i="18" s="1"/>
  <c r="KN43" i="18" s="1"/>
  <c r="KO43" i="18" s="1"/>
  <c r="KP43" i="18" s="1"/>
  <c r="KQ43" i="18" s="1"/>
  <c r="KR43" i="18" s="1"/>
  <c r="KS43" i="18" s="1"/>
  <c r="KT43" i="18" s="1"/>
  <c r="KU43" i="18" s="1"/>
  <c r="KV43" i="18" s="1"/>
  <c r="KW43" i="18" s="1"/>
  <c r="KX43" i="18" s="1"/>
  <c r="KY43" i="18" s="1"/>
  <c r="KZ43" i="18" s="1"/>
  <c r="LA43" i="18" s="1"/>
  <c r="LB43" i="18" s="1"/>
  <c r="LC43" i="18" s="1"/>
  <c r="LD43" i="18" s="1"/>
  <c r="LE43" i="18" s="1"/>
  <c r="LF43" i="18" s="1"/>
  <c r="LG43" i="18" s="1"/>
  <c r="LH43" i="18" s="1"/>
  <c r="LI43" i="18" s="1"/>
  <c r="LJ43" i="18" s="1"/>
  <c r="LK43" i="18" s="1"/>
  <c r="LL43" i="18" s="1"/>
  <c r="LM43" i="18" s="1"/>
  <c r="LN43" i="18" s="1"/>
  <c r="LO43" i="18" s="1"/>
  <c r="LP43" i="18" s="1"/>
  <c r="LQ43" i="18" s="1"/>
  <c r="LR43" i="18" s="1"/>
  <c r="LS43" i="18" s="1"/>
  <c r="LT43" i="18" s="1"/>
  <c r="LU43" i="18" s="1"/>
  <c r="LV43" i="18" s="1"/>
  <c r="LW43" i="18" s="1"/>
  <c r="LX43" i="18" s="1"/>
  <c r="LY43" i="18" s="1"/>
  <c r="LZ43" i="18" s="1"/>
  <c r="MA43" i="18" s="1"/>
  <c r="MB43" i="18" s="1"/>
  <c r="MC43" i="18" s="1"/>
  <c r="MD43" i="18" s="1"/>
  <c r="ME43" i="18" s="1"/>
  <c r="MF43" i="18" s="1"/>
  <c r="MG43" i="18" s="1"/>
  <c r="MH43" i="18" s="1"/>
  <c r="MI43" i="18" s="1"/>
  <c r="MJ43" i="18" s="1"/>
  <c r="MK43" i="18" s="1"/>
  <c r="ML43" i="18" s="1"/>
  <c r="MM43" i="18" s="1"/>
  <c r="MN43" i="18" s="1"/>
  <c r="MO43" i="18" s="1"/>
  <c r="MP43" i="18" s="1"/>
  <c r="MQ43" i="18" s="1"/>
  <c r="MR43" i="18" s="1"/>
  <c r="MS43" i="18" s="1"/>
  <c r="MT43" i="18" s="1"/>
  <c r="MU43" i="18" s="1"/>
  <c r="MV43" i="18" s="1"/>
  <c r="MW43" i="18" s="1"/>
  <c r="MX43" i="18" s="1"/>
  <c r="MY43" i="18" s="1"/>
  <c r="MZ43" i="18" s="1"/>
  <c r="NA43" i="18" s="1"/>
  <c r="NB43" i="18" s="1"/>
  <c r="NC43" i="18" s="1"/>
  <c r="ND43" i="18" s="1"/>
  <c r="NE43" i="18" s="1"/>
  <c r="NF43" i="18" s="1"/>
  <c r="NG43" i="18" s="1"/>
  <c r="NH43" i="18" s="1"/>
  <c r="NI43" i="18" s="1"/>
  <c r="NJ43" i="18" s="1"/>
  <c r="NK43" i="18" s="1"/>
  <c r="NL43" i="18" s="1"/>
  <c r="NM43" i="18" s="1"/>
  <c r="NN43" i="18" s="1"/>
  <c r="NO43" i="18" s="1"/>
  <c r="NP43" i="18" s="1"/>
  <c r="NQ43" i="18" s="1"/>
  <c r="NR43" i="18" s="1"/>
  <c r="NS43" i="18" s="1"/>
  <c r="NT43" i="18" s="1"/>
  <c r="NU43" i="18" s="1"/>
  <c r="R42" i="18"/>
  <c r="KE51" i="18"/>
  <c r="KF51" i="18" s="1"/>
  <c r="KG51" i="18" s="1"/>
  <c r="KH51" i="18" s="1"/>
  <c r="KI51" i="18" s="1"/>
  <c r="KJ51" i="18" s="1"/>
  <c r="KK51" i="18" s="1"/>
  <c r="KL51" i="18" s="1"/>
  <c r="KM51" i="18" s="1"/>
  <c r="KN51" i="18" s="1"/>
  <c r="KO51" i="18" s="1"/>
  <c r="KP51" i="18" s="1"/>
  <c r="KQ51" i="18" s="1"/>
  <c r="KR51" i="18" s="1"/>
  <c r="KS51" i="18" s="1"/>
  <c r="KT51" i="18" s="1"/>
  <c r="KU51" i="18" s="1"/>
  <c r="KV51" i="18" s="1"/>
  <c r="KW51" i="18" s="1"/>
  <c r="KX51" i="18" s="1"/>
  <c r="KY51" i="18" s="1"/>
  <c r="KZ51" i="18" s="1"/>
  <c r="LA51" i="18" s="1"/>
  <c r="LB51" i="18" s="1"/>
  <c r="LC51" i="18" s="1"/>
  <c r="LD51" i="18" s="1"/>
  <c r="LE51" i="18" s="1"/>
  <c r="LF51" i="18" s="1"/>
  <c r="LG51" i="18" s="1"/>
  <c r="LH51" i="18" s="1"/>
  <c r="LI51" i="18" s="1"/>
  <c r="LJ51" i="18" s="1"/>
  <c r="LK51" i="18" s="1"/>
  <c r="LL51" i="18" s="1"/>
  <c r="LM51" i="18" s="1"/>
  <c r="LN51" i="18" s="1"/>
  <c r="LO51" i="18" s="1"/>
  <c r="LP51" i="18" s="1"/>
  <c r="LQ51" i="18" s="1"/>
  <c r="LR51" i="18" s="1"/>
  <c r="LS51" i="18" s="1"/>
  <c r="LT51" i="18" s="1"/>
  <c r="LU51" i="18" s="1"/>
  <c r="LV51" i="18" s="1"/>
  <c r="LW51" i="18" s="1"/>
  <c r="LX51" i="18" s="1"/>
  <c r="LY51" i="18" s="1"/>
  <c r="LZ51" i="18" s="1"/>
  <c r="MA51" i="18" s="1"/>
  <c r="MB51" i="18" s="1"/>
  <c r="MC51" i="18" s="1"/>
  <c r="MD51" i="18" s="1"/>
  <c r="ME51" i="18" s="1"/>
  <c r="MF51" i="18" s="1"/>
  <c r="MG51" i="18" s="1"/>
  <c r="MH51" i="18" s="1"/>
  <c r="MI51" i="18" s="1"/>
  <c r="MJ51" i="18" s="1"/>
  <c r="MK51" i="18" s="1"/>
  <c r="ML51" i="18" s="1"/>
  <c r="MM51" i="18" s="1"/>
  <c r="MN51" i="18" s="1"/>
  <c r="MO51" i="18" s="1"/>
  <c r="MP51" i="18" s="1"/>
  <c r="MQ51" i="18" s="1"/>
  <c r="MR51" i="18" s="1"/>
  <c r="MS51" i="18" s="1"/>
  <c r="MT51" i="18" s="1"/>
  <c r="MU51" i="18" s="1"/>
  <c r="MV51" i="18" s="1"/>
  <c r="MW51" i="18" s="1"/>
  <c r="MX51" i="18" s="1"/>
  <c r="MY51" i="18" s="1"/>
  <c r="MZ51" i="18" s="1"/>
  <c r="NA51" i="18" s="1"/>
  <c r="NB51" i="18" s="1"/>
  <c r="NC51" i="18" s="1"/>
  <c r="ND51" i="18" s="1"/>
  <c r="NE51" i="18" s="1"/>
  <c r="NF51" i="18" s="1"/>
  <c r="NG51" i="18" s="1"/>
  <c r="NH51" i="18" s="1"/>
  <c r="NI51" i="18" s="1"/>
  <c r="NJ51" i="18" s="1"/>
  <c r="NK51" i="18" s="1"/>
  <c r="NL51" i="18" s="1"/>
  <c r="NM51" i="18" s="1"/>
  <c r="NN51" i="18" s="1"/>
  <c r="NO51" i="18" s="1"/>
  <c r="NP51" i="18" s="1"/>
  <c r="NQ51" i="18" s="1"/>
  <c r="NR51" i="18" s="1"/>
  <c r="NS51" i="18" s="1"/>
  <c r="NT51" i="18" s="1"/>
  <c r="NU51" i="18" s="1"/>
  <c r="R69" i="18"/>
  <c r="R67" i="18"/>
  <c r="MR65" i="18"/>
  <c r="MS65" i="18" s="1"/>
  <c r="MT65" i="18" s="1"/>
  <c r="MU65" i="18" s="1"/>
  <c r="MV65" i="18" s="1"/>
  <c r="MW65" i="18" s="1"/>
  <c r="MX65" i="18" s="1"/>
  <c r="MY65" i="18" s="1"/>
  <c r="MZ65" i="18" s="1"/>
  <c r="NA65" i="18" s="1"/>
  <c r="NB65" i="18" s="1"/>
  <c r="NC65" i="18" s="1"/>
  <c r="ND65" i="18" s="1"/>
  <c r="NE65" i="18" s="1"/>
  <c r="NF65" i="18" s="1"/>
  <c r="NG65" i="18" s="1"/>
  <c r="NH65" i="18" s="1"/>
  <c r="NI65" i="18" s="1"/>
  <c r="NJ65" i="18" s="1"/>
  <c r="NK65" i="18" s="1"/>
  <c r="NL65" i="18" s="1"/>
  <c r="NM65" i="18" s="1"/>
  <c r="NN65" i="18" s="1"/>
  <c r="NO65" i="18" s="1"/>
  <c r="NP65" i="18" s="1"/>
  <c r="NQ65" i="18" s="1"/>
  <c r="NR65" i="18" s="1"/>
  <c r="NS65" i="18" s="1"/>
  <c r="NT65" i="18" s="1"/>
  <c r="NU65" i="18" s="1"/>
  <c r="R72" i="18"/>
  <c r="LX60" i="18"/>
  <c r="LY60" i="18" s="1"/>
  <c r="LZ60" i="18" s="1"/>
  <c r="MA60" i="18" s="1"/>
  <c r="MB60" i="18" s="1"/>
  <c r="MC60" i="18" s="1"/>
  <c r="MD60" i="18" s="1"/>
  <c r="ME60" i="18" s="1"/>
  <c r="MF60" i="18" s="1"/>
  <c r="MG60" i="18" s="1"/>
  <c r="MH60" i="18" s="1"/>
  <c r="MI60" i="18" s="1"/>
  <c r="MJ60" i="18" s="1"/>
  <c r="MK60" i="18" s="1"/>
  <c r="ML60" i="18" s="1"/>
  <c r="MM60" i="18" s="1"/>
  <c r="MN60" i="18" s="1"/>
  <c r="MO60" i="18" s="1"/>
  <c r="MP60" i="18" s="1"/>
  <c r="MQ60" i="18" s="1"/>
  <c r="MR60" i="18" s="1"/>
  <c r="MS60" i="18" s="1"/>
  <c r="MT60" i="18" s="1"/>
  <c r="MU60" i="18" s="1"/>
  <c r="MV60" i="18" s="1"/>
  <c r="MW60" i="18" s="1"/>
  <c r="MX60" i="18" s="1"/>
  <c r="MY60" i="18" s="1"/>
  <c r="MZ60" i="18" s="1"/>
  <c r="NA60" i="18" s="1"/>
  <c r="NB60" i="18" s="1"/>
  <c r="NC60" i="18" s="1"/>
  <c r="ND60" i="18" s="1"/>
  <c r="NE60" i="18" s="1"/>
  <c r="NF60" i="18" s="1"/>
  <c r="NG60" i="18" s="1"/>
  <c r="NH60" i="18" s="1"/>
  <c r="NI60" i="18" s="1"/>
  <c r="NJ60" i="18" s="1"/>
  <c r="NK60" i="18" s="1"/>
  <c r="NL60" i="18" s="1"/>
  <c r="NM60" i="18" s="1"/>
  <c r="NN60" i="18" s="1"/>
  <c r="NO60" i="18" s="1"/>
  <c r="NP60" i="18" s="1"/>
  <c r="NQ60" i="18" s="1"/>
  <c r="NR60" i="18" s="1"/>
  <c r="NS60" i="18" s="1"/>
  <c r="NT60" i="18" s="1"/>
  <c r="NU60" i="18" s="1"/>
  <c r="NB68" i="18"/>
  <c r="NC68" i="18" s="1"/>
  <c r="ND68" i="18" s="1"/>
  <c r="NE68" i="18" s="1"/>
  <c r="NF68" i="18" s="1"/>
  <c r="NG68" i="18" s="1"/>
  <c r="NH68" i="18" s="1"/>
  <c r="NI68" i="18" s="1"/>
  <c r="NJ68" i="18" s="1"/>
  <c r="NK68" i="18" s="1"/>
  <c r="NL68" i="18" s="1"/>
  <c r="NM68" i="18" s="1"/>
  <c r="NN68" i="18" s="1"/>
  <c r="NO68" i="18" s="1"/>
  <c r="NP68" i="18" s="1"/>
  <c r="NQ68" i="18" s="1"/>
  <c r="NR68" i="18" s="1"/>
  <c r="NS68" i="18" s="1"/>
  <c r="NT68" i="18" s="1"/>
  <c r="NU68" i="18" s="1"/>
  <c r="V136" i="1"/>
  <c r="Q31" i="5" s="1"/>
  <c r="V134" i="1"/>
  <c r="V137" i="1"/>
  <c r="O136" i="1"/>
  <c r="O134" i="1"/>
  <c r="O137" i="1"/>
  <c r="AE24" i="26" l="1"/>
  <c r="AH23" i="26"/>
  <c r="AG23" i="26"/>
  <c r="AF23" i="26"/>
  <c r="AE24" i="29"/>
  <c r="AF23" i="29"/>
  <c r="AH23" i="29"/>
  <c r="AG23" i="29"/>
  <c r="AI24" i="26"/>
  <c r="AK23" i="26"/>
  <c r="AJ23" i="26"/>
  <c r="AI24" i="29"/>
  <c r="AK23" i="29"/>
  <c r="AJ23" i="29"/>
  <c r="AA39" i="19"/>
  <c r="AA40" i="19" s="1"/>
  <c r="AA41" i="19" s="1"/>
  <c r="AA42" i="19" s="1"/>
  <c r="AA43" i="19" s="1"/>
  <c r="AA44" i="19" s="1"/>
  <c r="AA45" i="19" s="1"/>
  <c r="AA46" i="19" s="1"/>
  <c r="AA47" i="19" s="1"/>
  <c r="AA48" i="19" s="1"/>
  <c r="AM134" i="1"/>
  <c r="T30" i="5" s="1"/>
  <c r="Q30" i="5"/>
  <c r="AM137" i="1"/>
  <c r="T33" i="5" s="1"/>
  <c r="Q33" i="5"/>
  <c r="AM136" i="1"/>
  <c r="Q32" i="5"/>
  <c r="CM78" i="18"/>
  <c r="CN6" i="18"/>
  <c r="EL3" i="18"/>
  <c r="I32" i="5"/>
  <c r="I27" i="5"/>
  <c r="I28" i="5"/>
  <c r="I29" i="5"/>
  <c r="I30" i="5"/>
  <c r="I31" i="5"/>
  <c r="J43" i="5" l="1"/>
  <c r="K43" i="5"/>
  <c r="J33" i="5"/>
  <c r="J41" i="5"/>
  <c r="J34" i="5"/>
  <c r="J42" i="5"/>
  <c r="J36" i="5"/>
  <c r="J39" i="5"/>
  <c r="J35" i="5"/>
  <c r="J40" i="5"/>
  <c r="J37" i="5"/>
  <c r="J38" i="5"/>
  <c r="K42" i="5"/>
  <c r="K33" i="5"/>
  <c r="K41" i="5"/>
  <c r="K36" i="5"/>
  <c r="K34" i="5"/>
  <c r="K38" i="5"/>
  <c r="K39" i="5"/>
  <c r="K40" i="5"/>
  <c r="K35" i="5"/>
  <c r="K37" i="5"/>
  <c r="J32" i="5"/>
  <c r="K32" i="5"/>
  <c r="J31" i="5"/>
  <c r="K29" i="5"/>
  <c r="K30" i="5"/>
  <c r="K31" i="5"/>
  <c r="K27" i="5"/>
  <c r="K28" i="5"/>
  <c r="J28" i="5"/>
  <c r="J27" i="5"/>
  <c r="J29" i="5"/>
  <c r="J30" i="5"/>
  <c r="AI25" i="26"/>
  <c r="AK24" i="26"/>
  <c r="AJ24" i="26"/>
  <c r="AI25" i="29"/>
  <c r="AK24" i="29"/>
  <c r="AJ24" i="29"/>
  <c r="AE25" i="26"/>
  <c r="AF24" i="26"/>
  <c r="AG24" i="26"/>
  <c r="AH24" i="26"/>
  <c r="AE25" i="29"/>
  <c r="AF24" i="29"/>
  <c r="AG24" i="29"/>
  <c r="AH24" i="29"/>
  <c r="T32" i="5"/>
  <c r="T31" i="5"/>
  <c r="CN78" i="18"/>
  <c r="CO6" i="18"/>
  <c r="EM3" i="18"/>
  <c r="M130" i="1"/>
  <c r="M131" i="1"/>
  <c r="M132" i="1"/>
  <c r="M133" i="1"/>
  <c r="M137" i="1"/>
  <c r="M139" i="1"/>
  <c r="M134" i="1"/>
  <c r="M140" i="1"/>
  <c r="M136" i="1"/>
  <c r="M141" i="1"/>
  <c r="M138" i="1"/>
  <c r="M128" i="1"/>
  <c r="S5" i="5"/>
  <c r="U5" i="5" s="1"/>
  <c r="V120" i="1"/>
  <c r="V121" i="1"/>
  <c r="U122" i="1"/>
  <c r="V123" i="1"/>
  <c r="V124" i="1"/>
  <c r="U125" i="1"/>
  <c r="O21" i="5" s="1"/>
  <c r="V126" i="1"/>
  <c r="V127" i="1"/>
  <c r="V128" i="1"/>
  <c r="V129" i="1"/>
  <c r="Q25" i="5" s="1"/>
  <c r="V130" i="1"/>
  <c r="V131" i="1"/>
  <c r="V132" i="1"/>
  <c r="V133" i="1"/>
  <c r="V110" i="1"/>
  <c r="V111" i="1"/>
  <c r="V112" i="1"/>
  <c r="V113" i="1"/>
  <c r="V114" i="1"/>
  <c r="V115" i="1"/>
  <c r="V116" i="1"/>
  <c r="V117" i="1"/>
  <c r="V118" i="1"/>
  <c r="V119" i="1"/>
  <c r="V109" i="1"/>
  <c r="AM109" i="1" s="1"/>
  <c r="R5" i="5"/>
  <c r="P5" i="5"/>
  <c r="O5" i="5"/>
  <c r="N5" i="5"/>
  <c r="C38" i="5"/>
  <c r="C37" i="5"/>
  <c r="C36" i="5"/>
  <c r="C35" i="5"/>
  <c r="C34" i="5"/>
  <c r="C33" i="5"/>
  <c r="C32" i="5"/>
  <c r="C31" i="5"/>
  <c r="C30" i="5"/>
  <c r="C29" i="5"/>
  <c r="C28" i="5"/>
  <c r="C27" i="5"/>
  <c r="F156" i="1"/>
  <c r="F152" i="1"/>
  <c r="F159" i="1"/>
  <c r="F135" i="1"/>
  <c r="F138" i="1"/>
  <c r="F141" i="1"/>
  <c r="F136" i="1"/>
  <c r="F140" i="1"/>
  <c r="F134" i="1"/>
  <c r="F139" i="1"/>
  <c r="F137" i="1"/>
  <c r="O106" i="1"/>
  <c r="O42" i="1"/>
  <c r="O51" i="1"/>
  <c r="O112" i="1"/>
  <c r="O122" i="1"/>
  <c r="O27" i="1"/>
  <c r="O19" i="1"/>
  <c r="O9" i="1"/>
  <c r="O125" i="1"/>
  <c r="O133" i="1"/>
  <c r="AO133" i="1"/>
  <c r="F133" i="1"/>
  <c r="AK133" i="1" s="1"/>
  <c r="O39" i="1"/>
  <c r="O56" i="1"/>
  <c r="O67" i="1"/>
  <c r="O92" i="1"/>
  <c r="O108" i="1"/>
  <c r="O123" i="1"/>
  <c r="O2" i="1"/>
  <c r="O11" i="1"/>
  <c r="O22" i="1"/>
  <c r="O36" i="1"/>
  <c r="O49" i="1"/>
  <c r="O62" i="1"/>
  <c r="O72" i="1"/>
  <c r="O77" i="1"/>
  <c r="O84" i="1"/>
  <c r="O88" i="1"/>
  <c r="O104" i="1"/>
  <c r="O113" i="1"/>
  <c r="O118" i="1"/>
  <c r="O10" i="1"/>
  <c r="O28" i="1"/>
  <c r="O35" i="1"/>
  <c r="O47" i="1"/>
  <c r="O57" i="1"/>
  <c r="O70" i="1"/>
  <c r="O78" i="1"/>
  <c r="O85" i="1"/>
  <c r="O89" i="1"/>
  <c r="O96" i="1"/>
  <c r="O15" i="1"/>
  <c r="O5" i="1"/>
  <c r="O14" i="1"/>
  <c r="O32" i="1"/>
  <c r="O52" i="1"/>
  <c r="O59" i="1"/>
  <c r="O66" i="1"/>
  <c r="O75" i="1"/>
  <c r="O86" i="1"/>
  <c r="O8" i="1"/>
  <c r="O17" i="1"/>
  <c r="O3" i="1"/>
  <c r="O12" i="1"/>
  <c r="O20" i="1"/>
  <c r="O34" i="1"/>
  <c r="O43" i="1"/>
  <c r="O25" i="1"/>
  <c r="O46" i="1"/>
  <c r="O80" i="1"/>
  <c r="O26" i="1"/>
  <c r="O38" i="1"/>
  <c r="O48" i="1"/>
  <c r="O54" i="1"/>
  <c r="O65" i="1"/>
  <c r="O79" i="1"/>
  <c r="O98" i="1"/>
  <c r="O7" i="1"/>
  <c r="O71" i="1"/>
  <c r="O29" i="1"/>
  <c r="O44" i="1"/>
  <c r="O61" i="1"/>
  <c r="O16" i="1"/>
  <c r="O81" i="1"/>
  <c r="O87" i="1"/>
  <c r="O94" i="1"/>
  <c r="O117" i="1"/>
  <c r="O4" i="1"/>
  <c r="O21" i="1"/>
  <c r="O37" i="1"/>
  <c r="O60" i="1"/>
  <c r="O91" i="1"/>
  <c r="O97" i="1"/>
  <c r="O107" i="1"/>
  <c r="O115" i="1"/>
  <c r="O120" i="1"/>
  <c r="O101" i="1"/>
  <c r="O105" i="1"/>
  <c r="O111" i="1"/>
  <c r="O6" i="1"/>
  <c r="O18" i="1"/>
  <c r="O24" i="1"/>
  <c r="O41" i="1"/>
  <c r="O55" i="1"/>
  <c r="O63" i="1"/>
  <c r="O74" i="1"/>
  <c r="O83" i="1"/>
  <c r="O90" i="1"/>
  <c r="O95" i="1"/>
  <c r="O102" i="1"/>
  <c r="O109" i="1"/>
  <c r="O114" i="1"/>
  <c r="O121" i="1"/>
  <c r="O13" i="1"/>
  <c r="O23" i="1"/>
  <c r="O33" i="1"/>
  <c r="O50" i="1"/>
  <c r="O58" i="1"/>
  <c r="O64" i="1"/>
  <c r="O76" i="1"/>
  <c r="O93" i="1"/>
  <c r="O99" i="1"/>
  <c r="O103" i="1"/>
  <c r="O110" i="1"/>
  <c r="O116" i="1"/>
  <c r="O119" i="1"/>
  <c r="O124" i="1"/>
  <c r="O40" i="1"/>
  <c r="O45" i="1"/>
  <c r="O100" i="1"/>
  <c r="O73" i="1"/>
  <c r="O82" i="1"/>
  <c r="O69" i="1"/>
  <c r="O68" i="1"/>
  <c r="O53" i="1"/>
  <c r="O31" i="1"/>
  <c r="AO114" i="1"/>
  <c r="AO112" i="1"/>
  <c r="AO110" i="1"/>
  <c r="AO116" i="1"/>
  <c r="V3" i="1"/>
  <c r="AM3" i="1" s="1"/>
  <c r="V4" i="1"/>
  <c r="AM4" i="1" s="1"/>
  <c r="V5" i="1"/>
  <c r="AM5" i="1" s="1"/>
  <c r="V6" i="1"/>
  <c r="AM6" i="1" s="1"/>
  <c r="V7" i="1"/>
  <c r="AM7" i="1" s="1"/>
  <c r="V8" i="1"/>
  <c r="AM8" i="1" s="1"/>
  <c r="V9" i="1"/>
  <c r="AM9" i="1" s="1"/>
  <c r="V10" i="1"/>
  <c r="AM10" i="1" s="1"/>
  <c r="V11" i="1"/>
  <c r="AM11" i="1" s="1"/>
  <c r="V12" i="1"/>
  <c r="AM12" i="1" s="1"/>
  <c r="V13" i="1"/>
  <c r="AM13" i="1" s="1"/>
  <c r="V14" i="1"/>
  <c r="AM14" i="1" s="1"/>
  <c r="V15" i="1"/>
  <c r="AM15" i="1" s="1"/>
  <c r="V71" i="1"/>
  <c r="AM71" i="1" s="1"/>
  <c r="V17" i="1"/>
  <c r="AM17" i="1" s="1"/>
  <c r="V18" i="1"/>
  <c r="AM18" i="1" s="1"/>
  <c r="V19" i="1"/>
  <c r="AM19" i="1" s="1"/>
  <c r="V20" i="1"/>
  <c r="AM20" i="1" s="1"/>
  <c r="V21" i="1"/>
  <c r="AM21" i="1" s="1"/>
  <c r="V22" i="1"/>
  <c r="AM22" i="1" s="1"/>
  <c r="V23" i="1"/>
  <c r="AM23" i="1" s="1"/>
  <c r="V24" i="1"/>
  <c r="AM24" i="1" s="1"/>
  <c r="V25" i="1"/>
  <c r="AM25" i="1" s="1"/>
  <c r="V26" i="1"/>
  <c r="AM26" i="1" s="1"/>
  <c r="V27" i="1"/>
  <c r="AM27" i="1" s="1"/>
  <c r="V28" i="1"/>
  <c r="AM28" i="1" s="1"/>
  <c r="V29" i="1"/>
  <c r="AM29" i="1" s="1"/>
  <c r="V30" i="1"/>
  <c r="AM30" i="1" s="1"/>
  <c r="V31" i="1"/>
  <c r="AM31" i="1" s="1"/>
  <c r="V32" i="1"/>
  <c r="AM32" i="1" s="1"/>
  <c r="V33" i="1"/>
  <c r="AM33" i="1" s="1"/>
  <c r="V34" i="1"/>
  <c r="AM34" i="1" s="1"/>
  <c r="V35" i="1"/>
  <c r="AM35" i="1" s="1"/>
  <c r="V36" i="1"/>
  <c r="AM36" i="1" s="1"/>
  <c r="V37" i="1"/>
  <c r="AM37" i="1" s="1"/>
  <c r="V38" i="1"/>
  <c r="AM38" i="1" s="1"/>
  <c r="V39" i="1"/>
  <c r="AM39" i="1" s="1"/>
  <c r="V40" i="1"/>
  <c r="AM40" i="1" s="1"/>
  <c r="V41" i="1"/>
  <c r="AM41" i="1" s="1"/>
  <c r="V42" i="1"/>
  <c r="AM42" i="1" s="1"/>
  <c r="V43" i="1"/>
  <c r="AM43" i="1" s="1"/>
  <c r="V44" i="1"/>
  <c r="AM44" i="1" s="1"/>
  <c r="V45" i="1"/>
  <c r="AM45" i="1" s="1"/>
  <c r="V46" i="1"/>
  <c r="AM46" i="1" s="1"/>
  <c r="V48" i="1"/>
  <c r="AM48" i="1" s="1"/>
  <c r="V47" i="1"/>
  <c r="AM47" i="1" s="1"/>
  <c r="V49" i="1"/>
  <c r="AM49" i="1" s="1"/>
  <c r="V50" i="1"/>
  <c r="AM50" i="1" s="1"/>
  <c r="V51" i="1"/>
  <c r="AM51" i="1" s="1"/>
  <c r="V52" i="1"/>
  <c r="AM52" i="1" s="1"/>
  <c r="V53" i="1"/>
  <c r="AM53" i="1" s="1"/>
  <c r="V54" i="1"/>
  <c r="AM54" i="1" s="1"/>
  <c r="V55" i="1"/>
  <c r="AM55" i="1" s="1"/>
  <c r="V56" i="1"/>
  <c r="AM56" i="1" s="1"/>
  <c r="V57" i="1"/>
  <c r="AM57" i="1" s="1"/>
  <c r="V58" i="1"/>
  <c r="AM58" i="1" s="1"/>
  <c r="V59" i="1"/>
  <c r="AM59" i="1" s="1"/>
  <c r="V60" i="1"/>
  <c r="AM60" i="1" s="1"/>
  <c r="V61" i="1"/>
  <c r="AM61" i="1" s="1"/>
  <c r="V62" i="1"/>
  <c r="AM62" i="1" s="1"/>
  <c r="V63" i="1"/>
  <c r="AM63" i="1" s="1"/>
  <c r="V64" i="1"/>
  <c r="AM64" i="1" s="1"/>
  <c r="V65" i="1"/>
  <c r="AM65" i="1" s="1"/>
  <c r="V66" i="1"/>
  <c r="AM66" i="1" s="1"/>
  <c r="V67" i="1"/>
  <c r="AM67" i="1" s="1"/>
  <c r="V68" i="1"/>
  <c r="AM68" i="1" s="1"/>
  <c r="V69" i="1"/>
  <c r="AM69" i="1" s="1"/>
  <c r="V70" i="1"/>
  <c r="AM70" i="1" s="1"/>
  <c r="V16" i="1"/>
  <c r="AM16" i="1" s="1"/>
  <c r="V72" i="1"/>
  <c r="AM72" i="1" s="1"/>
  <c r="V73" i="1"/>
  <c r="AM73" i="1" s="1"/>
  <c r="V74" i="1"/>
  <c r="AM74" i="1" s="1"/>
  <c r="V75" i="1"/>
  <c r="AM75" i="1" s="1"/>
  <c r="V76" i="1"/>
  <c r="AM76" i="1" s="1"/>
  <c r="V77" i="1"/>
  <c r="AM77" i="1" s="1"/>
  <c r="V78" i="1"/>
  <c r="AM78" i="1" s="1"/>
  <c r="V79" i="1"/>
  <c r="AM79" i="1" s="1"/>
  <c r="V80" i="1"/>
  <c r="AM80" i="1" s="1"/>
  <c r="V81" i="1"/>
  <c r="AM81" i="1" s="1"/>
  <c r="V82" i="1"/>
  <c r="AM82" i="1" s="1"/>
  <c r="V83" i="1"/>
  <c r="AM83" i="1" s="1"/>
  <c r="V84" i="1"/>
  <c r="AM84" i="1" s="1"/>
  <c r="V85" i="1"/>
  <c r="AM85" i="1" s="1"/>
  <c r="V86" i="1"/>
  <c r="AM86" i="1" s="1"/>
  <c r="V87" i="1"/>
  <c r="AM87" i="1" s="1"/>
  <c r="V88" i="1"/>
  <c r="AM88" i="1" s="1"/>
  <c r="V89" i="1"/>
  <c r="AM89" i="1" s="1"/>
  <c r="V90" i="1"/>
  <c r="AM90" i="1" s="1"/>
  <c r="V91" i="1"/>
  <c r="AM91" i="1" s="1"/>
  <c r="V92" i="1"/>
  <c r="AM92" i="1" s="1"/>
  <c r="V93" i="1"/>
  <c r="AM93" i="1" s="1"/>
  <c r="V94" i="1"/>
  <c r="AM94" i="1" s="1"/>
  <c r="V95" i="1"/>
  <c r="AM95" i="1" s="1"/>
  <c r="V96" i="1"/>
  <c r="AM96" i="1" s="1"/>
  <c r="V97" i="1"/>
  <c r="AM97" i="1" s="1"/>
  <c r="V98" i="1"/>
  <c r="AM98" i="1" s="1"/>
  <c r="V99" i="1"/>
  <c r="AM99" i="1" s="1"/>
  <c r="V100" i="1"/>
  <c r="AM100" i="1" s="1"/>
  <c r="V101" i="1"/>
  <c r="AM101" i="1" s="1"/>
  <c r="V102" i="1"/>
  <c r="AM102" i="1" s="1"/>
  <c r="V103" i="1"/>
  <c r="AM103" i="1" s="1"/>
  <c r="V104" i="1"/>
  <c r="AM104" i="1" s="1"/>
  <c r="V105" i="1"/>
  <c r="AM105" i="1" s="1"/>
  <c r="V106" i="1"/>
  <c r="AM106" i="1" s="1"/>
  <c r="V107" i="1"/>
  <c r="AM107" i="1" s="1"/>
  <c r="V108" i="1"/>
  <c r="AM108" i="1" s="1"/>
  <c r="V2" i="1"/>
  <c r="AM2" i="1" s="1"/>
  <c r="BF66" i="1"/>
  <c r="AO2" i="1"/>
  <c r="BF4" i="1"/>
  <c r="AO4" i="1" s="1"/>
  <c r="BF5" i="1"/>
  <c r="AO5" i="1" s="1"/>
  <c r="BF6" i="1"/>
  <c r="AO6" i="1" s="1"/>
  <c r="BF7" i="1"/>
  <c r="AO7" i="1" s="1"/>
  <c r="BF8" i="1"/>
  <c r="AO8" i="1" s="1"/>
  <c r="BF9" i="1"/>
  <c r="AO9" i="1" s="1"/>
  <c r="BF10" i="1"/>
  <c r="AO10" i="1" s="1"/>
  <c r="BF11" i="1"/>
  <c r="AO11" i="1" s="1"/>
  <c r="BF12" i="1"/>
  <c r="AO12" i="1" s="1"/>
  <c r="BF13" i="1"/>
  <c r="AO13" i="1" s="1"/>
  <c r="BF14" i="1"/>
  <c r="AO14" i="1" s="1"/>
  <c r="BF15" i="1"/>
  <c r="AO15" i="1" s="1"/>
  <c r="AO71" i="1"/>
  <c r="BF17" i="1"/>
  <c r="AO17" i="1" s="1"/>
  <c r="BF19" i="1"/>
  <c r="AO19" i="1" s="1"/>
  <c r="BF20" i="1"/>
  <c r="AO20" i="1" s="1"/>
  <c r="BF21" i="1"/>
  <c r="AO21" i="1" s="1"/>
  <c r="BF22" i="1"/>
  <c r="AO22" i="1" s="1"/>
  <c r="BF23" i="1"/>
  <c r="AO23" i="1" s="1"/>
  <c r="BF25" i="1"/>
  <c r="AO25" i="1" s="1"/>
  <c r="BF26" i="1"/>
  <c r="AO26" i="1" s="1"/>
  <c r="BF27" i="1"/>
  <c r="AO27" i="1" s="1"/>
  <c r="BF28" i="1"/>
  <c r="AO28" i="1" s="1"/>
  <c r="BF29" i="1"/>
  <c r="AO29" i="1" s="1"/>
  <c r="BF30" i="1"/>
  <c r="AO30" i="1" s="1"/>
  <c r="BF31" i="1"/>
  <c r="AO31" i="1" s="1"/>
  <c r="BF32" i="1"/>
  <c r="AO32" i="1" s="1"/>
  <c r="BF33" i="1"/>
  <c r="AO33" i="1" s="1"/>
  <c r="BF34" i="1"/>
  <c r="AO34" i="1" s="1"/>
  <c r="BF36" i="1"/>
  <c r="AO36" i="1" s="1"/>
  <c r="BF38" i="1"/>
  <c r="AO38" i="1" s="1"/>
  <c r="BF39" i="1"/>
  <c r="AO39" i="1" s="1"/>
  <c r="BF40" i="1"/>
  <c r="AO40" i="1" s="1"/>
  <c r="BF41" i="1"/>
  <c r="AO41" i="1" s="1"/>
  <c r="BF42" i="1"/>
  <c r="AO42" i="1" s="1"/>
  <c r="BF43" i="1"/>
  <c r="AO43" i="1" s="1"/>
  <c r="BF44" i="1"/>
  <c r="AO44" i="1" s="1"/>
  <c r="BF45" i="1"/>
  <c r="AO45" i="1" s="1"/>
  <c r="BF46" i="1"/>
  <c r="AO46" i="1" s="1"/>
  <c r="BF48" i="1"/>
  <c r="AO48" i="1" s="1"/>
  <c r="BF49" i="1"/>
  <c r="AO49" i="1" s="1"/>
  <c r="BF50" i="1"/>
  <c r="AO50" i="1" s="1"/>
  <c r="BF51" i="1"/>
  <c r="AO51" i="1" s="1"/>
  <c r="BF52" i="1"/>
  <c r="AO52" i="1" s="1"/>
  <c r="BF53" i="1"/>
  <c r="AO53" i="1" s="1"/>
  <c r="BF54" i="1"/>
  <c r="AO54" i="1" s="1"/>
  <c r="BF56" i="1"/>
  <c r="AO56" i="1" s="1"/>
  <c r="BF58" i="1"/>
  <c r="AO58" i="1" s="1"/>
  <c r="BF59" i="1"/>
  <c r="AO59" i="1" s="1"/>
  <c r="BF60" i="1"/>
  <c r="AO60" i="1" s="1"/>
  <c r="BF61" i="1"/>
  <c r="AO61" i="1" s="1"/>
  <c r="BF63" i="1"/>
  <c r="AO63" i="1" s="1"/>
  <c r="BF64" i="1"/>
  <c r="AO64" i="1" s="1"/>
  <c r="BF65" i="1"/>
  <c r="AO65" i="1" s="1"/>
  <c r="BF67" i="1"/>
  <c r="AO67" i="1" s="1"/>
  <c r="BF68" i="1"/>
  <c r="AO68" i="1" s="1"/>
  <c r="BF69" i="1"/>
  <c r="BF70" i="1"/>
  <c r="AO70" i="1" s="1"/>
  <c r="BF72" i="1"/>
  <c r="AO72" i="1" s="1"/>
  <c r="BF73" i="1"/>
  <c r="AO73" i="1" s="1"/>
  <c r="BF77" i="1"/>
  <c r="AO77" i="1" s="1"/>
  <c r="BF78" i="1"/>
  <c r="AO78" i="1" s="1"/>
  <c r="BF80" i="1"/>
  <c r="AO80" i="1" s="1"/>
  <c r="BF81" i="1"/>
  <c r="AO81" i="1" s="1"/>
  <c r="BF82" i="1"/>
  <c r="AO82" i="1" s="1"/>
  <c r="BF83" i="1"/>
  <c r="AO83" i="1" s="1"/>
  <c r="BF84" i="1"/>
  <c r="AO84" i="1" s="1"/>
  <c r="BF86" i="1"/>
  <c r="AO86" i="1" s="1"/>
  <c r="BF87" i="1"/>
  <c r="AO87" i="1" s="1"/>
  <c r="BF88" i="1"/>
  <c r="AO88" i="1" s="1"/>
  <c r="BF89" i="1"/>
  <c r="AO89" i="1" s="1"/>
  <c r="BF90" i="1"/>
  <c r="AO90" i="1" s="1"/>
  <c r="BF91" i="1"/>
  <c r="AO91" i="1" s="1"/>
  <c r="BF92" i="1"/>
  <c r="AO92" i="1" s="1"/>
  <c r="BF93" i="1"/>
  <c r="AO93" i="1" s="1"/>
  <c r="BF94" i="1"/>
  <c r="AO94" i="1" s="1"/>
  <c r="BF95" i="1"/>
  <c r="AO95" i="1" s="1"/>
  <c r="BF96" i="1"/>
  <c r="AO96" i="1" s="1"/>
  <c r="BF97" i="1"/>
  <c r="AO97" i="1" s="1"/>
  <c r="BF98" i="1"/>
  <c r="AO98" i="1" s="1"/>
  <c r="BF99" i="1"/>
  <c r="AO99" i="1" s="1"/>
  <c r="BF100" i="1"/>
  <c r="AO100" i="1" s="1"/>
  <c r="BF101" i="1"/>
  <c r="AO101" i="1" s="1"/>
  <c r="BF102" i="1"/>
  <c r="AO102" i="1" s="1"/>
  <c r="BF104" i="1"/>
  <c r="AO104" i="1" s="1"/>
  <c r="BF105" i="1"/>
  <c r="AO105" i="1" s="1"/>
  <c r="BF106" i="1"/>
  <c r="AO106" i="1" s="1"/>
  <c r="BF107" i="1"/>
  <c r="AO107" i="1" s="1"/>
  <c r="BF108" i="1"/>
  <c r="AO108" i="1" s="1"/>
  <c r="BF111" i="1"/>
  <c r="AO111" i="1" s="1"/>
  <c r="BF113" i="1"/>
  <c r="AO113" i="1" s="1"/>
  <c r="BF115" i="1"/>
  <c r="AO115" i="1" s="1"/>
  <c r="BF124" i="1"/>
  <c r="BF122" i="1"/>
  <c r="BF117" i="1"/>
  <c r="BF123" i="1"/>
  <c r="BF3" i="1"/>
  <c r="AO3" i="1" s="1"/>
  <c r="F53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71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O30" i="1"/>
  <c r="O129" i="1"/>
  <c r="O128" i="1"/>
  <c r="O132" i="1"/>
  <c r="O126" i="1"/>
  <c r="O131" i="1"/>
  <c r="O127" i="1"/>
  <c r="O130" i="1"/>
  <c r="AP12" i="1" l="1"/>
  <c r="AK12" i="1"/>
  <c r="AP53" i="1"/>
  <c r="AK53" i="1"/>
  <c r="AP6" i="1"/>
  <c r="AK6" i="1"/>
  <c r="AP46" i="1"/>
  <c r="AK46" i="1"/>
  <c r="AP139" i="1"/>
  <c r="AK139" i="1"/>
  <c r="AP152" i="1"/>
  <c r="AK152" i="1"/>
  <c r="AP7" i="1"/>
  <c r="AK7" i="1"/>
  <c r="AP15" i="1"/>
  <c r="AK15" i="1"/>
  <c r="AP23" i="1"/>
  <c r="AK23" i="1"/>
  <c r="AP31" i="1"/>
  <c r="AK31" i="1"/>
  <c r="AP39" i="1"/>
  <c r="AK39" i="1"/>
  <c r="AP47" i="1"/>
  <c r="AK47" i="1"/>
  <c r="AP134" i="1"/>
  <c r="AK134" i="1"/>
  <c r="AP156" i="1"/>
  <c r="AK156" i="1"/>
  <c r="AP36" i="1"/>
  <c r="AK36" i="1"/>
  <c r="AP30" i="1"/>
  <c r="AK30" i="1"/>
  <c r="AP32" i="1"/>
  <c r="AK32" i="1"/>
  <c r="AP25" i="1"/>
  <c r="AK25" i="1"/>
  <c r="AP136" i="1"/>
  <c r="AP4" i="1"/>
  <c r="AK4" i="1"/>
  <c r="AP44" i="1"/>
  <c r="AK44" i="1"/>
  <c r="AP38" i="1"/>
  <c r="AK38" i="1"/>
  <c r="AP71" i="1"/>
  <c r="AK71" i="1"/>
  <c r="AP48" i="1"/>
  <c r="AK48" i="1"/>
  <c r="AP140" i="1"/>
  <c r="AP9" i="1"/>
  <c r="AK9" i="1"/>
  <c r="AP41" i="1"/>
  <c r="AK41" i="1"/>
  <c r="AP10" i="1"/>
  <c r="AK10" i="1"/>
  <c r="AP18" i="1"/>
  <c r="AK18" i="1"/>
  <c r="AP26" i="1"/>
  <c r="AK26" i="1"/>
  <c r="AP34" i="1"/>
  <c r="AK34" i="1"/>
  <c r="AP42" i="1"/>
  <c r="AK42" i="1"/>
  <c r="AP50" i="1"/>
  <c r="AK50" i="1"/>
  <c r="AP141" i="1"/>
  <c r="AK141" i="1"/>
  <c r="AP28" i="1"/>
  <c r="AK28" i="1"/>
  <c r="AP135" i="1"/>
  <c r="AP14" i="1"/>
  <c r="AK14" i="1"/>
  <c r="AP22" i="1"/>
  <c r="AK22" i="1"/>
  <c r="AP8" i="1"/>
  <c r="AK8" i="1"/>
  <c r="AP24" i="1"/>
  <c r="AP40" i="1"/>
  <c r="AK40" i="1"/>
  <c r="AP17" i="1"/>
  <c r="AK17" i="1"/>
  <c r="AP33" i="1"/>
  <c r="AK33" i="1"/>
  <c r="AP49" i="1"/>
  <c r="AK49" i="1"/>
  <c r="AP11" i="1"/>
  <c r="AK11" i="1"/>
  <c r="AP19" i="1"/>
  <c r="AK19" i="1"/>
  <c r="AP27" i="1"/>
  <c r="AK27" i="1"/>
  <c r="AP35" i="1"/>
  <c r="AP43" i="1"/>
  <c r="AK43" i="1"/>
  <c r="AP51" i="1"/>
  <c r="AK51" i="1"/>
  <c r="AP138" i="1"/>
  <c r="AP20" i="1"/>
  <c r="AK20" i="1"/>
  <c r="AP5" i="1"/>
  <c r="AK5" i="1"/>
  <c r="AP13" i="1"/>
  <c r="AK13" i="1"/>
  <c r="AP21" i="1"/>
  <c r="AK21" i="1"/>
  <c r="AP29" i="1"/>
  <c r="AK29" i="1"/>
  <c r="AP37" i="1"/>
  <c r="AK37" i="1"/>
  <c r="AP45" i="1"/>
  <c r="AK45" i="1"/>
  <c r="AP137" i="1"/>
  <c r="AK137" i="1"/>
  <c r="AP159" i="1"/>
  <c r="AK159" i="1"/>
  <c r="AP3" i="1"/>
  <c r="C14" i="15"/>
  <c r="C12" i="15"/>
  <c r="C11" i="15"/>
  <c r="C13" i="15"/>
  <c r="C10" i="15"/>
  <c r="C16" i="15"/>
  <c r="B9" i="15"/>
  <c r="C15" i="15"/>
  <c r="C17" i="15"/>
  <c r="C9" i="15"/>
  <c r="AE26" i="26"/>
  <c r="AG25" i="26"/>
  <c r="AH25" i="26"/>
  <c r="AF25" i="26"/>
  <c r="AI26" i="29"/>
  <c r="AJ25" i="29"/>
  <c r="AK25" i="29"/>
  <c r="AE26" i="29"/>
  <c r="AF25" i="29"/>
  <c r="AH25" i="29"/>
  <c r="AG25" i="29"/>
  <c r="AI26" i="26"/>
  <c r="AJ25" i="26"/>
  <c r="AK25" i="26"/>
  <c r="AP133" i="1"/>
  <c r="Q8" i="5"/>
  <c r="Q24" i="5"/>
  <c r="Q20" i="5"/>
  <c r="Q15" i="5"/>
  <c r="Q7" i="5"/>
  <c r="V122" i="1"/>
  <c r="AM122" i="1" s="1"/>
  <c r="O18" i="5"/>
  <c r="AM127" i="1"/>
  <c r="T23" i="5" s="1"/>
  <c r="Q23" i="5"/>
  <c r="AM118" i="1"/>
  <c r="Q14" i="5"/>
  <c r="AM110" i="1"/>
  <c r="Q6" i="5"/>
  <c r="AM126" i="1"/>
  <c r="Q22" i="5"/>
  <c r="AM133" i="1"/>
  <c r="T29" i="5" s="1"/>
  <c r="Q29" i="5"/>
  <c r="AM115" i="1"/>
  <c r="Q11" i="5"/>
  <c r="AM131" i="1"/>
  <c r="Q27" i="5"/>
  <c r="AM123" i="1"/>
  <c r="Q19" i="5"/>
  <c r="AM114" i="1"/>
  <c r="Q10" i="5"/>
  <c r="AM130" i="1"/>
  <c r="T26" i="5" s="1"/>
  <c r="Q26" i="5"/>
  <c r="AM117" i="1"/>
  <c r="Q13" i="5"/>
  <c r="AM113" i="1"/>
  <c r="Q9" i="5"/>
  <c r="AM121" i="1"/>
  <c r="T17" i="5" s="1"/>
  <c r="Q17" i="5"/>
  <c r="AM116" i="1"/>
  <c r="T12" i="5" s="1"/>
  <c r="Q12" i="5"/>
  <c r="AM132" i="1"/>
  <c r="Q28" i="5"/>
  <c r="AM120" i="1"/>
  <c r="Q16" i="5"/>
  <c r="AM124" i="1"/>
  <c r="CO78" i="18"/>
  <c r="CP6" i="18"/>
  <c r="EN3" i="18"/>
  <c r="V125" i="1"/>
  <c r="T5" i="5"/>
  <c r="AM129" i="1"/>
  <c r="Q5" i="5"/>
  <c r="AM112" i="1"/>
  <c r="T8" i="5" s="1"/>
  <c r="AN116" i="1"/>
  <c r="AM119" i="1"/>
  <c r="T15" i="5" s="1"/>
  <c r="AM111" i="1"/>
  <c r="T7" i="5" s="1"/>
  <c r="AM128" i="1"/>
  <c r="AI27" i="29" l="1"/>
  <c r="AJ26" i="29"/>
  <c r="AK26" i="29"/>
  <c r="AI27" i="26"/>
  <c r="AJ26" i="26"/>
  <c r="AK26" i="26"/>
  <c r="AE27" i="26"/>
  <c r="AF26" i="26"/>
  <c r="AH26" i="26"/>
  <c r="AG26" i="26"/>
  <c r="AE27" i="29"/>
  <c r="AF26" i="29"/>
  <c r="AH26" i="29"/>
  <c r="AG26" i="29"/>
  <c r="T11" i="5"/>
  <c r="T14" i="5"/>
  <c r="T20" i="5"/>
  <c r="T10" i="5"/>
  <c r="T25" i="5"/>
  <c r="T16" i="5"/>
  <c r="T9" i="5"/>
  <c r="T19" i="5"/>
  <c r="T22" i="5"/>
  <c r="T18" i="5"/>
  <c r="T24" i="5"/>
  <c r="T28" i="5"/>
  <c r="T13" i="5"/>
  <c r="T27" i="5"/>
  <c r="T6" i="5"/>
  <c r="Q18" i="5"/>
  <c r="AM125" i="1"/>
  <c r="T21" i="5" s="1"/>
  <c r="Q21" i="5"/>
  <c r="EO3" i="18"/>
  <c r="CP78" i="18"/>
  <c r="CQ6" i="18"/>
  <c r="AI28" i="26" l="1"/>
  <c r="AJ27" i="26"/>
  <c r="AK27" i="26"/>
  <c r="AE28" i="26"/>
  <c r="AF27" i="26"/>
  <c r="AH27" i="26"/>
  <c r="AG27" i="26"/>
  <c r="AE28" i="29"/>
  <c r="AF27" i="29"/>
  <c r="AH27" i="29"/>
  <c r="AG27" i="29"/>
  <c r="AI28" i="29"/>
  <c r="AK27" i="29"/>
  <c r="AJ27" i="29"/>
  <c r="EP3" i="18"/>
  <c r="CQ78" i="18"/>
  <c r="CR6" i="18"/>
  <c r="AE29" i="26" l="1"/>
  <c r="AG28" i="26"/>
  <c r="AH28" i="26"/>
  <c r="AF28" i="26"/>
  <c r="AI29" i="26"/>
  <c r="AK28" i="26"/>
  <c r="AJ28" i="26"/>
  <c r="AE29" i="29"/>
  <c r="AG28" i="29"/>
  <c r="AF28" i="29"/>
  <c r="AH28" i="29"/>
  <c r="AI29" i="29"/>
  <c r="AJ28" i="29"/>
  <c r="AK28" i="29"/>
  <c r="CR78" i="18"/>
  <c r="CS6" i="18"/>
  <c r="EQ3" i="18"/>
  <c r="AI30" i="26" l="1"/>
  <c r="AJ29" i="26"/>
  <c r="AK29" i="26"/>
  <c r="AI30" i="29"/>
  <c r="AK29" i="29"/>
  <c r="AJ29" i="29"/>
  <c r="AE30" i="26"/>
  <c r="AG29" i="26"/>
  <c r="AH29" i="26"/>
  <c r="AF29" i="26"/>
  <c r="AE30" i="29"/>
  <c r="AF29" i="29"/>
  <c r="AH29" i="29"/>
  <c r="AG29" i="29"/>
  <c r="ER3" i="18"/>
  <c r="CS78" i="18"/>
  <c r="CT6" i="18"/>
  <c r="AI31" i="29" l="1"/>
  <c r="AJ30" i="29"/>
  <c r="AK30" i="29"/>
  <c r="AE31" i="29"/>
  <c r="AH30" i="29"/>
  <c r="AF30" i="29"/>
  <c r="AG30" i="29"/>
  <c r="AI31" i="26"/>
  <c r="AK30" i="26"/>
  <c r="AJ30" i="26"/>
  <c r="AE31" i="26"/>
  <c r="AH30" i="26"/>
  <c r="AG30" i="26"/>
  <c r="AF30" i="26"/>
  <c r="ES3" i="18"/>
  <c r="CT78" i="18"/>
  <c r="CU6" i="18"/>
  <c r="AI32" i="26" l="1"/>
  <c r="AJ31" i="26"/>
  <c r="AK31" i="26"/>
  <c r="AE32" i="29"/>
  <c r="AF31" i="29"/>
  <c r="AG31" i="29"/>
  <c r="AH31" i="29"/>
  <c r="AE32" i="26"/>
  <c r="AF31" i="26"/>
  <c r="AH31" i="26"/>
  <c r="AG31" i="26"/>
  <c r="AI32" i="29"/>
  <c r="AK31" i="29"/>
  <c r="AJ31" i="29"/>
  <c r="CU78" i="18"/>
  <c r="CV6" i="18"/>
  <c r="ET3" i="18"/>
  <c r="AI33" i="29" l="1"/>
  <c r="AK32" i="29"/>
  <c r="AJ32" i="29"/>
  <c r="AE33" i="26"/>
  <c r="AF32" i="26"/>
  <c r="AG32" i="26"/>
  <c r="AH32" i="26"/>
  <c r="AE33" i="29"/>
  <c r="AG32" i="29"/>
  <c r="AH32" i="29"/>
  <c r="AF32" i="29"/>
  <c r="AI33" i="26"/>
  <c r="AJ32" i="26"/>
  <c r="AK32" i="26"/>
  <c r="CV78" i="18"/>
  <c r="CW6" i="18"/>
  <c r="EU3" i="18"/>
  <c r="AE34" i="29" l="1"/>
  <c r="AH33" i="29"/>
  <c r="AF33" i="29"/>
  <c r="AG33" i="29"/>
  <c r="AE34" i="26"/>
  <c r="AH33" i="26"/>
  <c r="AG33" i="26"/>
  <c r="AF33" i="26"/>
  <c r="AI34" i="26"/>
  <c r="AK33" i="26"/>
  <c r="AJ33" i="26"/>
  <c r="AI34" i="29"/>
  <c r="AJ33" i="29"/>
  <c r="AK33" i="29"/>
  <c r="EV3" i="18"/>
  <c r="CW78" i="18"/>
  <c r="CX6" i="18"/>
  <c r="AE35" i="26" l="1"/>
  <c r="AF34" i="26"/>
  <c r="AH34" i="26"/>
  <c r="AG34" i="26"/>
  <c r="AI35" i="29"/>
  <c r="AJ34" i="29"/>
  <c r="AK34" i="29"/>
  <c r="AI35" i="26"/>
  <c r="AK34" i="26"/>
  <c r="AJ34" i="26"/>
  <c r="AE35" i="29"/>
  <c r="AH34" i="29"/>
  <c r="AF34" i="29"/>
  <c r="AG34" i="29"/>
  <c r="CX78" i="18"/>
  <c r="CY6" i="18"/>
  <c r="EW3" i="18"/>
  <c r="AI36" i="26" l="1"/>
  <c r="AK35" i="26"/>
  <c r="AJ35" i="26"/>
  <c r="AE36" i="29"/>
  <c r="AG35" i="29"/>
  <c r="AF35" i="29"/>
  <c r="AH35" i="29"/>
  <c r="AI36" i="29"/>
  <c r="AK35" i="29"/>
  <c r="AJ35" i="29"/>
  <c r="AE36" i="26"/>
  <c r="AG35" i="26"/>
  <c r="AH35" i="26"/>
  <c r="AF35" i="26"/>
  <c r="EX3" i="18"/>
  <c r="CY78" i="18"/>
  <c r="CZ6" i="18"/>
  <c r="AI37" i="29" l="1"/>
  <c r="AJ36" i="29"/>
  <c r="AK36" i="29"/>
  <c r="AE37" i="26"/>
  <c r="AH36" i="26"/>
  <c r="AG36" i="26"/>
  <c r="AF36" i="26"/>
  <c r="AE37" i="29"/>
  <c r="AF36" i="29"/>
  <c r="AG36" i="29"/>
  <c r="AH36" i="29"/>
  <c r="AI37" i="26"/>
  <c r="AJ36" i="26"/>
  <c r="AK36" i="26"/>
  <c r="CZ78" i="18"/>
  <c r="DA6" i="18"/>
  <c r="EY3" i="18"/>
  <c r="AE38" i="29" l="1"/>
  <c r="AF37" i="29"/>
  <c r="AG37" i="29"/>
  <c r="AH37" i="29"/>
  <c r="AE38" i="26"/>
  <c r="AH37" i="26"/>
  <c r="AG37" i="26"/>
  <c r="AF37" i="26"/>
  <c r="AI38" i="26"/>
  <c r="AK37" i="26"/>
  <c r="AJ37" i="26"/>
  <c r="AI38" i="29"/>
  <c r="AK37" i="29"/>
  <c r="AJ37" i="29"/>
  <c r="DA78" i="18"/>
  <c r="DB6" i="18"/>
  <c r="EZ3" i="18"/>
  <c r="AE39" i="26" l="1"/>
  <c r="AH38" i="26"/>
  <c r="AG38" i="26"/>
  <c r="AF38" i="26"/>
  <c r="AI39" i="29"/>
  <c r="AK38" i="29"/>
  <c r="AJ38" i="29"/>
  <c r="AI39" i="26"/>
  <c r="AK38" i="26"/>
  <c r="AJ38" i="26"/>
  <c r="AE39" i="29"/>
  <c r="AH38" i="29"/>
  <c r="AG38" i="29"/>
  <c r="AF38" i="29"/>
  <c r="FA3" i="18"/>
  <c r="DB78" i="18"/>
  <c r="DC6" i="18"/>
  <c r="AI40" i="26" l="1"/>
  <c r="AK39" i="26"/>
  <c r="AJ39" i="26"/>
  <c r="AE40" i="29"/>
  <c r="AF39" i="29"/>
  <c r="AH39" i="29"/>
  <c r="AG39" i="29"/>
  <c r="AI40" i="29"/>
  <c r="AJ39" i="29"/>
  <c r="AK39" i="29"/>
  <c r="AE40" i="26"/>
  <c r="AH39" i="26"/>
  <c r="AG39" i="26"/>
  <c r="AF39" i="26"/>
  <c r="DC78" i="18"/>
  <c r="DD6" i="18"/>
  <c r="FB3" i="18"/>
  <c r="AI41" i="29" l="1"/>
  <c r="AJ40" i="29"/>
  <c r="AK40" i="29"/>
  <c r="AE41" i="26"/>
  <c r="AF40" i="26"/>
  <c r="AG40" i="26"/>
  <c r="AH40" i="26"/>
  <c r="AE41" i="29"/>
  <c r="AH40" i="29"/>
  <c r="AF40" i="29"/>
  <c r="AG40" i="29"/>
  <c r="AI41" i="26"/>
  <c r="AK40" i="26"/>
  <c r="AJ40" i="26"/>
  <c r="FC3" i="18"/>
  <c r="DD78" i="18"/>
  <c r="DE6" i="18"/>
  <c r="AE42" i="29" l="1"/>
  <c r="AF41" i="29"/>
  <c r="AH41" i="29"/>
  <c r="AG41" i="29"/>
  <c r="AE42" i="26"/>
  <c r="AH41" i="26"/>
  <c r="AF41" i="26"/>
  <c r="AG41" i="26"/>
  <c r="AI42" i="26"/>
  <c r="AK41" i="26"/>
  <c r="AJ41" i="26"/>
  <c r="AI42" i="29"/>
  <c r="AJ41" i="29"/>
  <c r="AK41" i="29"/>
  <c r="FD3" i="18"/>
  <c r="DE78" i="18"/>
  <c r="DF6" i="18"/>
  <c r="AE43" i="26" l="1"/>
  <c r="AG42" i="26"/>
  <c r="AF42" i="26"/>
  <c r="AH42" i="26"/>
  <c r="AI43" i="29"/>
  <c r="AK42" i="29"/>
  <c r="AJ42" i="29"/>
  <c r="AI43" i="26"/>
  <c r="AK42" i="26"/>
  <c r="AJ42" i="26"/>
  <c r="AE43" i="29"/>
  <c r="AG42" i="29"/>
  <c r="AF42" i="29"/>
  <c r="AH42" i="29"/>
  <c r="DF78" i="18"/>
  <c r="DG6" i="18"/>
  <c r="FE3" i="18"/>
  <c r="AI44" i="26" l="1"/>
  <c r="AK43" i="26"/>
  <c r="AJ43" i="26"/>
  <c r="AE44" i="29"/>
  <c r="AF43" i="29"/>
  <c r="AH43" i="29"/>
  <c r="AG43" i="29"/>
  <c r="AI44" i="29"/>
  <c r="AJ43" i="29"/>
  <c r="AK43" i="29"/>
  <c r="AE44" i="26"/>
  <c r="AG43" i="26"/>
  <c r="AF43" i="26"/>
  <c r="AH43" i="26"/>
  <c r="DG78" i="18"/>
  <c r="DH6" i="18"/>
  <c r="FF3" i="18"/>
  <c r="AI45" i="29" l="1"/>
  <c r="AJ44" i="29"/>
  <c r="AK44" i="29"/>
  <c r="AE45" i="26"/>
  <c r="AH44" i="26"/>
  <c r="AG44" i="26"/>
  <c r="AF44" i="26"/>
  <c r="AE45" i="29"/>
  <c r="AG44" i="29"/>
  <c r="AH44" i="29"/>
  <c r="AF44" i="29"/>
  <c r="AI45" i="26"/>
  <c r="AJ44" i="26"/>
  <c r="AK44" i="26"/>
  <c r="FG3" i="18"/>
  <c r="DH78" i="18"/>
  <c r="DI6" i="18"/>
  <c r="AE46" i="26" l="1"/>
  <c r="AF45" i="26"/>
  <c r="AG45" i="26"/>
  <c r="AH45" i="26"/>
  <c r="AE46" i="29"/>
  <c r="AF45" i="29"/>
  <c r="AH45" i="29"/>
  <c r="AG45" i="29"/>
  <c r="AI46" i="26"/>
  <c r="AJ45" i="26"/>
  <c r="AK45" i="26"/>
  <c r="AI46" i="29"/>
  <c r="AJ45" i="29"/>
  <c r="AK45" i="29"/>
  <c r="DI78" i="18"/>
  <c r="DJ6" i="18"/>
  <c r="FH3" i="18"/>
  <c r="AE47" i="29" l="1"/>
  <c r="AG46" i="29"/>
  <c r="AF46" i="29"/>
  <c r="AH46" i="29"/>
  <c r="AI47" i="29"/>
  <c r="AJ46" i="29"/>
  <c r="AK46" i="29"/>
  <c r="AI47" i="26"/>
  <c r="AJ46" i="26"/>
  <c r="AK46" i="26"/>
  <c r="AE47" i="26"/>
  <c r="AH46" i="26"/>
  <c r="AF46" i="26"/>
  <c r="AG46" i="26"/>
  <c r="DJ78" i="18"/>
  <c r="DK6" i="18"/>
  <c r="FI3" i="18"/>
  <c r="AI48" i="26" l="1"/>
  <c r="AK47" i="26"/>
  <c r="AJ47" i="26"/>
  <c r="AE48" i="26"/>
  <c r="AF47" i="26"/>
  <c r="AH47" i="26"/>
  <c r="AG47" i="26"/>
  <c r="AI48" i="29"/>
  <c r="AK47" i="29"/>
  <c r="AJ47" i="29"/>
  <c r="AE48" i="29"/>
  <c r="AF47" i="29"/>
  <c r="AG47" i="29"/>
  <c r="AH47" i="29"/>
  <c r="DK78" i="18"/>
  <c r="DL6" i="18"/>
  <c r="FJ3" i="18"/>
  <c r="AE49" i="29" l="1"/>
  <c r="AH48" i="29"/>
  <c r="AG48" i="29"/>
  <c r="AF48" i="29"/>
  <c r="AE49" i="26"/>
  <c r="AG48" i="26"/>
  <c r="AH48" i="26"/>
  <c r="AF48" i="26"/>
  <c r="AI49" i="29"/>
  <c r="AK48" i="29"/>
  <c r="AJ48" i="29"/>
  <c r="AI49" i="26"/>
  <c r="AJ48" i="26"/>
  <c r="AK48" i="26"/>
  <c r="FK3" i="18"/>
  <c r="DL78" i="18"/>
  <c r="DM6" i="18"/>
  <c r="AE50" i="26" l="1"/>
  <c r="AF49" i="26"/>
  <c r="AG49" i="26"/>
  <c r="AH49" i="26"/>
  <c r="AI50" i="26"/>
  <c r="AJ49" i="26"/>
  <c r="AK49" i="26"/>
  <c r="AI50" i="29"/>
  <c r="AJ49" i="29"/>
  <c r="AK49" i="29"/>
  <c r="AE50" i="29"/>
  <c r="AF49" i="29"/>
  <c r="AG49" i="29"/>
  <c r="AH49" i="29"/>
  <c r="DM78" i="18"/>
  <c r="DN6" i="18"/>
  <c r="FL3" i="18"/>
  <c r="AE51" i="29" l="1"/>
  <c r="AG50" i="29"/>
  <c r="AH50" i="29"/>
  <c r="AF50" i="29"/>
  <c r="AI51" i="29"/>
  <c r="AJ50" i="29"/>
  <c r="AK50" i="29"/>
  <c r="AI51" i="26"/>
  <c r="AJ50" i="26"/>
  <c r="AK50" i="26"/>
  <c r="AE51" i="26"/>
  <c r="AG50" i="26"/>
  <c r="AF50" i="26"/>
  <c r="AH50" i="26"/>
  <c r="FM3" i="18"/>
  <c r="DN78" i="18"/>
  <c r="DO6" i="18"/>
  <c r="AI52" i="26" l="1"/>
  <c r="AK51" i="26"/>
  <c r="AJ51" i="26"/>
  <c r="AE52" i="26"/>
  <c r="AF51" i="26"/>
  <c r="AH51" i="26"/>
  <c r="AG51" i="26"/>
  <c r="AI52" i="29"/>
  <c r="AK51" i="29"/>
  <c r="AJ51" i="29"/>
  <c r="AE52" i="29"/>
  <c r="AH51" i="29"/>
  <c r="AF51" i="29"/>
  <c r="AG51" i="29"/>
  <c r="DO78" i="18"/>
  <c r="DP6" i="18"/>
  <c r="FN3" i="18"/>
  <c r="AI53" i="29" l="1"/>
  <c r="AJ52" i="29"/>
  <c r="AK52" i="29"/>
  <c r="AE53" i="29"/>
  <c r="AF52" i="29"/>
  <c r="AH52" i="29"/>
  <c r="AG52" i="29"/>
  <c r="AE53" i="26"/>
  <c r="AH52" i="26"/>
  <c r="AF52" i="26"/>
  <c r="AG52" i="26"/>
  <c r="AI53" i="26"/>
  <c r="AK52" i="26"/>
  <c r="AJ52" i="26"/>
  <c r="FO3" i="18"/>
  <c r="DP78" i="18"/>
  <c r="DQ6" i="18"/>
  <c r="AE54" i="26" l="1"/>
  <c r="AF53" i="26"/>
  <c r="AG53" i="26"/>
  <c r="AH53" i="26"/>
  <c r="AI54" i="26"/>
  <c r="AJ53" i="26"/>
  <c r="AK53" i="26"/>
  <c r="AE54" i="29"/>
  <c r="AH53" i="29"/>
  <c r="AG53" i="29"/>
  <c r="AF53" i="29"/>
  <c r="AI54" i="29"/>
  <c r="AK53" i="29"/>
  <c r="AJ53" i="29"/>
  <c r="DQ78" i="18"/>
  <c r="DR6" i="18"/>
  <c r="FP3" i="18"/>
  <c r="AI55" i="26" l="1"/>
  <c r="AJ54" i="26"/>
  <c r="AK54" i="26"/>
  <c r="AE55" i="29"/>
  <c r="AF54" i="29"/>
  <c r="AG54" i="29"/>
  <c r="AH54" i="29"/>
  <c r="AI55" i="29"/>
  <c r="AK54" i="29"/>
  <c r="AJ54" i="29"/>
  <c r="AE55" i="26"/>
  <c r="AH54" i="26"/>
  <c r="AF54" i="26"/>
  <c r="AG54" i="26"/>
  <c r="FQ3" i="18"/>
  <c r="DR78" i="18"/>
  <c r="DS6" i="18"/>
  <c r="AE56" i="26" l="1"/>
  <c r="AF55" i="26"/>
  <c r="AH55" i="26"/>
  <c r="AG55" i="26"/>
  <c r="AI56" i="29"/>
  <c r="AJ55" i="29"/>
  <c r="AK55" i="29"/>
  <c r="AE56" i="29"/>
  <c r="AH55" i="29"/>
  <c r="AF55" i="29"/>
  <c r="AG55" i="29"/>
  <c r="AI56" i="26"/>
  <c r="AK55" i="26"/>
  <c r="AJ55" i="26"/>
  <c r="DS78" i="18"/>
  <c r="DT6" i="18"/>
  <c r="FR3" i="18"/>
  <c r="AI57" i="29" l="1"/>
  <c r="AK56" i="29"/>
  <c r="AJ56" i="29"/>
  <c r="AE57" i="29"/>
  <c r="AF56" i="29"/>
  <c r="AG56" i="29"/>
  <c r="AH56" i="29"/>
  <c r="AI57" i="26"/>
  <c r="AK56" i="26"/>
  <c r="AJ56" i="26"/>
  <c r="AE57" i="26"/>
  <c r="AG56" i="26"/>
  <c r="AF56" i="26"/>
  <c r="AH56" i="26"/>
  <c r="FS3" i="18"/>
  <c r="DT78" i="18"/>
  <c r="DU6" i="18"/>
  <c r="AE58" i="26" l="1"/>
  <c r="AF57" i="26"/>
  <c r="AG57" i="26"/>
  <c r="AH57" i="26"/>
  <c r="AE58" i="29"/>
  <c r="AG57" i="29"/>
  <c r="AF57" i="29"/>
  <c r="AH57" i="29"/>
  <c r="AI58" i="26"/>
  <c r="AJ57" i="26"/>
  <c r="AK57" i="26"/>
  <c r="AI58" i="29"/>
  <c r="AJ57" i="29"/>
  <c r="AK57" i="29"/>
  <c r="DU78" i="18"/>
  <c r="DV6" i="18"/>
  <c r="FT3" i="18"/>
  <c r="AE59" i="29" l="1"/>
  <c r="AG58" i="29"/>
  <c r="AF58" i="29"/>
  <c r="AH58" i="29"/>
  <c r="AI59" i="29"/>
  <c r="AK58" i="29"/>
  <c r="AJ58" i="29"/>
  <c r="AI59" i="26"/>
  <c r="AK58" i="26"/>
  <c r="AJ58" i="26"/>
  <c r="AE59" i="26"/>
  <c r="AG58" i="26"/>
  <c r="AH58" i="26"/>
  <c r="AF58" i="26"/>
  <c r="DV78" i="18"/>
  <c r="DW6" i="18"/>
  <c r="FU3" i="18"/>
  <c r="AI60" i="26" l="1"/>
  <c r="AK59" i="26"/>
  <c r="AJ59" i="26"/>
  <c r="AE60" i="26"/>
  <c r="AF59" i="26"/>
  <c r="AG59" i="26"/>
  <c r="AH59" i="26"/>
  <c r="AI60" i="29"/>
  <c r="AK59" i="29"/>
  <c r="AJ59" i="29"/>
  <c r="AE60" i="29"/>
  <c r="AG59" i="29"/>
  <c r="AH59" i="29"/>
  <c r="AF59" i="29"/>
  <c r="DW78" i="18"/>
  <c r="DX6" i="18"/>
  <c r="FV3" i="18"/>
  <c r="AI61" i="29" l="1"/>
  <c r="AJ60" i="29"/>
  <c r="AK60" i="29"/>
  <c r="AE61" i="29"/>
  <c r="AF60" i="29"/>
  <c r="AH60" i="29"/>
  <c r="AG60" i="29"/>
  <c r="AE61" i="26"/>
  <c r="AF60" i="26"/>
  <c r="AG60" i="26"/>
  <c r="AH60" i="26"/>
  <c r="AI61" i="26"/>
  <c r="AJ60" i="26"/>
  <c r="AK60" i="26"/>
  <c r="FW3" i="18"/>
  <c r="DX78" i="18"/>
  <c r="DY6" i="18"/>
  <c r="AE62" i="26" l="1"/>
  <c r="AG61" i="26"/>
  <c r="AF61" i="26"/>
  <c r="AH61" i="26"/>
  <c r="AE62" i="29"/>
  <c r="AG61" i="29"/>
  <c r="AH61" i="29"/>
  <c r="AF61" i="29"/>
  <c r="AI62" i="26"/>
  <c r="AJ61" i="26"/>
  <c r="AK61" i="26"/>
  <c r="AI62" i="29"/>
  <c r="AJ61" i="29"/>
  <c r="AK61" i="29"/>
  <c r="FX3" i="18"/>
  <c r="DY78" i="18"/>
  <c r="DZ6" i="18"/>
  <c r="AE63" i="29" l="1"/>
  <c r="AF62" i="29"/>
  <c r="AG62" i="29"/>
  <c r="AH62" i="29"/>
  <c r="AI63" i="29"/>
  <c r="AK62" i="29"/>
  <c r="AJ62" i="29"/>
  <c r="AI63" i="26"/>
  <c r="AK62" i="26"/>
  <c r="AJ62" i="26"/>
  <c r="AE63" i="26"/>
  <c r="AF62" i="26"/>
  <c r="AH62" i="26"/>
  <c r="AG62" i="26"/>
  <c r="FY3" i="18"/>
  <c r="DZ78" i="18"/>
  <c r="EA6" i="18"/>
  <c r="AE64" i="26" l="1"/>
  <c r="AG63" i="26"/>
  <c r="AH63" i="26"/>
  <c r="AF63" i="26"/>
  <c r="AI64" i="26"/>
  <c r="AJ63" i="26"/>
  <c r="AK63" i="26"/>
  <c r="AI64" i="29"/>
  <c r="AK63" i="29"/>
  <c r="AJ63" i="29"/>
  <c r="AE64" i="29"/>
  <c r="AG63" i="29"/>
  <c r="AH63" i="29"/>
  <c r="AF63" i="29"/>
  <c r="EA78" i="18"/>
  <c r="EB6" i="18"/>
  <c r="FZ3" i="18"/>
  <c r="AI65" i="29" l="1"/>
  <c r="AK64" i="29"/>
  <c r="AJ64" i="29"/>
  <c r="AE65" i="29"/>
  <c r="AF64" i="29"/>
  <c r="AH64" i="29"/>
  <c r="AG64" i="29"/>
  <c r="AI65" i="26"/>
  <c r="AK64" i="26"/>
  <c r="AJ64" i="26"/>
  <c r="AE65" i="26"/>
  <c r="AG64" i="26"/>
  <c r="AH64" i="26"/>
  <c r="AF64" i="26"/>
  <c r="GA3" i="18"/>
  <c r="EB78" i="18"/>
  <c r="EC6" i="18"/>
  <c r="AI66" i="26" l="1"/>
  <c r="AJ65" i="26"/>
  <c r="AK65" i="26"/>
  <c r="AE66" i="26"/>
  <c r="AG65" i="26"/>
  <c r="AH65" i="26"/>
  <c r="AF65" i="26"/>
  <c r="AE66" i="29"/>
  <c r="AH65" i="29"/>
  <c r="AG65" i="29"/>
  <c r="AF65" i="29"/>
  <c r="AI66" i="29"/>
  <c r="AJ65" i="29"/>
  <c r="AK65" i="29"/>
  <c r="GB3" i="18"/>
  <c r="EC78" i="18"/>
  <c r="ED6" i="18"/>
  <c r="AE67" i="29" l="1"/>
  <c r="AH66" i="29"/>
  <c r="AF66" i="29"/>
  <c r="AG66" i="29"/>
  <c r="AE67" i="26"/>
  <c r="AG66" i="26"/>
  <c r="AH66" i="26"/>
  <c r="AF66" i="26"/>
  <c r="AI67" i="29"/>
  <c r="AK66" i="29"/>
  <c r="AJ66" i="29"/>
  <c r="AI67" i="26"/>
  <c r="AK66" i="26"/>
  <c r="AJ66" i="26"/>
  <c r="GC3" i="18"/>
  <c r="ED78" i="18"/>
  <c r="EE6" i="18"/>
  <c r="AI68" i="26" l="1"/>
  <c r="AK67" i="26"/>
  <c r="AJ67" i="26"/>
  <c r="AE68" i="26"/>
  <c r="AF67" i="26"/>
  <c r="AG67" i="26"/>
  <c r="AH67" i="26"/>
  <c r="AI68" i="29"/>
  <c r="AK67" i="29"/>
  <c r="AJ67" i="29"/>
  <c r="AE68" i="29"/>
  <c r="AG67" i="29"/>
  <c r="AH67" i="29"/>
  <c r="AF67" i="29"/>
  <c r="EE78" i="18"/>
  <c r="EF6" i="18"/>
  <c r="GD3" i="18"/>
  <c r="AI69" i="29" l="1"/>
  <c r="AK68" i="29"/>
  <c r="AJ68" i="29"/>
  <c r="AE69" i="29"/>
  <c r="AF68" i="29"/>
  <c r="AH68" i="29"/>
  <c r="AG68" i="29"/>
  <c r="AE69" i="26"/>
  <c r="AH68" i="26"/>
  <c r="AF68" i="26"/>
  <c r="AG68" i="26"/>
  <c r="AI69" i="26"/>
  <c r="AJ68" i="26"/>
  <c r="AK68" i="26"/>
  <c r="GE3" i="18"/>
  <c r="EF78" i="18"/>
  <c r="EG6" i="18"/>
  <c r="AE70" i="26" l="1"/>
  <c r="AH69" i="26"/>
  <c r="AF69" i="26"/>
  <c r="AG69" i="26"/>
  <c r="AE70" i="29"/>
  <c r="AH69" i="29"/>
  <c r="AG69" i="29"/>
  <c r="AF69" i="29"/>
  <c r="AI70" i="26"/>
  <c r="AK69" i="26"/>
  <c r="AJ69" i="26"/>
  <c r="AI70" i="29"/>
  <c r="AJ69" i="29"/>
  <c r="AK69" i="29"/>
  <c r="EG78" i="18"/>
  <c r="EH6" i="18"/>
  <c r="GF3" i="18"/>
  <c r="AE71" i="29" l="1"/>
  <c r="AH70" i="29"/>
  <c r="AF70" i="29"/>
  <c r="AG70" i="29"/>
  <c r="AI71" i="29"/>
  <c r="AK70" i="29"/>
  <c r="AJ70" i="29"/>
  <c r="AI71" i="26"/>
  <c r="AK70" i="26"/>
  <c r="AJ70" i="26"/>
  <c r="AE71" i="26"/>
  <c r="AF70" i="26"/>
  <c r="AG70" i="26"/>
  <c r="AH70" i="26"/>
  <c r="GG3" i="18"/>
  <c r="EH78" i="18"/>
  <c r="EI6" i="18"/>
  <c r="AE72" i="26" l="1"/>
  <c r="AF71" i="26"/>
  <c r="AG71" i="26"/>
  <c r="AH71" i="26"/>
  <c r="AI72" i="26"/>
  <c r="AK71" i="26"/>
  <c r="AJ71" i="26"/>
  <c r="AI72" i="29"/>
  <c r="AK71" i="29"/>
  <c r="AJ71" i="29"/>
  <c r="AE72" i="29"/>
  <c r="AH71" i="29"/>
  <c r="AG71" i="29"/>
  <c r="AF71" i="29"/>
  <c r="GH3" i="18"/>
  <c r="EI78" i="18"/>
  <c r="EJ6" i="18"/>
  <c r="AE73" i="29" l="1"/>
  <c r="AF72" i="29"/>
  <c r="AG72" i="29"/>
  <c r="AH72" i="29"/>
  <c r="AI73" i="29"/>
  <c r="AJ72" i="29"/>
  <c r="AK72" i="29"/>
  <c r="AI73" i="26"/>
  <c r="AK72" i="26"/>
  <c r="AJ72" i="26"/>
  <c r="AE73" i="26"/>
  <c r="AG72" i="26"/>
  <c r="AF72" i="26"/>
  <c r="AH72" i="26"/>
  <c r="EK6" i="18"/>
  <c r="EJ78" i="18"/>
  <c r="GI3" i="18"/>
  <c r="AE74" i="26" l="1"/>
  <c r="AG73" i="26"/>
  <c r="AF73" i="26"/>
  <c r="AH73" i="26"/>
  <c r="AI74" i="26"/>
  <c r="AK73" i="26"/>
  <c r="AJ73" i="26"/>
  <c r="AI74" i="29"/>
  <c r="AJ73" i="29"/>
  <c r="AK73" i="29"/>
  <c r="AE74" i="29"/>
  <c r="AH73" i="29"/>
  <c r="AG73" i="29"/>
  <c r="AF73" i="29"/>
  <c r="GJ3" i="18"/>
  <c r="EL6" i="18"/>
  <c r="EK78" i="18"/>
  <c r="AI75" i="29" l="1"/>
  <c r="AJ74" i="29"/>
  <c r="AK74" i="29"/>
  <c r="AE75" i="29"/>
  <c r="AG74" i="29"/>
  <c r="AF74" i="29"/>
  <c r="AH74" i="29"/>
  <c r="AI75" i="26"/>
  <c r="AK74" i="26"/>
  <c r="AJ74" i="26"/>
  <c r="AE75" i="26"/>
  <c r="AF74" i="26"/>
  <c r="AH74" i="26"/>
  <c r="AG74" i="26"/>
  <c r="GK3" i="18"/>
  <c r="EM6" i="18"/>
  <c r="EL78" i="18"/>
  <c r="AI76" i="26" l="1"/>
  <c r="AK75" i="26"/>
  <c r="AJ75" i="26"/>
  <c r="AE76" i="26"/>
  <c r="AG75" i="26"/>
  <c r="AF75" i="26"/>
  <c r="AH75" i="26"/>
  <c r="AE76" i="29"/>
  <c r="AH75" i="29"/>
  <c r="AF75" i="29"/>
  <c r="AG75" i="29"/>
  <c r="AI76" i="29"/>
  <c r="AJ75" i="29"/>
  <c r="AK75" i="29"/>
  <c r="GL3" i="18"/>
  <c r="EN6" i="18"/>
  <c r="EM78" i="18"/>
  <c r="AE77" i="29" l="1"/>
  <c r="AF76" i="29"/>
  <c r="AG76" i="29"/>
  <c r="AH76" i="29"/>
  <c r="AE77" i="26"/>
  <c r="AF76" i="26"/>
  <c r="AH76" i="26"/>
  <c r="AG76" i="26"/>
  <c r="AI77" i="29"/>
  <c r="AJ76" i="29"/>
  <c r="AK76" i="29"/>
  <c r="AI77" i="26"/>
  <c r="AJ76" i="26"/>
  <c r="AK76" i="26"/>
  <c r="GM3" i="18"/>
  <c r="EO6" i="18"/>
  <c r="EN78" i="18"/>
  <c r="AI78" i="26" l="1"/>
  <c r="AK77" i="26"/>
  <c r="AJ77" i="26"/>
  <c r="AE78" i="26"/>
  <c r="AF77" i="26"/>
  <c r="AH77" i="26"/>
  <c r="AG77" i="26"/>
  <c r="AI78" i="29"/>
  <c r="AK77" i="29"/>
  <c r="AJ77" i="29"/>
  <c r="AE78" i="29"/>
  <c r="AH77" i="29"/>
  <c r="AF77" i="29"/>
  <c r="AG77" i="29"/>
  <c r="GN3" i="18"/>
  <c r="EP6" i="18"/>
  <c r="EO78" i="18"/>
  <c r="AI79" i="29" l="1"/>
  <c r="AJ78" i="29"/>
  <c r="AK78" i="29"/>
  <c r="AE79" i="29"/>
  <c r="AH78" i="29"/>
  <c r="AF78" i="29"/>
  <c r="AG78" i="29"/>
  <c r="AE79" i="26"/>
  <c r="AG78" i="26"/>
  <c r="AH78" i="26"/>
  <c r="AF78" i="26"/>
  <c r="AI79" i="26"/>
  <c r="AK78" i="26"/>
  <c r="AJ78" i="26"/>
  <c r="GO3" i="18"/>
  <c r="EQ6" i="18"/>
  <c r="EP78" i="18"/>
  <c r="AE80" i="29" l="1"/>
  <c r="AH79" i="29"/>
  <c r="AF79" i="29"/>
  <c r="AG79" i="29"/>
  <c r="AE80" i="26"/>
  <c r="AH79" i="26"/>
  <c r="AF79" i="26"/>
  <c r="AG79" i="26"/>
  <c r="AI80" i="26"/>
  <c r="AK79" i="26"/>
  <c r="AJ79" i="26"/>
  <c r="AI80" i="29"/>
  <c r="AK79" i="29"/>
  <c r="AJ79" i="29"/>
  <c r="GP3" i="18"/>
  <c r="ER6" i="18"/>
  <c r="EQ78" i="18"/>
  <c r="AE81" i="26" l="1"/>
  <c r="AH80" i="26"/>
  <c r="AF80" i="26"/>
  <c r="AG80" i="26"/>
  <c r="AI81" i="29"/>
  <c r="AJ80" i="29"/>
  <c r="AK80" i="29"/>
  <c r="AI81" i="26"/>
  <c r="AK80" i="26"/>
  <c r="AJ80" i="26"/>
  <c r="AE81" i="29"/>
  <c r="AF80" i="29"/>
  <c r="AG80" i="29"/>
  <c r="AH80" i="29"/>
  <c r="GQ3" i="18"/>
  <c r="ES6" i="18"/>
  <c r="ER78" i="18"/>
  <c r="AE82" i="29" l="1"/>
  <c r="AH81" i="29"/>
  <c r="AG81" i="29"/>
  <c r="AF81" i="29"/>
  <c r="AI82" i="26"/>
  <c r="AJ81" i="26"/>
  <c r="AK81" i="26"/>
  <c r="AI82" i="29"/>
  <c r="AK81" i="29"/>
  <c r="AJ81" i="29"/>
  <c r="AE82" i="26"/>
  <c r="AG81" i="26"/>
  <c r="AF81" i="26"/>
  <c r="AH81" i="26"/>
  <c r="GR3" i="18"/>
  <c r="ET6" i="18"/>
  <c r="ES78" i="18"/>
  <c r="AI83" i="29" l="1"/>
  <c r="AJ82" i="29"/>
  <c r="AK82" i="29"/>
  <c r="AE83" i="26"/>
  <c r="AG82" i="26"/>
  <c r="AF82" i="26"/>
  <c r="AH82" i="26"/>
  <c r="AI83" i="26"/>
  <c r="AK82" i="26"/>
  <c r="AJ82" i="26"/>
  <c r="AE83" i="29"/>
  <c r="AH82" i="29"/>
  <c r="AG82" i="29"/>
  <c r="AF82" i="29"/>
  <c r="GS3" i="18"/>
  <c r="EU6" i="18"/>
  <c r="ET78" i="18"/>
  <c r="AI84" i="26" l="1"/>
  <c r="AJ83" i="26"/>
  <c r="AK83" i="26"/>
  <c r="AE84" i="29"/>
  <c r="AF83" i="29"/>
  <c r="AG83" i="29"/>
  <c r="AH83" i="29"/>
  <c r="AE84" i="26"/>
  <c r="AH83" i="26"/>
  <c r="AF83" i="26"/>
  <c r="AG83" i="26"/>
  <c r="AI84" i="29"/>
  <c r="AK83" i="29"/>
  <c r="AJ83" i="29"/>
  <c r="GT3" i="18"/>
  <c r="EV6" i="18"/>
  <c r="EU78" i="18"/>
  <c r="AE85" i="26" l="1"/>
  <c r="AG84" i="26"/>
  <c r="AF84" i="26"/>
  <c r="AH84" i="26"/>
  <c r="AI85" i="29"/>
  <c r="AK84" i="29"/>
  <c r="AJ84" i="29"/>
  <c r="AE85" i="29"/>
  <c r="AH84" i="29"/>
  <c r="AF84" i="29"/>
  <c r="AG84" i="29"/>
  <c r="AI85" i="26"/>
  <c r="AK84" i="26"/>
  <c r="AJ84" i="26"/>
  <c r="GU3" i="18"/>
  <c r="EW6" i="18"/>
  <c r="EV78" i="18"/>
  <c r="AI86" i="29" l="1"/>
  <c r="AJ85" i="29"/>
  <c r="AK85" i="29"/>
  <c r="AE86" i="29"/>
  <c r="AF85" i="29"/>
  <c r="AH85" i="29"/>
  <c r="AG85" i="29"/>
  <c r="AI86" i="26"/>
  <c r="AK85" i="26"/>
  <c r="AJ85" i="26"/>
  <c r="AE86" i="26"/>
  <c r="AH85" i="26"/>
  <c r="AF85" i="26"/>
  <c r="AG85" i="26"/>
  <c r="GV3" i="18"/>
  <c r="EX6" i="18"/>
  <c r="EW78" i="18"/>
  <c r="AE87" i="26" l="1"/>
  <c r="AG86" i="26"/>
  <c r="AH86" i="26"/>
  <c r="AF86" i="26"/>
  <c r="AE87" i="29"/>
  <c r="AH86" i="29"/>
  <c r="AF86" i="29"/>
  <c r="AG86" i="29"/>
  <c r="AI87" i="26"/>
  <c r="AK86" i="26"/>
  <c r="AJ86" i="26"/>
  <c r="AI87" i="29"/>
  <c r="AJ86" i="29"/>
  <c r="AK86" i="29"/>
  <c r="GW3" i="18"/>
  <c r="EY6" i="18"/>
  <c r="EX78" i="18"/>
  <c r="AE88" i="29" l="1"/>
  <c r="AH87" i="29"/>
  <c r="AG87" i="29"/>
  <c r="AF87" i="29"/>
  <c r="AI88" i="29"/>
  <c r="AJ87" i="29"/>
  <c r="AK87" i="29"/>
  <c r="AI88" i="26"/>
  <c r="AK87" i="26"/>
  <c r="AJ87" i="26"/>
  <c r="AE88" i="26"/>
  <c r="AG87" i="26"/>
  <c r="AF87" i="26"/>
  <c r="AH87" i="26"/>
  <c r="GX3" i="18"/>
  <c r="EZ6" i="18"/>
  <c r="EY78" i="18"/>
  <c r="AI89" i="26" l="1"/>
  <c r="AJ88" i="26"/>
  <c r="AK88" i="26"/>
  <c r="AE89" i="26"/>
  <c r="AH88" i="26"/>
  <c r="AF88" i="26"/>
  <c r="AG88" i="26"/>
  <c r="AI89" i="29"/>
  <c r="AK88" i="29"/>
  <c r="AJ88" i="29"/>
  <c r="AE89" i="29"/>
  <c r="AF88" i="29"/>
  <c r="AH88" i="29"/>
  <c r="AG88" i="29"/>
  <c r="GY3" i="18"/>
  <c r="FA6" i="18"/>
  <c r="EZ78" i="18"/>
  <c r="AE90" i="29" l="1"/>
  <c r="AH89" i="29"/>
  <c r="AF89" i="29"/>
  <c r="AG89" i="29"/>
  <c r="AI90" i="29"/>
  <c r="AJ89" i="29"/>
  <c r="AK89" i="29"/>
  <c r="AE90" i="26"/>
  <c r="AG89" i="26"/>
  <c r="AH89" i="26"/>
  <c r="AF89" i="26"/>
  <c r="AI90" i="26"/>
  <c r="AK89" i="26"/>
  <c r="AJ89" i="26"/>
  <c r="GZ3" i="18"/>
  <c r="FB6" i="18"/>
  <c r="FA78" i="18"/>
  <c r="AI91" i="29" l="1"/>
  <c r="AJ90" i="29"/>
  <c r="AK90" i="29"/>
  <c r="AE91" i="26"/>
  <c r="AF90" i="26"/>
  <c r="AG90" i="26"/>
  <c r="AH90" i="26"/>
  <c r="AI91" i="26"/>
  <c r="AK90" i="26"/>
  <c r="AJ90" i="26"/>
  <c r="AE91" i="29"/>
  <c r="AG90" i="29"/>
  <c r="AF90" i="29"/>
  <c r="AH90" i="29"/>
  <c r="FC6" i="18"/>
  <c r="FB78" i="18"/>
  <c r="HA3" i="18"/>
  <c r="AI92" i="26" l="1"/>
  <c r="AJ91" i="26"/>
  <c r="AK91" i="26"/>
  <c r="AE92" i="29"/>
  <c r="AG91" i="29"/>
  <c r="AH91" i="29"/>
  <c r="AF91" i="29"/>
  <c r="AE92" i="26"/>
  <c r="AF91" i="26"/>
  <c r="AG91" i="26"/>
  <c r="AH91" i="26"/>
  <c r="AI92" i="29"/>
  <c r="AK91" i="29"/>
  <c r="AJ91" i="29"/>
  <c r="HB3" i="18"/>
  <c r="FD6" i="18"/>
  <c r="FC78" i="18"/>
  <c r="AE93" i="29" l="1"/>
  <c r="AF92" i="29"/>
  <c r="AG92" i="29"/>
  <c r="AH92" i="29"/>
  <c r="AE93" i="26"/>
  <c r="AG92" i="26"/>
  <c r="AF92" i="26"/>
  <c r="AH92" i="26"/>
  <c r="AI93" i="29"/>
  <c r="AK92" i="29"/>
  <c r="AJ92" i="29"/>
  <c r="AI93" i="26"/>
  <c r="AK92" i="26"/>
  <c r="AJ92" i="26"/>
  <c r="HC3" i="18"/>
  <c r="FE6" i="18"/>
  <c r="FD78" i="18"/>
  <c r="AI94" i="26" l="1"/>
  <c r="AK93" i="26"/>
  <c r="AJ93" i="26"/>
  <c r="AE94" i="26"/>
  <c r="AH93" i="26"/>
  <c r="AF93" i="26"/>
  <c r="AG93" i="26"/>
  <c r="AI94" i="29"/>
  <c r="AJ93" i="29"/>
  <c r="AK93" i="29"/>
  <c r="AE94" i="29"/>
  <c r="AH93" i="29"/>
  <c r="AF93" i="29"/>
  <c r="AG93" i="29"/>
  <c r="HD3" i="18"/>
  <c r="FF6" i="18"/>
  <c r="FE78" i="18"/>
  <c r="AI95" i="29" l="1"/>
  <c r="AK94" i="29"/>
  <c r="AJ94" i="29"/>
  <c r="AE95" i="29"/>
  <c r="AG94" i="29"/>
  <c r="AF94" i="29"/>
  <c r="AH94" i="29"/>
  <c r="AE95" i="26"/>
  <c r="AH94" i="26"/>
  <c r="AF94" i="26"/>
  <c r="AG94" i="26"/>
  <c r="AI95" i="26"/>
  <c r="AK94" i="26"/>
  <c r="AJ94" i="26"/>
  <c r="HE3" i="18"/>
  <c r="FG6" i="18"/>
  <c r="FF78" i="18"/>
  <c r="AE96" i="26" l="1"/>
  <c r="AH95" i="26"/>
  <c r="AF95" i="26"/>
  <c r="AG95" i="26"/>
  <c r="AE96" i="29"/>
  <c r="AH95" i="29"/>
  <c r="AG95" i="29"/>
  <c r="AF95" i="29"/>
  <c r="AI96" i="26"/>
  <c r="AJ95" i="26"/>
  <c r="AK95" i="26"/>
  <c r="AI96" i="29"/>
  <c r="AK95" i="29"/>
  <c r="AJ95" i="29"/>
  <c r="HF3" i="18"/>
  <c r="FH6" i="18"/>
  <c r="FG78" i="18"/>
  <c r="AE97" i="29" l="1"/>
  <c r="AF96" i="29"/>
  <c r="AG96" i="29"/>
  <c r="AH96" i="29"/>
  <c r="AI97" i="29"/>
  <c r="AK96" i="29"/>
  <c r="AJ96" i="29"/>
  <c r="AI97" i="26"/>
  <c r="AK96" i="26"/>
  <c r="AJ96" i="26"/>
  <c r="AE97" i="26"/>
  <c r="AF96" i="26"/>
  <c r="AG96" i="26"/>
  <c r="AH96" i="26"/>
  <c r="HG3" i="18"/>
  <c r="FI6" i="18"/>
  <c r="FH78" i="18"/>
  <c r="AI98" i="26" l="1"/>
  <c r="AJ97" i="26"/>
  <c r="AK97" i="26"/>
  <c r="AE98" i="26"/>
  <c r="AH97" i="26"/>
  <c r="AF97" i="26"/>
  <c r="AG97" i="26"/>
  <c r="AI98" i="29"/>
  <c r="AJ97" i="29"/>
  <c r="AK97" i="29"/>
  <c r="AE98" i="29"/>
  <c r="AG97" i="29"/>
  <c r="AH97" i="29"/>
  <c r="AF97" i="29"/>
  <c r="HH3" i="18"/>
  <c r="FJ6" i="18"/>
  <c r="FI78" i="18"/>
  <c r="AI99" i="29" l="1"/>
  <c r="AJ98" i="29"/>
  <c r="AK98" i="29"/>
  <c r="AE99" i="29"/>
  <c r="AF98" i="29"/>
  <c r="AH98" i="29"/>
  <c r="AG98" i="29"/>
  <c r="AE99" i="26"/>
  <c r="AG98" i="26"/>
  <c r="AH98" i="26"/>
  <c r="AF98" i="26"/>
  <c r="AI99" i="26"/>
  <c r="AK98" i="26"/>
  <c r="AJ98" i="26"/>
  <c r="HI3" i="18"/>
  <c r="FK6" i="18"/>
  <c r="FJ78" i="18"/>
  <c r="AE100" i="26" l="1"/>
  <c r="AG99" i="26"/>
  <c r="AH99" i="26"/>
  <c r="AF99" i="26"/>
  <c r="AE100" i="29"/>
  <c r="AG99" i="29"/>
  <c r="AF99" i="29"/>
  <c r="AH99" i="29"/>
  <c r="AI100" i="26"/>
  <c r="AK99" i="26"/>
  <c r="AJ99" i="26"/>
  <c r="AI100" i="29"/>
  <c r="AK99" i="29"/>
  <c r="AJ99" i="29"/>
  <c r="HJ3" i="18"/>
  <c r="FL6" i="18"/>
  <c r="FK78" i="18"/>
  <c r="AE101" i="29" l="1"/>
  <c r="AF100" i="29"/>
  <c r="AH100" i="29"/>
  <c r="AG100" i="29"/>
  <c r="AI101" i="29"/>
  <c r="AJ100" i="29"/>
  <c r="AK100" i="29"/>
  <c r="AI101" i="26"/>
  <c r="AK100" i="26"/>
  <c r="AJ100" i="26"/>
  <c r="AE101" i="26"/>
  <c r="AG100" i="26"/>
  <c r="AF100" i="26"/>
  <c r="AH100" i="26"/>
  <c r="HK3" i="18"/>
  <c r="FM6" i="18"/>
  <c r="FL78" i="18"/>
  <c r="AI102" i="26" l="1"/>
  <c r="AK101" i="26"/>
  <c r="AJ101" i="26"/>
  <c r="AE102" i="26"/>
  <c r="AF101" i="26"/>
  <c r="AG101" i="26"/>
  <c r="AH101" i="26"/>
  <c r="AI102" i="29"/>
  <c r="AJ101" i="29"/>
  <c r="AK101" i="29"/>
  <c r="AE102" i="29"/>
  <c r="AG101" i="29"/>
  <c r="AH101" i="29"/>
  <c r="AF101" i="29"/>
  <c r="HL3" i="18"/>
  <c r="FN6" i="18"/>
  <c r="FM78" i="18"/>
  <c r="AE103" i="29" l="1"/>
  <c r="AF102" i="29"/>
  <c r="AG102" i="29"/>
  <c r="AH102" i="29"/>
  <c r="AE103" i="26"/>
  <c r="AF102" i="26"/>
  <c r="AG102" i="26"/>
  <c r="AH102" i="26"/>
  <c r="AI103" i="29"/>
  <c r="AK102" i="29"/>
  <c r="AJ102" i="29"/>
  <c r="AI103" i="26"/>
  <c r="AK102" i="26"/>
  <c r="AJ102" i="26"/>
  <c r="HM3" i="18"/>
  <c r="FO6" i="18"/>
  <c r="FN78" i="18"/>
  <c r="AE104" i="26" l="1"/>
  <c r="AG103" i="26"/>
  <c r="AF103" i="26"/>
  <c r="AH103" i="26"/>
  <c r="AI104" i="26"/>
  <c r="AK103" i="26"/>
  <c r="AJ103" i="26"/>
  <c r="AI104" i="29"/>
  <c r="AJ103" i="29"/>
  <c r="AK103" i="29"/>
  <c r="AE104" i="29"/>
  <c r="AG103" i="29"/>
  <c r="AF103" i="29"/>
  <c r="AH103" i="29"/>
  <c r="HN3" i="18"/>
  <c r="FP6" i="18"/>
  <c r="FO78" i="18"/>
  <c r="AI105" i="26" l="1"/>
  <c r="AJ104" i="26"/>
  <c r="AK104" i="26"/>
  <c r="AE105" i="29"/>
  <c r="AF104" i="29"/>
  <c r="AG104" i="29"/>
  <c r="AH104" i="29"/>
  <c r="AI105" i="29"/>
  <c r="AJ104" i="29"/>
  <c r="AK104" i="29"/>
  <c r="AE105" i="26"/>
  <c r="AH104" i="26"/>
  <c r="AF104" i="26"/>
  <c r="AG104" i="26"/>
  <c r="HO3" i="18"/>
  <c r="FQ6" i="18"/>
  <c r="FP78" i="18"/>
  <c r="AI106" i="29" l="1"/>
  <c r="AK105" i="29"/>
  <c r="AJ105" i="29"/>
  <c r="AE106" i="26"/>
  <c r="AG105" i="26"/>
  <c r="AH105" i="26"/>
  <c r="AF105" i="26"/>
  <c r="AE106" i="29"/>
  <c r="AG105" i="29"/>
  <c r="AH105" i="29"/>
  <c r="AF105" i="29"/>
  <c r="AI106" i="26"/>
  <c r="AK105" i="26"/>
  <c r="AJ105" i="26"/>
  <c r="HP3" i="18"/>
  <c r="FR6" i="18"/>
  <c r="FQ78" i="18"/>
  <c r="AE107" i="29" l="1"/>
  <c r="AH106" i="29"/>
  <c r="AF106" i="29"/>
  <c r="AG106" i="29"/>
  <c r="AE107" i="26"/>
  <c r="AG106" i="26"/>
  <c r="AF106" i="26"/>
  <c r="AH106" i="26"/>
  <c r="AI107" i="26"/>
  <c r="AJ106" i="26"/>
  <c r="AK106" i="26"/>
  <c r="AI107" i="29"/>
  <c r="AJ106" i="29"/>
  <c r="AK106" i="29"/>
  <c r="HQ3" i="18"/>
  <c r="FS6" i="18"/>
  <c r="FR78" i="18"/>
  <c r="AE108" i="26" l="1"/>
  <c r="AH107" i="26"/>
  <c r="AF107" i="26"/>
  <c r="AG107" i="26"/>
  <c r="AI108" i="29"/>
  <c r="AK107" i="29"/>
  <c r="AJ107" i="29"/>
  <c r="AI108" i="26"/>
  <c r="AK107" i="26"/>
  <c r="AJ107" i="26"/>
  <c r="AE108" i="29"/>
  <c r="AH107" i="29"/>
  <c r="AG107" i="29"/>
  <c r="AF107" i="29"/>
  <c r="HR3" i="18"/>
  <c r="FT6" i="18"/>
  <c r="FS78" i="18"/>
  <c r="AE109" i="29" l="1"/>
  <c r="AF108" i="29"/>
  <c r="AH108" i="29"/>
  <c r="AG108" i="29"/>
  <c r="AI109" i="26"/>
  <c r="AK108" i="26"/>
  <c r="AJ108" i="26"/>
  <c r="AI109" i="29"/>
  <c r="AK108" i="29"/>
  <c r="AJ108" i="29"/>
  <c r="AE109" i="26"/>
  <c r="AG108" i="26"/>
  <c r="AF108" i="26"/>
  <c r="AH108" i="26"/>
  <c r="HS3" i="18"/>
  <c r="FU6" i="18"/>
  <c r="FT78" i="18"/>
  <c r="AI110" i="29" l="1"/>
  <c r="AJ109" i="29"/>
  <c r="AK109" i="29"/>
  <c r="AE110" i="26"/>
  <c r="AG109" i="26"/>
  <c r="AF109" i="26"/>
  <c r="AH109" i="26"/>
  <c r="AI110" i="26"/>
  <c r="AJ109" i="26"/>
  <c r="AK109" i="26"/>
  <c r="AE110" i="29"/>
  <c r="AH109" i="29"/>
  <c r="AF109" i="29"/>
  <c r="AG109" i="29"/>
  <c r="HT3" i="18"/>
  <c r="FV6" i="18"/>
  <c r="FU78" i="18"/>
  <c r="AI111" i="26" l="1"/>
  <c r="AJ110" i="26"/>
  <c r="AK110" i="26"/>
  <c r="AE111" i="29"/>
  <c r="AH110" i="29"/>
  <c r="AF110" i="29"/>
  <c r="AG110" i="29"/>
  <c r="AE111" i="26"/>
  <c r="AH110" i="26"/>
  <c r="AF110" i="26"/>
  <c r="AG110" i="26"/>
  <c r="AI111" i="29"/>
  <c r="AJ110" i="29"/>
  <c r="AK110" i="29"/>
  <c r="HU3" i="18"/>
  <c r="FW6" i="18"/>
  <c r="FV78" i="18"/>
  <c r="AI112" i="29" l="1"/>
  <c r="AK111" i="29"/>
  <c r="AJ111" i="29"/>
  <c r="AE112" i="26"/>
  <c r="AF111" i="26"/>
  <c r="AG111" i="26"/>
  <c r="AH111" i="26"/>
  <c r="AE112" i="29"/>
  <c r="AF111" i="29"/>
  <c r="AG111" i="29"/>
  <c r="AH111" i="29"/>
  <c r="AI112" i="26"/>
  <c r="AK111" i="26"/>
  <c r="AJ111" i="26"/>
  <c r="HV3" i="18"/>
  <c r="FX6" i="18"/>
  <c r="FW78" i="18"/>
  <c r="AE113" i="29" l="1"/>
  <c r="AH112" i="29"/>
  <c r="AF112" i="29"/>
  <c r="AG112" i="29"/>
  <c r="AI113" i="26"/>
  <c r="AK112" i="26"/>
  <c r="AJ112" i="26"/>
  <c r="AE113" i="26"/>
  <c r="AF112" i="26"/>
  <c r="AG112" i="26"/>
  <c r="AH112" i="26"/>
  <c r="AI113" i="29"/>
  <c r="AK112" i="29"/>
  <c r="AJ112" i="29"/>
  <c r="FY6" i="18"/>
  <c r="FX78" i="18"/>
  <c r="HW3" i="18"/>
  <c r="AE114" i="26" l="1"/>
  <c r="AH113" i="26"/>
  <c r="AF113" i="26"/>
  <c r="AG113" i="26"/>
  <c r="AI114" i="26"/>
  <c r="AJ113" i="26"/>
  <c r="AK113" i="26"/>
  <c r="AI114" i="29"/>
  <c r="AJ113" i="29"/>
  <c r="AK113" i="29"/>
  <c r="AE114" i="29"/>
  <c r="AF113" i="29"/>
  <c r="AH113" i="29"/>
  <c r="AG113" i="29"/>
  <c r="HX3" i="18"/>
  <c r="FZ6" i="18"/>
  <c r="FY78" i="18"/>
  <c r="AI115" i="29" l="1"/>
  <c r="AJ114" i="29"/>
  <c r="AK114" i="29"/>
  <c r="AE115" i="29"/>
  <c r="AH114" i="29"/>
  <c r="AF114" i="29"/>
  <c r="AG114" i="29"/>
  <c r="AI115" i="26"/>
  <c r="AJ114" i="26"/>
  <c r="AK114" i="26"/>
  <c r="AE115" i="26"/>
  <c r="AH114" i="26"/>
  <c r="AF114" i="26"/>
  <c r="AG114" i="26"/>
  <c r="GA6" i="18"/>
  <c r="FZ78" i="18"/>
  <c r="HY3" i="18"/>
  <c r="AI116" i="26" l="1"/>
  <c r="AK115" i="26"/>
  <c r="AJ115" i="26"/>
  <c r="AE116" i="26"/>
  <c r="AF115" i="26"/>
  <c r="AH115" i="26"/>
  <c r="AG115" i="26"/>
  <c r="AE116" i="29"/>
  <c r="AF115" i="29"/>
  <c r="AH115" i="29"/>
  <c r="AG115" i="29"/>
  <c r="AI116" i="29"/>
  <c r="AJ115" i="29"/>
  <c r="AK115" i="29"/>
  <c r="HZ3" i="18"/>
  <c r="GB6" i="18"/>
  <c r="GA78" i="18"/>
  <c r="AE117" i="26" l="1"/>
  <c r="AF116" i="26"/>
  <c r="AH116" i="26"/>
  <c r="AG116" i="26"/>
  <c r="AE117" i="29"/>
  <c r="AG116" i="29"/>
  <c r="AF116" i="29"/>
  <c r="AH116" i="29"/>
  <c r="AI117" i="29"/>
  <c r="AJ116" i="29"/>
  <c r="AK116" i="29"/>
  <c r="AI117" i="26"/>
  <c r="AK116" i="26"/>
  <c r="AJ116" i="26"/>
  <c r="IA3" i="18"/>
  <c r="GC6" i="18"/>
  <c r="GB78" i="18"/>
  <c r="AI118" i="26" l="1"/>
  <c r="AK117" i="26"/>
  <c r="AJ117" i="26"/>
  <c r="AE118" i="29"/>
  <c r="AG117" i="29"/>
  <c r="AF117" i="29"/>
  <c r="AH117" i="29"/>
  <c r="AI118" i="29"/>
  <c r="AJ117" i="29"/>
  <c r="AK117" i="29"/>
  <c r="AE118" i="26"/>
  <c r="AG117" i="26"/>
  <c r="AF117" i="26"/>
  <c r="AH117" i="26"/>
  <c r="IB3" i="18"/>
  <c r="GD6" i="18"/>
  <c r="GC78" i="18"/>
  <c r="AI119" i="29" l="1"/>
  <c r="AJ118" i="29"/>
  <c r="AK118" i="29"/>
  <c r="AE119" i="26"/>
  <c r="AH118" i="26"/>
  <c r="AF118" i="26"/>
  <c r="AG118" i="26"/>
  <c r="AE119" i="29"/>
  <c r="AG118" i="29"/>
  <c r="AF118" i="29"/>
  <c r="AH118" i="29"/>
  <c r="AI119" i="26"/>
  <c r="AJ118" i="26"/>
  <c r="AK118" i="26"/>
  <c r="GE6" i="18"/>
  <c r="GD78" i="18"/>
  <c r="IC3" i="18"/>
  <c r="AE120" i="29" l="1"/>
  <c r="AF119" i="29"/>
  <c r="AH119" i="29"/>
  <c r="AG119" i="29"/>
  <c r="AI120" i="26"/>
  <c r="AK119" i="26"/>
  <c r="AJ119" i="26"/>
  <c r="AE120" i="26"/>
  <c r="AH119" i="26"/>
  <c r="AF119" i="26"/>
  <c r="AG119" i="26"/>
  <c r="AI120" i="29"/>
  <c r="AK119" i="29"/>
  <c r="AJ119" i="29"/>
  <c r="ID3" i="18"/>
  <c r="GF6" i="18"/>
  <c r="GE78" i="18"/>
  <c r="AE121" i="26" l="1"/>
  <c r="AG120" i="26"/>
  <c r="AH120" i="26"/>
  <c r="AF120" i="26"/>
  <c r="AI121" i="29"/>
  <c r="AK120" i="29"/>
  <c r="AJ120" i="29"/>
  <c r="AI121" i="26"/>
  <c r="AJ120" i="26"/>
  <c r="AK120" i="26"/>
  <c r="AE121" i="29"/>
  <c r="AG120" i="29"/>
  <c r="AF120" i="29"/>
  <c r="AH120" i="29"/>
  <c r="IE3" i="18"/>
  <c r="GG6" i="18"/>
  <c r="GF78" i="18"/>
  <c r="AI122" i="26" l="1"/>
  <c r="AJ121" i="26"/>
  <c r="AK121" i="26"/>
  <c r="AE122" i="29"/>
  <c r="AH121" i="29"/>
  <c r="AG121" i="29"/>
  <c r="AF121" i="29"/>
  <c r="AI122" i="29"/>
  <c r="AJ121" i="29"/>
  <c r="AK121" i="29"/>
  <c r="AE122" i="26"/>
  <c r="AF121" i="26"/>
  <c r="AH121" i="26"/>
  <c r="AG121" i="26"/>
  <c r="IF3" i="18"/>
  <c r="GH6" i="18"/>
  <c r="GG78" i="18"/>
  <c r="AI123" i="29" l="1"/>
  <c r="AJ122" i="29"/>
  <c r="AK122" i="29"/>
  <c r="AE123" i="26"/>
  <c r="AF122" i="26"/>
  <c r="AH122" i="26"/>
  <c r="AG122" i="26"/>
  <c r="AE123" i="29"/>
  <c r="AF122" i="29"/>
  <c r="AH122" i="29"/>
  <c r="AG122" i="29"/>
  <c r="AI123" i="26"/>
  <c r="AK122" i="26"/>
  <c r="AJ122" i="26"/>
  <c r="IG3" i="18"/>
  <c r="GI6" i="18"/>
  <c r="GH78" i="18"/>
  <c r="AE124" i="29" l="1"/>
  <c r="AH123" i="29"/>
  <c r="AF123" i="29"/>
  <c r="AG123" i="29"/>
  <c r="AI124" i="26"/>
  <c r="AJ123" i="26"/>
  <c r="AK123" i="26"/>
  <c r="AE124" i="26"/>
  <c r="AH123" i="26"/>
  <c r="AG123" i="26"/>
  <c r="AF123" i="26"/>
  <c r="AI124" i="29"/>
  <c r="AK123" i="29"/>
  <c r="AJ123" i="29"/>
  <c r="IH3" i="18"/>
  <c r="GJ6" i="18"/>
  <c r="GI78" i="18"/>
  <c r="AE125" i="26" l="1"/>
  <c r="AF124" i="26"/>
  <c r="AH124" i="26"/>
  <c r="AG124" i="26"/>
  <c r="AI125" i="26"/>
  <c r="AK124" i="26"/>
  <c r="AJ124" i="26"/>
  <c r="AI125" i="29"/>
  <c r="AJ124" i="29"/>
  <c r="AK124" i="29"/>
  <c r="AE125" i="29"/>
  <c r="AF124" i="29"/>
  <c r="AH124" i="29"/>
  <c r="AG124" i="29"/>
  <c r="II3" i="18"/>
  <c r="GK6" i="18"/>
  <c r="GJ78" i="18"/>
  <c r="AE126" i="29" l="1"/>
  <c r="AH125" i="29"/>
  <c r="AF125" i="29"/>
  <c r="AG125" i="29"/>
  <c r="AI126" i="29"/>
  <c r="AJ125" i="29"/>
  <c r="AK125" i="29"/>
  <c r="AI126" i="26"/>
  <c r="AK125" i="26"/>
  <c r="AJ125" i="26"/>
  <c r="AE126" i="26"/>
  <c r="AG125" i="26"/>
  <c r="AF125" i="26"/>
  <c r="AH125" i="26"/>
  <c r="IJ3" i="18"/>
  <c r="GL6" i="18"/>
  <c r="GK78" i="18"/>
  <c r="AE127" i="26" l="1"/>
  <c r="AH126" i="26"/>
  <c r="AF126" i="26"/>
  <c r="AG126" i="26"/>
  <c r="AI127" i="26"/>
  <c r="AK126" i="26"/>
  <c r="AJ126" i="26"/>
  <c r="AI127" i="29"/>
  <c r="AJ126" i="29"/>
  <c r="AK126" i="29"/>
  <c r="AE127" i="29"/>
  <c r="AG126" i="29"/>
  <c r="AF126" i="29"/>
  <c r="AH126" i="29"/>
  <c r="IK3" i="18"/>
  <c r="GM6" i="18"/>
  <c r="GL78" i="18"/>
  <c r="AE128" i="29" l="1"/>
  <c r="AF127" i="29"/>
  <c r="AG127" i="29"/>
  <c r="AH127" i="29"/>
  <c r="AI128" i="29"/>
  <c r="AJ127" i="29"/>
  <c r="AK127" i="29"/>
  <c r="AI128" i="26"/>
  <c r="AK127" i="26"/>
  <c r="AJ127" i="26"/>
  <c r="AE128" i="26"/>
  <c r="AH127" i="26"/>
  <c r="AF127" i="26"/>
  <c r="AG127" i="26"/>
  <c r="IL3" i="18"/>
  <c r="GN6" i="18"/>
  <c r="GM78" i="18"/>
  <c r="AI129" i="26" l="1"/>
  <c r="AJ128" i="26"/>
  <c r="AK128" i="26"/>
  <c r="AE129" i="26"/>
  <c r="AF128" i="26"/>
  <c r="AG128" i="26"/>
  <c r="AH128" i="26"/>
  <c r="AI129" i="29"/>
  <c r="AJ128" i="29"/>
  <c r="AK128" i="29"/>
  <c r="AE129" i="29"/>
  <c r="AG128" i="29"/>
  <c r="AF128" i="29"/>
  <c r="AH128" i="29"/>
  <c r="IM3" i="18"/>
  <c r="GO6" i="18"/>
  <c r="GN78" i="18"/>
  <c r="AI130" i="29" l="1"/>
  <c r="AK129" i="29"/>
  <c r="AJ129" i="29"/>
  <c r="AE130" i="29"/>
  <c r="AF129" i="29"/>
  <c r="AG129" i="29"/>
  <c r="AH129" i="29"/>
  <c r="AE130" i="26"/>
  <c r="AG129" i="26"/>
  <c r="AF129" i="26"/>
  <c r="AH129" i="26"/>
  <c r="AI130" i="26"/>
  <c r="AK129" i="26"/>
  <c r="AJ129" i="26"/>
  <c r="IN3" i="18"/>
  <c r="GP6" i="18"/>
  <c r="GO78" i="18"/>
  <c r="AE131" i="26" l="1"/>
  <c r="AH130" i="26"/>
  <c r="AF130" i="26"/>
  <c r="AG130" i="26"/>
  <c r="AE131" i="29"/>
  <c r="AH130" i="29"/>
  <c r="AG130" i="29"/>
  <c r="AF130" i="29"/>
  <c r="AI131" i="26"/>
  <c r="AJ130" i="26"/>
  <c r="AK130" i="26"/>
  <c r="AI131" i="29"/>
  <c r="AJ130" i="29"/>
  <c r="AK130" i="29"/>
  <c r="IO3" i="18"/>
  <c r="GQ6" i="18"/>
  <c r="GP78" i="18"/>
  <c r="AE132" i="29" l="1"/>
  <c r="AF131" i="29"/>
  <c r="AH131" i="29"/>
  <c r="AG131" i="29"/>
  <c r="AI132" i="29"/>
  <c r="AJ131" i="29"/>
  <c r="AK131" i="29"/>
  <c r="AI132" i="26"/>
  <c r="AJ131" i="26"/>
  <c r="AK131" i="26"/>
  <c r="AE132" i="26"/>
  <c r="AF131" i="26"/>
  <c r="AG131" i="26"/>
  <c r="AH131" i="26"/>
  <c r="IP3" i="18"/>
  <c r="GR6" i="18"/>
  <c r="GQ78" i="18"/>
  <c r="AI133" i="26" l="1"/>
  <c r="AK132" i="26"/>
  <c r="AJ132" i="26"/>
  <c r="AE133" i="26"/>
  <c r="AF132" i="26"/>
  <c r="AG132" i="26"/>
  <c r="AH132" i="26"/>
  <c r="AI133" i="29"/>
  <c r="AK132" i="29"/>
  <c r="AJ132" i="29"/>
  <c r="AE133" i="29"/>
  <c r="AH132" i="29"/>
  <c r="AF132" i="29"/>
  <c r="AG132" i="29"/>
  <c r="IQ3" i="18"/>
  <c r="GS6" i="18"/>
  <c r="GR78" i="18"/>
  <c r="AI134" i="29" l="1"/>
  <c r="AJ133" i="29"/>
  <c r="AK133" i="29"/>
  <c r="AE134" i="29"/>
  <c r="AH133" i="29"/>
  <c r="AF133" i="29"/>
  <c r="AG133" i="29"/>
  <c r="AE134" i="26"/>
  <c r="AH133" i="26"/>
  <c r="AG133" i="26"/>
  <c r="AF133" i="26"/>
  <c r="AI134" i="26"/>
  <c r="AJ133" i="26"/>
  <c r="AK133" i="26"/>
  <c r="GT6" i="18"/>
  <c r="GS78" i="18"/>
  <c r="IR3" i="18"/>
  <c r="AE135" i="26" l="1"/>
  <c r="AG134" i="26"/>
  <c r="AF134" i="26"/>
  <c r="AH134" i="26"/>
  <c r="AE135" i="29"/>
  <c r="AF134" i="29"/>
  <c r="AH134" i="29"/>
  <c r="AG134" i="29"/>
  <c r="AI135" i="26"/>
  <c r="AK134" i="26"/>
  <c r="AJ134" i="26"/>
  <c r="AI135" i="29"/>
  <c r="AK134" i="29"/>
  <c r="AJ134" i="29"/>
  <c r="IS3" i="18"/>
  <c r="GU6" i="18"/>
  <c r="GT78" i="18"/>
  <c r="AE136" i="29" l="1"/>
  <c r="AH135" i="29"/>
  <c r="AF135" i="29"/>
  <c r="AG135" i="29"/>
  <c r="AI136" i="29"/>
  <c r="AK135" i="29"/>
  <c r="AJ135" i="29"/>
  <c r="AI136" i="26"/>
  <c r="AK135" i="26"/>
  <c r="AJ135" i="26"/>
  <c r="AE136" i="26"/>
  <c r="AH135" i="26"/>
  <c r="AF135" i="26"/>
  <c r="AG135" i="26"/>
  <c r="IT3" i="18"/>
  <c r="GV6" i="18"/>
  <c r="GU78" i="18"/>
  <c r="AI137" i="26" l="1"/>
  <c r="AK136" i="26"/>
  <c r="AJ136" i="26"/>
  <c r="AI137" i="29"/>
  <c r="AJ136" i="29"/>
  <c r="AK136" i="29"/>
  <c r="AE137" i="26"/>
  <c r="AG136" i="26"/>
  <c r="AF136" i="26"/>
  <c r="AH136" i="26"/>
  <c r="AE137" i="29"/>
  <c r="AG136" i="29"/>
  <c r="AH136" i="29"/>
  <c r="AF136" i="29"/>
  <c r="IU3" i="18"/>
  <c r="GW6" i="18"/>
  <c r="GV78" i="18"/>
  <c r="AE138" i="29" l="1"/>
  <c r="AF137" i="29"/>
  <c r="AG137" i="29"/>
  <c r="AH137" i="29"/>
  <c r="AE138" i="26"/>
  <c r="AF137" i="26"/>
  <c r="AH137" i="26"/>
  <c r="AG137" i="26"/>
  <c r="AI138" i="29"/>
  <c r="AJ137" i="29"/>
  <c r="AK137" i="29"/>
  <c r="AI138" i="26"/>
  <c r="AJ137" i="26"/>
  <c r="AK137" i="26"/>
  <c r="IV3" i="18"/>
  <c r="GX6" i="18"/>
  <c r="GW78" i="18"/>
  <c r="AE139" i="26" l="1"/>
  <c r="AF138" i="26"/>
  <c r="AG138" i="26"/>
  <c r="AH138" i="26"/>
  <c r="AI139" i="26"/>
  <c r="AK138" i="26"/>
  <c r="AJ138" i="26"/>
  <c r="AI139" i="29"/>
  <c r="AK138" i="29"/>
  <c r="AJ138" i="29"/>
  <c r="AE139" i="29"/>
  <c r="AH138" i="29"/>
  <c r="AF138" i="29"/>
  <c r="AG138" i="29"/>
  <c r="IW3" i="18"/>
  <c r="GY6" i="18"/>
  <c r="GX78" i="18"/>
  <c r="AI140" i="29" l="1"/>
  <c r="AK139" i="29"/>
  <c r="AJ139" i="29"/>
  <c r="AE140" i="29"/>
  <c r="AF139" i="29"/>
  <c r="AH139" i="29"/>
  <c r="AG139" i="29"/>
  <c r="AI140" i="26"/>
  <c r="AK139" i="26"/>
  <c r="AJ139" i="26"/>
  <c r="AE140" i="26"/>
  <c r="AF139" i="26"/>
  <c r="AG139" i="26"/>
  <c r="AH139" i="26"/>
  <c r="GZ6" i="18"/>
  <c r="GY78" i="18"/>
  <c r="IX3" i="18"/>
  <c r="AI141" i="26" l="1"/>
  <c r="AJ140" i="26"/>
  <c r="AK140" i="26"/>
  <c r="AE141" i="26"/>
  <c r="AF140" i="26"/>
  <c r="AH140" i="26"/>
  <c r="AG140" i="26"/>
  <c r="AE141" i="29"/>
  <c r="AH140" i="29"/>
  <c r="AF140" i="29"/>
  <c r="AG140" i="29"/>
  <c r="AI141" i="29"/>
  <c r="AJ140" i="29"/>
  <c r="AK140" i="29"/>
  <c r="IY3" i="18"/>
  <c r="HA6" i="18"/>
  <c r="GZ78" i="18"/>
  <c r="AE142" i="29" l="1"/>
  <c r="AF141" i="29"/>
  <c r="AH141" i="29"/>
  <c r="AG141" i="29"/>
  <c r="AI142" i="29"/>
  <c r="AJ141" i="29"/>
  <c r="AK141" i="29"/>
  <c r="AE142" i="26"/>
  <c r="AH141" i="26"/>
  <c r="AF141" i="26"/>
  <c r="AG141" i="26"/>
  <c r="AI142" i="26"/>
  <c r="AJ141" i="26"/>
  <c r="AK141" i="26"/>
  <c r="IZ3" i="18"/>
  <c r="HB6" i="18"/>
  <c r="HA78" i="18"/>
  <c r="AE143" i="26" l="1"/>
  <c r="AF142" i="26"/>
  <c r="AG142" i="26"/>
  <c r="AH142" i="26"/>
  <c r="AI143" i="29"/>
  <c r="AK142" i="29"/>
  <c r="AJ142" i="29"/>
  <c r="AI143" i="26"/>
  <c r="AK142" i="26"/>
  <c r="AJ142" i="26"/>
  <c r="AE143" i="29"/>
  <c r="AG142" i="29"/>
  <c r="AF142" i="29"/>
  <c r="AH142" i="29"/>
  <c r="JA3" i="18"/>
  <c r="HC6" i="18"/>
  <c r="HB78" i="18"/>
  <c r="AI144" i="26" l="1"/>
  <c r="AJ143" i="26"/>
  <c r="AK143" i="26"/>
  <c r="AE144" i="29"/>
  <c r="AG143" i="29"/>
  <c r="AF143" i="29"/>
  <c r="AH143" i="29"/>
  <c r="AI144" i="29"/>
  <c r="AK143" i="29"/>
  <c r="AJ143" i="29"/>
  <c r="AE144" i="26"/>
  <c r="AH143" i="26"/>
  <c r="AF143" i="26"/>
  <c r="AG143" i="26"/>
  <c r="JB3" i="18"/>
  <c r="HD6" i="18"/>
  <c r="HC78" i="18"/>
  <c r="AE145" i="26" l="1"/>
  <c r="AF144" i="26"/>
  <c r="AH144" i="26"/>
  <c r="AG144" i="26"/>
  <c r="AI145" i="29"/>
  <c r="AJ144" i="29"/>
  <c r="AK144" i="29"/>
  <c r="AE145" i="29"/>
  <c r="AF144" i="29"/>
  <c r="AH144" i="29"/>
  <c r="AG144" i="29"/>
  <c r="AI145" i="26"/>
  <c r="AK144" i="26"/>
  <c r="AJ144" i="26"/>
  <c r="HE6" i="18"/>
  <c r="HD78" i="18"/>
  <c r="JC3" i="18"/>
  <c r="AI146" i="29" l="1"/>
  <c r="AK145" i="29"/>
  <c r="AJ145" i="29"/>
  <c r="AE146" i="29"/>
  <c r="AG145" i="29"/>
  <c r="AH145" i="29"/>
  <c r="AF145" i="29"/>
  <c r="AI146" i="26"/>
  <c r="AK145" i="26"/>
  <c r="AJ145" i="26"/>
  <c r="AE146" i="26"/>
  <c r="AF145" i="26"/>
  <c r="AH145" i="26"/>
  <c r="AG145" i="26"/>
  <c r="JD3" i="18"/>
  <c r="HF6" i="18"/>
  <c r="HE78" i="18"/>
  <c r="AE147" i="26" l="1"/>
  <c r="AH146" i="26"/>
  <c r="AF146" i="26"/>
  <c r="AG146" i="26"/>
  <c r="AI147" i="26"/>
  <c r="AJ146" i="26"/>
  <c r="AK146" i="26"/>
  <c r="AE147" i="29"/>
  <c r="AF146" i="29"/>
  <c r="AH146" i="29"/>
  <c r="AG146" i="29"/>
  <c r="AI147" i="29"/>
  <c r="AJ146" i="29"/>
  <c r="AK146" i="29"/>
  <c r="JE3" i="18"/>
  <c r="HG6" i="18"/>
  <c r="HF78" i="18"/>
  <c r="AE148" i="29" l="1"/>
  <c r="AH147" i="29"/>
  <c r="AF147" i="29"/>
  <c r="AG147" i="29"/>
  <c r="AI148" i="26"/>
  <c r="AJ147" i="26"/>
  <c r="AK147" i="26"/>
  <c r="AI148" i="29"/>
  <c r="AK147" i="29"/>
  <c r="AJ147" i="29"/>
  <c r="AE148" i="26"/>
  <c r="AG147" i="26"/>
  <c r="AF147" i="26"/>
  <c r="AH147" i="26"/>
  <c r="HH6" i="18"/>
  <c r="HG78" i="18"/>
  <c r="JF3" i="18"/>
  <c r="AI149" i="26" l="1"/>
  <c r="AK148" i="26"/>
  <c r="AJ148" i="26"/>
  <c r="AE149" i="26"/>
  <c r="AG148" i="26"/>
  <c r="AF148" i="26"/>
  <c r="AH148" i="26"/>
  <c r="AI149" i="29"/>
  <c r="AJ148" i="29"/>
  <c r="AK148" i="29"/>
  <c r="AE149" i="29"/>
  <c r="AG148" i="29"/>
  <c r="AF148" i="29"/>
  <c r="AH148" i="29"/>
  <c r="JG3" i="18"/>
  <c r="HI6" i="18"/>
  <c r="HH78" i="18"/>
  <c r="AE150" i="29" l="1"/>
  <c r="AF149" i="29"/>
  <c r="AH149" i="29"/>
  <c r="AG149" i="29"/>
  <c r="AE150" i="26"/>
  <c r="AF149" i="26"/>
  <c r="AH149" i="26"/>
  <c r="AG149" i="26"/>
  <c r="AI150" i="29"/>
  <c r="AJ149" i="29"/>
  <c r="AK149" i="29"/>
  <c r="AI150" i="26"/>
  <c r="AK149" i="26"/>
  <c r="AJ149" i="26"/>
  <c r="JH3" i="18"/>
  <c r="HJ6" i="18"/>
  <c r="HI78" i="18"/>
  <c r="AE151" i="26" l="1"/>
  <c r="AG150" i="26"/>
  <c r="AF150" i="26"/>
  <c r="AH150" i="26"/>
  <c r="AI151" i="26"/>
  <c r="AJ150" i="26"/>
  <c r="AK150" i="26"/>
  <c r="AI151" i="29"/>
  <c r="AK150" i="29"/>
  <c r="AJ150" i="29"/>
  <c r="AE151" i="29"/>
  <c r="AH150" i="29"/>
  <c r="AG150" i="29"/>
  <c r="AF150" i="29"/>
  <c r="JI3" i="18"/>
  <c r="HK6" i="18"/>
  <c r="HJ78" i="18"/>
  <c r="AI152" i="29" l="1"/>
  <c r="AJ151" i="29"/>
  <c r="AK151" i="29"/>
  <c r="AE152" i="29"/>
  <c r="AF151" i="29"/>
  <c r="AG151" i="29"/>
  <c r="AH151" i="29"/>
  <c r="AI152" i="26"/>
  <c r="AK151" i="26"/>
  <c r="AJ151" i="26"/>
  <c r="AE152" i="26"/>
  <c r="AF151" i="26"/>
  <c r="AG151" i="26"/>
  <c r="AH151" i="26"/>
  <c r="HL6" i="18"/>
  <c r="HK78" i="18"/>
  <c r="JJ3" i="18"/>
  <c r="AE153" i="26" l="1"/>
  <c r="AH152" i="26"/>
  <c r="AG152" i="26"/>
  <c r="AF152" i="26"/>
  <c r="AI153" i="26"/>
  <c r="AJ152" i="26"/>
  <c r="AK152" i="26"/>
  <c r="AE153" i="29"/>
  <c r="AG152" i="29"/>
  <c r="AF152" i="29"/>
  <c r="AH152" i="29"/>
  <c r="AI153" i="29"/>
  <c r="AK152" i="29"/>
  <c r="AJ152" i="29"/>
  <c r="JK3" i="18"/>
  <c r="HM6" i="18"/>
  <c r="HL78" i="18"/>
  <c r="AE154" i="29" l="1"/>
  <c r="AF153" i="29"/>
  <c r="AH153" i="29"/>
  <c r="AG153" i="29"/>
  <c r="AI154" i="29"/>
  <c r="AK153" i="29"/>
  <c r="AJ153" i="29"/>
  <c r="AI154" i="26"/>
  <c r="AK153" i="26"/>
  <c r="AJ153" i="26"/>
  <c r="AE154" i="26"/>
  <c r="AG153" i="26"/>
  <c r="AF153" i="26"/>
  <c r="AH153" i="26"/>
  <c r="JL3" i="18"/>
  <c r="HN6" i="18"/>
  <c r="HM78" i="18"/>
  <c r="AI155" i="29" l="1"/>
  <c r="AK154" i="29"/>
  <c r="AJ154" i="29"/>
  <c r="AI155" i="26"/>
  <c r="AJ154" i="26"/>
  <c r="AK154" i="26"/>
  <c r="AE155" i="26"/>
  <c r="AH154" i="26"/>
  <c r="AG154" i="26"/>
  <c r="AF154" i="26"/>
  <c r="AE155" i="29"/>
  <c r="AG154" i="29"/>
  <c r="AF154" i="29"/>
  <c r="AH154" i="29"/>
  <c r="JM3" i="18"/>
  <c r="HO6" i="18"/>
  <c r="HN78" i="18"/>
  <c r="AE156" i="29" l="1"/>
  <c r="AG155" i="29"/>
  <c r="AF155" i="29"/>
  <c r="AH155" i="29"/>
  <c r="AE156" i="26"/>
  <c r="AG155" i="26"/>
  <c r="AF155" i="26"/>
  <c r="AH155" i="26"/>
  <c r="AI156" i="26"/>
  <c r="AK155" i="26"/>
  <c r="AJ155" i="26"/>
  <c r="AI156" i="29"/>
  <c r="AJ155" i="29"/>
  <c r="AK155" i="29"/>
  <c r="HP6" i="18"/>
  <c r="HO78" i="18"/>
  <c r="JN3" i="18"/>
  <c r="AI157" i="29" l="1"/>
  <c r="AK156" i="29"/>
  <c r="AJ156" i="29"/>
  <c r="AE157" i="26"/>
  <c r="AG156" i="26"/>
  <c r="AF156" i="26"/>
  <c r="AH156" i="26"/>
  <c r="AI157" i="26"/>
  <c r="AK156" i="26"/>
  <c r="AJ156" i="26"/>
  <c r="AE157" i="29"/>
  <c r="AG156" i="29"/>
  <c r="AF156" i="29"/>
  <c r="AH156" i="29"/>
  <c r="JO3" i="18"/>
  <c r="HQ6" i="18"/>
  <c r="HP78" i="18"/>
  <c r="AE158" i="29" l="1"/>
  <c r="AF157" i="29"/>
  <c r="AH157" i="29"/>
  <c r="AG157" i="29"/>
  <c r="AI158" i="26"/>
  <c r="AK157" i="26"/>
  <c r="AJ157" i="26"/>
  <c r="AE158" i="26"/>
  <c r="AG157" i="26"/>
  <c r="AF157" i="26"/>
  <c r="AH157" i="26"/>
  <c r="AI158" i="29"/>
  <c r="AJ157" i="29"/>
  <c r="AK157" i="29"/>
  <c r="JP3" i="18"/>
  <c r="HR6" i="18"/>
  <c r="HQ78" i="18"/>
  <c r="AE159" i="26" l="1"/>
  <c r="AG158" i="26"/>
  <c r="AF158" i="26"/>
  <c r="AH158" i="26"/>
  <c r="AI159" i="29"/>
  <c r="AJ158" i="29"/>
  <c r="AK158" i="29"/>
  <c r="AI159" i="26"/>
  <c r="AJ158" i="26"/>
  <c r="AK158" i="26"/>
  <c r="AE159" i="29"/>
  <c r="AH158" i="29"/>
  <c r="AF158" i="29"/>
  <c r="AG158" i="29"/>
  <c r="JQ3" i="18"/>
  <c r="HS6" i="18"/>
  <c r="HR78" i="18"/>
  <c r="AI160" i="26" l="1"/>
  <c r="AJ159" i="26"/>
  <c r="AK159" i="26"/>
  <c r="AE160" i="29"/>
  <c r="AG159" i="29"/>
  <c r="AH159" i="29"/>
  <c r="AF159" i="29"/>
  <c r="AI160" i="29"/>
  <c r="AJ159" i="29"/>
  <c r="AK159" i="29"/>
  <c r="AE160" i="26"/>
  <c r="AF159" i="26"/>
  <c r="AH159" i="26"/>
  <c r="AG159" i="26"/>
  <c r="JR3" i="18"/>
  <c r="HT6" i="18"/>
  <c r="HS78" i="18"/>
  <c r="AE161" i="26" l="1"/>
  <c r="AH160" i="26"/>
  <c r="AF160" i="26"/>
  <c r="AG160" i="26"/>
  <c r="AI161" i="26"/>
  <c r="AK160" i="26"/>
  <c r="AJ160" i="26"/>
  <c r="JS3" i="18"/>
  <c r="HU6" i="18"/>
  <c r="HT78" i="18"/>
  <c r="AI162" i="26" l="1"/>
  <c r="AK161" i="26"/>
  <c r="AJ161" i="26"/>
  <c r="AE162" i="26"/>
  <c r="AH161" i="26"/>
  <c r="AF161" i="26"/>
  <c r="AG161" i="26"/>
  <c r="JT3" i="18"/>
  <c r="HV6" i="18"/>
  <c r="HU78" i="18"/>
  <c r="AE163" i="26" l="1"/>
  <c r="AG162" i="26"/>
  <c r="AH162" i="26"/>
  <c r="AF162" i="26"/>
  <c r="AI163" i="26"/>
  <c r="AK162" i="26"/>
  <c r="AJ162" i="26"/>
  <c r="JU3" i="18"/>
  <c r="HW6" i="18"/>
  <c r="HV78" i="18"/>
  <c r="AI164" i="26" l="1"/>
  <c r="AK163" i="26"/>
  <c r="AJ163" i="26"/>
  <c r="AE164" i="26"/>
  <c r="AG163" i="26"/>
  <c r="AH163" i="26"/>
  <c r="AF163" i="26"/>
  <c r="HX6" i="18"/>
  <c r="HW78" i="18"/>
  <c r="JV3" i="18"/>
  <c r="AE165" i="26" l="1"/>
  <c r="AH164" i="26"/>
  <c r="AF164" i="26"/>
  <c r="AG164" i="26"/>
  <c r="AI165" i="26"/>
  <c r="AK164" i="26"/>
  <c r="AJ164" i="26"/>
  <c r="JW3" i="18"/>
  <c r="HY6" i="18"/>
  <c r="HX78" i="18"/>
  <c r="AI166" i="26" l="1"/>
  <c r="AK165" i="26"/>
  <c r="AJ165" i="26"/>
  <c r="AE166" i="26"/>
  <c r="AH165" i="26"/>
  <c r="AG165" i="26"/>
  <c r="AF165" i="26"/>
  <c r="JX3" i="18"/>
  <c r="HZ6" i="18"/>
  <c r="HY78" i="18"/>
  <c r="AE167" i="26" l="1"/>
  <c r="AH166" i="26"/>
  <c r="AG166" i="26"/>
  <c r="AF166" i="26"/>
  <c r="AI167" i="26"/>
  <c r="AJ166" i="26"/>
  <c r="AK166" i="26"/>
  <c r="AK160" i="29"/>
  <c r="AJ160" i="29"/>
  <c r="C70" i="27" s="1"/>
  <c r="JY3" i="18"/>
  <c r="IA6" i="18"/>
  <c r="HZ78" i="18"/>
  <c r="AI168" i="26" l="1"/>
  <c r="AK167" i="26"/>
  <c r="AJ167" i="26"/>
  <c r="AE168" i="26"/>
  <c r="AH167" i="26"/>
  <c r="AG167" i="26"/>
  <c r="AF167" i="26"/>
  <c r="B70" i="27"/>
  <c r="AF160" i="29"/>
  <c r="AG160" i="29"/>
  <c r="C69" i="27" s="1"/>
  <c r="AH160" i="29"/>
  <c r="B69" i="27" s="1"/>
  <c r="IB6" i="18"/>
  <c r="IA78" i="18"/>
  <c r="JZ3" i="18"/>
  <c r="AE169" i="26" l="1"/>
  <c r="AG168" i="26"/>
  <c r="AF168" i="26"/>
  <c r="AH168" i="26"/>
  <c r="AI169" i="26"/>
  <c r="AK168" i="26"/>
  <c r="AJ168" i="26"/>
  <c r="KA3" i="18"/>
  <c r="IC6" i="18"/>
  <c r="IB78" i="18"/>
  <c r="AI170" i="26" l="1"/>
  <c r="AK169" i="26"/>
  <c r="AJ169" i="26"/>
  <c r="AE170" i="26"/>
  <c r="AH169" i="26"/>
  <c r="AF169" i="26"/>
  <c r="AG169" i="26"/>
  <c r="KB3" i="18"/>
  <c r="ID6" i="18"/>
  <c r="IC78" i="18"/>
  <c r="AE171" i="26" l="1"/>
  <c r="AG170" i="26"/>
  <c r="AH170" i="26"/>
  <c r="AF170" i="26"/>
  <c r="AI171" i="26"/>
  <c r="AK170" i="26"/>
  <c r="AJ170" i="26"/>
  <c r="IE6" i="18"/>
  <c r="ID78" i="18"/>
  <c r="KC3" i="18"/>
  <c r="AI172" i="26" l="1"/>
  <c r="AJ171" i="26"/>
  <c r="AK171" i="26"/>
  <c r="AE172" i="26"/>
  <c r="AH171" i="26"/>
  <c r="AF171" i="26"/>
  <c r="AG171" i="26"/>
  <c r="KD3" i="18"/>
  <c r="IF6" i="18"/>
  <c r="IE78" i="18"/>
  <c r="AE173" i="26" l="1"/>
  <c r="AF172" i="26"/>
  <c r="AH172" i="26"/>
  <c r="AG172" i="26"/>
  <c r="AI173" i="26"/>
  <c r="AJ172" i="26"/>
  <c r="AK172" i="26"/>
  <c r="IG6" i="18"/>
  <c r="IF78" i="18"/>
  <c r="KE3" i="18"/>
  <c r="AI174" i="26" l="1"/>
  <c r="AJ173" i="26"/>
  <c r="AK173" i="26"/>
  <c r="AE174" i="26"/>
  <c r="AG173" i="26"/>
  <c r="AF173" i="26"/>
  <c r="AH173" i="26"/>
  <c r="KF3" i="18"/>
  <c r="IH6" i="18"/>
  <c r="IG78" i="18"/>
  <c r="AE175" i="26" l="1"/>
  <c r="AH174" i="26"/>
  <c r="AG174" i="26"/>
  <c r="AF174" i="26"/>
  <c r="AI175" i="26"/>
  <c r="AK174" i="26"/>
  <c r="AJ174" i="26"/>
  <c r="KG3" i="18"/>
  <c r="II6" i="18"/>
  <c r="IH78" i="18"/>
  <c r="AI176" i="26" l="1"/>
  <c r="AJ175" i="26"/>
  <c r="AK175" i="26"/>
  <c r="AE176" i="26"/>
  <c r="AH175" i="26"/>
  <c r="AF175" i="26"/>
  <c r="AG175" i="26"/>
  <c r="IJ6" i="18"/>
  <c r="II78" i="18"/>
  <c r="KH3" i="18"/>
  <c r="AE177" i="26" l="1"/>
  <c r="AH176" i="26"/>
  <c r="AG176" i="26"/>
  <c r="AF176" i="26"/>
  <c r="AI177" i="26"/>
  <c r="AJ176" i="26"/>
  <c r="AK176" i="26"/>
  <c r="KI3" i="18"/>
  <c r="IK6" i="18"/>
  <c r="IJ78" i="18"/>
  <c r="AI178" i="26" l="1"/>
  <c r="AJ177" i="26"/>
  <c r="AK177" i="26"/>
  <c r="AE178" i="26"/>
  <c r="AG177" i="26"/>
  <c r="AH177" i="26"/>
  <c r="AF177" i="26"/>
  <c r="IL6" i="18"/>
  <c r="IK78" i="18"/>
  <c r="KJ3" i="18"/>
  <c r="AE179" i="26" l="1"/>
  <c r="AG178" i="26"/>
  <c r="AF178" i="26"/>
  <c r="AH178" i="26"/>
  <c r="AI179" i="26"/>
  <c r="AK178" i="26"/>
  <c r="AJ178" i="26"/>
  <c r="KK3" i="18"/>
  <c r="IM6" i="18"/>
  <c r="IL78" i="18"/>
  <c r="AI180" i="26" l="1"/>
  <c r="AJ179" i="26"/>
  <c r="AK179" i="26"/>
  <c r="AE180" i="26"/>
  <c r="AH179" i="26"/>
  <c r="AF179" i="26"/>
  <c r="AG179" i="26"/>
  <c r="KL3" i="18"/>
  <c r="IN6" i="18"/>
  <c r="IM78" i="18"/>
  <c r="AE181" i="26" l="1"/>
  <c r="AH180" i="26"/>
  <c r="AF180" i="26"/>
  <c r="AG180" i="26"/>
  <c r="AI181" i="26"/>
  <c r="AK180" i="26"/>
  <c r="AJ180" i="26"/>
  <c r="KM3" i="18"/>
  <c r="IO6" i="18"/>
  <c r="IN78" i="18"/>
  <c r="AI182" i="26" l="1"/>
  <c r="AJ181" i="26"/>
  <c r="AK181" i="26"/>
  <c r="AE182" i="26"/>
  <c r="AG181" i="26"/>
  <c r="AF181" i="26"/>
  <c r="AH181" i="26"/>
  <c r="KN3" i="18"/>
  <c r="IP6" i="18"/>
  <c r="IO78" i="18"/>
  <c r="AE183" i="26" l="1"/>
  <c r="AG182" i="26"/>
  <c r="AF182" i="26"/>
  <c r="AH182" i="26"/>
  <c r="AI183" i="26"/>
  <c r="AK182" i="26"/>
  <c r="AJ182" i="26"/>
  <c r="KO3" i="18"/>
  <c r="IQ6" i="18"/>
  <c r="IP78" i="18"/>
  <c r="AJ183" i="26" l="1"/>
  <c r="AK183" i="26"/>
  <c r="AI184" i="26"/>
  <c r="AH183" i="26"/>
  <c r="AE184" i="26"/>
  <c r="AG183" i="26"/>
  <c r="AF183" i="26"/>
  <c r="KP3" i="18"/>
  <c r="IR6" i="18"/>
  <c r="IQ78" i="18"/>
  <c r="AH184" i="26" l="1"/>
  <c r="AF184" i="26"/>
  <c r="AG184" i="26"/>
  <c r="AK184" i="26"/>
  <c r="AJ184" i="26"/>
  <c r="KQ3" i="18"/>
  <c r="IS6" i="18"/>
  <c r="IR78" i="18"/>
  <c r="IT6" i="18" l="1"/>
  <c r="IS78" i="18"/>
  <c r="KR3" i="18"/>
  <c r="KS3" i="18" l="1"/>
  <c r="IU6" i="18"/>
  <c r="IT78" i="18"/>
  <c r="KT3" i="18" l="1"/>
  <c r="IV6" i="18"/>
  <c r="IU78" i="18"/>
  <c r="KU3" i="18" l="1"/>
  <c r="IW6" i="18"/>
  <c r="IV78" i="18"/>
  <c r="KV3" i="18" l="1"/>
  <c r="IX6" i="18"/>
  <c r="IW78" i="18"/>
  <c r="IY6" i="18" l="1"/>
  <c r="IX78" i="18"/>
  <c r="KW3" i="18"/>
  <c r="KX3" i="18" l="1"/>
  <c r="IZ6" i="18"/>
  <c r="IY78" i="18"/>
  <c r="KY3" i="18" l="1"/>
  <c r="JA6" i="18"/>
  <c r="IZ78" i="18"/>
  <c r="KZ3" i="18" l="1"/>
  <c r="JB6" i="18"/>
  <c r="JA78" i="18"/>
  <c r="LA3" i="18" l="1"/>
  <c r="JC6" i="18"/>
  <c r="JB78" i="18"/>
  <c r="JD6" i="18" l="1"/>
  <c r="JC78" i="18"/>
  <c r="LB3" i="18"/>
  <c r="LC3" i="18" l="1"/>
  <c r="JE6" i="18"/>
  <c r="JD78" i="18"/>
  <c r="LD3" i="18" l="1"/>
  <c r="JF6" i="18"/>
  <c r="JE78" i="18"/>
  <c r="JG6" i="18" l="1"/>
  <c r="JF78" i="18"/>
  <c r="LE3" i="18"/>
  <c r="LF3" i="18" l="1"/>
  <c r="JH6" i="18"/>
  <c r="JG78" i="18"/>
  <c r="LG3" i="18" l="1"/>
  <c r="JI6" i="18"/>
  <c r="JH78" i="18"/>
  <c r="LH3" i="18" l="1"/>
  <c r="JJ6" i="18"/>
  <c r="JI78" i="18"/>
  <c r="LI3" i="18" l="1"/>
  <c r="JK6" i="18"/>
  <c r="JJ78" i="18"/>
  <c r="LJ3" i="18" l="1"/>
  <c r="JL6" i="18"/>
  <c r="JK78" i="18"/>
  <c r="JM6" i="18" l="1"/>
  <c r="JL78" i="18"/>
  <c r="LK3" i="18"/>
  <c r="LL3" i="18" l="1"/>
  <c r="JN6" i="18"/>
  <c r="JM78" i="18"/>
  <c r="JO6" i="18" l="1"/>
  <c r="JN78" i="18"/>
  <c r="LM3" i="18"/>
  <c r="LN3" i="18" l="1"/>
  <c r="JP6" i="18"/>
  <c r="JO78" i="18"/>
  <c r="JQ6" i="18" l="1"/>
  <c r="JP78" i="18"/>
  <c r="LO3" i="18"/>
  <c r="LP3" i="18" l="1"/>
  <c r="JR6" i="18"/>
  <c r="JQ78" i="18"/>
  <c r="LQ3" i="18" l="1"/>
  <c r="JS6" i="18"/>
  <c r="JR78" i="18"/>
  <c r="LR3" i="18" l="1"/>
  <c r="JT6" i="18"/>
  <c r="JS78" i="18"/>
  <c r="LS3" i="18" l="1"/>
  <c r="JU6" i="18"/>
  <c r="JT78" i="18"/>
  <c r="LT3" i="18" l="1"/>
  <c r="JV6" i="18"/>
  <c r="JU78" i="18"/>
  <c r="LU3" i="18" l="1"/>
  <c r="JW6" i="18"/>
  <c r="JV78" i="18"/>
  <c r="LV3" i="18" l="1"/>
  <c r="JX6" i="18"/>
  <c r="JW78" i="18"/>
  <c r="LW3" i="18" l="1"/>
  <c r="JY6" i="18"/>
  <c r="JX78" i="18"/>
  <c r="JZ6" i="18" l="1"/>
  <c r="JY78" i="18"/>
  <c r="LX3" i="18"/>
  <c r="LY3" i="18" l="1"/>
  <c r="KA6" i="18"/>
  <c r="JZ78" i="18"/>
  <c r="LZ3" i="18" l="1"/>
  <c r="KB6" i="18"/>
  <c r="KA78" i="18"/>
  <c r="MA3" i="18" l="1"/>
  <c r="KC6" i="18"/>
  <c r="KB78" i="18"/>
  <c r="KD6" i="18" l="1"/>
  <c r="KC78" i="18"/>
  <c r="MB3" i="18"/>
  <c r="MC3" i="18" l="1"/>
  <c r="KE6" i="18"/>
  <c r="KD78" i="18"/>
  <c r="KF6" i="18" l="1"/>
  <c r="KE78" i="18"/>
  <c r="MD3" i="18"/>
  <c r="ME3" i="18" l="1"/>
  <c r="KG6" i="18"/>
  <c r="KF78" i="18"/>
  <c r="KH6" i="18" l="1"/>
  <c r="KG78" i="18"/>
  <c r="MF3" i="18"/>
  <c r="MG3" i="18" l="1"/>
  <c r="KI6" i="18"/>
  <c r="KH78" i="18"/>
  <c r="MH3" i="18" l="1"/>
  <c r="KJ6" i="18"/>
  <c r="KI78" i="18"/>
  <c r="MI3" i="18" l="1"/>
  <c r="KK6" i="18"/>
  <c r="KJ78" i="18"/>
  <c r="MJ3" i="18" l="1"/>
  <c r="KL6" i="18"/>
  <c r="KK78" i="18"/>
  <c r="MK3" i="18" l="1"/>
  <c r="KM6" i="18"/>
  <c r="KL78" i="18"/>
  <c r="ML3" i="18" l="1"/>
  <c r="KN6" i="18"/>
  <c r="KM78" i="18"/>
  <c r="MM3" i="18" l="1"/>
  <c r="KO6" i="18"/>
  <c r="KN78" i="18"/>
  <c r="MN3" i="18" l="1"/>
  <c r="KP6" i="18"/>
  <c r="KO78" i="18"/>
  <c r="MO3" i="18" l="1"/>
  <c r="KQ6" i="18"/>
  <c r="KP78" i="18"/>
  <c r="MP3" i="18" l="1"/>
  <c r="KR6" i="18"/>
  <c r="KQ78" i="18"/>
  <c r="MQ3" i="18" l="1"/>
  <c r="KS6" i="18"/>
  <c r="KR78" i="18"/>
  <c r="MR3" i="18" l="1"/>
  <c r="KT6" i="18"/>
  <c r="KS78" i="18"/>
  <c r="MS3" i="18" l="1"/>
  <c r="KU6" i="18"/>
  <c r="KT78" i="18"/>
  <c r="MT3" i="18" l="1"/>
  <c r="KV6" i="18"/>
  <c r="KU78" i="18"/>
  <c r="KW6" i="18" l="1"/>
  <c r="KV78" i="18"/>
  <c r="MU3" i="18"/>
  <c r="MV3" i="18" l="1"/>
  <c r="KX6" i="18"/>
  <c r="KW78" i="18"/>
  <c r="KY6" i="18" l="1"/>
  <c r="KX78" i="18"/>
  <c r="MW3" i="18"/>
  <c r="MX3" i="18" l="1"/>
  <c r="KZ6" i="18"/>
  <c r="KY78" i="18"/>
  <c r="MY3" i="18" l="1"/>
  <c r="LA6" i="18"/>
  <c r="KZ78" i="18"/>
  <c r="MZ3" i="18" l="1"/>
  <c r="LB6" i="18"/>
  <c r="LA78" i="18"/>
  <c r="NA3" i="18" l="1"/>
  <c r="LC6" i="18"/>
  <c r="LB78" i="18"/>
  <c r="NB3" i="18" l="1"/>
  <c r="LD6" i="18"/>
  <c r="LC78" i="18"/>
  <c r="LE6" i="18" l="1"/>
  <c r="LD78" i="18"/>
  <c r="NC3" i="18"/>
  <c r="ND3" i="18" l="1"/>
  <c r="LF6" i="18"/>
  <c r="LE78" i="18"/>
  <c r="NE3" i="18" l="1"/>
  <c r="LG6" i="18"/>
  <c r="LF78" i="18"/>
  <c r="NF3" i="18" l="1"/>
  <c r="LH6" i="18"/>
  <c r="LG78" i="18"/>
  <c r="NG3" i="18" l="1"/>
  <c r="LI6" i="18"/>
  <c r="LH78" i="18"/>
  <c r="NH3" i="18" l="1"/>
  <c r="LJ6" i="18"/>
  <c r="LI78" i="18"/>
  <c r="NI3" i="18" l="1"/>
  <c r="LK6" i="18"/>
  <c r="LJ78" i="18"/>
  <c r="NJ3" i="18" l="1"/>
  <c r="LL6" i="18"/>
  <c r="LK78" i="18"/>
  <c r="NK3" i="18" l="1"/>
  <c r="LM6" i="18"/>
  <c r="LL78" i="18"/>
  <c r="NL3" i="18" l="1"/>
  <c r="LN6" i="18"/>
  <c r="LM78" i="18"/>
  <c r="NM3" i="18" l="1"/>
  <c r="LO6" i="18"/>
  <c r="LN78" i="18"/>
  <c r="NN3" i="18" l="1"/>
  <c r="LP6" i="18"/>
  <c r="LO78" i="18"/>
  <c r="LQ6" i="18" l="1"/>
  <c r="LP78" i="18"/>
  <c r="NO3" i="18"/>
  <c r="NP3" i="18" l="1"/>
  <c r="LR6" i="18"/>
  <c r="LQ78" i="18"/>
  <c r="NQ3" i="18" l="1"/>
  <c r="LS6" i="18"/>
  <c r="LR78" i="18"/>
  <c r="NR3" i="18" l="1"/>
  <c r="LT6" i="18"/>
  <c r="LS78" i="18"/>
  <c r="NS3" i="18" l="1"/>
  <c r="LU6" i="18"/>
  <c r="LT78" i="18"/>
  <c r="NT3" i="18" l="1"/>
  <c r="LV6" i="18"/>
  <c r="LU78" i="18"/>
  <c r="NU3" i="18" l="1"/>
  <c r="LW6" i="18"/>
  <c r="LV78" i="18"/>
  <c r="LX6" i="18" l="1"/>
  <c r="LW78" i="18"/>
  <c r="LY6" i="18" l="1"/>
  <c r="LX78" i="18"/>
  <c r="LZ6" i="18" l="1"/>
  <c r="LY78" i="18"/>
  <c r="MA6" i="18" l="1"/>
  <c r="LZ78" i="18"/>
  <c r="MB6" i="18" l="1"/>
  <c r="MA78" i="18"/>
  <c r="MC6" i="18" l="1"/>
  <c r="MB78" i="18"/>
  <c r="MD6" i="18" l="1"/>
  <c r="MC78" i="18"/>
  <c r="ME6" i="18" l="1"/>
  <c r="MD78" i="18"/>
  <c r="MF6" i="18" l="1"/>
  <c r="ME78" i="18"/>
  <c r="MG6" i="18" l="1"/>
  <c r="MF78" i="18"/>
  <c r="MH6" i="18" l="1"/>
  <c r="MG78" i="18"/>
  <c r="MI6" i="18" l="1"/>
  <c r="MH78" i="18"/>
  <c r="MJ6" i="18" l="1"/>
  <c r="MI78" i="18"/>
  <c r="MK6" i="18" l="1"/>
  <c r="MJ78" i="18"/>
  <c r="ML6" i="18" l="1"/>
  <c r="MK78" i="18"/>
  <c r="MM6" i="18" l="1"/>
  <c r="ML78" i="18"/>
  <c r="MN6" i="18" l="1"/>
  <c r="MM78" i="18"/>
  <c r="MO6" i="18" l="1"/>
  <c r="MN78" i="18"/>
  <c r="MP6" i="18" l="1"/>
  <c r="MO78" i="18"/>
  <c r="MQ6" i="18" l="1"/>
  <c r="MP78" i="18"/>
  <c r="MR6" i="18" l="1"/>
  <c r="MQ78" i="18"/>
  <c r="MS6" i="18" l="1"/>
  <c r="MR78" i="18"/>
  <c r="MT6" i="18" l="1"/>
  <c r="MS78" i="18"/>
  <c r="MU6" i="18" l="1"/>
  <c r="MT78" i="18"/>
  <c r="MV6" i="18" l="1"/>
  <c r="MU78" i="18"/>
  <c r="MW6" i="18" l="1"/>
  <c r="MV78" i="18"/>
  <c r="MX6" i="18" l="1"/>
  <c r="MW78" i="18"/>
  <c r="MY6" i="18" l="1"/>
  <c r="MX78" i="18"/>
  <c r="MZ6" i="18" l="1"/>
  <c r="MY78" i="18"/>
  <c r="NA6" i="18" l="1"/>
  <c r="MZ78" i="18"/>
  <c r="NB6" i="18" l="1"/>
  <c r="NA78" i="18"/>
  <c r="NC6" i="18" l="1"/>
  <c r="NB78" i="18"/>
  <c r="ND6" i="18" l="1"/>
  <c r="NC78" i="18"/>
  <c r="NE6" i="18" l="1"/>
  <c r="ND78" i="18"/>
  <c r="NF6" i="18" l="1"/>
  <c r="NE78" i="18"/>
  <c r="NG6" i="18" l="1"/>
  <c r="NF78" i="18"/>
  <c r="NH6" i="18" l="1"/>
  <c r="NG78" i="18"/>
  <c r="NI6" i="18" l="1"/>
  <c r="NH78" i="18"/>
  <c r="NJ6" i="18" l="1"/>
  <c r="NI78" i="18"/>
  <c r="NK6" i="18" l="1"/>
  <c r="NJ78" i="18"/>
  <c r="NL6" i="18" l="1"/>
  <c r="NK78" i="18"/>
  <c r="NM6" i="18" l="1"/>
  <c r="NL78" i="18"/>
  <c r="NN6" i="18" l="1"/>
  <c r="NM78" i="18"/>
  <c r="NO6" i="18" l="1"/>
  <c r="NN78" i="18"/>
  <c r="NP6" i="18" l="1"/>
  <c r="NO78" i="18"/>
  <c r="NQ6" i="18" l="1"/>
  <c r="NP78" i="18"/>
  <c r="NR6" i="18" l="1"/>
  <c r="NQ78" i="18"/>
  <c r="NS6" i="18" l="1"/>
  <c r="NR78" i="18"/>
  <c r="NT6" i="18" l="1"/>
  <c r="NS78" i="18"/>
  <c r="NU6" i="18" l="1"/>
  <c r="NU78" i="18" s="1"/>
  <c r="NT78" i="18"/>
  <c r="B14" i="15" l="1"/>
  <c r="V146" i="1"/>
  <c r="B12" i="15"/>
  <c r="B15" i="15"/>
  <c r="B16" i="15"/>
  <c r="D16" i="15" l="1"/>
  <c r="D12" i="15"/>
  <c r="B13" i="15"/>
  <c r="D13" i="15" s="1"/>
  <c r="B10" i="15"/>
  <c r="B17" i="15"/>
  <c r="D14" i="15"/>
  <c r="D15" i="15"/>
  <c r="B11" i="15"/>
  <c r="D10" i="15" l="1"/>
  <c r="D11" i="15"/>
  <c r="C18" i="15"/>
  <c r="D17" i="15"/>
  <c r="D9" i="15"/>
  <c r="B18" i="15"/>
  <c r="D18" i="15" l="1"/>
  <c r="BM170" i="1" l="1"/>
  <c r="BM171" i="1" s="1"/>
  <c r="BM172" i="1" s="1"/>
  <c r="BM173" i="1" s="1"/>
  <c r="BM174" i="1" s="1"/>
  <c r="BM175" i="1" s="1"/>
  <c r="BM176" i="1" s="1"/>
  <c r="BM177" i="1" s="1"/>
  <c r="BM178" i="1" s="1"/>
  <c r="BM179" i="1" s="1"/>
  <c r="BM180" i="1" s="1"/>
  <c r="BM181" i="1" s="1"/>
  <c r="BM182" i="1" s="1"/>
  <c r="BM183" i="1" s="1"/>
  <c r="BM184" i="1" s="1"/>
  <c r="BM185" i="1" s="1"/>
  <c r="BM186" i="1" s="1"/>
  <c r="BM187" i="1" s="1"/>
  <c r="BM188" i="1" s="1"/>
  <c r="BM189" i="1" s="1"/>
  <c r="BM190" i="1" s="1"/>
  <c r="BM191" i="1" s="1"/>
  <c r="BM192" i="1" s="1"/>
  <c r="BM193" i="1" s="1"/>
  <c r="BM194" i="1" s="1"/>
  <c r="BM195" i="1" s="1"/>
  <c r="BM196" i="1" s="1"/>
  <c r="BM197" i="1" s="1"/>
  <c r="BM198" i="1" s="1"/>
  <c r="BM199" i="1" s="1"/>
  <c r="BM200" i="1" s="1"/>
  <c r="BM201" i="1" s="1"/>
  <c r="BM202" i="1" s="1"/>
  <c r="BM203" i="1" s="1"/>
  <c r="BM204" i="1" s="1"/>
</calcChain>
</file>

<file path=xl/sharedStrings.xml><?xml version="1.0" encoding="utf-8"?>
<sst xmlns="http://schemas.openxmlformats.org/spreadsheetml/2006/main" count="22002" uniqueCount="2572">
  <si>
    <t xml:space="preserve">        WELL</t>
  </si>
  <si>
    <t>Team</t>
  </si>
  <si>
    <t>Trajectory</t>
  </si>
  <si>
    <t>Field</t>
  </si>
  <si>
    <t>RIG</t>
  </si>
  <si>
    <t>DD Co.</t>
  </si>
  <si>
    <t>Form</t>
  </si>
  <si>
    <t>Well Type</t>
  </si>
  <si>
    <t>Prod/Inj</t>
  </si>
  <si>
    <t>Horizontal</t>
  </si>
  <si>
    <t>Yes</t>
  </si>
  <si>
    <t>SA</t>
  </si>
  <si>
    <t>BWD-130</t>
  </si>
  <si>
    <t>TU</t>
  </si>
  <si>
    <t>NW</t>
  </si>
  <si>
    <t>KDC-23</t>
  </si>
  <si>
    <t>BHI</t>
  </si>
  <si>
    <t>MA</t>
  </si>
  <si>
    <t>ST</t>
  </si>
  <si>
    <t>KDC-44</t>
  </si>
  <si>
    <t>HAL</t>
  </si>
  <si>
    <t>BWD-141</t>
  </si>
  <si>
    <t>LB</t>
  </si>
  <si>
    <t>SP-158</t>
  </si>
  <si>
    <t>SLB</t>
  </si>
  <si>
    <t>KDC-30</t>
  </si>
  <si>
    <t>BWD-142</t>
  </si>
  <si>
    <t>SP-187</t>
  </si>
  <si>
    <t>BWD-133</t>
  </si>
  <si>
    <t>UB</t>
  </si>
  <si>
    <t>SA-0368</t>
  </si>
  <si>
    <t>SP-159</t>
  </si>
  <si>
    <t>BWD-137</t>
  </si>
  <si>
    <t>No</t>
  </si>
  <si>
    <t>Inj</t>
  </si>
  <si>
    <t>KDC-26</t>
  </si>
  <si>
    <t>KDC-29</t>
  </si>
  <si>
    <t>SP-186</t>
  </si>
  <si>
    <t>BWD-129</t>
  </si>
  <si>
    <t>WFD</t>
  </si>
  <si>
    <t>HAL/BHI</t>
  </si>
  <si>
    <t>SLB/BHI</t>
  </si>
  <si>
    <t>RA</t>
  </si>
  <si>
    <t>SA-0522</t>
  </si>
  <si>
    <t>ZU</t>
  </si>
  <si>
    <t>HAL/SLB</t>
  </si>
  <si>
    <t>KDC-28</t>
  </si>
  <si>
    <t>RA-0538</t>
  </si>
  <si>
    <t>KDC-29/BWD129</t>
  </si>
  <si>
    <t>SA-0523</t>
  </si>
  <si>
    <t>SP-137</t>
  </si>
  <si>
    <t>RA-0546</t>
  </si>
  <si>
    <t>SA-0532</t>
  </si>
  <si>
    <t>SA-0545</t>
  </si>
  <si>
    <t>RA-0545</t>
  </si>
  <si>
    <t>RA-0112</t>
  </si>
  <si>
    <t>SA-0550</t>
  </si>
  <si>
    <t>SA-0548</t>
  </si>
  <si>
    <t>Mud Co</t>
  </si>
  <si>
    <t>MI</t>
  </si>
  <si>
    <t>Baroid</t>
  </si>
  <si>
    <t xml:space="preserve">Baker </t>
  </si>
  <si>
    <t>MG-0248</t>
  </si>
  <si>
    <t>MG-0252</t>
  </si>
  <si>
    <t>MG-0276</t>
  </si>
  <si>
    <t>MG-0277</t>
  </si>
  <si>
    <t>MG-0288</t>
  </si>
  <si>
    <t>AH-0173</t>
  </si>
  <si>
    <t>AH-0174</t>
  </si>
  <si>
    <t>AH-0175</t>
  </si>
  <si>
    <t>AH-0184</t>
  </si>
  <si>
    <t>AH-0185</t>
  </si>
  <si>
    <t>P</t>
  </si>
  <si>
    <t>KDC-43</t>
  </si>
  <si>
    <t>EMEC</t>
  </si>
  <si>
    <t>BGSM</t>
  </si>
  <si>
    <t>MG</t>
  </si>
  <si>
    <t>AH</t>
  </si>
  <si>
    <t>Baker</t>
  </si>
  <si>
    <t>SP-185</t>
  </si>
  <si>
    <t>5-1/2" ICD</t>
  </si>
  <si>
    <t>Comp</t>
  </si>
  <si>
    <t>5-1/2"/4-1/2"</t>
  </si>
  <si>
    <t>4-1/2" ICD</t>
  </si>
  <si>
    <t>Hybrid</t>
  </si>
  <si>
    <t>In Progress</t>
  </si>
  <si>
    <t>RA-0158HST1</t>
  </si>
  <si>
    <t>Suspended</t>
  </si>
  <si>
    <t>OH</t>
  </si>
  <si>
    <t>Attemps Reqd to set ICD Liner</t>
  </si>
  <si>
    <t>ICD Set at Planned Depth</t>
  </si>
  <si>
    <t>N/A</t>
  </si>
  <si>
    <t>SA-0487HST1</t>
  </si>
  <si>
    <t>N/G</t>
  </si>
  <si>
    <t>SA-0395HST1</t>
  </si>
  <si>
    <t>RA-0492H</t>
  </si>
  <si>
    <t>SA-0370HST1</t>
  </si>
  <si>
    <t>RA-0499HST</t>
  </si>
  <si>
    <t>RA-0500HST</t>
  </si>
  <si>
    <t>RA-0473HST</t>
  </si>
  <si>
    <t>SA-0509H</t>
  </si>
  <si>
    <t>SA-0521HST1</t>
  </si>
  <si>
    <t>RA-0239HST1</t>
  </si>
  <si>
    <t>SA-0337HST1</t>
  </si>
  <si>
    <t>RA-0489HST2</t>
  </si>
  <si>
    <t>SA-0304HST1</t>
  </si>
  <si>
    <t>RA-0191HST</t>
  </si>
  <si>
    <t>SA-0510HST1</t>
  </si>
  <si>
    <t>RA-0491H</t>
  </si>
  <si>
    <t>RA-0495H</t>
  </si>
  <si>
    <t>RA-0164HST1</t>
  </si>
  <si>
    <t>RA-0513H</t>
  </si>
  <si>
    <t>SA-0513H</t>
  </si>
  <si>
    <t>SA-0512H</t>
  </si>
  <si>
    <t>RA-0527H</t>
  </si>
  <si>
    <t>RA-0517H</t>
  </si>
  <si>
    <t>RA-0512H</t>
  </si>
  <si>
    <t>SA-0340HST1</t>
  </si>
  <si>
    <t>RA-0515H</t>
  </si>
  <si>
    <t>SA-0508H</t>
  </si>
  <si>
    <t>SA-0526HST2</t>
  </si>
  <si>
    <t>RA-0525H</t>
  </si>
  <si>
    <t>RA-0518H</t>
  </si>
  <si>
    <t>SA-0527H</t>
  </si>
  <si>
    <t>SA-0400HST1</t>
  </si>
  <si>
    <t>SA-0531H</t>
  </si>
  <si>
    <t>SA-0106HST1</t>
  </si>
  <si>
    <t>SA-0514HST1</t>
  </si>
  <si>
    <t>SA-0517HST1</t>
  </si>
  <si>
    <t>SA-0312HST1</t>
  </si>
  <si>
    <t>SA-0318HST3</t>
  </si>
  <si>
    <t>RA-0134HST</t>
  </si>
  <si>
    <t>RA-0177HST</t>
  </si>
  <si>
    <t>RA-0531H</t>
  </si>
  <si>
    <t>SA-0320HST1</t>
  </si>
  <si>
    <t>RA-0343HST</t>
  </si>
  <si>
    <t>RA-0530h</t>
  </si>
  <si>
    <t>RA-0080HST</t>
  </si>
  <si>
    <t>SA-0538HST1</t>
  </si>
  <si>
    <t>SA-0524H</t>
  </si>
  <si>
    <t>RA-0523H</t>
  </si>
  <si>
    <t>RA-0480H</t>
  </si>
  <si>
    <t>RA-0535H</t>
  </si>
  <si>
    <t>RA-0540H</t>
  </si>
  <si>
    <t>SA-0546H</t>
  </si>
  <si>
    <t>SA-0543H</t>
  </si>
  <si>
    <t>RA-0504H</t>
  </si>
  <si>
    <t>SA-0525H</t>
  </si>
  <si>
    <t>SA-0544PIL</t>
  </si>
  <si>
    <t>RA-0544D</t>
  </si>
  <si>
    <t>SA-0549D</t>
  </si>
  <si>
    <t>SA-0552PIL</t>
  </si>
  <si>
    <t>SA-0551PIL</t>
  </si>
  <si>
    <t>RA-0534D</t>
  </si>
  <si>
    <t>SA-0541D</t>
  </si>
  <si>
    <t>SA-0542D</t>
  </si>
  <si>
    <t>SA-0547D</t>
  </si>
  <si>
    <t>RA-0536PIL</t>
  </si>
  <si>
    <t>RA-0539PIL</t>
  </si>
  <si>
    <t>RA-0537D</t>
  </si>
  <si>
    <t>RA-0532H</t>
  </si>
  <si>
    <t>SA-0536D</t>
  </si>
  <si>
    <t>RA-0533PIL</t>
  </si>
  <si>
    <t>SA-0537D</t>
  </si>
  <si>
    <t>RA-0296PIL</t>
  </si>
  <si>
    <t>RA-0514PIL</t>
  </si>
  <si>
    <t>RA-0519ST1</t>
  </si>
  <si>
    <t>RA-0516hst1</t>
  </si>
  <si>
    <t>SA-0530HST1</t>
  </si>
  <si>
    <t>SA-0511H</t>
  </si>
  <si>
    <t>SA-0528H</t>
  </si>
  <si>
    <t>RA-0497HST4</t>
  </si>
  <si>
    <t>RA-0501HST</t>
  </si>
  <si>
    <t>RA-0493HST</t>
  </si>
  <si>
    <t>SA-0529H</t>
  </si>
  <si>
    <t>SA-0487</t>
  </si>
  <si>
    <t>SA-0395</t>
  </si>
  <si>
    <t>RA-0492</t>
  </si>
  <si>
    <t>SA-0370</t>
  </si>
  <si>
    <t>SA-0303</t>
  </si>
  <si>
    <t>RA-0499</t>
  </si>
  <si>
    <t>RA-0500</t>
  </si>
  <si>
    <t>RA-0501</t>
  </si>
  <si>
    <t>RA-0473</t>
  </si>
  <si>
    <t>RA-0493</t>
  </si>
  <si>
    <t>RA-0497</t>
  </si>
  <si>
    <t>SA-0509</t>
  </si>
  <si>
    <t>RA-0159</t>
  </si>
  <si>
    <t>SA-0363</t>
  </si>
  <si>
    <t>SA-0521</t>
  </si>
  <si>
    <t>RA-0239</t>
  </si>
  <si>
    <t>SA-0337</t>
  </si>
  <si>
    <t>RA-0489</t>
  </si>
  <si>
    <t>SA-0304</t>
  </si>
  <si>
    <t>RA-0191</t>
  </si>
  <si>
    <t>SA-0122</t>
  </si>
  <si>
    <t>SA-0510</t>
  </si>
  <si>
    <t>RA-0491</t>
  </si>
  <si>
    <t>SA-0307</t>
  </si>
  <si>
    <t>RA-0495</t>
  </si>
  <si>
    <t>RA-0164</t>
  </si>
  <si>
    <t>RA-0513</t>
  </si>
  <si>
    <t>SA-0513</t>
  </si>
  <si>
    <t>SA-0512</t>
  </si>
  <si>
    <t>RA-0527</t>
  </si>
  <si>
    <t>SA-0528</t>
  </si>
  <si>
    <t>RA-0170</t>
  </si>
  <si>
    <t>RA-0517</t>
  </si>
  <si>
    <t>SA-0511</t>
  </si>
  <si>
    <t>RA-0512</t>
  </si>
  <si>
    <t>SA-0340</t>
  </si>
  <si>
    <t>RA-0515</t>
  </si>
  <si>
    <t>SA-0508</t>
  </si>
  <si>
    <t>SA-0529</t>
  </si>
  <si>
    <t>SA-0530</t>
  </si>
  <si>
    <t>RA-0516</t>
  </si>
  <si>
    <t>RA-0497HST</t>
  </si>
  <si>
    <t>SA-0526</t>
  </si>
  <si>
    <t>RA-0525</t>
  </si>
  <si>
    <t>RA-0518</t>
  </si>
  <si>
    <t>SA-0527</t>
  </si>
  <si>
    <t>RA-0519</t>
  </si>
  <si>
    <t>SA-0400</t>
  </si>
  <si>
    <t>SA-0531</t>
  </si>
  <si>
    <t>SA-0106</t>
  </si>
  <si>
    <t>SA-0302</t>
  </si>
  <si>
    <t>SA-0514</t>
  </si>
  <si>
    <t>SA-0517</t>
  </si>
  <si>
    <t>SA-0312</t>
  </si>
  <si>
    <t>RA-0428</t>
  </si>
  <si>
    <t>RA-0397</t>
  </si>
  <si>
    <t>RA-0514</t>
  </si>
  <si>
    <t>SA-0318</t>
  </si>
  <si>
    <t>RA-0134</t>
  </si>
  <si>
    <t>RA-0177</t>
  </si>
  <si>
    <t>RA-0531</t>
  </si>
  <si>
    <t>SA-0320</t>
  </si>
  <si>
    <t>RA-0296</t>
  </si>
  <si>
    <t>RA-0520</t>
  </si>
  <si>
    <t>RA-0343</t>
  </si>
  <si>
    <t>RA-0530</t>
  </si>
  <si>
    <t>RA-0080</t>
  </si>
  <si>
    <t>SA-0538</t>
  </si>
  <si>
    <t>SA-0537</t>
  </si>
  <si>
    <t>RA-0533</t>
  </si>
  <si>
    <t>SA-0536</t>
  </si>
  <si>
    <t>RA-0532</t>
  </si>
  <si>
    <t>SA-0524</t>
  </si>
  <si>
    <t>RA-0523</t>
  </si>
  <si>
    <t>RA-0480</t>
  </si>
  <si>
    <t>RA-0535</t>
  </si>
  <si>
    <t>RA-0537</t>
  </si>
  <si>
    <t>RA-0539</t>
  </si>
  <si>
    <t>RA-0536</t>
  </si>
  <si>
    <t>RA-0540</t>
  </si>
  <si>
    <t>SA-0547</t>
  </si>
  <si>
    <t>SA-0546</t>
  </si>
  <si>
    <t>SA-0542</t>
  </si>
  <si>
    <t>SA-0541</t>
  </si>
  <si>
    <t>RA-0534</t>
  </si>
  <si>
    <t>SA-0543</t>
  </si>
  <si>
    <t>SA-0551</t>
  </si>
  <si>
    <t>SA-0552</t>
  </si>
  <si>
    <t>SA-0549</t>
  </si>
  <si>
    <t>RA-0544</t>
  </si>
  <si>
    <t>RA-0504</t>
  </si>
  <si>
    <t>SA-0544</t>
  </si>
  <si>
    <t>SA-0525</t>
  </si>
  <si>
    <t xml:space="preserve">        WELLName</t>
  </si>
  <si>
    <t>BHA in Lateral</t>
  </si>
  <si>
    <t>RSS GeoPilot</t>
  </si>
  <si>
    <t>RSS Xceed</t>
  </si>
  <si>
    <t>RSS AutoTrak</t>
  </si>
  <si>
    <t>Pilot Hole</t>
  </si>
  <si>
    <t>Pilot Hole Size</t>
  </si>
  <si>
    <t>Pilot Hole below what casing?</t>
  </si>
  <si>
    <t>13-3/8"</t>
  </si>
  <si>
    <t>RSS Power Drive</t>
  </si>
  <si>
    <t>BHA in 12-1/4"</t>
  </si>
  <si>
    <t>BHA in Pilot Hole</t>
  </si>
  <si>
    <t>BHA in 16"</t>
  </si>
  <si>
    <t>Motor</t>
  </si>
  <si>
    <t>Stab/Motor</t>
  </si>
  <si>
    <t>RSS Xceed/Motor</t>
  </si>
  <si>
    <t># of ST</t>
  </si>
  <si>
    <t>RA-0210</t>
  </si>
  <si>
    <t>RA-0123</t>
  </si>
  <si>
    <t>RA-0169</t>
  </si>
  <si>
    <t>SA-0554</t>
  </si>
  <si>
    <t>RA-0238</t>
  </si>
  <si>
    <t>RA-0547</t>
  </si>
  <si>
    <t>SA-0553</t>
  </si>
  <si>
    <t>RA-0529</t>
  </si>
  <si>
    <t>SA-0128</t>
  </si>
  <si>
    <t>RA-0145</t>
  </si>
  <si>
    <t>SA-0367</t>
  </si>
  <si>
    <t>SA-0299</t>
  </si>
  <si>
    <t>Prod/inj</t>
  </si>
  <si>
    <t>Prod</t>
  </si>
  <si>
    <t>no</t>
  </si>
  <si>
    <t>RA-0123ST</t>
  </si>
  <si>
    <t>SA-0554NW</t>
  </si>
  <si>
    <t>RA-0547NW</t>
  </si>
  <si>
    <t>SA-0553NW</t>
  </si>
  <si>
    <t>RA-0529NW</t>
  </si>
  <si>
    <t>RA-0210ST</t>
  </si>
  <si>
    <t>Rig Release Date</t>
  </si>
  <si>
    <t>Spud to RR</t>
  </si>
  <si>
    <t>NPT %</t>
  </si>
  <si>
    <t>formation 
type</t>
  </si>
  <si>
    <t>number 
of ICD</t>
  </si>
  <si>
    <t>number 
of packer</t>
  </si>
  <si>
    <t>design rate,
bbl/d</t>
  </si>
  <si>
    <t xml:space="preserve">initial production via
function test </t>
  </si>
  <si>
    <t>service co</t>
  </si>
  <si>
    <t>2187 bbl/d 2% wc</t>
  </si>
  <si>
    <t>no rates</t>
  </si>
  <si>
    <t>no injectivity achieved</t>
  </si>
  <si>
    <t>2206 bbl/d 28%wc</t>
  </si>
  <si>
    <t>1051 bbl/d 70% wc</t>
  </si>
  <si>
    <t>no test</t>
  </si>
  <si>
    <t>2600 bbl/d 68% WC</t>
  </si>
  <si>
    <t>3183 bbl/d 21.5% wc</t>
  </si>
  <si>
    <t>CT stim planned rigless</t>
  </si>
  <si>
    <t>3400 bbl/d 100%wc</t>
  </si>
  <si>
    <t>3428 bbl/d  16% wc</t>
  </si>
  <si>
    <t>2380 bbl/d 10%wc</t>
  </si>
  <si>
    <t>2200 bbl/d 10% wc</t>
  </si>
  <si>
    <t>100% wc???</t>
  </si>
  <si>
    <t>1852 bbl/d 7% wc</t>
  </si>
  <si>
    <t>2265 bbl/d 16% wc</t>
  </si>
  <si>
    <t>2110 bbl/d 64% wc</t>
  </si>
  <si>
    <t xml:space="preserve">5724 Bbl/d 23% WC  </t>
  </si>
  <si>
    <t>2873 bbl/d 0.5% wc</t>
  </si>
  <si>
    <t>2179 BBls/d 28% wc</t>
  </si>
  <si>
    <t>1553 bbl/d 44% wc</t>
  </si>
  <si>
    <t>1691 bbl/d 18% wc</t>
  </si>
  <si>
    <t>2803 bbl/d wc 36%</t>
  </si>
  <si>
    <t>1239 bbl/d 7% wc</t>
  </si>
  <si>
    <t>2700 bbl/d 0% WC??</t>
  </si>
  <si>
    <t>1400 bbl/d 40% wc</t>
  </si>
  <si>
    <t>abs</t>
  </si>
  <si>
    <t>4013 bbl/d 2% WC</t>
  </si>
  <si>
    <t>4369 Bbl/d WC 0.5%</t>
  </si>
  <si>
    <t>3670 bbl/d wc 46%</t>
  </si>
  <si>
    <t>1991 bbl/d 6% wc</t>
  </si>
  <si>
    <t>2779 bbld 0 %wc</t>
  </si>
  <si>
    <t>2587 bbl/d 12% wc</t>
  </si>
  <si>
    <t>3400 bbl/d 0%wc</t>
  </si>
  <si>
    <t>5489 bbl/d 18% wc</t>
  </si>
  <si>
    <t>1566 bbl/d, 35%WC</t>
  </si>
  <si>
    <t>2000 bbl/d 3 %wc</t>
  </si>
  <si>
    <t>3565 bbl/d 80% wc</t>
  </si>
  <si>
    <t>1267 bbl/d  57% wc</t>
  </si>
  <si>
    <t>see RA 0520ML2</t>
  </si>
  <si>
    <t>5322 bbl/d 50% wc</t>
  </si>
  <si>
    <t>no rate</t>
  </si>
  <si>
    <t>no activation just 
diesel displacement thru SSD</t>
  </si>
  <si>
    <t>1634 bbl/d 3% wc</t>
  </si>
  <si>
    <t>1781 bbl/d 15% wc</t>
  </si>
  <si>
    <t>2491 bbl/d 2% wc</t>
  </si>
  <si>
    <t>2749 bbl/d 28%wc</t>
  </si>
  <si>
    <t>3765 bbl/d 9% wc</t>
  </si>
  <si>
    <t>2021 bbl/d 8% wc</t>
  </si>
  <si>
    <t>3008 bbl/d 0% wc</t>
  </si>
  <si>
    <t>no flow</t>
  </si>
  <si>
    <t>2388 bbl/d 54%wc</t>
  </si>
  <si>
    <t>2530 bbl/d 14% wc</t>
  </si>
  <si>
    <t>1828 bbl/d 22% wc</t>
  </si>
  <si>
    <t>4950 bbl/d 0% wc</t>
  </si>
  <si>
    <t>5974 bbl/d 4% wc</t>
  </si>
  <si>
    <t>981 bbl/d 70% wc</t>
  </si>
  <si>
    <t>1474 bbl/d 14%wc</t>
  </si>
  <si>
    <t>1048 bbl/d 24% WC</t>
  </si>
  <si>
    <t>1329 BBls/d 20% wc</t>
  </si>
  <si>
    <t>1603 bbl/d 32%wc</t>
  </si>
  <si>
    <t>2124 bbl/d 36% wc</t>
  </si>
  <si>
    <t>3611 Bbl/d 15 % wc</t>
  </si>
  <si>
    <t>2800 bbl/d 0 % wc</t>
  </si>
  <si>
    <t>1150 bbl/d 10 %wc</t>
  </si>
  <si>
    <t>no oil on surface</t>
  </si>
  <si>
    <t>2401 bbl/d 70% WC</t>
  </si>
  <si>
    <t>1512 bbl/d 60% wc</t>
  </si>
  <si>
    <t>1878 bbl/d 2 % wc</t>
  </si>
  <si>
    <t>2850 bbld 12% WC</t>
  </si>
  <si>
    <t>zero flow</t>
  </si>
  <si>
    <t>3555 bbl/d 10%wc</t>
  </si>
  <si>
    <t>2923 bbl/d 8%wc</t>
  </si>
  <si>
    <t>1582 bbl/d 50% wc</t>
  </si>
  <si>
    <t>2792 bbl/d 0% wc</t>
  </si>
  <si>
    <t>2140 Bbl/d 18% wc</t>
  </si>
  <si>
    <t>3468 bbl/d 20% wc</t>
  </si>
  <si>
    <t>1900 bbl/d 3% wc</t>
  </si>
  <si>
    <t>1998 bbl/d 40% wc</t>
  </si>
  <si>
    <t>3512 bbl/d 2%wc</t>
  </si>
  <si>
    <t>1995 bbl/d 0%wc</t>
  </si>
  <si>
    <t>1974 bbl/d 1% wc</t>
  </si>
  <si>
    <t>853 bbl/d 56% wc</t>
  </si>
  <si>
    <t>1907 bbl/d 6%wc</t>
  </si>
  <si>
    <t>2490 bbl/d 0%</t>
  </si>
  <si>
    <t>no rate available</t>
  </si>
  <si>
    <t>2761 bbl/d 0% wc</t>
  </si>
  <si>
    <t>675 bbl/d 0% wc</t>
  </si>
  <si>
    <t xml:space="preserve">1523 bbl/d 12% wc </t>
  </si>
  <si>
    <t>1025 bbl/d 44% wc</t>
  </si>
  <si>
    <t>only formation water
from the lower zone (heavy oil) plan to continue test rigless</t>
  </si>
  <si>
    <t>795 bbl/d 78% wc</t>
  </si>
  <si>
    <t>2389 bbl/d 6%wc</t>
  </si>
  <si>
    <t>700 bbl/d 43% wc</t>
  </si>
  <si>
    <t>2836 bbl/d 0% wc</t>
  </si>
  <si>
    <t>2620 bbl/d 5% wc</t>
  </si>
  <si>
    <t>1267 bbl/d  99% wc</t>
  </si>
  <si>
    <t>No Test</t>
  </si>
  <si>
    <t>WC</t>
  </si>
  <si>
    <t>BPD</t>
  </si>
  <si>
    <t>5" Cmt Lnr</t>
  </si>
  <si>
    <t>7" Cmt Lnr</t>
  </si>
  <si>
    <t>Rig Move Days</t>
  </si>
  <si>
    <t>Production Section Length, ft</t>
  </si>
  <si>
    <t>RA-0520MLL1</t>
  </si>
  <si>
    <t>RA-0520ML0 L0</t>
  </si>
  <si>
    <t>Pay/Net</t>
  </si>
  <si>
    <t>Producing Interval (%)</t>
  </si>
  <si>
    <t>HC Rate</t>
  </si>
  <si>
    <t>DEI</t>
  </si>
  <si>
    <t>RR to RR</t>
  </si>
  <si>
    <t>SA-0127</t>
  </si>
  <si>
    <t>RA-0147</t>
  </si>
  <si>
    <t>SA-0326</t>
  </si>
  <si>
    <t>RA-0509</t>
  </si>
  <si>
    <t>KDC-49</t>
  </si>
  <si>
    <t>SA-0368HST1</t>
  </si>
  <si>
    <t>SA-0303HST1</t>
  </si>
  <si>
    <t>RA-0159HST1</t>
  </si>
  <si>
    <t>SA-0363HST1</t>
  </si>
  <si>
    <t>SA-0122HST1</t>
  </si>
  <si>
    <t>SA-0307HST1</t>
  </si>
  <si>
    <t>RA-0170HST1</t>
  </si>
  <si>
    <t>SA-0302HST1</t>
  </si>
  <si>
    <t>RA-0428HST1</t>
  </si>
  <si>
    <t>RA-0397HST1</t>
  </si>
  <si>
    <t>RA-0169ST1</t>
  </si>
  <si>
    <t>RA-0238ST1</t>
  </si>
  <si>
    <t>SA-0128ST1</t>
  </si>
  <si>
    <t>RA-0147ST1</t>
  </si>
  <si>
    <t>RA-0145ST1</t>
  </si>
  <si>
    <t>SA-0299ST1</t>
  </si>
  <si>
    <t>SA-0367ST1</t>
  </si>
  <si>
    <t>SA-0326ST1</t>
  </si>
  <si>
    <t>SA-0127ST1</t>
  </si>
  <si>
    <t>SA-0325</t>
  </si>
  <si>
    <t>SA-0325ST1</t>
  </si>
  <si>
    <t>Month</t>
  </si>
  <si>
    <t>Rig Count</t>
  </si>
  <si>
    <t>Average</t>
  </si>
  <si>
    <t>Well Drilling Days Performance</t>
  </si>
  <si>
    <t>Well Name</t>
  </si>
  <si>
    <t>Rig Move</t>
  </si>
  <si>
    <t>Spud RR</t>
  </si>
  <si>
    <t>Planned</t>
  </si>
  <si>
    <t>Delta</t>
  </si>
  <si>
    <t>QRI Target Spud to RR</t>
  </si>
  <si>
    <t>Delta plan/Actual RR to RR</t>
  </si>
  <si>
    <t>WellCount</t>
  </si>
  <si>
    <t>Total</t>
  </si>
  <si>
    <t>Cumulative</t>
  </si>
  <si>
    <t>Planned Spud to RR</t>
  </si>
  <si>
    <t>Target Spud to RR</t>
  </si>
  <si>
    <t>Planned DEI</t>
  </si>
  <si>
    <t>Planned BPD</t>
  </si>
  <si>
    <t>RA-0431</t>
  </si>
  <si>
    <t>SA-0327</t>
  </si>
  <si>
    <t>RA-0481NW</t>
  </si>
  <si>
    <t>SA-0327ST1</t>
  </si>
  <si>
    <t>RA-0509NW</t>
  </si>
  <si>
    <t>PDDP Ready</t>
  </si>
  <si>
    <t>2PP Ready</t>
  </si>
  <si>
    <t>SA-0324</t>
  </si>
  <si>
    <t>SA-0324ST1</t>
  </si>
  <si>
    <t>SA-0319</t>
  </si>
  <si>
    <t>SA-0319ST1</t>
  </si>
  <si>
    <t>Spud Date</t>
  </si>
  <si>
    <t>SA-0555</t>
  </si>
  <si>
    <t>SA-0562</t>
  </si>
  <si>
    <t>RA-0549</t>
  </si>
  <si>
    <t>RA-0548</t>
  </si>
  <si>
    <t>SA-0555NW</t>
  </si>
  <si>
    <t>SA-0562NW</t>
  </si>
  <si>
    <t>RA-0549NW</t>
  </si>
  <si>
    <t>RA-0548NW</t>
  </si>
  <si>
    <t>SA-0254</t>
  </si>
  <si>
    <t>SA-0254ST1</t>
  </si>
  <si>
    <t>SA-0158</t>
  </si>
  <si>
    <t>SA-0158HST1</t>
  </si>
  <si>
    <t>SA-0483</t>
  </si>
  <si>
    <t>RA-0152</t>
  </si>
  <si>
    <t>RA-0282</t>
  </si>
  <si>
    <t>SA-0221</t>
  </si>
  <si>
    <t>SA-0322</t>
  </si>
  <si>
    <t>SA-0322HST1</t>
  </si>
  <si>
    <t>RA-0178</t>
  </si>
  <si>
    <t>SA-0516</t>
  </si>
  <si>
    <t>RA-0477</t>
  </si>
  <si>
    <t>SA-0556</t>
  </si>
  <si>
    <t>SA-0483HST1</t>
  </si>
  <si>
    <t>RA-0152HST1</t>
  </si>
  <si>
    <t>RA-0282ST1</t>
  </si>
  <si>
    <t>RA-0178ST1</t>
  </si>
  <si>
    <t>SA-0516H</t>
  </si>
  <si>
    <t>RA-0477D</t>
  </si>
  <si>
    <t>SA-0556H</t>
  </si>
  <si>
    <t>NDSC-17</t>
  </si>
  <si>
    <t>NDSC-16</t>
  </si>
  <si>
    <t>NDSC-15</t>
  </si>
  <si>
    <t>Target</t>
  </si>
  <si>
    <t>TYPE</t>
  </si>
  <si>
    <t>Fiscal Quarter</t>
  </si>
  <si>
    <t>Q1</t>
  </si>
  <si>
    <t>Q2</t>
  </si>
  <si>
    <t>Q3</t>
  </si>
  <si>
    <t>Q4</t>
  </si>
  <si>
    <t>RA-0080HST1</t>
  </si>
  <si>
    <t>RA-0112ST1</t>
  </si>
  <si>
    <t>RA-0123ST1</t>
  </si>
  <si>
    <t>RA-0134HST1</t>
  </si>
  <si>
    <t>RA-0145HST1</t>
  </si>
  <si>
    <t>RA-0147HST1</t>
  </si>
  <si>
    <t>RA-0169HST1</t>
  </si>
  <si>
    <t>RA-0177HST1</t>
  </si>
  <si>
    <t>RA-0191HST1</t>
  </si>
  <si>
    <t>RA-0210ST1</t>
  </si>
  <si>
    <t>RA-0238HST1</t>
  </si>
  <si>
    <t>RA-0239ST1</t>
  </si>
  <si>
    <t>RA-0296ST1</t>
  </si>
  <si>
    <t>RA-0343HST1</t>
  </si>
  <si>
    <t>RA-0489H</t>
  </si>
  <si>
    <t>RA-0493H</t>
  </si>
  <si>
    <t>RA-0500H</t>
  </si>
  <si>
    <t>RA-0504HST1</t>
  </si>
  <si>
    <t>RA-0514H</t>
  </si>
  <si>
    <t>RA-0516H</t>
  </si>
  <si>
    <t>RA-0519H</t>
  </si>
  <si>
    <t>RA-0529H</t>
  </si>
  <si>
    <t>RA-0533H</t>
  </si>
  <si>
    <t>RA-0536H</t>
  </si>
  <si>
    <t>SA-0127HST1</t>
  </si>
  <si>
    <t>SA-0318HST1</t>
  </si>
  <si>
    <t>SA-0327HST1</t>
  </si>
  <si>
    <t>SA-0367HST1</t>
  </si>
  <si>
    <t>SA-0514H</t>
  </si>
  <si>
    <t>SA-0517H</t>
  </si>
  <si>
    <t>SA-0521H</t>
  </si>
  <si>
    <t>SA-0526H</t>
  </si>
  <si>
    <t>SA-0530H</t>
  </si>
  <si>
    <t>SA-0538H</t>
  </si>
  <si>
    <t>SA-0544H</t>
  </si>
  <si>
    <t>SA-0545H</t>
  </si>
  <si>
    <t>SA-0551H</t>
  </si>
  <si>
    <t>SA-0552H</t>
  </si>
  <si>
    <t>SA-0553H</t>
  </si>
  <si>
    <t>RA-0499H</t>
  </si>
  <si>
    <t>SA-0510H</t>
  </si>
  <si>
    <t>RA-0497ST1</t>
  </si>
  <si>
    <t>RA-0530H</t>
  </si>
  <si>
    <t>SA-0523H</t>
  </si>
  <si>
    <t>RA-0546H</t>
  </si>
  <si>
    <t>SA-0128HST1</t>
  </si>
  <si>
    <t>SA-0325HST1</t>
  </si>
  <si>
    <t>SA-0326HST1</t>
  </si>
  <si>
    <t>SA-0299HST1</t>
  </si>
  <si>
    <t>SA-0319HST1</t>
  </si>
  <si>
    <t>SA-0324HST1</t>
  </si>
  <si>
    <t>RA-0509H</t>
  </si>
  <si>
    <t>SA-0555H</t>
  </si>
  <si>
    <t>Production Well Name</t>
  </si>
  <si>
    <t>Start</t>
  </si>
  <si>
    <t>End</t>
  </si>
  <si>
    <t>start</t>
  </si>
  <si>
    <t>Priority</t>
  </si>
  <si>
    <t>WmasterField_code_general</t>
  </si>
  <si>
    <t>WmasterRes_code_general</t>
  </si>
  <si>
    <t>WellType</t>
  </si>
  <si>
    <t>NoOfWells</t>
  </si>
  <si>
    <t>Days</t>
  </si>
  <si>
    <t>RigMove</t>
  </si>
  <si>
    <t>Total Well</t>
  </si>
  <si>
    <t>Hookup</t>
  </si>
  <si>
    <t>Day Completed</t>
  </si>
  <si>
    <t>Day Online</t>
  </si>
  <si>
    <t>Date Online</t>
  </si>
  <si>
    <t>Days on Production</t>
  </si>
  <si>
    <t>Initial Rate</t>
  </si>
  <si>
    <t>Decline Rate</t>
  </si>
  <si>
    <t>Rate 1 Yr</t>
  </si>
  <si>
    <t>Total Prod 365 days</t>
  </si>
  <si>
    <t>DEI 365</t>
  </si>
  <si>
    <t>H</t>
  </si>
  <si>
    <t>DV</t>
  </si>
  <si>
    <t>INJ</t>
  </si>
  <si>
    <t>EOR</t>
  </si>
  <si>
    <t>NEW FIELD</t>
  </si>
  <si>
    <t>OBS</t>
  </si>
  <si>
    <t>MB</t>
  </si>
  <si>
    <t>Count</t>
  </si>
  <si>
    <t>Rig 1</t>
  </si>
  <si>
    <t>Rig 2</t>
  </si>
  <si>
    <t>Rig 3</t>
  </si>
  <si>
    <t>Rig 4</t>
  </si>
  <si>
    <t>Rig 5</t>
  </si>
  <si>
    <t>Rig 6</t>
  </si>
  <si>
    <t>Rig 7</t>
  </si>
  <si>
    <t>Rig 8</t>
  </si>
  <si>
    <t>Rig 9</t>
  </si>
  <si>
    <t>Rig 10</t>
  </si>
  <si>
    <t>Rig 11</t>
  </si>
  <si>
    <t>Rig 12</t>
  </si>
  <si>
    <t>Rig 13</t>
  </si>
  <si>
    <t>Month 1</t>
  </si>
  <si>
    <t>Month 2</t>
  </si>
  <si>
    <t>55-4</t>
  </si>
  <si>
    <t>55-5</t>
  </si>
  <si>
    <t>55-6</t>
  </si>
  <si>
    <t>45-7</t>
  </si>
  <si>
    <t>45-8</t>
  </si>
  <si>
    <t>35-9</t>
  </si>
  <si>
    <t>45-10</t>
  </si>
  <si>
    <t>45-11</t>
  </si>
  <si>
    <t>45-12</t>
  </si>
  <si>
    <t>Month 3</t>
  </si>
  <si>
    <t>90-21</t>
  </si>
  <si>
    <t>Month 4</t>
  </si>
  <si>
    <t>105-1</t>
  </si>
  <si>
    <t>105-2</t>
  </si>
  <si>
    <t>105-3</t>
  </si>
  <si>
    <t>100-19</t>
  </si>
  <si>
    <t>100-20</t>
  </si>
  <si>
    <t>100-16</t>
  </si>
  <si>
    <t>100-17</t>
  </si>
  <si>
    <t>100-18</t>
  </si>
  <si>
    <t>Month 5</t>
  </si>
  <si>
    <t>145-22</t>
  </si>
  <si>
    <t>145-23</t>
  </si>
  <si>
    <t>135-24</t>
  </si>
  <si>
    <t>150-14</t>
  </si>
  <si>
    <t>150-15</t>
  </si>
  <si>
    <t>140-13</t>
  </si>
  <si>
    <t>Month 6</t>
  </si>
  <si>
    <t>160-28</t>
  </si>
  <si>
    <t>165-29</t>
  </si>
  <si>
    <t>165-30</t>
  </si>
  <si>
    <t>180-32</t>
  </si>
  <si>
    <t>180-31</t>
  </si>
  <si>
    <t>175-33</t>
  </si>
  <si>
    <t>Month 7</t>
  </si>
  <si>
    <t>190-34</t>
  </si>
  <si>
    <t>195-35</t>
  </si>
  <si>
    <t>195-36</t>
  </si>
  <si>
    <t>205-25</t>
  </si>
  <si>
    <t>205-26</t>
  </si>
  <si>
    <t>205-27</t>
  </si>
  <si>
    <t>Month 8</t>
  </si>
  <si>
    <t>220-38</t>
  </si>
  <si>
    <t>225-39</t>
  </si>
  <si>
    <t>225-40</t>
  </si>
  <si>
    <t>225-43</t>
  </si>
  <si>
    <t>235-44</t>
  </si>
  <si>
    <t>240-45</t>
  </si>
  <si>
    <t>230-46</t>
  </si>
  <si>
    <t>235-41</t>
  </si>
  <si>
    <t>Month 9</t>
  </si>
  <si>
    <t>270-50</t>
  </si>
  <si>
    <t>270-52</t>
  </si>
  <si>
    <t>270-53</t>
  </si>
  <si>
    <t>275-57</t>
  </si>
  <si>
    <t>250-47</t>
  </si>
  <si>
    <t>250-48</t>
  </si>
  <si>
    <t>255-49</t>
  </si>
  <si>
    <t>Month 10</t>
  </si>
  <si>
    <t>305-61</t>
  </si>
  <si>
    <t>280-51</t>
  </si>
  <si>
    <t>280-54</t>
  </si>
  <si>
    <t>305-42</t>
  </si>
  <si>
    <t>280-55</t>
  </si>
  <si>
    <t>285-56</t>
  </si>
  <si>
    <t>300-58</t>
  </si>
  <si>
    <t>300-59</t>
  </si>
  <si>
    <t>305-60</t>
  </si>
  <si>
    <t>288-37</t>
  </si>
  <si>
    <t>Month 11</t>
  </si>
  <si>
    <t>330-65</t>
  </si>
  <si>
    <t>315-62</t>
  </si>
  <si>
    <t>320-63</t>
  </si>
  <si>
    <t>330-66</t>
  </si>
  <si>
    <t>325-64</t>
  </si>
  <si>
    <t>Month 12</t>
  </si>
  <si>
    <t>344-74</t>
  </si>
  <si>
    <t>360-73</t>
  </si>
  <si>
    <t>345-67</t>
  </si>
  <si>
    <t>350-70</t>
  </si>
  <si>
    <t>350-71</t>
  </si>
  <si>
    <t>360-72</t>
  </si>
  <si>
    <t>Month 13</t>
  </si>
  <si>
    <t>370-75</t>
  </si>
  <si>
    <t>390-68</t>
  </si>
  <si>
    <t>393-69</t>
  </si>
  <si>
    <t>Month 14</t>
  </si>
  <si>
    <t>Month 15</t>
  </si>
  <si>
    <t>RA-LB</t>
  </si>
  <si>
    <t>SA-MA</t>
  </si>
  <si>
    <t>RA-MA</t>
  </si>
  <si>
    <t>RA-ZU</t>
  </si>
  <si>
    <t>SA-LB</t>
  </si>
  <si>
    <t>SA-UB</t>
  </si>
  <si>
    <t>RA-UB</t>
  </si>
  <si>
    <t>SA-ZU</t>
  </si>
  <si>
    <t>NEW</t>
  </si>
  <si>
    <t>RA-MB</t>
  </si>
  <si>
    <t>SA-TU</t>
  </si>
  <si>
    <t>RA-0282HST1</t>
  </si>
  <si>
    <t>SA-0184</t>
  </si>
  <si>
    <t>RA-0554H</t>
  </si>
  <si>
    <t>SA-0115</t>
  </si>
  <si>
    <t>SA-0135</t>
  </si>
  <si>
    <t>SA-0328</t>
  </si>
  <si>
    <t>SA-0431</t>
  </si>
  <si>
    <t>RA-0178HST1</t>
  </si>
  <si>
    <t>SA-0570</t>
  </si>
  <si>
    <t>RA-0554</t>
  </si>
  <si>
    <t>SA-0570D</t>
  </si>
  <si>
    <t>SA-0431HST</t>
  </si>
  <si>
    <t>SA-0328HST</t>
  </si>
  <si>
    <t>SA-0135HST</t>
  </si>
  <si>
    <t>SA-0115HST</t>
  </si>
  <si>
    <t>SA-0184HST</t>
  </si>
  <si>
    <t>SP-294</t>
  </si>
  <si>
    <t>SP-295</t>
  </si>
  <si>
    <t>RA-0555D</t>
  </si>
  <si>
    <t>RA-0555</t>
  </si>
  <si>
    <t>SA-0487H</t>
  </si>
  <si>
    <t>RA-0497H</t>
  </si>
  <si>
    <t>SA-0532H</t>
  </si>
  <si>
    <t>Well Completion S</t>
  </si>
  <si>
    <t>AD</t>
  </si>
  <si>
    <t>T</t>
  </si>
  <si>
    <t>RT</t>
  </si>
  <si>
    <t>RA-0018</t>
  </si>
  <si>
    <t>RA-0046</t>
  </si>
  <si>
    <t>I</t>
  </si>
  <si>
    <t>RA-0222</t>
  </si>
  <si>
    <t>RA-0270</t>
  </si>
  <si>
    <t>RA-0271</t>
  </si>
  <si>
    <t>RA-0303</t>
  </si>
  <si>
    <t>RA-0304</t>
  </si>
  <si>
    <t>RA-0381</t>
  </si>
  <si>
    <t>RA-0392</t>
  </si>
  <si>
    <t>RA-0395</t>
  </si>
  <si>
    <t>RA-0398</t>
  </si>
  <si>
    <t>RQ</t>
  </si>
  <si>
    <t>SA-0156</t>
  </si>
  <si>
    <t>SA-0164</t>
  </si>
  <si>
    <t>SA-0248</t>
  </si>
  <si>
    <t>SA-0372</t>
  </si>
  <si>
    <t>SA-0373</t>
  </si>
  <si>
    <t>SA-0380</t>
  </si>
  <si>
    <t>SA-0381</t>
  </si>
  <si>
    <t>SA-0393</t>
  </si>
  <si>
    <t>SA-0398</t>
  </si>
  <si>
    <t>SA-0401</t>
  </si>
  <si>
    <t>SA-0474</t>
  </si>
  <si>
    <t>SA-0480</t>
  </si>
  <si>
    <t>Well Type - Drill Times</t>
  </si>
  <si>
    <t>Planned InitialRate</t>
  </si>
  <si>
    <t>DEI- Planned</t>
  </si>
  <si>
    <t>DEI-Target</t>
  </si>
  <si>
    <t>Drilling Days - Planned</t>
  </si>
  <si>
    <t>Drilling Days - Target</t>
  </si>
  <si>
    <t>H - Prod</t>
  </si>
  <si>
    <t>H - INJ</t>
  </si>
  <si>
    <t>ST - Prod</t>
  </si>
  <si>
    <t>ST - INJ</t>
  </si>
  <si>
    <t>H- INJ</t>
  </si>
  <si>
    <t>H- Prod</t>
  </si>
  <si>
    <t>ST-Prod</t>
  </si>
  <si>
    <t>ST-INJ</t>
  </si>
  <si>
    <t>VLOOKUP(E145,'Planning and Target Times'!$A$1:$G$5,MATCH(I145&amp;"-"&amp;Z145&amp;"-"&amp;H145,INDEX('Planning and Target Times'!$A$1:$G$5,1,0),0),0)</t>
  </si>
  <si>
    <t>DONE</t>
  </si>
  <si>
    <t>SA TARGET</t>
  </si>
  <si>
    <t>SA PLANNED RATES</t>
  </si>
  <si>
    <t>DONE HAVE</t>
  </si>
  <si>
    <t>RA PLANNED</t>
  </si>
  <si>
    <t>RA TARGET</t>
  </si>
  <si>
    <t>RA PLANNED RATES</t>
  </si>
  <si>
    <t>RASA PLANNED DEI</t>
  </si>
  <si>
    <t>RA-0559</t>
  </si>
  <si>
    <t>SA-0398HST</t>
  </si>
  <si>
    <t>RA-0489HST</t>
  </si>
  <si>
    <t>SA-0372HST</t>
  </si>
  <si>
    <t>SA-0372HST1</t>
  </si>
  <si>
    <t>RA-0304HST</t>
  </si>
  <si>
    <t>RA-0304HST1</t>
  </si>
  <si>
    <t>RA-0559D</t>
  </si>
  <si>
    <t>SA-0393ST</t>
  </si>
  <si>
    <t>SA-0480HST</t>
  </si>
  <si>
    <t>SA-0480HST1</t>
  </si>
  <si>
    <t>SA-0184HST1</t>
  </si>
  <si>
    <t>SA-0135HST1</t>
  </si>
  <si>
    <t>SA-0328HST1</t>
  </si>
  <si>
    <t>SA-0431HST1</t>
  </si>
  <si>
    <t>7 Inch CSG</t>
  </si>
  <si>
    <t>9.625 inch CSG</t>
  </si>
  <si>
    <t>SA-0221ST2</t>
  </si>
  <si>
    <t>4.5 inch CSG</t>
  </si>
  <si>
    <t>5.0 inch CSG</t>
  </si>
  <si>
    <t>EOR / Border Fields</t>
  </si>
  <si>
    <t>Plan</t>
  </si>
  <si>
    <t>Actual</t>
  </si>
  <si>
    <t>Composite</t>
  </si>
  <si>
    <t>ZU / RT</t>
  </si>
  <si>
    <t>Since 04/01/2014</t>
  </si>
  <si>
    <t>Average Days by Well Type (Spud to RR)</t>
  </si>
  <si>
    <t>13.375 inch CSG</t>
  </si>
  <si>
    <t>Wellname</t>
  </si>
  <si>
    <t>Average Days per Well to deliver 60 Wells based on rig count</t>
  </si>
  <si>
    <t>Days for 60 Wells</t>
  </si>
  <si>
    <t>Days for 75 Wells</t>
  </si>
  <si>
    <t>ZU/RT</t>
  </si>
  <si>
    <t>RA-0557</t>
  </si>
  <si>
    <t>RA-0557H</t>
  </si>
  <si>
    <t>RA-0479</t>
  </si>
  <si>
    <t>RA-0479H</t>
  </si>
  <si>
    <t>SA-0381HST</t>
  </si>
  <si>
    <t>SA-0380HST</t>
  </si>
  <si>
    <t>SA-0572</t>
  </si>
  <si>
    <t>SA-0572D</t>
  </si>
  <si>
    <t>RA-0556</t>
  </si>
  <si>
    <t>RA-0556D</t>
  </si>
  <si>
    <t>RA-0560</t>
  </si>
  <si>
    <t>RA-0560H</t>
  </si>
  <si>
    <t>SP-266</t>
  </si>
  <si>
    <t>SP-267</t>
  </si>
  <si>
    <t>Reservoir</t>
  </si>
  <si>
    <t>Rock Type</t>
  </si>
  <si>
    <t>Carbonate</t>
  </si>
  <si>
    <t>Sandstone</t>
  </si>
  <si>
    <t>RAMA</t>
  </si>
  <si>
    <t>RAUB</t>
  </si>
  <si>
    <t>RALB</t>
  </si>
  <si>
    <t>RAZU</t>
  </si>
  <si>
    <t>SAMA</t>
  </si>
  <si>
    <t>SAUB</t>
  </si>
  <si>
    <t>SALB</t>
  </si>
  <si>
    <t>SAZU</t>
  </si>
  <si>
    <t>SART</t>
  </si>
  <si>
    <t>Field/Res</t>
  </si>
  <si>
    <t>2014 D&amp;C Wells (released &amp; active)</t>
  </si>
  <si>
    <t>RA-0381HST</t>
  </si>
  <si>
    <t>Planned minus Actual</t>
  </si>
  <si>
    <t>ST-Slant-Prod</t>
  </si>
  <si>
    <t>2014-2015</t>
  </si>
  <si>
    <t>Top 25% average</t>
  </si>
  <si>
    <t>ST PROD</t>
  </si>
  <si>
    <t>ST INJ</t>
  </si>
  <si>
    <t>NW PROD</t>
  </si>
  <si>
    <t>NW INJ</t>
  </si>
  <si>
    <t>PROD</t>
  </si>
  <si>
    <t>All Wells</t>
  </si>
  <si>
    <t>ACTUAL (Spud to RR)</t>
  </si>
  <si>
    <t>Type</t>
  </si>
  <si>
    <t>(P25) Top 25% Average</t>
  </si>
  <si>
    <t>Type/Proj/Inj</t>
  </si>
  <si>
    <t>(P50) Average</t>
  </si>
  <si>
    <t>2012-current</t>
  </si>
  <si>
    <t>AAP 4/2014 to current</t>
  </si>
  <si>
    <t>COUNT ST INJ</t>
  </si>
  <si>
    <t>COUNT ST PROD</t>
  </si>
  <si>
    <t>COUNT NW INJ</t>
  </si>
  <si>
    <t>COUNT NW PROD</t>
  </si>
  <si>
    <t>COUNT ST</t>
  </si>
  <si>
    <t>COUNT NW</t>
  </si>
  <si>
    <t>COUNT NW PLAN</t>
  </si>
  <si>
    <t>NW PLAN</t>
  </si>
  <si>
    <t>COUNT ST PLAN</t>
  </si>
  <si>
    <t>ST PLAN</t>
  </si>
  <si>
    <t>COUT NW PROD</t>
  </si>
  <si>
    <t>ACTUAL</t>
  </si>
  <si>
    <t>COUNTIF('Well Data-NK'!E96:E150,"MA")</t>
  </si>
  <si>
    <t>COUNTIF('Well Data-NK'!E96:E150,"UB")</t>
  </si>
  <si>
    <t>COUNTIF('Well Data-NK'!E96:E150,"LB")</t>
  </si>
  <si>
    <t>COUNTIFS('Well Data-NK'!E96:E150,"ZU")+COUNTIFS('Well Data-NK'!E96:E150,"RT")</t>
  </si>
  <si>
    <t>COUNT('Well Data-NK'!S96:S150)</t>
  </si>
  <si>
    <t>AVERAGE(IF('Well Data-NK'!E96:E150={"MA"},'Well Data-NK'!P96:P150))</t>
  </si>
  <si>
    <t>AVERAGE(IF('Well Data-NK'!E96:E150={"UB"},'Well Data-NK'!P96:P150))</t>
  </si>
  <si>
    <t>AVERAGE(IF('Well Data-NK'!E96:E150={"LB"},'Well Data-NK'!P96:P150))</t>
  </si>
  <si>
    <t>AVERAGE(IF('Well Data-NK'!E96:E150={"ZU","RT"},'Well Data-NK'!P96:P150))</t>
  </si>
  <si>
    <t>AVERAGE(IF('Well Data-NK'!E96:E150={"ZU","RT","LB","UB","MA"},'Well Data-NK'!P96:P150))</t>
  </si>
  <si>
    <t>AVERAGE(IF('Well Data-NK'!E96:E150={"MA"},'Well Data-NK'!T96:T150))</t>
  </si>
  <si>
    <t>AVERAGE(IF('Well Data-NK'!E96:E150={"UB"},'Well Data-NK'!T96:T150))</t>
  </si>
  <si>
    <t>AVERAGE(IF('Well Data-NK'!E96:E150={"LB"},'Well Data-NK'!T96:T150))</t>
  </si>
  <si>
    <t>AVERAGE(IF('Well Data-NK'!E96:E150={"ZU","RT"},'Well Data-NK'!T96:T150))</t>
  </si>
  <si>
    <t>AVERAGE(IF('Well Data-NK'!E96:E150={"ZU","RT","LB","UB","MA"},'Well Data-NK'!T96:T150))</t>
  </si>
  <si>
    <t>COUNT(IF('Well Data-NK'!E96:E150={"MA"},IF('Well Data-NK'!I96:I150="NW",'Well Data-NK'!T96:T150)))</t>
  </si>
  <si>
    <t>COUNT(IF('Well Data-NK'!E96:E150={"UB"},IF('Well Data-NK'!I96:I150="NW",'Well Data-NK'!T96:T150)))</t>
  </si>
  <si>
    <t>COUNT(IF('Well Data-NK'!E96:E150={"LB"},IF('Well Data-NK'!I96:I150="NW",'Well Data-NK'!T96:T150)))</t>
  </si>
  <si>
    <t>COUNT(IF('Well Data-NK'!E96:E150={"RT","ZU"},IF('Well Data-NK'!I96:I150="NW",'Well Data-NK'!T96:T150)))</t>
  </si>
  <si>
    <t>COUNT(IF('Well Data-NK'!E96:E150={"RT","ZU","LB","UB","MA"},IF('Well Data-NK'!I96:I150="NW",'Well Data-NK'!T96:T150)))</t>
  </si>
  <si>
    <t>AVERAGE(IF('Well Data-NK'!E96:E150={"MA"},IF('Well Data-NK'!I96:I150="NW",'Well Data-NK'!T96:T150)))</t>
  </si>
  <si>
    <t>AVERAGE(IF('Well Data-NK'!E96:E150={"UB"},IF('Well Data-NK'!I96:I150="NW",'Well Data-NK'!T96:T150)))</t>
  </si>
  <si>
    <t>AVERAGE(IF('Well Data-NK'!E96:E150={"LB"},IF('Well Data-NK'!I96:I150="NW",'Well Data-NK'!T96:T150)))</t>
  </si>
  <si>
    <t>AVERAGE(IF('Well Data-NK'!E96:E150={"RT","ZU"},IF('Well Data-NK'!I96:I150="NW",'Well Data-NK'!T96:T150)))</t>
  </si>
  <si>
    <t>AVERAGE(IF('Well Data-NK'!E96:E150={"RT","ZU","LB","UB","MA"},IF('Well Data-NK'!I96:I150="NW",'Well Data-NK'!T96:T150)))</t>
  </si>
  <si>
    <t>COUNT(IF('Well Data-NK'!E96:E150={"MA"},IF('Well Data-NK'!I96:I150="ST",'Well Data-NK'!T96:T150)))</t>
  </si>
  <si>
    <t>COUNT(IF('Well Data-NK'!E96:E150={"UB"},IF('Well Data-NK'!I96:I150="ST",'Well Data-NK'!T96:T150)))</t>
  </si>
  <si>
    <t>COUNT(IF('Well Data-NK'!E96:E150={"LB"},IF('Well Data-NK'!I96:I150="ST",'Well Data-NK'!T96:T150)))</t>
  </si>
  <si>
    <t>COUNT(IF('Well Data-NK'!E96:E150={"RT","ZU"},IF('Well Data-NK'!I96:I150="ST",'Well Data-NK'!T96:T150)))</t>
  </si>
  <si>
    <t>COUNT(IF('Well Data-NK'!E96:E150={"RT","ZU","LB","UB","MA"},IF('Well Data-NK'!I96:I150="ST",'Well Data-NK'!T96:T150)))</t>
  </si>
  <si>
    <t>AVERAGE(IF('Well Data-NK'!E96:E150={"MA"},IF('Well Data-NK'!I96:I150="ST",'Well Data-NK'!T96:T150)))</t>
  </si>
  <si>
    <t>AVERAGE(IF('Well Data-NK'!E96:E150={"UB"},IF('Well Data-NK'!I96:I150="ST",'Well Data-NK'!T96:T150)))</t>
  </si>
  <si>
    <t>AVERAGE(IF('Well Data-NK'!E96:E150={"LB"},IF('Well Data-NK'!I96:I150="ST",'Well Data-NK'!T96:T150)))</t>
  </si>
  <si>
    <t>AVERAGE(IF('Well Data-NK'!E96:E150={"RT","ZU"},IF('Well Data-NK'!I96:I150="ST",'Well Data-NK'!T96:T150)))</t>
  </si>
  <si>
    <t>AVERAGE(IF('Well Data-NK'!E96:E150={"RT","ZU","LB","UB","MA"},IF('Well Data-NK'!I96:I150="ST",'Well Data-NK'!T96:T150)))</t>
  </si>
  <si>
    <t>COUNT(IF('Well Data-NK'!E96:E150={"MA"},IF('Well Data-NK'!I96:I150="NW",'Well Data-NK'!P96:P150)))</t>
  </si>
  <si>
    <t>COUNT(IF('Well Data-NK'!E96:E150={"UB"},IF('Well Data-NK'!I96:I150="NW",'Well Data-NK'!P96:P150)))</t>
  </si>
  <si>
    <t>COUNT(IF('Well Data-NK'!E96:E150={"LB"},IF('Well Data-NK'!I96:I150="NW",'Well Data-NK'!P96:P150)))</t>
  </si>
  <si>
    <t>COUNT(IF('Well Data-NK'!E96:E150={"RT","ZU"},IF('Well Data-NK'!I96:I150="NW",'Well Data-NK'!P96:P150)))</t>
  </si>
  <si>
    <t>COUNT(IF('Well Data-NK'!E96:E150={"RT","ZU","LB","UB","MA"},IF('Well Data-NK'!I96:I150="NW",'Well Data-NK'!P96:P150)))</t>
  </si>
  <si>
    <t>AVERAGE(IF('Well Data-NK'!E96:E150={"MA"},IF('Well Data-NK'!I96:I150="NW",'Well Data-NK'!P96:P150)))</t>
  </si>
  <si>
    <t>AVERAGE(IF('Well Data-NK'!E96:E150={"UB"},IF('Well Data-NK'!I96:I150="NW",'Well Data-NK'!P96:P150)))</t>
  </si>
  <si>
    <t>AVERAGE(IF('Well Data-NK'!E96:E150={"LB"},IF('Well Data-NK'!I96:I150="NW",'Well Data-NK'!P96:P150)))</t>
  </si>
  <si>
    <t>AVERAGE(IF('Well Data-NK'!E96:E150={"RT","ZU"},IF('Well Data-NK'!I96:I150="NW",'Well Data-NK'!P96:P150)))</t>
  </si>
  <si>
    <t>AVERAGE(IF('Well Data-NK'!E96:E150={"RT","ZU","LB","UB","MA"},IF('Well Data-NK'!I96:I150="NW",'Well Data-NK'!P96:P150)))</t>
  </si>
  <si>
    <t>COUNT(IF('Well Data-NK'!E96:E150={"MA"},IF('Well Data-NK'!I96:I150="ST",'Well Data-NK'!P96:P150)))</t>
  </si>
  <si>
    <t>COUNT(IF('Well Data-NK'!E96:E150={"UB"},IF('Well Data-NK'!I96:I150="ST",'Well Data-NK'!P96:P150)))</t>
  </si>
  <si>
    <t>COUNT(IF('Well Data-NK'!E96:E150={"LB"},IF('Well Data-NK'!I96:I150="ST",'Well Data-NK'!P96:P150)))</t>
  </si>
  <si>
    <t>COUNT(IF('Well Data-NK'!E96:E150={"RT","ZU"},IF('Well Data-NK'!I96:I150="ST",'Well Data-NK'!P96:P150)))</t>
  </si>
  <si>
    <t>COUNT(IF('Well Data-NK'!E96:E150={"RT","ZU","LB","UB","MA"},IF('Well Data-NK'!I96:I150="ST",'Well Data-NK'!P96:P150)))</t>
  </si>
  <si>
    <t>AVERAGE(IF('Well Data-NK'!E96:E150={"MA"},IF('Well Data-NK'!I96:I150="ST",'Well Data-NK'!P96:P150)))</t>
  </si>
  <si>
    <t>AVERAGE(IF('Well Data-NK'!E96:E150={"UB"},IF('Well Data-NK'!I96:I150="ST",'Well Data-NK'!P96:P150)))</t>
  </si>
  <si>
    <t>AVERAGE(IF('Well Data-NK'!E96:E150={"LB"},IF('Well Data-NK'!I96:I150="ST",'Well Data-NK'!P96:P150)))</t>
  </si>
  <si>
    <t>AVERAGE(IF('Well Data-NK'!E96:E150={"RT","ZU"},IF('Well Data-NK'!I96:I150="ST",'Well Data-NK'!P96:P150)))</t>
  </si>
  <si>
    <t>AVERAGE(IF('Well Data-NK'!E96:E150={"RT","ZU","LB","UB","MA"},IF('Well Data-NK'!I96:I150="ST",'Well Data-NK'!P96:P150)))</t>
  </si>
  <si>
    <t>COUNT(IF('Well Data-NK'!E96:E150={"MA"},IF('Well Data-NK'!I96:I150="NW",IF('Well Data-NK'!H96:H150="Prod",'Well Data-NK'!P96:P150))))</t>
  </si>
  <si>
    <t>COUNT(IF('Well Data-NK'!E96:E150={"UB"},IF('Well Data-NK'!I96:I150="NW",IF('Well Data-NK'!H96:H150="Prod",'Well Data-NK'!P96:P150))))</t>
  </si>
  <si>
    <t>COUNT(IF('Well Data-NK'!E96:E150={"LB"},IF('Well Data-NK'!I96:I150="NW",IF('Well Data-NK'!H96:H150="Prod",'Well Data-NK'!P96:P150))))</t>
  </si>
  <si>
    <t>COUNT(IF('Well Data-NK'!E96:E150={"ZU","RT"},IF('Well Data-NK'!I96:I150="NW",IF('Well Data-NK'!H96:H150="Prod",'Well Data-NK'!P96:P150))))</t>
  </si>
  <si>
    <t>COUNT(IF('Well Data-NK'!E96:E150={"ZU","RT","LB","UB","MA"},IF('Well Data-NK'!I96:I150="NW",IF('Well Data-NK'!H96:H150="Prod",'Well Data-NK'!P96:P150))))</t>
  </si>
  <si>
    <t>AVERAGE(IF('Well Data-NK'!E96:E150={"MA"},IF('Well Data-NK'!I96:I150="NW",IF('Well Data-NK'!H96:H150="Prod",'Well Data-NK'!P96:P150))))</t>
  </si>
  <si>
    <t>AVERAGE(IF('Well Data-NK'!E96:E150={"UB"},IF('Well Data-NK'!I96:I150="NW",IF('Well Data-NK'!H96:H150="Prod",'Well Data-NK'!P96:P150))))</t>
  </si>
  <si>
    <t>AVERAGE(IF('Well Data-NK'!E96:E150={"LB"},IF('Well Data-NK'!I96:I150="NW",IF('Well Data-NK'!H96:H150="Prod",'Well Data-NK'!P96:P150))))</t>
  </si>
  <si>
    <t>AVERAGE(IF('Well Data-NK'!E96:E150={"ZU","RT"},IF('Well Data-NK'!I96:I150="NW",IF('Well Data-NK'!H96:H150="Prod",'Well Data-NK'!P96:P150))))</t>
  </si>
  <si>
    <t>AVERAGE(IF('Well Data-NK'!E96:E150={"ZU","RT","LB","UB","MA"},IF('Well Data-NK'!I96:I150="NW",IF('Well Data-NK'!H96:H150="Prod",'Well Data-NK'!P96:P150))))</t>
  </si>
  <si>
    <t>COUNT(IF('Well Data-NK'!E96:E150={"MA"},IF('Well Data-NK'!I96:I150="NW",IF('Well Data-NK'!H96:H150="Inj",'Well Data-NK'!P96:P150))))</t>
  </si>
  <si>
    <t>COUNT(IF('Well Data-NK'!E96:E150={"UB"},IF('Well Data-NK'!I96:I150="NW",IF('Well Data-NK'!H96:H150="Inj",'Well Data-NK'!P96:P150))))</t>
  </si>
  <si>
    <t>COUNT(IF('Well Data-NK'!E96:E150={"LB"},IF('Well Data-NK'!I96:I150="NW",IF('Well Data-NK'!H96:H150="Inj",'Well Data-NK'!P96:P150))))</t>
  </si>
  <si>
    <t>COUNT(IF('Well Data-NK'!E96:E150={"ZU","RT"},IF('Well Data-NK'!I96:I150="NW",IF('Well Data-NK'!H96:H150="Inj",'Well Data-NK'!P96:P150))))</t>
  </si>
  <si>
    <t>COUNT(IF('Well Data-NK'!E96:E150={"ZU","RT","LB","UB","MA"},IF('Well Data-NK'!I96:I150="NW",IF('Well Data-NK'!H96:H150="Inj",'Well Data-NK'!P96:P150))))</t>
  </si>
  <si>
    <t>AVERAGE(IF('Well Data-NK'!E96:E150={"MA"},IF('Well Data-NK'!I96:I150="NW",IF('Well Data-NK'!H96:H150="Inj",'Well Data-NK'!P96:P150))))</t>
  </si>
  <si>
    <t>AVERAGE(IF('Well Data-NK'!E96:E150={"UB"},IF('Well Data-NK'!I96:I150="NW",IF('Well Data-NK'!H96:H150="Inj",'Well Data-NK'!P96:P150))))</t>
  </si>
  <si>
    <t>AVERAGE(IF('Well Data-NK'!E96:E150={"LB"},IF('Well Data-NK'!I96:I150="NW",IF('Well Data-NK'!H96:H150="Inj",'Well Data-NK'!P96:P150))))</t>
  </si>
  <si>
    <t>AVERAGE(IF('Well Data-NK'!E96:E150={"ZU","RT"},IF('Well Data-NK'!I96:I150="NW",IF('Well Data-NK'!H96:H150="Inj",'Well Data-NK'!P96:P150))))</t>
  </si>
  <si>
    <t>AVERAGE(IF('Well Data-NK'!E96:E150={"ZU","RT","LB","UB","MA"},IF('Well Data-NK'!I96:I150="NW",IF('Well Data-NK'!H96:H150="Inj",'Well Data-NK'!P96:P150))))</t>
  </si>
  <si>
    <t>COUNT(IF('Well Data-NK'!E96:E150={"MA"},IF('Well Data-NK'!I96:I150="ST",IF('Well Data-NK'!H96:H150="Prod",'Well Data-NK'!P96:P150))))</t>
  </si>
  <si>
    <t>COUNT(IF('Well Data-NK'!E96:E150={"UB"},IF('Well Data-NK'!I96:I150="ST",IF('Well Data-NK'!H96:H150="Prod",'Well Data-NK'!P96:P150))))</t>
  </si>
  <si>
    <t>COUNT(IF('Well Data-NK'!E96:E150={"LB"},IF('Well Data-NK'!I96:I150="ST",IF('Well Data-NK'!H96:H150="Prod",'Well Data-NK'!P96:P150))))</t>
  </si>
  <si>
    <t>COUNT(IF('Well Data-NK'!E96:E150={"ZU","RT"},IF('Well Data-NK'!I96:I150="ST",IF('Well Data-NK'!H96:H150="Prod",'Well Data-NK'!P96:P150))))</t>
  </si>
  <si>
    <t>COUNT(IF('Well Data-NK'!E96:E150={"ZU","RT","LB","UB","MA"},IF('Well Data-NK'!I96:I150="ST",IF('Well Data-NK'!H96:H150="Prod",'Well Data-NK'!P96:P150))))</t>
  </si>
  <si>
    <t>AVERAGE(IF('Well Data-NK'!E96:E150={"MA"},IF('Well Data-NK'!I96:I150="ST",IF('Well Data-NK'!H96:H150="Prod",'Well Data-NK'!P96:P150))))</t>
  </si>
  <si>
    <t>AVERAGE(IF('Well Data-NK'!E96:E150={"UB"},IF('Well Data-NK'!I96:I150="ST",IF('Well Data-NK'!H96:H150="Prod",'Well Data-NK'!P96:P150))))</t>
  </si>
  <si>
    <t>AVERAGE(IF('Well Data-NK'!E96:E150={"LB"},IF('Well Data-NK'!I96:I150="ST",IF('Well Data-NK'!H96:H150="Prod",'Well Data-NK'!P96:P150))))</t>
  </si>
  <si>
    <t>AVERAGE(IF('Well Data-NK'!E96:E150={"ZU","RT"},IF('Well Data-NK'!I96:I150="ST",IF('Well Data-NK'!H96:H150="Prod",'Well Data-NK'!P96:P150))))</t>
  </si>
  <si>
    <t>AVERAGE(IF('Well Data-NK'!E96:E150={"ZU","RT","LB","UB","MA"},IF('Well Data-NK'!I96:I150="ST",IF('Well Data-NK'!H96:H150="Prod",'Well Data-NK'!P96:P150))))</t>
  </si>
  <si>
    <t>COUNT(IF('Well Data-NK'!E96:E150={"MA"},IF('Well Data-NK'!I96:I150="ST",IF('Well Data-NK'!H96:H150="Inj",'Well Data-NK'!P96:P150))))</t>
  </si>
  <si>
    <t>COUNT(IF('Well Data-NK'!E96:E150={"UB"},IF('Well Data-NK'!I96:I150="ST",IF('Well Data-NK'!H96:H150="Inj",'Well Data-NK'!P96:P150))))</t>
  </si>
  <si>
    <t>COUNT(IF('Well Data-NK'!E96:E150={"LB"},IF('Well Data-NK'!I96:I150="ST",IF('Well Data-NK'!H96:H150="Inj",'Well Data-NK'!P96:P150))))</t>
  </si>
  <si>
    <t>COUNT(IF('Well Data-NK'!E96:E150={"ZU","RT"},IF('Well Data-NK'!I96:I150="ST",IF('Well Data-NK'!H96:H150="Inj",'Well Data-NK'!P96:P150))))</t>
  </si>
  <si>
    <t>COUNT(IF('Well Data-NK'!E96:E150={"ZU","RT","LB","UB","MA"},IF('Well Data-NK'!I96:I150="ST",IF('Well Data-NK'!H96:H150="Inj",'Well Data-NK'!P96:P150))))</t>
  </si>
  <si>
    <t>AVERAGE(IF('Well Data-NK'!E96:E150={"MA"},IF('Well Data-NK'!I96:I150="ST",IF('Well Data-NK'!H96:H150="Inj",'Well Data-NK'!P96:P150))))</t>
  </si>
  <si>
    <t>AVERAGE(IF('Well Data-NK'!E96:E150={"UB"},IF('Well Data-NK'!I96:I150="ST",IF('Well Data-NK'!H96:H150="Inj",'Well Data-NK'!P96:P150))))</t>
  </si>
  <si>
    <t>AVERAGE(IF('Well Data-NK'!E96:E150={"LB"},IF('Well Data-NK'!I96:I150="ST",IF('Well Data-NK'!H96:H150="Inj",'Well Data-NK'!P96:P150))))</t>
  </si>
  <si>
    <t>AVERAGE(IF('Well Data-NK'!E96:E150={"ZU","RT"},IF('Well Data-NK'!I96:I150="ST",IF('Well Data-NK'!H96:H150="Inj",'Well Data-NK'!P96:P150))))</t>
  </si>
  <si>
    <t>AVERAGE(IF('Well Data-NK'!E96:E150={"ZU","RT","LB","UB","MA"},IF('Well Data-NK'!I96:I150="ST",IF('Well Data-NK'!H96:H150="Inj",'Well Data-NK'!P96:P150))))</t>
  </si>
  <si>
    <t>COUNT(IF('Well Data-NK'!E96:E150={"MA"},IF('Well Data-NK'!I96:I150="NW",IF('Well Data-NK'!P96:P150&lt;=PERCENTILE(IF('Well Data-NK'!E96:E150={"MA"},IF('Well Data-NK'!I96:I150="NW",'Well Data-NK'!P96:P150)),0.25),'Well Data-NK'!P96:P150))))</t>
  </si>
  <si>
    <t>COUNT(IF('Well Data-NK'!E96:E150={"UB"},IF('Well Data-NK'!I96:I150="NW",IF('Well Data-NK'!P96:P150&lt;=PERCENTILE(IF('Well Data-NK'!E96:E150={"UB"},IF('Well Data-NK'!I96:I150="NW",'Well Data-NK'!P96:P150)),0.25),'Well Data-NK'!P96:P150))))</t>
  </si>
  <si>
    <t>COUNT(IF('Well Data-NK'!E96:E150={"LB"},IF('Well Data-NK'!I96:I150="NW",IF('Well Data-NK'!P96:P150&lt;=PERCENTILE(IF('Well Data-NK'!E96:E150={"LB"},IF('Well Data-NK'!I96:I150="NW",'Well Data-NK'!P96:P150)),0.25),'Well Data-NK'!P96:P150))))</t>
  </si>
  <si>
    <t>COUNT(IF('Well Data-NK'!E96:E150={"ZU","RT"},IF('Well Data-NK'!I96:I150="NW",IF('Well Data-NK'!P96:P150&lt;=PERCENTILE(IF('Well Data-NK'!E96:E150={"ZU","RT"},IF('Well Data-NK'!I96:I150="NW",'Well Data-NK'!P96:P150)),0.25),'Well Data-NK'!P96:P150))))</t>
  </si>
  <si>
    <t>COUNT(IF('Well Data-NK'!E96:E150={"ZU","RT","LB","UB","MA"},IF('Well Data-NK'!I96:I150="NW",IF('Well Data-NK'!P96:P150&lt;=PERCENTILE(IF('Well Data-NK'!E96:E150={"ZU","RT","LB","UB","MA"},IF('Well Data-NK'!I96:I150="NW",'Well Data-NK'!P96:P150)),0.25),'Well Data-NK'!P96:P150))))</t>
  </si>
  <si>
    <t>AVERAGE(IF('Well Data-NK'!E96:E150={"MA"},IF('Well Data-NK'!I96:I150="NW",IF('Well Data-NK'!P96:P150&lt;=PERCENTILE(IF('Well Data-NK'!E96:E150={"MA"},IF('Well Data-NK'!I96:I150="NW",'Well Data-NK'!P96:P150)),0.25),'Well Data-NK'!P96:P150))))</t>
  </si>
  <si>
    <t>AVERAGE(IF('Well Data-NK'!E96:E150={"UB"},IF('Well Data-NK'!I96:I150="NW",IF('Well Data-NK'!P96:P150&lt;=PERCENTILE(IF('Well Data-NK'!E96:E150={"UB"},IF('Well Data-NK'!I96:I150="NW",'Well Data-NK'!P96:P150)),0.25),'Well Data-NK'!P96:P150))))</t>
  </si>
  <si>
    <t>AVERAGE(IF('Well Data-NK'!E96:E150={"LB"},IF('Well Data-NK'!I96:I150="NW",IF('Well Data-NK'!P96:P150&lt;=PERCENTILE(IF('Well Data-NK'!E96:E150={"LB"},IF('Well Data-NK'!I96:I150="NW",'Well Data-NK'!P96:P150)),0.25),'Well Data-NK'!P96:P150))))</t>
  </si>
  <si>
    <t>AVERAGE(IF('Well Data-NK'!E96:E150={"ZU","RT"},IF('Well Data-NK'!I96:I150="NW",IF('Well Data-NK'!P96:P150&lt;=PERCENTILE(IF('Well Data-NK'!E96:E150={"ZU","RT"},IF('Well Data-NK'!I96:I150="NW",'Well Data-NK'!P96:P150)),0.25),'Well Data-NK'!P96:P150))))</t>
  </si>
  <si>
    <t>AVERAGE(IF('Well Data-NK'!E96:E150={"ZU","RT","LB","UB","MA"},IF('Well Data-NK'!I96:I150="NW",IF('Well Data-NK'!P96:P150&lt;=PERCENTILE(IF('Well Data-NK'!E96:E150={"ZU","RT","LB","UB","MA"},IF('Well Data-NK'!I96:I150="NW",'Well Data-NK'!P96:P150)),0.25),'Well Data-NK'!P96:P150))))</t>
  </si>
  <si>
    <t>COUNT(IF('Well Data-NK'!E96:E150={"MA"},IF('Well Data-NK'!I96:I150="ST",IF('Well Data-NK'!P96:P150&lt;=PERCENTILE(IF('Well Data-NK'!E96:E150={"MA"},IF('Well Data-NK'!I96:I150="ST",'Well Data-NK'!P96:P150)),0.25),'Well Data-NK'!P96:P150))))</t>
  </si>
  <si>
    <t>COUNT(IF('Well Data-NK'!E96:E150={"UB"},IF('Well Data-NK'!I96:I150="ST",IF('Well Data-NK'!P96:P150&lt;=PERCENTILE(IF('Well Data-NK'!E96:E150={"UB"},IF('Well Data-NK'!I96:I150="ST",'Well Data-NK'!P96:P150)),0.25),'Well Data-NK'!P96:P150))))</t>
  </si>
  <si>
    <t>COUNT(IF('Well Data-NK'!E96:E150={"LB"},IF('Well Data-NK'!I96:I150="ST",IF('Well Data-NK'!P96:P150&lt;=PERCENTILE(IF('Well Data-NK'!E96:E150={"LB"},IF('Well Data-NK'!I96:I150="ST",'Well Data-NK'!P96:P150)),0.25),'Well Data-NK'!P96:P150,))))</t>
  </si>
  <si>
    <t>COUNT(IF('Well Data-NK'!E96:E150={"ZU","RT"},IF('Well Data-NK'!I96:I150="ST",IF('Well Data-NK'!P96:P150&lt;=PERCENTILE(IF('Well Data-NK'!E96:E150={"ZU","RT"},IF('Well Data-NK'!I96:I150="ST",'Well Data-NK'!P96:P150)),0.25),'Well Data-NK'!P96:P150))))</t>
  </si>
  <si>
    <t>COUNT(IF('Well Data-NK'!E96:E150={"ZU","RT","LB","UB","MA"},IF('Well Data-NK'!I96:I150="ST",IF('Well Data-NK'!P96:P150&lt;=PERCENTILE(IF('Well Data-NK'!E96:E150={"ZU","RT","LB","UB","MA"},IF('Well Data-NK'!I96:I150="ST",'Well Data-NK'!P96:P150)),0.25),'Well Data-NK'!P96:P150))))</t>
  </si>
  <si>
    <t>AVERAGE(IF('Well Data-NK'!E96:E150={"MA"},IF('Well Data-NK'!I96:I150="ST",IF('Well Data-NK'!P96:P150&lt;=PERCENTILE(IF('Well Data-NK'!E96:E150={"MA"},IF('Well Data-NK'!I96:I150="ST",'Well Data-NK'!P96:P150)),0.25),'Well Data-NK'!P96:P150))))</t>
  </si>
  <si>
    <t>AVERAGE(IF('Well Data-NK'!E96:E150={"UB"},IF('Well Data-NK'!I96:I150="ST",IF('Well Data-NK'!P96:P150&lt;=PERCENTILE(IF('Well Data-NK'!E96:E150={"UB"},IF('Well Data-NK'!I96:I150="ST",'Well Data-NK'!P96:P150)),0.25),'Well Data-NK'!P96:P150))))</t>
  </si>
  <si>
    <t>AVERAGE(IF('Well Data-NK'!E96:E150={"LB"},IF('Well Data-NK'!I96:I150="ST",IF('Well Data-NK'!P96:P150&lt;=PERCENTILE(IF('Well Data-NK'!E96:E150={"LB"},IF('Well Data-NK'!I96:I150="ST",'Well Data-NK'!P96:P150)),0.25),'Well Data-NK'!P96:P150,))))</t>
  </si>
  <si>
    <t>AVERAGE(IF('Well Data-NK'!E96:E150={"ZU","RT"},IF('Well Data-NK'!I96:I150="ST",IF('Well Data-NK'!P96:P150&lt;=PERCENTILE(IF('Well Data-NK'!E96:E150={"ZU","RT"},IF('Well Data-NK'!I96:I150="ST",'Well Data-NK'!P96:P150)),0.25),'Well Data-NK'!P96:P150))))</t>
  </si>
  <si>
    <t>AVERAGE(IF('Well Data-NK'!E96:E150={"ZU","RT","LB","UB","MA"},IF('Well Data-NK'!I96:I150="ST",IF('Well Data-NK'!P96:P150&lt;=PERCENTILE(IF('Well Data-NK'!E96:E150={"ZU","RT","LB","UB","MA"},IF('Well Data-NK'!I96:I150="ST",'Well Data-NK'!P96:P150)),0.25),'Well Data-NK'!P96:P150))))</t>
  </si>
  <si>
    <t>COUNT(IF('Well Data-NK'!E96:E150={"MA"},IF('Well Data-NK'!I96:I150="NW",IF('Well Data-NK'!H96:H150="Prod",IF('Well Data-NK'!P96:P150&lt;=PERCENTILE(IF('Well Data-NK'!E96:E150={"MA"},IF('Well Data-NK'!I96:I150="NW",IF('Well Data-NK'!H96:H150="Prod",'Well Data-NK'!P96:P150))),0.25),'Well Data-NK'!P96:P150)))))</t>
  </si>
  <si>
    <t>COUNT(IF('Well Data-NK'!E96:E150={"UB"},IF('Well Data-NK'!I96:I150="NW",IF('Well Data-NK'!H96:H150="Prod",IF('Well Data-NK'!P96:P150&lt;=PERCENTILE(IF('Well Data-NK'!E96:E150={"UB"},IF('Well Data-NK'!I96:I150="NW",IF('Well Data-NK'!H96:H150="Prod",'Well Data-NK'!P96:P150))),0.25),'Well Data-NK'!P96:P150)))))</t>
  </si>
  <si>
    <t>COUNT(IF('Well Data-NK'!E96:E150={"LB"},IF('Well Data-NK'!I96:I150="NW",IF('Well Data-NK'!H96:H150="Prod",IF('Well Data-NK'!P96:P150&lt;=PERCENTILE(IF('Well Data-NK'!E96:E150={"LB"},IF('Well Data-NK'!I96:I150="NW",IF('Well Data-NK'!H96:H150="Prod",'Well Data-NK'!P96:P150))),0.25),'Well Data-NK'!P96:P150)))))</t>
  </si>
  <si>
    <t>COUNT(IF('Well Data-NK'!E96:E150={"ZU","RT"},IF('Well Data-NK'!I96:I150="NW",IF('Well Data-NK'!H96:H150="Prod",IF('Well Data-NK'!P96:P150&lt;=PERCENTILE(IF('Well Data-NK'!E96:E150={"ZU","RT"},IF('Well Data-NK'!I96:I150="NW",IF('Well Data-NK'!H96:H150="Prod",'Well Data-NK'!P96:P150))),0.25),'Well Data-NK'!P96:P150)))))</t>
  </si>
  <si>
    <t>COUNT(IF('Well Data-NK'!E96:E150={"ZU","RT","LB","UB","MA"},IF('Well Data-NK'!I96:I150="NW",IF('Well Data-NK'!H96:H150="Prod",IF('Well Data-NK'!P96:P150&lt;=PERCENTILE(IF('Well Data-NK'!E96:E150={"ZU","RT","LB","UB","MA"},IF('Well Data-NK'!I96:I150="NW",IF('Well Data-NK'!H96:H150="Prod",'Well Data-NK'!P96:P150))),0.25),'Well Data-NK'!P96:P150)))))</t>
  </si>
  <si>
    <t>AVERAGE(IF('Well Data-NK'!E96:E150={"MA"},IF('Well Data-NK'!I96:I150="NW",IF('Well Data-NK'!H96:H150="Prod",IF('Well Data-NK'!P96:P150&lt;=PERCENTILE(IF('Well Data-NK'!E96:E150={"MA"},IF('Well Data-NK'!I96:I150="NW",IF('Well Data-NK'!H96:H150="Prod",'Well Data-NK'!P96:P150))),0.25),'Well Data-NK'!P96:P150)))))</t>
  </si>
  <si>
    <t>AVERAGE(IF('Well Data-NK'!E96:E150={"UB"},IF('Well Data-NK'!I96:I150="NW",IF('Well Data-NK'!H96:H150="Prod",IF('Well Data-NK'!P96:P150&lt;=PERCENTILE(IF('Well Data-NK'!E96:E150={"UB"},IF('Well Data-NK'!I96:I150="NW",IF('Well Data-NK'!H96:H150="Prod",'Well Data-NK'!P96:P150))),0.25),'Well Data-NK'!P96:P150)))))</t>
  </si>
  <si>
    <t>AVERAGE(IF('Well Data-NK'!E96:E150={"LB"},IF('Well Data-NK'!I96:I150="NW",IF('Well Data-NK'!H96:H150="Prod",IF('Well Data-NK'!P96:P150&lt;=PERCENTILE(IF('Well Data-NK'!E96:E150={"LB"},IF('Well Data-NK'!I96:I150="NW",IF('Well Data-NK'!H96:H150="Prod",'Well Data-NK'!P96:P150))),0.25),'Well Data-NK'!P96:P150)))))</t>
  </si>
  <si>
    <t>AVERAGE(IF('Well Data-NK'!E96:E150={"ZU","RT"},IF('Well Data-NK'!I96:I150="NW",IF('Well Data-NK'!H96:H150="Prod",IF('Well Data-NK'!P96:P150&lt;=PERCENTILE(IF('Well Data-NK'!E96:E150={"ZU","RT"},IF('Well Data-NK'!I96:I150="NW",IF('Well Data-NK'!H96:H150="Prod",'Well Data-NK'!P96:P150))),0.25),'Well Data-NK'!P96:P150)))))</t>
  </si>
  <si>
    <t>AVERAGE(IF('Well Data-NK'!E96:E150={"ZU","RT","LB","UB","MA"},IF('Well Data-NK'!I96:I150="NW",IF('Well Data-NK'!H96:H150="Prod",IF('Well Data-NK'!P96:P150&lt;=PERCENTILE(IF('Well Data-NK'!E96:E150={"ZU","RT","LB","UB","MA"},IF('Well Data-NK'!I96:I150="NW",IF('Well Data-NK'!H96:H150="Prod",'Well Data-NK'!P96:P150))),0.25),'Well Data-NK'!P96:P150)))))</t>
  </si>
  <si>
    <t>COUNT(IF('Well Data-NK'!E96:E150={"MA"},IF('Well Data-NK'!I96:I150="NW",IF('Well Data-NK'!H96:H150="Inj",IF('Well Data-NK'!P96:P150&lt;=PERCENTILE(IF('Well Data-NK'!E96:E150={"MA"},IF('Well Data-NK'!I96:I150="NW",IF('Well Data-NK'!H96:H150="Inj",'Well Data-NK'!P96:P150))),0.25),'Well Data-NK'!P96:P150)))))</t>
  </si>
  <si>
    <t>COUNT(IF('Well Data-NK'!E96:E150={"UB"},IF('Well Data-NK'!I96:I150="NW",IF('Well Data-NK'!H96:H150="Inj",IF('Well Data-NK'!P96:P150&lt;=PERCENTILE(IF('Well Data-NK'!E96:E150={"UB"},IF('Well Data-NK'!I96:I150="NW",IF('Well Data-NK'!H96:H150="Inj",'Well Data-NK'!P96:P150))),0.25),'Well Data-NK'!P96:P150)))))</t>
  </si>
  <si>
    <t>COUNT(IF('Well Data-NK'!E96:E150={"LB"},IF('Well Data-NK'!I96:I150="NW",IF('Well Data-NK'!H96:H150="Inj",IF('Well Data-NK'!P96:P150&lt;=PERCENTILE(IF('Well Data-NK'!E96:E150={"LB"},IF('Well Data-NK'!I96:I150="NW",IF('Well Data-NK'!H96:H150="Inj",'Well Data-NK'!P96:P150))),0.25),'Well Data-NK'!P96:P150)))))</t>
  </si>
  <si>
    <t>COUNT(IF('Well Data-NK'!E96:E150={"ZU","RT"},IF('Well Data-NK'!I96:I150="NW",IF('Well Data-NK'!H96:H150="Inj",IF('Well Data-NK'!P96:P150&lt;=PERCENTILE(IF('Well Data-NK'!E96:E150={"ZU","RT"},IF('Well Data-NK'!I96:I150="NW",IF('Well Data-NK'!H96:H150="Inj",'Well Data-NK'!P96:P150))),0.25),'Well Data-NK'!P96:P150)))))</t>
  </si>
  <si>
    <t>COUNT(IF('Well Data-NK'!E96:E150={"ZU","RT","LB","UB","MA"},IF('Well Data-NK'!I96:I150="NW",IF('Well Data-NK'!H96:H150="Inj",IF('Well Data-NK'!P96:P150&lt;=PERCENTILE(IF('Well Data-NK'!E96:E150={"ZU","RT","LB","UB","MA"},IF('Well Data-NK'!I96:I150="NW",IF('Well Data-NK'!H96:H150="Inj",'Well Data-NK'!P96:P150))),0.25),'Well Data-NK'!P96:P150)))))</t>
  </si>
  <si>
    <t>AVERAGE(IF('Well Data-NK'!E96:E150={"MA"},IF('Well Data-NK'!I96:I150="NW",IF('Well Data-NK'!H96:H150="Inj",IF('Well Data-NK'!P96:P150&lt;=PERCENTILE(IF('Well Data-NK'!E96:E150={"MA"},IF('Well Data-NK'!I96:I150="NW",IF('Well Data-NK'!H96:H150="Inj",'Well Data-NK'!P96:P150))),0.25),'Well Data-NK'!P96:P150)))))</t>
  </si>
  <si>
    <t>AVERAGE(IF('Well Data-NK'!E96:E150={"UB"},IF('Well Data-NK'!I96:I150="NW",IF('Well Data-NK'!H96:H150="Inj",IF('Well Data-NK'!P96:P150&lt;=PERCENTILE(IF('Well Data-NK'!E96:E150={"UB"},IF('Well Data-NK'!I96:I150="NW",IF('Well Data-NK'!H96:H150="Inj",'Well Data-NK'!P96:P150))),0.25),'Well Data-NK'!P96:P150)))))</t>
  </si>
  <si>
    <t>AVERAGE(IF('Well Data-NK'!E96:E150={"LB"},IF('Well Data-NK'!I96:I150="NW",IF('Well Data-NK'!H96:H150="Inj",IF('Well Data-NK'!P96:P150&lt;=PERCENTILE(IF('Well Data-NK'!E96:E150={"LB"},IF('Well Data-NK'!I96:I150="NW",IF('Well Data-NK'!H96:H150="Inj",'Well Data-NK'!P96:P150))),0.25),'Well Data-NK'!P96:P150)))))</t>
  </si>
  <si>
    <t>AVERAGE(IF('Well Data-NK'!E96:E150={"ZU","RT"},IF('Well Data-NK'!I96:I150="NW",IF('Well Data-NK'!H96:H150="Inj",IF('Well Data-NK'!P96:P150&lt;=PERCENTILE(IF('Well Data-NK'!E96:E150={"ZU","RT"},IF('Well Data-NK'!I96:I150="NW",IF('Well Data-NK'!H96:H150="Inj",'Well Data-NK'!P96:P150))),0.25),'Well Data-NK'!P96:P150)))))</t>
  </si>
  <si>
    <t>AVERAGE(IF('Well Data-NK'!E96:E150={"ZU","RT","LB","UB","MA"},IF('Well Data-NK'!I96:I150="NW",IF('Well Data-NK'!H96:H150="Inj",IF('Well Data-NK'!P96:P150&lt;=PERCENTILE(IF('Well Data-NK'!E96:E150={"ZU","RT","LB","UB","MA"},IF('Well Data-NK'!I96:I150="NW",IF('Well Data-NK'!H96:H150="Inj",'Well Data-NK'!P96:P150))),0.25),'Well Data-NK'!P96:P150)))))</t>
  </si>
  <si>
    <t>COUNT(IF('Well Data-NK'!E96:E150={"MA"},IF('Well Data-NK'!I96:I150="ST",IF('Well Data-NK'!H96:H150="Prod",IF('Well Data-NK'!P96:P150&lt;=PERCENTILE(IF('Well Data-NK'!E96:E150={"MA"},IF('Well Data-NK'!I96:I150="ST",IF('Well Data-NK'!H96:H150="Prod",'Well Data-NK'!P96:P150))),0.25),'Well Data-NK'!P96:P150)))))</t>
  </si>
  <si>
    <t>COUNT(IF('Well Data-NK'!E96:E150={"UB"},IF('Well Data-NK'!I96:I150="ST",IF('Well Data-NK'!H96:H150="Prod",IF('Well Data-NK'!P96:P150&lt;=PERCENTILE(IF('Well Data-NK'!E96:E150={"UB"},IF('Well Data-NK'!I96:I150="ST",IF('Well Data-NK'!H96:H150="Prod",'Well Data-NK'!P96:P150))),0.25),'Well Data-NK'!P96:P150)))))</t>
  </si>
  <si>
    <t>COUNT(IF('Well Data-NK'!E96:E150={"LB"},IF('Well Data-NK'!I96:I150="ST",IF('Well Data-NK'!H96:H150="Prod",IF('Well Data-NK'!P96:P150&lt;=PERCENTILE(IF('Well Data-NK'!E96:E150={"LB"},IF('Well Data-NK'!I96:I150="ST",IF('Well Data-NK'!H96:H150="Prod",'Well Data-NK'!P96:P150))),0.25),'Well Data-NK'!P96:P150)))))</t>
  </si>
  <si>
    <t>COUNT(IF('Well Data-NK'!E96:E150={"ZU","RT"},IF('Well Data-NK'!I96:I150="ST",IF('Well Data-NK'!H96:H150="Prod",IF('Well Data-NK'!P96:P150&lt;=PERCENTILE(IF('Well Data-NK'!E96:E150={"ZU","RT"},IF('Well Data-NK'!I96:I150="ST",IF('Well Data-NK'!H96:H150="Prod",'Well Data-NK'!P96:P150))),0.25),'Well Data-NK'!P96:P150)))))</t>
  </si>
  <si>
    <t>COUNT(IF('Well Data-NK'!E96:E150={"ZU","RT","LB","UB","MA"},IF('Well Data-NK'!I96:I150="ST",IF('Well Data-NK'!H96:H150="Prod",IF('Well Data-NK'!P96:P150&lt;=PERCENTILE(IF('Well Data-NK'!E96:E150={"ZU","RT","LB","UB","MA"},IF('Well Data-NK'!I96:I150="ST",IF('Well Data-NK'!H96:H150="Prod",'Well Data-NK'!P96:P150))),0.25),'Well Data-NK'!P96:P150)))))</t>
  </si>
  <si>
    <t>AVERAGE(IF('Well Data-NK'!E96:E150={"MA"},IF('Well Data-NK'!I96:I150="ST",IF('Well Data-NK'!H96:H150="Prod",IF('Well Data-NK'!P96:P150&lt;=PERCENTILE(IF('Well Data-NK'!E96:E150={"MA"},IF('Well Data-NK'!I96:I150="ST",IF('Well Data-NK'!H96:H150="Prod",'Well Data-NK'!P96:P150))),0.25),'Well Data-NK'!P96:P150)))))</t>
  </si>
  <si>
    <t>AVERAGE(IF('Well Data-NK'!E96:E150={"UB"},IF('Well Data-NK'!I96:I150="ST",IF('Well Data-NK'!H96:H150="Prod",IF('Well Data-NK'!P96:P150&lt;=PERCENTILE(IF('Well Data-NK'!E96:E150={"UB"},IF('Well Data-NK'!I96:I150="ST",IF('Well Data-NK'!H96:H150="Prod",'Well Data-NK'!P96:P150))),0.25),'Well Data-NK'!P96:P150)))))</t>
  </si>
  <si>
    <t>AVERAGE(IF('Well Data-NK'!E96:E150={"LB"},IF('Well Data-NK'!I96:I150="ST",IF('Well Data-NK'!H96:H150="Prod",IF('Well Data-NK'!P96:P150&lt;=PERCENTILE(IF('Well Data-NK'!E96:E150={"LB"},IF('Well Data-NK'!I96:I150="ST",IF('Well Data-NK'!H96:H150="Prod",'Well Data-NK'!P96:P150))),0.25),'Well Data-NK'!P96:P150)))))</t>
  </si>
  <si>
    <t>AVERAGE(IF('Well Data-NK'!E96:E150={"ZU","RT"},IF('Well Data-NK'!I96:I150="ST",IF('Well Data-NK'!H96:H150="Prod",IF('Well Data-NK'!P96:P150&lt;=PERCENTILE(IF('Well Data-NK'!E96:E150={"ZU","RT"},IF('Well Data-NK'!I96:I150="ST",IF('Well Data-NK'!H96:H150="Prod",'Well Data-NK'!P96:P150))),0.25),'Well Data-NK'!P96:P150)))))</t>
  </si>
  <si>
    <t>AVERAGE(IF('Well Data-NK'!E96:E150={"ZU","RT","LB","UB","MA"},IF('Well Data-NK'!I96:I150="ST",IF('Well Data-NK'!H96:H150="Prod",IF('Well Data-NK'!P96:P150&lt;=PERCENTILE(IF('Well Data-NK'!E96:E150={"ZU","RT","LB","UB","MA"},IF('Well Data-NK'!I96:I150="ST",IF('Well Data-NK'!H96:H150="Prod",'Well Data-NK'!P96:P150))),0.25),'Well Data-NK'!P96:P150)))))</t>
  </si>
  <si>
    <t>COUNT(IF('Well Data-NK'!E96:E150={"MA"},IF('Well Data-NK'!I96:I150="ST",IF('Well Data-NK'!H96:H150="Inj",IF('Well Data-NK'!P96:P150&lt;=PERCENTILE(IF('Well Data-NK'!E96:E150={"MA"},IF('Well Data-NK'!I96:I150="ST",IF('Well Data-NK'!H96:H150="Inj",'Well Data-NK'!P96:P150))),0.25),'Well Data-NK'!P96:P150)))))</t>
  </si>
  <si>
    <t>COUNT(IF('Well Data-NK'!E96:E150={"UB"},IF('Well Data-NK'!I96:I150="ST",IF('Well Data-NK'!H96:H150="Inj",IF('Well Data-NK'!P96:P150&lt;=PERCENTILE(IF('Well Data-NK'!E96:E150={"UB"},IF('Well Data-NK'!I96:I150="ST",IF('Well Data-NK'!H96:H150="Inj",'Well Data-NK'!P96:P150))),0.25),'Well Data-NK'!P96:P150)))))</t>
  </si>
  <si>
    <t>COUNT(IF('Well Data-NK'!E96:E150={"LB"},IF('Well Data-NK'!I96:I150="ST",IF('Well Data-NK'!H96:H150="Inj",IF('Well Data-NK'!P96:P150&lt;=PERCENTILE(IF('Well Data-NK'!E96:E150={"LB"},IF('Well Data-NK'!I96:I150="ST",IF('Well Data-NK'!H96:H150="Inj",'Well Data-NK'!P96:P150))),0.25),'Well Data-NK'!P96:P150)))))</t>
  </si>
  <si>
    <t>COUNT(IF('Well Data-NK'!E96:E150={"ZU","RT"},IF('Well Data-NK'!I96:I150="ST",IF('Well Data-NK'!H96:H150="Inj",IF('Well Data-NK'!P96:P150&lt;=PERCENTILE(IF('Well Data-NK'!E96:E150={"ZU","RT"},IF('Well Data-NK'!I96:I150="ST",IF('Well Data-NK'!H96:H150="Inj",'Well Data-NK'!P96:P150))),0.25),'Well Data-NK'!P96:P150)))))</t>
  </si>
  <si>
    <t>COUNT(IF('Well Data-NK'!E96:E150={"ZU","RT","LB","UB","MA"},IF('Well Data-NK'!I96:I150="ST",IF('Well Data-NK'!H96:H150="Inj",IF('Well Data-NK'!P96:P150&lt;=PERCENTILE(IF('Well Data-NK'!E96:E150={"ZU","RT","LB","UB","MA"},IF('Well Data-NK'!I96:I150="ST",IF('Well Data-NK'!H96:H150="Inj",'Well Data-NK'!P96:P150))),0.25),'Well Data-NK'!P96:P150)))))</t>
  </si>
  <si>
    <t>AVERAGE(IF('Well Data-NK'!E96:E150={"MA"},IF('Well Data-NK'!I96:I150="ST",IF('Well Data-NK'!H96:H150="Inj",IF('Well Data-NK'!P96:P150&lt;=PERCENTILE(IF('Well Data-NK'!E96:E150={"MA"},IF('Well Data-NK'!I96:I150="ST",IF('Well Data-NK'!H96:H150="Inj",'Well Data-NK'!P96:P150))),0.25),'Well Data-NK'!P96:P150)))))</t>
  </si>
  <si>
    <t>AVERAGE(IF('Well Data-NK'!E96:E150={"UB"},IF('Well Data-NK'!I96:I150="ST",IF('Well Data-NK'!H96:H150="Inj",IF('Well Data-NK'!P96:P150&lt;=PERCENTILE(IF('Well Data-NK'!E96:E150={"UB"},IF('Well Data-NK'!I96:I150="ST",IF('Well Data-NK'!H96:H150="Inj",'Well Data-NK'!P96:P150))),0.25),'Well Data-NK'!P96:P150)))))</t>
  </si>
  <si>
    <t>AVERAGE(IF('Well Data-NK'!E96:E150={"LB"},IF('Well Data-NK'!I96:I150="ST",IF('Well Data-NK'!H96:H150="Inj",IF('Well Data-NK'!P96:P150&lt;=PERCENTILE(IF('Well Data-NK'!E96:E150={"LB"},IF('Well Data-NK'!I96:I150="ST",IF('Well Data-NK'!H96:H150="Inj",'Well Data-NK'!P96:P150))),0.25),'Well Data-NK'!P96:P150)))))</t>
  </si>
  <si>
    <t>AVERAGE(IF('Well Data-NK'!E96:E150={"ZU","RT"},IF('Well Data-NK'!I96:I150="ST",IF('Well Data-NK'!H96:H150="Inj",IF('Well Data-NK'!P96:P150&lt;=PERCENTILE(IF('Well Data-NK'!E96:E150={"ZU","RT"},IF('Well Data-NK'!I96:I150="ST",IF('Well Data-NK'!H96:H150="Inj",'Well Data-NK'!P96:P150))),0.25),'Well Data-NK'!P96:P150)))))</t>
  </si>
  <si>
    <t>AVERAGE(IF('Well Data-NK'!E96:E150={"ZU","RT","LB","UB","MA"},IF('Well Data-NK'!I96:I150="ST",IF('Well Data-NK'!H96:H150="Inj",IF('Well Data-NK'!P96:P150&lt;=PERCENTILE(IF('Well Data-NK'!E96:E150={"ZU","RT","LB","UB","MA"},IF('Well Data-NK'!I96:I150="ST",IF('Well Data-NK'!H96:H150="Inj",'Well Data-NK'!P96:P150))),0.25),'Well Data-NK'!P96:P150)))))</t>
  </si>
  <si>
    <t>Original table</t>
  </si>
  <si>
    <t>TEST Table</t>
  </si>
  <si>
    <t>P(50) Average</t>
  </si>
  <si>
    <t>P(25) Top 25% Average</t>
  </si>
  <si>
    <t>AAP 04/2014-Current</t>
  </si>
  <si>
    <t>NW PROD PLAN</t>
  </si>
  <si>
    <t>NW INJ PLAN</t>
  </si>
  <si>
    <t>ST PROD PLAN</t>
  </si>
  <si>
    <t>ST INJ PLAN</t>
  </si>
  <si>
    <t>Plan/Actual</t>
  </si>
  <si>
    <t>Average Type</t>
  </si>
  <si>
    <t>Either</t>
  </si>
  <si>
    <t>P50</t>
  </si>
  <si>
    <t>P25</t>
  </si>
  <si>
    <t>Averages</t>
  </si>
  <si>
    <t>Date Range</t>
  </si>
  <si>
    <t>2014 AAP</t>
  </si>
  <si>
    <t>Sort order</t>
  </si>
  <si>
    <t>Table Lable</t>
  </si>
  <si>
    <t>NW/ST</t>
  </si>
  <si>
    <t>DRILLED</t>
  </si>
  <si>
    <t>ROL</t>
  </si>
  <si>
    <t>BUDGET ISSUE</t>
  </si>
  <si>
    <t>MATERIAL ISSUE</t>
  </si>
  <si>
    <t>SITE PREPERATION</t>
  </si>
  <si>
    <t>2015-2016 DP</t>
  </si>
  <si>
    <t>Rig</t>
  </si>
  <si>
    <t>Objective</t>
  </si>
  <si>
    <t>Status</t>
  </si>
  <si>
    <t>DP</t>
  </si>
  <si>
    <t>Completion</t>
  </si>
  <si>
    <t>Connection</t>
  </si>
  <si>
    <t>Drilling Days</t>
  </si>
  <si>
    <t>Expected Rate</t>
  </si>
  <si>
    <t>SA-0221ST_13/14</t>
  </si>
  <si>
    <t xml:space="preserve">KDC-28 </t>
  </si>
  <si>
    <t>SP</t>
  </si>
  <si>
    <t>Sidetrack</t>
  </si>
  <si>
    <t>Drilled</t>
  </si>
  <si>
    <t>15-16</t>
  </si>
  <si>
    <t>Before</t>
  </si>
  <si>
    <t>RQ-180_13/14</t>
  </si>
  <si>
    <t>New Well</t>
  </si>
  <si>
    <t>RQ-181_13/14</t>
  </si>
  <si>
    <t>SA-483_13/14</t>
  </si>
  <si>
    <t>SA-184(INJ)_13/14</t>
  </si>
  <si>
    <t>SI</t>
  </si>
  <si>
    <t>RA-489_12/13</t>
  </si>
  <si>
    <t>RA-0178ST_13/14</t>
  </si>
  <si>
    <t>RA-0554_13/14</t>
  </si>
  <si>
    <t>RA-559_13/14</t>
  </si>
  <si>
    <t>RA-0398 (RA- MA- SP- P- HST-ICD)</t>
  </si>
  <si>
    <t>SA- MA- SI- INJ- Horizontal-Open hole ( SAMA-INJ-15-16-1)</t>
  </si>
  <si>
    <t>SA- MA- SP- P- Horizontal-ICD (SAMA-P-15-16-1)</t>
  </si>
  <si>
    <t>SA- MA- SP- P- Horizontal-ICD (SAMA-P-15-16-2)</t>
  </si>
  <si>
    <t>SA- MA- SP- P- Horizontal-ICD (SAMA-P-15-16-3)</t>
  </si>
  <si>
    <t>After</t>
  </si>
  <si>
    <t>RAMA-P-15-16-17</t>
  </si>
  <si>
    <t>SA-0562_13/14</t>
  </si>
  <si>
    <t>SA-0328ST(INJ)_13/14</t>
  </si>
  <si>
    <t>RA-0557_13/14</t>
  </si>
  <si>
    <t>RA-0152 ST_13/14</t>
  </si>
  <si>
    <t>RA-0555 (RA- LB- SP- P- Slant-SSICD_13/14)</t>
  </si>
  <si>
    <t>RA-0381 (RA- MA- SP- P- HST-ICD 14/15)</t>
  </si>
  <si>
    <t>SA-0574 (SA- RT- SP- H-ICD 14/15 )</t>
  </si>
  <si>
    <t>RA- MA- SP- P- Horizontal-AICD (RAMA-P-15-16-1)</t>
  </si>
  <si>
    <t>RA-0282ST (V -&gt; HST)_13/14</t>
  </si>
  <si>
    <t>SINOPEC -158</t>
  </si>
  <si>
    <t>SA-0135 ST_13/14</t>
  </si>
  <si>
    <t>SA-0372 ST_13/14</t>
  </si>
  <si>
    <t>RA-0303 (MA HST-INJ_13/14)</t>
  </si>
  <si>
    <t>SA- MA- SP- P- Horizontal-ICD (SAMA-P-15-16-4)</t>
  </si>
  <si>
    <t>RA MA- SP- H- ICD (RAMA-P-15-16-12)</t>
  </si>
  <si>
    <t>RA- MA- SP- P- Horizontal-ICD (RAMA-P-15-16-3)</t>
  </si>
  <si>
    <t>RA-UB-P15-16-7</t>
  </si>
  <si>
    <t>SA-0559 (EOR)</t>
  </si>
  <si>
    <t>SINOPEC -159</t>
  </si>
  <si>
    <t>SA-0561 (EOR)</t>
  </si>
  <si>
    <t>SA-0393_12/13</t>
  </si>
  <si>
    <t>SA-0381 (MA HST SI-DPNG ZU)</t>
  </si>
  <si>
    <t>RA-0222 (MA HST INJ)</t>
  </si>
  <si>
    <t>RA-0270 (RA- MA- SI- INJ- HST-Open hole)</t>
  </si>
  <si>
    <t xml:space="preserve"> RA-0046 (RA- MA- SP- P- HST-ICD )</t>
  </si>
  <si>
    <t>RA- MA- SP- P- HST-ICD(RA-0018)</t>
  </si>
  <si>
    <t>SA- MA- SP- P- Horizontal-ICD (SAMA-P-15-16-5)</t>
  </si>
  <si>
    <t>RA- MA- SP- P- Horizontal-ICD (RAMA-P-15-16-4)</t>
  </si>
  <si>
    <t>SINOPEC -185</t>
  </si>
  <si>
    <t>SA-322 ST</t>
  </si>
  <si>
    <t>SA-115 ST (INJ)_12/13</t>
  </si>
  <si>
    <t>RA- MA- SI- INJ- HST-Open hole (RA-0304 )</t>
  </si>
  <si>
    <t>RA-0479 (MA SP NCW-ICD)</t>
  </si>
  <si>
    <t xml:space="preserve">SA-0573 (SA- ZU- SP- H-ICD 14/15) </t>
  </si>
  <si>
    <t xml:space="preserve">RA - MA - SP - NCW - ICD SOUTH 9 (15-16-2)_ PAD1 </t>
  </si>
  <si>
    <t>RA - LB - SP - NCW - ICD - (15 -16 - 3)_ PAD1</t>
  </si>
  <si>
    <t>RA-ZU-2812-SLANT-LINER (15-16-3)_PAD1</t>
  </si>
  <si>
    <t>TO BE REMOVED</t>
  </si>
  <si>
    <t>SA-0254ST</t>
  </si>
  <si>
    <t>SINOPEC -186</t>
  </si>
  <si>
    <t>SA-158</t>
  </si>
  <si>
    <t>(SA-0431) SA- MA- SI-HST-Open hole_13/14</t>
  </si>
  <si>
    <t>SA- MA- SP- HST-ICD 14/15 (SA-0398)</t>
  </si>
  <si>
    <t>SA-0519 (SA- MA- SP- P- Horizontal-ICD-15-16-7)</t>
  </si>
  <si>
    <t>SA-0137 (SA- MA- SP-HST-ICD 14/15)</t>
  </si>
  <si>
    <t>SA- MA- SP- H-ICD (SAMA-P-15-16-10)</t>
  </si>
  <si>
    <t>SA- MA- SP-H-ICD (SAMA-P-15-16-8)</t>
  </si>
  <si>
    <t>RA- MA- SP- P- Horizontal-ICD (RAMA-P-15-16-6)</t>
  </si>
  <si>
    <t>SA-UB-INJ-15-16-2</t>
  </si>
  <si>
    <t>SA- ZU- SP- P- Horizontal-ICD (SA-516)_12/13</t>
  </si>
  <si>
    <t>SA-0373 (SA- MA- SP-HST-ICD)</t>
  </si>
  <si>
    <t>SA-0306 (SA- MA-SP-HST-ICD 14/15)</t>
  </si>
  <si>
    <t>SA- MA- SI-H-Open hole ( SAMA-INJ-15-16-3)</t>
  </si>
  <si>
    <t xml:space="preserve"> RA- UB- SP-H-ICD  (RAUB-P-15-16-1)</t>
  </si>
  <si>
    <t>SA- MA- SP- P- Horizontal-ICD (SAMA-P-15-16-9)</t>
  </si>
  <si>
    <t>SA- UB- SP- Slant-SSICD  (SAUB-P-15-16-1)</t>
  </si>
  <si>
    <t>SA-LB-P-15-16-10</t>
  </si>
  <si>
    <t>RA- ZU- SP-HAW (RA-477)_13/14</t>
  </si>
  <si>
    <t xml:space="preserve"> SA-0188 (SA- MA- SI-HST-open hole 14/15)</t>
  </si>
  <si>
    <t>SA- MA- SP-H-ICD 14/15</t>
  </si>
  <si>
    <t>RA- ZU- SP-H-ICD (RA ZU 4)  RA-0446 ( 13/14)</t>
  </si>
  <si>
    <t>RA- MA- SP-H-ICD (RAMA-P-15-16-8)</t>
  </si>
  <si>
    <t>RA- MA- SP-H-ICD (RA MA-P 15-16-1A)</t>
  </si>
  <si>
    <t>SA-MA-P-15-16-23</t>
  </si>
  <si>
    <t>SA- LB- SP-Slant-SSICD (SA-556)</t>
  </si>
  <si>
    <t>SA-0156 (SA- MA- SI- INJ- HST-Open hole-15-16-4)</t>
  </si>
  <si>
    <t>RA-0449 (RA- MA- SP- Horizontal-Open hole-15-16-20)</t>
  </si>
  <si>
    <t>RA- LB- SP-Slant-SSICD (RALB-P-15-16-1)</t>
  </si>
  <si>
    <t>RA- LB- SP-NCW-ICD (RALB-P-15-16-2)</t>
  </si>
  <si>
    <t>RAMA-P-15-16-15</t>
  </si>
  <si>
    <t>RA-UB-P15-16-6</t>
  </si>
  <si>
    <t>RAMA-P-15-16-16</t>
  </si>
  <si>
    <t>RA-0561 (RA- UB- SP-H-SSICD_UB 32)</t>
  </si>
  <si>
    <t>KDC-25</t>
  </si>
  <si>
    <t>RA- MA- SP-Horizontal-ICD (RAMA-P-15-16-9)</t>
  </si>
  <si>
    <t>RA- UB- SP- H-ICD (RAUB-P-15-16-2)</t>
  </si>
  <si>
    <t>RA- MA- SP-H-ICD (RAMA-P-15-16-10)</t>
  </si>
  <si>
    <t>SA-MA-P-15-16-24</t>
  </si>
  <si>
    <t>RA-0560 (RA- ZU- SP-Horizontal-ICD (RA ZU 3)</t>
  </si>
  <si>
    <t>RA- UB- SP- Horizontal-ICD  (RAUB-P-15-16-3)</t>
  </si>
  <si>
    <t>RA- MA- SP- Horizontal-ICD (RAMA-P-15-16-11)</t>
  </si>
  <si>
    <t>SA-MA-P-15-16-25</t>
  </si>
  <si>
    <t>RA-ZU-15-16-1</t>
  </si>
  <si>
    <t>RA-0120 (MA SP HST ICD)</t>
  </si>
  <si>
    <t>SA--0405 (SA- MA- SP- P- HST-ICD 14/15)</t>
  </si>
  <si>
    <t>SA- UB- SP- H- ICD  (SAUB-P-15-16-2)</t>
  </si>
  <si>
    <t xml:space="preserve">SA- LB- SP- P- Horizontal-ICD (SALB-P-15-16-1) </t>
  </si>
  <si>
    <t>SA- MA- SP- P- Horizontal-ICD (SAMA-P-15-16-11)</t>
  </si>
  <si>
    <t>SA-0515</t>
  </si>
  <si>
    <t>SA-0570_13/14</t>
  </si>
  <si>
    <t>SA-0380 (SA- MA- SI-HST-open hole 14/15)</t>
  </si>
  <si>
    <t>RA- UB- SP-Horizontal-SSICD  (RAUB-P-15-16-4)</t>
  </si>
  <si>
    <t>RA- LB- SP- H- ICD (RALB-P-15-16-5)</t>
  </si>
  <si>
    <t>RA LB-P-15-16-9</t>
  </si>
  <si>
    <t>SA- UB- SP- P- Horizontal-ICD  (SAUB-P-15-16-3)</t>
  </si>
  <si>
    <t>SA- UB- SP-Horizontal-SSICD  (SAUB-P-15-16-4)</t>
  </si>
  <si>
    <t>SA- LB- SP- P- Horizontal-ICD (SALB-P-15-16-2)</t>
  </si>
  <si>
    <t>SA-0129 (SA- MA- SI- INJ- HST-Open hole-15-16-5)</t>
  </si>
  <si>
    <t>RA-0502 ML (ORIGINALY WAS RA- LB- SP- Slant-SSICD-P-15-16-6 &amp; RA- LB- SP- Horizontal-ICD (RALB-P-15-16-4)</t>
  </si>
  <si>
    <t>MLP</t>
  </si>
  <si>
    <t>RA- LB- SP- Horizontal-ICD (RALB-P-15-16-12)</t>
  </si>
  <si>
    <t>RA- MA- SI-HST-Open hole (RAMA-INJ-15-16-1)</t>
  </si>
  <si>
    <t>SA-0557 (MA EOR)</t>
  </si>
  <si>
    <t>SA-0558 (MA EOR)</t>
  </si>
  <si>
    <t>SA-0560 (MA EOR)</t>
  </si>
  <si>
    <t>RA-556</t>
  </si>
  <si>
    <t>SA-0171 (SA- MA- SP- P- HST-ICD_13/14)</t>
  </si>
  <si>
    <t>RA- UB- SP- Horizontal-SSICD  (RAUB-P-15-16-5)</t>
  </si>
  <si>
    <t>RA- LB- SP-Slant-SSICD (RALB-P-15-16-7)</t>
  </si>
  <si>
    <t>SA- MA- SP- P- Horizontal-AICD (SAMA-P-15-16-12)</t>
  </si>
  <si>
    <t>SA- LB- SP-Slant-ICD  (SALB-P-15-16-4)</t>
  </si>
  <si>
    <t>RAMA-P-15-16-18</t>
  </si>
  <si>
    <t>RA- ZU- ML- Producer- Horizontal-ICD</t>
  </si>
  <si>
    <t>Additional Rig 1</t>
  </si>
  <si>
    <t>SA-MA-P-15-16-26</t>
  </si>
  <si>
    <t>SA-UB-INJ-15-16-1</t>
  </si>
  <si>
    <t>SA-MA-P-15-16-27</t>
  </si>
  <si>
    <t>Additional Rig 2</t>
  </si>
  <si>
    <t>SA- LB- SP- P- Horizontal-SS  (SALB-P-15-16-5)</t>
  </si>
  <si>
    <t>RA- MA- SI- INJ- HST-Open hole (RAMA-INJ-15-16-2)</t>
  </si>
  <si>
    <t>RA- MA- SI- INJ- HST-Open hole (RAMA-INJ-15-16-3)</t>
  </si>
  <si>
    <t>SAUB-P-15-16-7</t>
  </si>
  <si>
    <t>RA- MA- SP- P- Horizontal-ICD (RAMA-P-15-16-13)</t>
  </si>
  <si>
    <t>Additional Rig 3</t>
  </si>
  <si>
    <t>SA- ZU- SP- P- deviated-cased hole (SA-0075)</t>
  </si>
  <si>
    <t>RA- MA- SP- Horizontal-ICD (RAMA-P-15-16-14)</t>
  </si>
  <si>
    <t>SA-UB-INJ-15-16-3</t>
  </si>
  <si>
    <t>SA- MA- SP- P- HST-ICD (SA-0432)</t>
  </si>
  <si>
    <t>Additional Rig 4</t>
  </si>
  <si>
    <t>RA-LB-P-15-16-15</t>
  </si>
  <si>
    <t>RA- MA- SI- INJ- Horizontal-Open hole (RAMA-INJ-15-16-4)</t>
  </si>
  <si>
    <t>SA- MA- SP-Horizontal-ICD (SAMA-P-15-16-13)</t>
  </si>
  <si>
    <t>SA- MA- SI-H-Open hole ( SAMA-INJ-15-16-7)</t>
  </si>
  <si>
    <t>RA-ZU-15-16-2</t>
  </si>
  <si>
    <t>SA- MA- SI-H-Open hole ( SAMA-INJ-15-16-10)</t>
  </si>
  <si>
    <t>RA- LB- SP- P- Horizontal-SSICD (RALB-P-15-16-8)</t>
  </si>
  <si>
    <t>Additional Rig 5</t>
  </si>
  <si>
    <t>SA- MA- SI- INJ- HST-Open hole ( SAMA-INJ-15-16-6)</t>
  </si>
  <si>
    <t>SA- MA- SI- INJ- Horizontal-Open hole (( SAMA-INJ-15-16-2)</t>
  </si>
  <si>
    <t>SA- MA- SP-Horizontal-ICD (SAMA-P-15-16-14)</t>
  </si>
  <si>
    <t>SA- MA- SP-Horizontal-ICD (SAMA-P-15-16-15)</t>
  </si>
  <si>
    <t>Additional Rig 6</t>
  </si>
  <si>
    <t>RA- LB- SP- Horizontal-ICD (RALB-P-15-16-11)</t>
  </si>
  <si>
    <t>SA- MA- SP-Horizontal-ICD (SAMA-P-15-16-16)</t>
  </si>
  <si>
    <t>SA- MA- SI-H-Open hole ( SAMA-INJ-15-16-12)</t>
  </si>
  <si>
    <t>SA- LB- SP- P- Horizontal-SS  (SALB-P-15-16-6)</t>
  </si>
  <si>
    <t>Additional Rig 7</t>
  </si>
  <si>
    <t>SA- MA- SP-Horizontal-ICD (SAMA-P-15-16-17)</t>
  </si>
  <si>
    <t>SA-MA-P-15-16-28</t>
  </si>
  <si>
    <t>SA- MA- SP-Horizontal-ICD (SAMA-P-15-16-18)</t>
  </si>
  <si>
    <t>Additional Rig 8</t>
  </si>
  <si>
    <t>RA-ZU-15-16-4</t>
  </si>
  <si>
    <t>SA- LB- SP- P- Horizontal-SS  (SALB-P-15-16-7)</t>
  </si>
  <si>
    <t>Additional Rig 9</t>
  </si>
  <si>
    <t>SA- MA- SI-H-Open hole ( SAMA-INJ-15-16-8)</t>
  </si>
  <si>
    <t>SA- MA- SP-Horizontal-ICD (SAMA-P-15-16-19)</t>
  </si>
  <si>
    <t>RA- LB- SP- Horizontal-ICD (RALB-P-15-16-13)</t>
  </si>
  <si>
    <t>Additional Rig 10</t>
  </si>
  <si>
    <t>RA- MA- SI- Horizontal-Open hole (RAMA-INJ-15-16-6)</t>
  </si>
  <si>
    <t>SAUB-P-15-16-6</t>
  </si>
  <si>
    <t>RA- MA- SI- Horizontal-Open hole (RAMA-INJ-15-16-7) RA-0451 (11/12)</t>
  </si>
  <si>
    <t>Additional Rig 11</t>
  </si>
  <si>
    <t>RA- MA- SI- Horizontal-Open hole (RAMA-INJ-15-16-8) RA-0452 (11/12)</t>
  </si>
  <si>
    <t>SA- MA- SI-H-Open hole ( SAMA-INJ-15-16-9)</t>
  </si>
  <si>
    <t>SA- MA- SI-H-Open hole ( SAMA-INJ-15-16-11)</t>
  </si>
  <si>
    <t>SA- LB- SP- P- Horizontal-SS  (SALB-P-15-16-8)</t>
  </si>
  <si>
    <t>Additional Rig 12</t>
  </si>
  <si>
    <t>SA- MA- SP-Horizontal-ICD (SAMA-P-15-16-20)</t>
  </si>
  <si>
    <t>SA- LB- SP- P- Horizontal-SS  (SALB-P-15-16-9)</t>
  </si>
  <si>
    <t>SA- MA- SP-Horizontal-ICD (SAMA-P-15-16-21)</t>
  </si>
  <si>
    <t>Additional Rig 13</t>
  </si>
  <si>
    <t>SA- MA- SP-Horizontal-ICD (SAMA-P-15-16-22)</t>
  </si>
  <si>
    <t>AD-P-15-16-1</t>
  </si>
  <si>
    <t xml:space="preserve"> RA- MA- SP- P- H-ICD ( RAMA-P-15-16-5)</t>
  </si>
  <si>
    <t>Additional Rig 14</t>
  </si>
  <si>
    <t>SA- MA- SP- P- Horizontal-ICD (SAMA-P-15-16-6)</t>
  </si>
  <si>
    <t>SA-MA-P-15-16-29</t>
  </si>
  <si>
    <t>SA- LB- SP-Slant-SSICD (SALB-P-15-16-3)</t>
  </si>
  <si>
    <t>Additional Rig 15</t>
  </si>
  <si>
    <t>SA-MA-P-15-16-30</t>
  </si>
  <si>
    <t>SAUB-P-15-16-5</t>
  </si>
  <si>
    <t>RAMA-P-15-16-19</t>
  </si>
  <si>
    <t>Additional Rig 16</t>
  </si>
  <si>
    <t>RA- LB- SP- Horizontal-ICD (RALB-P-15-16-14)</t>
  </si>
  <si>
    <t>RA- LB- SP- Horizontal-ICD (RALB-P-15-16-10)</t>
  </si>
  <si>
    <t>NW Prod</t>
  </si>
  <si>
    <t>ST Prod</t>
  </si>
  <si>
    <t>NW Inj</t>
  </si>
  <si>
    <t>ST Inj</t>
  </si>
  <si>
    <t>Count Actual</t>
  </si>
  <si>
    <t>Percent of total 2014 AAP</t>
  </si>
  <si>
    <t>Count 2014 AAP</t>
  </si>
  <si>
    <t>Percent of total 15-16 Plan</t>
  </si>
  <si>
    <t>P50 QRI Days</t>
  </si>
  <si>
    <t>P50 15-16 Plan Days</t>
  </si>
  <si>
    <t>concatenate</t>
  </si>
  <si>
    <t>concatenate1</t>
  </si>
  <si>
    <t>NW-Prod</t>
  </si>
  <si>
    <t>ST-Inj</t>
  </si>
  <si>
    <t>NW-Inj</t>
  </si>
  <si>
    <t>NW-EOR</t>
  </si>
  <si>
    <t>NW-MLP</t>
  </si>
  <si>
    <t>ResCombo</t>
  </si>
  <si>
    <t xml:space="preserve">DRILLING DASHBORD SPREADSHEET ADDITIONS </t>
  </si>
  <si>
    <t>RASA TARGET</t>
  </si>
  <si>
    <t>15-16 DP Worksheets</t>
  </si>
  <si>
    <t>Target DEI</t>
  </si>
  <si>
    <t>P50 DEI</t>
  </si>
  <si>
    <t>P25 DEI</t>
  </si>
  <si>
    <t>Planning &amp; Trgt Times</t>
  </si>
  <si>
    <t>30 Rigs</t>
  </si>
  <si>
    <t>Current Date</t>
  </si>
  <si>
    <t>Amount of Rigs</t>
  </si>
  <si>
    <t>Current Rigs</t>
  </si>
  <si>
    <t>365 Days</t>
  </si>
  <si>
    <t>P50 Days</t>
  </si>
  <si>
    <t>P25 Days</t>
  </si>
  <si>
    <t>Total Rig days + Rig move days</t>
  </si>
  <si>
    <t>Total Rig Days + Rig Move Days</t>
  </si>
  <si>
    <t>Days left this year</t>
  </si>
  <si>
    <t>16 Rigs</t>
  </si>
  <si>
    <t>Current Rigs (change above)</t>
  </si>
  <si>
    <t>2015-2015 DP</t>
  </si>
  <si>
    <t>% (Count/Total Count)</t>
  </si>
  <si>
    <t>Composite Count (Total 2014-2015 AAP count by Res)</t>
  </si>
  <si>
    <t>%*(Average Type)</t>
  </si>
  <si>
    <t>Sum (%*Average Type) By Res</t>
  </si>
  <si>
    <t>Count 15-16 DP</t>
  </si>
  <si>
    <t>15-16 DP % (Count/Total Count)</t>
  </si>
  <si>
    <t>Total 15-16 DP Wells</t>
  </si>
  <si>
    <t>15-16 DP %*(Average Type)</t>
  </si>
  <si>
    <t>Averages (Assuming P50 Prod have the same P50 as Inj (where blank))</t>
  </si>
  <si>
    <t>Total weighted Avg</t>
  </si>
  <si>
    <t>RA-0303HST</t>
  </si>
  <si>
    <t>SA-0188</t>
  </si>
  <si>
    <t>SA-0188ST</t>
  </si>
  <si>
    <t>SA-0188HST1</t>
  </si>
  <si>
    <t>RA-0303HST1</t>
  </si>
  <si>
    <t>Wells Per Rig / Year</t>
  </si>
  <si>
    <t>Wells with 21 Rigs</t>
  </si>
  <si>
    <t>Top Quartile</t>
  </si>
  <si>
    <t xml:space="preserve">2014 / 15 AAP </t>
  </si>
  <si>
    <t>2015 / 16  Drilling Plan</t>
  </si>
  <si>
    <t>Current Avg Days / Well 49.2</t>
  </si>
  <si>
    <t>Target Reservoir</t>
  </si>
  <si>
    <t>Mechanical NPT Days</t>
  </si>
  <si>
    <t>RA-0502</t>
  </si>
  <si>
    <t>TD Depth</t>
  </si>
  <si>
    <t>QRI Cmpl Index (by year) (RR)</t>
  </si>
  <si>
    <t>QRI Cmpl Index (ALL TIME) (RR)</t>
  </si>
  <si>
    <t>SA-0519</t>
  </si>
  <si>
    <t>SA-0578</t>
  </si>
  <si>
    <t>SA-0373HST</t>
  </si>
  <si>
    <t>SA-0373HST1</t>
  </si>
  <si>
    <t>SA-0519H</t>
  </si>
  <si>
    <t>SA-0156HST</t>
  </si>
  <si>
    <t>SA-0156HST1</t>
  </si>
  <si>
    <t>RA-0395HST</t>
  </si>
  <si>
    <t>RA-0502H</t>
  </si>
  <si>
    <t>SA-0380HST1</t>
  </si>
  <si>
    <t>SA-0381HST1</t>
  </si>
  <si>
    <t>SA-0573H</t>
  </si>
  <si>
    <t>SA-0573</t>
  </si>
  <si>
    <t>RA-0562</t>
  </si>
  <si>
    <t>RA-0562H</t>
  </si>
  <si>
    <t>RA-0395HST1</t>
  </si>
  <si>
    <t>QRI Cmpl Index (AAP) (RR)</t>
  </si>
  <si>
    <t>SA-0575</t>
  </si>
  <si>
    <t>SA-0575H</t>
  </si>
  <si>
    <t>RA-0398HST1</t>
  </si>
  <si>
    <t>SA-0398HST1</t>
  </si>
  <si>
    <t>RA-0381HST1</t>
  </si>
  <si>
    <t>SA-0574H</t>
  </si>
  <si>
    <t>SA-0574</t>
  </si>
  <si>
    <t>SA-0401HST</t>
  </si>
  <si>
    <t>SA-0401HST1</t>
  </si>
  <si>
    <t>RA-0449</t>
  </si>
  <si>
    <t>RA-0222HST1</t>
  </si>
  <si>
    <t>RA-0449H</t>
  </si>
  <si>
    <t>RA-0222HST</t>
  </si>
  <si>
    <t>E</t>
  </si>
  <si>
    <t>AAP_Spud_to_RR</t>
  </si>
  <si>
    <t>AAP_Well_Type</t>
  </si>
  <si>
    <t>AAP_Form</t>
  </si>
  <si>
    <t>AAP_Prod_Inj</t>
  </si>
  <si>
    <t>AAP_Planned_Spud_to_RR</t>
  </si>
  <si>
    <t>RA-0398HST</t>
  </si>
  <si>
    <t>SA-0576</t>
  </si>
  <si>
    <t>SA-0576H</t>
  </si>
  <si>
    <t>SA-0579H</t>
  </si>
  <si>
    <t>SA-0579</t>
  </si>
  <si>
    <t>RA-0566</t>
  </si>
  <si>
    <t>RA-0566H</t>
  </si>
  <si>
    <t>RA-0392HST</t>
  </si>
  <si>
    <t>RA-0392HST1</t>
  </si>
  <si>
    <t>10 Well Trailing Average</t>
  </si>
  <si>
    <t>SA-0577</t>
  </si>
  <si>
    <t>SA-0577H</t>
  </si>
  <si>
    <t>RA-0564</t>
  </si>
  <si>
    <t>Average Wells Per Month</t>
  </si>
  <si>
    <t>RA-0568</t>
  </si>
  <si>
    <t>SA-0583</t>
  </si>
  <si>
    <t>SA-0584</t>
  </si>
  <si>
    <t>SA-0474H</t>
  </si>
  <si>
    <t>Well Type - Drill Times (DP 2015-2016)</t>
  </si>
  <si>
    <t>2015 AAP (09/1/2014 to current)</t>
  </si>
  <si>
    <t>D</t>
  </si>
  <si>
    <t>O</t>
  </si>
  <si>
    <t>AR</t>
  </si>
  <si>
    <t>Rig_Release_Date</t>
  </si>
  <si>
    <t>Spud_Date</t>
  </si>
  <si>
    <t>RA-0561</t>
  </si>
  <si>
    <t>HZ</t>
  </si>
  <si>
    <t/>
  </si>
  <si>
    <t>SP-279</t>
  </si>
  <si>
    <t>SP-282</t>
  </si>
  <si>
    <t>SP-283</t>
  </si>
  <si>
    <t>SP-288</t>
  </si>
  <si>
    <t>SL</t>
  </si>
  <si>
    <t>RA-0568H</t>
  </si>
  <si>
    <t>RA-0578</t>
  </si>
  <si>
    <t>RA-0581</t>
  </si>
  <si>
    <t>Sperry</t>
  </si>
  <si>
    <t>SA-0589</t>
  </si>
  <si>
    <t>SA-0585</t>
  </si>
  <si>
    <t>RA-0570</t>
  </si>
  <si>
    <t>RA-0577</t>
  </si>
  <si>
    <t>RA-0567</t>
  </si>
  <si>
    <t>SA-0248ST</t>
  </si>
  <si>
    <t>RA-0580</t>
  </si>
  <si>
    <t>SA-0580</t>
  </si>
  <si>
    <t>RA-0565</t>
  </si>
  <si>
    <t>SA-0581</t>
  </si>
  <si>
    <t>RA-0576</t>
  </si>
  <si>
    <t>RA-0569</t>
  </si>
  <si>
    <t>RQ-0181</t>
  </si>
  <si>
    <t>SA-0587</t>
  </si>
  <si>
    <t>RA-0583</t>
  </si>
  <si>
    <t>RA-0579</t>
  </si>
  <si>
    <t>SA-0592</t>
  </si>
  <si>
    <t>RA-0563</t>
  </si>
  <si>
    <t>ML</t>
  </si>
  <si>
    <t>SA-0588</t>
  </si>
  <si>
    <t>SA-0582</t>
  </si>
  <si>
    <t>SA-0610</t>
  </si>
  <si>
    <t>RA-0571</t>
  </si>
  <si>
    <t>RA-0575</t>
  </si>
  <si>
    <t>SA-0586</t>
  </si>
  <si>
    <t>SA-0611</t>
  </si>
  <si>
    <t>RA-0590</t>
  </si>
  <si>
    <t>RA-0572</t>
  </si>
  <si>
    <t>SA-0590</t>
  </si>
  <si>
    <t>Comments</t>
  </si>
  <si>
    <t>ST-HZ-Inj</t>
  </si>
  <si>
    <t>ST-HZ-Prod</t>
  </si>
  <si>
    <t>NW-HZ-Inj</t>
  </si>
  <si>
    <t>NW-HZ-Prod</t>
  </si>
  <si>
    <t>NW-SL-Prod</t>
  </si>
  <si>
    <t>SA-ST-HZ-Inj</t>
  </si>
  <si>
    <t>SA-ST-HZ-Prod</t>
  </si>
  <si>
    <t>SA-NW-HZ-Inj</t>
  </si>
  <si>
    <t>SA-NW-HZ-Prod</t>
  </si>
  <si>
    <t>RA-ST-HZ-Inj</t>
  </si>
  <si>
    <t>RA-ST-HZ-Prod</t>
  </si>
  <si>
    <t>RA-NW-HZ-Inj</t>
  </si>
  <si>
    <t>RA-NW-HZ-Prod</t>
  </si>
  <si>
    <t>SA-NW-SL-Prod</t>
  </si>
  <si>
    <t>RA-NW-SL-Prod</t>
  </si>
  <si>
    <t>Well-RIG</t>
  </si>
  <si>
    <t>Estimated spud date (Estimated RR date + estimated Rig move (5))</t>
  </si>
  <si>
    <t>Estimated RR date (Estimated spud + planned days)</t>
  </si>
  <si>
    <t>NW__Inj</t>
  </si>
  <si>
    <t>NW__Prod</t>
  </si>
  <si>
    <t>_HZ_Inj</t>
  </si>
  <si>
    <t>_HZ_Prod</t>
  </si>
  <si>
    <t>ST__Inj</t>
  </si>
  <si>
    <t>ST__Prod</t>
  </si>
  <si>
    <t>ST_HZ_Prod</t>
  </si>
  <si>
    <t>ST_HZ_Inj</t>
  </si>
  <si>
    <t>NW_HZ_Prod</t>
  </si>
  <si>
    <t>NW_HZ_Inj</t>
  </si>
  <si>
    <t>NW_SL_Prod</t>
  </si>
  <si>
    <t>NW_HZ_MLP</t>
  </si>
  <si>
    <t>ST_SL_Prod</t>
  </si>
  <si>
    <t>ST_SL_Inj</t>
  </si>
  <si>
    <t>NW_ML_Prod</t>
  </si>
  <si>
    <t>NW_HZ_</t>
  </si>
  <si>
    <t>__Prod</t>
  </si>
  <si>
    <t>__Inj</t>
  </si>
  <si>
    <t>ST__</t>
  </si>
  <si>
    <t>NW__</t>
  </si>
  <si>
    <t>IF(ISERROR(O5/W5),0,(O5/W5))</t>
  </si>
  <si>
    <t>Concatenated Wellname</t>
  </si>
  <si>
    <t>Well/Rig</t>
  </si>
  <si>
    <t>Data collection date + Updated Drill Time = Updating RR</t>
  </si>
  <si>
    <t>Concatenated Rig and Well name</t>
  </si>
  <si>
    <t>Rig Schedule Meeting Date</t>
  </si>
  <si>
    <t>Well/Type</t>
  </si>
  <si>
    <t>Test Color by Type</t>
  </si>
  <si>
    <t>Test2 Color by type</t>
  </si>
  <si>
    <t>Updated Drill Time</t>
  </si>
  <si>
    <t>SA-0600</t>
  </si>
  <si>
    <t>RA-0595</t>
  </si>
  <si>
    <t>RA-0594</t>
  </si>
  <si>
    <t>SA-0593</t>
  </si>
  <si>
    <t>RA-0592</t>
  </si>
  <si>
    <t>SA-0603</t>
  </si>
  <si>
    <t>SA-0602</t>
  </si>
  <si>
    <t>RA-0573</t>
  </si>
  <si>
    <t>RA-0574</t>
  </si>
  <si>
    <t>SA-0599</t>
  </si>
  <si>
    <t>SA-0601</t>
  </si>
  <si>
    <t>SA-0558</t>
  </si>
  <si>
    <t>V</t>
  </si>
  <si>
    <t>Auto_Update_Rig_Schedule (0=current…)</t>
  </si>
  <si>
    <t>Planned Days</t>
  </si>
  <si>
    <t>Well_Rig</t>
  </si>
  <si>
    <t>A</t>
  </si>
  <si>
    <t>FIND("MA-Prod-NW",D2:D22)&gt;0</t>
  </si>
  <si>
    <t>FIND("UB-Prod-NW",D2:D22)&gt;0</t>
  </si>
  <si>
    <t>FIND("LB-Prod-NW",D2:D22)&gt;0</t>
  </si>
  <si>
    <t>FIND("ZU-Prod-NW",D2:D22)&gt;0</t>
  </si>
  <si>
    <t>FIND("RT-Prod-NW",D2:D22)&gt;0</t>
  </si>
  <si>
    <t>FIND("TU-Prod-NW",D2:D22)&gt;0</t>
  </si>
  <si>
    <t>FIND("MA-Inj-NW",D2:D22)&gt;0</t>
  </si>
  <si>
    <t>FIND("UB-Inj-NW",D2:D22)&gt;0</t>
  </si>
  <si>
    <t>FIND("MA-Inj-ST",D2:D22)&gt;0</t>
  </si>
  <si>
    <t>FIND("UB-Inj-ST",D2:D22)&gt;0</t>
  </si>
  <si>
    <t>FIND("MA-Prod-ST",D2:D22)&gt;0</t>
  </si>
  <si>
    <t>FIND("UB-Prod-ST",D2:D22)&gt;0</t>
  </si>
  <si>
    <t>FIND("LB-Inj-NW",D2:D22)&gt;0</t>
  </si>
  <si>
    <t>FIND("ZU-Inj-NW",D2:D22)&gt;0</t>
  </si>
  <si>
    <t>FIND("RT-Inj-NW",D2:D22)&gt;0</t>
  </si>
  <si>
    <t>FIND("TU-Inj-NW",D2:D22)&gt;0</t>
  </si>
  <si>
    <t>FIND("LB-Inj-ST",D2:D22)&gt;0</t>
  </si>
  <si>
    <t>FIND("ZU-Inj-ST",D2:D22)&gt;0</t>
  </si>
  <si>
    <t>FIND("RT-Inj-ST",D2:D22)&gt;0</t>
  </si>
  <si>
    <t>FIND("TU-Inj-ST",D2:D22)&gt;0</t>
  </si>
  <si>
    <t>FIND("LB-Prod-ST",D2:D22)&gt;0</t>
  </si>
  <si>
    <t>FIND("ZU-Prod-ST",D2:D22)&gt;0</t>
  </si>
  <si>
    <t>FIND("RT-Prod-ST",D2:D22)&gt;0</t>
  </si>
  <si>
    <t>FIND("TU-Prod-ST",D2:D22)&gt;0</t>
  </si>
  <si>
    <t>Well_Type_Drilling</t>
  </si>
  <si>
    <t>IF(ISERROR(INDEX(Well_Data_NK_Upcoming!Well_Type,MATCH(1,IF($B22=Well_Data_NK_Upcoming!RIG,IF(Well_Data_NK_Upcoming!Auto_Update_Rig_Schedule=6,1)),0))),"",(INDEX(Well_Data_NK_Upcoming!Well_Type,MATCH(1,IF($B22=Well_Data_NK_Upcoming!RIG,IF(Well_Data_NK_Upcoming!Auto_Update_Rig_Schedule=6,1)),0))))</t>
  </si>
  <si>
    <t>Original formula in column</t>
  </si>
  <si>
    <t>__</t>
  </si>
  <si>
    <t>Next Well 1</t>
  </si>
  <si>
    <t>Well Type 1</t>
  </si>
  <si>
    <t>Rig Move Days 1</t>
  </si>
  <si>
    <t>Planned Days by Well Type 1</t>
  </si>
  <si>
    <t>Next Well 2</t>
  </si>
  <si>
    <t>Well Type 2</t>
  </si>
  <si>
    <t>Rig Move Days 2</t>
  </si>
  <si>
    <t>Planned Days by Well Type 2</t>
  </si>
  <si>
    <t>Next Well 3</t>
  </si>
  <si>
    <t>Well Type 3</t>
  </si>
  <si>
    <t>Rig Move Days 3</t>
  </si>
  <si>
    <t>Planned Days by Well Type 3</t>
  </si>
  <si>
    <t>Next Well 4</t>
  </si>
  <si>
    <t>Well Type 4</t>
  </si>
  <si>
    <t>Rig Move Days 4</t>
  </si>
  <si>
    <t>Planned Days by Well Type 4</t>
  </si>
  <si>
    <t>Next Well 5</t>
  </si>
  <si>
    <t>Well Type 5</t>
  </si>
  <si>
    <t>Rig Move Days 5</t>
  </si>
  <si>
    <t>Planned Days by Well Type 5</t>
  </si>
  <si>
    <t>Next Well 6</t>
  </si>
  <si>
    <t>Well Type 6</t>
  </si>
  <si>
    <t>Rig Move Days 6</t>
  </si>
  <si>
    <t>Planned Days by Well Type 6</t>
  </si>
  <si>
    <t>look</t>
  </si>
  <si>
    <t>Updated_Drill_Days</t>
  </si>
  <si>
    <t xml:space="preserve">Rig Schedule Meeting Date </t>
  </si>
  <si>
    <t xml:space="preserve">        Well Name</t>
  </si>
  <si>
    <t>_SL_Prod</t>
  </si>
  <si>
    <t>_SL_Inj</t>
  </si>
  <si>
    <t>Date</t>
  </si>
  <si>
    <t>Well</t>
  </si>
  <si>
    <t>Depth</t>
  </si>
  <si>
    <t>Remark</t>
  </si>
  <si>
    <t>Current Drilling MDR Name</t>
  </si>
  <si>
    <t>RA-0561H</t>
  </si>
  <si>
    <t>RA-0567H</t>
  </si>
  <si>
    <t>RA-0564D</t>
  </si>
  <si>
    <t>RA-0565H</t>
  </si>
  <si>
    <t>Current Drilling Potentail Production Name</t>
  </si>
  <si>
    <t>Well_Type</t>
  </si>
  <si>
    <t>Current Well</t>
  </si>
  <si>
    <t>RA-0158ST2</t>
  </si>
  <si>
    <t>RA-0158ST</t>
  </si>
  <si>
    <t>Event</t>
  </si>
  <si>
    <t>SA-0580H</t>
  </si>
  <si>
    <t>RA-0489HST1</t>
  </si>
  <si>
    <t>SA-0474HST1</t>
  </si>
  <si>
    <t>SA-0591</t>
  </si>
  <si>
    <t>SA-0166</t>
  </si>
  <si>
    <t>N/C</t>
  </si>
  <si>
    <t>Planned      Days (include RM)</t>
  </si>
  <si>
    <t>SA-0152</t>
  </si>
  <si>
    <t>RA-0311</t>
  </si>
  <si>
    <t>RA-0582</t>
  </si>
  <si>
    <t>SA-0142</t>
  </si>
  <si>
    <t>RA-0241</t>
  </si>
  <si>
    <t>Next Well 7</t>
  </si>
  <si>
    <t>Well Type 7</t>
  </si>
  <si>
    <t>Rig Move Days 7</t>
  </si>
  <si>
    <t>Planned Days by Well Type 7</t>
  </si>
  <si>
    <t>Next Well 8</t>
  </si>
  <si>
    <t>Well Type 8</t>
  </si>
  <si>
    <t>Rig Move Days 8</t>
  </si>
  <si>
    <t>Planned Days by Well Type 8</t>
  </si>
  <si>
    <t>Next Well 9</t>
  </si>
  <si>
    <t>EOR_V_Inj</t>
  </si>
  <si>
    <t>AD-0008</t>
  </si>
  <si>
    <t>RQ-0180</t>
  </si>
  <si>
    <t>Rig-mov-exploration</t>
  </si>
  <si>
    <t>Rig-Exp</t>
  </si>
  <si>
    <t>RA-0179</t>
  </si>
  <si>
    <t>SA-0557</t>
  </si>
  <si>
    <t>SA-0560</t>
  </si>
  <si>
    <t>RA-0165</t>
  </si>
  <si>
    <t>SA-0060</t>
  </si>
  <si>
    <t>Observation</t>
  </si>
  <si>
    <t>SA-0137</t>
  </si>
  <si>
    <t>SA-0471</t>
  </si>
  <si>
    <t>Well Type 9</t>
  </si>
  <si>
    <t>Rig Move Days 9</t>
  </si>
  <si>
    <t>Planned Days by Well Type 9</t>
  </si>
  <si>
    <t>Next Well 10</t>
  </si>
  <si>
    <t>Well Type 10</t>
  </si>
  <si>
    <t>Rig Move Days 10</t>
  </si>
  <si>
    <t>Planned Days by Well Type 10</t>
  </si>
  <si>
    <t>SA-0164HST1</t>
  </si>
  <si>
    <t>NW_V_Prod</t>
  </si>
  <si>
    <t>NW_V_Inj</t>
  </si>
  <si>
    <t>NW_SL_Inj</t>
  </si>
  <si>
    <t>SA-0115HST1</t>
  </si>
  <si>
    <t>RA-0270HST1</t>
  </si>
  <si>
    <t>B1</t>
  </si>
  <si>
    <t>I1</t>
  </si>
  <si>
    <t>J1</t>
  </si>
  <si>
    <t>L1</t>
  </si>
  <si>
    <t>M1</t>
  </si>
  <si>
    <t>D1</t>
  </si>
  <si>
    <t>E1</t>
  </si>
  <si>
    <t>F1</t>
  </si>
  <si>
    <t>H1</t>
  </si>
  <si>
    <t>O1</t>
  </si>
  <si>
    <t>P1</t>
  </si>
  <si>
    <t>R1</t>
  </si>
  <si>
    <t>S1</t>
  </si>
  <si>
    <t>U1</t>
  </si>
  <si>
    <t>V1</t>
  </si>
  <si>
    <t>X1</t>
  </si>
  <si>
    <t>Y1</t>
  </si>
  <si>
    <t>AA1</t>
  </si>
  <si>
    <t>AB1</t>
  </si>
  <si>
    <t>AD1</t>
  </si>
  <si>
    <t>AE1</t>
  </si>
  <si>
    <t>AG1</t>
  </si>
  <si>
    <t>AH1</t>
  </si>
  <si>
    <t>AJ1</t>
  </si>
  <si>
    <t>AK1</t>
  </si>
  <si>
    <t>AM1</t>
  </si>
  <si>
    <t>AN1</t>
  </si>
  <si>
    <t>AP1</t>
  </si>
  <si>
    <t>AQ1</t>
  </si>
  <si>
    <t>AS1</t>
  </si>
  <si>
    <t>AT1</t>
  </si>
  <si>
    <t>AV1</t>
  </si>
  <si>
    <t>AW1</t>
  </si>
  <si>
    <t>AY1</t>
  </si>
  <si>
    <t>AZ1</t>
  </si>
  <si>
    <t>BB1</t>
  </si>
  <si>
    <t>BC1</t>
  </si>
  <si>
    <t>BE1</t>
  </si>
  <si>
    <t>BF1</t>
  </si>
  <si>
    <t>BH1</t>
  </si>
  <si>
    <t>BI1</t>
  </si>
  <si>
    <t>BK1</t>
  </si>
  <si>
    <t>BL1</t>
  </si>
  <si>
    <t>BN1</t>
  </si>
  <si>
    <t>BO1</t>
  </si>
  <si>
    <t>North Kuwait (NK) 24-Month Mid-Term Plan</t>
  </si>
  <si>
    <t>Estimated Spud and Rig Release Date updated at Rig Deployment Meeting</t>
  </si>
  <si>
    <t>Rig Deployment Meeting Date:</t>
  </si>
  <si>
    <t>Development Drilling</t>
  </si>
  <si>
    <t>Rig Deployment Meeting</t>
  </si>
  <si>
    <t>Expected</t>
  </si>
  <si>
    <t>Avg Oil Rate</t>
  </si>
  <si>
    <t>Reservoirs</t>
  </si>
  <si>
    <t>IF(ISERROR(VLOOKUP(E2,'Planning and Target Times'!$L$1:$AM$6,MATCH(I2&amp;"_"&amp;J2&amp;"_"&amp;H2,INDEX('Planning and Target Times'!$L$1:$AM$6,1,0),0),0)+5),"",(VLOOKUP(E2,'Planning and Target Times'!$L$1:$AM$6,MATCH(I2&amp;"_"&amp;J2&amp;"_"&amp;H2,INDEX('Planning and Target Times'!$L$1:$AM$6,1,0),0),0)+5))</t>
  </si>
  <si>
    <t>IF(ISERROR(VLOOKUP(E2,'Planning and Target Times'!$A$106:$D$110,MATCH(D2,INDEX('Planning and Target Times'!$A$106:$D$110,1,0),0),0)),"",(VLOOKUP(E2,'Planning and Target Times'!$A$106:$D$110,MATCH(D2,INDEX('Planning and Target Times'!$A$106:$D$110,1,0),0),0)))</t>
  </si>
  <si>
    <t>Projected Avg Oil Rate</t>
  </si>
  <si>
    <t>SA-0583H</t>
  </si>
  <si>
    <t>RA-0578H</t>
  </si>
  <si>
    <t>RA-0592H</t>
  </si>
  <si>
    <t>RA-0576D</t>
  </si>
  <si>
    <t>SA-0584H</t>
  </si>
  <si>
    <t>RA-0046HST</t>
  </si>
  <si>
    <t>RA-0570D</t>
  </si>
  <si>
    <t>SA-0585H</t>
  </si>
  <si>
    <t>SA-0588H</t>
  </si>
  <si>
    <t>RA-0577H</t>
  </si>
  <si>
    <t>SA-0582H</t>
  </si>
  <si>
    <t>RA-0510H</t>
  </si>
  <si>
    <t>SA-0599H</t>
  </si>
  <si>
    <t>SA-0581H</t>
  </si>
  <si>
    <t>RA-0510</t>
  </si>
  <si>
    <t>RA-0046HST1</t>
  </si>
  <si>
    <t>Rig Repair</t>
  </si>
  <si>
    <t>RIG RELEASE 7/15/2015 6:00</t>
  </si>
  <si>
    <t>STUCK</t>
  </si>
  <si>
    <t>Rig Up</t>
  </si>
  <si>
    <t>update depth 12233</t>
  </si>
  <si>
    <t>updated to 12358</t>
  </si>
  <si>
    <t>updated to 12035</t>
  </si>
  <si>
    <t>no data to update</t>
  </si>
  <si>
    <t>Updated</t>
  </si>
  <si>
    <t>SA-0579-SA-LB-Prod-NW-HZ-HAL</t>
  </si>
  <si>
    <t>SA-0579-SP-267</t>
  </si>
  <si>
    <t>SA-0579-LB-NW-Prod</t>
  </si>
  <si>
    <t>RR</t>
  </si>
  <si>
    <t>RA3</t>
  </si>
  <si>
    <t>RA5</t>
  </si>
  <si>
    <t>RA6</t>
  </si>
  <si>
    <t>RA10</t>
  </si>
  <si>
    <t>RA11</t>
  </si>
  <si>
    <t>RA12</t>
  </si>
  <si>
    <t>RA13</t>
  </si>
  <si>
    <t>RA14</t>
  </si>
  <si>
    <t>RA15</t>
  </si>
  <si>
    <t>RA16</t>
  </si>
  <si>
    <t>RA17</t>
  </si>
  <si>
    <t>RA18</t>
  </si>
  <si>
    <t>RA19</t>
  </si>
  <si>
    <t>RA20</t>
  </si>
  <si>
    <t>RA21</t>
  </si>
  <si>
    <t>RA22</t>
  </si>
  <si>
    <t>RA23</t>
  </si>
  <si>
    <t>RA24</t>
  </si>
  <si>
    <t>RA25</t>
  </si>
  <si>
    <t>RA26</t>
  </si>
  <si>
    <t>RA27</t>
  </si>
  <si>
    <t>RA28</t>
  </si>
  <si>
    <t>RA29</t>
  </si>
  <si>
    <t>RA30</t>
  </si>
  <si>
    <t>RA32</t>
  </si>
  <si>
    <t>RA33</t>
  </si>
  <si>
    <t>RA34</t>
  </si>
  <si>
    <t>RA35</t>
  </si>
  <si>
    <t>RA36</t>
  </si>
  <si>
    <t>RA37</t>
  </si>
  <si>
    <t>RA39</t>
  </si>
  <si>
    <t>RA40</t>
  </si>
  <si>
    <t>RA41</t>
  </si>
  <si>
    <t>RA42</t>
  </si>
  <si>
    <t>RA43</t>
  </si>
  <si>
    <t>RA44</t>
  </si>
  <si>
    <t>SA1</t>
  </si>
  <si>
    <t>SA2</t>
  </si>
  <si>
    <t>SA3</t>
  </si>
  <si>
    <t>SA4</t>
  </si>
  <si>
    <t>SA5</t>
  </si>
  <si>
    <t>SA8</t>
  </si>
  <si>
    <t>SA9</t>
  </si>
  <si>
    <t>SA10</t>
  </si>
  <si>
    <t>SA12</t>
  </si>
  <si>
    <t>SA13</t>
  </si>
  <si>
    <t>SA14</t>
  </si>
  <si>
    <t>SA15</t>
  </si>
  <si>
    <t>SA17</t>
  </si>
  <si>
    <t>SA18</t>
  </si>
  <si>
    <t>SA19</t>
  </si>
  <si>
    <t>SA20</t>
  </si>
  <si>
    <t>SA21</t>
  </si>
  <si>
    <t>SA22</t>
  </si>
  <si>
    <t>SA25</t>
  </si>
  <si>
    <t>SA26</t>
  </si>
  <si>
    <t>SA27</t>
  </si>
  <si>
    <t>SA28</t>
  </si>
  <si>
    <t>SA29</t>
  </si>
  <si>
    <t>SA30</t>
  </si>
  <si>
    <t>SA40</t>
  </si>
  <si>
    <t>SA41</t>
  </si>
  <si>
    <t>SA43</t>
  </si>
  <si>
    <t>SA44</t>
  </si>
  <si>
    <t>SA45</t>
  </si>
  <si>
    <t>SA46</t>
  </si>
  <si>
    <t>SA47</t>
  </si>
  <si>
    <t>SA48</t>
  </si>
  <si>
    <t>SA49</t>
  </si>
  <si>
    <t>SA51</t>
  </si>
  <si>
    <t>SA52</t>
  </si>
  <si>
    <t>SA53</t>
  </si>
  <si>
    <t>SA54</t>
  </si>
  <si>
    <t>SA55</t>
  </si>
  <si>
    <t>SA56</t>
  </si>
  <si>
    <t>SA57</t>
  </si>
  <si>
    <t>SA58</t>
  </si>
  <si>
    <t>SA59</t>
  </si>
  <si>
    <t>SA60</t>
  </si>
  <si>
    <t>SA61</t>
  </si>
  <si>
    <t>SA62</t>
  </si>
  <si>
    <t>Expected Rig Release/Real RR</t>
  </si>
  <si>
    <t>Expected Spud/Real Spud</t>
  </si>
  <si>
    <t>Drill</t>
  </si>
  <si>
    <t>COMPL</t>
  </si>
  <si>
    <t>DRILL</t>
  </si>
  <si>
    <t>update!</t>
  </si>
  <si>
    <t>RA-0580D</t>
  </si>
  <si>
    <t>RIG UP</t>
  </si>
  <si>
    <t>Find PDDP/WP</t>
  </si>
  <si>
    <t>ICD</t>
  </si>
  <si>
    <t>prepare to spud</t>
  </si>
  <si>
    <t>RIH with MRSS</t>
  </si>
  <si>
    <t>LOG</t>
  </si>
  <si>
    <t>updated data</t>
  </si>
  <si>
    <t>no update possible</t>
  </si>
  <si>
    <t>SA-0495</t>
  </si>
  <si>
    <t>SA-0495ST</t>
  </si>
  <si>
    <t>SA-0612</t>
  </si>
  <si>
    <t>RA-0396</t>
  </si>
  <si>
    <t>RA-0396ST</t>
  </si>
  <si>
    <t>Rig-Exp-13Jan2016</t>
  </si>
  <si>
    <t>RA-0166</t>
  </si>
  <si>
    <t>RA-0166ST</t>
  </si>
  <si>
    <t>Rig-Exp14Feb2016</t>
  </si>
  <si>
    <t>SA-0613</t>
  </si>
  <si>
    <t>RA-0192ST</t>
  </si>
  <si>
    <t>RA-0192</t>
  </si>
  <si>
    <t>RA2-</t>
  </si>
  <si>
    <t>IF(OR(ISNUMBER(SEARCH("HST",C6)),ISNUMBER(SEARCH("Horizontal",C6)),ISNUMBER(SEARCH("H",C6))),"Horizontal",IF(OR(ISNUMBER(SEARCH("SLANT",C6))),"Slant","Unknown"))</t>
  </si>
  <si>
    <t>Formation</t>
  </si>
  <si>
    <t>RIH</t>
  </si>
  <si>
    <t>update needed</t>
  </si>
  <si>
    <t>RIG RELEASE  7/16/2015 18:00</t>
  </si>
  <si>
    <t>Updated Needed</t>
  </si>
  <si>
    <t>Log</t>
  </si>
  <si>
    <t>POOH</t>
  </si>
  <si>
    <t>SPUD 7/16/2015 21:00</t>
  </si>
  <si>
    <t>RA-0573H</t>
  </si>
  <si>
    <t>RIG RELEASE 7/18/2015 2:00</t>
  </si>
  <si>
    <t>CMT</t>
  </si>
  <si>
    <t>SA-0137HST</t>
  </si>
  <si>
    <t>RIG MOVE</t>
  </si>
  <si>
    <t>WOC</t>
  </si>
  <si>
    <t>Wire import</t>
  </si>
  <si>
    <t>Re entry?</t>
  </si>
  <si>
    <t>COML</t>
  </si>
  <si>
    <t>pressure points</t>
  </si>
  <si>
    <t>flow test</t>
  </si>
  <si>
    <t>FISH</t>
  </si>
  <si>
    <t>Pressure drop</t>
  </si>
  <si>
    <t>CIRC</t>
  </si>
  <si>
    <t>VLOOKUP(F2,'Planning and Target Times'!$A$43:$L$47,MATCH(E2&amp;"-"&amp;J2&amp;"-"&amp;K2&amp;"-"&amp;I2,INDEX('Planning and Target Times'!$A$43:$L$47,1,0),0),0)</t>
  </si>
  <si>
    <t>Expected DEI (BOPD/RigDay)</t>
  </si>
  <si>
    <t>LB BHA</t>
  </si>
  <si>
    <t>TD, POH</t>
  </si>
  <si>
    <t>Pressure points</t>
  </si>
  <si>
    <t>Rig Release 7/20/2015 12:00</t>
  </si>
  <si>
    <t>POOH for Casing</t>
  </si>
  <si>
    <t>SPUD 7/20/2015 13:30</t>
  </si>
  <si>
    <t>Rig Release 7/21/2015 3:30</t>
  </si>
  <si>
    <t>no data</t>
  </si>
  <si>
    <t>Updated in Petrel/ResIM</t>
  </si>
  <si>
    <t>No data</t>
  </si>
  <si>
    <t>no new data.</t>
  </si>
  <si>
    <t>LWD LOG</t>
  </si>
  <si>
    <t>SPUD 7/21/2015 18:00</t>
  </si>
  <si>
    <t>CSG</t>
  </si>
  <si>
    <t>SA-0610D</t>
  </si>
  <si>
    <t>SA-0495H</t>
  </si>
  <si>
    <t>Avg-1st3month (Oil RATE OD)</t>
  </si>
  <si>
    <t>Avg-1st6month (Oil RATE OD)</t>
  </si>
  <si>
    <t>Avg-1st12month (Oil RATE OD)</t>
  </si>
  <si>
    <t>Avg-1st3month (Inj Vol)</t>
  </si>
  <si>
    <t>Avg-1st6month (Inj Vol)</t>
  </si>
  <si>
    <t>Avg-1st12month (Inj Vol)</t>
  </si>
  <si>
    <t>Production</t>
  </si>
  <si>
    <t>NoDATA</t>
  </si>
  <si>
    <t>Injection</t>
  </si>
  <si>
    <t>Prod/Inj/noData</t>
  </si>
  <si>
    <t>First Prod/Inj date (data file 5/1/2015)</t>
  </si>
  <si>
    <t>Actual DEI (OilRate1st3Month)</t>
  </si>
  <si>
    <t>Actual DEI (InjVol1st3Month)</t>
  </si>
  <si>
    <t>RA-0593</t>
  </si>
  <si>
    <t>SPUD 7/23/2015</t>
  </si>
  <si>
    <t>Updated to Current, Wire</t>
  </si>
  <si>
    <t>currently updated</t>
  </si>
  <si>
    <t>Updated to Current</t>
  </si>
  <si>
    <t>still Side track</t>
  </si>
  <si>
    <t>SA-0581PIL</t>
  </si>
  <si>
    <t>LD DP</t>
  </si>
  <si>
    <t>SPUD 7/24/2015 17:00</t>
  </si>
  <si>
    <t>LD DHA</t>
  </si>
  <si>
    <t>DR CMT</t>
  </si>
  <si>
    <t>TD 8.5" section</t>
  </si>
  <si>
    <t>Since 04/01/2015</t>
  </si>
  <si>
    <t>2015 AAP (04/01/2015)</t>
  </si>
  <si>
    <t>2015 AAP (04/01/2015 to current)</t>
  </si>
  <si>
    <t>2015 AAP (09/01/2014)</t>
  </si>
  <si>
    <t>Average Wells Per Month (04/01/2015)</t>
  </si>
  <si>
    <t>Cumulative (04/01/2015)</t>
  </si>
  <si>
    <t>Test Bop</t>
  </si>
  <si>
    <t>MU BHA</t>
  </si>
  <si>
    <t>RIP UP</t>
  </si>
  <si>
    <t>7" Liner shoe @ 7844</t>
  </si>
  <si>
    <t>Drill Shoe Track</t>
  </si>
  <si>
    <t>Whipstock</t>
  </si>
  <si>
    <t>B</t>
  </si>
  <si>
    <t>C</t>
  </si>
  <si>
    <t>Well Tst</t>
  </si>
  <si>
    <t>LD BHA</t>
  </si>
  <si>
    <t>Rig Release 07/28/2015 21:00</t>
  </si>
  <si>
    <t>Rig Release 07/29/2015 2:00</t>
  </si>
  <si>
    <t>Nu bop</t>
  </si>
  <si>
    <t>No survey!</t>
  </si>
  <si>
    <t>SA-0578H</t>
  </si>
  <si>
    <t>Active</t>
  </si>
  <si>
    <t>ST_V_Inj</t>
  </si>
  <si>
    <t>ST_V_Prod</t>
  </si>
  <si>
    <t>SA-0587H</t>
  </si>
  <si>
    <t>SPUD 7/30/2015 20:30</t>
  </si>
  <si>
    <t>Rig Release 7/30/2015 20:30</t>
  </si>
  <si>
    <t>NU BOP</t>
  </si>
  <si>
    <t>No report</t>
  </si>
  <si>
    <t>Rig Release 8/1/2015 5:00</t>
  </si>
  <si>
    <t>DCOM</t>
  </si>
  <si>
    <t>Wiper TR</t>
  </si>
  <si>
    <t>WIPER TRIP</t>
  </si>
  <si>
    <t>Rig UP</t>
  </si>
  <si>
    <t>Wash</t>
  </si>
  <si>
    <t>Wiper Trip</t>
  </si>
  <si>
    <t>Spud 08/02/2015 11:00</t>
  </si>
  <si>
    <t>NU Bop</t>
  </si>
  <si>
    <t>Expected Days (RDM)</t>
  </si>
  <si>
    <t>need wire need traj</t>
  </si>
  <si>
    <t>imported PDDP</t>
  </si>
  <si>
    <t>updated WP_rev-B.3</t>
  </si>
  <si>
    <t>SA-0166HST</t>
  </si>
  <si>
    <t>updated to current depth</t>
  </si>
  <si>
    <t>PDDP</t>
  </si>
  <si>
    <t>2Page</t>
  </si>
  <si>
    <t>WPSTK</t>
  </si>
  <si>
    <t>Ream</t>
  </si>
  <si>
    <t>ND BOP</t>
  </si>
  <si>
    <t>PU DP</t>
  </si>
  <si>
    <t>ST well</t>
  </si>
  <si>
    <t>Rig up</t>
  </si>
  <si>
    <t>Cutting window</t>
  </si>
  <si>
    <t>Csg</t>
  </si>
  <si>
    <t>Well TST</t>
  </si>
  <si>
    <t>LWD Log</t>
  </si>
  <si>
    <t>Spud 08/06/2015 2:00</t>
  </si>
  <si>
    <t>milling window</t>
  </si>
  <si>
    <t>Spud 8/6/2015 1:00</t>
  </si>
  <si>
    <t>look for wp</t>
  </si>
  <si>
    <t>RR 8/6/2015 4:30</t>
  </si>
  <si>
    <t>BOP Test</t>
  </si>
  <si>
    <t>RIH SLB BHA</t>
  </si>
  <si>
    <t>imported wire/interp</t>
  </si>
  <si>
    <t>Anadrill</t>
  </si>
  <si>
    <t>rig move</t>
  </si>
  <si>
    <t>POOH DTF</t>
  </si>
  <si>
    <t>SA-0610H</t>
  </si>
  <si>
    <t>Test BOP</t>
  </si>
  <si>
    <t>ETA-OCT</t>
  </si>
  <si>
    <t>RA-0596</t>
  </si>
  <si>
    <t>SA-0563</t>
  </si>
  <si>
    <t>RA4</t>
  </si>
  <si>
    <t>Rig-Exp-Aug</t>
  </si>
  <si>
    <t>wp2 and survey</t>
  </si>
  <si>
    <t>updated</t>
  </si>
  <si>
    <t>updated to current</t>
  </si>
  <si>
    <t>Spud 8/8/2015 20:00</t>
  </si>
  <si>
    <t>Circ</t>
  </si>
  <si>
    <t>DRILL ST</t>
  </si>
  <si>
    <t>SIDE TRACK!</t>
  </si>
  <si>
    <t>received</t>
  </si>
  <si>
    <t>needs to be released</t>
  </si>
  <si>
    <t>waiting for dd comp, pddp and 2page</t>
  </si>
  <si>
    <t>to be finalized</t>
  </si>
  <si>
    <t>released</t>
  </si>
  <si>
    <t>constrants need to be removed</t>
  </si>
  <si>
    <t>location constraint</t>
  </si>
  <si>
    <t>not done</t>
  </si>
  <si>
    <t>need DD comp</t>
  </si>
  <si>
    <t>to be signed</t>
  </si>
  <si>
    <t>100% location</t>
  </si>
  <si>
    <t>working on it, need traj</t>
  </si>
  <si>
    <t>NA</t>
  </si>
  <si>
    <t>Rig_Expired</t>
  </si>
  <si>
    <t>Wire Line</t>
  </si>
  <si>
    <t>Well Control</t>
  </si>
  <si>
    <t>Wpstk</t>
  </si>
  <si>
    <t>Rig Release 8/12/2015 20:00</t>
  </si>
  <si>
    <t>Spud 8/13/2015 11:00</t>
  </si>
  <si>
    <t>Drill w/ mill</t>
  </si>
  <si>
    <t>no update needed</t>
  </si>
  <si>
    <t>Traj/Service comp logs</t>
  </si>
  <si>
    <t>Imported surface location and spud</t>
  </si>
  <si>
    <t>traj/service comp logs</t>
  </si>
  <si>
    <t>found st data and wp, Imported traj/service comp logs and wp</t>
  </si>
  <si>
    <t>imported surface location</t>
  </si>
  <si>
    <t>need better data</t>
  </si>
  <si>
    <t>traj</t>
  </si>
  <si>
    <t>Z-11360</t>
  </si>
  <si>
    <t>Z-11250</t>
  </si>
  <si>
    <t>Z-10600</t>
  </si>
  <si>
    <t>Z-11216</t>
  </si>
  <si>
    <t>Z-11115</t>
  </si>
  <si>
    <t>Z-10620</t>
  </si>
  <si>
    <t>Z-10622</t>
  </si>
  <si>
    <t>Z-10628</t>
  </si>
  <si>
    <t>Z-10570</t>
  </si>
  <si>
    <t>Z-10602</t>
  </si>
  <si>
    <t>Z-11211</t>
  </si>
  <si>
    <t>Z-10612</t>
  </si>
  <si>
    <t>Z-11383</t>
  </si>
  <si>
    <t>Z-10178</t>
  </si>
  <si>
    <t>Z-11204</t>
  </si>
  <si>
    <t>Z-11410</t>
  </si>
  <si>
    <t>Z-10289</t>
  </si>
  <si>
    <t>Z-11171</t>
  </si>
  <si>
    <t>Z-10594</t>
  </si>
  <si>
    <t>Z-11117</t>
  </si>
  <si>
    <t>Z-10222</t>
  </si>
  <si>
    <t>Z-10896</t>
  </si>
  <si>
    <t>Z-11386</t>
  </si>
  <si>
    <t>Z-10599</t>
  </si>
  <si>
    <t>Z-11121</t>
  </si>
  <si>
    <t>Z-10606</t>
  </si>
  <si>
    <t>Z-10184</t>
  </si>
  <si>
    <t>Z-10659</t>
  </si>
  <si>
    <t>Z-11395</t>
  </si>
  <si>
    <t>Z-11392</t>
  </si>
  <si>
    <t>Z-10693</t>
  </si>
  <si>
    <t>Z-11432</t>
  </si>
  <si>
    <t>Z-10191</t>
  </si>
  <si>
    <t>Z-10671</t>
  </si>
  <si>
    <t>Z-11389</t>
  </si>
  <si>
    <t>Z-10658</t>
  </si>
  <si>
    <t>Z-11178</t>
  </si>
  <si>
    <t>Z-10666</t>
  </si>
  <si>
    <t>Z-11381</t>
  </si>
  <si>
    <t>Z-11435</t>
  </si>
  <si>
    <t>Z-11437</t>
  </si>
  <si>
    <t>Z-10667</t>
  </si>
  <si>
    <t>Z-10610</t>
  </si>
  <si>
    <t>Z-11424</t>
  </si>
  <si>
    <t>Z-10689</t>
  </si>
  <si>
    <t>Z-10674</t>
  </si>
  <si>
    <t>Z-11429</t>
  </si>
  <si>
    <t>Z-10675</t>
  </si>
  <si>
    <t>Z-11262</t>
  </si>
  <si>
    <t>Z-11440</t>
  </si>
  <si>
    <t>Z-10877</t>
  </si>
  <si>
    <t>Z-11113</t>
  </si>
  <si>
    <t>Z-11400</t>
  </si>
  <si>
    <t>Z-11405</t>
  </si>
  <si>
    <t>Z-11127</t>
  </si>
  <si>
    <t>Z-10517</t>
  </si>
  <si>
    <t>Z-10476</t>
  </si>
  <si>
    <t>Z-11411</t>
  </si>
  <si>
    <t>Z-10661</t>
  </si>
  <si>
    <t>Z-11133</t>
  </si>
  <si>
    <t>Z-10141</t>
  </si>
  <si>
    <t>Z-10202</t>
  </si>
  <si>
    <t>Z-10699</t>
  </si>
  <si>
    <t>Z-10356</t>
  </si>
  <si>
    <t>Z-11141</t>
  </si>
  <si>
    <t>Z-10679</t>
  </si>
  <si>
    <t>Z-10698</t>
  </si>
  <si>
    <t>Z-10175</t>
  </si>
  <si>
    <t>Z-10404</t>
  </si>
  <si>
    <t>Z-10080</t>
  </si>
  <si>
    <t>Z-10703</t>
  </si>
  <si>
    <t>Z-11449</t>
  </si>
  <si>
    <t>Z-11453</t>
  </si>
  <si>
    <t>Z-11451</t>
  </si>
  <si>
    <t>Z-10701</t>
  </si>
  <si>
    <t>Z-10687</t>
  </si>
  <si>
    <t>Z-11418</t>
  </si>
  <si>
    <t>Z-10584</t>
  </si>
  <si>
    <t>Z-10709</t>
  </si>
  <si>
    <t>Z-10714</t>
  </si>
  <si>
    <t>Z-10711</t>
  </si>
  <si>
    <t>Z-10710</t>
  </si>
  <si>
    <t>Z-10715</t>
  </si>
  <si>
    <t>Z-11467</t>
  </si>
  <si>
    <t>Z-10717</t>
  </si>
  <si>
    <t>Z-11457</t>
  </si>
  <si>
    <t>Z-11458</t>
  </si>
  <si>
    <t>Z-11464</t>
  </si>
  <si>
    <t>Z-10706</t>
  </si>
  <si>
    <t>Z-11459</t>
  </si>
  <si>
    <t>Z-11473</t>
  </si>
  <si>
    <t>Z-11474</t>
  </si>
  <si>
    <t>Z-11469</t>
  </si>
  <si>
    <t>Z-10719</t>
  </si>
  <si>
    <t>Z-10646</t>
  </si>
  <si>
    <t>Z-11462</t>
  </si>
  <si>
    <t>Z-11420</t>
  </si>
  <si>
    <t>Z-11416</t>
  </si>
  <si>
    <t>Z-11463</t>
  </si>
  <si>
    <t>Z-10115</t>
  </si>
  <si>
    <t>Z-10721</t>
  </si>
  <si>
    <t>Z-10248</t>
  </si>
  <si>
    <t>Z-11468</t>
  </si>
  <si>
    <t>Z-10720</t>
  </si>
  <si>
    <t>Z-11470</t>
  </si>
  <si>
    <t>Z-10128</t>
  </si>
  <si>
    <t>Z-10190</t>
  </si>
  <si>
    <t>Z-11479</t>
  </si>
  <si>
    <t>Z-10283</t>
  </si>
  <si>
    <t>Z-10726</t>
  </si>
  <si>
    <t>Z-10905</t>
  </si>
  <si>
    <t>Z-10697</t>
  </si>
  <si>
    <t>Z-10155</t>
  </si>
  <si>
    <t>Z-11443</t>
  </si>
  <si>
    <t>Z-10902</t>
  </si>
  <si>
    <t>Z-11151</t>
  </si>
  <si>
    <t>Z-11154</t>
  </si>
  <si>
    <t>Z-10159</t>
  </si>
  <si>
    <t>Z-11209</t>
  </si>
  <si>
    <t>Z-11478</t>
  </si>
  <si>
    <t>Z-11108</t>
  </si>
  <si>
    <t>Z-11139</t>
  </si>
  <si>
    <t>Z-11148</t>
  </si>
  <si>
    <t>Z-11157</t>
  </si>
  <si>
    <t>Z-10728</t>
  </si>
  <si>
    <t>Z-10653</t>
  </si>
  <si>
    <t>Z-10521</t>
  </si>
  <si>
    <t>Z-10727</t>
  </si>
  <si>
    <t>Z-11483</t>
  </si>
  <si>
    <t>Z-11062</t>
  </si>
  <si>
    <t>Z-11356</t>
  </si>
  <si>
    <t>Z-10204</t>
  </si>
  <si>
    <t>Z-10339</t>
  </si>
  <si>
    <t>Z-11489</t>
  </si>
  <si>
    <t>Z-11145</t>
  </si>
  <si>
    <t>Z-10944</t>
  </si>
  <si>
    <t>Z-10165</t>
  </si>
  <si>
    <t>Z-10974</t>
  </si>
  <si>
    <t>Z-10887</t>
  </si>
  <si>
    <t>Z-10729</t>
  </si>
  <si>
    <t>Z-11299</t>
  </si>
  <si>
    <t>Z-10915</t>
  </si>
  <si>
    <t>Z-10368</t>
  </si>
  <si>
    <t>Z-11493</t>
  </si>
  <si>
    <t>Z-11160</t>
  </si>
  <si>
    <t>Z-11246</t>
  </si>
  <si>
    <t>Z-10730</t>
  </si>
  <si>
    <t>Z-10579</t>
  </si>
  <si>
    <t>Z-11351</t>
  </si>
  <si>
    <t>Z-11220</t>
  </si>
  <si>
    <t>Z-11256</t>
  </si>
  <si>
    <t>Z-11484</t>
  </si>
  <si>
    <t>Z-11494</t>
  </si>
  <si>
    <t>Z-10737</t>
  </si>
  <si>
    <t>Z-11401</t>
  </si>
  <si>
    <t>Z-10595</t>
  </si>
  <si>
    <t>Z-11228</t>
  </si>
  <si>
    <t>Z-10583</t>
  </si>
  <si>
    <t>Z-10363</t>
  </si>
  <si>
    <t>Z-10731</t>
  </si>
  <si>
    <t>Z-10452</t>
  </si>
  <si>
    <t>Z-10941</t>
  </si>
  <si>
    <t>Z-11233</t>
  </si>
  <si>
    <t>Z-10471</t>
  </si>
  <si>
    <t>Z-10980</t>
  </si>
  <si>
    <t>Z-11222</t>
  </si>
  <si>
    <t>Z-10478</t>
  </si>
  <si>
    <t>Z-10733</t>
  </si>
  <si>
    <t>Z-10739</t>
  </si>
  <si>
    <t>Z-10745</t>
  </si>
  <si>
    <t>Z-11409</t>
  </si>
  <si>
    <t>Z-11264</t>
  </si>
  <si>
    <t>Z-11499</t>
  </si>
  <si>
    <t>Z-11495</t>
  </si>
  <si>
    <t>Z-10467</t>
  </si>
  <si>
    <t>Z-10636</t>
  </si>
  <si>
    <t>Z-11503</t>
  </si>
  <si>
    <t>Z-11347</t>
  </si>
  <si>
    <t>Z-10753</t>
  </si>
  <si>
    <t>Z-10264</t>
  </si>
  <si>
    <t>Z-11500</t>
  </si>
  <si>
    <t>Z-11497</t>
  </si>
  <si>
    <t>Z-10751</t>
  </si>
  <si>
    <t>Z-10951</t>
  </si>
  <si>
    <t>Z-10553</t>
  </si>
  <si>
    <t>Z-10752</t>
  </si>
  <si>
    <t>Z-10323</t>
  </si>
  <si>
    <t>Z-11504</t>
  </si>
  <si>
    <t>Z-11505</t>
  </si>
  <si>
    <t>Z-10763</t>
  </si>
  <si>
    <t>Z-10750</t>
  </si>
  <si>
    <t>Z-11520</t>
  </si>
  <si>
    <t>Z-10654</t>
  </si>
  <si>
    <t>Z-11515</t>
  </si>
  <si>
    <t>Z-11517</t>
  </si>
  <si>
    <t>Z-10756</t>
  </si>
  <si>
    <t>Z-10766</t>
  </si>
  <si>
    <t>Z-11514</t>
  </si>
  <si>
    <t>Z-11511</t>
  </si>
  <si>
    <t>SA-0221ST1</t>
  </si>
  <si>
    <t>Z-11019</t>
  </si>
  <si>
    <t>Z-10172</t>
  </si>
  <si>
    <t>SA-0152HST1</t>
  </si>
  <si>
    <t>SA-0495HST1</t>
  </si>
  <si>
    <t>SA-0166HST1</t>
  </si>
  <si>
    <t>SA-0137HST1</t>
  </si>
  <si>
    <t>SA-0589H</t>
  </si>
  <si>
    <t>SA-0593H</t>
  </si>
  <si>
    <t>RA-0311HST1</t>
  </si>
  <si>
    <t>RA-0018HST1</t>
  </si>
  <si>
    <t>ST TODAY!</t>
  </si>
  <si>
    <t>SA-0248ST1</t>
  </si>
  <si>
    <t>rig repair will completed in 5 days</t>
  </si>
  <si>
    <t>pending</t>
  </si>
  <si>
    <t>DD to be assigned</t>
  </si>
  <si>
    <t>Have</t>
  </si>
  <si>
    <t>CMT Tools need to be confirmed, need back up in front</t>
  </si>
  <si>
    <t>Green</t>
  </si>
  <si>
    <t>Draft PDDP</t>
  </si>
  <si>
    <t>Signed</t>
  </si>
  <si>
    <t>100% Location</t>
  </si>
  <si>
    <t>Baker DD assigned</t>
  </si>
  <si>
    <t>need well to be released</t>
  </si>
  <si>
    <t>6 weeks</t>
  </si>
  <si>
    <t>PDDP to be received</t>
  </si>
  <si>
    <t>No saftey superviser, not approved</t>
  </si>
  <si>
    <t>workover rig needed, so maybe SA-0603 moves in, management does not want to send workover rig</t>
  </si>
  <si>
    <t>2 days location</t>
  </si>
  <si>
    <t>DD to be assigned, HZ, 100% location</t>
  </si>
  <si>
    <t>this week</t>
  </si>
  <si>
    <t>well to be released</t>
  </si>
  <si>
    <t>BACK AS NEXT WELL, couldn’t get gate pass to RQ</t>
  </si>
  <si>
    <t>Missing from meeting, no update</t>
  </si>
  <si>
    <t>RA-0392ST</t>
  </si>
  <si>
    <t>RA-0192ST1</t>
  </si>
  <si>
    <t>RA-0574H</t>
  </si>
  <si>
    <t>RA-0572H</t>
  </si>
  <si>
    <t>SA-0591H</t>
  </si>
  <si>
    <t>SA-0586H</t>
  </si>
  <si>
    <t>RA-0518HST1</t>
  </si>
  <si>
    <t>RA-0271HST1</t>
  </si>
  <si>
    <t>RA-0581H</t>
  </si>
  <si>
    <t>RA-0179DPN</t>
  </si>
  <si>
    <t>Z-10208</t>
  </si>
  <si>
    <t>Z-10743</t>
  </si>
  <si>
    <t>Z-11369</t>
  </si>
  <si>
    <t>Z-11519</t>
  </si>
  <si>
    <t>Z-10468</t>
  </si>
  <si>
    <t>Z-10954</t>
  </si>
  <si>
    <t>Z-10764</t>
  </si>
  <si>
    <t>Z-10769</t>
  </si>
  <si>
    <t>Z-10045</t>
  </si>
  <si>
    <t>Z-10761</t>
  </si>
  <si>
    <t>Z-11055</t>
  </si>
  <si>
    <t>Z-10749</t>
  </si>
  <si>
    <t>Z-10767</t>
  </si>
  <si>
    <t>Z-11510</t>
  </si>
  <si>
    <t>Z-10920</t>
  </si>
  <si>
    <t>Z-10936</t>
  </si>
  <si>
    <t>Z-11527</t>
  </si>
  <si>
    <t>Z-10376</t>
  </si>
  <si>
    <t>Z-10768</t>
  </si>
  <si>
    <t>Z-11518</t>
  </si>
  <si>
    <t>Z-10326</t>
  </si>
  <si>
    <t>Z-10758</t>
  </si>
  <si>
    <t>Z-11523</t>
  </si>
  <si>
    <t>Z-11522</t>
  </si>
  <si>
    <t>SA-0602H</t>
  </si>
  <si>
    <t>SA-0601H</t>
  </si>
  <si>
    <t>Z-11526</t>
  </si>
  <si>
    <t>Z-11525</t>
  </si>
  <si>
    <t>Z-11528</t>
  </si>
  <si>
    <t>Z-11529</t>
  </si>
  <si>
    <t>Z-11530</t>
  </si>
  <si>
    <t>Z-11531</t>
  </si>
  <si>
    <t>Z-11532</t>
  </si>
  <si>
    <t>Z-11533</t>
  </si>
  <si>
    <t>Z-11534</t>
  </si>
  <si>
    <t>Z-11536</t>
  </si>
  <si>
    <t>Z-11537</t>
  </si>
  <si>
    <t>Z-11538</t>
  </si>
  <si>
    <t>Z-11539</t>
  </si>
  <si>
    <t>Z-11540</t>
  </si>
  <si>
    <t>Z-11541</t>
  </si>
  <si>
    <t>Z-11542</t>
  </si>
  <si>
    <t>Z-11543</t>
  </si>
  <si>
    <t>Z-11544</t>
  </si>
  <si>
    <t>Z-11545</t>
  </si>
  <si>
    <t>Z-11546</t>
  </si>
  <si>
    <t>Z-11547</t>
  </si>
  <si>
    <t>Z-11548</t>
  </si>
  <si>
    <t>Z-11549</t>
  </si>
  <si>
    <t>Z-11550</t>
  </si>
  <si>
    <t>Z-11551</t>
  </si>
  <si>
    <t>Z-11552</t>
  </si>
  <si>
    <t>Z-11553</t>
  </si>
  <si>
    <t>Z-11554</t>
  </si>
  <si>
    <t>Z-11555</t>
  </si>
  <si>
    <t>Z-11556</t>
  </si>
  <si>
    <t>Z-11557</t>
  </si>
  <si>
    <t>Z-11558</t>
  </si>
  <si>
    <t>Z-11559</t>
  </si>
  <si>
    <t>Z-11560</t>
  </si>
  <si>
    <t>Z-11561</t>
  </si>
  <si>
    <t>Z-11562</t>
  </si>
  <si>
    <t>Z-11563</t>
  </si>
  <si>
    <t>Z-11564</t>
  </si>
  <si>
    <t>Z-11565</t>
  </si>
  <si>
    <t>Z-11566</t>
  </si>
  <si>
    <t>Z-11567</t>
  </si>
  <si>
    <t>Z-11568</t>
  </si>
  <si>
    <t>Z-11569</t>
  </si>
  <si>
    <t>Z-11570</t>
  </si>
  <si>
    <t>Z-11571</t>
  </si>
  <si>
    <t>Z-11572</t>
  </si>
  <si>
    <t>Z-11573</t>
  </si>
  <si>
    <t>Z-11574</t>
  </si>
  <si>
    <t>Z-11575</t>
  </si>
  <si>
    <t>Z-11576</t>
  </si>
  <si>
    <t>Z-11577</t>
  </si>
  <si>
    <t>Z-11578</t>
  </si>
  <si>
    <t>Z-11579</t>
  </si>
  <si>
    <t>Z-11580</t>
  </si>
  <si>
    <t>Z-11581</t>
  </si>
  <si>
    <t>Z-11582</t>
  </si>
  <si>
    <t>Z-11583</t>
  </si>
  <si>
    <t>Z-11584</t>
  </si>
  <si>
    <t>Z-11585</t>
  </si>
  <si>
    <t>Z-11586</t>
  </si>
  <si>
    <t>Z-11587</t>
  </si>
  <si>
    <t>Z-11588</t>
  </si>
  <si>
    <t>Z-11589</t>
  </si>
  <si>
    <t>Z-11590</t>
  </si>
  <si>
    <t>Z-11591</t>
  </si>
  <si>
    <t>Z-11592</t>
  </si>
  <si>
    <t>Z-11593</t>
  </si>
  <si>
    <t>Z-11594</t>
  </si>
  <si>
    <t>Z-11595</t>
  </si>
  <si>
    <t>Z-11596</t>
  </si>
  <si>
    <t>Z-11597</t>
  </si>
  <si>
    <t>Z-11598</t>
  </si>
  <si>
    <t>Z-11599</t>
  </si>
  <si>
    <t>Z-11600</t>
  </si>
  <si>
    <t>Z-11601</t>
  </si>
  <si>
    <t>Z-11602</t>
  </si>
  <si>
    <t>Z-11603</t>
  </si>
  <si>
    <t>Z-11604</t>
  </si>
  <si>
    <t>Z-11605</t>
  </si>
  <si>
    <t>Z-11606</t>
  </si>
  <si>
    <t>Z-11607</t>
  </si>
  <si>
    <t>Z-11608</t>
  </si>
  <si>
    <t>Z-11609</t>
  </si>
  <si>
    <t>Z-11610</t>
  </si>
  <si>
    <t>Z-11611</t>
  </si>
  <si>
    <t>Z-11612</t>
  </si>
  <si>
    <t>Z-11613</t>
  </si>
  <si>
    <t>Z-11614</t>
  </si>
  <si>
    <t>Z-11615</t>
  </si>
  <si>
    <t>Z-11616</t>
  </si>
  <si>
    <t>Z-11617</t>
  </si>
  <si>
    <t>Z-11618</t>
  </si>
  <si>
    <t>Z-11619</t>
  </si>
  <si>
    <t>Z-11620</t>
  </si>
  <si>
    <t>Z-11621</t>
  </si>
  <si>
    <t>Z-11622</t>
  </si>
  <si>
    <t>Z-11623</t>
  </si>
  <si>
    <t>Z-11624</t>
  </si>
  <si>
    <t>Z-11625</t>
  </si>
  <si>
    <t>Z-11626</t>
  </si>
  <si>
    <t>Z-11627</t>
  </si>
  <si>
    <t>Z-11628</t>
  </si>
  <si>
    <t>Z-11629</t>
  </si>
  <si>
    <t>Z-11630</t>
  </si>
  <si>
    <t>Z-11631</t>
  </si>
  <si>
    <t>Z-11632</t>
  </si>
  <si>
    <t>Z-11633</t>
  </si>
  <si>
    <t>Z-11634</t>
  </si>
  <si>
    <t>Z-11635</t>
  </si>
  <si>
    <t>Z-11636</t>
  </si>
  <si>
    <t>Z-11637</t>
  </si>
  <si>
    <t>Z-11638</t>
  </si>
  <si>
    <t>Z-11639</t>
  </si>
  <si>
    <t>Z-11640</t>
  </si>
  <si>
    <t>Z-11641</t>
  </si>
  <si>
    <t>Z-11642</t>
  </si>
  <si>
    <t>Z-11643</t>
  </si>
  <si>
    <t>Z-11644</t>
  </si>
  <si>
    <t>Z-11645</t>
  </si>
  <si>
    <t>Z-11646</t>
  </si>
  <si>
    <t>Z-11647</t>
  </si>
  <si>
    <t>Z-11648</t>
  </si>
  <si>
    <t>Z-11649</t>
  </si>
  <si>
    <t>Z-11650</t>
  </si>
  <si>
    <t>NaN</t>
  </si>
  <si>
    <t>RA-0520L1</t>
  </si>
  <si>
    <t>Z-10682</t>
  </si>
  <si>
    <t>Z-10762</t>
  </si>
  <si>
    <t xml:space="preserve">Z-11651
</t>
  </si>
  <si>
    <t>Wiper Tr</t>
  </si>
  <si>
    <t>UWI</t>
  </si>
  <si>
    <t>Nu BOP</t>
  </si>
  <si>
    <t>RQ-181</t>
  </si>
  <si>
    <t>RA UB Prod move in front</t>
  </si>
  <si>
    <t>Traj</t>
  </si>
  <si>
    <t>Stuck</t>
  </si>
  <si>
    <t>Rig Release 08/21/2015 19:00</t>
  </si>
  <si>
    <t>COMPl</t>
  </si>
  <si>
    <t>Spud 8/19/2015 3:00</t>
  </si>
  <si>
    <t xml:space="preserve"> 8/19/2015 3:00</t>
  </si>
  <si>
    <t>ST!</t>
  </si>
  <si>
    <t>Rig DN</t>
  </si>
  <si>
    <t>BLD</t>
  </si>
  <si>
    <t>Z-11652</t>
  </si>
  <si>
    <t>SA-0603H</t>
  </si>
  <si>
    <t>RA-0165DPN</t>
  </si>
  <si>
    <t>RA-0179-RA-ZU-Prod-ST-V-HAL</t>
  </si>
  <si>
    <t>RA-0561-RA-UB-Prod-NW-HZ-SLB</t>
  </si>
  <si>
    <t>RA-0581-RA-UB-Prod-NW-HZ-Sperry</t>
  </si>
  <si>
    <t>RA-0569-RA-MA-Prod-NW-HZ-Sperry</t>
  </si>
  <si>
    <t>RA5-RA-MA-Prod-NW-HZ-SLB</t>
  </si>
  <si>
    <t>SA-0142-SA-MA-Prod-ST-HZ-Baker</t>
  </si>
  <si>
    <t>SA15-SA-MA-Inj-ST-HZ</t>
  </si>
  <si>
    <t>SA28-SA-MA-Prod-NW-HZ</t>
  </si>
  <si>
    <t>RA25-RA-LB-Prod-NW-SL-SLB</t>
  </si>
  <si>
    <t>SA52-SA-LB-Prod-NW-SL</t>
  </si>
  <si>
    <t>SA58-SA-UB-Inj-NW-SL</t>
  </si>
  <si>
    <t>RA44-RA-RT-Prod-NW-HZ-SLB</t>
  </si>
  <si>
    <t>SA-0495-SA-MA-Prod-ST-HZ-BHI</t>
  </si>
  <si>
    <t>RA-0595-RA-ZU-Prod-NW-SL-Baker</t>
  </si>
  <si>
    <t>AD-0008-AD-ZU-Inj-ST-SL</t>
  </si>
  <si>
    <t>SA5-SA-MA-Inj-ST-HZ</t>
  </si>
  <si>
    <t>SA17-SA-MA-Prod-NW-HZ</t>
  </si>
  <si>
    <t>RA17-RA-MA-Inj-NW-HZ-SLB</t>
  </si>
  <si>
    <t>SA46-SA-LB-Prod-NW-SL</t>
  </si>
  <si>
    <t>SA53-SA-UB-Inj-NW-SL</t>
  </si>
  <si>
    <t>SA-0600-SA-MA-Prod-NW-HZ-Baker</t>
  </si>
  <si>
    <t>RQ-0180-RQ-ZU-Prod-NW</t>
  </si>
  <si>
    <t>SA-0589-SA-MA-Inj-NW-HZ</t>
  </si>
  <si>
    <t>RA-0594-RA-ZU-Prod-NW-HZ</t>
  </si>
  <si>
    <t>RQ-0181-RQ-ZU-Prod-NW</t>
  </si>
  <si>
    <t>RA13-RA-MA-Prod-NW-HZ-SLB</t>
  </si>
  <si>
    <t>SA29-SA-RT-Inj-NW-HZ</t>
  </si>
  <si>
    <t>SA-0587-SA-MA-Prod-NW-HZ-BHI</t>
  </si>
  <si>
    <t>SA-0593-SA-MA-Prod-NW-HZ-SLB</t>
  </si>
  <si>
    <t>RA6-RA-MA-Prod-NW-HZ-SLB</t>
  </si>
  <si>
    <t>RA-0596-RA-ZU-Prod-NW-HZ-SLB</t>
  </si>
  <si>
    <t>SA18-SA-MA-Inj-NW-HZ</t>
  </si>
  <si>
    <t>RA18-RA-LB-Prod-NW-SL-SLB</t>
  </si>
  <si>
    <t>RA26-RA-UB-Prod-NW-SL-SLB</t>
  </si>
  <si>
    <t>RA-0590-RA-UB-Prod-NW-HZ-WFD</t>
  </si>
  <si>
    <t>SA-0603-SA-MA-Prod-NW-HZ-Sperry</t>
  </si>
  <si>
    <t>SA3-SA-UB-Prod-NW-SL</t>
  </si>
  <si>
    <t>SA-0471-SA-LB-Prod-ST-HZ</t>
  </si>
  <si>
    <t>RA19-RA-ZU-Prod-NW-HZ-SLB</t>
  </si>
  <si>
    <t>SA47-SA-MA-Inj-NW-HZ</t>
  </si>
  <si>
    <t>RA35-RA-LB-Prod-NW-SL-SLB</t>
  </si>
  <si>
    <t>RA41-RA-UB-Prod-NW-HZ-SLB</t>
  </si>
  <si>
    <t>RQ-RQ-ZU-Prod-NW-HZ</t>
  </si>
  <si>
    <t>SA-0166-SA-MA-Prod-ST-HZ-SLB</t>
  </si>
  <si>
    <t>RA-0311-RA-MA-Prod-ST-HZ-SLB</t>
  </si>
  <si>
    <t>RA-0593-RA-ZU-Prod-NW-HZ-SLB</t>
  </si>
  <si>
    <t>RA10-RA-ZU-Prod-SLB</t>
  </si>
  <si>
    <t>SA19-SA-MA-Prod-NW-HZ</t>
  </si>
  <si>
    <t>RA20-RA-LB-Prod-NW-SL-SLB</t>
  </si>
  <si>
    <t>RA27-RA-UB-Prod-NW-SL-SLB</t>
  </si>
  <si>
    <t>SA54-SA-RT-Prod-NW-HZ</t>
  </si>
  <si>
    <t>RA-0577-RA-LB-Prod-NW-SL-SLB</t>
  </si>
  <si>
    <t>RA-0583-RA-LB-Prod-NW-SL-WFD</t>
  </si>
  <si>
    <t>RA3-RA-MA-Prod-NW-HZ-SLB</t>
  </si>
  <si>
    <t>RA-0582-RA-UB-Prod-NW-HZ-WFD</t>
  </si>
  <si>
    <t>RA4-RA-MA-Prod</t>
  </si>
  <si>
    <t>SA20-SA-MA-Prod-NW-HZ</t>
  </si>
  <si>
    <t>RA21-RA-LB-Prod-NW-SL-SLB</t>
  </si>
  <si>
    <t>RA28-RA-UB-Prod-NW-HZ-SLB</t>
  </si>
  <si>
    <t>SA55-SA-RT-Inj-NW-HZ</t>
  </si>
  <si>
    <t>RA-0592-RA-UB-Prod-NW-SL-SLB</t>
  </si>
  <si>
    <t>RA-0518-RA-UB-Prod-ST-HZ-SLB</t>
  </si>
  <si>
    <t>RA-0396-RA-MA-Prod-ST-HZ-SLB</t>
  </si>
  <si>
    <t>SA1-SA-MA-Prod-NW-HZ</t>
  </si>
  <si>
    <t>SA8-SA-UB-Prod-NW-SL</t>
  </si>
  <si>
    <t>RA14-RA-UB-Prod-NW-HZ-SLB</t>
  </si>
  <si>
    <t>RA-0046-RA-MA-Prod-ST-HZ-SLB</t>
  </si>
  <si>
    <t>RA-0018-RA-MA-Prod-ST-HZ-Anadrill</t>
  </si>
  <si>
    <t>RA-0271-RA-MA-Inj-ST-HZ-Anadrill</t>
  </si>
  <si>
    <t>RA-0166-RA-MA-Prod-ST-HZ-SLB</t>
  </si>
  <si>
    <t>RA15-RA-ZU-Inj-NW-HZ-SLB</t>
  </si>
  <si>
    <t>SA30-SA-UB-Inj-NW-SL</t>
  </si>
  <si>
    <t>SA48-SA-Prod-NW-SL</t>
  </si>
  <si>
    <t>RA-0573-RA-ZU-Prod-NW-SL-BHI</t>
  </si>
  <si>
    <t>RA-0574-RA-ZU-Prod-NW-HZ-Baker</t>
  </si>
  <si>
    <t>RA-0572-RA-LB-Prod-NW-HZ-Baker</t>
  </si>
  <si>
    <t>RA-0571-RA-MA-Prod-NW-HZ-Baker</t>
  </si>
  <si>
    <t>RA22-RA-UB-Prod-NW-HZ-SLB</t>
  </si>
  <si>
    <t>SA49-SA-UB-Inj-NW-SL</t>
  </si>
  <si>
    <t>SA56-SA-Prod-NW-SL</t>
  </si>
  <si>
    <t>SA-0248-SA-LB-Prod-ST-SL-BHI</t>
  </si>
  <si>
    <t>RA-0563-RA-ZU-Prod-NW-ML-Baker</t>
  </si>
  <si>
    <t>SA9-SA-MA-Prod-NW-HZ</t>
  </si>
  <si>
    <t>SA21-SA-MA-Prod-NW-HZ</t>
  </si>
  <si>
    <t>SA40-SA-MA-Prod-NW-HZ</t>
  </si>
  <si>
    <t>RA29-RA-MA-Inj-NW-HZ-SLB</t>
  </si>
  <si>
    <t>RA36-RA-MA-Prod-NW-HZ-SLB</t>
  </si>
  <si>
    <t>SA59-SA-MA-Inj-ST-SL</t>
  </si>
  <si>
    <t>RA-0564-RA-UB-Prod-NW-SL-WFD</t>
  </si>
  <si>
    <t>RA-0579-RA-LB-Prod-NW-SL-Sperry</t>
  </si>
  <si>
    <t>SA-0601-SA-MA-Prod-NW-HZ-SLB</t>
  </si>
  <si>
    <t>SA-0590-SA-LB-Prod-NW-SL-WFD</t>
  </si>
  <si>
    <t>RA11-RA-MA-Prod-NW-HZ-SLB</t>
  </si>
  <si>
    <t>SA22-SA-MA-Prod-NW-HZ</t>
  </si>
  <si>
    <t>SA41-SA-MA-Prod-NW-HZ</t>
  </si>
  <si>
    <t>RA30-RA-MA-Inj-NW-HZ-SLB</t>
  </si>
  <si>
    <t>RA37-RA-MA-Prod-NW-HZ-SLB</t>
  </si>
  <si>
    <t>RA42-RA-MA-Prod-ST-SL-SLB</t>
  </si>
  <si>
    <t>RA-0580-RA-LB-Prod-NW-SL-WFD</t>
  </si>
  <si>
    <t>SA-0592-SA-LB-Prod-NW-SL-WFD</t>
  </si>
  <si>
    <t>SA-0558-SA-MA-Inj-NW-V</t>
  </si>
  <si>
    <t>SA-0557-SA-MA-Inj-NW-V</t>
  </si>
  <si>
    <t>SA-0560-SA-MA-Inj-NW-V</t>
  </si>
  <si>
    <t>RA23-RA-MA-Inj-ST-SLB</t>
  </si>
  <si>
    <t>SA-0563-SA-UB-Inj-NW-V</t>
  </si>
  <si>
    <t>SA57-SA-MA-Prod-NW-HZ</t>
  </si>
  <si>
    <t>RA43-RA-MA-Inj-NW-HZ-SLB</t>
  </si>
  <si>
    <t>SA62-SA-UB-Inj-NW-SL</t>
  </si>
  <si>
    <t>SA-0599-SA-MA-Prod-NW-HZ-HAL</t>
  </si>
  <si>
    <t>RA-0192ST-RA-LB-Prod-ST-SL-BHI</t>
  </si>
  <si>
    <t>RA2--RA-UB-Prod-NW-HZ</t>
  </si>
  <si>
    <t>SA10-SA-UB-Inj-NW-SL</t>
  </si>
  <si>
    <t>SA-0580-SA-MA-Prod-NW-HZ-SLB</t>
  </si>
  <si>
    <t>SA-0602-SA-MA-Prod-NW-HZ-SLB</t>
  </si>
  <si>
    <t>SA-0613-SA-UB-Prod-NW-HZ</t>
  </si>
  <si>
    <t>SA2-SA-LB-Prod-NW-SL</t>
  </si>
  <si>
    <t>SA3-SA-LB-Prod-HZ</t>
  </si>
  <si>
    <t>SA-0137-SA-MA-Prod-ST-HZ-BHI</t>
  </si>
  <si>
    <t>RA-0165-RA-ZU-Inj-ST-V</t>
  </si>
  <si>
    <t>RA-0241-RA-MA-Prod-ST-HZ-Sperry</t>
  </si>
  <si>
    <t>SA12-SA-UB-Prod-NW-SL</t>
  </si>
  <si>
    <t>SA25-SA-MA-Prod-NW-HZ</t>
  </si>
  <si>
    <t>SA43-SA-MA-Prod-NW-HZ</t>
  </si>
  <si>
    <t>RA32-RA-LB-Prod-NW-SL-SLB</t>
  </si>
  <si>
    <t>RA39-RA-MA-Prod-NW-HZ-SLB</t>
  </si>
  <si>
    <t>SA60-SA-MA-Inj-ST-SL</t>
  </si>
  <si>
    <t>SA-0152-SA-MA-Prod-ST-HZ-SLB</t>
  </si>
  <si>
    <t>RA-0575-RA-LB-Prod-NW-SL-WFD</t>
  </si>
  <si>
    <t>SA-0060-SA-MA-Prod-ST-HZ-SLB</t>
  </si>
  <si>
    <t>RA12-RA-LB-Prod-NW-HZ-SLB</t>
  </si>
  <si>
    <t>SA26-SA-MA-Prod-NW-HZ</t>
  </si>
  <si>
    <t>SA44-SA-MA-Prod-NW-HZ</t>
  </si>
  <si>
    <t>RA33-RA-LB-Prod-NW-SL-SLB</t>
  </si>
  <si>
    <t>RA40-RA-MA-Prod-NW-HZ-SLB</t>
  </si>
  <si>
    <t>SA61-SA-MA-Observation-NW-V</t>
  </si>
  <si>
    <t>SA-0582-SA-LB-Prod-NW-HZ-SLB</t>
  </si>
  <si>
    <t>SA-0586-SA-MA-Prod-NW-HZ-Baker</t>
  </si>
  <si>
    <t>SA-0612-SA-UB-Prod-NW-SL</t>
  </si>
  <si>
    <t>SA4-SA-MA-Prod-NW-HZ</t>
  </si>
  <si>
    <t>SA13-SA-MA-Prod-NW-HZ</t>
  </si>
  <si>
    <t>RA16-RA-MA-Inj-NW-HZ-SLB</t>
  </si>
  <si>
    <t>SA45-SA-ZU-Prod-NW-HZ</t>
  </si>
  <si>
    <t>SA51-SA-RT-Inj-NW-HZ</t>
  </si>
  <si>
    <t>SA-0610-SA-UB-Prod-NW-SL-HAL</t>
  </si>
  <si>
    <t>SA-0611-SA-UB-Prod-NW-SL-Sperry</t>
  </si>
  <si>
    <t>SA-0591-SA-LB-Prod-NW-HZ-Sperry</t>
  </si>
  <si>
    <t>SA14-SA-MA-Inj-ST-HZ</t>
  </si>
  <si>
    <t>SA27-SA-MA-Prod-NW-HZ</t>
  </si>
  <si>
    <t>RA24-RA-MA-Inj-NW-HZ-SLB</t>
  </si>
  <si>
    <t>RA34-RA-ZU-Inj-NW-HZ-SLB</t>
  </si>
  <si>
    <t>Prod_Inj</t>
  </si>
  <si>
    <t>Estimated in October. Missing from meeting, no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</si>
</sst>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"/>
    <numFmt numFmtId="165" formatCode="[$-409]d\-mmm\-yy;@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333333"/>
      <name val="Verdana"/>
      <family val="2"/>
    </font>
    <font>
      <sz val="10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0"/>
      <color rgb="FF333333"/>
      <name val="Verdana"/>
      <family val="2"/>
    </font>
    <font>
      <sz val="9"/>
      <name val="Calibri Light"/>
      <family val="1"/>
      <scheme val="major"/>
    </font>
    <font>
      <b/>
      <i/>
      <sz val="9"/>
      <name val="Arial"/>
      <family val="2"/>
    </font>
    <font>
      <b/>
      <i/>
      <sz val="9"/>
      <name val="Calibri"/>
      <family val="2"/>
    </font>
    <font>
      <i/>
      <sz val="12"/>
      <color theme="1"/>
      <name val="Calibri Light"/>
      <family val="1"/>
      <scheme val="major"/>
    </font>
    <font>
      <sz val="9"/>
      <color rgb="FFFFFF00"/>
      <name val="Calibri Light"/>
      <family val="1"/>
      <scheme val="major"/>
    </font>
    <font>
      <sz val="9"/>
      <color rgb="FF00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9"/>
      <color rgb="FFFF0000"/>
      <name val="Calibri Light"/>
      <family val="1"/>
      <scheme val="major"/>
    </font>
    <font>
      <i/>
      <sz val="9"/>
      <color theme="1"/>
      <name val="Calibri Light"/>
      <family val="1"/>
      <scheme val="major"/>
    </font>
    <font>
      <b/>
      <sz val="9"/>
      <name val="Calibri Light"/>
      <family val="2"/>
      <scheme val="major"/>
    </font>
    <font>
      <sz val="9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Arial"/>
      <family val="2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theme="0" tint="-4.9989318521683403E-2"/>
      <name val="Arial"/>
      <family val="2"/>
    </font>
    <font>
      <b/>
      <sz val="16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</font>
    <font>
      <b/>
      <sz val="16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Times New Roman"/>
      <family val="1"/>
    </font>
  </fonts>
  <fills count="7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89CCB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548235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6">
    <xf numFmtId="0" fontId="0" fillId="0" borderId="0"/>
    <xf numFmtId="0" fontId="4" fillId="0" borderId="0"/>
    <xf numFmtId="0" fontId="4" fillId="0" borderId="0"/>
    <xf numFmtId="0" fontId="5" fillId="0" borderId="0"/>
    <xf numFmtId="43" fontId="6" fillId="0" borderId="0" applyFont="0" applyFill="0" applyBorder="0" applyAlignment="0" applyProtection="0"/>
    <xf numFmtId="0" fontId="8" fillId="0" borderId="0"/>
    <xf numFmtId="0" fontId="4" fillId="0" borderId="0"/>
    <xf numFmtId="0" fontId="6" fillId="9" borderId="0" applyNumberFormat="0" applyBorder="0" applyAlignment="0" applyProtection="0"/>
    <xf numFmtId="0" fontId="6" fillId="0" borderId="0"/>
    <xf numFmtId="0" fontId="6" fillId="0" borderId="0"/>
    <xf numFmtId="0" fontId="6" fillId="32" borderId="39" applyNumberFormat="0" applyFont="0" applyAlignment="0" applyProtection="0"/>
    <xf numFmtId="0" fontId="30" fillId="34" borderId="0" applyNumberFormat="0" applyBorder="0" applyAlignment="0" applyProtection="0"/>
    <xf numFmtId="0" fontId="31" fillId="35" borderId="46" applyNumberFormat="0" applyAlignment="0" applyProtection="0"/>
    <xf numFmtId="0" fontId="12" fillId="36" borderId="0" applyNumberFormat="0" applyBorder="0" applyAlignment="0" applyProtection="0"/>
    <xf numFmtId="0" fontId="12" fillId="37" borderId="0" applyNumberFormat="0" applyBorder="0" applyAlignment="0" applyProtection="0"/>
    <xf numFmtId="0" fontId="33" fillId="38" borderId="0" applyNumberFormat="0" applyBorder="0" applyAlignment="0" applyProtection="0"/>
    <xf numFmtId="0" fontId="12" fillId="39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37" fillId="0" borderId="0"/>
    <xf numFmtId="0" fontId="4" fillId="0" borderId="0"/>
    <xf numFmtId="165" fontId="4" fillId="0" borderId="0"/>
    <xf numFmtId="0" fontId="4" fillId="0" borderId="0"/>
    <xf numFmtId="0" fontId="4" fillId="0" borderId="0"/>
    <xf numFmtId="0" fontId="40" fillId="0" borderId="0" applyNumberFormat="0" applyFill="0" applyBorder="0" applyAlignment="0" applyProtection="0"/>
    <xf numFmtId="0" fontId="41" fillId="0" borderId="50" applyNumberFormat="0" applyFill="0" applyAlignment="0" applyProtection="0"/>
    <xf numFmtId="0" fontId="42" fillId="0" borderId="51" applyNumberFormat="0" applyFill="0" applyAlignment="0" applyProtection="0"/>
    <xf numFmtId="0" fontId="43" fillId="0" borderId="52" applyNumberFormat="0" applyFill="0" applyAlignment="0" applyProtection="0"/>
    <xf numFmtId="0" fontId="43" fillId="0" borderId="0" applyNumberFormat="0" applyFill="0" applyBorder="0" applyAlignment="0" applyProtection="0"/>
    <xf numFmtId="0" fontId="44" fillId="58" borderId="0" applyNumberFormat="0" applyBorder="0" applyAlignment="0" applyProtection="0"/>
    <xf numFmtId="0" fontId="45" fillId="59" borderId="53" applyNumberFormat="0" applyAlignment="0" applyProtection="0"/>
    <xf numFmtId="0" fontId="46" fillId="59" borderId="46" applyNumberFormat="0" applyAlignment="0" applyProtection="0"/>
    <xf numFmtId="0" fontId="47" fillId="0" borderId="54" applyNumberFormat="0" applyFill="0" applyAlignment="0" applyProtection="0"/>
    <xf numFmtId="0" fontId="3" fillId="60" borderId="55" applyNumberFormat="0" applyAlignment="0" applyProtection="0"/>
    <xf numFmtId="0" fontId="2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" fillId="0" borderId="56" applyNumberFormat="0" applyFill="0" applyAlignment="0" applyProtection="0"/>
    <xf numFmtId="0" fontId="12" fillId="61" borderId="0" applyNumberFormat="0" applyBorder="0" applyAlignment="0" applyProtection="0"/>
    <xf numFmtId="0" fontId="12" fillId="62" borderId="0" applyNumberFormat="0" applyBorder="0" applyAlignment="0" applyProtection="0"/>
    <xf numFmtId="0" fontId="6" fillId="63" borderId="0" applyNumberFormat="0" applyBorder="0" applyAlignment="0" applyProtection="0"/>
    <xf numFmtId="0" fontId="6" fillId="64" borderId="0" applyNumberFormat="0" applyBorder="0" applyAlignment="0" applyProtection="0"/>
    <xf numFmtId="0" fontId="12" fillId="65" borderId="0" applyNumberFormat="0" applyBorder="0" applyAlignment="0" applyProtection="0"/>
    <xf numFmtId="0" fontId="6" fillId="66" borderId="0" applyNumberFormat="0" applyBorder="0" applyAlignment="0" applyProtection="0"/>
    <xf numFmtId="0" fontId="6" fillId="67" borderId="0" applyNumberFormat="0" applyBorder="0" applyAlignment="0" applyProtection="0"/>
    <xf numFmtId="0" fontId="12" fillId="68" borderId="0" applyNumberFormat="0" applyBorder="0" applyAlignment="0" applyProtection="0"/>
    <xf numFmtId="0" fontId="12" fillId="69" borderId="0" applyNumberFormat="0" applyBorder="0" applyAlignment="0" applyProtection="0"/>
    <xf numFmtId="0" fontId="6" fillId="70" borderId="0" applyNumberFormat="0" applyBorder="0" applyAlignment="0" applyProtection="0"/>
    <xf numFmtId="0" fontId="12" fillId="71" borderId="0" applyNumberFormat="0" applyBorder="0" applyAlignment="0" applyProtection="0"/>
    <xf numFmtId="0" fontId="6" fillId="72" borderId="0" applyNumberFormat="0" applyBorder="0" applyAlignment="0" applyProtection="0"/>
    <xf numFmtId="0" fontId="6" fillId="73" borderId="0" applyNumberFormat="0" applyBorder="0" applyAlignment="0" applyProtection="0"/>
    <xf numFmtId="0" fontId="12" fillId="74" borderId="0" applyNumberFormat="0" applyBorder="0" applyAlignment="0" applyProtection="0"/>
    <xf numFmtId="0" fontId="12" fillId="75" borderId="0" applyNumberFormat="0" applyBorder="0" applyAlignment="0" applyProtection="0"/>
    <xf numFmtId="0" fontId="6" fillId="76" borderId="0" applyNumberFormat="0" applyBorder="0" applyAlignment="0" applyProtection="0"/>
    <xf numFmtId="0" fontId="6" fillId="77" borderId="0" applyNumberFormat="0" applyBorder="0" applyAlignment="0" applyProtection="0"/>
    <xf numFmtId="0" fontId="12" fillId="78" borderId="0" applyNumberFormat="0" applyBorder="0" applyAlignment="0" applyProtection="0"/>
    <xf numFmtId="0" fontId="6" fillId="0" borderId="0"/>
    <xf numFmtId="0" fontId="4" fillId="0" borderId="0"/>
    <xf numFmtId="0" fontId="4" fillId="0" borderId="0"/>
    <xf numFmtId="0" fontId="5" fillId="0" borderId="0"/>
    <xf numFmtId="0" fontId="50" fillId="0" borderId="0"/>
    <xf numFmtId="0" fontId="6" fillId="32" borderId="39" applyNumberFormat="0" applyFont="0" applyAlignment="0" applyProtection="0"/>
    <xf numFmtId="0" fontId="6" fillId="0" borderId="0"/>
    <xf numFmtId="0" fontId="50" fillId="0" borderId="0"/>
    <xf numFmtId="0" fontId="50" fillId="0" borderId="0"/>
    <xf numFmtId="0" fontId="50" fillId="0" borderId="0"/>
    <xf numFmtId="0" fontId="50" fillId="0" borderId="0"/>
  </cellStyleXfs>
  <cellXfs count="640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14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4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17" fontId="0" fillId="0" borderId="0" xfId="0" applyNumberFormat="1"/>
    <xf numFmtId="0" fontId="0" fillId="3" borderId="0" xfId="0" applyFill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quotePrefix="1"/>
    <xf numFmtId="0" fontId="0" fillId="0" borderId="1" xfId="0" quotePrefix="1" applyBorder="1"/>
    <xf numFmtId="0" fontId="0" fillId="0" borderId="0" xfId="0" applyBorder="1"/>
    <xf numFmtId="17" fontId="0" fillId="0" borderId="1" xfId="0" applyNumberFormat="1" applyBorder="1"/>
    <xf numFmtId="0" fontId="1" fillId="4" borderId="1" xfId="0" applyFont="1" applyFill="1" applyBorder="1"/>
    <xf numFmtId="0" fontId="0" fillId="4" borderId="1" xfId="0" applyFill="1" applyBorder="1"/>
    <xf numFmtId="14" fontId="0" fillId="0" borderId="0" xfId="0" applyNumberFormat="1"/>
    <xf numFmtId="0" fontId="1" fillId="4" borderId="1" xfId="0" applyFont="1" applyFill="1" applyBorder="1" applyAlignment="1">
      <alignment horizontal="center"/>
    </xf>
    <xf numFmtId="15" fontId="0" fillId="0" borderId="0" xfId="0" applyNumberFormat="1"/>
    <xf numFmtId="0" fontId="0" fillId="2" borderId="0" xfId="0" applyFill="1"/>
    <xf numFmtId="2" fontId="0" fillId="0" borderId="0" xfId="0" applyNumberFormat="1"/>
    <xf numFmtId="43" fontId="0" fillId="0" borderId="0" xfId="4" applyFont="1"/>
    <xf numFmtId="0" fontId="0" fillId="2" borderId="0" xfId="0" applyFont="1" applyFill="1"/>
    <xf numFmtId="0" fontId="0" fillId="0" borderId="0" xfId="0" applyFill="1" applyBorder="1"/>
    <xf numFmtId="0" fontId="0" fillId="0" borderId="5" xfId="0" applyBorder="1"/>
    <xf numFmtId="0" fontId="4" fillId="0" borderId="0" xfId="1"/>
    <xf numFmtId="0" fontId="1" fillId="0" borderId="1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 wrapText="1"/>
    </xf>
    <xf numFmtId="0" fontId="0" fillId="2" borderId="0" xfId="0" applyFill="1" applyAlignment="1">
      <alignment horizontal="left" wrapText="1"/>
    </xf>
    <xf numFmtId="1" fontId="0" fillId="0" borderId="0" xfId="0" applyNumberFormat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1" xfId="0" applyFont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0" borderId="0" xfId="0"/>
    <xf numFmtId="0" fontId="0" fillId="6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1" xfId="0" applyFont="1" applyFill="1" applyBorder="1" applyAlignment="1">
      <alignment horizontal="left"/>
    </xf>
    <xf numFmtId="0" fontId="14" fillId="8" borderId="1" xfId="1" applyFont="1" applyFill="1" applyBorder="1"/>
    <xf numFmtId="0" fontId="0" fillId="0" borderId="0" xfId="0"/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13" fillId="0" borderId="1" xfId="0" applyFont="1" applyBorder="1"/>
    <xf numFmtId="0" fontId="3" fillId="4" borderId="1" xfId="0" applyFont="1" applyFill="1" applyBorder="1" applyAlignment="1">
      <alignment horizontal="center"/>
    </xf>
    <xf numFmtId="0" fontId="12" fillId="4" borderId="1" xfId="0" applyFont="1" applyFill="1" applyBorder="1"/>
    <xf numFmtId="0" fontId="3" fillId="4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0" borderId="7" xfId="0" applyFill="1" applyBorder="1" applyAlignment="1">
      <alignment horizontal="left"/>
    </xf>
    <xf numFmtId="0" fontId="0" fillId="0" borderId="7" xfId="0" applyFill="1" applyBorder="1"/>
    <xf numFmtId="0" fontId="0" fillId="0" borderId="0" xfId="0"/>
    <xf numFmtId="0" fontId="16" fillId="0" borderId="0" xfId="0" applyFont="1"/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Alignment="1"/>
    <xf numFmtId="0" fontId="0" fillId="0" borderId="14" xfId="0" applyBorder="1" applyAlignment="1"/>
    <xf numFmtId="0" fontId="16" fillId="0" borderId="1" xfId="0" applyFont="1" applyBorder="1"/>
    <xf numFmtId="0" fontId="3" fillId="0" borderId="6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NumberFormat="1" applyFill="1" applyBorder="1"/>
    <xf numFmtId="0" fontId="0" fillId="0" borderId="0" xfId="0" applyFill="1" applyBorder="1" applyAlignment="1"/>
    <xf numFmtId="0" fontId="0" fillId="0" borderId="1" xfId="0" applyNumberFormat="1" applyBorder="1"/>
    <xf numFmtId="0" fontId="0" fillId="0" borderId="7" xfId="0" applyBorder="1" applyAlignment="1">
      <alignment horizontal="center"/>
    </xf>
    <xf numFmtId="0" fontId="1" fillId="0" borderId="0" xfId="0" applyFont="1" applyBorder="1"/>
    <xf numFmtId="0" fontId="0" fillId="0" borderId="18" xfId="0" applyBorder="1" applyAlignment="1">
      <alignment horizontal="center"/>
    </xf>
    <xf numFmtId="0" fontId="16" fillId="0" borderId="0" xfId="0" applyFont="1" applyBorder="1"/>
    <xf numFmtId="0" fontId="0" fillId="0" borderId="0" xfId="0" applyBorder="1" applyAlignment="1"/>
    <xf numFmtId="0" fontId="1" fillId="0" borderId="0" xfId="0" applyFont="1" applyBorder="1" applyAlignment="1"/>
    <xf numFmtId="0" fontId="0" fillId="0" borderId="9" xfId="0" applyFill="1" applyBorder="1"/>
    <xf numFmtId="0" fontId="0" fillId="0" borderId="22" xfId="0" applyFill="1" applyBorder="1"/>
    <xf numFmtId="0" fontId="1" fillId="0" borderId="23" xfId="0" applyFont="1" applyBorder="1"/>
    <xf numFmtId="0" fontId="1" fillId="0" borderId="9" xfId="0" applyFont="1" applyBorder="1"/>
    <xf numFmtId="0" fontId="0" fillId="0" borderId="0" xfId="0"/>
    <xf numFmtId="0" fontId="1" fillId="0" borderId="1" xfId="0" applyFont="1" applyBorder="1"/>
    <xf numFmtId="0" fontId="0" fillId="0" borderId="0" xfId="0"/>
    <xf numFmtId="0" fontId="1" fillId="0" borderId="1" xfId="0" applyFont="1" applyBorder="1"/>
    <xf numFmtId="0" fontId="6" fillId="9" borderId="1" xfId="7" applyBorder="1"/>
    <xf numFmtId="0" fontId="12" fillId="0" borderId="0" xfId="0" applyFont="1"/>
    <xf numFmtId="0" fontId="12" fillId="0" borderId="7" xfId="0" applyFont="1" applyFill="1" applyBorder="1"/>
    <xf numFmtId="0" fontId="17" fillId="0" borderId="0" xfId="2" applyFont="1"/>
    <xf numFmtId="0" fontId="17" fillId="0" borderId="0" xfId="2" applyFont="1" applyAlignment="1">
      <alignment horizontal="center" vertical="center"/>
    </xf>
    <xf numFmtId="0" fontId="17" fillId="0" borderId="26" xfId="2" applyFont="1" applyBorder="1"/>
    <xf numFmtId="0" fontId="17" fillId="0" borderId="27" xfId="2" applyFont="1" applyBorder="1" applyAlignment="1">
      <alignment horizontal="center" vertical="center"/>
    </xf>
    <xf numFmtId="0" fontId="17" fillId="0" borderId="28" xfId="2" applyFont="1" applyBorder="1" applyAlignment="1">
      <alignment horizontal="center" vertical="center"/>
    </xf>
    <xf numFmtId="0" fontId="17" fillId="0" borderId="28" xfId="2" applyFont="1" applyFill="1" applyBorder="1" applyAlignment="1">
      <alignment horizontal="center" vertical="center"/>
    </xf>
    <xf numFmtId="0" fontId="17" fillId="0" borderId="29" xfId="2" applyFont="1" applyFill="1" applyBorder="1" applyAlignment="1">
      <alignment horizontal="center" vertical="center"/>
    </xf>
    <xf numFmtId="0" fontId="17" fillId="0" borderId="30" xfId="2" applyFont="1" applyBorder="1"/>
    <xf numFmtId="0" fontId="17" fillId="0" borderId="10" xfId="2" applyFont="1" applyBorder="1"/>
    <xf numFmtId="0" fontId="17" fillId="0" borderId="10" xfId="2" applyFont="1" applyBorder="1" applyAlignment="1">
      <alignment horizontal="center" vertical="center"/>
    </xf>
    <xf numFmtId="15" fontId="17" fillId="0" borderId="10" xfId="2" applyNumberFormat="1" applyFont="1" applyBorder="1"/>
    <xf numFmtId="0" fontId="17" fillId="0" borderId="32" xfId="2" applyFont="1" applyBorder="1"/>
    <xf numFmtId="0" fontId="17" fillId="0" borderId="33" xfId="2" applyFont="1" applyBorder="1"/>
    <xf numFmtId="0" fontId="17" fillId="13" borderId="4" xfId="2" applyFont="1" applyFill="1" applyBorder="1" applyAlignment="1">
      <alignment vertical="center"/>
    </xf>
    <xf numFmtId="0" fontId="21" fillId="16" borderId="1" xfId="2" applyFont="1" applyFill="1" applyBorder="1" applyAlignment="1">
      <alignment horizontal="center" vertical="center" wrapText="1" readingOrder="1"/>
    </xf>
    <xf numFmtId="0" fontId="17" fillId="0" borderId="33" xfId="2" applyFont="1" applyFill="1" applyBorder="1" applyAlignment="1">
      <alignment vertical="center"/>
    </xf>
    <xf numFmtId="0" fontId="17" fillId="0" borderId="1" xfId="2" applyFont="1" applyBorder="1"/>
    <xf numFmtId="0" fontId="17" fillId="0" borderId="1" xfId="2" applyFont="1" applyBorder="1" applyAlignment="1">
      <alignment horizontal="center" vertical="center"/>
    </xf>
    <xf numFmtId="15" fontId="17" fillId="0" borderId="1" xfId="2" applyNumberFormat="1" applyFont="1" applyBorder="1"/>
    <xf numFmtId="0" fontId="17" fillId="0" borderId="2" xfId="2" applyFont="1" applyBorder="1"/>
    <xf numFmtId="0" fontId="17" fillId="0" borderId="4" xfId="2" applyFont="1" applyFill="1" applyBorder="1" applyAlignment="1">
      <alignment vertical="center"/>
    </xf>
    <xf numFmtId="0" fontId="17" fillId="12" borderId="4" xfId="2" applyFont="1" applyFill="1" applyBorder="1" applyAlignment="1">
      <alignment vertical="center"/>
    </xf>
    <xf numFmtId="0" fontId="21" fillId="17" borderId="1" xfId="2" applyFont="1" applyFill="1" applyBorder="1" applyAlignment="1">
      <alignment horizontal="center" vertical="center" wrapText="1" readingOrder="1"/>
    </xf>
    <xf numFmtId="0" fontId="21" fillId="15" borderId="1" xfId="2" applyFont="1" applyFill="1" applyBorder="1" applyAlignment="1">
      <alignment horizontal="center" vertical="center" wrapText="1" readingOrder="1"/>
    </xf>
    <xf numFmtId="0" fontId="17" fillId="14" borderId="4" xfId="2" applyFont="1" applyFill="1" applyBorder="1" applyAlignment="1">
      <alignment vertical="center"/>
    </xf>
    <xf numFmtId="0" fontId="17" fillId="14" borderId="4" xfId="2" applyFont="1" applyFill="1" applyBorder="1" applyAlignment="1">
      <alignment vertical="center" wrapText="1"/>
    </xf>
    <xf numFmtId="0" fontId="17" fillId="0" borderId="33" xfId="2" applyFont="1" applyFill="1" applyBorder="1" applyAlignment="1">
      <alignment vertical="center" wrapText="1"/>
    </xf>
    <xf numFmtId="0" fontId="17" fillId="0" borderId="4" xfId="2" applyFont="1" applyFill="1" applyBorder="1" applyAlignment="1">
      <alignment vertical="center" wrapText="1"/>
    </xf>
    <xf numFmtId="0" fontId="17" fillId="7" borderId="4" xfId="2" applyFont="1" applyFill="1" applyBorder="1" applyAlignment="1">
      <alignment vertical="center" wrapText="1"/>
    </xf>
    <xf numFmtId="0" fontId="21" fillId="18" borderId="1" xfId="2" applyFont="1" applyFill="1" applyBorder="1" applyAlignment="1">
      <alignment horizontal="center" vertical="center" wrapText="1" readingOrder="1"/>
    </xf>
    <xf numFmtId="0" fontId="22" fillId="13" borderId="4" xfId="9" applyFont="1" applyFill="1" applyBorder="1" applyAlignment="1">
      <alignment vertical="center"/>
    </xf>
    <xf numFmtId="0" fontId="22" fillId="0" borderId="33" xfId="9" applyFont="1" applyFill="1" applyBorder="1" applyAlignment="1">
      <alignment vertical="center"/>
    </xf>
    <xf numFmtId="0" fontId="21" fillId="19" borderId="1" xfId="2" applyFont="1" applyFill="1" applyBorder="1" applyAlignment="1">
      <alignment horizontal="center" vertical="center" wrapText="1" readingOrder="1"/>
    </xf>
    <xf numFmtId="0" fontId="21" fillId="10" borderId="1" xfId="2" applyFont="1" applyFill="1" applyBorder="1" applyAlignment="1">
      <alignment horizontal="center" vertical="center" wrapText="1" readingOrder="1"/>
    </xf>
    <xf numFmtId="0" fontId="23" fillId="12" borderId="4" xfId="9" applyFont="1" applyFill="1" applyBorder="1" applyAlignment="1">
      <alignment vertical="center" wrapText="1"/>
    </xf>
    <xf numFmtId="0" fontId="23" fillId="0" borderId="33" xfId="9" applyFont="1" applyFill="1" applyBorder="1" applyAlignment="1">
      <alignment vertical="center" wrapText="1"/>
    </xf>
    <xf numFmtId="0" fontId="23" fillId="13" borderId="4" xfId="9" applyFont="1" applyFill="1" applyBorder="1" applyAlignment="1">
      <alignment vertical="center"/>
    </xf>
    <xf numFmtId="0" fontId="23" fillId="0" borderId="33" xfId="9" applyFont="1" applyFill="1" applyBorder="1" applyAlignment="1">
      <alignment vertical="center"/>
    </xf>
    <xf numFmtId="0" fontId="22" fillId="0" borderId="4" xfId="9" applyFont="1" applyFill="1" applyBorder="1" applyAlignment="1">
      <alignment vertical="center"/>
    </xf>
    <xf numFmtId="0" fontId="23" fillId="15" borderId="4" xfId="9" applyFont="1" applyFill="1" applyBorder="1" applyAlignment="1">
      <alignment vertical="center"/>
    </xf>
    <xf numFmtId="0" fontId="17" fillId="7" borderId="4" xfId="2" applyFont="1" applyFill="1" applyBorder="1" applyAlignment="1">
      <alignment vertical="center"/>
    </xf>
    <xf numFmtId="0" fontId="21" fillId="20" borderId="1" xfId="2" applyFont="1" applyFill="1" applyBorder="1" applyAlignment="1">
      <alignment horizontal="center" vertical="center" wrapText="1" readingOrder="1"/>
    </xf>
    <xf numFmtId="0" fontId="22" fillId="12" borderId="4" xfId="9" applyFont="1" applyFill="1" applyBorder="1" applyAlignment="1">
      <alignment vertical="center"/>
    </xf>
    <xf numFmtId="0" fontId="17" fillId="13" borderId="4" xfId="9" applyFont="1" applyFill="1" applyBorder="1" applyAlignment="1">
      <alignment vertical="center"/>
    </xf>
    <xf numFmtId="0" fontId="17" fillId="0" borderId="33" xfId="9" applyFont="1" applyFill="1" applyBorder="1" applyAlignment="1">
      <alignment vertical="center"/>
    </xf>
    <xf numFmtId="0" fontId="23" fillId="7" borderId="4" xfId="2" applyFont="1" applyFill="1" applyBorder="1" applyAlignment="1">
      <alignment vertical="center"/>
    </xf>
    <xf numFmtId="0" fontId="23" fillId="0" borderId="33" xfId="2" applyFont="1" applyFill="1" applyBorder="1" applyAlignment="1">
      <alignment vertical="center"/>
    </xf>
    <xf numFmtId="0" fontId="21" fillId="21" borderId="1" xfId="2" applyFont="1" applyFill="1" applyBorder="1" applyAlignment="1">
      <alignment horizontal="center" vertical="center" wrapText="1" readingOrder="1"/>
    </xf>
    <xf numFmtId="0" fontId="23" fillId="12" borderId="4" xfId="2" applyFont="1" applyFill="1" applyBorder="1" applyAlignment="1">
      <alignment vertical="center"/>
    </xf>
    <xf numFmtId="0" fontId="23" fillId="13" borderId="4" xfId="2" applyFont="1" applyFill="1" applyBorder="1" applyAlignment="1">
      <alignment vertical="center"/>
    </xf>
    <xf numFmtId="0" fontId="17" fillId="0" borderId="1" xfId="2" applyFont="1" applyFill="1" applyBorder="1"/>
    <xf numFmtId="0" fontId="17" fillId="0" borderId="1" xfId="2" applyFont="1" applyFill="1" applyBorder="1" applyAlignment="1">
      <alignment horizontal="center" vertical="center"/>
    </xf>
    <xf numFmtId="0" fontId="17" fillId="0" borderId="2" xfId="2" applyFont="1" applyFill="1" applyBorder="1"/>
    <xf numFmtId="15" fontId="17" fillId="0" borderId="10" xfId="2" applyNumberFormat="1" applyFont="1" applyFill="1" applyBorder="1"/>
    <xf numFmtId="0" fontId="21" fillId="22" borderId="1" xfId="2" applyFont="1" applyFill="1" applyBorder="1" applyAlignment="1">
      <alignment horizontal="center" vertical="center" wrapText="1" readingOrder="1"/>
    </xf>
    <xf numFmtId="0" fontId="23" fillId="0" borderId="4" xfId="2" applyFont="1" applyFill="1" applyBorder="1" applyAlignment="1">
      <alignment vertical="center"/>
    </xf>
    <xf numFmtId="0" fontId="21" fillId="23" borderId="1" xfId="2" applyFont="1" applyFill="1" applyBorder="1" applyAlignment="1">
      <alignment horizontal="center" vertical="center" wrapText="1" readingOrder="1"/>
    </xf>
    <xf numFmtId="0" fontId="23" fillId="14" borderId="4" xfId="2" applyFont="1" applyFill="1" applyBorder="1" applyAlignment="1">
      <alignment vertical="center"/>
    </xf>
    <xf numFmtId="0" fontId="21" fillId="24" borderId="1" xfId="2" applyFont="1" applyFill="1" applyBorder="1" applyAlignment="1">
      <alignment horizontal="center" vertical="center" wrapText="1" readingOrder="1"/>
    </xf>
    <xf numFmtId="0" fontId="17" fillId="15" borderId="4" xfId="2" applyFont="1" applyFill="1" applyBorder="1" applyAlignment="1">
      <alignment vertical="center"/>
    </xf>
    <xf numFmtId="0" fontId="21" fillId="5" borderId="1" xfId="2" applyFont="1" applyFill="1" applyBorder="1" applyAlignment="1">
      <alignment horizontal="center" vertical="center" wrapText="1" readingOrder="1"/>
    </xf>
    <xf numFmtId="0" fontId="17" fillId="23" borderId="4" xfId="2" applyFont="1" applyFill="1" applyBorder="1" applyAlignment="1">
      <alignment vertical="center"/>
    </xf>
    <xf numFmtId="0" fontId="21" fillId="25" borderId="1" xfId="2" applyFont="1" applyFill="1" applyBorder="1" applyAlignment="1">
      <alignment horizontal="center" vertical="center" wrapText="1" readingOrder="1"/>
    </xf>
    <xf numFmtId="0" fontId="24" fillId="0" borderId="33" xfId="2" applyFont="1" applyFill="1" applyBorder="1" applyAlignment="1">
      <alignment vertical="center"/>
    </xf>
    <xf numFmtId="0" fontId="21" fillId="5" borderId="1" xfId="2" applyFont="1" applyFill="1" applyBorder="1" applyAlignment="1">
      <alignment horizontal="center" vertical="center" wrapText="1"/>
    </xf>
    <xf numFmtId="0" fontId="17" fillId="0" borderId="1" xfId="2" applyFont="1" applyBorder="1" applyAlignment="1">
      <alignment vertical="center"/>
    </xf>
    <xf numFmtId="0" fontId="17" fillId="11" borderId="4" xfId="2" applyFont="1" applyFill="1" applyBorder="1" applyAlignment="1">
      <alignment vertical="center"/>
    </xf>
    <xf numFmtId="0" fontId="23" fillId="0" borderId="4" xfId="2" applyFont="1" applyFill="1" applyBorder="1" applyAlignment="1">
      <alignment vertical="center" wrapText="1"/>
    </xf>
    <xf numFmtId="0" fontId="23" fillId="0" borderId="33" xfId="2" applyFont="1" applyFill="1" applyBorder="1" applyAlignment="1">
      <alignment vertical="center" wrapText="1"/>
    </xf>
    <xf numFmtId="0" fontId="21" fillId="26" borderId="1" xfId="2" applyFont="1" applyFill="1" applyBorder="1" applyAlignment="1">
      <alignment horizontal="center" vertical="center" wrapText="1" readingOrder="1"/>
    </xf>
    <xf numFmtId="0" fontId="21" fillId="6" borderId="1" xfId="2" applyFont="1" applyFill="1" applyBorder="1" applyAlignment="1">
      <alignment horizontal="center" vertical="center" wrapText="1" readingOrder="1"/>
    </xf>
    <xf numFmtId="0" fontId="21" fillId="27" borderId="1" xfId="2" applyFont="1" applyFill="1" applyBorder="1" applyAlignment="1">
      <alignment horizontal="center" vertical="center" wrapText="1" readingOrder="1"/>
    </xf>
    <xf numFmtId="0" fontId="21" fillId="28" borderId="1" xfId="2" applyFont="1" applyFill="1" applyBorder="1" applyAlignment="1">
      <alignment horizontal="center" vertical="center" wrapText="1" readingOrder="1"/>
    </xf>
    <xf numFmtId="0" fontId="21" fillId="29" borderId="1" xfId="2" applyFont="1" applyFill="1" applyBorder="1" applyAlignment="1">
      <alignment horizontal="center" vertical="center" wrapText="1" readingOrder="1"/>
    </xf>
    <xf numFmtId="0" fontId="21" fillId="30" borderId="1" xfId="2" applyFont="1" applyFill="1" applyBorder="1" applyAlignment="1">
      <alignment horizontal="center" vertical="center" wrapText="1" readingOrder="1"/>
    </xf>
    <xf numFmtId="0" fontId="21" fillId="31" borderId="1" xfId="2" applyFont="1" applyFill="1" applyBorder="1" applyAlignment="1">
      <alignment horizontal="center" vertical="center" wrapText="1" readingOrder="1"/>
    </xf>
    <xf numFmtId="0" fontId="17" fillId="0" borderId="34" xfId="2" applyFont="1" applyBorder="1"/>
    <xf numFmtId="0" fontId="17" fillId="0" borderId="36" xfId="2" applyFont="1" applyBorder="1"/>
    <xf numFmtId="0" fontId="17" fillId="0" borderId="36" xfId="2" applyFont="1" applyBorder="1" applyAlignment="1">
      <alignment horizontal="center" vertical="center"/>
    </xf>
    <xf numFmtId="15" fontId="17" fillId="0" borderId="36" xfId="2" applyNumberFormat="1" applyFont="1" applyBorder="1"/>
    <xf numFmtId="15" fontId="17" fillId="0" borderId="37" xfId="2" applyNumberFormat="1" applyFont="1" applyBorder="1"/>
    <xf numFmtId="0" fontId="17" fillId="0" borderId="38" xfId="2" applyFont="1" applyBorder="1"/>
    <xf numFmtId="0" fontId="17" fillId="0" borderId="0" xfId="2" applyFont="1" applyFill="1" applyBorder="1" applyAlignment="1">
      <alignment vertical="center" wrapText="1"/>
    </xf>
    <xf numFmtId="0" fontId="17" fillId="0" borderId="0" xfId="2" applyFont="1" applyFill="1" applyBorder="1" applyAlignment="1">
      <alignment horizontal="center" vertical="center" wrapText="1"/>
    </xf>
    <xf numFmtId="0" fontId="25" fillId="0" borderId="0" xfId="2" applyFont="1" applyFill="1" applyBorder="1" applyAlignment="1">
      <alignment horizontal="left" vertical="center" wrapText="1"/>
    </xf>
    <xf numFmtId="0" fontId="17" fillId="0" borderId="0" xfId="2" applyFont="1" applyFill="1" applyBorder="1" applyAlignment="1"/>
    <xf numFmtId="0" fontId="4" fillId="0" borderId="0" xfId="1" applyAlignment="1"/>
    <xf numFmtId="0" fontId="4" fillId="0" borderId="0" xfId="1" applyBorder="1"/>
    <xf numFmtId="0" fontId="4" fillId="0" borderId="0" xfId="1" applyAlignment="1">
      <alignment horizontal="left"/>
    </xf>
    <xf numFmtId="0" fontId="1" fillId="0" borderId="0" xfId="0" applyFont="1" applyBorder="1" applyAlignment="1">
      <alignment horizontal="right"/>
    </xf>
    <xf numFmtId="0" fontId="0" fillId="9" borderId="1" xfId="7" applyFont="1" applyBorder="1"/>
    <xf numFmtId="0" fontId="4" fillId="0" borderId="1" xfId="1" applyBorder="1" applyAlignment="1"/>
    <xf numFmtId="0" fontId="4" fillId="0" borderId="1" xfId="1" applyBorder="1"/>
    <xf numFmtId="0" fontId="4" fillId="0" borderId="1" xfId="1" applyFill="1" applyBorder="1"/>
    <xf numFmtId="0" fontId="9" fillId="0" borderId="1" xfId="1" applyFont="1" applyBorder="1" applyAlignment="1"/>
    <xf numFmtId="0" fontId="9" fillId="0" borderId="2" xfId="1" applyFont="1" applyBorder="1" applyAlignment="1"/>
    <xf numFmtId="0" fontId="4" fillId="0" borderId="0" xfId="1" applyFill="1" applyBorder="1"/>
    <xf numFmtId="16" fontId="17" fillId="0" borderId="29" xfId="2" applyNumberFormat="1" applyFont="1" applyBorder="1" applyAlignment="1">
      <alignment horizontal="center" vertical="center"/>
    </xf>
    <xf numFmtId="0" fontId="17" fillId="0" borderId="32" xfId="2" applyFont="1" applyFill="1" applyBorder="1"/>
    <xf numFmtId="0" fontId="17" fillId="32" borderId="39" xfId="10" applyFont="1"/>
    <xf numFmtId="0" fontId="0" fillId="32" borderId="39" xfId="10" applyFont="1" applyAlignment="1">
      <alignment horizontal="left"/>
    </xf>
    <xf numFmtId="0" fontId="17" fillId="32" borderId="39" xfId="10" applyFont="1" applyAlignment="1">
      <alignment vertical="center"/>
    </xf>
    <xf numFmtId="0" fontId="17" fillId="32" borderId="44" xfId="10" applyFont="1" applyBorder="1" applyAlignment="1">
      <alignment horizontal="center" vertical="center"/>
    </xf>
    <xf numFmtId="0" fontId="17" fillId="32" borderId="44" xfId="10" applyFont="1" applyBorder="1"/>
    <xf numFmtId="0" fontId="26" fillId="0" borderId="12" xfId="2" applyFont="1" applyBorder="1" applyAlignment="1"/>
    <xf numFmtId="0" fontId="23" fillId="12" borderId="35" xfId="2" applyFont="1" applyFill="1" applyBorder="1" applyAlignment="1">
      <alignment vertical="center"/>
    </xf>
    <xf numFmtId="0" fontId="21" fillId="22" borderId="36" xfId="2" applyFont="1" applyFill="1" applyBorder="1" applyAlignment="1">
      <alignment horizontal="center" vertical="center" wrapText="1" readingOrder="1"/>
    </xf>
    <xf numFmtId="0" fontId="23" fillId="0" borderId="34" xfId="2" applyFont="1" applyFill="1" applyBorder="1" applyAlignment="1">
      <alignment vertical="center"/>
    </xf>
    <xf numFmtId="0" fontId="17" fillId="0" borderId="2" xfId="2" applyFont="1" applyBorder="1" applyAlignment="1">
      <alignment vertical="center"/>
    </xf>
    <xf numFmtId="0" fontId="22" fillId="13" borderId="31" xfId="9" applyFont="1" applyFill="1" applyBorder="1" applyAlignment="1">
      <alignment vertical="center"/>
    </xf>
    <xf numFmtId="0" fontId="21" fillId="23" borderId="10" xfId="2" applyFont="1" applyFill="1" applyBorder="1" applyAlignment="1">
      <alignment horizontal="center" vertical="center" wrapText="1" readingOrder="1"/>
    </xf>
    <xf numFmtId="0" fontId="22" fillId="0" borderId="30" xfId="9" applyFont="1" applyFill="1" applyBorder="1" applyAlignment="1">
      <alignment vertical="center"/>
    </xf>
    <xf numFmtId="1" fontId="17" fillId="0" borderId="0" xfId="2" applyNumberFormat="1" applyFont="1"/>
    <xf numFmtId="1" fontId="1" fillId="32" borderId="44" xfId="10" applyNumberFormat="1" applyFont="1" applyBorder="1" applyAlignment="1">
      <alignment horizontal="left"/>
    </xf>
    <xf numFmtId="1" fontId="26" fillId="32" borderId="45" xfId="10" applyNumberFormat="1" applyFont="1" applyBorder="1"/>
    <xf numFmtId="1" fontId="1" fillId="32" borderId="39" xfId="10" applyNumberFormat="1" applyFont="1" applyAlignment="1">
      <alignment horizontal="left"/>
    </xf>
    <xf numFmtId="1" fontId="1" fillId="32" borderId="41" xfId="10" applyNumberFormat="1" applyFont="1" applyBorder="1" applyAlignment="1">
      <alignment horizontal="left"/>
    </xf>
    <xf numFmtId="1" fontId="17" fillId="0" borderId="40" xfId="2" applyNumberFormat="1" applyFont="1" applyBorder="1"/>
    <xf numFmtId="1" fontId="17" fillId="0" borderId="14" xfId="2" applyNumberFormat="1" applyFont="1" applyBorder="1"/>
    <xf numFmtId="1" fontId="26" fillId="0" borderId="9" xfId="2" applyNumberFormat="1" applyFont="1" applyBorder="1" applyAlignment="1">
      <alignment horizontal="center"/>
    </xf>
    <xf numFmtId="1" fontId="17" fillId="0" borderId="15" xfId="2" applyNumberFormat="1" applyFont="1" applyBorder="1"/>
    <xf numFmtId="1" fontId="17" fillId="0" borderId="17" xfId="2" applyNumberFormat="1" applyFont="1" applyBorder="1"/>
    <xf numFmtId="1" fontId="17" fillId="32" borderId="44" xfId="10" applyNumberFormat="1" applyFont="1" applyBorder="1"/>
    <xf numFmtId="1" fontId="27" fillId="32" borderId="44" xfId="10" applyNumberFormat="1" applyFont="1" applyBorder="1"/>
    <xf numFmtId="1" fontId="27" fillId="32" borderId="39" xfId="10" applyNumberFormat="1" applyFont="1"/>
    <xf numFmtId="1" fontId="6" fillId="32" borderId="39" xfId="10" applyNumberFormat="1" applyFont="1" applyAlignment="1">
      <alignment horizontal="left"/>
    </xf>
    <xf numFmtId="1" fontId="17" fillId="32" borderId="39" xfId="10" applyNumberFormat="1" applyFont="1"/>
    <xf numFmtId="0" fontId="4" fillId="33" borderId="1" xfId="1" applyFill="1" applyBorder="1" applyAlignment="1">
      <alignment horizontal="left"/>
    </xf>
    <xf numFmtId="0" fontId="4" fillId="33" borderId="1" xfId="1" applyFill="1" applyBorder="1"/>
    <xf numFmtId="0" fontId="0" fillId="33" borderId="1" xfId="7" applyFont="1" applyFill="1" applyBorder="1"/>
    <xf numFmtId="0" fontId="0" fillId="33" borderId="0" xfId="7" applyFont="1" applyFill="1" applyBorder="1"/>
    <xf numFmtId="2" fontId="4" fillId="0" borderId="0" xfId="1" applyNumberFormat="1" applyAlignment="1">
      <alignment horizontal="left"/>
    </xf>
    <xf numFmtId="2" fontId="1" fillId="0" borderId="0" xfId="0" applyNumberFormat="1" applyFont="1" applyBorder="1" applyAlignment="1">
      <alignment horizontal="right"/>
    </xf>
    <xf numFmtId="2" fontId="4" fillId="0" borderId="0" xfId="1" applyNumberFormat="1"/>
    <xf numFmtId="2" fontId="4" fillId="0" borderId="0" xfId="1" applyNumberFormat="1" applyAlignment="1">
      <alignment horizontal="right"/>
    </xf>
    <xf numFmtId="1" fontId="4" fillId="0" borderId="0" xfId="1" applyNumberFormat="1"/>
    <xf numFmtId="1" fontId="0" fillId="0" borderId="0" xfId="0" applyNumberFormat="1"/>
    <xf numFmtId="0" fontId="28" fillId="0" borderId="0" xfId="0" applyFont="1"/>
    <xf numFmtId="0" fontId="28" fillId="0" borderId="0" xfId="7" applyFont="1" applyFill="1" applyBorder="1"/>
    <xf numFmtId="0" fontId="12" fillId="0" borderId="0" xfId="7" applyFont="1" applyFill="1" applyBorder="1"/>
    <xf numFmtId="0" fontId="2" fillId="0" borderId="0" xfId="1" applyFont="1" applyAlignment="1">
      <alignment horizontal="center"/>
    </xf>
    <xf numFmtId="0" fontId="12" fillId="0" borderId="0" xfId="0" applyFont="1" applyFill="1"/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4" borderId="0" xfId="0" applyFont="1" applyFill="1" applyBorder="1"/>
    <xf numFmtId="0" fontId="0" fillId="0" borderId="0" xfId="0" applyBorder="1" applyAlignment="1">
      <alignment horizontal="center"/>
    </xf>
    <xf numFmtId="0" fontId="0" fillId="0" borderId="2" xfId="0" applyBorder="1"/>
    <xf numFmtId="0" fontId="29" fillId="4" borderId="1" xfId="1" applyFont="1" applyFill="1" applyBorder="1"/>
    <xf numFmtId="0" fontId="0" fillId="0" borderId="0" xfId="0"/>
    <xf numFmtId="0" fontId="1" fillId="0" borderId="1" xfId="0" applyFont="1" applyBorder="1"/>
    <xf numFmtId="0" fontId="4" fillId="0" borderId="1" xfId="1" applyBorder="1"/>
    <xf numFmtId="0" fontId="2" fillId="0" borderId="0" xfId="0" applyFont="1"/>
    <xf numFmtId="0" fontId="12" fillId="4" borderId="1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1" xfId="1" applyFont="1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0" borderId="1" xfId="1" applyFont="1" applyFill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2" fillId="37" borderId="0" xfId="14" applyAlignment="1">
      <alignment horizontal="left"/>
    </xf>
    <xf numFmtId="0" fontId="12" fillId="36" borderId="0" xfId="13" applyAlignment="1">
      <alignment horizontal="left"/>
    </xf>
    <xf numFmtId="0" fontId="6" fillId="5" borderId="1" xfId="0" applyFont="1" applyFill="1" applyBorder="1" applyAlignment="1">
      <alignment horizontal="left"/>
    </xf>
    <xf numFmtId="0" fontId="12" fillId="37" borderId="23" xfId="14" applyBorder="1"/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30" fillId="34" borderId="1" xfId="11" applyBorder="1"/>
    <xf numFmtId="0" fontId="0" fillId="0" borderId="1" xfId="0" applyBorder="1"/>
    <xf numFmtId="0" fontId="0" fillId="0" borderId="1" xfId="0" applyFont="1" applyBorder="1" applyAlignment="1">
      <alignment horizontal="center"/>
    </xf>
    <xf numFmtId="0" fontId="4" fillId="0" borderId="0" xfId="1"/>
    <xf numFmtId="0" fontId="2" fillId="13" borderId="1" xfId="1" applyFont="1" applyFill="1" applyBorder="1"/>
    <xf numFmtId="0" fontId="6" fillId="40" borderId="1" xfId="0" applyFont="1" applyFill="1" applyBorder="1" applyAlignment="1">
      <alignment horizontal="left"/>
    </xf>
    <xf numFmtId="0" fontId="6" fillId="24" borderId="1" xfId="0" applyFont="1" applyFill="1" applyBorder="1" applyAlignment="1">
      <alignment horizontal="left"/>
    </xf>
    <xf numFmtId="0" fontId="6" fillId="25" borderId="1" xfId="0" applyFont="1" applyFill="1" applyBorder="1" applyAlignment="1">
      <alignment horizontal="left"/>
    </xf>
    <xf numFmtId="0" fontId="2" fillId="0" borderId="0" xfId="1" applyFont="1"/>
    <xf numFmtId="0" fontId="0" fillId="0" borderId="0" xfId="0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2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14" fillId="0" borderId="0" xfId="1" applyFont="1"/>
    <xf numFmtId="0" fontId="0" fillId="5" borderId="1" xfId="0" applyFill="1" applyBorder="1" applyAlignment="1">
      <alignment horizontal="left"/>
    </xf>
    <xf numFmtId="0" fontId="2" fillId="0" borderId="1" xfId="1" applyFont="1" applyFill="1" applyBorder="1"/>
    <xf numFmtId="0" fontId="0" fillId="0" borderId="1" xfId="0" applyFill="1" applyBorder="1" applyAlignment="1">
      <alignment horizontal="left"/>
    </xf>
    <xf numFmtId="0" fontId="2" fillId="50" borderId="1" xfId="1" applyFont="1" applyFill="1" applyBorder="1"/>
    <xf numFmtId="0" fontId="6" fillId="51" borderId="1" xfId="0" applyFont="1" applyFill="1" applyBorder="1" applyAlignment="1">
      <alignment horizontal="left"/>
    </xf>
    <xf numFmtId="0" fontId="6" fillId="48" borderId="1" xfId="0" applyFont="1" applyFill="1" applyBorder="1" applyAlignment="1">
      <alignment horizontal="left"/>
    </xf>
    <xf numFmtId="0" fontId="0" fillId="41" borderId="1" xfId="0" applyFill="1" applyBorder="1" applyAlignment="1">
      <alignment horizontal="left"/>
    </xf>
    <xf numFmtId="0" fontId="6" fillId="41" borderId="1" xfId="0" applyFont="1" applyFill="1" applyBorder="1" applyAlignment="1">
      <alignment horizontal="left"/>
    </xf>
    <xf numFmtId="0" fontId="6" fillId="42" borderId="1" xfId="0" applyFont="1" applyFill="1" applyBorder="1" applyAlignment="1">
      <alignment horizontal="left"/>
    </xf>
    <xf numFmtId="0" fontId="12" fillId="37" borderId="0" xfId="14" applyFont="1" applyAlignment="1">
      <alignment horizontal="left"/>
    </xf>
    <xf numFmtId="0" fontId="6" fillId="44" borderId="1" xfId="0" applyFont="1" applyFill="1" applyBorder="1" applyAlignment="1">
      <alignment horizontal="left"/>
    </xf>
    <xf numFmtId="0" fontId="6" fillId="43" borderId="1" xfId="0" applyFont="1" applyFill="1" applyBorder="1" applyAlignment="1">
      <alignment horizontal="left"/>
    </xf>
    <xf numFmtId="0" fontId="6" fillId="5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6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5" borderId="1" xfId="0" applyFill="1" applyBorder="1" applyAlignment="1">
      <alignment horizontal="left"/>
    </xf>
    <xf numFmtId="2" fontId="0" fillId="0" borderId="0" xfId="16" applyNumberFormat="1" applyFont="1" applyFill="1"/>
    <xf numFmtId="22" fontId="0" fillId="0" borderId="1" xfId="0" applyNumberFormat="1" applyFill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33" fillId="38" borderId="1" xfId="15" applyBorder="1" applyAlignment="1">
      <alignment horizontal="center"/>
    </xf>
    <xf numFmtId="0" fontId="9" fillId="0" borderId="1" xfId="5" applyFont="1" applyBorder="1" applyAlignment="1">
      <alignment horizontal="center" vertical="center"/>
    </xf>
    <xf numFmtId="0" fontId="14" fillId="0" borderId="0" xfId="1" applyFont="1" applyFill="1" applyAlignment="1">
      <alignment horizontal="center" vertical="center"/>
    </xf>
    <xf numFmtId="0" fontId="36" fillId="33" borderId="47" xfId="16" applyFont="1" applyFill="1" applyBorder="1"/>
    <xf numFmtId="14" fontId="36" fillId="33" borderId="48" xfId="16" applyNumberFormat="1" applyFont="1" applyFill="1" applyBorder="1"/>
    <xf numFmtId="0" fontId="6" fillId="0" borderId="1" xfId="16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/>
    </xf>
    <xf numFmtId="14" fontId="2" fillId="0" borderId="1" xfId="16" applyNumberFormat="1" applyFont="1" applyFill="1" applyBorder="1"/>
    <xf numFmtId="0" fontId="2" fillId="49" borderId="1" xfId="1" applyFont="1" applyFill="1" applyBorder="1"/>
    <xf numFmtId="0" fontId="2" fillId="49" borderId="1" xfId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/>
    <xf numFmtId="0" fontId="0" fillId="0" borderId="0" xfId="0" applyFill="1" applyBorder="1"/>
    <xf numFmtId="0" fontId="0" fillId="0" borderId="0" xfId="0" applyBorder="1"/>
    <xf numFmtId="14" fontId="0" fillId="0" borderId="0" xfId="0" applyNumberFormat="1" applyAlignment="1">
      <alignment horizontal="left"/>
    </xf>
    <xf numFmtId="0" fontId="0" fillId="0" borderId="40" xfId="0" applyBorder="1"/>
    <xf numFmtId="14" fontId="0" fillId="0" borderId="40" xfId="0" applyNumberFormat="1" applyBorder="1" applyAlignment="1">
      <alignment horizontal="left"/>
    </xf>
    <xf numFmtId="22" fontId="0" fillId="0" borderId="1" xfId="0" applyNumberFormat="1" applyFont="1" applyBorder="1" applyAlignment="1">
      <alignment horizontal="center" vertical="center"/>
    </xf>
    <xf numFmtId="0" fontId="0" fillId="47" borderId="1" xfId="0" applyFill="1" applyBorder="1" applyAlignment="1">
      <alignment horizontal="center"/>
    </xf>
    <xf numFmtId="22" fontId="0" fillId="0" borderId="1" xfId="0" applyNumberFormat="1" applyFont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1" xfId="12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6" fillId="54" borderId="0" xfId="18" applyBorder="1" applyAlignment="1">
      <alignment horizontal="center" vertical="center"/>
    </xf>
    <xf numFmtId="22" fontId="0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14" fontId="4" fillId="0" borderId="0" xfId="1" applyNumberFormat="1"/>
    <xf numFmtId="0" fontId="2" fillId="55" borderId="1" xfId="1" applyFont="1" applyFill="1" applyBorder="1" applyAlignment="1">
      <alignment horizontal="center"/>
    </xf>
    <xf numFmtId="0" fontId="2" fillId="15" borderId="1" xfId="1" applyFont="1" applyFill="1" applyBorder="1" applyAlignment="1">
      <alignment horizontal="center"/>
    </xf>
    <xf numFmtId="0" fontId="2" fillId="19" borderId="1" xfId="1" applyFont="1" applyFill="1" applyBorder="1" applyAlignment="1">
      <alignment horizontal="center"/>
    </xf>
    <xf numFmtId="0" fontId="2" fillId="56" borderId="1" xfId="1" applyFont="1" applyFill="1" applyBorder="1" applyAlignment="1">
      <alignment horizontal="center"/>
    </xf>
    <xf numFmtId="0" fontId="2" fillId="15" borderId="1" xfId="1" applyFont="1" applyFill="1" applyBorder="1"/>
    <xf numFmtId="0" fontId="2" fillId="55" borderId="1" xfId="1" applyFont="1" applyFill="1" applyBorder="1"/>
    <xf numFmtId="0" fontId="2" fillId="56" borderId="1" xfId="1" applyFont="1" applyFill="1" applyBorder="1"/>
    <xf numFmtId="0" fontId="2" fillId="19" borderId="1" xfId="1" applyFont="1" applyFill="1" applyBorder="1"/>
    <xf numFmtId="0" fontId="0" fillId="0" borderId="0" xfId="0" applyBorder="1" applyAlignment="1">
      <alignment horizontal="center"/>
    </xf>
    <xf numFmtId="0" fontId="0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53" borderId="1" xfId="17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6" fillId="54" borderId="1" xfId="18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6" fillId="0" borderId="1" xfId="18" applyFill="1" applyBorder="1" applyAlignment="1">
      <alignment horizontal="center" vertical="center"/>
    </xf>
    <xf numFmtId="0" fontId="0" fillId="54" borderId="1" xfId="18" applyFont="1" applyBorder="1" applyAlignment="1">
      <alignment horizontal="center" vertical="center"/>
    </xf>
    <xf numFmtId="0" fontId="0" fillId="2" borderId="1" xfId="18" applyFont="1" applyFill="1" applyBorder="1" applyAlignment="1">
      <alignment horizontal="center" vertical="center"/>
    </xf>
    <xf numFmtId="0" fontId="33" fillId="0" borderId="1" xfId="15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0" fillId="0" borderId="1" xfId="18" applyFont="1" applyFill="1" applyBorder="1" applyAlignment="1">
      <alignment horizontal="center" vertical="center"/>
    </xf>
    <xf numFmtId="0" fontId="33" fillId="38" borderId="1" xfId="15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1" fontId="0" fillId="3" borderId="1" xfId="0" applyNumberFormat="1" applyFont="1" applyFill="1" applyBorder="1" applyAlignment="1">
      <alignment horizontal="center" vertical="center"/>
    </xf>
    <xf numFmtId="1" fontId="0" fillId="2" borderId="1" xfId="0" applyNumberFormat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/>
    <xf numFmtId="0" fontId="2" fillId="0" borderId="1" xfId="1" applyFont="1" applyBorder="1"/>
    <xf numFmtId="2" fontId="0" fillId="18" borderId="1" xfId="0" applyNumberFormat="1" applyFont="1" applyFill="1" applyBorder="1"/>
    <xf numFmtId="14" fontId="0" fillId="0" borderId="1" xfId="0" applyNumberFormat="1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" xfId="11" applyFon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0" fontId="0" fillId="0" borderId="1" xfId="0" applyFont="1" applyBorder="1"/>
    <xf numFmtId="0" fontId="6" fillId="0" borderId="1" xfId="0" applyFont="1" applyBorder="1"/>
    <xf numFmtId="0" fontId="6" fillId="0" borderId="1" xfId="0" applyFont="1" applyFill="1" applyBorder="1" applyAlignment="1">
      <alignment horizontal="center" vertical="center"/>
    </xf>
    <xf numFmtId="0" fontId="6" fillId="0" borderId="1" xfId="11" applyFont="1" applyFill="1" applyBorder="1" applyAlignment="1">
      <alignment horizontal="center" vertical="center"/>
    </xf>
    <xf numFmtId="0" fontId="0" fillId="0" borderId="1" xfId="11" applyFont="1" applyFill="1" applyBorder="1"/>
    <xf numFmtId="0" fontId="6" fillId="0" borderId="1" xfId="0" applyFont="1" applyFill="1" applyBorder="1"/>
    <xf numFmtId="0" fontId="6" fillId="0" borderId="1" xfId="0" applyFont="1" applyBorder="1" applyAlignment="1">
      <alignment horizontal="center"/>
    </xf>
    <xf numFmtId="14" fontId="6" fillId="0" borderId="1" xfId="0" applyNumberFormat="1" applyFont="1" applyFill="1" applyBorder="1"/>
    <xf numFmtId="0" fontId="0" fillId="0" borderId="0" xfId="0" applyFill="1" applyBorder="1" applyAlignment="1">
      <alignment horizontal="left"/>
    </xf>
    <xf numFmtId="0" fontId="34" fillId="0" borderId="0" xfId="1" applyFont="1" applyFill="1" applyBorder="1"/>
    <xf numFmtId="14" fontId="4" fillId="0" borderId="0" xfId="1" applyNumberFormat="1" applyFill="1" applyBorder="1"/>
    <xf numFmtId="14" fontId="0" fillId="0" borderId="0" xfId="0" applyNumberFormat="1" applyFill="1" applyBorder="1"/>
    <xf numFmtId="0" fontId="1" fillId="3" borderId="0" xfId="0" applyFont="1" applyFill="1"/>
    <xf numFmtId="14" fontId="1" fillId="3" borderId="0" xfId="0" applyNumberFormat="1" applyFont="1" applyFill="1" applyAlignment="1">
      <alignment horizontal="center"/>
    </xf>
    <xf numFmtId="0" fontId="1" fillId="57" borderId="1" xfId="11" applyFont="1" applyFill="1" applyBorder="1" applyAlignment="1">
      <alignment horizontal="center" vertical="center"/>
    </xf>
    <xf numFmtId="14" fontId="1" fillId="57" borderId="1" xfId="0" applyNumberFormat="1" applyFont="1" applyFill="1" applyBorder="1" applyAlignment="1">
      <alignment horizontal="center"/>
    </xf>
    <xf numFmtId="14" fontId="9" fillId="57" borderId="1" xfId="1" applyNumberFormat="1" applyFont="1" applyFill="1" applyBorder="1" applyAlignment="1">
      <alignment horizontal="center"/>
    </xf>
    <xf numFmtId="14" fontId="4" fillId="0" borderId="1" xfId="1" applyNumberFormat="1" applyFill="1" applyBorder="1" applyAlignment="1">
      <alignment horizontal="center"/>
    </xf>
    <xf numFmtId="0" fontId="4" fillId="0" borderId="1" xfId="1" applyFill="1" applyBorder="1" applyAlignment="1">
      <alignment horizontal="center"/>
    </xf>
    <xf numFmtId="0" fontId="4" fillId="0" borderId="1" xfId="1" applyBorder="1" applyAlignment="1">
      <alignment horizontal="center"/>
    </xf>
    <xf numFmtId="14" fontId="4" fillId="0" borderId="1" xfId="1" applyNumberFormat="1" applyBorder="1" applyAlignment="1">
      <alignment horizontal="center"/>
    </xf>
    <xf numFmtId="0" fontId="1" fillId="57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0" fillId="0" borderId="8" xfId="0" applyBorder="1"/>
    <xf numFmtId="14" fontId="0" fillId="0" borderId="49" xfId="0" applyNumberFormat="1" applyBorder="1" applyAlignment="1">
      <alignment horizontal="left"/>
    </xf>
    <xf numFmtId="0" fontId="0" fillId="0" borderId="4" xfId="0" applyBorder="1"/>
    <xf numFmtId="0" fontId="38" fillId="3" borderId="0" xfId="0" applyFont="1" applyFill="1" applyAlignment="1">
      <alignment horizontal="left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Fill="1" applyBorder="1" applyAlignment="1">
      <alignment horizontal="left"/>
    </xf>
    <xf numFmtId="14" fontId="4" fillId="2" borderId="1" xfId="1" applyNumberFormat="1" applyFill="1" applyBorder="1" applyAlignment="1">
      <alignment horizontal="center"/>
    </xf>
    <xf numFmtId="0" fontId="38" fillId="3" borderId="0" xfId="0" applyFont="1" applyFill="1" applyAlignment="1">
      <alignment horizontal="left"/>
    </xf>
    <xf numFmtId="0" fontId="0" fillId="3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1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5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14" fontId="1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2" fontId="0" fillId="3" borderId="0" xfId="0" applyNumberFormat="1" applyFill="1"/>
    <xf numFmtId="9" fontId="0" fillId="0" borderId="0" xfId="0" applyNumberFormat="1"/>
    <xf numFmtId="0" fontId="0" fillId="0" borderId="0" xfId="0" applyFont="1" applyBorder="1" applyAlignment="1">
      <alignment horizontal="center"/>
    </xf>
    <xf numFmtId="14" fontId="0" fillId="24" borderId="0" xfId="0" applyNumberFormat="1" applyFill="1" applyBorder="1" applyAlignment="1">
      <alignment horizontal="left"/>
    </xf>
    <xf numFmtId="0" fontId="0" fillId="24" borderId="0" xfId="0" applyFill="1"/>
    <xf numFmtId="0" fontId="0" fillId="24" borderId="0" xfId="0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40" borderId="1" xfId="0" applyFill="1" applyBorder="1" applyAlignment="1">
      <alignment horizontal="center"/>
    </xf>
    <xf numFmtId="1" fontId="0" fillId="40" borderId="1" xfId="0" applyNumberFormat="1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6" fillId="9" borderId="1" xfId="7" applyBorder="1" applyAlignment="1">
      <alignment horizontal="center"/>
    </xf>
    <xf numFmtId="1" fontId="0" fillId="9" borderId="1" xfId="7" applyNumberFormat="1" applyFont="1" applyBorder="1" applyAlignment="1">
      <alignment horizontal="center"/>
    </xf>
    <xf numFmtId="0" fontId="0" fillId="9" borderId="1" xfId="7" applyFont="1" applyBorder="1" applyAlignment="1">
      <alignment horizontal="center"/>
    </xf>
    <xf numFmtId="1" fontId="6" fillId="9" borderId="1" xfId="7" applyNumberFormat="1" applyBorder="1" applyAlignment="1">
      <alignment horizontal="center"/>
    </xf>
    <xf numFmtId="0" fontId="0" fillId="0" borderId="4" xfId="0" applyBorder="1" applyAlignment="1"/>
    <xf numFmtId="1" fontId="0" fillId="4" borderId="1" xfId="0" applyNumberFormat="1" applyFill="1" applyBorder="1"/>
    <xf numFmtId="1" fontId="30" fillId="34" borderId="1" xfId="11" applyNumberFormat="1" applyBorder="1"/>
    <xf numFmtId="0" fontId="0" fillId="0" borderId="4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38" fillId="3" borderId="0" xfId="0" applyFont="1" applyFill="1" applyAlignment="1">
      <alignment horizontal="left"/>
    </xf>
    <xf numFmtId="0" fontId="0" fillId="3" borderId="0" xfId="0" applyFont="1" applyFill="1" applyAlignment="1">
      <alignment horizontal="left"/>
    </xf>
    <xf numFmtId="2" fontId="1" fillId="57" borderId="1" xfId="0" applyNumberFormat="1" applyFont="1" applyFill="1" applyBorder="1"/>
    <xf numFmtId="0" fontId="0" fillId="0" borderId="0" xfId="0" applyBorder="1" applyAlignment="1">
      <alignment horizontal="center"/>
    </xf>
    <xf numFmtId="14" fontId="0" fillId="0" borderId="0" xfId="0" applyNumberFormat="1" applyFill="1" applyAlignment="1">
      <alignment horizontal="left"/>
    </xf>
    <xf numFmtId="14" fontId="0" fillId="0" borderId="40" xfId="0" applyNumberFormat="1" applyFill="1" applyBorder="1" applyAlignment="1">
      <alignment horizontal="left"/>
    </xf>
    <xf numFmtId="0" fontId="0" fillId="0" borderId="8" xfId="0" applyFill="1" applyBorder="1"/>
    <xf numFmtId="20" fontId="0" fillId="0" borderId="8" xfId="0" applyNumberFormat="1" applyFill="1" applyBorder="1"/>
    <xf numFmtId="10" fontId="0" fillId="0" borderId="0" xfId="0" applyNumberFormat="1"/>
    <xf numFmtId="9" fontId="0" fillId="3" borderId="0" xfId="0" applyNumberFormat="1" applyFill="1"/>
    <xf numFmtId="9" fontId="1" fillId="57" borderId="0" xfId="0" applyNumberFormat="1" applyFont="1" applyFill="1"/>
    <xf numFmtId="14" fontId="0" fillId="24" borderId="0" xfId="0" applyNumberFormat="1" applyFill="1" applyAlignment="1">
      <alignment horizontal="left"/>
    </xf>
    <xf numFmtId="0" fontId="0" fillId="24" borderId="8" xfId="0" applyFill="1" applyBorder="1"/>
    <xf numFmtId="0" fontId="0" fillId="0" borderId="0" xfId="0" applyBorder="1" applyAlignment="1">
      <alignment horizontal="center"/>
    </xf>
    <xf numFmtId="0" fontId="39" fillId="0" borderId="0" xfId="0" applyFont="1" applyAlignment="1">
      <alignment horizontal="left" vertical="center" indent="3"/>
    </xf>
    <xf numFmtId="0" fontId="0" fillId="0" borderId="0" xfId="0" applyBorder="1" applyAlignment="1">
      <alignment horizontal="center"/>
    </xf>
    <xf numFmtId="0" fontId="0" fillId="5" borderId="0" xfId="0" applyFill="1" applyBorder="1"/>
    <xf numFmtId="0" fontId="0" fillId="0" borderId="0" xfId="0" applyBorder="1" applyAlignment="1">
      <alignment horizontal="center"/>
    </xf>
    <xf numFmtId="0" fontId="0" fillId="5" borderId="0" xfId="0" applyFill="1"/>
    <xf numFmtId="0" fontId="0" fillId="5" borderId="8" xfId="0" applyFill="1" applyBorder="1"/>
    <xf numFmtId="0" fontId="2" fillId="5" borderId="1" xfId="15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22" fontId="2" fillId="5" borderId="1" xfId="0" applyNumberFormat="1" applyFont="1" applyFill="1" applyBorder="1" applyAlignment="1">
      <alignment horizontal="center" vertical="center"/>
    </xf>
    <xf numFmtId="22" fontId="2" fillId="5" borderId="1" xfId="0" applyNumberFormat="1" applyFont="1" applyFill="1" applyBorder="1" applyAlignment="1">
      <alignment horizontal="center"/>
    </xf>
    <xf numFmtId="14" fontId="2" fillId="5" borderId="0" xfId="0" applyNumberFormat="1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22" fontId="0" fillId="0" borderId="1" xfId="0" applyNumberFormat="1" applyFont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0" fillId="54" borderId="1" xfId="18" applyFont="1" applyBorder="1" applyAlignment="1">
      <alignment horizontal="center" vertical="center"/>
    </xf>
    <xf numFmtId="0" fontId="33" fillId="0" borderId="1" xfId="15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" fontId="0" fillId="3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/>
    </xf>
    <xf numFmtId="14" fontId="0" fillId="0" borderId="0" xfId="0" applyNumberFormat="1" applyFont="1"/>
    <xf numFmtId="2" fontId="0" fillId="0" borderId="0" xfId="0" applyNumberFormat="1" applyFont="1"/>
    <xf numFmtId="9" fontId="0" fillId="0" borderId="0" xfId="0" applyNumberFormat="1" applyFont="1"/>
    <xf numFmtId="0" fontId="0" fillId="0" borderId="0" xfId="0" applyFont="1"/>
    <xf numFmtId="0" fontId="0" fillId="0" borderId="0" xfId="0" applyFont="1" applyFill="1" applyBorder="1"/>
    <xf numFmtId="14" fontId="49" fillId="0" borderId="0" xfId="0" applyNumberFormat="1" applyFont="1"/>
    <xf numFmtId="2" fontId="49" fillId="0" borderId="0" xfId="0" applyNumberFormat="1" applyFont="1"/>
    <xf numFmtId="9" fontId="49" fillId="0" borderId="0" xfId="0" applyNumberFormat="1" applyFont="1"/>
    <xf numFmtId="10" fontId="49" fillId="0" borderId="0" xfId="0" applyNumberFormat="1" applyFont="1"/>
    <xf numFmtId="0" fontId="49" fillId="0" borderId="0" xfId="0" applyFont="1"/>
    <xf numFmtId="0" fontId="0" fillId="5" borderId="0" xfId="0" applyFont="1" applyFill="1"/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6" fillId="0" borderId="0" xfId="1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1" fillId="53" borderId="1" xfId="17" applyFont="1" applyBorder="1" applyAlignment="1">
      <alignment horizontal="center" vertical="center" wrapText="1"/>
    </xf>
    <xf numFmtId="14" fontId="1" fillId="53" borderId="1" xfId="17" applyNumberFormat="1" applyFont="1" applyBorder="1" applyAlignment="1">
      <alignment horizontal="center" vertical="center" wrapText="1"/>
    </xf>
    <xf numFmtId="0" fontId="33" fillId="38" borderId="1" xfId="15" applyBorder="1" applyAlignment="1">
      <alignment horizontal="center" vertical="center"/>
    </xf>
    <xf numFmtId="0" fontId="1" fillId="5" borderId="1" xfId="17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1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1" fillId="0" borderId="0" xfId="0" applyNumberFormat="1" applyFont="1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0" fillId="2" borderId="8" xfId="0" applyFill="1" applyBorder="1"/>
    <xf numFmtId="0" fontId="2" fillId="0" borderId="1" xfId="0" applyFont="1" applyFill="1" applyBorder="1" applyAlignment="1">
      <alignment horizontal="center"/>
    </xf>
    <xf numFmtId="0" fontId="38" fillId="3" borderId="0" xfId="0" applyFont="1" applyFill="1" applyAlignment="1">
      <alignment horizontal="left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9" fillId="57" borderId="6" xfId="1" applyNumberFormat="1" applyFont="1" applyFill="1" applyBorder="1" applyAlignment="1"/>
    <xf numFmtId="2" fontId="9" fillId="57" borderId="0" xfId="1" applyNumberFormat="1" applyFont="1" applyFill="1" applyBorder="1" applyAlignment="1"/>
    <xf numFmtId="0" fontId="38" fillId="3" borderId="0" xfId="0" applyFont="1" applyFill="1" applyAlignment="1">
      <alignment horizontal="left"/>
    </xf>
    <xf numFmtId="0" fontId="0" fillId="3" borderId="0" xfId="0" applyFont="1" applyFill="1" applyAlignment="1">
      <alignment horizontal="left"/>
    </xf>
    <xf numFmtId="0" fontId="1" fillId="57" borderId="6" xfId="11" applyFont="1" applyFill="1" applyBorder="1" applyAlignment="1">
      <alignment vertical="center"/>
    </xf>
    <xf numFmtId="2" fontId="1" fillId="57" borderId="0" xfId="11" applyNumberFormat="1" applyFont="1" applyFill="1" applyBorder="1" applyAlignment="1">
      <alignment vertical="center"/>
    </xf>
    <xf numFmtId="14" fontId="1" fillId="57" borderId="6" xfId="0" applyNumberFormat="1" applyFont="1" applyFill="1" applyBorder="1" applyAlignment="1"/>
    <xf numFmtId="2" fontId="1" fillId="57" borderId="0" xfId="0" applyNumberFormat="1" applyFont="1" applyFill="1" applyBorder="1" applyAlignment="1"/>
    <xf numFmtId="0" fontId="1" fillId="4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1" fontId="26" fillId="0" borderId="13" xfId="2" applyNumberFormat="1" applyFont="1" applyBorder="1" applyAlignment="1">
      <alignment horizontal="center"/>
    </xf>
    <xf numFmtId="1" fontId="26" fillId="0" borderId="11" xfId="2" applyNumberFormat="1" applyFont="1" applyBorder="1" applyAlignment="1">
      <alignment horizontal="center"/>
    </xf>
    <xf numFmtId="1" fontId="26" fillId="0" borderId="42" xfId="2" applyNumberFormat="1" applyFont="1" applyBorder="1" applyAlignment="1">
      <alignment horizontal="center"/>
    </xf>
    <xf numFmtId="1" fontId="26" fillId="0" borderId="43" xfId="2" applyNumberFormat="1" applyFont="1" applyBorder="1" applyAlignment="1">
      <alignment horizontal="center"/>
    </xf>
    <xf numFmtId="1" fontId="17" fillId="0" borderId="0" xfId="2" applyNumberFormat="1" applyFont="1" applyBorder="1" applyAlignment="1">
      <alignment horizontal="center"/>
    </xf>
    <xf numFmtId="0" fontId="20" fillId="7" borderId="13" xfId="8" applyFont="1" applyFill="1" applyBorder="1" applyAlignment="1">
      <alignment horizontal="center" vertical="center"/>
    </xf>
    <xf numFmtId="0" fontId="20" fillId="7" borderId="11" xfId="8" applyFont="1" applyFill="1" applyBorder="1" applyAlignment="1">
      <alignment horizontal="center" vertical="center"/>
    </xf>
    <xf numFmtId="0" fontId="20" fillId="7" borderId="12" xfId="8" applyFont="1" applyFill="1" applyBorder="1" applyAlignment="1">
      <alignment horizontal="center" vertical="center"/>
    </xf>
    <xf numFmtId="0" fontId="26" fillId="0" borderId="13" xfId="2" applyFont="1" applyBorder="1" applyAlignment="1">
      <alignment horizontal="center"/>
    </xf>
    <xf numFmtId="0" fontId="26" fillId="0" borderId="11" xfId="2" applyFont="1" applyBorder="1" applyAlignment="1">
      <alignment horizontal="center"/>
    </xf>
    <xf numFmtId="0" fontId="26" fillId="0" borderId="12" xfId="2" applyFont="1" applyBorder="1" applyAlignment="1">
      <alignment horizontal="center"/>
    </xf>
    <xf numFmtId="0" fontId="18" fillId="12" borderId="13" xfId="2" applyFont="1" applyFill="1" applyBorder="1" applyAlignment="1">
      <alignment horizontal="center" vertical="center"/>
    </xf>
    <xf numFmtId="0" fontId="18" fillId="12" borderId="12" xfId="2" applyFont="1" applyFill="1" applyBorder="1" applyAlignment="1">
      <alignment horizontal="center" vertical="center"/>
    </xf>
    <xf numFmtId="0" fontId="19" fillId="13" borderId="13" xfId="2" applyFont="1" applyFill="1" applyBorder="1" applyAlignment="1">
      <alignment horizontal="center" vertical="center"/>
    </xf>
    <xf numFmtId="0" fontId="19" fillId="13" borderId="12" xfId="2" applyFont="1" applyFill="1" applyBorder="1" applyAlignment="1">
      <alignment horizontal="center" vertical="center"/>
    </xf>
    <xf numFmtId="0" fontId="18" fillId="14" borderId="13" xfId="2" applyFont="1" applyFill="1" applyBorder="1" applyAlignment="1">
      <alignment horizontal="center" vertical="center"/>
    </xf>
    <xf numFmtId="0" fontId="18" fillId="14" borderId="12" xfId="2" applyFont="1" applyFill="1" applyBorder="1" applyAlignment="1">
      <alignment horizontal="center" vertical="center"/>
    </xf>
    <xf numFmtId="0" fontId="18" fillId="7" borderId="13" xfId="2" applyFont="1" applyFill="1" applyBorder="1" applyAlignment="1">
      <alignment horizontal="center" vertical="center" wrapText="1"/>
    </xf>
    <xf numFmtId="0" fontId="18" fillId="7" borderId="12" xfId="2" applyFont="1" applyFill="1" applyBorder="1" applyAlignment="1">
      <alignment horizontal="center" vertical="center" wrapText="1"/>
    </xf>
    <xf numFmtId="0" fontId="18" fillId="15" borderId="13" xfId="2" applyFont="1" applyFill="1" applyBorder="1" applyAlignment="1">
      <alignment horizontal="center" vertical="center"/>
    </xf>
    <xf numFmtId="0" fontId="18" fillId="15" borderId="12" xfId="2" applyFont="1" applyFill="1" applyBorder="1" applyAlignment="1">
      <alignment horizontal="center" vertical="center"/>
    </xf>
    <xf numFmtId="1" fontId="26" fillId="0" borderId="12" xfId="2" applyNumberFormat="1" applyFont="1" applyBorder="1" applyAlignment="1">
      <alignment horizontal="center"/>
    </xf>
    <xf numFmtId="0" fontId="4" fillId="0" borderId="0" xfId="1" applyAlignment="1">
      <alignment horizontal="center"/>
    </xf>
    <xf numFmtId="14" fontId="4" fillId="0" borderId="0" xfId="1" applyNumberFormat="1" applyFill="1" applyBorder="1" applyAlignment="1">
      <alignment horizontal="center"/>
    </xf>
  </cellXfs>
  <cellStyles count="66">
    <cellStyle name="20% - Accent1" xfId="7" builtinId="30" customBuiltin="1"/>
    <cellStyle name="20% - Accent2" xfId="39" builtinId="34" customBuiltin="1"/>
    <cellStyle name="20% - Accent3" xfId="42" builtinId="38" customBuiltin="1"/>
    <cellStyle name="20% - Accent4" xfId="46" builtinId="42" customBuiltin="1"/>
    <cellStyle name="20% - Accent5" xfId="48" builtinId="46" customBuiltin="1"/>
    <cellStyle name="20% - Accent6" xfId="52" builtinId="50" customBuiltin="1"/>
    <cellStyle name="40% - Accent1" xfId="17" builtinId="31" customBuiltin="1"/>
    <cellStyle name="40% - Accent2" xfId="40" builtinId="35" customBuiltin="1"/>
    <cellStyle name="40% - Accent3" xfId="43" builtinId="39" customBuiltin="1"/>
    <cellStyle name="40% - Accent4" xfId="18" builtinId="43" customBuiltin="1"/>
    <cellStyle name="40% - Accent5" xfId="49" builtinId="47" customBuiltin="1"/>
    <cellStyle name="40% - Accent6" xfId="53" builtinId="51" customBuiltin="1"/>
    <cellStyle name="60% - Accent1" xfId="38" builtinId="32" customBuiltin="1"/>
    <cellStyle name="60% - Accent2" xfId="14" builtinId="36" customBuiltin="1"/>
    <cellStyle name="60% - Accent3" xfId="44" builtinId="40" customBuiltin="1"/>
    <cellStyle name="60% - Accent4" xfId="47" builtinId="44" customBuiltin="1"/>
    <cellStyle name="60% - Accent5" xfId="50" builtinId="48" customBuiltin="1"/>
    <cellStyle name="60% - Accent6" xfId="54" builtinId="52" customBuiltin="1"/>
    <cellStyle name="Accent1" xfId="37" builtinId="29" customBuiltin="1"/>
    <cellStyle name="Accent2" xfId="13" builtinId="33" customBuiltin="1"/>
    <cellStyle name="Accent3" xfId="41" builtinId="37" customBuiltin="1"/>
    <cellStyle name="Accent4" xfId="45" builtinId="41" customBuiltin="1"/>
    <cellStyle name="Accent5" xfId="16" builtinId="45" customBuiltin="1"/>
    <cellStyle name="Accent6" xfId="51" builtinId="49" customBuiltin="1"/>
    <cellStyle name="Bad" xfId="15" builtinId="27" customBuiltin="1"/>
    <cellStyle name="Calculation" xfId="31" builtinId="22" customBuiltin="1"/>
    <cellStyle name="Check Cell" xfId="33" builtinId="23" customBuiltin="1"/>
    <cellStyle name="Comma" xfId="4" builtinId="3"/>
    <cellStyle name="Explanatory Text" xfId="35" builtinId="53" customBuiltin="1"/>
    <cellStyle name="Good" xfId="11" builtinId="26" customBuiltin="1"/>
    <cellStyle name="Heading 1" xfId="25" builtinId="16" customBuiltin="1"/>
    <cellStyle name="Heading 2" xfId="26" builtinId="17" customBuiltin="1"/>
    <cellStyle name="Heading 3" xfId="27" builtinId="18" customBuiltin="1"/>
    <cellStyle name="Heading 4" xfId="28" builtinId="19" customBuiltin="1"/>
    <cellStyle name="Input" xfId="12" builtinId="20" customBuiltin="1"/>
    <cellStyle name="Linked Cell" xfId="32" builtinId="24" customBuiltin="1"/>
    <cellStyle name="Neutral" xfId="29" builtinId="28" customBuiltin="1"/>
    <cellStyle name="Normal" xfId="0" builtinId="0"/>
    <cellStyle name="Normal 18" xfId="19"/>
    <cellStyle name="Normal 2" xfId="1"/>
    <cellStyle name="Normal 2 2" xfId="3"/>
    <cellStyle name="Normal 2 2 2" xfId="58"/>
    <cellStyle name="Normal 2 2 3" xfId="55"/>
    <cellStyle name="Normal 2 3" xfId="21"/>
    <cellStyle name="Normal 3" xfId="2"/>
    <cellStyle name="Normal 3 2" xfId="20"/>
    <cellStyle name="Normal 3 2 4 5" xfId="9"/>
    <cellStyle name="Normal 3 3" xfId="62"/>
    <cellStyle name="Normal 3 3 2" xfId="63"/>
    <cellStyle name="Normal 3 3 2 2" xfId="65"/>
    <cellStyle name="Normal 3 4" xfId="61"/>
    <cellStyle name="Normal 3 5" xfId="59"/>
    <cellStyle name="Normal 3 5 2" xfId="64"/>
    <cellStyle name="Normal 4" xfId="5"/>
    <cellStyle name="Normal 4 2" xfId="6"/>
    <cellStyle name="Normal 4 3" xfId="57"/>
    <cellStyle name="Normal 4 4" xfId="56"/>
    <cellStyle name="Normal 8" xfId="22"/>
    <cellStyle name="Normal 8 2" xfId="8"/>
    <cellStyle name="Normal 9" xfId="23"/>
    <cellStyle name="Note" xfId="10" builtinId="10" customBuiltin="1"/>
    <cellStyle name="Note 2" xfId="60"/>
    <cellStyle name="Output" xfId="30" builtinId="21" customBuiltin="1"/>
    <cellStyle name="Title" xfId="24" builtinId="15" customBuiltin="1"/>
    <cellStyle name="Total" xfId="36" builtinId="25" customBuiltin="1"/>
    <cellStyle name="Warning Text" xfId="34" builtinId="11" customBuiltin="1"/>
  </cellStyles>
  <dxfs count="418"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theme="4" tint="-0.24994659260841701"/>
        </patternFill>
      </fill>
    </dxf>
    <dxf>
      <font>
        <b/>
        <i val="0"/>
        <color rgb="FFFFFF0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 patternType="solid">
          <bgColor theme="4" tint="-0.24994659260841701"/>
        </patternFill>
      </fill>
    </dxf>
    <dxf>
      <font>
        <b/>
        <i val="0"/>
        <color rgb="FFFFFF0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rgb="FFFFFF0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rgb="FFFFFF0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rgb="FFFFFF0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theme="0"/>
      </font>
      <fill>
        <patternFill patternType="solid">
          <bgColor theme="4" tint="-0.24994659260841701"/>
        </patternFill>
      </fill>
    </dxf>
    <dxf>
      <font>
        <b/>
        <i val="0"/>
        <color rgb="FFFFFF0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 patternType="solid">
          <bgColor theme="4" tint="-0.24994659260841701"/>
        </patternFill>
      </fill>
    </dxf>
    <dxf>
      <font>
        <b/>
        <i val="0"/>
        <color rgb="FFFFFF0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rgb="FFFFFF0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 val="0"/>
        <i val="0"/>
        <color rgb="FFFFFF0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F499F"/>
      <color rgb="FF003300"/>
      <color rgb="FF990000"/>
      <color rgb="FF800000"/>
      <color rgb="FFCC0066"/>
      <color rgb="FF660033"/>
      <color rgb="FFFF33CC"/>
      <color rgb="FF666699"/>
      <color rgb="FFFF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'Well Data-NK'!$P$2:$P$174</c:f>
              <c:numCache>
                <c:formatCode>m/d/yyyy</c:formatCode>
                <c:ptCount val="173"/>
                <c:pt idx="0">
                  <c:v>41048</c:v>
                </c:pt>
                <c:pt idx="1">
                  <c:v>41078.75</c:v>
                </c:pt>
                <c:pt idx="2">
                  <c:v>41091.875</c:v>
                </c:pt>
                <c:pt idx="3">
                  <c:v>41107.75</c:v>
                </c:pt>
                <c:pt idx="4">
                  <c:v>41120.916666666664</c:v>
                </c:pt>
                <c:pt idx="5">
                  <c:v>41126.25</c:v>
                </c:pt>
                <c:pt idx="6">
                  <c:v>41130.854166666664</c:v>
                </c:pt>
                <c:pt idx="7">
                  <c:v>41134.625</c:v>
                </c:pt>
                <c:pt idx="8">
                  <c:v>41138.583333333336</c:v>
                </c:pt>
                <c:pt idx="9">
                  <c:v>41146.5</c:v>
                </c:pt>
                <c:pt idx="10">
                  <c:v>41151.25</c:v>
                </c:pt>
                <c:pt idx="11">
                  <c:v>41164.916666666664</c:v>
                </c:pt>
                <c:pt idx="12">
                  <c:v>41169.833333333336</c:v>
                </c:pt>
                <c:pt idx="13">
                  <c:v>41183.125</c:v>
                </c:pt>
                <c:pt idx="14">
                  <c:v>41186.041666666664</c:v>
                </c:pt>
                <c:pt idx="15">
                  <c:v>41186.708333333336</c:v>
                </c:pt>
                <c:pt idx="16">
                  <c:v>41187</c:v>
                </c:pt>
                <c:pt idx="17">
                  <c:v>41195.25</c:v>
                </c:pt>
                <c:pt idx="18">
                  <c:v>41204.083333333336</c:v>
                </c:pt>
                <c:pt idx="19">
                  <c:v>41208.6875</c:v>
                </c:pt>
                <c:pt idx="20">
                  <c:v>41212.458333333336</c:v>
                </c:pt>
                <c:pt idx="21">
                  <c:v>41213.5</c:v>
                </c:pt>
                <c:pt idx="22">
                  <c:v>41233.875</c:v>
                </c:pt>
                <c:pt idx="23">
                  <c:v>41236.583333333336</c:v>
                </c:pt>
                <c:pt idx="24">
                  <c:v>41236.708333333336</c:v>
                </c:pt>
                <c:pt idx="25">
                  <c:v>41245.666666666664</c:v>
                </c:pt>
                <c:pt idx="26">
                  <c:v>41255.083333333336</c:v>
                </c:pt>
                <c:pt idx="27">
                  <c:v>41262.125</c:v>
                </c:pt>
                <c:pt idx="28">
                  <c:v>41262.958333333336</c:v>
                </c:pt>
                <c:pt idx="29">
                  <c:v>41264.208333333336</c:v>
                </c:pt>
                <c:pt idx="30">
                  <c:v>41272.5</c:v>
                </c:pt>
                <c:pt idx="31">
                  <c:v>41282.625</c:v>
                </c:pt>
                <c:pt idx="32">
                  <c:v>41283.75</c:v>
                </c:pt>
                <c:pt idx="33">
                  <c:v>41289.75</c:v>
                </c:pt>
                <c:pt idx="34">
                  <c:v>41292.833333333336</c:v>
                </c:pt>
                <c:pt idx="35">
                  <c:v>41297.25</c:v>
                </c:pt>
                <c:pt idx="36">
                  <c:v>41300.416666666664</c:v>
                </c:pt>
                <c:pt idx="37">
                  <c:v>41305.770833333336</c:v>
                </c:pt>
                <c:pt idx="38">
                  <c:v>41315.25</c:v>
                </c:pt>
                <c:pt idx="39">
                  <c:v>41315.958333333336</c:v>
                </c:pt>
                <c:pt idx="40">
                  <c:v>41322.25</c:v>
                </c:pt>
                <c:pt idx="41">
                  <c:v>41334.666666666664</c:v>
                </c:pt>
                <c:pt idx="42">
                  <c:v>41336.041666666664</c:v>
                </c:pt>
                <c:pt idx="43">
                  <c:v>41337.979166666664</c:v>
                </c:pt>
                <c:pt idx="44">
                  <c:v>41340.083333333336</c:v>
                </c:pt>
                <c:pt idx="45">
                  <c:v>41342.25</c:v>
                </c:pt>
                <c:pt idx="46">
                  <c:v>41342.25</c:v>
                </c:pt>
                <c:pt idx="47">
                  <c:v>41346.875</c:v>
                </c:pt>
                <c:pt idx="48">
                  <c:v>41349.5625</c:v>
                </c:pt>
                <c:pt idx="49">
                  <c:v>41356.75</c:v>
                </c:pt>
                <c:pt idx="50">
                  <c:v>41357.979166666664</c:v>
                </c:pt>
                <c:pt idx="51">
                  <c:v>41372.208333333336</c:v>
                </c:pt>
                <c:pt idx="52">
                  <c:v>41382.791666666664</c:v>
                </c:pt>
                <c:pt idx="53">
                  <c:v>41385.833333333336</c:v>
                </c:pt>
                <c:pt idx="54">
                  <c:v>41386.75</c:v>
                </c:pt>
                <c:pt idx="55">
                  <c:v>41387.25</c:v>
                </c:pt>
                <c:pt idx="56">
                  <c:v>41392.708333333336</c:v>
                </c:pt>
                <c:pt idx="57">
                  <c:v>41404.833333333336</c:v>
                </c:pt>
                <c:pt idx="58">
                  <c:v>41411.25</c:v>
                </c:pt>
                <c:pt idx="59">
                  <c:v>41417.354166666664</c:v>
                </c:pt>
                <c:pt idx="60">
                  <c:v>41418.958333333336</c:v>
                </c:pt>
                <c:pt idx="61">
                  <c:v>41427.5</c:v>
                </c:pt>
                <c:pt idx="62">
                  <c:v>41434.854166666664</c:v>
                </c:pt>
                <c:pt idx="63">
                  <c:v>41435.666666666664</c:v>
                </c:pt>
                <c:pt idx="64">
                  <c:v>41442.479166666664</c:v>
                </c:pt>
                <c:pt idx="65">
                  <c:v>41444.541666666664</c:v>
                </c:pt>
                <c:pt idx="66">
                  <c:v>41447.25</c:v>
                </c:pt>
                <c:pt idx="67">
                  <c:v>41447.25</c:v>
                </c:pt>
                <c:pt idx="68">
                  <c:v>41456.791666666664</c:v>
                </c:pt>
                <c:pt idx="69">
                  <c:v>41461.395833333336</c:v>
                </c:pt>
                <c:pt idx="70">
                  <c:v>41464.125</c:v>
                </c:pt>
                <c:pt idx="71">
                  <c:v>41489.583333333336</c:v>
                </c:pt>
                <c:pt idx="72">
                  <c:v>41500.166666666664</c:v>
                </c:pt>
                <c:pt idx="73">
                  <c:v>41504.375</c:v>
                </c:pt>
                <c:pt idx="74">
                  <c:v>41507.833333333336</c:v>
                </c:pt>
                <c:pt idx="75">
                  <c:v>41511.25</c:v>
                </c:pt>
                <c:pt idx="76">
                  <c:v>41516.916666666664</c:v>
                </c:pt>
                <c:pt idx="77">
                  <c:v>41525.916666666664</c:v>
                </c:pt>
                <c:pt idx="78">
                  <c:v>41527.25</c:v>
                </c:pt>
                <c:pt idx="79">
                  <c:v>41528.375</c:v>
                </c:pt>
                <c:pt idx="80">
                  <c:v>41539.25</c:v>
                </c:pt>
                <c:pt idx="81">
                  <c:v>41552.020833333336</c:v>
                </c:pt>
                <c:pt idx="82">
                  <c:v>41557.916666666664</c:v>
                </c:pt>
                <c:pt idx="83">
                  <c:v>41558.708333333336</c:v>
                </c:pt>
                <c:pt idx="84">
                  <c:v>41563.583333333336</c:v>
                </c:pt>
                <c:pt idx="85">
                  <c:v>41586</c:v>
                </c:pt>
                <c:pt idx="86">
                  <c:v>41590.083333333336</c:v>
                </c:pt>
                <c:pt idx="87">
                  <c:v>41597.75</c:v>
                </c:pt>
                <c:pt idx="88">
                  <c:v>41601.25</c:v>
                </c:pt>
                <c:pt idx="89">
                  <c:v>41601.75</c:v>
                </c:pt>
                <c:pt idx="90">
                  <c:v>41608.25</c:v>
                </c:pt>
                <c:pt idx="91">
                  <c:v>41613.145833333336</c:v>
                </c:pt>
                <c:pt idx="92">
                  <c:v>41634.020833333336</c:v>
                </c:pt>
                <c:pt idx="93">
                  <c:v>41639.958333333336</c:v>
                </c:pt>
                <c:pt idx="94">
                  <c:v>41645</c:v>
                </c:pt>
                <c:pt idx="95">
                  <c:v>41647.083333333336</c:v>
                </c:pt>
                <c:pt idx="96">
                  <c:v>41654.833333333336</c:v>
                </c:pt>
                <c:pt idx="97">
                  <c:v>41661.25</c:v>
                </c:pt>
                <c:pt idx="98">
                  <c:v>41666.125</c:v>
                </c:pt>
                <c:pt idx="99">
                  <c:v>41669.895833333336</c:v>
                </c:pt>
                <c:pt idx="100">
                  <c:v>41691.458333333336</c:v>
                </c:pt>
                <c:pt idx="101">
                  <c:v>41707.166666666664</c:v>
                </c:pt>
                <c:pt idx="102">
                  <c:v>41709.041666666664</c:v>
                </c:pt>
                <c:pt idx="103">
                  <c:v>41710.666666666664</c:v>
                </c:pt>
                <c:pt idx="104">
                  <c:v>41712.25</c:v>
                </c:pt>
                <c:pt idx="105">
                  <c:v>41721.625</c:v>
                </c:pt>
                <c:pt idx="106">
                  <c:v>41721.916666666664</c:v>
                </c:pt>
                <c:pt idx="107">
                  <c:v>41731.6875</c:v>
                </c:pt>
                <c:pt idx="108">
                  <c:v>41747.25</c:v>
                </c:pt>
                <c:pt idx="109">
                  <c:v>41762.375</c:v>
                </c:pt>
                <c:pt idx="110">
                  <c:v>41765</c:v>
                </c:pt>
                <c:pt idx="111">
                  <c:v>41771.708333333336</c:v>
                </c:pt>
                <c:pt idx="112">
                  <c:v>41777</c:v>
                </c:pt>
                <c:pt idx="113">
                  <c:v>41779</c:v>
                </c:pt>
                <c:pt idx="114">
                  <c:v>41786</c:v>
                </c:pt>
                <c:pt idx="115">
                  <c:v>41802</c:v>
                </c:pt>
                <c:pt idx="116">
                  <c:v>41803</c:v>
                </c:pt>
                <c:pt idx="117">
                  <c:v>41813</c:v>
                </c:pt>
                <c:pt idx="118">
                  <c:v>41817</c:v>
                </c:pt>
                <c:pt idx="119">
                  <c:v>41819</c:v>
                </c:pt>
                <c:pt idx="120">
                  <c:v>41820</c:v>
                </c:pt>
                <c:pt idx="121">
                  <c:v>41823</c:v>
                </c:pt>
                <c:pt idx="122">
                  <c:v>41825</c:v>
                </c:pt>
                <c:pt idx="123">
                  <c:v>41846</c:v>
                </c:pt>
                <c:pt idx="124">
                  <c:v>41848</c:v>
                </c:pt>
                <c:pt idx="125">
                  <c:v>41856</c:v>
                </c:pt>
                <c:pt idx="126">
                  <c:v>41867</c:v>
                </c:pt>
                <c:pt idx="127">
                  <c:v>41876</c:v>
                </c:pt>
                <c:pt idx="128">
                  <c:v>41879</c:v>
                </c:pt>
                <c:pt idx="129">
                  <c:v>41880</c:v>
                </c:pt>
                <c:pt idx="130">
                  <c:v>41887</c:v>
                </c:pt>
                <c:pt idx="131">
                  <c:v>41888</c:v>
                </c:pt>
                <c:pt idx="132">
                  <c:v>41912.333333333336</c:v>
                </c:pt>
                <c:pt idx="133">
                  <c:v>41912.916666666664</c:v>
                </c:pt>
                <c:pt idx="134">
                  <c:v>41915.25</c:v>
                </c:pt>
                <c:pt idx="135">
                  <c:v>41915.583333333336</c:v>
                </c:pt>
                <c:pt idx="136">
                  <c:v>41927.833333333336</c:v>
                </c:pt>
                <c:pt idx="137">
                  <c:v>41934.479166666664</c:v>
                </c:pt>
                <c:pt idx="138">
                  <c:v>41944.5</c:v>
                </c:pt>
                <c:pt idx="139">
                  <c:v>41961.25</c:v>
                </c:pt>
                <c:pt idx="140">
                  <c:v>41962.25</c:v>
                </c:pt>
                <c:pt idx="141">
                  <c:v>41965.416666666664</c:v>
                </c:pt>
                <c:pt idx="142">
                  <c:v>41966.541666666664</c:v>
                </c:pt>
                <c:pt idx="143">
                  <c:v>41966.791666666664</c:v>
                </c:pt>
                <c:pt idx="144">
                  <c:v>41971.916666666664</c:v>
                </c:pt>
                <c:pt idx="145">
                  <c:v>41994</c:v>
                </c:pt>
                <c:pt idx="146">
                  <c:v>42001</c:v>
                </c:pt>
                <c:pt idx="147">
                  <c:v>42003</c:v>
                </c:pt>
                <c:pt idx="148">
                  <c:v>42004</c:v>
                </c:pt>
                <c:pt idx="149">
                  <c:v>42010</c:v>
                </c:pt>
                <c:pt idx="150">
                  <c:v>42011</c:v>
                </c:pt>
                <c:pt idx="151">
                  <c:v>42016</c:v>
                </c:pt>
                <c:pt idx="152">
                  <c:v>42018</c:v>
                </c:pt>
                <c:pt idx="153">
                  <c:v>42033</c:v>
                </c:pt>
                <c:pt idx="154">
                  <c:v>42036.583333333336</c:v>
                </c:pt>
                <c:pt idx="155">
                  <c:v>42037</c:v>
                </c:pt>
                <c:pt idx="156">
                  <c:v>42039</c:v>
                </c:pt>
                <c:pt idx="157">
                  <c:v>42042.479166666664</c:v>
                </c:pt>
                <c:pt idx="158">
                  <c:v>42043</c:v>
                </c:pt>
                <c:pt idx="159">
                  <c:v>42047</c:v>
                </c:pt>
                <c:pt idx="160">
                  <c:v>42048</c:v>
                </c:pt>
                <c:pt idx="161">
                  <c:v>42064.895833333336</c:v>
                </c:pt>
                <c:pt idx="162">
                  <c:v>42066</c:v>
                </c:pt>
                <c:pt idx="163">
                  <c:v>42071</c:v>
                </c:pt>
                <c:pt idx="164">
                  <c:v>42079</c:v>
                </c:pt>
                <c:pt idx="165">
                  <c:v>42083</c:v>
                </c:pt>
                <c:pt idx="166">
                  <c:v>42087</c:v>
                </c:pt>
                <c:pt idx="167">
                  <c:v>42088</c:v>
                </c:pt>
                <c:pt idx="168" formatCode="m/d/yyyy\ h:mm">
                  <c:v>42095.916666666664</c:v>
                </c:pt>
                <c:pt idx="169" formatCode="m/d/yyyy\ h:mm">
                  <c:v>42097.25</c:v>
                </c:pt>
                <c:pt idx="170" formatCode="m/d/yyyy\ h:mm">
                  <c:v>42099.958333333336</c:v>
                </c:pt>
                <c:pt idx="171" formatCode="m/d/yyyy\ h:mm">
                  <c:v>42100.6875</c:v>
                </c:pt>
                <c:pt idx="172" formatCode="m/d/yyyy\ h:mm">
                  <c:v>42101.75</c:v>
                </c:pt>
              </c:numCache>
            </c:numRef>
          </c:cat>
          <c:val>
            <c:numRef>
              <c:f>'Well Data-NK'!$BN$2:$BN$174</c:f>
              <c:numCache>
                <c:formatCode>General</c:formatCode>
                <c:ptCount val="1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">
                  <c:v>85.225000000000747</c:v>
                </c:pt>
                <c:pt idx="10" formatCode="0.0">
                  <c:v>84.975000000000747</c:v>
                </c:pt>
                <c:pt idx="11" formatCode="0.0">
                  <c:v>93.30625000000002</c:v>
                </c:pt>
                <c:pt idx="12" formatCode="0.0">
                  <c:v>90.175000000000026</c:v>
                </c:pt>
                <c:pt idx="13" formatCode="0.0">
                  <c:v>90.239583333333599</c:v>
                </c:pt>
                <c:pt idx="14" formatCode="0.0">
                  <c:v>88.339583333333593</c:v>
                </c:pt>
                <c:pt idx="15" formatCode="0.0">
                  <c:v>81.766666666667177</c:v>
                </c:pt>
                <c:pt idx="16" formatCode="0.0">
                  <c:v>80.020833333333599</c:v>
                </c:pt>
                <c:pt idx="17" formatCode="0.0">
                  <c:v>72.747916666666427</c:v>
                </c:pt>
                <c:pt idx="18" formatCode="0.0">
                  <c:v>66.964583333332854</c:v>
                </c:pt>
                <c:pt idx="19" formatCode="0.0">
                  <c:v>68.487499999999272</c:v>
                </c:pt>
                <c:pt idx="20" formatCode="0.0">
                  <c:v>66.314583333332848</c:v>
                </c:pt>
                <c:pt idx="21" formatCode="0.0">
                  <c:v>58.237499999999997</c:v>
                </c:pt>
                <c:pt idx="22" formatCode="0.0">
                  <c:v>57.097916666666421</c:v>
                </c:pt>
                <c:pt idx="23" formatCode="0.0">
                  <c:v>60.910416666666421</c:v>
                </c:pt>
                <c:pt idx="24" formatCode="0.0">
                  <c:v>61.737499999999997</c:v>
                </c:pt>
                <c:pt idx="25" formatCode="0.0">
                  <c:v>61.497910000000005</c:v>
                </c:pt>
                <c:pt idx="26" formatCode="0.0">
                  <c:v>62.049993333333575</c:v>
                </c:pt>
                <c:pt idx="27" formatCode="0.0">
                  <c:v>63.879160000000731</c:v>
                </c:pt>
                <c:pt idx="28" formatCode="0.0">
                  <c:v>64.812493333334302</c:v>
                </c:pt>
                <c:pt idx="29" formatCode="0.0">
                  <c:v>63.414576666667884</c:v>
                </c:pt>
                <c:pt idx="30" formatCode="0.0">
                  <c:v>68.229160000000732</c:v>
                </c:pt>
                <c:pt idx="31" formatCode="0.0">
                  <c:v>69.268743333334299</c:v>
                </c:pt>
                <c:pt idx="32" formatCode="0.0">
                  <c:v>72.829160000000726</c:v>
                </c:pt>
                <c:pt idx="33" formatCode="0.0">
                  <c:v>67.922910000000726</c:v>
                </c:pt>
                <c:pt idx="34" formatCode="0.0">
                  <c:v>67.904160000000729</c:v>
                </c:pt>
                <c:pt idx="35" formatCode="0.0">
                  <c:v>71.745833333334303</c:v>
                </c:pt>
                <c:pt idx="36" formatCode="0.0">
                  <c:v>70.772916666667157</c:v>
                </c:pt>
                <c:pt idx="37" formatCode="0.0">
                  <c:v>66.887500000000728</c:v>
                </c:pt>
                <c:pt idx="38" formatCode="0.0">
                  <c:v>65.558333333333579</c:v>
                </c:pt>
                <c:pt idx="39" formatCode="0.0">
                  <c:v>64.000000000000725</c:v>
                </c:pt>
                <c:pt idx="40" formatCode="0.0">
                  <c:v>61.533333333334305</c:v>
                </c:pt>
                <c:pt idx="41" formatCode="0.0">
                  <c:v>59.891666666667149</c:v>
                </c:pt>
                <c:pt idx="42" formatCode="0.0">
                  <c:v>59.177083333333577</c:v>
                </c:pt>
                <c:pt idx="43" formatCode="0.0">
                  <c:v>58.333333333333577</c:v>
                </c:pt>
                <c:pt idx="44" formatCode="0.0">
                  <c:v>62.174999999999997</c:v>
                </c:pt>
                <c:pt idx="45" formatCode="0.0">
                  <c:v>58.274999999999999</c:v>
                </c:pt>
                <c:pt idx="46" formatCode="0.0">
                  <c:v>56.727083333333574</c:v>
                </c:pt>
                <c:pt idx="47" formatCode="0.0">
                  <c:v>57.862499999999997</c:v>
                </c:pt>
                <c:pt idx="48" formatCode="0.0">
                  <c:v>59.518749999999997</c:v>
                </c:pt>
                <c:pt idx="49" formatCode="0.0">
                  <c:v>54.88124999999927</c:v>
                </c:pt>
                <c:pt idx="50" formatCode="0.0">
                  <c:v>52.706249999999272</c:v>
                </c:pt>
                <c:pt idx="51" formatCode="0.0">
                  <c:v>50.845833333332848</c:v>
                </c:pt>
                <c:pt idx="52" formatCode="0.0">
                  <c:v>47.625</c:v>
                </c:pt>
                <c:pt idx="53" formatCode="0.0">
                  <c:v>52.283333333333573</c:v>
                </c:pt>
                <c:pt idx="54" formatCode="0.0">
                  <c:v>49.466666666667152</c:v>
                </c:pt>
                <c:pt idx="55" formatCode="0.0">
                  <c:v>48.133333333333574</c:v>
                </c:pt>
                <c:pt idx="56" formatCode="0.0">
                  <c:v>47.950000000000728</c:v>
                </c:pt>
                <c:pt idx="57" formatCode="0.0">
                  <c:v>47.229166666667155</c:v>
                </c:pt>
                <c:pt idx="58" formatCode="0.0">
                  <c:v>52.100000000000726</c:v>
                </c:pt>
                <c:pt idx="59" formatCode="0.0">
                  <c:v>56.872916666667152</c:v>
                </c:pt>
                <c:pt idx="60" formatCode="0.0">
                  <c:v>58.333333333334302</c:v>
                </c:pt>
                <c:pt idx="61" formatCode="0.0">
                  <c:v>59.041666666667879</c:v>
                </c:pt>
                <c:pt idx="62" formatCode="0.0">
                  <c:v>59.041666666667879</c:v>
                </c:pt>
                <c:pt idx="63" formatCode="0.0">
                  <c:v>57.468750000000725</c:v>
                </c:pt>
                <c:pt idx="64" formatCode="0.0">
                  <c:v>52.808333333333579</c:v>
                </c:pt>
                <c:pt idx="65" formatCode="0.0">
                  <c:v>52.770833333333577</c:v>
                </c:pt>
                <c:pt idx="66" formatCode="0.0">
                  <c:v>55.964583333333579</c:v>
                </c:pt>
                <c:pt idx="67" formatCode="0.0">
                  <c:v>57.710648148148415</c:v>
                </c:pt>
                <c:pt idx="68" formatCode="0.0">
                  <c:v>50.287037037036498</c:v>
                </c:pt>
                <c:pt idx="69" formatCode="0.0">
                  <c:v>46.199074074074616</c:v>
                </c:pt>
                <c:pt idx="70" formatCode="0.0">
                  <c:v>42.479166666666664</c:v>
                </c:pt>
                <c:pt idx="71" formatCode="0.0">
                  <c:v>42.537037037037308</c:v>
                </c:pt>
                <c:pt idx="72" formatCode="0.0">
                  <c:v>45.914351851851585</c:v>
                </c:pt>
                <c:pt idx="73" formatCode="0.0">
                  <c:v>45.849537037037308</c:v>
                </c:pt>
                <c:pt idx="74" formatCode="0.0">
                  <c:v>50.488425925927004</c:v>
                </c:pt>
                <c:pt idx="75" formatCode="0.0">
                  <c:v>51.152777777778589</c:v>
                </c:pt>
                <c:pt idx="76" formatCode="0.0">
                  <c:v>48.807870370370637</c:v>
                </c:pt>
                <c:pt idx="77" formatCode="0.0">
                  <c:v>52.660416666666421</c:v>
                </c:pt>
                <c:pt idx="78" formatCode="0.0">
                  <c:v>59.02291666666715</c:v>
                </c:pt>
                <c:pt idx="79" formatCode="0.0">
                  <c:v>61.254166666666421</c:v>
                </c:pt>
                <c:pt idx="80" formatCode="0.0">
                  <c:v>62.668750000000003</c:v>
                </c:pt>
                <c:pt idx="81" formatCode="0.0">
                  <c:v>63.610416666666424</c:v>
                </c:pt>
                <c:pt idx="82" formatCode="0.0">
                  <c:v>61.145833333333577</c:v>
                </c:pt>
                <c:pt idx="83" formatCode="0.0">
                  <c:v>59.625</c:v>
                </c:pt>
                <c:pt idx="84" formatCode="0.0">
                  <c:v>57.737499999999997</c:v>
                </c:pt>
                <c:pt idx="85" formatCode="0.0">
                  <c:v>59.083333333333577</c:v>
                </c:pt>
                <c:pt idx="86" formatCode="0.0">
                  <c:v>61.112500000000729</c:v>
                </c:pt>
                <c:pt idx="87" formatCode="0.0">
                  <c:v>55.712500000001455</c:v>
                </c:pt>
                <c:pt idx="88" formatCode="0.0">
                  <c:v>49.304166666667882</c:v>
                </c:pt>
                <c:pt idx="89" formatCode="0.0">
                  <c:v>48.214583333335028</c:v>
                </c:pt>
                <c:pt idx="90" formatCode="0.0">
                  <c:v>50.589583333335028</c:v>
                </c:pt>
                <c:pt idx="91" formatCode="0.0">
                  <c:v>50.922916666668606</c:v>
                </c:pt>
                <c:pt idx="92" formatCode="0.0">
                  <c:v>51.054166666668607</c:v>
                </c:pt>
                <c:pt idx="93" formatCode="0.0">
                  <c:v>51.12916666666861</c:v>
                </c:pt>
                <c:pt idx="94" formatCode="0.0">
                  <c:v>49.931250000001455</c:v>
                </c:pt>
                <c:pt idx="95" formatCode="0.0">
                  <c:v>48.914583333335031</c:v>
                </c:pt>
                <c:pt idx="96" formatCode="0.0">
                  <c:v>49.006250000001458</c:v>
                </c:pt>
                <c:pt idx="97" formatCode="0.0">
                  <c:v>50.212500000001455</c:v>
                </c:pt>
                <c:pt idx="98" formatCode="0.0">
                  <c:v>57.987500000001454</c:v>
                </c:pt>
                <c:pt idx="99" formatCode="0.0">
                  <c:v>63.591666666667876</c:v>
                </c:pt>
                <c:pt idx="100" formatCode="0.0">
                  <c:v>61.260416666667879</c:v>
                </c:pt>
                <c:pt idx="101" formatCode="0.0">
                  <c:v>60.372916666667152</c:v>
                </c:pt>
                <c:pt idx="102" formatCode="0.0">
                  <c:v>66.80208333333357</c:v>
                </c:pt>
                <c:pt idx="103" formatCode="0.0">
                  <c:v>66.977083333333582</c:v>
                </c:pt>
                <c:pt idx="104" formatCode="0.0">
                  <c:v>67.285416666667146</c:v>
                </c:pt>
                <c:pt idx="105" formatCode="0.0">
                  <c:v>69.485416666667149</c:v>
                </c:pt>
                <c:pt idx="106" formatCode="0.0">
                  <c:v>67.681250000000006</c:v>
                </c:pt>
                <c:pt idx="107" formatCode="0.0">
                  <c:v>66.741666666666418</c:v>
                </c:pt>
                <c:pt idx="108" formatCode="0.0">
                  <c:v>58.143749999999997</c:v>
                </c:pt>
                <c:pt idx="109" formatCode="0.0">
                  <c:v>51.9375</c:v>
                </c:pt>
                <c:pt idx="110" formatCode="0.0">
                  <c:v>52.25833333333285</c:v>
                </c:pt>
                <c:pt idx="111" formatCode="0.0">
                  <c:v>53.520833333333577</c:v>
                </c:pt>
                <c:pt idx="112" formatCode="0.0">
                  <c:v>46.810416666667152</c:v>
                </c:pt>
                <c:pt idx="113" formatCode="0.0">
                  <c:v>48.46041666666715</c:v>
                </c:pt>
                <c:pt idx="114" formatCode="0.0">
                  <c:v>47.939583333333573</c:v>
                </c:pt>
                <c:pt idx="115" formatCode="0.0">
                  <c:v>58.054169999999999</c:v>
                </c:pt>
                <c:pt idx="116" formatCode="0.0">
                  <c:v>55.243753266667149</c:v>
                </c:pt>
                <c:pt idx="117" formatCode="0.0">
                  <c:v>54.206253266667147</c:v>
                </c:pt>
                <c:pt idx="118" formatCode="0.0">
                  <c:v>53.591669933333584</c:v>
                </c:pt>
                <c:pt idx="119" formatCode="0.0">
                  <c:v>52.66666993333358</c:v>
                </c:pt>
                <c:pt idx="120" formatCode="0.0">
                  <c:v>52.989586266667153</c:v>
                </c:pt>
                <c:pt idx="121" formatCode="0.0">
                  <c:v>55.410419599999997</c:v>
                </c:pt>
                <c:pt idx="122" formatCode="0.0">
                  <c:v>55.662919599999995</c:v>
                </c:pt>
                <c:pt idx="123" formatCode="0.0">
                  <c:v>52.637919599999989</c:v>
                </c:pt>
                <c:pt idx="124" formatCode="0.0">
                  <c:v>52.317086199999991</c:v>
                </c:pt>
                <c:pt idx="125" formatCode="0.0">
                  <c:v>39.689999200000003</c:v>
                </c:pt>
                <c:pt idx="126" formatCode="0.0">
                  <c:v>41.4461826</c:v>
                </c:pt>
                <c:pt idx="127" formatCode="0.0">
                  <c:v>45.521182600000003</c:v>
                </c:pt>
                <c:pt idx="128" formatCode="0.0">
                  <c:v>48.304515599999995</c:v>
                </c:pt>
                <c:pt idx="129" formatCode="0.0">
                  <c:v>50.283675599999995</c:v>
                </c:pt>
                <c:pt idx="130" formatCode="0.0">
                  <c:v>50.858675929999997</c:v>
                </c:pt>
                <c:pt idx="131" formatCode="0.0">
                  <c:v>46.992008929999997</c:v>
                </c:pt>
                <c:pt idx="132" formatCode="0.0">
                  <c:v>46.485342263333578</c:v>
                </c:pt>
                <c:pt idx="133" formatCode="0.0">
                  <c:v>47.039508929999997</c:v>
                </c:pt>
                <c:pt idx="134" formatCode="0.0">
                  <c:v>46.839508996666417</c:v>
                </c:pt>
                <c:pt idx="135" formatCode="0.0">
                  <c:v>50.699925996666416</c:v>
                </c:pt>
                <c:pt idx="136" formatCode="0.0">
                  <c:v>50.15832599666642</c:v>
                </c:pt>
                <c:pt idx="137" formatCode="0.0">
                  <c:v>47.791659329999263</c:v>
                </c:pt>
                <c:pt idx="138" formatCode="0.0">
                  <c:v>44.983326329999265</c:v>
                </c:pt>
                <c:pt idx="139" formatCode="0.0">
                  <c:v>45.566666329999265</c:v>
                </c:pt>
                <c:pt idx="140" formatCode="0.0">
                  <c:v>44.41041633333284</c:v>
                </c:pt>
                <c:pt idx="141" formatCode="0.0">
                  <c:v>43.841666666665688</c:v>
                </c:pt>
                <c:pt idx="142" formatCode="0.0">
                  <c:v>44.537499999998538</c:v>
                </c:pt>
                <c:pt idx="143" formatCode="0.0">
                  <c:v>44.689583333332116</c:v>
                </c:pt>
                <c:pt idx="144" formatCode="0.0">
                  <c:v>46.818749999998545</c:v>
                </c:pt>
                <c:pt idx="145" formatCode="0.0">
                  <c:v>41.631249999998545</c:v>
                </c:pt>
                <c:pt idx="146" formatCode="0.0">
                  <c:v>42.631249999998545</c:v>
                </c:pt>
                <c:pt idx="147" formatCode="0.0">
                  <c:v>44.060416666665695</c:v>
                </c:pt>
                <c:pt idx="148" formatCode="0.0">
                  <c:v>46.147916666665694</c:v>
                </c:pt>
                <c:pt idx="149" formatCode="0.0">
                  <c:v>44.397916666665694</c:v>
                </c:pt>
                <c:pt idx="150" formatCode="0.0">
                  <c:v>49.314583333332124</c:v>
                </c:pt>
                <c:pt idx="151" formatCode="0.0">
                  <c:v>51.406249999999275</c:v>
                </c:pt>
                <c:pt idx="152" formatCode="0.0">
                  <c:v>51.027083333332847</c:v>
                </c:pt>
                <c:pt idx="153" formatCode="0.0">
                  <c:v>54.408333333332848</c:v>
                </c:pt>
                <c:pt idx="154" formatCode="0.0">
                  <c:v>52.958333333333577</c:v>
                </c:pt>
                <c:pt idx="155" formatCode="0.0">
                  <c:v>55.458333333333577</c:v>
                </c:pt>
                <c:pt idx="156" formatCode="0.0">
                  <c:v>57.258333333333574</c:v>
                </c:pt>
                <c:pt idx="157" formatCode="0.0">
                  <c:v>67.506249999999994</c:v>
                </c:pt>
                <c:pt idx="158" formatCode="0.0">
                  <c:v>70.006249999999994</c:v>
                </c:pt>
                <c:pt idx="159" formatCode="0.0">
                  <c:v>69.206249999999997</c:v>
                </c:pt>
                <c:pt idx="160" formatCode="0.0">
                  <c:v>64.606250000000003</c:v>
                </c:pt>
                <c:pt idx="161" formatCode="0.0">
                  <c:v>63.354166666667155</c:v>
                </c:pt>
                <c:pt idx="162" formatCode="0.0">
                  <c:v>65.654166666667152</c:v>
                </c:pt>
                <c:pt idx="163" formatCode="0.0">
                  <c:v>64.654166666667152</c:v>
                </c:pt>
                <c:pt idx="164" formatCode="0.0">
                  <c:v>64.195833333333582</c:v>
                </c:pt>
                <c:pt idx="165" formatCode="0.0">
                  <c:v>66.39583333333357</c:v>
                </c:pt>
                <c:pt idx="166" formatCode="0.0">
                  <c:v>63.995833333333579</c:v>
                </c:pt>
                <c:pt idx="167" formatCode="0.0">
                  <c:v>54.747916666667152</c:v>
                </c:pt>
                <c:pt idx="168" formatCode="0.0">
                  <c:v>51.560416666667152</c:v>
                </c:pt>
                <c:pt idx="169" formatCode="0.0">
                  <c:v>52.939583333333573</c:v>
                </c:pt>
                <c:pt idx="170" formatCode="0.0">
                  <c:v>56.035416666667153</c:v>
                </c:pt>
                <c:pt idx="171" formatCode="0.0">
                  <c:v>57.65625</c:v>
                </c:pt>
                <c:pt idx="172" formatCode="0.0">
                  <c:v>55.931249999999999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363136"/>
        <c:axId val="623363528"/>
      </c:lineChart>
      <c:dateAx>
        <c:axId val="623363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363528"/>
        <c:crosses val="autoZero"/>
        <c:auto val="1"/>
        <c:lblOffset val="100"/>
        <c:baseTimeUnit val="days"/>
      </c:dateAx>
      <c:valAx>
        <c:axId val="62336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36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Rig Schedule (8/17/2015)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429721583819376E-2"/>
          <c:y val="5.2727725559410445E-2"/>
          <c:w val="0.84613917190623333"/>
          <c:h val="0.8537367751165467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RigScheduleTest!$F$1</c:f>
              <c:strCache>
                <c:ptCount val="1"/>
                <c:pt idx="0">
                  <c:v>Rig Schedule Meeting Date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RigScheduleTest!$F$2:$F$22</c:f>
              <c:numCache>
                <c:formatCode>m/d/yyyy</c:formatCode>
                <c:ptCount val="21"/>
                <c:pt idx="0">
                  <c:v>42233</c:v>
                </c:pt>
                <c:pt idx="1">
                  <c:v>42233</c:v>
                </c:pt>
                <c:pt idx="2">
                  <c:v>42233</c:v>
                </c:pt>
                <c:pt idx="3">
                  <c:v>42233</c:v>
                </c:pt>
                <c:pt idx="4">
                  <c:v>42233</c:v>
                </c:pt>
                <c:pt idx="5">
                  <c:v>42233</c:v>
                </c:pt>
                <c:pt idx="6">
                  <c:v>42233</c:v>
                </c:pt>
                <c:pt idx="7">
                  <c:v>42233</c:v>
                </c:pt>
                <c:pt idx="8">
                  <c:v>42233</c:v>
                </c:pt>
                <c:pt idx="9">
                  <c:v>42233</c:v>
                </c:pt>
                <c:pt idx="10">
                  <c:v>42233</c:v>
                </c:pt>
                <c:pt idx="11">
                  <c:v>42233</c:v>
                </c:pt>
                <c:pt idx="12">
                  <c:v>42233</c:v>
                </c:pt>
                <c:pt idx="13">
                  <c:v>42233</c:v>
                </c:pt>
                <c:pt idx="14">
                  <c:v>42233</c:v>
                </c:pt>
                <c:pt idx="15">
                  <c:v>42233</c:v>
                </c:pt>
                <c:pt idx="16">
                  <c:v>42233</c:v>
                </c:pt>
                <c:pt idx="17">
                  <c:v>42233</c:v>
                </c:pt>
                <c:pt idx="18">
                  <c:v>42233</c:v>
                </c:pt>
                <c:pt idx="19">
                  <c:v>42233</c:v>
                </c:pt>
                <c:pt idx="20">
                  <c:v>42233</c:v>
                </c:pt>
              </c:numCache>
            </c:numRef>
          </c:val>
        </c:ser>
        <c:ser>
          <c:idx val="1"/>
          <c:order val="1"/>
          <c:tx>
            <c:strRef>
              <c:f>RigScheduleTest!$G$1</c:f>
              <c:strCache>
                <c:ptCount val="1"/>
                <c:pt idx="0">
                  <c:v>Updated Drill Time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RigScheduleTest!$G$2:$G$22</c:f>
              <c:numCache>
                <c:formatCode>General</c:formatCode>
                <c:ptCount val="21"/>
                <c:pt idx="0">
                  <c:v>25</c:v>
                </c:pt>
                <c:pt idx="1">
                  <c:v>35</c:v>
                </c:pt>
                <c:pt idx="2">
                  <c:v>10</c:v>
                </c:pt>
                <c:pt idx="3">
                  <c:v>0</c:v>
                </c:pt>
                <c:pt idx="4">
                  <c:v>53</c:v>
                </c:pt>
                <c:pt idx="5">
                  <c:v>40</c:v>
                </c:pt>
                <c:pt idx="6">
                  <c:v>0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6</c:v>
                </c:pt>
                <c:pt idx="11">
                  <c:v>45</c:v>
                </c:pt>
                <c:pt idx="12">
                  <c:v>20</c:v>
                </c:pt>
                <c:pt idx="13">
                  <c:v>10</c:v>
                </c:pt>
                <c:pt idx="14">
                  <c:v>14</c:v>
                </c:pt>
                <c:pt idx="15">
                  <c:v>21</c:v>
                </c:pt>
                <c:pt idx="16">
                  <c:v>5</c:v>
                </c:pt>
                <c:pt idx="17">
                  <c:v>7</c:v>
                </c:pt>
                <c:pt idx="18">
                  <c:v>42</c:v>
                </c:pt>
                <c:pt idx="19">
                  <c:v>10</c:v>
                </c:pt>
                <c:pt idx="20">
                  <c:v>14</c:v>
                </c:pt>
              </c:numCache>
            </c:numRef>
          </c:val>
        </c:ser>
        <c:ser>
          <c:idx val="2"/>
          <c:order val="2"/>
          <c:tx>
            <c:strRef>
              <c:f>RigScheduleTest!$I$1</c:f>
              <c:strCache>
                <c:ptCount val="1"/>
                <c:pt idx="0">
                  <c:v>Next Well 1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RigScheduleTest!$I$2:$I$22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4"/>
          <c:order val="3"/>
          <c:tx>
            <c:strRef>
              <c:f>RigScheduleTest!$K$1</c:f>
              <c:strCache>
                <c:ptCount val="1"/>
                <c:pt idx="0">
                  <c:v>Rig Move Days 1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RigScheduleTest!$K$2:$K$22</c:f>
              <c:numCache>
                <c:formatCode>0.00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</c:numCache>
            </c:numRef>
          </c:val>
        </c:ser>
        <c:ser>
          <c:idx val="3"/>
          <c:order val="4"/>
          <c:tx>
            <c:strRef>
              <c:f>RigScheduleTest!$N$1</c:f>
              <c:strCache>
                <c:ptCount val="1"/>
                <c:pt idx="0">
                  <c:v>Planned Days by Well Type 1</c:v>
                </c:pt>
              </c:strCache>
            </c:strRef>
          </c:tx>
          <c:spPr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Lbls>
            <c:dLbl>
              <c:idx val="0"/>
              <c:layout/>
              <c:tx>
                <c:strRef>
                  <c:f>RigScheduleTest!$J$2</c:f>
                  <c:strCache>
                    <c:ptCount val="1"/>
                    <c:pt idx="0">
                      <c:v>Rig-Exp-Aug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{3DEC82D1-FE07-4B2E-899E-F091B7D556C5}</c15:txfldGUID>
                      <c15:f>RigScheduleTest!$J$2</c15:f>
                      <c15:dlblFieldTableCache>
                        <c:ptCount val="1"/>
                        <c:pt idx="0">
                          <c:v>Rig-Exp-Aug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RigScheduleTest!$J$3</c:f>
                  <c:strCache>
                    <c:ptCount val="1"/>
                    <c:pt idx="0">
                      <c:v>RA-0581-UB-NW-Prod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{974CFE68-678C-4AB8-841C-2FF4130040F1}</c15:txfldGUID>
                      <c15:f>RigScheduleTest!$J$3</c15:f>
                      <c15:dlblFieldTableCache>
                        <c:ptCount val="1"/>
                        <c:pt idx="0">
                          <c:v>RA-0581-UB-NW-Prod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RigScheduleTest!$J$4</c:f>
                  <c:strCache>
                    <c:ptCount val="1"/>
                    <c:pt idx="0">
                      <c:v>RA-0595-ZU-NW-Prod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{E306E2F4-8157-4AA1-A774-966EA58DDE72}</c15:txfldGUID>
                      <c15:f>RigScheduleTest!$J$4</c15:f>
                      <c15:dlblFieldTableCache>
                        <c:ptCount val="1"/>
                        <c:pt idx="0">
                          <c:v>RA-0595-ZU-NW-Prod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RigScheduleTest!$J$5</c:f>
                  <c:strCache>
                    <c:ptCount val="1"/>
                    <c:pt idx="0">
                      <c:v>Rig_Expired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{C7387E00-FD1B-40B3-804B-9001E3E0D418}</c15:txfldGUID>
                      <c15:f>RigScheduleTest!$J$5</c15:f>
                      <c15:dlblFieldTableCache>
                        <c:ptCount val="1"/>
                        <c:pt idx="0">
                          <c:v>Rig_Expired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RigScheduleTest!$J$6</c:f>
                  <c:strCache>
                    <c:ptCount val="1"/>
                    <c:pt idx="0">
                      <c:v>SA-0589-MA-NW-Inj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{09FE2453-B8DA-4D43-BD56-BE168CAF303F}</c15:txfldGUID>
                      <c15:f>RigScheduleTest!$J$6</c15:f>
                      <c15:dlblFieldTableCache>
                        <c:ptCount val="1"/>
                        <c:pt idx="0">
                          <c:v>SA-0589-MA-NW-Inj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RigScheduleTest!$J$7</c:f>
                  <c:strCache>
                    <c:ptCount val="1"/>
                    <c:pt idx="0">
                      <c:v>SA-0593-MA-NW-Prod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{139C2F32-DA8B-4510-BBD8-4E04178E977E}</c15:txfldGUID>
                      <c15:f>RigScheduleTest!$J$7</c15:f>
                      <c15:dlblFieldTableCache>
                        <c:ptCount val="1"/>
                        <c:pt idx="0">
                          <c:v>SA-0593-MA-NW-Prod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RigScheduleTest!$J$8</c:f>
                  <c:strCache>
                    <c:ptCount val="1"/>
                    <c:pt idx="0">
                      <c:v>SA-0603-MA-NW-Prod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{0AD25FE3-188A-4F58-ADDE-86E09B5502F3}</c15:txfldGUID>
                      <c15:f>RigScheduleTest!$J$8</c15:f>
                      <c15:dlblFieldTableCache>
                        <c:ptCount val="1"/>
                        <c:pt idx="0">
                          <c:v>SA-0603-MA-NW-Prod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RigScheduleTest!$J$9</c:f>
                  <c:strCache>
                    <c:ptCount val="1"/>
                    <c:pt idx="0">
                      <c:v>RA-0311-MA-ST-Prod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{F91BD831-7CA6-47F2-9349-79361411C7AF}</c15:txfldGUID>
                      <c15:f>RigScheduleTest!$J$9</c15:f>
                      <c15:dlblFieldTableCache>
                        <c:ptCount val="1"/>
                        <c:pt idx="0">
                          <c:v>RA-0311-MA-ST-Prod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RigScheduleTest!$J$10</c:f>
                  <c:strCache>
                    <c:ptCount val="1"/>
                    <c:pt idx="0">
                      <c:v>RA-0583-LB-NW-Prod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{27ED93A4-3488-4410-A3F4-058A38AE64F0}</c15:txfldGUID>
                      <c15:f>RigScheduleTest!$J$10</c15:f>
                      <c15:dlblFieldTableCache>
                        <c:ptCount val="1"/>
                        <c:pt idx="0">
                          <c:v>RA-0583-LB-NW-Prod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RigScheduleTest!$J$11</c:f>
                  <c:strCache>
                    <c:ptCount val="1"/>
                    <c:pt idx="0">
                      <c:v>RA-0518-UB-ST-Prod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{5388ADDF-8B35-42DB-8976-7408BE41E79C}</c15:txfldGUID>
                      <c15:f>RigScheduleTest!$J$11</c15:f>
                      <c15:dlblFieldTableCache>
                        <c:ptCount val="1"/>
                        <c:pt idx="0">
                          <c:v>RA-0518-UB-ST-Prod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RigScheduleTest!$J$12</c:f>
                  <c:strCache>
                    <c:ptCount val="1"/>
                    <c:pt idx="0">
                      <c:v>RA-0018-MA-ST-Prod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{2BF04A80-C764-4FBD-9455-F7E2A9AD6043}</c15:txfldGUID>
                      <c15:f>RigScheduleTest!$J$12</c15:f>
                      <c15:dlblFieldTableCache>
                        <c:ptCount val="1"/>
                        <c:pt idx="0">
                          <c:v>RA-0018-MA-ST-Prod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RigScheduleTest!$J$13</c:f>
                  <c:strCache>
                    <c:ptCount val="1"/>
                    <c:pt idx="0">
                      <c:v>RA-0574-ZU-NW-Prod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{80D34EEA-C13F-4CAB-A74E-58DD15BCE6E6}</c15:txfldGUID>
                      <c15:f>RigScheduleTest!$J$13</c15:f>
                      <c15:dlblFieldTableCache>
                        <c:ptCount val="1"/>
                        <c:pt idx="0">
                          <c:v>RA-0574-ZU-NW-Prod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RigScheduleTest!$J$14</c:f>
                  <c:strCache>
                    <c:ptCount val="1"/>
                    <c:pt idx="0">
                      <c:v>RA-0563-ZU-NW-Prod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{743695EB-4210-453B-92F6-CE3C749414D4}</c15:txfldGUID>
                      <c15:f>RigScheduleTest!$J$14</c15:f>
                      <c15:dlblFieldTableCache>
                        <c:ptCount val="1"/>
                        <c:pt idx="0">
                          <c:v>RA-0563-ZU-NW-Prod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RigScheduleTest!$J$15</c:f>
                  <c:strCache>
                    <c:ptCount val="1"/>
                    <c:pt idx="0">
                      <c:v>RA-0579-LB-NW-Prod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{407CBEA0-4031-43C6-AB16-8C93F5AD98AB}</c15:txfldGUID>
                      <c15:f>RigScheduleTest!$J$15</c15:f>
                      <c15:dlblFieldTableCache>
                        <c:ptCount val="1"/>
                        <c:pt idx="0">
                          <c:v>RA-0579-LB-NW-Prod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RigScheduleTest!$J$16</c:f>
                  <c:strCache>
                    <c:ptCount val="1"/>
                    <c:pt idx="0">
                      <c:v>SA-0592-LB-NW-Prod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{169B498D-E1B5-4F8D-9161-19619195517C}</c15:txfldGUID>
                      <c15:f>RigScheduleTest!$J$16</c15:f>
                      <c15:dlblFieldTableCache>
                        <c:ptCount val="1"/>
                        <c:pt idx="0">
                          <c:v>SA-0592-LB-NW-Prod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RigScheduleTest!$J$17</c:f>
                  <c:strCache>
                    <c:ptCount val="1"/>
                    <c:pt idx="0">
                      <c:v>RA-0192ST-LB-ST-Prod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{42620256-B6F3-4B4D-B983-6E6D2BC0678A}</c15:txfldGUID>
                      <c15:f>RigScheduleTest!$J$17</c15:f>
                      <c15:dlblFieldTableCache>
                        <c:ptCount val="1"/>
                        <c:pt idx="0">
                          <c:v>RA-0192ST-LB-ST-Prod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RigScheduleTest!$J$18</c:f>
                  <c:strCache>
                    <c:ptCount val="1"/>
                    <c:pt idx="0">
                      <c:v>SA-0602-MA-NW-Prod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{BEB5E58F-A541-4B43-A5D3-BEC20E914A38}</c15:txfldGUID>
                      <c15:f>RigScheduleTest!$J$18</c15:f>
                      <c15:dlblFieldTableCache>
                        <c:ptCount val="1"/>
                        <c:pt idx="0">
                          <c:v>SA-0602-MA-NW-Prod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RigScheduleTest!$J$19</c:f>
                  <c:strCache>
                    <c:ptCount val="1"/>
                    <c:pt idx="0">
                      <c:v>RA-0165-ZU-ST-Inj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{CD8FF30C-4CEA-4DC2-ADDF-EE16619C8BA3}</c15:txfldGUID>
                      <c15:f>RigScheduleTest!$J$19</c15:f>
                      <c15:dlblFieldTableCache>
                        <c:ptCount val="1"/>
                        <c:pt idx="0">
                          <c:v>RA-0165-ZU-ST-Inj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RigScheduleTest!$J$20</c:f>
                  <c:strCache>
                    <c:ptCount val="1"/>
                    <c:pt idx="0">
                      <c:v>RA-0575-LB-NW-Prod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{74B926A5-05B1-408A-85DE-7EB393F7191C}</c15:txfldGUID>
                      <c15:f>RigScheduleTest!$J$20</c15:f>
                      <c15:dlblFieldTableCache>
                        <c:ptCount val="1"/>
                        <c:pt idx="0">
                          <c:v>RA-0575-LB-NW-Prod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RigScheduleTest!$J$21</c:f>
                  <c:strCache>
                    <c:ptCount val="1"/>
                    <c:pt idx="0">
                      <c:v>SA-0586-MA-NW-Prod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{3DBB4D2C-0045-495D-8D6E-BB55104295C3}</c15:txfldGUID>
                      <c15:f>RigScheduleTest!$J$21</c15:f>
                      <c15:dlblFieldTableCache>
                        <c:ptCount val="1"/>
                        <c:pt idx="0">
                          <c:v>SA-0586-MA-NW-Prod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RigScheduleTest!$J$22</c:f>
                  <c:strCache>
                    <c:ptCount val="1"/>
                    <c:pt idx="0">
                      <c:v>SA-0611-UB-NW-Prod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{A7550B8F-769E-4F17-B8CA-379BCD0D9DB5}</c15:txfldGUID>
                      <c15:f>RigScheduleTest!$J$22</c15:f>
                      <c15:dlblFieldTableCache>
                        <c:ptCount val="1"/>
                        <c:pt idx="0">
                          <c:v>SA-0611-UB-NW-Prod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RigScheduleTest!$N$2:$N$22</c:f>
              <c:numCache>
                <c:formatCode>General</c:formatCode>
                <c:ptCount val="21"/>
                <c:pt idx="0">
                  <c:v>0</c:v>
                </c:pt>
                <c:pt idx="1">
                  <c:v>70</c:v>
                </c:pt>
                <c:pt idx="2">
                  <c:v>98</c:v>
                </c:pt>
                <c:pt idx="3">
                  <c:v>0</c:v>
                </c:pt>
                <c:pt idx="4">
                  <c:v>63</c:v>
                </c:pt>
                <c:pt idx="5">
                  <c:v>70</c:v>
                </c:pt>
                <c:pt idx="6">
                  <c:v>70</c:v>
                </c:pt>
                <c:pt idx="7">
                  <c:v>56</c:v>
                </c:pt>
                <c:pt idx="8">
                  <c:v>70</c:v>
                </c:pt>
                <c:pt idx="9">
                  <c:v>56</c:v>
                </c:pt>
                <c:pt idx="10">
                  <c:v>56</c:v>
                </c:pt>
                <c:pt idx="11">
                  <c:v>98</c:v>
                </c:pt>
                <c:pt idx="12">
                  <c:v>145</c:v>
                </c:pt>
                <c:pt idx="13">
                  <c:v>70</c:v>
                </c:pt>
                <c:pt idx="14">
                  <c:v>70</c:v>
                </c:pt>
                <c:pt idx="15">
                  <c:v>56</c:v>
                </c:pt>
                <c:pt idx="16">
                  <c:v>70</c:v>
                </c:pt>
                <c:pt idx="17">
                  <c:v>30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</c:numCache>
            </c:numRef>
          </c:val>
        </c:ser>
        <c:ser>
          <c:idx val="5"/>
          <c:order val="5"/>
          <c:tx>
            <c:strRef>
              <c:f>RigScheduleTest!$O$1</c:f>
              <c:strCache>
                <c:ptCount val="1"/>
                <c:pt idx="0">
                  <c:v>Next Well 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RigScheduleTest!$O$2:$O$22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7"/>
          <c:order val="6"/>
          <c:tx>
            <c:strRef>
              <c:f>RigScheduleTest!$Q$1</c:f>
              <c:strCache>
                <c:ptCount val="1"/>
                <c:pt idx="0">
                  <c:v>Rig Move Days 2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RigScheduleTest!$Q$2:$Q$22</c:f>
              <c:numCache>
                <c:formatCode>0.00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</c:numCache>
            </c:numRef>
          </c:val>
        </c:ser>
        <c:ser>
          <c:idx val="6"/>
          <c:order val="7"/>
          <c:tx>
            <c:strRef>
              <c:f>RigScheduleTest!$T$1</c:f>
              <c:strCache>
                <c:ptCount val="1"/>
                <c:pt idx="0">
                  <c:v>Planned Days by Well Type 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Lbls>
            <c:dLbl>
              <c:idx val="0"/>
              <c:layout/>
              <c:tx>
                <c:strRef>
                  <c:f>RigScheduleTest!$P$2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{BCF32358-00C4-4E6B-85A1-70120F064EE8}</c15:txfldGUID>
                      <c15:f>RigScheduleTest!$P$2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RigScheduleTest!$P$3</c:f>
                  <c:strCache>
                    <c:ptCount val="1"/>
                    <c:pt idx="0">
                      <c:v>RA-0569-MA-NW-Prod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{0ACC8978-5844-46AB-908E-8D3DEBA9784E}</c15:txfldGUID>
                      <c15:f>RigScheduleTest!$P$3</c15:f>
                      <c15:dlblFieldTableCache>
                        <c:ptCount val="1"/>
                        <c:pt idx="0">
                          <c:v>RA-0569-MA-NW-Prod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RigScheduleTest!$P$4</c:f>
                  <c:strCache>
                    <c:ptCount val="1"/>
                    <c:pt idx="0">
                      <c:v>AD-0008-ZU-ST-Inj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{97282EDC-36A4-4B91-B619-1434F9A943D9}</c15:txfldGUID>
                      <c15:f>RigScheduleTest!$P$4</c15:f>
                      <c15:dlblFieldTableCache>
                        <c:ptCount val="1"/>
                        <c:pt idx="0">
                          <c:v>AD-0008-ZU-ST-Inj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RigScheduleTest!$P$5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{192AB7F0-A708-4C43-8A9F-331E935ACC7D}</c15:txfldGUID>
                      <c15:f>RigScheduleTest!$P$5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RigScheduleTest!$P$6</c:f>
                  <c:strCache>
                    <c:ptCount val="1"/>
                    <c:pt idx="0">
                      <c:v>RA-0594-ZU-NW-Prod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{3B2F1D53-9A37-43FC-AB31-A7052A61860C}</c15:txfldGUID>
                      <c15:f>RigScheduleTest!$P$6</c15:f>
                      <c15:dlblFieldTableCache>
                        <c:ptCount val="1"/>
                        <c:pt idx="0">
                          <c:v>RA-0594-ZU-NW-Prod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RigScheduleTest!$P$7</c:f>
                  <c:strCache>
                    <c:ptCount val="1"/>
                    <c:pt idx="0">
                      <c:v>RA6-MA-NW-Prod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{B8FA334C-E299-4A4C-8A8D-A7F11578FA8B}</c15:txfldGUID>
                      <c15:f>RigScheduleTest!$P$7</c15:f>
                      <c15:dlblFieldTableCache>
                        <c:ptCount val="1"/>
                        <c:pt idx="0">
                          <c:v>RA6-MA-NW-Prod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RigScheduleTest!$P$8</c:f>
                  <c:strCache>
                    <c:ptCount val="1"/>
                    <c:pt idx="0">
                      <c:v>SA3-UB-NW-Prod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{514F0BCE-F27B-44B4-94C3-E9596847F865}</c15:txfldGUID>
                      <c15:f>RigScheduleTest!$P$8</c15:f>
                      <c15:dlblFieldTableCache>
                        <c:ptCount val="1"/>
                        <c:pt idx="0">
                          <c:v>SA3-UB-NW-Prod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RigScheduleTest!$P$9</c:f>
                  <c:strCache>
                    <c:ptCount val="1"/>
                    <c:pt idx="0">
                      <c:v>RA-0593-ZU-NW-Prod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{AE37EAF2-AF0E-4FC2-90E8-B66DC14D3129}</c15:txfldGUID>
                      <c15:f>RigScheduleTest!$P$9</c15:f>
                      <c15:dlblFieldTableCache>
                        <c:ptCount val="1"/>
                        <c:pt idx="0">
                          <c:v>RA-0593-ZU-NW-Prod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RigScheduleTest!$P$10</c:f>
                  <c:strCache>
                    <c:ptCount val="1"/>
                    <c:pt idx="0">
                      <c:v>RA3-MA-NW-Prod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{5C374919-0A26-4120-B3AC-497731A44F24}</c15:txfldGUID>
                      <c15:f>RigScheduleTest!$P$10</c15:f>
                      <c15:dlblFieldTableCache>
                        <c:ptCount val="1"/>
                        <c:pt idx="0">
                          <c:v>RA3-MA-NW-Prod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RigScheduleTest!$P$11</c:f>
                  <c:strCache>
                    <c:ptCount val="1"/>
                    <c:pt idx="0">
                      <c:v>RA-0396-MA-ST-Prod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{9276C5C3-7DBF-4C7D-A6F7-BA98C331011B}</c15:txfldGUID>
                      <c15:f>RigScheduleTest!$P$11</c15:f>
                      <c15:dlblFieldTableCache>
                        <c:ptCount val="1"/>
                        <c:pt idx="0">
                          <c:v>RA-0396-MA-ST-Prod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RigScheduleTest!$P$12</c:f>
                  <c:strCache>
                    <c:ptCount val="1"/>
                    <c:pt idx="0">
                      <c:v>RA-0271-MA-ST-Inj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{A1E018F9-01E3-49FF-B7A2-60579A910A72}</c15:txfldGUID>
                      <c15:f>RigScheduleTest!$P$12</c15:f>
                      <c15:dlblFieldTableCache>
                        <c:ptCount val="1"/>
                        <c:pt idx="0">
                          <c:v>RA-0271-MA-ST-Inj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RigScheduleTest!$P$13</c:f>
                  <c:strCache>
                    <c:ptCount val="1"/>
                    <c:pt idx="0">
                      <c:v>RA-0572-LB-NW-Prod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{5B3CE583-C6EC-4907-9C03-3E27F5A0EF4D}</c15:txfldGUID>
                      <c15:f>RigScheduleTest!$P$13</c15:f>
                      <c15:dlblFieldTableCache>
                        <c:ptCount val="1"/>
                        <c:pt idx="0">
                          <c:v>RA-0572-LB-NW-Prod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RigScheduleTest!$P$14</c:f>
                  <c:strCache>
                    <c:ptCount val="1"/>
                    <c:pt idx="0">
                      <c:v>SA9-MA-NW-Prod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{777B6703-9F44-4726-815A-3B19915D725B}</c15:txfldGUID>
                      <c15:f>RigScheduleTest!$P$14</c15:f>
                      <c15:dlblFieldTableCache>
                        <c:ptCount val="1"/>
                        <c:pt idx="0">
                          <c:v>SA9-MA-NW-Prod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RigScheduleTest!$P$15</c:f>
                  <c:strCache>
                    <c:ptCount val="1"/>
                    <c:pt idx="0">
                      <c:v>SA-0601-MA-NW-Prod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{DE6AA6DC-4D13-499B-9BCB-2ED807FFC728}</c15:txfldGUID>
                      <c15:f>RigScheduleTest!$P$15</c15:f>
                      <c15:dlblFieldTableCache>
                        <c:ptCount val="1"/>
                        <c:pt idx="0">
                          <c:v>SA-0601-MA-NW-Prod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RigScheduleTest!$P$16</c:f>
                  <c:strCache>
                    <c:ptCount val="1"/>
                    <c:pt idx="0">
                      <c:v>SA-0558-MA-NW-Inj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{8E1AF663-A7D7-439F-B658-178698C68343}</c15:txfldGUID>
                      <c15:f>RigScheduleTest!$P$16</c15:f>
                      <c15:dlblFieldTableCache>
                        <c:ptCount val="1"/>
                        <c:pt idx="0">
                          <c:v>SA-0558-MA-NW-Inj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RigScheduleTest!$P$17</c:f>
                  <c:strCache>
                    <c:ptCount val="1"/>
                    <c:pt idx="0">
                      <c:v>RA2--UB-NW-Prod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{8395D7EE-B317-494F-9A9A-66F3170FB053}</c15:txfldGUID>
                      <c15:f>RigScheduleTest!$P$17</c15:f>
                      <c15:dlblFieldTableCache>
                        <c:ptCount val="1"/>
                        <c:pt idx="0">
                          <c:v>RA2--UB-NW-Prod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RigScheduleTest!$P$18</c:f>
                  <c:strCache>
                    <c:ptCount val="1"/>
                    <c:pt idx="0">
                      <c:v>SA-0613-UB-NW-Prod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{869131DB-6BBD-4A49-85EB-5CDC8193A6C9}</c15:txfldGUID>
                      <c15:f>RigScheduleTest!$P$18</c15:f>
                      <c15:dlblFieldTableCache>
                        <c:ptCount val="1"/>
                        <c:pt idx="0">
                          <c:v>SA-0613-UB-NW-Prod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RigScheduleTest!$P$19</c:f>
                  <c:strCache>
                    <c:ptCount val="1"/>
                    <c:pt idx="0">
                      <c:v>RA-0241-MA-ST-Prod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{7ED65B40-EBAB-4210-8745-67CBF61708F7}</c15:txfldGUID>
                      <c15:f>RigScheduleTest!$P$19</c15:f>
                      <c15:dlblFieldTableCache>
                        <c:ptCount val="1"/>
                        <c:pt idx="0">
                          <c:v>RA-0241-MA-ST-Prod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RigScheduleTest!$P$20</c:f>
                  <c:strCache>
                    <c:ptCount val="1"/>
                    <c:pt idx="0">
                      <c:v>SA-0060-MA-ST-Prod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{CD106726-DC47-4F87-8288-1D7B0F0DC5DB}</c15:txfldGUID>
                      <c15:f>RigScheduleTest!$P$20</c15:f>
                      <c15:dlblFieldTableCache>
                        <c:ptCount val="1"/>
                        <c:pt idx="0">
                          <c:v>SA-0060-MA-ST-Prod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RigScheduleTest!$P$21</c:f>
                  <c:strCache>
                    <c:ptCount val="1"/>
                    <c:pt idx="0">
                      <c:v>SA-0612-UB-NW-Prod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{54CAE7D8-525B-450F-BCBE-F740BF25099F}</c15:txfldGUID>
                      <c15:f>RigScheduleTest!$P$21</c15:f>
                      <c15:dlblFieldTableCache>
                        <c:ptCount val="1"/>
                        <c:pt idx="0">
                          <c:v>SA-0612-UB-NW-Prod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RigScheduleTest!$P$22</c:f>
                  <c:strCache>
                    <c:ptCount val="1"/>
                    <c:pt idx="0">
                      <c:v>SA-0591-LB-NW-Prod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{2BDED773-D400-43F2-9EE7-C68A3E1AAFBD}</c15:txfldGUID>
                      <c15:f>RigScheduleTest!$P$22</c15:f>
                      <c15:dlblFieldTableCache>
                        <c:ptCount val="1"/>
                        <c:pt idx="0">
                          <c:v>SA-0591-LB-NW-Prod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RigScheduleTest!$T$2:$T$22</c:f>
              <c:numCache>
                <c:formatCode>General</c:formatCode>
                <c:ptCount val="21"/>
                <c:pt idx="0">
                  <c:v>0</c:v>
                </c:pt>
                <c:pt idx="1">
                  <c:v>70</c:v>
                </c:pt>
                <c:pt idx="2">
                  <c:v>56</c:v>
                </c:pt>
                <c:pt idx="3">
                  <c:v>0</c:v>
                </c:pt>
                <c:pt idx="4">
                  <c:v>98</c:v>
                </c:pt>
                <c:pt idx="5">
                  <c:v>70</c:v>
                </c:pt>
                <c:pt idx="6">
                  <c:v>70</c:v>
                </c:pt>
                <c:pt idx="7">
                  <c:v>98</c:v>
                </c:pt>
                <c:pt idx="8">
                  <c:v>70</c:v>
                </c:pt>
                <c:pt idx="9">
                  <c:v>56</c:v>
                </c:pt>
                <c:pt idx="10">
                  <c:v>49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56</c:v>
                </c:pt>
                <c:pt idx="18">
                  <c:v>56</c:v>
                </c:pt>
                <c:pt idx="19">
                  <c:v>70</c:v>
                </c:pt>
                <c:pt idx="20">
                  <c:v>70</c:v>
                </c:pt>
              </c:numCache>
            </c:numRef>
          </c:val>
        </c:ser>
        <c:ser>
          <c:idx val="8"/>
          <c:order val="8"/>
          <c:tx>
            <c:strRef>
              <c:f>RigScheduleTest!$U$1</c:f>
              <c:strCache>
                <c:ptCount val="1"/>
                <c:pt idx="0">
                  <c:v>Next Well 3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RigScheduleTest!$U$2:$U$22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0"/>
          <c:order val="9"/>
          <c:tx>
            <c:strRef>
              <c:f>RigScheduleTest!$W$1</c:f>
              <c:strCache>
                <c:ptCount val="1"/>
                <c:pt idx="0">
                  <c:v>Rig Move Days 3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RigScheduleTest!$W$2:$W$22</c:f>
              <c:numCache>
                <c:formatCode>0.00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</c:numCache>
            </c:numRef>
          </c:val>
        </c:ser>
        <c:ser>
          <c:idx val="9"/>
          <c:order val="10"/>
          <c:tx>
            <c:strRef>
              <c:f>RigScheduleTest!$Z$1</c:f>
              <c:strCache>
                <c:ptCount val="1"/>
                <c:pt idx="0">
                  <c:v>Planned Days by Well Type 3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Lbls>
            <c:dLbl>
              <c:idx val="0"/>
              <c:layout/>
              <c:tx>
                <c:strRef>
                  <c:f>RigScheduleTest!$V$2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{D8D178E0-CF9F-45C7-925D-2B13F4F83BD2}</c15:txfldGUID>
                      <c15:f>RigScheduleTest!$V$2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RigScheduleTest!$V$3</c:f>
                  <c:strCache>
                    <c:ptCount val="1"/>
                    <c:pt idx="0">
                      <c:v>RA5-MA-NW-Prod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{AF8A0708-811E-45C7-9E69-C68AA5FEEAAC}</c15:txfldGUID>
                      <c15:f>RigScheduleTest!$V$3</c15:f>
                      <c15:dlblFieldTableCache>
                        <c:ptCount val="1"/>
                        <c:pt idx="0">
                          <c:v>RA5-MA-NW-Prod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RigScheduleTest!$V$4</c:f>
                  <c:strCache>
                    <c:ptCount val="1"/>
                    <c:pt idx="0">
                      <c:v>SA5-MA-ST-Inj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{5BC5D679-8FB9-4025-A540-9753FA045AE8}</c15:txfldGUID>
                      <c15:f>RigScheduleTest!$V$4</c15:f>
                      <c15:dlblFieldTableCache>
                        <c:ptCount val="1"/>
                        <c:pt idx="0">
                          <c:v>SA5-MA-ST-Inj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RigScheduleTest!$V$5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{A250D9AD-0C43-4B87-8BAA-8988953EAA0C}</c15:txfldGUID>
                      <c15:f>RigScheduleTest!$V$5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RigScheduleTest!$V$6</c:f>
                  <c:strCache>
                    <c:ptCount val="1"/>
                    <c:pt idx="0">
                      <c:v>RQ-0181-ZU-NW-Prod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{E001D0E2-A859-4A61-8EBD-A3C4F7BC5A71}</c15:txfldGUID>
                      <c15:f>RigScheduleTest!$V$6</c15:f>
                      <c15:dlblFieldTableCache>
                        <c:ptCount val="1"/>
                        <c:pt idx="0">
                          <c:v>RQ-0181-ZU-NW-Prod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RigScheduleTest!$V$7</c:f>
                  <c:strCache>
                    <c:ptCount val="1"/>
                    <c:pt idx="0">
                      <c:v>RA-0596-ZU-NW-Prod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{99F0D9AD-F99E-4047-AEC2-9B53C8CF8A18}</c15:txfldGUID>
                      <c15:f>RigScheduleTest!$V$7</c15:f>
                      <c15:dlblFieldTableCache>
                        <c:ptCount val="1"/>
                        <c:pt idx="0">
                          <c:v>RA-0596-ZU-NW-Prod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RigScheduleTest!$V$8</c:f>
                  <c:strCache>
                    <c:ptCount val="1"/>
                    <c:pt idx="0">
                      <c:v>SA-0471-LB-ST-Prod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{361B11BF-DA85-4726-B766-D8F5C345C6E5}</c15:txfldGUID>
                      <c15:f>RigScheduleTest!$V$8</c15:f>
                      <c15:dlblFieldTableCache>
                        <c:ptCount val="1"/>
                        <c:pt idx="0">
                          <c:v>SA-0471-LB-ST-Prod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RigScheduleTest!$V$9</c:f>
                  <c:strCache>
                    <c:ptCount val="1"/>
                    <c:pt idx="0">
                      <c:v>RA10-ZU-Prod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{EAE4FDB5-1304-4DCD-A776-66F2B705BDA4}</c15:txfldGUID>
                      <c15:f>RigScheduleTest!$V$9</c15:f>
                      <c15:dlblFieldTableCache>
                        <c:ptCount val="1"/>
                        <c:pt idx="0">
                          <c:v>RA10-ZU-Prod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RigScheduleTest!$V$10</c:f>
                  <c:strCache>
                    <c:ptCount val="1"/>
                    <c:pt idx="0">
                      <c:v>RA-0582-UB-NW-Prod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{FDCAC362-5E58-4871-8A24-7239A5336BC1}</c15:txfldGUID>
                      <c15:f>RigScheduleTest!$V$10</c15:f>
                      <c15:dlblFieldTableCache>
                        <c:ptCount val="1"/>
                        <c:pt idx="0">
                          <c:v>RA-0582-UB-NW-Prod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RigScheduleTest!$V$11</c:f>
                  <c:strCache>
                    <c:ptCount val="1"/>
                    <c:pt idx="0">
                      <c:v>SA1-MA-NW-Prod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{2FF612CF-3C88-4FF7-8BC9-6BAA4647B3D4}</c15:txfldGUID>
                      <c15:f>RigScheduleTest!$V$11</c15:f>
                      <c15:dlblFieldTableCache>
                        <c:ptCount val="1"/>
                        <c:pt idx="0">
                          <c:v>SA1-MA-NW-Prod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RigScheduleTest!$V$12</c:f>
                  <c:strCache>
                    <c:ptCount val="1"/>
                    <c:pt idx="0">
                      <c:v>RA-0166-MA-ST-Prod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{960EC389-15C9-4B06-ADFE-3EAAD0E53562}</c15:txfldGUID>
                      <c15:f>RigScheduleTest!$V$12</c15:f>
                      <c15:dlblFieldTableCache>
                        <c:ptCount val="1"/>
                        <c:pt idx="0">
                          <c:v>RA-0166-MA-ST-Prod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RigScheduleTest!$V$13</c:f>
                  <c:strCache>
                    <c:ptCount val="1"/>
                    <c:pt idx="0">
                      <c:v>RA-0571-MA-NW-Prod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{73597EAB-E96D-439F-B4AF-3CBE6C21EF61}</c15:txfldGUID>
                      <c15:f>RigScheduleTest!$V$13</c15:f>
                      <c15:dlblFieldTableCache>
                        <c:ptCount val="1"/>
                        <c:pt idx="0">
                          <c:v>RA-0571-MA-NW-Prod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RigScheduleTest!$V$14</c:f>
                  <c:strCache>
                    <c:ptCount val="1"/>
                    <c:pt idx="0">
                      <c:v>SA21-MA-NW-Prod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{47F5B6CB-19DA-4A84-8FE5-F1168DC1597C}</c15:txfldGUID>
                      <c15:f>RigScheduleTest!$V$14</c15:f>
                      <c15:dlblFieldTableCache>
                        <c:ptCount val="1"/>
                        <c:pt idx="0">
                          <c:v>SA21-MA-NW-Prod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RigScheduleTest!$V$15</c:f>
                  <c:strCache>
                    <c:ptCount val="1"/>
                    <c:pt idx="0">
                      <c:v>SA-0590-LB-NW-Prod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{1B9539FF-5064-45FC-A1B0-24B66CB22F03}</c15:txfldGUID>
                      <c15:f>RigScheduleTest!$V$15</c15:f>
                      <c15:dlblFieldTableCache>
                        <c:ptCount val="1"/>
                        <c:pt idx="0">
                          <c:v>SA-0590-LB-NW-Prod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RigScheduleTest!$V$16</c:f>
                  <c:strCache>
                    <c:ptCount val="1"/>
                    <c:pt idx="0">
                      <c:v>SA-0557-MA-NW-Inj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{708251DC-E47C-4442-A7E3-67F949021BEF}</c15:txfldGUID>
                      <c15:f>RigScheduleTest!$V$16</c15:f>
                      <c15:dlblFieldTableCache>
                        <c:ptCount val="1"/>
                        <c:pt idx="0">
                          <c:v>SA-0557-MA-NW-Inj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RigScheduleTest!$V$17</c:f>
                  <c:strCache>
                    <c:ptCount val="1"/>
                    <c:pt idx="0">
                      <c:v>SA10-UB-NW-Inj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{7F746E04-F575-46C9-A9B9-DACF4162AB0C}</c15:txfldGUID>
                      <c15:f>RigScheduleTest!$V$17</c15:f>
                      <c15:dlblFieldTableCache>
                        <c:ptCount val="1"/>
                        <c:pt idx="0">
                          <c:v>SA10-UB-NW-Inj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RigScheduleTest!$V$18</c:f>
                  <c:strCache>
                    <c:ptCount val="1"/>
                    <c:pt idx="0">
                      <c:v>SA2-LB-NW-Prod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{AC584A9B-5E5A-4429-B55F-CAD5FEA831AF}</c15:txfldGUID>
                      <c15:f>RigScheduleTest!$V$18</c15:f>
                      <c15:dlblFieldTableCache>
                        <c:ptCount val="1"/>
                        <c:pt idx="0">
                          <c:v>SA2-LB-NW-Prod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RigScheduleTest!$V$19</c:f>
                  <c:strCache>
                    <c:ptCount val="1"/>
                    <c:pt idx="0">
                      <c:v>SA12-UB-NW-Prod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{DB087E12-F7E5-40E4-9037-B97FECE2B0FC}</c15:txfldGUID>
                      <c15:f>RigScheduleTest!$V$19</c15:f>
                      <c15:dlblFieldTableCache>
                        <c:ptCount val="1"/>
                        <c:pt idx="0">
                          <c:v>SA12-UB-NW-Prod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RigScheduleTest!$V$20</c:f>
                  <c:strCache>
                    <c:ptCount val="1"/>
                    <c:pt idx="0">
                      <c:v>RA12-LB-NW-Prod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{78C841DF-BD9B-44F0-8D91-1EF9053CC2F9}</c15:txfldGUID>
                      <c15:f>RigScheduleTest!$V$20</c15:f>
                      <c15:dlblFieldTableCache>
                        <c:ptCount val="1"/>
                        <c:pt idx="0">
                          <c:v>RA12-LB-NW-Prod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RigScheduleTest!$V$21</c:f>
                  <c:strCache>
                    <c:ptCount val="1"/>
                    <c:pt idx="0">
                      <c:v>SA4-MA-NW-Prod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{4DB96CC9-0957-433A-899F-6109A5B76785}</c15:txfldGUID>
                      <c15:f>RigScheduleTest!$V$21</c15:f>
                      <c15:dlblFieldTableCache>
                        <c:ptCount val="1"/>
                        <c:pt idx="0">
                          <c:v>SA4-MA-NW-Prod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RigScheduleTest!$V$22</c:f>
                  <c:strCache>
                    <c:ptCount val="1"/>
                    <c:pt idx="0">
                      <c:v>SA14-MA-ST-Inj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{3CCB4F17-2853-4910-9705-1907A2942248}</c15:txfldGUID>
                      <c15:f>RigScheduleTest!$V$22</c15:f>
                      <c15:dlblFieldTableCache>
                        <c:ptCount val="1"/>
                        <c:pt idx="0">
                          <c:v>SA14-MA-ST-Inj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RigScheduleTest!$Z$2:$Z$22</c:f>
              <c:numCache>
                <c:formatCode>General</c:formatCode>
                <c:ptCount val="21"/>
                <c:pt idx="0">
                  <c:v>0</c:v>
                </c:pt>
                <c:pt idx="1">
                  <c:v>70</c:v>
                </c:pt>
                <c:pt idx="2">
                  <c:v>49</c:v>
                </c:pt>
                <c:pt idx="3">
                  <c:v>0</c:v>
                </c:pt>
                <c:pt idx="4">
                  <c:v>98</c:v>
                </c:pt>
                <c:pt idx="5">
                  <c:v>98</c:v>
                </c:pt>
                <c:pt idx="6">
                  <c:v>70</c:v>
                </c:pt>
                <c:pt idx="7">
                  <c:v>98</c:v>
                </c:pt>
                <c:pt idx="8">
                  <c:v>70</c:v>
                </c:pt>
                <c:pt idx="9">
                  <c:v>70</c:v>
                </c:pt>
                <c:pt idx="10">
                  <c:v>56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49</c:v>
                </c:pt>
              </c:numCache>
            </c:numRef>
          </c:val>
        </c:ser>
        <c:ser>
          <c:idx val="11"/>
          <c:order val="11"/>
          <c:tx>
            <c:strRef>
              <c:f>RigScheduleTest!$AA$1</c:f>
              <c:strCache>
                <c:ptCount val="1"/>
                <c:pt idx="0">
                  <c:v>Next Well 4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RigScheduleTest!$AA$2:$AA$22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3"/>
          <c:order val="12"/>
          <c:tx>
            <c:strRef>
              <c:f>RigScheduleTest!$AC$1</c:f>
              <c:strCache>
                <c:ptCount val="1"/>
                <c:pt idx="0">
                  <c:v>Rig Move Days 4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RigScheduleTest!$AC$2:$AC$22</c:f>
              <c:numCache>
                <c:formatCode>0.00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</c:numCache>
            </c:numRef>
          </c:val>
        </c:ser>
        <c:ser>
          <c:idx val="12"/>
          <c:order val="13"/>
          <c:tx>
            <c:strRef>
              <c:f>RigScheduleTest!$AF$1</c:f>
              <c:strCache>
                <c:ptCount val="1"/>
                <c:pt idx="0">
                  <c:v>Planned Days by Well Type 4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Lbls>
            <c:dLbl>
              <c:idx val="0"/>
              <c:layout/>
              <c:tx>
                <c:strRef>
                  <c:f>RigScheduleTest!$AB$2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{507BE37E-4B01-41C7-BC22-435A3561A3B5}</c15:txfldGUID>
                      <c15:f>RigScheduleTest!$AB$2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RigScheduleTest!$AB$3</c:f>
                  <c:strCache>
                    <c:ptCount val="1"/>
                    <c:pt idx="0">
                      <c:v>SA-0142-MA-ST-Prod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{E6BF6320-46CC-41ED-9A34-47B17707A607}</c15:txfldGUID>
                      <c15:f>RigScheduleTest!$AB$3</c15:f>
                      <c15:dlblFieldTableCache>
                        <c:ptCount val="1"/>
                        <c:pt idx="0">
                          <c:v>SA-0142-MA-ST-Prod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RigScheduleTest!$AB$4</c:f>
                  <c:strCache>
                    <c:ptCount val="1"/>
                    <c:pt idx="0">
                      <c:v>SA17-MA-NW-Prod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{EE174649-58F9-4985-81D1-C094A014CC92}</c15:txfldGUID>
                      <c15:f>RigScheduleTest!$AB$4</c15:f>
                      <c15:dlblFieldTableCache>
                        <c:ptCount val="1"/>
                        <c:pt idx="0">
                          <c:v>SA17-MA-NW-Prod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RigScheduleTest!$AB$5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{0495CA43-BB8F-40BF-923F-84DCE541F102}</c15:txfldGUID>
                      <c15:f>RigScheduleTest!$AB$5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RigScheduleTest!$AB$6</c:f>
                  <c:strCache>
                    <c:ptCount val="1"/>
                    <c:pt idx="0">
                      <c:v>Rig-mov-exploration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{2076ABC3-B911-4658-89CF-0EDE5288F03E}</c15:txfldGUID>
                      <c15:f>RigScheduleTest!$AB$6</c15:f>
                      <c15:dlblFieldTableCache>
                        <c:ptCount val="1"/>
                        <c:pt idx="0">
                          <c:v>Rig-mov-exploration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RigScheduleTest!$AB$7</c:f>
                  <c:strCache>
                    <c:ptCount val="1"/>
                    <c:pt idx="0">
                      <c:v>SA18-MA-NW-Inj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{3C086791-1A5A-4F67-9710-D1F1243BAD53}</c15:txfldGUID>
                      <c15:f>RigScheduleTest!$AB$7</c15:f>
                      <c15:dlblFieldTableCache>
                        <c:ptCount val="1"/>
                        <c:pt idx="0">
                          <c:v>SA18-MA-NW-Inj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RigScheduleTest!$AB$8</c:f>
                  <c:strCache>
                    <c:ptCount val="1"/>
                    <c:pt idx="0">
                      <c:v>RA19-ZU-NW-Prod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{77D1175F-692F-49F5-9170-FDA87F1BDFDA}</c15:txfldGUID>
                      <c15:f>RigScheduleTest!$AB$8</c15:f>
                      <c15:dlblFieldTableCache>
                        <c:ptCount val="1"/>
                        <c:pt idx="0">
                          <c:v>RA19-ZU-NW-Prod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RigScheduleTest!$AB$9</c:f>
                  <c:strCache>
                    <c:ptCount val="1"/>
                    <c:pt idx="0">
                      <c:v>SA19-MA-NW-Prod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{12B41E84-F7DA-419E-8CFA-16679444C357}</c15:txfldGUID>
                      <c15:f>RigScheduleTest!$AB$9</c15:f>
                      <c15:dlblFieldTableCache>
                        <c:ptCount val="1"/>
                        <c:pt idx="0">
                          <c:v>SA19-MA-NW-Prod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RigScheduleTest!$AB$10</c:f>
                  <c:strCache>
                    <c:ptCount val="1"/>
                    <c:pt idx="0">
                      <c:v>RA4-MA-Prod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{146DBBF7-C529-4568-98CA-37804850F07F}</c15:txfldGUID>
                      <c15:f>RigScheduleTest!$AB$10</c15:f>
                      <c15:dlblFieldTableCache>
                        <c:ptCount val="1"/>
                        <c:pt idx="0">
                          <c:v>RA4-MA-Prod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RigScheduleTest!$AB$11</c:f>
                  <c:strCache>
                    <c:ptCount val="1"/>
                    <c:pt idx="0">
                      <c:v>Rig-Exp-13Jan2016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{F321ECF6-A442-40C6-9BF1-C32CF04DCF14}</c15:txfldGUID>
                      <c15:f>RigScheduleTest!$AB$11</c15:f>
                      <c15:dlblFieldTableCache>
                        <c:ptCount val="1"/>
                        <c:pt idx="0">
                          <c:v>Rig-Exp-13Jan2016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RigScheduleTest!$AB$12</c:f>
                  <c:strCache>
                    <c:ptCount val="1"/>
                    <c:pt idx="0">
                      <c:v>Rig-Exp14Feb2016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{AFC0940F-2A0C-4C39-8035-1220C74E837A}</c15:txfldGUID>
                      <c15:f>RigScheduleTest!$AB$12</c15:f>
                      <c15:dlblFieldTableCache>
                        <c:ptCount val="1"/>
                        <c:pt idx="0">
                          <c:v>Rig-Exp14Feb2016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RigScheduleTest!$AB$13</c:f>
                  <c:strCache>
                    <c:ptCount val="1"/>
                    <c:pt idx="0">
                      <c:v>RA22-UB-NW-Prod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{ACCF5FDE-622E-4268-8E39-62DC2E389ED8}</c15:txfldGUID>
                      <c15:f>RigScheduleTest!$AB$13</c15:f>
                      <c15:dlblFieldTableCache>
                        <c:ptCount val="1"/>
                        <c:pt idx="0">
                          <c:v>RA22-UB-NW-Prod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RigScheduleTest!$AB$14</c:f>
                  <c:strCache>
                    <c:ptCount val="1"/>
                    <c:pt idx="0">
                      <c:v>SA40-MA-NW-Prod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{60233DAD-FF84-4B81-A748-5D44ED35C903}</c15:txfldGUID>
                      <c15:f>RigScheduleTest!$AB$14</c15:f>
                      <c15:dlblFieldTableCache>
                        <c:ptCount val="1"/>
                        <c:pt idx="0">
                          <c:v>SA40-MA-NW-Prod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RigScheduleTest!$AB$15</c:f>
                  <c:strCache>
                    <c:ptCount val="1"/>
                    <c:pt idx="0">
                      <c:v>RA11-MA-NW-Prod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{7766C903-5278-48A2-980A-2CB329E9C755}</c15:txfldGUID>
                      <c15:f>RigScheduleTest!$AB$15</c15:f>
                      <c15:dlblFieldTableCache>
                        <c:ptCount val="1"/>
                        <c:pt idx="0">
                          <c:v>RA11-MA-NW-Prod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RigScheduleTest!$AB$16</c:f>
                  <c:strCache>
                    <c:ptCount val="1"/>
                    <c:pt idx="0">
                      <c:v>SA-0560-MA-NW-Inj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{8109B808-A8B1-4273-B7B1-51F73326E820}</c15:txfldGUID>
                      <c15:f>RigScheduleTest!$AB$16</c15:f>
                      <c15:dlblFieldTableCache>
                        <c:ptCount val="1"/>
                        <c:pt idx="0">
                          <c:v>SA-0560-MA-NW-Inj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RigScheduleTest!$AB$17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{27023B6B-E8B0-48EA-B5BC-BFC54E573CCA}</c15:txfldGUID>
                      <c15:f>RigScheduleTest!$AB$17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RigScheduleTest!$AB$18</c:f>
                  <c:strCache>
                    <c:ptCount val="1"/>
                    <c:pt idx="0">
                      <c:v>SA3-LB-Prod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{B4195E09-3A94-4ED3-85B1-F78526CD4B24}</c15:txfldGUID>
                      <c15:f>RigScheduleTest!$AB$18</c15:f>
                      <c15:dlblFieldTableCache>
                        <c:ptCount val="1"/>
                        <c:pt idx="0">
                          <c:v>SA3-LB-Prod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RigScheduleTest!$AB$19</c:f>
                  <c:strCache>
                    <c:ptCount val="1"/>
                    <c:pt idx="0">
                      <c:v>SA25-MA-NW-Prod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{004F4E62-BF97-4139-83FB-2C117FAD9602}</c15:txfldGUID>
                      <c15:f>RigScheduleTest!$AB$19</c15:f>
                      <c15:dlblFieldTableCache>
                        <c:ptCount val="1"/>
                        <c:pt idx="0">
                          <c:v>SA25-MA-NW-Prod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RigScheduleTest!$AB$20</c:f>
                  <c:strCache>
                    <c:ptCount val="1"/>
                    <c:pt idx="0">
                      <c:v>SA26-MA-NW-Prod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{C8323F56-0AB3-42CD-A3F5-BFA55FE056E4}</c15:txfldGUID>
                      <c15:f>RigScheduleTest!$AB$20</c15:f>
                      <c15:dlblFieldTableCache>
                        <c:ptCount val="1"/>
                        <c:pt idx="0">
                          <c:v>SA26-MA-NW-Prod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RigScheduleTest!$AB$21</c:f>
                  <c:strCache>
                    <c:ptCount val="1"/>
                    <c:pt idx="0">
                      <c:v>SA13-MA-NW-Prod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{193EDDD8-EE2B-4B67-ABBD-95FD262C84B3}</c15:txfldGUID>
                      <c15:f>RigScheduleTest!$AB$21</c15:f>
                      <c15:dlblFieldTableCache>
                        <c:ptCount val="1"/>
                        <c:pt idx="0">
                          <c:v>SA13-MA-NW-Prod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RigScheduleTest!$AB$22</c:f>
                  <c:strCache>
                    <c:ptCount val="1"/>
                    <c:pt idx="0">
                      <c:v>SA27-MA-NW-Prod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{AE21B97A-BC50-41A7-A2C2-C582FA55C336}</c15:txfldGUID>
                      <c15:f>RigScheduleTest!$AB$22</c15:f>
                      <c15:dlblFieldTableCache>
                        <c:ptCount val="1"/>
                        <c:pt idx="0">
                          <c:v>SA27-MA-NW-Prod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RigScheduleTest!$AF$2:$AF$22</c:f>
              <c:numCache>
                <c:formatCode>General</c:formatCode>
                <c:ptCount val="21"/>
                <c:pt idx="0">
                  <c:v>0</c:v>
                </c:pt>
                <c:pt idx="1">
                  <c:v>56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63</c:v>
                </c:pt>
                <c:pt idx="6">
                  <c:v>98</c:v>
                </c:pt>
                <c:pt idx="7">
                  <c:v>70</c:v>
                </c:pt>
                <c:pt idx="8">
                  <c:v>70</c:v>
                </c:pt>
                <c:pt idx="9">
                  <c:v>0</c:v>
                </c:pt>
                <c:pt idx="10">
                  <c:v>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</c:numCache>
            </c:numRef>
          </c:val>
        </c:ser>
        <c:ser>
          <c:idx val="14"/>
          <c:order val="14"/>
          <c:tx>
            <c:strRef>
              <c:f>RigScheduleTest!$AG$1</c:f>
              <c:strCache>
                <c:ptCount val="1"/>
                <c:pt idx="0">
                  <c:v>Next Well 5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RigScheduleTest!$AG$2:$AG$22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RigScheduleTest!$AI$1</c:f>
              <c:strCache>
                <c:ptCount val="1"/>
                <c:pt idx="0">
                  <c:v>Rig Move Days 5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RigScheduleTest!$AI$2:$AI$22</c:f>
              <c:numCache>
                <c:formatCode>0.00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0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</c:numCache>
            </c:numRef>
          </c:val>
        </c:ser>
        <c:ser>
          <c:idx val="16"/>
          <c:order val="16"/>
          <c:tx>
            <c:strRef>
              <c:f>RigScheduleTest!$AL$1</c:f>
              <c:strCache>
                <c:ptCount val="1"/>
                <c:pt idx="0">
                  <c:v>Planned Days by Well Type 5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Lbls>
            <c:dLbl>
              <c:idx val="0"/>
              <c:layout/>
              <c:tx>
                <c:strRef>
                  <c:f>RigScheduleTest!$AH$2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{2A4E7315-914B-4506-A100-18A60FF80519}</c15:txfldGUID>
                      <c15:f>RigScheduleTest!$AH$2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RigScheduleTest!$AH$3</c:f>
                  <c:strCache>
                    <c:ptCount val="1"/>
                    <c:pt idx="0">
                      <c:v>SA15-MA-ST-Inj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{F3C0E76F-B43B-47D0-9A75-35987B48CAD3}</c15:txfldGUID>
                      <c15:f>RigScheduleTest!$AH$3</c15:f>
                      <c15:dlblFieldTableCache>
                        <c:ptCount val="1"/>
                        <c:pt idx="0">
                          <c:v>SA15-MA-ST-Inj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RigScheduleTest!$AH$4</c:f>
                  <c:strCache>
                    <c:ptCount val="1"/>
                    <c:pt idx="0">
                      <c:v>RA17-MA-NW-Inj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{07364200-0BC1-4AD3-B58B-79989515B813}</c15:txfldGUID>
                      <c15:f>RigScheduleTest!$AH$4</c15:f>
                      <c15:dlblFieldTableCache>
                        <c:ptCount val="1"/>
                        <c:pt idx="0">
                          <c:v>RA17-MA-NW-Inj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RigScheduleTest!$AH$5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{32715269-8BD3-4308-8224-5CA7D7EDE6F6}</c15:txfldGUID>
                      <c15:f>RigScheduleTest!$AH$5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RigScheduleTest!$AH$6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{56A85DE4-4BFE-4B76-8B63-0C3D0A2104AB}</c15:txfldGUID>
                      <c15:f>RigScheduleTest!$AH$6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RigScheduleTest!$AH$7</c:f>
                  <c:strCache>
                    <c:ptCount val="1"/>
                    <c:pt idx="0">
                      <c:v>RA18-LB-NW-Prod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{6445BA7D-229F-49F1-8AB8-B838949505D1}</c15:txfldGUID>
                      <c15:f>RigScheduleTest!$AH$7</c15:f>
                      <c15:dlblFieldTableCache>
                        <c:ptCount val="1"/>
                        <c:pt idx="0">
                          <c:v>RA18-LB-NW-Prod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RigScheduleTest!$AH$8</c:f>
                  <c:strCache>
                    <c:ptCount val="1"/>
                    <c:pt idx="0">
                      <c:v>SA47-MA-NW-Inj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{ADF86610-4E10-4179-90AB-D929C8C363F0}</c15:txfldGUID>
                      <c15:f>RigScheduleTest!$AH$8</c15:f>
                      <c15:dlblFieldTableCache>
                        <c:ptCount val="1"/>
                        <c:pt idx="0">
                          <c:v>SA47-MA-NW-Inj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RigScheduleTest!$AH$9</c:f>
                  <c:strCache>
                    <c:ptCount val="1"/>
                    <c:pt idx="0">
                      <c:v>RA20-LB-NW-Prod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{1EEC672F-7F60-4938-A4A5-B61650C369AF}</c15:txfldGUID>
                      <c15:f>RigScheduleTest!$AH$9</c15:f>
                      <c15:dlblFieldTableCache>
                        <c:ptCount val="1"/>
                        <c:pt idx="0">
                          <c:v>RA20-LB-NW-Prod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RigScheduleTest!$AH$10</c:f>
                  <c:strCache>
                    <c:ptCount val="1"/>
                    <c:pt idx="0">
                      <c:v>SA20-MA-NW-Prod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{A520176F-D1C4-4781-B727-AF65939AD870}</c15:txfldGUID>
                      <c15:f>RigScheduleTest!$AH$10</c15:f>
                      <c15:dlblFieldTableCache>
                        <c:ptCount val="1"/>
                        <c:pt idx="0">
                          <c:v>SA20-MA-NW-Prod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RigScheduleTest!$AH$11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{59F9580A-B457-4E7D-A6D4-8CC8809C8B89}</c15:txfldGUID>
                      <c15:f>RigScheduleTest!$AH$11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RigScheduleTest!$AH$12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{D89BEED1-AF90-4B88-97EA-23B4457A883A}</c15:txfldGUID>
                      <c15:f>RigScheduleTest!$AH$12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RigScheduleTest!$AH$13</c:f>
                  <c:strCache>
                    <c:ptCount val="1"/>
                    <c:pt idx="0">
                      <c:v>SA49-UB-NW-Inj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{C4B30637-0D59-44B2-8A38-86717E4A92C2}</c15:txfldGUID>
                      <c15:f>RigScheduleTest!$AH$13</c15:f>
                      <c15:dlblFieldTableCache>
                        <c:ptCount val="1"/>
                        <c:pt idx="0">
                          <c:v>SA49-UB-NW-Inj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RigScheduleTest!$AH$14</c:f>
                  <c:strCache>
                    <c:ptCount val="1"/>
                    <c:pt idx="0">
                      <c:v>RA29-MA-NW-Inj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{4EF4AD34-BE68-462A-ACD4-4974B521AF89}</c15:txfldGUID>
                      <c15:f>RigScheduleTest!$AH$14</c15:f>
                      <c15:dlblFieldTableCache>
                        <c:ptCount val="1"/>
                        <c:pt idx="0">
                          <c:v>RA29-MA-NW-Inj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RigScheduleTest!$AH$15</c:f>
                  <c:strCache>
                    <c:ptCount val="1"/>
                    <c:pt idx="0">
                      <c:v>SA22-MA-NW-Prod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{5BADCD62-3FD6-48D0-8795-63794F0AFCCF}</c15:txfldGUID>
                      <c15:f>RigScheduleTest!$AH$15</c15:f>
                      <c15:dlblFieldTableCache>
                        <c:ptCount val="1"/>
                        <c:pt idx="0">
                          <c:v>SA22-MA-NW-Prod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RigScheduleTest!$AH$16</c:f>
                  <c:strCache>
                    <c:ptCount val="1"/>
                    <c:pt idx="0">
                      <c:v>RA23-MA-ST-Inj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{AF18830B-D7BA-476F-B4D6-51401605C483}</c15:txfldGUID>
                      <c15:f>RigScheduleTest!$AH$16</c15:f>
                      <c15:dlblFieldTableCache>
                        <c:ptCount val="1"/>
                        <c:pt idx="0">
                          <c:v>RA23-MA-ST-Inj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RigScheduleTest!$AH$17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{592655B5-C619-4C5A-B4CA-00CDBE137222}</c15:txfldGUID>
                      <c15:f>RigScheduleTest!$AH$17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RigScheduleTest!$AH$18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{104E2729-7E3B-4150-8464-416B8CA33331}</c15:txfldGUID>
                      <c15:f>RigScheduleTest!$AH$18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RigScheduleTest!$AH$19</c:f>
                  <c:strCache>
                    <c:ptCount val="1"/>
                    <c:pt idx="0">
                      <c:v>SA43-MA-NW-Prod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{707B495F-D176-447D-949C-200724EEB361}</c15:txfldGUID>
                      <c15:f>RigScheduleTest!$AH$19</c15:f>
                      <c15:dlblFieldTableCache>
                        <c:ptCount val="1"/>
                        <c:pt idx="0">
                          <c:v>SA43-MA-NW-Prod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RigScheduleTest!$AH$20</c:f>
                  <c:strCache>
                    <c:ptCount val="1"/>
                    <c:pt idx="0">
                      <c:v>SA44-MA-NW-Prod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{5C22D992-5BFA-4E01-B3E4-23E768DB9797}</c15:txfldGUID>
                      <c15:f>RigScheduleTest!$AH$20</c15:f>
                      <c15:dlblFieldTableCache>
                        <c:ptCount val="1"/>
                        <c:pt idx="0">
                          <c:v>SA44-MA-NW-Prod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RigScheduleTest!$AH$21</c:f>
                  <c:strCache>
                    <c:ptCount val="1"/>
                    <c:pt idx="0">
                      <c:v>RA16-MA-NW-Inj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{E0AA3ADC-7204-432D-B02E-51307BFE4339}</c15:txfldGUID>
                      <c15:f>RigScheduleTest!$AH$21</c15:f>
                      <c15:dlblFieldTableCache>
                        <c:ptCount val="1"/>
                        <c:pt idx="0">
                          <c:v>RA16-MA-NW-Inj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RigScheduleTest!$AH$22</c:f>
                  <c:strCache>
                    <c:ptCount val="1"/>
                    <c:pt idx="0">
                      <c:v>RA24-MA-NW-Inj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{1BA652AB-6BD0-4AED-BFC6-13E004A1CBC9}</c15:txfldGUID>
                      <c15:f>RigScheduleTest!$AH$22</c15:f>
                      <c15:dlblFieldTableCache>
                        <c:ptCount val="1"/>
                        <c:pt idx="0">
                          <c:v>RA24-MA-NW-Inj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RigScheduleTest!$AL$2:$AL$22</c:f>
              <c:numCache>
                <c:formatCode>General</c:formatCode>
                <c:ptCount val="21"/>
                <c:pt idx="0">
                  <c:v>0</c:v>
                </c:pt>
                <c:pt idx="1">
                  <c:v>49</c:v>
                </c:pt>
                <c:pt idx="2">
                  <c:v>63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  <c:pt idx="6">
                  <c:v>63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0</c:v>
                </c:pt>
                <c:pt idx="11">
                  <c:v>70</c:v>
                </c:pt>
                <c:pt idx="12">
                  <c:v>63</c:v>
                </c:pt>
                <c:pt idx="13">
                  <c:v>70</c:v>
                </c:pt>
                <c:pt idx="14">
                  <c:v>49</c:v>
                </c:pt>
                <c:pt idx="15">
                  <c:v>0</c:v>
                </c:pt>
                <c:pt idx="16">
                  <c:v>0</c:v>
                </c:pt>
                <c:pt idx="17">
                  <c:v>70</c:v>
                </c:pt>
                <c:pt idx="18">
                  <c:v>70</c:v>
                </c:pt>
                <c:pt idx="19">
                  <c:v>63</c:v>
                </c:pt>
                <c:pt idx="20">
                  <c:v>63</c:v>
                </c:pt>
              </c:numCache>
            </c:numRef>
          </c:val>
        </c:ser>
        <c:ser>
          <c:idx val="17"/>
          <c:order val="17"/>
          <c:tx>
            <c:strRef>
              <c:f>RigScheduleTest!$AM$1</c:f>
              <c:strCache>
                <c:ptCount val="1"/>
                <c:pt idx="0">
                  <c:v>Next Well 6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RigScheduleTest!$AM$2:$AM$22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8"/>
          <c:order val="18"/>
          <c:tx>
            <c:strRef>
              <c:f>RigScheduleTest!$AO$1</c:f>
              <c:strCache>
                <c:ptCount val="1"/>
                <c:pt idx="0">
                  <c:v>Rig Move Days 6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3A3838"/>
              </a:solidFill>
              <a:ln>
                <a:solidFill>
                  <a:srgbClr val="3A3838"/>
                </a:solidFill>
                <a:prstDash val="solid"/>
              </a:ln>
            </c:spPr>
          </c:dPt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RigScheduleTest!$AO$2:$AO$22</c:f>
              <c:numCache>
                <c:formatCode>0.00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</c:numCache>
            </c:numRef>
          </c:val>
        </c:ser>
        <c:ser>
          <c:idx val="19"/>
          <c:order val="19"/>
          <c:tx>
            <c:strRef>
              <c:f>RigScheduleTest!$AR$1</c:f>
              <c:strCache>
                <c:ptCount val="1"/>
                <c:pt idx="0">
                  <c:v>Planned Days by Well Type 6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548235"/>
              </a:solidFill>
              <a:ln>
                <a:solidFill>
                  <a:srgbClr val="548235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2F75B5"/>
              </a:solidFill>
              <a:ln>
                <a:solidFill>
                  <a:srgbClr val="2F75B5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dPt>
          <c:dLbls>
            <c:dLbl>
              <c:idx val="0"/>
              <c:layout/>
              <c:tx>
                <c:strRef>
                  <c:f>RigScheduleTest!$AN$2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{61E7ADE3-88FD-4181-AB62-A88E80A9781C}</c15:txfldGUID>
                      <c15:f>RigScheduleTest!$AN$2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RigScheduleTest!$AN$3</c:f>
                  <c:strCache>
                    <c:ptCount val="1"/>
                    <c:pt idx="0">
                      <c:v>SA28-MA-NW-Prod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{DA049E4C-A42C-4056-8FD0-09636536AE10}</c15:txfldGUID>
                      <c15:f>RigScheduleTest!$AN$3</c15:f>
                      <c15:dlblFieldTableCache>
                        <c:ptCount val="1"/>
                        <c:pt idx="0">
                          <c:v>SA28-MA-NW-Prod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RigScheduleTest!$AN$4</c:f>
                  <c:strCache>
                    <c:ptCount val="1"/>
                    <c:pt idx="0">
                      <c:v>SA46-LB-NW-Prod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{C49D8628-0435-471A-8053-19149006895B}</c15:txfldGUID>
                      <c15:f>RigScheduleTest!$AN$4</c15:f>
                      <c15:dlblFieldTableCache>
                        <c:ptCount val="1"/>
                        <c:pt idx="0">
                          <c:v>SA46-LB-NW-Prod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RigScheduleTest!$AN$5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{5B88E69C-D7A1-437D-8E33-AA0134588D63}</c15:txfldGUID>
                      <c15:f>RigScheduleTest!$AN$5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RigScheduleTest!$AN$6</c:f>
                  <c:strCache>
                    <c:ptCount val="1"/>
                    <c:pt idx="0">
                      <c:v>SA29-RT-NW-Inj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{C762CE3B-353B-44F3-9B86-42A803FF51A2}</c15:txfldGUID>
                      <c15:f>RigScheduleTest!$AN$6</c15:f>
                      <c15:dlblFieldTableCache>
                        <c:ptCount val="1"/>
                        <c:pt idx="0">
                          <c:v>SA29-RT-NW-Inj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RigScheduleTest!$AN$7</c:f>
                  <c:strCache>
                    <c:ptCount val="1"/>
                    <c:pt idx="0">
                      <c:v>RA26-UB-NW-Prod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{5BC04896-6387-4523-985F-AD7AAC1F18B7}</c15:txfldGUID>
                      <c15:f>RigScheduleTest!$AN$7</c15:f>
                      <c15:dlblFieldTableCache>
                        <c:ptCount val="1"/>
                        <c:pt idx="0">
                          <c:v>RA26-UB-NW-Prod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RigScheduleTest!$AN$8</c:f>
                  <c:strCache>
                    <c:ptCount val="1"/>
                    <c:pt idx="0">
                      <c:v>RA35-LB-NW-Prod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{45712885-266E-4F8A-A7E2-EB42CD4948E7}</c15:txfldGUID>
                      <c15:f>RigScheduleTest!$AN$8</c15:f>
                      <c15:dlblFieldTableCache>
                        <c:ptCount val="1"/>
                        <c:pt idx="0">
                          <c:v>RA35-LB-NW-Prod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RigScheduleTest!$AN$9</c:f>
                  <c:strCache>
                    <c:ptCount val="1"/>
                    <c:pt idx="0">
                      <c:v>RA27-UB-NW-Prod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{32424C66-1C57-4574-B669-D00ADF790E96}</c15:txfldGUID>
                      <c15:f>RigScheduleTest!$AN$9</c15:f>
                      <c15:dlblFieldTableCache>
                        <c:ptCount val="1"/>
                        <c:pt idx="0">
                          <c:v>RA27-UB-NW-Prod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RigScheduleTest!$AN$10</c:f>
                  <c:strCache>
                    <c:ptCount val="1"/>
                    <c:pt idx="0">
                      <c:v>RA21-LB-NW-Prod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{B78E6CDC-035F-40A9-AC1D-E4503110B951}</c15:txfldGUID>
                      <c15:f>RigScheduleTest!$AN$10</c15:f>
                      <c15:dlblFieldTableCache>
                        <c:ptCount val="1"/>
                        <c:pt idx="0">
                          <c:v>RA21-LB-NW-Prod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RigScheduleTest!$AN$11</c:f>
                  <c:strCache>
                    <c:ptCount val="1"/>
                    <c:pt idx="0">
                      <c:v>RA14-UB-NW-Prod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{35589339-4495-4346-B314-440574565CD9}</c15:txfldGUID>
                      <c15:f>RigScheduleTest!$AN$11</c15:f>
                      <c15:dlblFieldTableCache>
                        <c:ptCount val="1"/>
                        <c:pt idx="0">
                          <c:v>RA14-UB-NW-Prod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RigScheduleTest!$AN$12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{69877708-7AED-4B76-815B-D0F244B4EAA2}</c15:txfldGUID>
                      <c15:f>RigScheduleTest!$AN$12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RigScheduleTest!$AN$13</c:f>
                  <c:strCache>
                    <c:ptCount val="1"/>
                    <c:pt idx="0">
                      <c:v>SA56-NW-Prod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{C3584549-8551-4BE8-A5EF-DBDAB63413B2}</c15:txfldGUID>
                      <c15:f>RigScheduleTest!$AN$13</c15:f>
                      <c15:dlblFieldTableCache>
                        <c:ptCount val="1"/>
                        <c:pt idx="0">
                          <c:v>SA56-NW-Prod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RigScheduleTest!$AN$14</c:f>
                  <c:strCache>
                    <c:ptCount val="1"/>
                    <c:pt idx="0">
                      <c:v>RA36-MA-NW-Prod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{0A454A5C-CD80-45BE-BFC8-E2503B704F63}</c15:txfldGUID>
                      <c15:f>RigScheduleTest!$AN$14</c15:f>
                      <c15:dlblFieldTableCache>
                        <c:ptCount val="1"/>
                        <c:pt idx="0">
                          <c:v>RA36-MA-NW-Prod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RigScheduleTest!$AN$15</c:f>
                  <c:strCache>
                    <c:ptCount val="1"/>
                    <c:pt idx="0">
                      <c:v>SA41-MA-NW-Prod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{DDE8F8BB-96CB-4E54-AD4D-E383DC45C73E}</c15:txfldGUID>
                      <c15:f>RigScheduleTest!$AN$15</c15:f>
                      <c15:dlblFieldTableCache>
                        <c:ptCount val="1"/>
                        <c:pt idx="0">
                          <c:v>SA41-MA-NW-Prod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RigScheduleTest!$AN$16</c:f>
                  <c:strCache>
                    <c:ptCount val="1"/>
                    <c:pt idx="0">
                      <c:v>SA-0563-UB-NW-Inj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{D4153F3F-4DDC-4637-A55B-986386DA9F02}</c15:txfldGUID>
                      <c15:f>RigScheduleTest!$AN$16</c15:f>
                      <c15:dlblFieldTableCache>
                        <c:ptCount val="1"/>
                        <c:pt idx="0">
                          <c:v>SA-0563-UB-NW-Inj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RigScheduleTest!$AN$17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{36EDCB86-C1F5-466D-8B2E-DCB6A08FE572}</c15:txfldGUID>
                      <c15:f>RigScheduleTest!$AN$17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RigScheduleTest!$AN$18</c:f>
                  <c:strCache>
                    <c:ptCount val="1"/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{F100F8E6-9F94-4B95-BB48-F596130F060A}</c15:txfldGUID>
                      <c15:f>RigScheduleTest!$AN$18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RigScheduleTest!$AN$19</c:f>
                  <c:strCache>
                    <c:ptCount val="1"/>
                    <c:pt idx="0">
                      <c:v>RA32-LB-NW-Prod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{2A4F5423-2CB3-43F6-8E3C-BA558D36F7AA}</c15:txfldGUID>
                      <c15:f>RigScheduleTest!$AN$19</c15:f>
                      <c15:dlblFieldTableCache>
                        <c:ptCount val="1"/>
                        <c:pt idx="0">
                          <c:v>RA32-LB-NW-Prod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RigScheduleTest!$AN$20</c:f>
                  <c:strCache>
                    <c:ptCount val="1"/>
                    <c:pt idx="0">
                      <c:v>RA33-LB-NW-Prod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{49C356DF-3247-4A3E-8563-23B0A2EA2A17}</c15:txfldGUID>
                      <c15:f>RigScheduleTest!$AN$20</c15:f>
                      <c15:dlblFieldTableCache>
                        <c:ptCount val="1"/>
                        <c:pt idx="0">
                          <c:v>RA33-LB-NW-Prod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RigScheduleTest!$AN$21</c:f>
                  <c:strCache>
                    <c:ptCount val="1"/>
                    <c:pt idx="0">
                      <c:v>SA45-ZU-NW-Prod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{7024C99D-3DAA-406F-B22C-75364F7E8AB0}</c15:txfldGUID>
                      <c15:f>RigScheduleTest!$AN$21</c15:f>
                      <c15:dlblFieldTableCache>
                        <c:ptCount val="1"/>
                        <c:pt idx="0">
                          <c:v>SA45-ZU-NW-Prod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RigScheduleTest!$AN$22</c:f>
                  <c:strCache>
                    <c:ptCount val="1"/>
                    <c:pt idx="0">
                      <c:v>RA34-ZU-NW-Inj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{BF243FD0-353A-49C5-88C3-0AEF7DFF9076}</c15:txfldGUID>
                      <c15:f>RigScheduleTest!$AN$22</c15:f>
                      <c15:dlblFieldTableCache>
                        <c:ptCount val="1"/>
                        <c:pt idx="0">
                          <c:v>RA34-ZU-NW-Inj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RigScheduleTest!$B$2:$C$22</c:f>
              <c:multiLvlStrCache>
                <c:ptCount val="21"/>
                <c:lvl>
                  <c:pt idx="0">
                    <c:v>RA-0179</c:v>
                  </c:pt>
                  <c:pt idx="1">
                    <c:v>RA-0561</c:v>
                  </c:pt>
                  <c:pt idx="2">
                    <c:v>SA-0495</c:v>
                  </c:pt>
                  <c:pt idx="4">
                    <c:v>ETA-OCT</c:v>
                  </c:pt>
                  <c:pt idx="5">
                    <c:v>SA-0587</c:v>
                  </c:pt>
                  <c:pt idx="6">
                    <c:v>RA-0590</c:v>
                  </c:pt>
                  <c:pt idx="7">
                    <c:v>SA-0166</c:v>
                  </c:pt>
                  <c:pt idx="8">
                    <c:v>RA-0577</c:v>
                  </c:pt>
                  <c:pt idx="9">
                    <c:v>RA-0592</c:v>
                  </c:pt>
                  <c:pt idx="10">
                    <c:v>RA-0046</c:v>
                  </c:pt>
                  <c:pt idx="11">
                    <c:v>RA-0573</c:v>
                  </c:pt>
                  <c:pt idx="12">
                    <c:v>SA-0248</c:v>
                  </c:pt>
                  <c:pt idx="13">
                    <c:v>RA-0564</c:v>
                  </c:pt>
                  <c:pt idx="14">
                    <c:v>RA-0580</c:v>
                  </c:pt>
                  <c:pt idx="15">
                    <c:v>SA-0599</c:v>
                  </c:pt>
                  <c:pt idx="16">
                    <c:v>SA-0580</c:v>
                  </c:pt>
                  <c:pt idx="17">
                    <c:v>SA-0137</c:v>
                  </c:pt>
                  <c:pt idx="18">
                    <c:v>SA-0152</c:v>
                  </c:pt>
                  <c:pt idx="19">
                    <c:v>SA-0582</c:v>
                  </c:pt>
                  <c:pt idx="20">
                    <c:v>SA-0610</c:v>
                  </c:pt>
                </c:lvl>
                <c:lvl>
                  <c:pt idx="0">
                    <c:v>BWD-130</c:v>
                  </c:pt>
                  <c:pt idx="1">
                    <c:v>KDC-25</c:v>
                  </c:pt>
                  <c:pt idx="2">
                    <c:v>KDC-26</c:v>
                  </c:pt>
                  <c:pt idx="3">
                    <c:v>KDC-28</c:v>
                  </c:pt>
                  <c:pt idx="4">
                    <c:v>KDC-44</c:v>
                  </c:pt>
                  <c:pt idx="5">
                    <c:v>KDC-49</c:v>
                  </c:pt>
                  <c:pt idx="6">
                    <c:v>NDSC-15</c:v>
                  </c:pt>
                  <c:pt idx="7">
                    <c:v>NDSC-16</c:v>
                  </c:pt>
                  <c:pt idx="8">
                    <c:v>NDSC-17</c:v>
                  </c:pt>
                  <c:pt idx="9">
                    <c:v>SP-158</c:v>
                  </c:pt>
                  <c:pt idx="10">
                    <c:v>SP-159</c:v>
                  </c:pt>
                  <c:pt idx="11">
                    <c:v>SP-185</c:v>
                  </c:pt>
                  <c:pt idx="12">
                    <c:v>SP-186</c:v>
                  </c:pt>
                  <c:pt idx="13">
                    <c:v>SP-266</c:v>
                  </c:pt>
                  <c:pt idx="14">
                    <c:v>SP-267</c:v>
                  </c:pt>
                  <c:pt idx="15">
                    <c:v>SP-279</c:v>
                  </c:pt>
                  <c:pt idx="16">
                    <c:v>SP-282</c:v>
                  </c:pt>
                  <c:pt idx="17">
                    <c:v>SP-283</c:v>
                  </c:pt>
                  <c:pt idx="18">
                    <c:v>SP-288</c:v>
                  </c:pt>
                  <c:pt idx="19">
                    <c:v>SP-294</c:v>
                  </c:pt>
                  <c:pt idx="20">
                    <c:v>SP-295</c:v>
                  </c:pt>
                </c:lvl>
              </c:multiLvlStrCache>
            </c:multiLvlStrRef>
          </c:cat>
          <c:val>
            <c:numRef>
              <c:f>RigScheduleTest!$AR$2:$AR$22</c:f>
              <c:numCache>
                <c:formatCode>General</c:formatCode>
                <c:ptCount val="21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0</c:v>
                </c:pt>
                <c:pt idx="11">
                  <c:v>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0</c:v>
                </c:pt>
                <c:pt idx="16">
                  <c:v>0</c:v>
                </c:pt>
                <c:pt idx="17">
                  <c:v>70</c:v>
                </c:pt>
                <c:pt idx="18">
                  <c:v>70</c:v>
                </c:pt>
                <c:pt idx="19">
                  <c:v>98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576073024"/>
        <c:axId val="576073416"/>
      </c:barChart>
      <c:catAx>
        <c:axId val="576073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 b="1"/>
                  <a:t>RIG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aseline="0"/>
            </a:pPr>
            <a:endParaRPr lang="en-US"/>
          </a:p>
        </c:txPr>
        <c:crossAx val="576073416"/>
        <c:crosses val="autoZero"/>
        <c:auto val="1"/>
        <c:lblAlgn val="ctr"/>
        <c:lblOffset val="100"/>
        <c:noMultiLvlLbl val="0"/>
      </c:catAx>
      <c:valAx>
        <c:axId val="576073416"/>
        <c:scaling>
          <c:orientation val="minMax"/>
          <c:min val="42233"/>
        </c:scaling>
        <c:delete val="0"/>
        <c:axPos val="b"/>
        <c:majorGridlines>
          <c:spPr>
            <a:ln w="6350"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aseline="0"/>
                  <a:t>Projected Spud to Rig Release Date</a:t>
                </a:r>
                <a:endParaRPr lang="en-US" sz="1100"/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low"/>
        <c:txPr>
          <a:bodyPr rot="2700000" vert="horz"/>
          <a:lstStyle/>
          <a:p>
            <a:pPr>
              <a:defRPr/>
            </a:pPr>
            <a:endParaRPr lang="en-US"/>
          </a:p>
        </c:txPr>
        <c:crossAx val="576073024"/>
        <c:crosses val="autoZero"/>
        <c:crossBetween val="between"/>
        <c:majorUnit val="3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NK Rig Count for RA &amp; SA Field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 w="25400">
              <a:noFill/>
            </a:ln>
          </c:spPr>
          <c:invertIfNegative val="0"/>
          <c:dPt>
            <c:idx val="2"/>
            <c:invertIfNegative val="0"/>
            <c:bubble3D val="0"/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10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11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cat>
            <c:numRef>
              <c:f>Sheet1!$A$27:$A$41</c:f>
              <c:numCache>
                <c:formatCode>mmm\-yy</c:formatCode>
                <c:ptCount val="15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  <c:pt idx="13">
                  <c:v>42125</c:v>
                </c:pt>
                <c:pt idx="14">
                  <c:v>42156</c:v>
                </c:pt>
              </c:numCache>
            </c:numRef>
          </c:cat>
          <c:val>
            <c:numRef>
              <c:f>Sheet1!$B$27:$B$41</c:f>
              <c:numCache>
                <c:formatCode>General</c:formatCode>
                <c:ptCount val="15"/>
                <c:pt idx="0">
                  <c:v>9</c:v>
                </c:pt>
                <c:pt idx="1">
                  <c:v>8.5</c:v>
                </c:pt>
                <c:pt idx="2">
                  <c:v>9.5</c:v>
                </c:pt>
                <c:pt idx="3">
                  <c:v>10</c:v>
                </c:pt>
                <c:pt idx="4">
                  <c:v>9.5</c:v>
                </c:pt>
                <c:pt idx="5">
                  <c:v>10</c:v>
                </c:pt>
                <c:pt idx="6">
                  <c:v>14</c:v>
                </c:pt>
                <c:pt idx="7">
                  <c:v>14</c:v>
                </c:pt>
                <c:pt idx="8">
                  <c:v>14.5</c:v>
                </c:pt>
                <c:pt idx="9">
                  <c:v>16</c:v>
                </c:pt>
                <c:pt idx="10">
                  <c:v>16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074592"/>
        <c:axId val="569266744"/>
      </c:barChart>
      <c:lineChart>
        <c:grouping val="standard"/>
        <c:varyColors val="0"/>
        <c:ser>
          <c:idx val="1"/>
          <c:order val="1"/>
          <c:tx>
            <c:v> Expected Average Rig Count</c:v>
          </c:tx>
          <c:spPr>
            <a:ln w="25400">
              <a:solidFill>
                <a:srgbClr val="33CCCC"/>
              </a:solidFill>
              <a:prstDash val="sysDash"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  <a:prstDash val="solid"/>
              </a:ln>
            </c:spPr>
          </c:marker>
          <c:val>
            <c:numRef>
              <c:f>Sheet1!$C$27:$C$41</c:f>
              <c:numCache>
                <c:formatCode>General</c:formatCode>
                <c:ptCount val="15"/>
                <c:pt idx="0">
                  <c:v>9</c:v>
                </c:pt>
                <c:pt idx="1">
                  <c:v>8.75</c:v>
                </c:pt>
                <c:pt idx="2">
                  <c:v>9</c:v>
                </c:pt>
                <c:pt idx="3">
                  <c:v>9.25</c:v>
                </c:pt>
                <c:pt idx="4">
                  <c:v>9.3000000000000007</c:v>
                </c:pt>
                <c:pt idx="5">
                  <c:v>9.4166666666666661</c:v>
                </c:pt>
                <c:pt idx="6">
                  <c:v>10.071428571428571</c:v>
                </c:pt>
                <c:pt idx="7">
                  <c:v>10.5625</c:v>
                </c:pt>
                <c:pt idx="8">
                  <c:v>11</c:v>
                </c:pt>
                <c:pt idx="9">
                  <c:v>11.5</c:v>
                </c:pt>
                <c:pt idx="10">
                  <c:v>11.909090909090908</c:v>
                </c:pt>
                <c:pt idx="11">
                  <c:v>12.166666666666666</c:v>
                </c:pt>
                <c:pt idx="12">
                  <c:v>12.666666666666666</c:v>
                </c:pt>
                <c:pt idx="13">
                  <c:v>13.291666666666666</c:v>
                </c:pt>
                <c:pt idx="14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074592"/>
        <c:axId val="569266744"/>
      </c:lineChart>
      <c:dateAx>
        <c:axId val="576074592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27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9266744"/>
        <c:crosses val="autoZero"/>
        <c:auto val="1"/>
        <c:lblOffset val="100"/>
        <c:baseTimeUnit val="days"/>
      </c:dateAx>
      <c:valAx>
        <c:axId val="569266744"/>
        <c:scaling>
          <c:orientation val="minMax"/>
          <c:min val="6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760745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overlay val="0"/>
      <c:spPr>
        <a:noFill/>
        <a:ln w="25400">
          <a:noFill/>
        </a:ln>
      </c:spPr>
      <c:txPr>
        <a:bodyPr/>
        <a:lstStyle/>
        <a:p>
          <a:pPr>
            <a:defRPr sz="69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NK 2014/15 AAP Well Count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MA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numRef>
              <c:f>Sheet1!$A$27:$A$29</c:f>
              <c:numCache>
                <c:formatCode>mmm\-yy</c:formatCode>
                <c:ptCount val="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</c:numCache>
            </c:numRef>
          </c:cat>
          <c:val>
            <c:numRef>
              <c:f>Sheet1!$D$27:$D$29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LB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cat>
            <c:numRef>
              <c:f>Sheet1!$A$27:$A$29</c:f>
              <c:numCache>
                <c:formatCode>mmm\-yy</c:formatCode>
                <c:ptCount val="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</c:numCache>
            </c:numRef>
          </c:cat>
          <c:val>
            <c:numRef>
              <c:f>Sheet1!$E$27:$E$29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Sheet1!$G$2</c:f>
              <c:strCache>
                <c:ptCount val="1"/>
                <c:pt idx="0">
                  <c:v>ZU / RT</c:v>
                </c:pt>
              </c:strCache>
            </c:strRef>
          </c:tx>
          <c:spPr>
            <a:solidFill>
              <a:srgbClr val="A5A5A5"/>
            </a:solidFill>
            <a:ln w="25400">
              <a:noFill/>
            </a:ln>
          </c:spPr>
          <c:invertIfNegative val="0"/>
          <c:cat>
            <c:numRef>
              <c:f>Sheet1!$A$27:$A$29</c:f>
              <c:numCache>
                <c:formatCode>mmm\-yy</c:formatCode>
                <c:ptCount val="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</c:numCache>
            </c:numRef>
          </c:cat>
          <c:val>
            <c:numRef>
              <c:f>Sheet1!$G$27:$G$29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69267528"/>
        <c:axId val="569267920"/>
      </c:barChart>
      <c:lineChart>
        <c:grouping val="standard"/>
        <c:varyColors val="0"/>
        <c:ser>
          <c:idx val="3"/>
          <c:order val="3"/>
          <c:tx>
            <c:v>Cumulative Well Count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val>
            <c:numRef>
              <c:f>Sheet1!$J$27:$J$29</c:f>
              <c:numCache>
                <c:formatCode>General</c:formatCode>
                <c:ptCount val="3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268312"/>
        <c:axId val="622593088"/>
      </c:lineChart>
      <c:dateAx>
        <c:axId val="569267528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9267920"/>
        <c:crosses val="autoZero"/>
        <c:auto val="1"/>
        <c:lblOffset val="100"/>
        <c:baseTimeUnit val="months"/>
      </c:dateAx>
      <c:valAx>
        <c:axId val="56926792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Monthly Well Count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9267528"/>
        <c:crosses val="autoZero"/>
        <c:crossBetween val="between"/>
      </c:valAx>
      <c:catAx>
        <c:axId val="569268312"/>
        <c:scaling>
          <c:orientation val="minMax"/>
        </c:scaling>
        <c:delete val="1"/>
        <c:axPos val="b"/>
        <c:majorTickMark val="out"/>
        <c:minorTickMark val="none"/>
        <c:tickLblPos val="nextTo"/>
        <c:crossAx val="622593088"/>
        <c:crosses val="autoZero"/>
        <c:auto val="1"/>
        <c:lblAlgn val="ctr"/>
        <c:lblOffset val="100"/>
        <c:noMultiLvlLbl val="0"/>
      </c:catAx>
      <c:valAx>
        <c:axId val="6225930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Well Count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9268312"/>
        <c:crosses val="max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940320892724229"/>
          <c:y val="0.88719640227898333"/>
          <c:w val="0.75266614061302028"/>
          <c:h val="6.402439024390238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Current Wells Drilling (Spud to RR)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strRef>
              <c:f>'Well Data-NK'!$A$132:$A$186</c:f>
              <c:strCache>
                <c:ptCount val="55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</c:strCache>
            </c:strRef>
          </c:cat>
          <c:val>
            <c:numRef>
              <c:f>'Well Data-NK'!$Q$132:$Q$186</c:f>
              <c:numCache>
                <c:formatCode>General</c:formatCode>
                <c:ptCount val="55"/>
                <c:pt idx="0">
                  <c:v>59.3958333</c:v>
                </c:pt>
                <c:pt idx="1">
                  <c:v>40.770829999999997</c:v>
                </c:pt>
                <c:pt idx="2">
                  <c:v>40.833333333335759</c:v>
                </c:pt>
                <c:pt idx="3">
                  <c:v>28.666666666664241</c:v>
                </c:pt>
                <c:pt idx="4">
                  <c:v>30.791666666664199</c:v>
                </c:pt>
                <c:pt idx="5">
                  <c:v>78.875</c:v>
                </c:pt>
                <c:pt idx="6">
                  <c:v>38</c:v>
                </c:pt>
                <c:pt idx="7">
                  <c:v>42.708333333328483</c:v>
                </c:pt>
                <c:pt idx="8">
                  <c:v>31.125</c:v>
                </c:pt>
                <c:pt idx="9">
                  <c:v>64.5</c:v>
                </c:pt>
                <c:pt idx="10">
                  <c:v>47.833333333335759</c:v>
                </c:pt>
                <c:pt idx="11">
                  <c:v>35.083333333328483</c:v>
                </c:pt>
                <c:pt idx="12">
                  <c:v>47.791666666664241</c:v>
                </c:pt>
                <c:pt idx="13">
                  <c:v>30.1875</c:v>
                </c:pt>
                <c:pt idx="14">
                  <c:v>52.083333333328483</c:v>
                </c:pt>
                <c:pt idx="15">
                  <c:v>27</c:v>
                </c:pt>
                <c:pt idx="16">
                  <c:v>48</c:v>
                </c:pt>
                <c:pt idx="17">
                  <c:v>57</c:v>
                </c:pt>
                <c:pt idx="18">
                  <c:v>52</c:v>
                </c:pt>
                <c:pt idx="19">
                  <c:v>47</c:v>
                </c:pt>
                <c:pt idx="20">
                  <c:v>97</c:v>
                </c:pt>
                <c:pt idx="21">
                  <c:v>56</c:v>
                </c:pt>
                <c:pt idx="22">
                  <c:v>44</c:v>
                </c:pt>
                <c:pt idx="23">
                  <c:v>64</c:v>
                </c:pt>
                <c:pt idx="24">
                  <c:v>37.583333333335759</c:v>
                </c:pt>
                <c:pt idx="25">
                  <c:v>52</c:v>
                </c:pt>
                <c:pt idx="26">
                  <c:v>66</c:v>
                </c:pt>
                <c:pt idx="27">
                  <c:v>159.47916666666424</c:v>
                </c:pt>
                <c:pt idx="28">
                  <c:v>77</c:v>
                </c:pt>
                <c:pt idx="29">
                  <c:v>39</c:v>
                </c:pt>
                <c:pt idx="30">
                  <c:v>51</c:v>
                </c:pt>
                <c:pt idx="31">
                  <c:v>43.479166666671517</c:v>
                </c:pt>
                <c:pt idx="32">
                  <c:v>67</c:v>
                </c:pt>
                <c:pt idx="33">
                  <c:v>54</c:v>
                </c:pt>
                <c:pt idx="34">
                  <c:v>33</c:v>
                </c:pt>
                <c:pt idx="35">
                  <c:v>74</c:v>
                </c:pt>
                <c:pt idx="36">
                  <c:v>42</c:v>
                </c:pt>
                <c:pt idx="37">
                  <c:v>67</c:v>
                </c:pt>
                <c:pt idx="38">
                  <c:v>45.125</c:v>
                </c:pt>
                <c:pt idx="39">
                  <c:v>52.791666666664241</c:v>
                </c:pt>
                <c:pt idx="40">
                  <c:v>81.958333333335759</c:v>
                </c:pt>
                <c:pt idx="41">
                  <c:v>59.6875</c:v>
                </c:pt>
                <c:pt idx="42">
                  <c:v>49.75</c:v>
                </c:pt>
                <c:pt idx="43">
                  <c:v>68</c:v>
                </c:pt>
                <c:pt idx="44">
                  <c:v>51.916666666664241</c:v>
                </c:pt>
                <c:pt idx="45">
                  <c:v>56.895833333328483</c:v>
                </c:pt>
                <c:pt idx="46">
                  <c:v>83.458333333335759</c:v>
                </c:pt>
                <c:pt idx="47">
                  <c:v>37</c:v>
                </c:pt>
                <c:pt idx="48">
                  <c:v>99</c:v>
                </c:pt>
                <c:pt idx="49">
                  <c:v>43.458333333335759</c:v>
                </c:pt>
                <c:pt idx="50">
                  <c:v>36.416666666671517</c:v>
                </c:pt>
                <c:pt idx="51">
                  <c:v>42.25</c:v>
                </c:pt>
                <c:pt idx="52">
                  <c:v>61.291666666664241</c:v>
                </c:pt>
                <c:pt idx="53">
                  <c:v>56.125</c:v>
                </c:pt>
                <c:pt idx="54">
                  <c:v>72.625</c:v>
                </c:pt>
              </c:numCache>
            </c:numRef>
          </c:val>
        </c:ser>
        <c:ser>
          <c:idx val="2"/>
          <c:order val="1"/>
          <c:spPr>
            <a:solidFill>
              <a:srgbClr val="A5A5A5"/>
            </a:solidFill>
            <a:ln w="25400">
              <a:noFill/>
            </a:ln>
          </c:spPr>
          <c:invertIfNegative val="0"/>
          <c:cat>
            <c:strRef>
              <c:f>'Well Data-NK'!$A$132:$A$186</c:f>
              <c:strCache>
                <c:ptCount val="55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</c:strCache>
            </c:strRef>
          </c:cat>
          <c:val>
            <c:numRef>
              <c:f>'Well Data-NK'!$S$132:$S$186</c:f>
              <c:numCache>
                <c:formatCode>General</c:formatCode>
                <c:ptCount val="55"/>
                <c:pt idx="0">
                  <c:v>70</c:v>
                </c:pt>
                <c:pt idx="1">
                  <c:v>56</c:v>
                </c:pt>
                <c:pt idx="2">
                  <c:v>56</c:v>
                </c:pt>
                <c:pt idx="3">
                  <c:v>49</c:v>
                </c:pt>
                <c:pt idx="4">
                  <c:v>49</c:v>
                </c:pt>
                <c:pt idx="5">
                  <c:v>70</c:v>
                </c:pt>
                <c:pt idx="6">
                  <c:v>49</c:v>
                </c:pt>
                <c:pt idx="7">
                  <c:v>56</c:v>
                </c:pt>
                <c:pt idx="8">
                  <c:v>49</c:v>
                </c:pt>
                <c:pt idx="9">
                  <c:v>56</c:v>
                </c:pt>
                <c:pt idx="10">
                  <c:v>49</c:v>
                </c:pt>
                <c:pt idx="11">
                  <c:v>49</c:v>
                </c:pt>
                <c:pt idx="12">
                  <c:v>70</c:v>
                </c:pt>
                <c:pt idx="13">
                  <c:v>49</c:v>
                </c:pt>
                <c:pt idx="14">
                  <c:v>56</c:v>
                </c:pt>
                <c:pt idx="15">
                  <c:v>49</c:v>
                </c:pt>
                <c:pt idx="16">
                  <c:v>70</c:v>
                </c:pt>
                <c:pt idx="17">
                  <c:v>49</c:v>
                </c:pt>
                <c:pt idx="18">
                  <c:v>56</c:v>
                </c:pt>
                <c:pt idx="19">
                  <c:v>70</c:v>
                </c:pt>
                <c:pt idx="20">
                  <c:v>98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98</c:v>
                </c:pt>
                <c:pt idx="28">
                  <c:v>56</c:v>
                </c:pt>
                <c:pt idx="29">
                  <c:v>49</c:v>
                </c:pt>
                <c:pt idx="30">
                  <c:v>70</c:v>
                </c:pt>
                <c:pt idx="31">
                  <c:v>49</c:v>
                </c:pt>
                <c:pt idx="32">
                  <c:v>70</c:v>
                </c:pt>
                <c:pt idx="33">
                  <c:v>56</c:v>
                </c:pt>
                <c:pt idx="34">
                  <c:v>49</c:v>
                </c:pt>
                <c:pt idx="35">
                  <c:v>49</c:v>
                </c:pt>
                <c:pt idx="36">
                  <c:v>56</c:v>
                </c:pt>
                <c:pt idx="37">
                  <c:v>49</c:v>
                </c:pt>
                <c:pt idx="38">
                  <c:v>56</c:v>
                </c:pt>
                <c:pt idx="39">
                  <c:v>56</c:v>
                </c:pt>
                <c:pt idx="40">
                  <c:v>70</c:v>
                </c:pt>
                <c:pt idx="41">
                  <c:v>98</c:v>
                </c:pt>
                <c:pt idx="42">
                  <c:v>70</c:v>
                </c:pt>
                <c:pt idx="43">
                  <c:v>70</c:v>
                </c:pt>
                <c:pt idx="44">
                  <c:v>56</c:v>
                </c:pt>
                <c:pt idx="45">
                  <c:v>70</c:v>
                </c:pt>
                <c:pt idx="46">
                  <c:v>98</c:v>
                </c:pt>
                <c:pt idx="47">
                  <c:v>0</c:v>
                </c:pt>
                <c:pt idx="48">
                  <c:v>70</c:v>
                </c:pt>
                <c:pt idx="49">
                  <c:v>63</c:v>
                </c:pt>
                <c:pt idx="50">
                  <c:v>56</c:v>
                </c:pt>
                <c:pt idx="51">
                  <c:v>70</c:v>
                </c:pt>
                <c:pt idx="52">
                  <c:v>49</c:v>
                </c:pt>
                <c:pt idx="53">
                  <c:v>70</c:v>
                </c:pt>
                <c:pt idx="54">
                  <c:v>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593872"/>
        <c:axId val="622594264"/>
      </c:barChart>
      <c:lineChart>
        <c:grouping val="standard"/>
        <c:varyColors val="0"/>
        <c:ser>
          <c:idx val="1"/>
          <c:order val="2"/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ED7D31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'Well Data-NK'!$A$132:$A$186</c:f>
              <c:strCache>
                <c:ptCount val="55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</c:strCache>
            </c:strRef>
          </c:cat>
          <c:val>
            <c:numRef>
              <c:f>'Well Data-NK'!$T$132:$T$186</c:f>
              <c:numCache>
                <c:formatCode>General</c:formatCode>
                <c:ptCount val="55"/>
                <c:pt idx="0">
                  <c:v>35</c:v>
                </c:pt>
                <c:pt idx="1">
                  <c:v>#N/A</c:v>
                </c:pt>
                <c:pt idx="2">
                  <c:v>27</c:v>
                </c:pt>
                <c:pt idx="3">
                  <c:v>25</c:v>
                </c:pt>
                <c:pt idx="4">
                  <c:v>25</c:v>
                </c:pt>
                <c:pt idx="5">
                  <c:v>33</c:v>
                </c:pt>
                <c:pt idx="6">
                  <c:v>25</c:v>
                </c:pt>
                <c:pt idx="7">
                  <c:v>27</c:v>
                </c:pt>
                <c:pt idx="8">
                  <c:v>25</c:v>
                </c:pt>
                <c:pt idx="9">
                  <c:v>#N/A</c:v>
                </c:pt>
                <c:pt idx="10">
                  <c:v>25</c:v>
                </c:pt>
                <c:pt idx="11">
                  <c:v>25</c:v>
                </c:pt>
                <c:pt idx="12">
                  <c:v>35</c:v>
                </c:pt>
                <c:pt idx="13">
                  <c:v>25</c:v>
                </c:pt>
                <c:pt idx="14">
                  <c:v>27</c:v>
                </c:pt>
                <c:pt idx="15">
                  <c:v>25</c:v>
                </c:pt>
                <c:pt idx="16">
                  <c:v>33</c:v>
                </c:pt>
                <c:pt idx="17">
                  <c:v>25</c:v>
                </c:pt>
                <c:pt idx="18">
                  <c:v>#N/A</c:v>
                </c:pt>
                <c:pt idx="19">
                  <c:v>33</c:v>
                </c:pt>
                <c:pt idx="20">
                  <c:v>75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35</c:v>
                </c:pt>
                <c:pt idx="25">
                  <c:v>33</c:v>
                </c:pt>
                <c:pt idx="26">
                  <c:v>33</c:v>
                </c:pt>
                <c:pt idx="27">
                  <c:v>75</c:v>
                </c:pt>
                <c:pt idx="28">
                  <c:v>27</c:v>
                </c:pt>
                <c:pt idx="29">
                  <c:v>25</c:v>
                </c:pt>
                <c:pt idx="30">
                  <c:v>35</c:v>
                </c:pt>
                <c:pt idx="31">
                  <c:v>25</c:v>
                </c:pt>
                <c:pt idx="32">
                  <c:v>33</c:v>
                </c:pt>
                <c:pt idx="33">
                  <c:v>27</c:v>
                </c:pt>
                <c:pt idx="34">
                  <c:v>25</c:v>
                </c:pt>
                <c:pt idx="35">
                  <c:v>25</c:v>
                </c:pt>
                <c:pt idx="36">
                  <c:v>27</c:v>
                </c:pt>
                <c:pt idx="37">
                  <c:v>25</c:v>
                </c:pt>
                <c:pt idx="38">
                  <c:v>27</c:v>
                </c:pt>
                <c:pt idx="39">
                  <c:v>27</c:v>
                </c:pt>
                <c:pt idx="40">
                  <c:v>35</c:v>
                </c:pt>
                <c:pt idx="41">
                  <c:v>75</c:v>
                </c:pt>
                <c:pt idx="42">
                  <c:v>35</c:v>
                </c:pt>
                <c:pt idx="43">
                  <c:v>35</c:v>
                </c:pt>
                <c:pt idx="44">
                  <c:v>27</c:v>
                </c:pt>
                <c:pt idx="45">
                  <c:v>35</c:v>
                </c:pt>
                <c:pt idx="46">
                  <c:v>75</c:v>
                </c:pt>
                <c:pt idx="47">
                  <c:v>#N/A</c:v>
                </c:pt>
                <c:pt idx="48">
                  <c:v>33</c:v>
                </c:pt>
                <c:pt idx="49">
                  <c:v>35</c:v>
                </c:pt>
                <c:pt idx="50">
                  <c:v>27</c:v>
                </c:pt>
                <c:pt idx="51">
                  <c:v>35</c:v>
                </c:pt>
                <c:pt idx="52">
                  <c:v>25</c:v>
                </c:pt>
                <c:pt idx="53">
                  <c:v>35</c:v>
                </c:pt>
                <c:pt idx="54">
                  <c:v>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593872"/>
        <c:axId val="622594264"/>
      </c:lineChart>
      <c:catAx>
        <c:axId val="62259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270000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22594264"/>
        <c:crosses val="autoZero"/>
        <c:auto val="1"/>
        <c:lblAlgn val="ctr"/>
        <c:lblOffset val="100"/>
        <c:tickLblSkip val="1"/>
        <c:noMultiLvlLbl val="0"/>
      </c:catAx>
      <c:valAx>
        <c:axId val="62259426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225938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sz="69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Well Lateral Length (04/01/2015</a:t>
            </a:r>
            <a:r>
              <a:rPr lang="en-US" baseline="0"/>
              <a:t> to current)</a:t>
            </a:r>
            <a:endParaRPr lang="en-US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strRef>
              <c:f>'Well Data-NK'!$A$132:$A$188</c:f>
              <c:strCache>
                <c:ptCount val="57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  <c:pt idx="55">
                  <c:v>RA-0566</c:v>
                </c:pt>
                <c:pt idx="56">
                  <c:v>SA-0164</c:v>
                </c:pt>
              </c:strCache>
            </c:strRef>
          </c:cat>
          <c:val>
            <c:numRef>
              <c:f>'Well Data-NK'!$W$132:$W$188</c:f>
              <c:numCache>
                <c:formatCode>General</c:formatCode>
                <c:ptCount val="57"/>
                <c:pt idx="0">
                  <c:v>1549</c:v>
                </c:pt>
                <c:pt idx="1">
                  <c:v>2103</c:v>
                </c:pt>
                <c:pt idx="2">
                  <c:v>2998</c:v>
                </c:pt>
                <c:pt idx="3">
                  <c:v>3251</c:v>
                </c:pt>
                <c:pt idx="4">
                  <c:v>4114</c:v>
                </c:pt>
                <c:pt idx="5">
                  <c:v>871</c:v>
                </c:pt>
                <c:pt idx="6">
                  <c:v>4335</c:v>
                </c:pt>
                <c:pt idx="7">
                  <c:v>5028</c:v>
                </c:pt>
                <c:pt idx="8">
                  <c:v>4842</c:v>
                </c:pt>
                <c:pt idx="9">
                  <c:v>0</c:v>
                </c:pt>
                <c:pt idx="10">
                  <c:v>2547</c:v>
                </c:pt>
                <c:pt idx="11">
                  <c:v>3726</c:v>
                </c:pt>
                <c:pt idx="12">
                  <c:v>3111</c:v>
                </c:pt>
                <c:pt idx="13">
                  <c:v>5000</c:v>
                </c:pt>
                <c:pt idx="14">
                  <c:v>5335</c:v>
                </c:pt>
                <c:pt idx="15">
                  <c:v>2194</c:v>
                </c:pt>
                <c:pt idx="16">
                  <c:v>2</c:v>
                </c:pt>
                <c:pt idx="17">
                  <c:v>7440</c:v>
                </c:pt>
                <c:pt idx="18">
                  <c:v>2057</c:v>
                </c:pt>
                <c:pt idx="19">
                  <c:v>580</c:v>
                </c:pt>
                <c:pt idx="20">
                  <c:v>696</c:v>
                </c:pt>
                <c:pt idx="21">
                  <c:v>4849</c:v>
                </c:pt>
                <c:pt idx="22">
                  <c:v>4805</c:v>
                </c:pt>
                <c:pt idx="23">
                  <c:v>2866</c:v>
                </c:pt>
                <c:pt idx="24">
                  <c:v>1390</c:v>
                </c:pt>
                <c:pt idx="25">
                  <c:v>608</c:v>
                </c:pt>
                <c:pt idx="26">
                  <c:v>824</c:v>
                </c:pt>
                <c:pt idx="27">
                  <c:v>33</c:v>
                </c:pt>
                <c:pt idx="28">
                  <c:v>2566</c:v>
                </c:pt>
                <c:pt idx="29">
                  <c:v>5224</c:v>
                </c:pt>
                <c:pt idx="30">
                  <c:v>2458</c:v>
                </c:pt>
                <c:pt idx="31">
                  <c:v>3958</c:v>
                </c:pt>
                <c:pt idx="32">
                  <c:v>746</c:v>
                </c:pt>
                <c:pt idx="33">
                  <c:v>1994</c:v>
                </c:pt>
                <c:pt idx="34">
                  <c:v>3715</c:v>
                </c:pt>
                <c:pt idx="35">
                  <c:v>5390</c:v>
                </c:pt>
                <c:pt idx="36">
                  <c:v>1837</c:v>
                </c:pt>
                <c:pt idx="37">
                  <c:v>5002</c:v>
                </c:pt>
                <c:pt idx="38">
                  <c:v>3274</c:v>
                </c:pt>
                <c:pt idx="39">
                  <c:v>4444</c:v>
                </c:pt>
                <c:pt idx="40">
                  <c:v>801</c:v>
                </c:pt>
                <c:pt idx="41">
                  <c:v>788</c:v>
                </c:pt>
                <c:pt idx="42">
                  <c:v>680</c:v>
                </c:pt>
                <c:pt idx="43">
                  <c:v>4055</c:v>
                </c:pt>
                <c:pt idx="44">
                  <c:v>5547</c:v>
                </c:pt>
                <c:pt idx="45">
                  <c:v>4308</c:v>
                </c:pt>
                <c:pt idx="46">
                  <c:v>0</c:v>
                </c:pt>
                <c:pt idx="47">
                  <c:v>0</c:v>
                </c:pt>
                <c:pt idx="48">
                  <c:v>1090</c:v>
                </c:pt>
                <c:pt idx="49">
                  <c:v>3360</c:v>
                </c:pt>
                <c:pt idx="50">
                  <c:v>2780</c:v>
                </c:pt>
                <c:pt idx="51">
                  <c:v>0.2999999999992724</c:v>
                </c:pt>
                <c:pt idx="52">
                  <c:v>3726</c:v>
                </c:pt>
                <c:pt idx="53">
                  <c:v>2050</c:v>
                </c:pt>
                <c:pt idx="54">
                  <c:v>0</c:v>
                </c:pt>
                <c:pt idx="55">
                  <c:v>635</c:v>
                </c:pt>
                <c:pt idx="56">
                  <c:v>2877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362144"/>
        <c:axId val="566362536"/>
      </c:barChart>
      <c:catAx>
        <c:axId val="56636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270000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6362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636253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6362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NK Well Count</a:t>
            </a:r>
          </a:p>
          <a:p>
            <a:pPr>
              <a:defRPr/>
            </a:pPr>
            <a:r>
              <a:rPr lang="en-US" sz="1400"/>
              <a:t>04/01/2015 to current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25997101072814E-2"/>
          <c:y val="0.23166708295478561"/>
          <c:w val="0.85116370738787162"/>
          <c:h val="0.564764252836020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MA</c:v>
                </c:pt>
              </c:strCache>
            </c:strRef>
          </c:tx>
          <c:invertIfNegative val="0"/>
          <c:cat>
            <c:numRef>
              <c:f>Sheet1!$A$39:$A$43</c:f>
              <c:numCache>
                <c:formatCode>mmm\-yy</c:formatCode>
                <c:ptCount val="5"/>
                <c:pt idx="0">
                  <c:v>42095</c:v>
                </c:pt>
                <c:pt idx="1">
                  <c:v>42125</c:v>
                </c:pt>
                <c:pt idx="2">
                  <c:v>42156</c:v>
                </c:pt>
                <c:pt idx="3">
                  <c:v>42186</c:v>
                </c:pt>
                <c:pt idx="4">
                  <c:v>42217</c:v>
                </c:pt>
              </c:numCache>
            </c:numRef>
          </c:cat>
          <c:val>
            <c:numRef>
              <c:f>Sheet1!$D$39:$D$43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7</c:v>
                </c:pt>
                <c:pt idx="4">
                  <c:v>3</c:v>
                </c:pt>
              </c:numCache>
            </c:numRef>
          </c:val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LB</c:v>
                </c:pt>
              </c:strCache>
            </c:strRef>
          </c:tx>
          <c:invertIfNegative val="0"/>
          <c:cat>
            <c:numRef>
              <c:f>Sheet1!$A$39:$A$43</c:f>
              <c:numCache>
                <c:formatCode>mmm\-yy</c:formatCode>
                <c:ptCount val="5"/>
                <c:pt idx="0">
                  <c:v>42095</c:v>
                </c:pt>
                <c:pt idx="1">
                  <c:v>42125</c:v>
                </c:pt>
                <c:pt idx="2">
                  <c:v>42156</c:v>
                </c:pt>
                <c:pt idx="3">
                  <c:v>42186</c:v>
                </c:pt>
                <c:pt idx="4">
                  <c:v>42217</c:v>
                </c:pt>
              </c:numCache>
            </c:numRef>
          </c:cat>
          <c:val>
            <c:numRef>
              <c:f>Sheet1!$E$39:$E$43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ser>
          <c:idx val="2"/>
          <c:order val="2"/>
          <c:tx>
            <c:strRef>
              <c:f>Sheet1!$G$2</c:f>
              <c:strCache>
                <c:ptCount val="1"/>
                <c:pt idx="0">
                  <c:v>ZU / RT</c:v>
                </c:pt>
              </c:strCache>
            </c:strRef>
          </c:tx>
          <c:invertIfNegative val="0"/>
          <c:cat>
            <c:numRef>
              <c:f>Sheet1!$A$39:$A$43</c:f>
              <c:numCache>
                <c:formatCode>mmm\-yy</c:formatCode>
                <c:ptCount val="5"/>
                <c:pt idx="0">
                  <c:v>42095</c:v>
                </c:pt>
                <c:pt idx="1">
                  <c:v>42125</c:v>
                </c:pt>
                <c:pt idx="2">
                  <c:v>42156</c:v>
                </c:pt>
                <c:pt idx="3">
                  <c:v>42186</c:v>
                </c:pt>
                <c:pt idx="4">
                  <c:v>42217</c:v>
                </c:pt>
              </c:numCache>
            </c:numRef>
          </c:cat>
          <c:val>
            <c:numRef>
              <c:f>Sheet1!$G$39:$G$43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4"/>
          <c:order val="3"/>
          <c:tx>
            <c:strRef>
              <c:f>Sheet1!$F$2</c:f>
              <c:strCache>
                <c:ptCount val="1"/>
                <c:pt idx="0">
                  <c:v>UB</c:v>
                </c:pt>
              </c:strCache>
            </c:strRef>
          </c:tx>
          <c:invertIfNegative val="0"/>
          <c:cat>
            <c:numRef>
              <c:f>Sheet1!$A$39:$A$43</c:f>
              <c:numCache>
                <c:formatCode>mmm\-yy</c:formatCode>
                <c:ptCount val="5"/>
                <c:pt idx="0">
                  <c:v>42095</c:v>
                </c:pt>
                <c:pt idx="1">
                  <c:v>42125</c:v>
                </c:pt>
                <c:pt idx="2">
                  <c:v>42156</c:v>
                </c:pt>
                <c:pt idx="3">
                  <c:v>42186</c:v>
                </c:pt>
                <c:pt idx="4">
                  <c:v>42217</c:v>
                </c:pt>
              </c:numCache>
            </c:numRef>
          </c:cat>
          <c:val>
            <c:numRef>
              <c:f>Sheet1!$F$39:$F$43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ser>
          <c:idx val="5"/>
          <c:order val="4"/>
          <c:tx>
            <c:strRef>
              <c:f>Sheet1!$H$2</c:f>
              <c:strCache>
                <c:ptCount val="1"/>
                <c:pt idx="0">
                  <c:v>EOR / Border Fields</c:v>
                </c:pt>
              </c:strCache>
            </c:strRef>
          </c:tx>
          <c:invertIfNegative val="0"/>
          <c:cat>
            <c:numRef>
              <c:f>Sheet1!$A$39:$A$43</c:f>
              <c:numCache>
                <c:formatCode>mmm\-yy</c:formatCode>
                <c:ptCount val="5"/>
                <c:pt idx="0">
                  <c:v>42095</c:v>
                </c:pt>
                <c:pt idx="1">
                  <c:v>42125</c:v>
                </c:pt>
                <c:pt idx="2">
                  <c:v>42156</c:v>
                </c:pt>
                <c:pt idx="3">
                  <c:v>42186</c:v>
                </c:pt>
                <c:pt idx="4">
                  <c:v>42217</c:v>
                </c:pt>
              </c:numCache>
            </c:numRef>
          </c:cat>
          <c:val>
            <c:numRef>
              <c:f>Sheet1!$H$39:$H$43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6363320"/>
        <c:axId val="566363712"/>
      </c:barChart>
      <c:lineChart>
        <c:grouping val="standard"/>
        <c:varyColors val="0"/>
        <c:ser>
          <c:idx val="3"/>
          <c:order val="5"/>
          <c:tx>
            <c:v>Cumulative</c:v>
          </c:tx>
          <c:marker>
            <c:symbol val="none"/>
          </c:marker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Sheet1!$A$39:$A$42</c:f>
              <c:numCache>
                <c:formatCode>mmm\-yy</c:formatCode>
                <c:ptCount val="4"/>
                <c:pt idx="0">
                  <c:v>42095</c:v>
                </c:pt>
                <c:pt idx="1">
                  <c:v>42125</c:v>
                </c:pt>
                <c:pt idx="2">
                  <c:v>42156</c:v>
                </c:pt>
                <c:pt idx="3">
                  <c:v>42186</c:v>
                </c:pt>
              </c:numCache>
            </c:numRef>
          </c:cat>
          <c:val>
            <c:numRef>
              <c:f>Sheet1!$L$39:$L$43</c:f>
              <c:numCache>
                <c:formatCode>0</c:formatCode>
                <c:ptCount val="5"/>
                <c:pt idx="0">
                  <c:v>8</c:v>
                </c:pt>
                <c:pt idx="1">
                  <c:v>17</c:v>
                </c:pt>
                <c:pt idx="2">
                  <c:v>19</c:v>
                </c:pt>
                <c:pt idx="3">
                  <c:v>31</c:v>
                </c:pt>
                <c:pt idx="4">
                  <c:v>35</c:v>
                </c:pt>
              </c:numCache>
            </c:numRef>
          </c:val>
          <c:smooth val="0"/>
        </c:ser>
        <c:ser>
          <c:idx val="6"/>
          <c:order val="6"/>
          <c:tx>
            <c:v>Average Wells per Month</c:v>
          </c:tx>
          <c:marker>
            <c:symbol val="none"/>
          </c:marker>
          <c:cat>
            <c:numRef>
              <c:f>Sheet1!$A$39:$A$42</c:f>
              <c:numCache>
                <c:formatCode>mmm\-yy</c:formatCode>
                <c:ptCount val="4"/>
                <c:pt idx="0">
                  <c:v>42095</c:v>
                </c:pt>
                <c:pt idx="1">
                  <c:v>42125</c:v>
                </c:pt>
                <c:pt idx="2">
                  <c:v>42156</c:v>
                </c:pt>
                <c:pt idx="3">
                  <c:v>42186</c:v>
                </c:pt>
              </c:numCache>
            </c:numRef>
          </c:cat>
          <c:val>
            <c:numRef>
              <c:f>Sheet1!$M$39:$M$43</c:f>
              <c:numCache>
                <c:formatCode>0</c:formatCode>
                <c:ptCount val="5"/>
                <c:pt idx="0">
                  <c:v>8</c:v>
                </c:pt>
                <c:pt idx="1">
                  <c:v>8.5</c:v>
                </c:pt>
                <c:pt idx="2">
                  <c:v>6.333333333333333</c:v>
                </c:pt>
                <c:pt idx="3">
                  <c:v>7.75</c:v>
                </c:pt>
                <c:pt idx="4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529240"/>
        <c:axId val="586528848"/>
      </c:lineChart>
      <c:dateAx>
        <c:axId val="566363320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66363712"/>
        <c:crosses val="autoZero"/>
        <c:auto val="1"/>
        <c:lblOffset val="100"/>
        <c:baseTimeUnit val="months"/>
      </c:dateAx>
      <c:valAx>
        <c:axId val="566363712"/>
        <c:scaling>
          <c:orientation val="minMax"/>
          <c:max val="13"/>
          <c:min val="0"/>
        </c:scaling>
        <c:delete val="0"/>
        <c:axPos val="l"/>
        <c:majorGridlines>
          <c:spPr>
            <a:ln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Monthly Well 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66363320"/>
        <c:crosses val="autoZero"/>
        <c:crossBetween val="between"/>
      </c:valAx>
      <c:valAx>
        <c:axId val="58652884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586529240"/>
        <c:crosses val="max"/>
        <c:crossBetween val="between"/>
      </c:valAx>
      <c:dateAx>
        <c:axId val="5865292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586528848"/>
        <c:crosses val="autoZero"/>
        <c:auto val="1"/>
        <c:lblOffset val="100"/>
        <c:baseTimeUnit val="months"/>
      </c:dateAx>
    </c:plotArea>
    <c:legend>
      <c:legendPos val="b"/>
      <c:layout>
        <c:manualLayout>
          <c:xMode val="edge"/>
          <c:yMode val="edge"/>
          <c:x val="0.11080174708756509"/>
          <c:y val="0.91442465779744242"/>
          <c:w val="0.88919825291243493"/>
          <c:h val="6.8267248738098044E-2"/>
        </c:manualLayout>
      </c:layout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 alignWithMargins="0"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Average Days Per Well to Deliver AAP Target Well Count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Sheet1!$F$16</c:f>
              <c:strCache>
                <c:ptCount val="1"/>
                <c:pt idx="0">
                  <c:v>Days for 60 Wells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Sheet1!$E$17:$E$19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12.5</c:v>
                </c:pt>
              </c:numCache>
            </c:numRef>
          </c:cat>
          <c:val>
            <c:numRef>
              <c:f>Sheet1!$F$17:$F$19</c:f>
              <c:numCache>
                <c:formatCode>General</c:formatCode>
                <c:ptCount val="3"/>
                <c:pt idx="0">
                  <c:v>55.833333333333336</c:v>
                </c:pt>
                <c:pt idx="1">
                  <c:v>61.916666666666671</c:v>
                </c:pt>
                <c:pt idx="2">
                  <c:v>71.041666666666671</c:v>
                </c:pt>
              </c:numCache>
            </c:numRef>
          </c:val>
        </c:ser>
        <c:ser>
          <c:idx val="1"/>
          <c:order val="1"/>
          <c:tx>
            <c:strRef>
              <c:f>Sheet1!$G$16</c:f>
              <c:strCache>
                <c:ptCount val="1"/>
                <c:pt idx="0">
                  <c:v>Days for 75 Wells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Sheet1!$G$17:$G$19</c:f>
              <c:numCache>
                <c:formatCode>General</c:formatCode>
                <c:ptCount val="3"/>
                <c:pt idx="0">
                  <c:v>43.666666666666664</c:v>
                </c:pt>
                <c:pt idx="1">
                  <c:v>48.533333333333331</c:v>
                </c:pt>
                <c:pt idx="2">
                  <c:v>55.833333333333336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6530024"/>
        <c:axId val="586530416"/>
      </c:barChart>
      <c:lineChart>
        <c:grouping val="standard"/>
        <c:varyColors val="0"/>
        <c:ser>
          <c:idx val="2"/>
          <c:order val="2"/>
          <c:tx>
            <c:strRef>
              <c:f>Sheet1!$H$16</c:f>
              <c:strCache>
                <c:ptCount val="1"/>
                <c:pt idx="0">
                  <c:v>Current Avg Days / Well 49.2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Sheet1!$H$17:$H$19</c:f>
              <c:numCache>
                <c:formatCode>General</c:formatCode>
                <c:ptCount val="3"/>
                <c:pt idx="0">
                  <c:v>49.2</c:v>
                </c:pt>
                <c:pt idx="1">
                  <c:v>49.2</c:v>
                </c:pt>
                <c:pt idx="2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530024"/>
        <c:axId val="586530416"/>
      </c:lineChart>
      <c:catAx>
        <c:axId val="586530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Rig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530416"/>
        <c:crosses val="autoZero"/>
        <c:auto val="1"/>
        <c:lblAlgn val="ctr"/>
        <c:lblOffset val="100"/>
        <c:noMultiLvlLbl val="0"/>
      </c:catAx>
      <c:valAx>
        <c:axId val="58653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Days per Well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53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86666760988734"/>
          <c:y val="0.91221333974474561"/>
          <c:w val="0.75768735578370061"/>
          <c:h val="5.72523091102161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t" anchorCtr="0"/>
          <a:lstStyle/>
          <a:p>
            <a:pPr>
              <a:defRPr/>
            </a:pPr>
            <a:r>
              <a:rPr lang="en-US"/>
              <a:t>2014 D&amp;C</a:t>
            </a:r>
            <a:r>
              <a:rPr lang="en-US" baseline="0"/>
              <a:t> Wells</a:t>
            </a:r>
          </a:p>
          <a:p>
            <a:pPr>
              <a:defRPr/>
            </a:pPr>
            <a:r>
              <a:rPr lang="en-US" baseline="0"/>
              <a:t> </a:t>
            </a:r>
            <a:r>
              <a:rPr lang="en-US" sz="1050" baseline="0"/>
              <a:t>(Released &amp; Active)</a:t>
            </a:r>
            <a:endParaRPr lang="en-US" sz="105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8300857327168E-2"/>
          <c:y val="0.16997647699697915"/>
          <c:w val="0.90872937318107283"/>
          <c:h val="0.751244738275640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'P50 and P25 table'!$B$8</c:f>
              <c:strCache>
                <c:ptCount val="1"/>
                <c:pt idx="0">
                  <c:v>Prod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 and P25 table'!$A$9:$A$17</c:f>
              <c:strCache>
                <c:ptCount val="9"/>
                <c:pt idx="0">
                  <c:v>RAMA</c:v>
                </c:pt>
                <c:pt idx="1">
                  <c:v>RAUB</c:v>
                </c:pt>
                <c:pt idx="2">
                  <c:v>RALB</c:v>
                </c:pt>
                <c:pt idx="3">
                  <c:v>RAZU</c:v>
                </c:pt>
                <c:pt idx="4">
                  <c:v>SAMA</c:v>
                </c:pt>
                <c:pt idx="5">
                  <c:v>SAUB</c:v>
                </c:pt>
                <c:pt idx="6">
                  <c:v>SALB</c:v>
                </c:pt>
                <c:pt idx="7">
                  <c:v>SAZU</c:v>
                </c:pt>
                <c:pt idx="8">
                  <c:v>SART</c:v>
                </c:pt>
              </c:strCache>
            </c:strRef>
          </c:cat>
          <c:val>
            <c:numRef>
              <c:f>'P50 and P25 table'!$B$9:$B$17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 and P25 table'!$C$8</c:f>
              <c:strCache>
                <c:ptCount val="1"/>
                <c:pt idx="0">
                  <c:v>PROD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 and P25 table'!$A$9:$A$17</c:f>
              <c:strCache>
                <c:ptCount val="9"/>
                <c:pt idx="0">
                  <c:v>RAMA</c:v>
                </c:pt>
                <c:pt idx="1">
                  <c:v>RAUB</c:v>
                </c:pt>
                <c:pt idx="2">
                  <c:v>RALB</c:v>
                </c:pt>
                <c:pt idx="3">
                  <c:v>RAZU</c:v>
                </c:pt>
                <c:pt idx="4">
                  <c:v>SAMA</c:v>
                </c:pt>
                <c:pt idx="5">
                  <c:v>SAUB</c:v>
                </c:pt>
                <c:pt idx="6">
                  <c:v>SALB</c:v>
                </c:pt>
                <c:pt idx="7">
                  <c:v>SAZU</c:v>
                </c:pt>
                <c:pt idx="8">
                  <c:v>SART</c:v>
                </c:pt>
              </c:strCache>
            </c:strRef>
          </c:cat>
          <c:val>
            <c:numRef>
              <c:f>'P50 and P25 table'!$C$9:$C$17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2"/>
          <c:order val="2"/>
          <c:tx>
            <c:strRef>
              <c:f>'P50 and P25 table'!$D$8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 and P25 table'!$A$9:$A$17</c:f>
              <c:strCache>
                <c:ptCount val="9"/>
                <c:pt idx="0">
                  <c:v>RAMA</c:v>
                </c:pt>
                <c:pt idx="1">
                  <c:v>RAUB</c:v>
                </c:pt>
                <c:pt idx="2">
                  <c:v>RALB</c:v>
                </c:pt>
                <c:pt idx="3">
                  <c:v>RAZU</c:v>
                </c:pt>
                <c:pt idx="4">
                  <c:v>SAMA</c:v>
                </c:pt>
                <c:pt idx="5">
                  <c:v>SAUB</c:v>
                </c:pt>
                <c:pt idx="6">
                  <c:v>SALB</c:v>
                </c:pt>
                <c:pt idx="7">
                  <c:v>SAZU</c:v>
                </c:pt>
                <c:pt idx="8">
                  <c:v>SART</c:v>
                </c:pt>
              </c:strCache>
            </c:strRef>
          </c:cat>
          <c:val>
            <c:numRef>
              <c:f>'P50 and P25 table'!$D$9:$D$17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216512"/>
        <c:axId val="561216904"/>
      </c:barChart>
      <c:catAx>
        <c:axId val="561216512"/>
        <c:scaling>
          <c:orientation val="minMax"/>
        </c:scaling>
        <c:delete val="0"/>
        <c:axPos val="b"/>
        <c:majorGridlines/>
        <c:numFmt formatCode="General" sourceLinked="0"/>
        <c:majorTickMark val="in"/>
        <c:minorTickMark val="in"/>
        <c:tickLblPos val="nextTo"/>
        <c:crossAx val="561216904"/>
        <c:crosses val="autoZero"/>
        <c:auto val="1"/>
        <c:lblAlgn val="ctr"/>
        <c:lblOffset val="100"/>
        <c:noMultiLvlLbl val="0"/>
      </c:catAx>
      <c:valAx>
        <c:axId val="56121690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61216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99848330403352"/>
          <c:y val="0.19921581736245234"/>
          <c:w val="9.3982754969887686E-2"/>
          <c:h val="0.170593522507799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  <a:r>
              <a:rPr lang="en-US" baseline="0"/>
              <a:t> Days by Reservoir (Spud to RR)</a:t>
            </a:r>
          </a:p>
          <a:p>
            <a:pPr>
              <a:defRPr/>
            </a:pPr>
            <a:r>
              <a:rPr lang="en-US" sz="1200" baseline="0"/>
              <a:t>04/01/2015 to Current</a:t>
            </a:r>
            <a:endParaRPr lang="en-US" sz="12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 by Type'!$B$8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 by Type'!$A$8:$A$12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Type'!$G$8:$G$12</c:f>
              <c:numCache>
                <c:formatCode>0</c:formatCode>
                <c:ptCount val="5"/>
                <c:pt idx="0">
                  <c:v>54.847916666667153</c:v>
                </c:pt>
                <c:pt idx="1">
                  <c:v>59.94270833333394</c:v>
                </c:pt>
                <c:pt idx="2">
                  <c:v>74.017361111111924</c:v>
                </c:pt>
                <c:pt idx="3">
                  <c:v>69.40625</c:v>
                </c:pt>
                <c:pt idx="4">
                  <c:v>60.542892156863246</c:v>
                </c:pt>
              </c:numCache>
            </c:numRef>
          </c:val>
        </c:ser>
        <c:ser>
          <c:idx val="1"/>
          <c:order val="1"/>
          <c:tx>
            <c:strRef>
              <c:f>'P50P25 Drill Times by Type'!$B$3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 by Type'!$A$8:$A$12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Type'!$G$3:$G$7</c:f>
              <c:numCache>
                <c:formatCode>0</c:formatCode>
                <c:ptCount val="5"/>
                <c:pt idx="0">
                  <c:v>63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69.17647058823529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217688"/>
        <c:axId val="454283256"/>
      </c:barChart>
      <c:catAx>
        <c:axId val="561217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283256"/>
        <c:crosses val="autoZero"/>
        <c:auto val="1"/>
        <c:lblAlgn val="ctr"/>
        <c:lblOffset val="100"/>
        <c:noMultiLvlLbl val="0"/>
      </c:catAx>
      <c:valAx>
        <c:axId val="454283256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561217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'Dashboard 15 16 AAP'!$AE$5</c:f>
              <c:strCache>
                <c:ptCount val="1"/>
                <c:pt idx="0">
                  <c:v>MA</c:v>
                </c:pt>
              </c:strCache>
            </c:strRef>
          </c:tx>
          <c:invertIfNegative val="0"/>
          <c:cat>
            <c:multiLvlStrRef>
              <c:f>'Dashboard 15 16 AAP'!$AF$2:$AJ$4</c:f>
              <c:multiLvlStrCache>
                <c:ptCount val="5"/>
                <c:lvl>
                  <c:pt idx="0">
                    <c:v>Count</c:v>
                  </c:pt>
                  <c:pt idx="1">
                    <c:v>Plan</c:v>
                  </c:pt>
                  <c:pt idx="2">
                    <c:v>Actual</c:v>
                  </c:pt>
                  <c:pt idx="3">
                    <c:v>NW</c:v>
                  </c:pt>
                  <c:pt idx="4">
                    <c:v>ST</c:v>
                  </c:pt>
                </c:lvl>
                <c:lvl>
                  <c:pt idx="1">
                    <c:v>Spud to RR</c:v>
                  </c:pt>
                  <c:pt idx="3">
                    <c:v>Actual</c:v>
                  </c:pt>
                </c:lvl>
              </c:multiLvlStrCache>
            </c:multiLvlStrRef>
          </c:cat>
          <c:val>
            <c:numRef>
              <c:f>'Dashboard 15 16 AAP'!$AF$5:$AJ$5</c:f>
              <c:numCache>
                <c:formatCode>General</c:formatCode>
                <c:ptCount val="5"/>
                <c:pt idx="0">
                  <c:v>20</c:v>
                </c:pt>
                <c:pt idx="1">
                  <c:v>63</c:v>
                </c:pt>
                <c:pt idx="2">
                  <c:v>54.847916666667153</c:v>
                </c:pt>
                <c:pt idx="3">
                  <c:v>62.428819444445857</c:v>
                </c:pt>
                <c:pt idx="4">
                  <c:v>43.476562499999091</c:v>
                </c:pt>
              </c:numCache>
            </c:numRef>
          </c:val>
        </c:ser>
        <c:ser>
          <c:idx val="1"/>
          <c:order val="1"/>
          <c:tx>
            <c:strRef>
              <c:f>'Dashboard 15 16 AAP'!$AE$6</c:f>
              <c:strCache>
                <c:ptCount val="1"/>
                <c:pt idx="0">
                  <c:v>UB</c:v>
                </c:pt>
              </c:strCache>
            </c:strRef>
          </c:tx>
          <c:invertIfNegative val="0"/>
          <c:cat>
            <c:multiLvlStrRef>
              <c:f>'Dashboard 15 16 AAP'!$AF$2:$AJ$4</c:f>
              <c:multiLvlStrCache>
                <c:ptCount val="5"/>
                <c:lvl>
                  <c:pt idx="0">
                    <c:v>Count</c:v>
                  </c:pt>
                  <c:pt idx="1">
                    <c:v>Plan</c:v>
                  </c:pt>
                  <c:pt idx="2">
                    <c:v>Actual</c:v>
                  </c:pt>
                  <c:pt idx="3">
                    <c:v>NW</c:v>
                  </c:pt>
                  <c:pt idx="4">
                    <c:v>ST</c:v>
                  </c:pt>
                </c:lvl>
                <c:lvl>
                  <c:pt idx="1">
                    <c:v>Spud to RR</c:v>
                  </c:pt>
                  <c:pt idx="3">
                    <c:v>Actual</c:v>
                  </c:pt>
                </c:lvl>
              </c:multiLvlStrCache>
            </c:multiLvlStrRef>
          </c:cat>
          <c:val>
            <c:numRef>
              <c:f>'Dashboard 15 16 AAP'!$AF$6:$AJ$6</c:f>
              <c:numCache>
                <c:formatCode>General</c:formatCode>
                <c:ptCount val="5"/>
                <c:pt idx="0">
                  <c:v>4</c:v>
                </c:pt>
                <c:pt idx="1">
                  <c:v>70</c:v>
                </c:pt>
                <c:pt idx="2">
                  <c:v>59.94270833333394</c:v>
                </c:pt>
                <c:pt idx="3">
                  <c:v>59.94270833333394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'Dashboard 15 16 AAP'!$AE$7</c:f>
              <c:strCache>
                <c:ptCount val="1"/>
                <c:pt idx="0">
                  <c:v>LB</c:v>
                </c:pt>
              </c:strCache>
            </c:strRef>
          </c:tx>
          <c:invertIfNegative val="0"/>
          <c:cat>
            <c:multiLvlStrRef>
              <c:f>'Dashboard 15 16 AAP'!$AF$2:$AJ$4</c:f>
              <c:multiLvlStrCache>
                <c:ptCount val="5"/>
                <c:lvl>
                  <c:pt idx="0">
                    <c:v>Count</c:v>
                  </c:pt>
                  <c:pt idx="1">
                    <c:v>Plan</c:v>
                  </c:pt>
                  <c:pt idx="2">
                    <c:v>Actual</c:v>
                  </c:pt>
                  <c:pt idx="3">
                    <c:v>NW</c:v>
                  </c:pt>
                  <c:pt idx="4">
                    <c:v>ST</c:v>
                  </c:pt>
                </c:lvl>
                <c:lvl>
                  <c:pt idx="1">
                    <c:v>Spud to RR</c:v>
                  </c:pt>
                  <c:pt idx="3">
                    <c:v>Actual</c:v>
                  </c:pt>
                </c:lvl>
              </c:multiLvlStrCache>
            </c:multiLvlStrRef>
          </c:cat>
          <c:val>
            <c:numRef>
              <c:f>'Dashboard 15 16 AAP'!$AF$7:$AJ$7</c:f>
              <c:numCache>
                <c:formatCode>General</c:formatCode>
                <c:ptCount val="5"/>
                <c:pt idx="0">
                  <c:v>6</c:v>
                </c:pt>
                <c:pt idx="1">
                  <c:v>70</c:v>
                </c:pt>
                <c:pt idx="2">
                  <c:v>74.017361111111924</c:v>
                </c:pt>
                <c:pt idx="3">
                  <c:v>74.017361111111924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'Dashboard 15 16 AAP'!$AE$8</c:f>
              <c:strCache>
                <c:ptCount val="1"/>
                <c:pt idx="0">
                  <c:v>ZU/RT</c:v>
                </c:pt>
              </c:strCache>
            </c:strRef>
          </c:tx>
          <c:invertIfNegative val="0"/>
          <c:cat>
            <c:multiLvlStrRef>
              <c:f>'Dashboard 15 16 AAP'!$AF$2:$AJ$4</c:f>
              <c:multiLvlStrCache>
                <c:ptCount val="5"/>
                <c:lvl>
                  <c:pt idx="0">
                    <c:v>Count</c:v>
                  </c:pt>
                  <c:pt idx="1">
                    <c:v>Plan</c:v>
                  </c:pt>
                  <c:pt idx="2">
                    <c:v>Actual</c:v>
                  </c:pt>
                  <c:pt idx="3">
                    <c:v>NW</c:v>
                  </c:pt>
                  <c:pt idx="4">
                    <c:v>ST</c:v>
                  </c:pt>
                </c:lvl>
                <c:lvl>
                  <c:pt idx="1">
                    <c:v>Spud to RR</c:v>
                  </c:pt>
                  <c:pt idx="3">
                    <c:v>Actual</c:v>
                  </c:pt>
                </c:lvl>
              </c:multiLvlStrCache>
            </c:multiLvlStrRef>
          </c:cat>
          <c:val>
            <c:numRef>
              <c:f>'Dashboard 15 16 AAP'!$AF$8:$AJ$8</c:f>
              <c:numCache>
                <c:formatCode>General</c:formatCode>
                <c:ptCount val="5"/>
                <c:pt idx="0">
                  <c:v>4</c:v>
                </c:pt>
                <c:pt idx="1">
                  <c:v>98</c:v>
                </c:pt>
                <c:pt idx="2">
                  <c:v>69.40625</c:v>
                </c:pt>
                <c:pt idx="3">
                  <c:v>69.40625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'Dashboard 15 16 AAP'!$AE$9</c:f>
              <c:strCache>
                <c:ptCount val="1"/>
                <c:pt idx="0">
                  <c:v>Composite</c:v>
                </c:pt>
              </c:strCache>
            </c:strRef>
          </c:tx>
          <c:invertIfNegative val="0"/>
          <c:cat>
            <c:multiLvlStrRef>
              <c:f>'Dashboard 15 16 AAP'!$AF$2:$AJ$4</c:f>
              <c:multiLvlStrCache>
                <c:ptCount val="5"/>
                <c:lvl>
                  <c:pt idx="0">
                    <c:v>Count</c:v>
                  </c:pt>
                  <c:pt idx="1">
                    <c:v>Plan</c:v>
                  </c:pt>
                  <c:pt idx="2">
                    <c:v>Actual</c:v>
                  </c:pt>
                  <c:pt idx="3">
                    <c:v>NW</c:v>
                  </c:pt>
                  <c:pt idx="4">
                    <c:v>ST</c:v>
                  </c:pt>
                </c:lvl>
                <c:lvl>
                  <c:pt idx="1">
                    <c:v>Spud to RR</c:v>
                  </c:pt>
                  <c:pt idx="3">
                    <c:v>Actual</c:v>
                  </c:pt>
                </c:lvl>
              </c:multiLvlStrCache>
            </c:multiLvlStrRef>
          </c:cat>
          <c:val>
            <c:numRef>
              <c:f>'Dashboard 15 16 AAP'!$AF$9:$AJ$9</c:f>
              <c:numCache>
                <c:formatCode>General</c:formatCode>
                <c:ptCount val="5"/>
                <c:pt idx="0">
                  <c:v>35</c:v>
                </c:pt>
                <c:pt idx="1">
                  <c:v>69.17647058823529</c:v>
                </c:pt>
                <c:pt idx="2">
                  <c:v>59.870238095238584</c:v>
                </c:pt>
                <c:pt idx="3">
                  <c:v>65.794070512821449</c:v>
                </c:pt>
                <c:pt idx="4">
                  <c:v>43.476562499999091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4284040"/>
        <c:axId val="454284432"/>
      </c:barChart>
      <c:catAx>
        <c:axId val="454284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54284432"/>
        <c:crosses val="autoZero"/>
        <c:auto val="1"/>
        <c:lblAlgn val="ctr"/>
        <c:lblOffset val="100"/>
        <c:noMultiLvlLbl val="0"/>
      </c:catAx>
      <c:valAx>
        <c:axId val="45428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4284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Average Days by</a:t>
            </a:r>
            <a:r>
              <a:rPr lang="en-US" sz="1400" baseline="0"/>
              <a:t> Well Type (Spud to RR)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07174103237096E-2"/>
          <c:y val="0.11793108217862347"/>
          <c:w val="0.88979046369203862"/>
          <c:h val="0.686806426279675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Sheet1!$G$7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Sheet1!$E$8:$E$12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Sheet1!$G$8:$G$12</c:f>
              <c:numCache>
                <c:formatCode>General</c:formatCode>
                <c:ptCount val="5"/>
                <c:pt idx="0">
                  <c:v>57.555555555555557</c:v>
                </c:pt>
                <c:pt idx="1">
                  <c:v>66</c:v>
                </c:pt>
                <c:pt idx="2">
                  <c:v>70</c:v>
                </c:pt>
                <c:pt idx="3">
                  <c:v>92</c:v>
                </c:pt>
                <c:pt idx="4">
                  <c:v>63.972222222222221</c:v>
                </c:pt>
              </c:numCache>
            </c:numRef>
          </c:val>
        </c:ser>
        <c:ser>
          <c:idx val="1"/>
          <c:order val="1"/>
          <c:tx>
            <c:strRef>
              <c:f>Sheet1!$H$7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Sheet1!$E$8:$E$12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Sheet1!$H$8:$H$12</c:f>
              <c:numCache>
                <c:formatCode>General</c:formatCode>
                <c:ptCount val="5"/>
                <c:pt idx="0">
                  <c:v>50.012037037036983</c:v>
                </c:pt>
                <c:pt idx="1">
                  <c:v>56.148809047619395</c:v>
                </c:pt>
                <c:pt idx="2">
                  <c:v>65.53525640769287</c:v>
                </c:pt>
                <c:pt idx="3">
                  <c:v>83.729166666666316</c:v>
                </c:pt>
                <c:pt idx="4">
                  <c:v>56.419805889954411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85216"/>
        <c:axId val="454285608"/>
      </c:barChart>
      <c:catAx>
        <c:axId val="45428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54285608"/>
        <c:crosses val="autoZero"/>
        <c:auto val="1"/>
        <c:lblAlgn val="ctr"/>
        <c:lblOffset val="100"/>
        <c:noMultiLvlLbl val="0"/>
      </c:catAx>
      <c:valAx>
        <c:axId val="4542856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285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9530664916885394"/>
          <c:y val="0.86378508524216535"/>
          <c:w val="0.20747112860892389"/>
          <c:h val="0.114675615558828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600" b="1" i="0" u="none" strike="noStrike" baseline="0">
                <a:solidFill>
                  <a:srgbClr val="000000"/>
                </a:solidFill>
                <a:latin typeface="Calibri"/>
              </a:rPr>
              <a:t>2014/15 AAP Well Drilling Performance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600" b="1" i="0" u="none" strike="noStrike" baseline="0">
                <a:solidFill>
                  <a:srgbClr val="000000"/>
                </a:solidFill>
                <a:latin typeface="Calibri"/>
              </a:rPr>
              <a:t> (Rig Release to Rig Release)</a:t>
            </a:r>
          </a:p>
        </c:rich>
      </c:tx>
      <c:layout>
        <c:manualLayout>
          <c:xMode val="edge"/>
          <c:yMode val="edge"/>
          <c:x val="0.27509602185587106"/>
          <c:y val="0.88507600869140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73176458379275"/>
          <c:y val="1.5002640798932392E-2"/>
          <c:w val="0.82505571482312656"/>
          <c:h val="0.76896710491833686"/>
        </c:manualLayout>
      </c:layout>
      <c:scatterChart>
        <c:scatterStyle val="smoothMarker"/>
        <c:varyColors val="0"/>
        <c:ser>
          <c:idx val="6"/>
          <c:order val="7"/>
          <c:tx>
            <c:v>Planned Time</c:v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255E91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Sheet1!$W$5:$W$6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Sheet1!$V$5:$V$6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86392"/>
        <c:axId val="454286784"/>
      </c:scatterChart>
      <c:scatterChart>
        <c:scatterStyle val="lineMarker"/>
        <c:varyColors val="0"/>
        <c:ser>
          <c:idx val="0"/>
          <c:order val="0"/>
          <c:tx>
            <c:strRef>
              <c:f>Sheet1!$N$5</c:f>
              <c:strCache>
                <c:ptCount val="1"/>
                <c:pt idx="0">
                  <c:v>RA-0123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5B9BD5"/>
              </a:solidFill>
              <a:ln>
                <a:solidFill>
                  <a:srgbClr val="33CCCC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Sheet1!$R$5</c:f>
            </c:numRef>
          </c:xVal>
          <c:yVal>
            <c:numRef>
              <c:f>Sheet1!$Q$5</c:f>
              <c:numCache>
                <c:formatCode>General</c:formatCode>
                <c:ptCount val="1"/>
                <c:pt idx="0">
                  <c:v>40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Sheet1!$N$6</c:f>
              <c:strCache>
                <c:ptCount val="1"/>
                <c:pt idx="0">
                  <c:v>RA-0169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Sheet1!$R$6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Sheet1!$Q$6</c:f>
              <c:numCache>
                <c:formatCode>General</c:formatCode>
                <c:ptCount val="1"/>
                <c:pt idx="0">
                  <c:v>40.083333333335759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Sheet1!$N$7</c:f>
              <c:strCache>
                <c:ptCount val="1"/>
                <c:pt idx="0">
                  <c:v>SA-0554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A5A5A5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Sheet1!$R$7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Sheet1!$Q$7</c:f>
              <c:numCache>
                <c:formatCode>General</c:formatCode>
                <c:ptCount val="1"/>
                <c:pt idx="0">
                  <c:v>51.708333333335759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Sheet1!$N$8</c:f>
              <c:strCache>
                <c:ptCount val="1"/>
                <c:pt idx="0">
                  <c:v>RA-0238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Sheet1!$R$8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Sheet1!$Q$8</c:f>
              <c:numCache>
                <c:formatCode>General</c:formatCode>
                <c:ptCount val="1"/>
                <c:pt idx="0">
                  <c:v>52.75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Sheet1!$N$9</c:f>
              <c:strCache>
                <c:ptCount val="1"/>
                <c:pt idx="0">
                  <c:v>RA-0547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Sheet1!$R$9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Sheet1!$Q$9</c:f>
              <c:numCache>
                <c:formatCode>General</c:formatCode>
                <c:ptCount val="1"/>
                <c:pt idx="0">
                  <c:v>62.666666666671517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Sheet1!$N$10</c:f>
              <c:strCache>
                <c:ptCount val="1"/>
                <c:pt idx="0">
                  <c:v>SA-0128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70AD47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Sheet1!$R$10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Sheet1!$Q$10</c:f>
              <c:numCache>
                <c:formatCode>General</c:formatCode>
                <c:ptCount val="1"/>
                <c:pt idx="0">
                  <c:v>47.585000000000001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Sheet1!$N$11</c:f>
              <c:strCache>
                <c:ptCount val="1"/>
                <c:pt idx="0">
                  <c:v>RA-0529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9E480E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Sheet1!$R$11</c:f>
              <c:numCache>
                <c:formatCode>General</c:formatCode>
                <c:ptCount val="1"/>
                <c:pt idx="0">
                  <c:v>103</c:v>
                </c:pt>
              </c:numCache>
            </c:numRef>
          </c:xVal>
          <c:yVal>
            <c:numRef>
              <c:f>Sheet1!$Q$11</c:f>
              <c:numCache>
                <c:formatCode>General</c:formatCode>
                <c:ptCount val="1"/>
                <c:pt idx="0">
                  <c:v>57.585000000000001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Sheet1!$N$13</c:f>
              <c:strCache>
                <c:ptCount val="1"/>
                <c:pt idx="0">
                  <c:v>SA-0532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C0C0C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6"/>
            </c:marker>
            <c:bubble3D val="0"/>
          </c:dPt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Sheet1!$R$13</c:f>
              <c:numCache>
                <c:formatCode>General</c:formatCode>
                <c:ptCount val="1"/>
                <c:pt idx="0">
                  <c:v>103</c:v>
                </c:pt>
              </c:numCache>
            </c:numRef>
          </c:xVal>
          <c:yVal>
            <c:numRef>
              <c:f>Sheet1!$Q$13</c:f>
              <c:numCache>
                <c:formatCode>General</c:formatCode>
                <c:ptCount val="1"/>
                <c:pt idx="0">
                  <c:v>168.64586699999998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Sheet1!$N$15</c:f>
              <c:strCache>
                <c:ptCount val="1"/>
                <c:pt idx="0">
                  <c:v>SA-0325</c:v>
                </c:pt>
              </c:strCache>
            </c:strRef>
          </c:tx>
          <c:spPr>
            <a:ln w="19050">
              <a:noFill/>
            </a:ln>
          </c:spPr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Sheet1!$R$15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Sheet1!$Q$15</c:f>
              <c:numCache>
                <c:formatCode>General</c:formatCode>
                <c:ptCount val="1"/>
                <c:pt idx="0">
                  <c:v>27.625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Sheet1!$N$16</c:f>
              <c:strCache>
                <c:ptCount val="1"/>
                <c:pt idx="0">
                  <c:v>SA-0326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Sheet1!$R$16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Sheet1!$Q$16</c:f>
              <c:numCache>
                <c:formatCode>General</c:formatCode>
                <c:ptCount val="1"/>
                <c:pt idx="0">
                  <c:v>38.040999999999997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Sheet1!$N$17</c:f>
              <c:strCache>
                <c:ptCount val="1"/>
                <c:pt idx="0">
                  <c:v>RA-0147</c:v>
                </c:pt>
              </c:strCache>
            </c:strRef>
          </c:tx>
          <c:spPr>
            <a:ln w="19050">
              <a:noFill/>
            </a:ln>
          </c:spPr>
          <c:dPt>
            <c:idx val="0"/>
            <c:marker>
              <c:symbol val="circle"/>
              <c:size val="6"/>
            </c:marker>
            <c:bubble3D val="0"/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Sheet1!$R$17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Sheet1!$Q$17</c:f>
              <c:numCache>
                <c:formatCode>General</c:formatCode>
                <c:ptCount val="1"/>
                <c:pt idx="0">
                  <c:v>42.290999999999997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Sheet1!$N$18</c:f>
              <c:strCache>
                <c:ptCount val="1"/>
                <c:pt idx="0">
                  <c:v>SA-0367</c:v>
                </c:pt>
              </c:strCache>
            </c:strRef>
          </c:tx>
          <c:spPr>
            <a:ln w="19050">
              <a:noFill/>
            </a:ln>
          </c:spPr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Sheet1!$R$18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Sheet1!$Q$18</c:f>
              <c:numCache>
                <c:formatCode>General</c:formatCode>
                <c:ptCount val="1"/>
                <c:pt idx="0">
                  <c:v>55.499996666666661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Sheet1!$N$19</c:f>
              <c:strCache>
                <c:ptCount val="1"/>
                <c:pt idx="0">
                  <c:v>SA-0553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Sheet1!$R$19</c:f>
              <c:numCache>
                <c:formatCode>General</c:formatCode>
                <c:ptCount val="1"/>
                <c:pt idx="0">
                  <c:v>103</c:v>
                </c:pt>
              </c:numCache>
            </c:numRef>
          </c:xVal>
          <c:yVal>
            <c:numRef>
              <c:f>Sheet1!$Q$19</c:f>
              <c:numCache>
                <c:formatCode>General</c:formatCode>
                <c:ptCount val="1"/>
                <c:pt idx="0">
                  <c:v>101.7705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Sheet1!$N$20</c:f>
              <c:strCache>
                <c:ptCount val="1"/>
                <c:pt idx="0">
                  <c:v>SA-0299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Sheet1!$R$21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Sheet1!$Q$21</c:f>
              <c:numCache>
                <c:formatCode>General</c:formatCode>
                <c:ptCount val="1"/>
                <c:pt idx="0">
                  <c:v>25.583333333333332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Sheet1!$N$21</c:f>
              <c:strCache>
                <c:ptCount val="1"/>
                <c:pt idx="0">
                  <c:v>SA-0319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Sheet1!$R$21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Sheet1!$Q$21</c:f>
              <c:numCache>
                <c:formatCode>General</c:formatCode>
                <c:ptCount val="1"/>
                <c:pt idx="0">
                  <c:v>25.583333333333332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Sheet1!$N$22</c:f>
              <c:strCache>
                <c:ptCount val="1"/>
                <c:pt idx="0">
                  <c:v>SA-0324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Sheet1!$R$22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Sheet1!$Q$22</c:f>
              <c:numCache>
                <c:formatCode>General</c:formatCode>
                <c:ptCount val="1"/>
                <c:pt idx="0">
                  <c:v>34.791665999999999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Sheet1!$N$23</c:f>
              <c:strCache>
                <c:ptCount val="1"/>
                <c:pt idx="0">
                  <c:v>SA-0327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Sheet1!$R$23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Sheet1!$Q$23</c:f>
              <c:numCache>
                <c:formatCode>General</c:formatCode>
                <c:ptCount val="1"/>
                <c:pt idx="0">
                  <c:v>54.603829999999995</c:v>
                </c:pt>
              </c:numCache>
            </c:numRef>
          </c:yVal>
          <c:smooth val="0"/>
        </c:ser>
        <c:ser>
          <c:idx val="19"/>
          <c:order val="18"/>
          <c:tx>
            <c:strRef>
              <c:f>Sheet1!$N$24</c:f>
              <c:strCache>
                <c:ptCount val="1"/>
                <c:pt idx="0">
                  <c:v>RA-0549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Sheet1!$R$24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Sheet1!$Q$24</c:f>
              <c:numCache>
                <c:formatCode>General</c:formatCode>
                <c:ptCount val="1"/>
                <c:pt idx="0">
                  <c:v>50.165999999999997</c:v>
                </c:pt>
              </c:numCache>
            </c:numRef>
          </c:yVal>
          <c:smooth val="0"/>
        </c:ser>
        <c:ser>
          <c:idx val="20"/>
          <c:order val="19"/>
          <c:tx>
            <c:strRef>
              <c:f>Sheet1!$N$25</c:f>
              <c:strCache>
                <c:ptCount val="1"/>
                <c:pt idx="0">
                  <c:v>RA-0509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Sheet1!$R$25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Sheet1!$Q$25</c:f>
              <c:numCache>
                <c:formatCode>General</c:formatCode>
                <c:ptCount val="1"/>
                <c:pt idx="0">
                  <c:v>67.457999999999998</c:v>
                </c:pt>
              </c:numCache>
            </c:numRef>
          </c:yVal>
          <c:smooth val="0"/>
        </c:ser>
        <c:ser>
          <c:idx val="21"/>
          <c:order val="20"/>
          <c:tx>
            <c:strRef>
              <c:f>Sheet1!$N$26</c:f>
              <c:strCache>
                <c:ptCount val="1"/>
                <c:pt idx="0">
                  <c:v>RA-0431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Sheet1!$R$26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Sheet1!$Q$26</c:f>
              <c:numCache>
                <c:formatCode>General</c:formatCode>
                <c:ptCount val="1"/>
                <c:pt idx="0">
                  <c:v>75.145829999999989</c:v>
                </c:pt>
              </c:numCache>
            </c:numRef>
          </c:yVal>
          <c:smooth val="0"/>
        </c:ser>
        <c:ser>
          <c:idx val="22"/>
          <c:order val="21"/>
          <c:tx>
            <c:strRef>
              <c:f>Sheet1!$N$27</c:f>
              <c:strCache>
                <c:ptCount val="1"/>
                <c:pt idx="0">
                  <c:v>RA-0548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Sheet1!$R$27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Sheet1!$Q$27</c:f>
              <c:numCache>
                <c:formatCode>General</c:formatCode>
                <c:ptCount val="1"/>
                <c:pt idx="0">
                  <c:v>60.999600000000001</c:v>
                </c:pt>
              </c:numCache>
            </c:numRef>
          </c:yVal>
          <c:smooth val="0"/>
        </c:ser>
        <c:ser>
          <c:idx val="23"/>
          <c:order val="22"/>
          <c:tx>
            <c:strRef>
              <c:f>Sheet1!$N$28</c:f>
              <c:strCache>
                <c:ptCount val="1"/>
                <c:pt idx="0">
                  <c:v>SA-0555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Sheet1!$R$28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Sheet1!$Q$28</c:f>
              <c:numCache>
                <c:formatCode>General</c:formatCode>
                <c:ptCount val="1"/>
                <c:pt idx="0">
                  <c:v>62.125000299999996</c:v>
                </c:pt>
              </c:numCache>
            </c:numRef>
          </c:yVal>
          <c:smooth val="0"/>
        </c:ser>
        <c:ser>
          <c:idx val="24"/>
          <c:order val="23"/>
          <c:tx>
            <c:strRef>
              <c:f>Sheet1!$N$29</c:f>
              <c:strCache>
                <c:ptCount val="1"/>
                <c:pt idx="0">
                  <c:v>SA-0254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Sheet1!$R$29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Sheet1!$Q$29</c:f>
              <c:numCache>
                <c:formatCode>General</c:formatCode>
                <c:ptCount val="1"/>
                <c:pt idx="0">
                  <c:v>42.853829999999995</c:v>
                </c:pt>
              </c:numCache>
            </c:numRef>
          </c:yVal>
          <c:smooth val="0"/>
        </c:ser>
        <c:ser>
          <c:idx val="9"/>
          <c:order val="24"/>
          <c:tx>
            <c:strRef>
              <c:f>Sheet1!$N$30</c:f>
              <c:strCache>
                <c:ptCount val="1"/>
                <c:pt idx="0">
                  <c:v>SA-0483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Sheet1!$R$30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Sheet1!$Q$30</c:f>
              <c:numCache>
                <c:formatCode>General</c:formatCode>
                <c:ptCount val="1"/>
                <c:pt idx="0">
                  <c:v>42.875</c:v>
                </c:pt>
              </c:numCache>
            </c:numRef>
          </c:yVal>
          <c:smooth val="0"/>
        </c:ser>
        <c:ser>
          <c:idx val="25"/>
          <c:order val="25"/>
          <c:tx>
            <c:strRef>
              <c:f>Sheet1!$N$32</c:f>
              <c:strCache>
                <c:ptCount val="1"/>
                <c:pt idx="0">
                  <c:v>RA-0282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Sheet1!$R$32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Sheet1!$Q$34</c:f>
              <c:numCache>
                <c:formatCode>General</c:formatCode>
                <c:ptCount val="1"/>
                <c:pt idx="0">
                  <c:v>40.707999999999998</c:v>
                </c:pt>
              </c:numCache>
            </c:numRef>
          </c:yVal>
          <c:smooth val="0"/>
        </c:ser>
        <c:ser>
          <c:idx val="26"/>
          <c:order val="26"/>
          <c:tx>
            <c:strRef>
              <c:f>Sheet1!$N$36</c:f>
              <c:strCache>
                <c:ptCount val="1"/>
                <c:pt idx="0">
                  <c:v>RA-0152</c:v>
                </c:pt>
              </c:strCache>
            </c:strRef>
          </c:tx>
          <c:spPr>
            <a:ln w="19050">
              <a:noFill/>
            </a:ln>
          </c:spPr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Sheet1!$R$36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Sheet1!$Q$36</c:f>
              <c:numCache>
                <c:formatCode>General</c:formatCode>
                <c:ptCount val="1"/>
                <c:pt idx="0">
                  <c:v>65.4375</c:v>
                </c:pt>
              </c:numCache>
            </c:numRef>
          </c:yVal>
          <c:smooth val="0"/>
        </c:ser>
        <c:ser>
          <c:idx val="27"/>
          <c:order val="27"/>
          <c:tx>
            <c:strRef>
              <c:f>Sheet1!$N$34</c:f>
              <c:strCache>
                <c:ptCount val="1"/>
                <c:pt idx="0">
                  <c:v>SA-0322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Sheet1!$R$34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Sheet1!$Q$34</c:f>
              <c:numCache>
                <c:formatCode>General</c:formatCode>
                <c:ptCount val="1"/>
                <c:pt idx="0">
                  <c:v>40.707999999999998</c:v>
                </c:pt>
              </c:numCache>
            </c:numRef>
          </c:yVal>
          <c:smooth val="0"/>
        </c:ser>
        <c:ser>
          <c:idx val="28"/>
          <c:order val="28"/>
          <c:tx>
            <c:strRef>
              <c:f>Sheet1!$N$33</c:f>
              <c:strCache>
                <c:ptCount val="1"/>
                <c:pt idx="0">
                  <c:v>SA-0562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Sheet1!$R$33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Sheet1!$Q$33</c:f>
              <c:numCache>
                <c:formatCode>General</c:formatCode>
                <c:ptCount val="1"/>
                <c:pt idx="0">
                  <c:v>91.895833333335801</c:v>
                </c:pt>
              </c:numCache>
            </c:numRef>
          </c:yVal>
          <c:smooth val="0"/>
        </c:ser>
        <c:ser>
          <c:idx val="29"/>
          <c:order val="29"/>
          <c:tx>
            <c:strRef>
              <c:f>Sheet1!$N$35</c:f>
              <c:strCache>
                <c:ptCount val="1"/>
                <c:pt idx="0">
                  <c:v>SA-0158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Sheet1!$R$35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Sheet1!$Q$35</c:f>
              <c:numCache>
                <c:formatCode>General</c:formatCode>
                <c:ptCount val="1"/>
                <c:pt idx="0">
                  <c:v>45.541666666664241</c:v>
                </c:pt>
              </c:numCache>
            </c:numRef>
          </c:yVal>
          <c:smooth val="0"/>
        </c:ser>
        <c:ser>
          <c:idx val="30"/>
          <c:order val="30"/>
          <c:tx>
            <c:strRef>
              <c:f>Sheet1!$N$36</c:f>
              <c:strCache>
                <c:ptCount val="1"/>
                <c:pt idx="0">
                  <c:v>RA-0152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Sheet1!$R$36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Sheet1!$Q$36</c:f>
              <c:numCache>
                <c:formatCode>General</c:formatCode>
                <c:ptCount val="1"/>
                <c:pt idx="0">
                  <c:v>65.4375</c:v>
                </c:pt>
              </c:numCache>
            </c:numRef>
          </c:yVal>
          <c:smooth val="0"/>
        </c:ser>
        <c:ser>
          <c:idx val="31"/>
          <c:order val="31"/>
          <c:tx>
            <c:strRef>
              <c:f>Sheet1!$N$37</c:f>
              <c:strCache>
                <c:ptCount val="1"/>
                <c:pt idx="0">
                  <c:v>SA-0221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Sheet1!$R$37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Sheet1!$Q$37</c:f>
              <c:numCache>
                <c:formatCode>General</c:formatCode>
                <c:ptCount val="1"/>
                <c:pt idx="0">
                  <c:v>97.833333333335759</c:v>
                </c:pt>
              </c:numCache>
            </c:numRef>
          </c:yVal>
          <c:smooth val="0"/>
        </c:ser>
        <c:ser>
          <c:idx val="32"/>
          <c:order val="32"/>
          <c:tx>
            <c:strRef>
              <c:f>Sheet1!$N$38</c:f>
              <c:strCache>
                <c:ptCount val="1"/>
                <c:pt idx="0">
                  <c:v>SA-0184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Sheet1!$R$38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Sheet1!$Q$38</c:f>
              <c:numCache>
                <c:formatCode>General</c:formatCode>
                <c:ptCount val="1"/>
                <c:pt idx="0">
                  <c:v>49.916666666664241</c:v>
                </c:pt>
              </c:numCache>
            </c:numRef>
          </c:yVal>
          <c:smooth val="0"/>
        </c:ser>
        <c:ser>
          <c:idx val="33"/>
          <c:order val="33"/>
          <c:tx>
            <c:strRef>
              <c:f>Sheet1!$N$39</c:f>
              <c:strCache>
                <c:ptCount val="1"/>
                <c:pt idx="0">
                  <c:v>SA-0115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Sheet1!$R$39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Sheet1!$Q$39</c:f>
              <c:numCache>
                <c:formatCode>General</c:formatCode>
                <c:ptCount val="1"/>
                <c:pt idx="0">
                  <c:v>37.583333333328483</c:v>
                </c:pt>
              </c:numCache>
            </c:numRef>
          </c:yVal>
          <c:smooth val="0"/>
        </c:ser>
        <c:ser>
          <c:idx val="34"/>
          <c:order val="34"/>
          <c:tx>
            <c:strRef>
              <c:f>Sheet1!$N$40</c:f>
              <c:strCache>
                <c:ptCount val="1"/>
                <c:pt idx="0">
                  <c:v>RA-0554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Sheet1!$R$40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Sheet1!$Q$40</c:f>
              <c:numCache>
                <c:formatCode>General</c:formatCode>
                <c:ptCount val="1"/>
                <c:pt idx="0">
                  <c:v>53.625</c:v>
                </c:pt>
              </c:numCache>
            </c:numRef>
          </c:yVal>
          <c:smooth val="0"/>
        </c:ser>
        <c:ser>
          <c:idx val="35"/>
          <c:order val="35"/>
          <c:tx>
            <c:strRef>
              <c:f>Sheet1!$N$42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Sheet1!$R$42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6"/>
          <c:order val="36"/>
          <c:tx>
            <c:strRef>
              <c:f>Sheet1!$N$43</c:f>
              <c:strCache>
                <c:ptCount val="1"/>
                <c:pt idx="0">
                  <c:v>RA-0304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Sheet1!$R$43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Sheet1!$Q$43</c:f>
              <c:numCache>
                <c:formatCode>General</c:formatCode>
                <c:ptCount val="1"/>
                <c:pt idx="0">
                  <c:v>29</c:v>
                </c:pt>
              </c:numCache>
            </c:numRef>
          </c:yVal>
          <c:smooth val="0"/>
        </c:ser>
        <c:ser>
          <c:idx val="37"/>
          <c:order val="37"/>
          <c:tx>
            <c:strRef>
              <c:f>Sheet1!$N$44</c:f>
              <c:strCache>
                <c:ptCount val="1"/>
                <c:pt idx="0">
                  <c:v>SA-0570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Sheet1!$R$44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Sheet1!$Q$44</c:f>
              <c:numCache>
                <c:formatCode>General</c:formatCode>
                <c:ptCount val="1"/>
                <c:pt idx="0">
                  <c:v>48</c:v>
                </c:pt>
              </c:numCache>
            </c:numRef>
          </c:yVal>
          <c:smooth val="0"/>
        </c:ser>
        <c:ser>
          <c:idx val="38"/>
          <c:order val="38"/>
          <c:tx>
            <c:strRef>
              <c:f>Sheet1!$N$45</c:f>
              <c:strCache>
                <c:ptCount val="1"/>
                <c:pt idx="0">
                  <c:v>SA-0328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Sheet1!$R$45</c:f>
              <c:numCache>
                <c:formatCode>General</c:formatCode>
                <c:ptCount val="1"/>
                <c:pt idx="0">
                  <c:v>54</c:v>
                </c:pt>
              </c:numCache>
            </c:numRef>
          </c:xVal>
          <c:yVal>
            <c:numRef>
              <c:f>Sheet1!$Q$45</c:f>
              <c:numCache>
                <c:formatCode>General</c:formatCode>
                <c:ptCount val="1"/>
                <c:pt idx="0">
                  <c:v>59</c:v>
                </c:pt>
              </c:numCache>
            </c:numRef>
          </c:yVal>
          <c:smooth val="0"/>
        </c:ser>
        <c:ser>
          <c:idx val="39"/>
          <c:order val="39"/>
          <c:tx>
            <c:strRef>
              <c:f>Sheet1!$N$46</c:f>
              <c:strCache>
                <c:ptCount val="1"/>
                <c:pt idx="0">
                  <c:v>SA-0393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Sheet1!$R$46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Sheet1!$Q$46</c:f>
              <c:numCache>
                <c:formatCode>General</c:formatCode>
                <c:ptCount val="1"/>
                <c:pt idx="0">
                  <c:v>53</c:v>
                </c:pt>
              </c:numCache>
            </c:numRef>
          </c:yVal>
          <c:smooth val="0"/>
        </c:ser>
        <c:ser>
          <c:idx val="40"/>
          <c:order val="40"/>
          <c:tx>
            <c:strRef>
              <c:f>Sheet1!$N$47</c:f>
              <c:strCache>
                <c:ptCount val="1"/>
                <c:pt idx="0">
                  <c:v>RA-0555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Sheet1!$R$47</c:f>
              <c:numCache>
                <c:formatCode>General</c:formatCode>
                <c:ptCount val="1"/>
                <c:pt idx="0">
                  <c:v>75</c:v>
                </c:pt>
              </c:numCache>
            </c:numRef>
          </c:xVal>
          <c:yVal>
            <c:numRef>
              <c:f>Sheet1!$Q$47</c:f>
              <c:numCache>
                <c:formatCode>General</c:formatCode>
                <c:ptCount val="1"/>
                <c:pt idx="0">
                  <c:v>47</c:v>
                </c:pt>
              </c:numCache>
            </c:numRef>
          </c:yVal>
          <c:smooth val="0"/>
        </c:ser>
        <c:ser>
          <c:idx val="41"/>
          <c:order val="41"/>
          <c:tx>
            <c:strRef>
              <c:f>Sheet1!$N$48</c:f>
              <c:strCache>
                <c:ptCount val="1"/>
                <c:pt idx="0">
                  <c:v>RA-0477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Sheet1!$R$48</c:f>
              <c:numCache>
                <c:formatCode>General</c:formatCode>
                <c:ptCount val="1"/>
                <c:pt idx="0">
                  <c:v>103</c:v>
                </c:pt>
              </c:numCache>
            </c:numRef>
          </c:xVal>
          <c:yVal>
            <c:numRef>
              <c:f>Sheet1!$Q$48</c:f>
              <c:numCache>
                <c:formatCode>General</c:formatCode>
                <c:ptCount val="1"/>
                <c:pt idx="0">
                  <c:v>97</c:v>
                </c:pt>
              </c:numCache>
            </c:numRef>
          </c:yVal>
          <c:smooth val="0"/>
        </c:ser>
        <c:ser>
          <c:idx val="42"/>
          <c:order val="42"/>
          <c:tx>
            <c:strRef>
              <c:f>Sheet1!$N$49</c:f>
              <c:strCache>
                <c:ptCount val="1"/>
                <c:pt idx="0">
                  <c:v>SA-0480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Sheet1!$R$49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Sheet1!$Q$49</c:f>
              <c:numCache>
                <c:formatCode>General</c:formatCode>
                <c:ptCount val="1"/>
                <c:pt idx="0">
                  <c:v>56</c:v>
                </c:pt>
              </c:numCache>
            </c:numRef>
          </c:yVal>
          <c:smooth val="0"/>
        </c:ser>
        <c:ser>
          <c:idx val="43"/>
          <c:order val="43"/>
          <c:tx>
            <c:strRef>
              <c:f>Sheet1!$N$50</c:f>
              <c:strCache>
                <c:ptCount val="1"/>
                <c:pt idx="0">
                  <c:v>SA-0372</c:v>
                </c:pt>
              </c:strCache>
            </c:strRef>
          </c:tx>
          <c:spPr>
            <a:ln w="19050">
              <a:noFill/>
            </a:ln>
          </c:spPr>
          <c:xVal>
            <c:numRef>
              <c:f>Sheet1!$R$50</c:f>
              <c:numCache>
                <c:formatCode>General</c:formatCode>
                <c:ptCount val="1"/>
                <c:pt idx="0">
                  <c:v>61</c:v>
                </c:pt>
              </c:numCache>
            </c:numRef>
          </c:xVal>
          <c:yVal>
            <c:numRef>
              <c:f>Sheet1!$Q$50</c:f>
              <c:numCache>
                <c:formatCode>General</c:formatCode>
                <c:ptCount val="1"/>
                <c:pt idx="0">
                  <c:v>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86392"/>
        <c:axId val="454286784"/>
      </c:scatterChart>
      <c:valAx>
        <c:axId val="454286392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Planned Days (RR to RR)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4286784"/>
        <c:crosses val="autoZero"/>
        <c:crossBetween val="midCat"/>
        <c:majorUnit val="20"/>
      </c:valAx>
      <c:valAx>
        <c:axId val="454286784"/>
        <c:scaling>
          <c:orientation val="minMax"/>
          <c:max val="1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Actual Days (RR to RR)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4286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NK Rig Count for RA &amp; SA Field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 w="25400">
              <a:noFill/>
            </a:ln>
          </c:spPr>
          <c:invertIfNegative val="0"/>
          <c:dPt>
            <c:idx val="2"/>
            <c:invertIfNegative val="0"/>
            <c:bubble3D val="0"/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10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dPt>
            <c:idx val="11"/>
            <c:invertIfNegative val="0"/>
            <c:bubble3D val="0"/>
            <c:spPr>
              <a:solidFill>
                <a:srgbClr val="ED7D31"/>
              </a:solidFill>
              <a:ln w="25400">
                <a:noFill/>
              </a:ln>
            </c:spPr>
          </c:dPt>
          <c:cat>
            <c:numRef>
              <c:f>Sheet1!$A$27:$A$41</c:f>
              <c:numCache>
                <c:formatCode>mmm\-yy</c:formatCode>
                <c:ptCount val="15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  <c:pt idx="13">
                  <c:v>42125</c:v>
                </c:pt>
                <c:pt idx="14">
                  <c:v>42156</c:v>
                </c:pt>
              </c:numCache>
            </c:numRef>
          </c:cat>
          <c:val>
            <c:numRef>
              <c:f>Sheet1!$B$27:$B$41</c:f>
              <c:numCache>
                <c:formatCode>General</c:formatCode>
                <c:ptCount val="15"/>
                <c:pt idx="0">
                  <c:v>9</c:v>
                </c:pt>
                <c:pt idx="1">
                  <c:v>8.5</c:v>
                </c:pt>
                <c:pt idx="2">
                  <c:v>9.5</c:v>
                </c:pt>
                <c:pt idx="3">
                  <c:v>10</c:v>
                </c:pt>
                <c:pt idx="4">
                  <c:v>9.5</c:v>
                </c:pt>
                <c:pt idx="5">
                  <c:v>10</c:v>
                </c:pt>
                <c:pt idx="6">
                  <c:v>14</c:v>
                </c:pt>
                <c:pt idx="7">
                  <c:v>14</c:v>
                </c:pt>
                <c:pt idx="8">
                  <c:v>14.5</c:v>
                </c:pt>
                <c:pt idx="9">
                  <c:v>16</c:v>
                </c:pt>
                <c:pt idx="10">
                  <c:v>16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442792"/>
        <c:axId val="584443184"/>
      </c:barChart>
      <c:lineChart>
        <c:grouping val="standard"/>
        <c:varyColors val="0"/>
        <c:ser>
          <c:idx val="1"/>
          <c:order val="1"/>
          <c:tx>
            <c:v> Expected Average Rig Count</c:v>
          </c:tx>
          <c:spPr>
            <a:ln w="25400">
              <a:solidFill>
                <a:srgbClr val="33CCCC"/>
              </a:solidFill>
              <a:prstDash val="sysDash"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  <a:prstDash val="solid"/>
              </a:ln>
            </c:spPr>
          </c:marker>
          <c:val>
            <c:numRef>
              <c:f>Sheet1!$C$27:$C$41</c:f>
              <c:numCache>
                <c:formatCode>General</c:formatCode>
                <c:ptCount val="15"/>
                <c:pt idx="0">
                  <c:v>9</c:v>
                </c:pt>
                <c:pt idx="1">
                  <c:v>8.75</c:v>
                </c:pt>
                <c:pt idx="2">
                  <c:v>9</c:v>
                </c:pt>
                <c:pt idx="3">
                  <c:v>9.25</c:v>
                </c:pt>
                <c:pt idx="4">
                  <c:v>9.3000000000000007</c:v>
                </c:pt>
                <c:pt idx="5">
                  <c:v>9.4166666666666661</c:v>
                </c:pt>
                <c:pt idx="6">
                  <c:v>10.071428571428571</c:v>
                </c:pt>
                <c:pt idx="7">
                  <c:v>10.5625</c:v>
                </c:pt>
                <c:pt idx="8">
                  <c:v>11</c:v>
                </c:pt>
                <c:pt idx="9">
                  <c:v>11.5</c:v>
                </c:pt>
                <c:pt idx="10">
                  <c:v>11.909090909090908</c:v>
                </c:pt>
                <c:pt idx="11">
                  <c:v>12.166666666666666</c:v>
                </c:pt>
                <c:pt idx="12">
                  <c:v>12.666666666666666</c:v>
                </c:pt>
                <c:pt idx="13">
                  <c:v>13.291666666666666</c:v>
                </c:pt>
                <c:pt idx="14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42792"/>
        <c:axId val="584443184"/>
      </c:lineChart>
      <c:dateAx>
        <c:axId val="584442792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27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4443184"/>
        <c:crosses val="autoZero"/>
        <c:auto val="1"/>
        <c:lblOffset val="100"/>
        <c:baseTimeUnit val="days"/>
      </c:dateAx>
      <c:valAx>
        <c:axId val="584443184"/>
        <c:scaling>
          <c:orientation val="minMax"/>
          <c:min val="6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44427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overlay val="0"/>
      <c:spPr>
        <a:noFill/>
        <a:ln w="25400">
          <a:noFill/>
        </a:ln>
      </c:spPr>
      <c:txPr>
        <a:bodyPr/>
        <a:lstStyle/>
        <a:p>
          <a:pPr>
            <a:defRPr sz="69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NK 2014/15 AAP Well Count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MA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numRef>
              <c:f>Sheet1!$A$27:$A$29</c:f>
              <c:numCache>
                <c:formatCode>mmm\-yy</c:formatCode>
                <c:ptCount val="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</c:numCache>
            </c:numRef>
          </c:cat>
          <c:val>
            <c:numRef>
              <c:f>Sheet1!$D$27:$D$29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LB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cat>
            <c:numRef>
              <c:f>Sheet1!$A$27:$A$29</c:f>
              <c:numCache>
                <c:formatCode>mmm\-yy</c:formatCode>
                <c:ptCount val="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</c:numCache>
            </c:numRef>
          </c:cat>
          <c:val>
            <c:numRef>
              <c:f>Sheet1!$E$27:$E$29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Sheet1!$G$2</c:f>
              <c:strCache>
                <c:ptCount val="1"/>
                <c:pt idx="0">
                  <c:v>ZU / RT</c:v>
                </c:pt>
              </c:strCache>
            </c:strRef>
          </c:tx>
          <c:spPr>
            <a:solidFill>
              <a:srgbClr val="A5A5A5"/>
            </a:solidFill>
            <a:ln w="25400">
              <a:noFill/>
            </a:ln>
          </c:spPr>
          <c:invertIfNegative val="0"/>
          <c:cat>
            <c:numRef>
              <c:f>Sheet1!$A$27:$A$29</c:f>
              <c:numCache>
                <c:formatCode>mmm\-yy</c:formatCode>
                <c:ptCount val="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</c:numCache>
            </c:numRef>
          </c:cat>
          <c:val>
            <c:numRef>
              <c:f>Sheet1!$G$27:$G$29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84443968"/>
        <c:axId val="584444360"/>
      </c:barChart>
      <c:lineChart>
        <c:grouping val="standard"/>
        <c:varyColors val="0"/>
        <c:ser>
          <c:idx val="3"/>
          <c:order val="3"/>
          <c:tx>
            <c:v>Cumulative Well Count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val>
            <c:numRef>
              <c:f>Sheet1!$J$27:$J$29</c:f>
              <c:numCache>
                <c:formatCode>General</c:formatCode>
                <c:ptCount val="3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44752"/>
        <c:axId val="584445144"/>
      </c:lineChart>
      <c:dateAx>
        <c:axId val="584443968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4444360"/>
        <c:crosses val="autoZero"/>
        <c:auto val="1"/>
        <c:lblOffset val="100"/>
        <c:baseTimeUnit val="months"/>
      </c:dateAx>
      <c:valAx>
        <c:axId val="5844443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Monthly Well Count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4443968"/>
        <c:crosses val="autoZero"/>
        <c:crossBetween val="between"/>
      </c:valAx>
      <c:catAx>
        <c:axId val="584444752"/>
        <c:scaling>
          <c:orientation val="minMax"/>
        </c:scaling>
        <c:delete val="1"/>
        <c:axPos val="b"/>
        <c:majorTickMark val="out"/>
        <c:minorTickMark val="none"/>
        <c:tickLblPos val="nextTo"/>
        <c:crossAx val="584445144"/>
        <c:crosses val="autoZero"/>
        <c:auto val="1"/>
        <c:lblAlgn val="ctr"/>
        <c:lblOffset val="100"/>
        <c:noMultiLvlLbl val="0"/>
      </c:catAx>
      <c:valAx>
        <c:axId val="5844451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Well Count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4444752"/>
        <c:crosses val="max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940320892724229"/>
          <c:y val="0.88719640227898333"/>
          <c:w val="0.75266614061302028"/>
          <c:h val="6.402439024390238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Current Wells Drilling (Spud to RR)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strRef>
              <c:f>'Well Data-NK'!$A$132:$A$186</c:f>
              <c:strCache>
                <c:ptCount val="55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</c:strCache>
            </c:strRef>
          </c:cat>
          <c:val>
            <c:numRef>
              <c:f>'Well Data-NK'!$Q$132:$Q$186</c:f>
              <c:numCache>
                <c:formatCode>General</c:formatCode>
                <c:ptCount val="55"/>
                <c:pt idx="0">
                  <c:v>59.3958333</c:v>
                </c:pt>
                <c:pt idx="1">
                  <c:v>40.770829999999997</c:v>
                </c:pt>
                <c:pt idx="2">
                  <c:v>40.833333333335759</c:v>
                </c:pt>
                <c:pt idx="3">
                  <c:v>28.666666666664241</c:v>
                </c:pt>
                <c:pt idx="4">
                  <c:v>30.791666666664199</c:v>
                </c:pt>
                <c:pt idx="5">
                  <c:v>78.875</c:v>
                </c:pt>
                <c:pt idx="6">
                  <c:v>38</c:v>
                </c:pt>
                <c:pt idx="7">
                  <c:v>42.708333333328483</c:v>
                </c:pt>
                <c:pt idx="8">
                  <c:v>31.125</c:v>
                </c:pt>
                <c:pt idx="9">
                  <c:v>64.5</c:v>
                </c:pt>
                <c:pt idx="10">
                  <c:v>47.833333333335759</c:v>
                </c:pt>
                <c:pt idx="11">
                  <c:v>35.083333333328483</c:v>
                </c:pt>
                <c:pt idx="12">
                  <c:v>47.791666666664241</c:v>
                </c:pt>
                <c:pt idx="13">
                  <c:v>30.1875</c:v>
                </c:pt>
                <c:pt idx="14">
                  <c:v>52.083333333328483</c:v>
                </c:pt>
                <c:pt idx="15">
                  <c:v>27</c:v>
                </c:pt>
                <c:pt idx="16">
                  <c:v>48</c:v>
                </c:pt>
                <c:pt idx="17">
                  <c:v>57</c:v>
                </c:pt>
                <c:pt idx="18">
                  <c:v>52</c:v>
                </c:pt>
                <c:pt idx="19">
                  <c:v>47</c:v>
                </c:pt>
                <c:pt idx="20">
                  <c:v>97</c:v>
                </c:pt>
                <c:pt idx="21">
                  <c:v>56</c:v>
                </c:pt>
                <c:pt idx="22">
                  <c:v>44</c:v>
                </c:pt>
                <c:pt idx="23">
                  <c:v>64</c:v>
                </c:pt>
                <c:pt idx="24">
                  <c:v>37.583333333335759</c:v>
                </c:pt>
                <c:pt idx="25">
                  <c:v>52</c:v>
                </c:pt>
                <c:pt idx="26">
                  <c:v>66</c:v>
                </c:pt>
                <c:pt idx="27">
                  <c:v>159.47916666666424</c:v>
                </c:pt>
                <c:pt idx="28">
                  <c:v>77</c:v>
                </c:pt>
                <c:pt idx="29">
                  <c:v>39</c:v>
                </c:pt>
                <c:pt idx="30">
                  <c:v>51</c:v>
                </c:pt>
                <c:pt idx="31">
                  <c:v>43.479166666671517</c:v>
                </c:pt>
                <c:pt idx="32">
                  <c:v>67</c:v>
                </c:pt>
                <c:pt idx="33">
                  <c:v>54</c:v>
                </c:pt>
                <c:pt idx="34">
                  <c:v>33</c:v>
                </c:pt>
                <c:pt idx="35">
                  <c:v>74</c:v>
                </c:pt>
                <c:pt idx="36">
                  <c:v>42</c:v>
                </c:pt>
                <c:pt idx="37">
                  <c:v>67</c:v>
                </c:pt>
                <c:pt idx="38">
                  <c:v>45.125</c:v>
                </c:pt>
                <c:pt idx="39">
                  <c:v>52.791666666664241</c:v>
                </c:pt>
                <c:pt idx="40">
                  <c:v>81.958333333335759</c:v>
                </c:pt>
                <c:pt idx="41">
                  <c:v>59.6875</c:v>
                </c:pt>
                <c:pt idx="42">
                  <c:v>49.75</c:v>
                </c:pt>
                <c:pt idx="43">
                  <c:v>68</c:v>
                </c:pt>
                <c:pt idx="44">
                  <c:v>51.916666666664241</c:v>
                </c:pt>
                <c:pt idx="45">
                  <c:v>56.895833333328483</c:v>
                </c:pt>
                <c:pt idx="46">
                  <c:v>83.458333333335759</c:v>
                </c:pt>
                <c:pt idx="47">
                  <c:v>37</c:v>
                </c:pt>
                <c:pt idx="48">
                  <c:v>99</c:v>
                </c:pt>
                <c:pt idx="49">
                  <c:v>43.458333333335759</c:v>
                </c:pt>
                <c:pt idx="50">
                  <c:v>36.416666666671517</c:v>
                </c:pt>
                <c:pt idx="51">
                  <c:v>42.25</c:v>
                </c:pt>
                <c:pt idx="52">
                  <c:v>61.291666666664241</c:v>
                </c:pt>
                <c:pt idx="53">
                  <c:v>56.125</c:v>
                </c:pt>
                <c:pt idx="54">
                  <c:v>72.625</c:v>
                </c:pt>
              </c:numCache>
            </c:numRef>
          </c:val>
        </c:ser>
        <c:ser>
          <c:idx val="2"/>
          <c:order val="1"/>
          <c:spPr>
            <a:solidFill>
              <a:srgbClr val="A5A5A5"/>
            </a:solidFill>
            <a:ln w="25400">
              <a:noFill/>
            </a:ln>
          </c:spPr>
          <c:invertIfNegative val="0"/>
          <c:cat>
            <c:strRef>
              <c:f>'Well Data-NK'!$A$132:$A$186</c:f>
              <c:strCache>
                <c:ptCount val="55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</c:strCache>
            </c:strRef>
          </c:cat>
          <c:val>
            <c:numRef>
              <c:f>'Well Data-NK'!$S$132:$S$186</c:f>
              <c:numCache>
                <c:formatCode>General</c:formatCode>
                <c:ptCount val="55"/>
                <c:pt idx="0">
                  <c:v>70</c:v>
                </c:pt>
                <c:pt idx="1">
                  <c:v>56</c:v>
                </c:pt>
                <c:pt idx="2">
                  <c:v>56</c:v>
                </c:pt>
                <c:pt idx="3">
                  <c:v>49</c:v>
                </c:pt>
                <c:pt idx="4">
                  <c:v>49</c:v>
                </c:pt>
                <c:pt idx="5">
                  <c:v>70</c:v>
                </c:pt>
                <c:pt idx="6">
                  <c:v>49</c:v>
                </c:pt>
                <c:pt idx="7">
                  <c:v>56</c:v>
                </c:pt>
                <c:pt idx="8">
                  <c:v>49</c:v>
                </c:pt>
                <c:pt idx="9">
                  <c:v>56</c:v>
                </c:pt>
                <c:pt idx="10">
                  <c:v>49</c:v>
                </c:pt>
                <c:pt idx="11">
                  <c:v>49</c:v>
                </c:pt>
                <c:pt idx="12">
                  <c:v>70</c:v>
                </c:pt>
                <c:pt idx="13">
                  <c:v>49</c:v>
                </c:pt>
                <c:pt idx="14">
                  <c:v>56</c:v>
                </c:pt>
                <c:pt idx="15">
                  <c:v>49</c:v>
                </c:pt>
                <c:pt idx="16">
                  <c:v>70</c:v>
                </c:pt>
                <c:pt idx="17">
                  <c:v>49</c:v>
                </c:pt>
                <c:pt idx="18">
                  <c:v>56</c:v>
                </c:pt>
                <c:pt idx="19">
                  <c:v>70</c:v>
                </c:pt>
                <c:pt idx="20">
                  <c:v>98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98</c:v>
                </c:pt>
                <c:pt idx="28">
                  <c:v>56</c:v>
                </c:pt>
                <c:pt idx="29">
                  <c:v>49</c:v>
                </c:pt>
                <c:pt idx="30">
                  <c:v>70</c:v>
                </c:pt>
                <c:pt idx="31">
                  <c:v>49</c:v>
                </c:pt>
                <c:pt idx="32">
                  <c:v>70</c:v>
                </c:pt>
                <c:pt idx="33">
                  <c:v>56</c:v>
                </c:pt>
                <c:pt idx="34">
                  <c:v>49</c:v>
                </c:pt>
                <c:pt idx="35">
                  <c:v>49</c:v>
                </c:pt>
                <c:pt idx="36">
                  <c:v>56</c:v>
                </c:pt>
                <c:pt idx="37">
                  <c:v>49</c:v>
                </c:pt>
                <c:pt idx="38">
                  <c:v>56</c:v>
                </c:pt>
                <c:pt idx="39">
                  <c:v>56</c:v>
                </c:pt>
                <c:pt idx="40">
                  <c:v>70</c:v>
                </c:pt>
                <c:pt idx="41">
                  <c:v>98</c:v>
                </c:pt>
                <c:pt idx="42">
                  <c:v>70</c:v>
                </c:pt>
                <c:pt idx="43">
                  <c:v>70</c:v>
                </c:pt>
                <c:pt idx="44">
                  <c:v>56</c:v>
                </c:pt>
                <c:pt idx="45">
                  <c:v>70</c:v>
                </c:pt>
                <c:pt idx="46">
                  <c:v>98</c:v>
                </c:pt>
                <c:pt idx="47">
                  <c:v>0</c:v>
                </c:pt>
                <c:pt idx="48">
                  <c:v>70</c:v>
                </c:pt>
                <c:pt idx="49">
                  <c:v>63</c:v>
                </c:pt>
                <c:pt idx="50">
                  <c:v>56</c:v>
                </c:pt>
                <c:pt idx="51">
                  <c:v>70</c:v>
                </c:pt>
                <c:pt idx="52">
                  <c:v>49</c:v>
                </c:pt>
                <c:pt idx="53">
                  <c:v>70</c:v>
                </c:pt>
                <c:pt idx="54">
                  <c:v>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445928"/>
        <c:axId val="585129600"/>
      </c:barChart>
      <c:lineChart>
        <c:grouping val="standard"/>
        <c:varyColors val="0"/>
        <c:ser>
          <c:idx val="1"/>
          <c:order val="2"/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ED7D31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'Well Data-NK'!$A$132:$A$186</c:f>
              <c:strCache>
                <c:ptCount val="55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</c:strCache>
            </c:strRef>
          </c:cat>
          <c:val>
            <c:numRef>
              <c:f>'Well Data-NK'!$T$132:$T$186</c:f>
              <c:numCache>
                <c:formatCode>General</c:formatCode>
                <c:ptCount val="55"/>
                <c:pt idx="0">
                  <c:v>35</c:v>
                </c:pt>
                <c:pt idx="1">
                  <c:v>#N/A</c:v>
                </c:pt>
                <c:pt idx="2">
                  <c:v>27</c:v>
                </c:pt>
                <c:pt idx="3">
                  <c:v>25</c:v>
                </c:pt>
                <c:pt idx="4">
                  <c:v>25</c:v>
                </c:pt>
                <c:pt idx="5">
                  <c:v>33</c:v>
                </c:pt>
                <c:pt idx="6">
                  <c:v>25</c:v>
                </c:pt>
                <c:pt idx="7">
                  <c:v>27</c:v>
                </c:pt>
                <c:pt idx="8">
                  <c:v>25</c:v>
                </c:pt>
                <c:pt idx="9">
                  <c:v>#N/A</c:v>
                </c:pt>
                <c:pt idx="10">
                  <c:v>25</c:v>
                </c:pt>
                <c:pt idx="11">
                  <c:v>25</c:v>
                </c:pt>
                <c:pt idx="12">
                  <c:v>35</c:v>
                </c:pt>
                <c:pt idx="13">
                  <c:v>25</c:v>
                </c:pt>
                <c:pt idx="14">
                  <c:v>27</c:v>
                </c:pt>
                <c:pt idx="15">
                  <c:v>25</c:v>
                </c:pt>
                <c:pt idx="16">
                  <c:v>33</c:v>
                </c:pt>
                <c:pt idx="17">
                  <c:v>25</c:v>
                </c:pt>
                <c:pt idx="18">
                  <c:v>#N/A</c:v>
                </c:pt>
                <c:pt idx="19">
                  <c:v>33</c:v>
                </c:pt>
                <c:pt idx="20">
                  <c:v>75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35</c:v>
                </c:pt>
                <c:pt idx="25">
                  <c:v>33</c:v>
                </c:pt>
                <c:pt idx="26">
                  <c:v>33</c:v>
                </c:pt>
                <c:pt idx="27">
                  <c:v>75</c:v>
                </c:pt>
                <c:pt idx="28">
                  <c:v>27</c:v>
                </c:pt>
                <c:pt idx="29">
                  <c:v>25</c:v>
                </c:pt>
                <c:pt idx="30">
                  <c:v>35</c:v>
                </c:pt>
                <c:pt idx="31">
                  <c:v>25</c:v>
                </c:pt>
                <c:pt idx="32">
                  <c:v>33</c:v>
                </c:pt>
                <c:pt idx="33">
                  <c:v>27</c:v>
                </c:pt>
                <c:pt idx="34">
                  <c:v>25</c:v>
                </c:pt>
                <c:pt idx="35">
                  <c:v>25</c:v>
                </c:pt>
                <c:pt idx="36">
                  <c:v>27</c:v>
                </c:pt>
                <c:pt idx="37">
                  <c:v>25</c:v>
                </c:pt>
                <c:pt idx="38">
                  <c:v>27</c:v>
                </c:pt>
                <c:pt idx="39">
                  <c:v>27</c:v>
                </c:pt>
                <c:pt idx="40">
                  <c:v>35</c:v>
                </c:pt>
                <c:pt idx="41">
                  <c:v>75</c:v>
                </c:pt>
                <c:pt idx="42">
                  <c:v>35</c:v>
                </c:pt>
                <c:pt idx="43">
                  <c:v>35</c:v>
                </c:pt>
                <c:pt idx="44">
                  <c:v>27</c:v>
                </c:pt>
                <c:pt idx="45">
                  <c:v>35</c:v>
                </c:pt>
                <c:pt idx="46">
                  <c:v>75</c:v>
                </c:pt>
                <c:pt idx="47">
                  <c:v>#N/A</c:v>
                </c:pt>
                <c:pt idx="48">
                  <c:v>33</c:v>
                </c:pt>
                <c:pt idx="49">
                  <c:v>35</c:v>
                </c:pt>
                <c:pt idx="50">
                  <c:v>27</c:v>
                </c:pt>
                <c:pt idx="51">
                  <c:v>35</c:v>
                </c:pt>
                <c:pt idx="52">
                  <c:v>25</c:v>
                </c:pt>
                <c:pt idx="53">
                  <c:v>35</c:v>
                </c:pt>
                <c:pt idx="54">
                  <c:v>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45928"/>
        <c:axId val="585129600"/>
      </c:lineChart>
      <c:catAx>
        <c:axId val="58444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270000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129600"/>
        <c:crosses val="autoZero"/>
        <c:auto val="1"/>
        <c:lblAlgn val="ctr"/>
        <c:lblOffset val="100"/>
        <c:tickLblSkip val="1"/>
        <c:noMultiLvlLbl val="0"/>
      </c:catAx>
      <c:valAx>
        <c:axId val="5851296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444592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sz="69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Well Lateral Length (9/1/2014</a:t>
            </a:r>
            <a:r>
              <a:rPr lang="en-US" baseline="0"/>
              <a:t> to current)</a:t>
            </a:r>
            <a:endParaRPr lang="en-US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strRef>
              <c:f>'Well Data-NK'!$A$132:$A$188</c:f>
              <c:strCache>
                <c:ptCount val="57"/>
                <c:pt idx="0">
                  <c:v>SA-0555</c:v>
                </c:pt>
                <c:pt idx="1">
                  <c:v>SA-0254</c:v>
                </c:pt>
                <c:pt idx="2">
                  <c:v>SA-0483</c:v>
                </c:pt>
                <c:pt idx="3">
                  <c:v>RA-0178</c:v>
                </c:pt>
                <c:pt idx="4">
                  <c:v>RA-0282</c:v>
                </c:pt>
                <c:pt idx="5">
                  <c:v>SA-0562</c:v>
                </c:pt>
                <c:pt idx="6">
                  <c:v>SA-0322</c:v>
                </c:pt>
                <c:pt idx="7">
                  <c:v>SA-0158</c:v>
                </c:pt>
                <c:pt idx="8">
                  <c:v>RA-0152</c:v>
                </c:pt>
                <c:pt idx="9">
                  <c:v>SA-0221</c:v>
                </c:pt>
                <c:pt idx="10">
                  <c:v>SA-0184</c:v>
                </c:pt>
                <c:pt idx="11">
                  <c:v>SA-0115</c:v>
                </c:pt>
                <c:pt idx="12">
                  <c:v>RA-0554</c:v>
                </c:pt>
                <c:pt idx="13">
                  <c:v>SA-0431</c:v>
                </c:pt>
                <c:pt idx="14">
                  <c:v>SA-0135</c:v>
                </c:pt>
                <c:pt idx="15">
                  <c:v>RA-0304</c:v>
                </c:pt>
                <c:pt idx="16">
                  <c:v>SA-0570</c:v>
                </c:pt>
                <c:pt idx="17">
                  <c:v>SA-0328</c:v>
                </c:pt>
                <c:pt idx="18">
                  <c:v>SA-0393</c:v>
                </c:pt>
                <c:pt idx="19">
                  <c:v>RA-0555</c:v>
                </c:pt>
                <c:pt idx="20">
                  <c:v>RA-0477</c:v>
                </c:pt>
                <c:pt idx="21">
                  <c:v>SA-0480</c:v>
                </c:pt>
                <c:pt idx="22">
                  <c:v>SA-0372</c:v>
                </c:pt>
                <c:pt idx="23">
                  <c:v>SA-0398</c:v>
                </c:pt>
                <c:pt idx="24">
                  <c:v>SA-0556</c:v>
                </c:pt>
                <c:pt idx="25">
                  <c:v>SA-0572</c:v>
                </c:pt>
                <c:pt idx="26">
                  <c:v>RA-0559</c:v>
                </c:pt>
                <c:pt idx="27">
                  <c:v>SA-0516</c:v>
                </c:pt>
                <c:pt idx="28">
                  <c:v>RA-0489</c:v>
                </c:pt>
                <c:pt idx="29">
                  <c:v>SA-0380</c:v>
                </c:pt>
                <c:pt idx="30">
                  <c:v>RA-0479</c:v>
                </c:pt>
                <c:pt idx="31">
                  <c:v>RA-0303</c:v>
                </c:pt>
                <c:pt idx="32">
                  <c:v>RA-0556</c:v>
                </c:pt>
                <c:pt idx="33">
                  <c:v>RA-0381</c:v>
                </c:pt>
                <c:pt idx="34">
                  <c:v>SA-0156</c:v>
                </c:pt>
                <c:pt idx="35">
                  <c:v>SA-0381</c:v>
                </c:pt>
                <c:pt idx="36">
                  <c:v>RA-0395</c:v>
                </c:pt>
                <c:pt idx="37">
                  <c:v>SA-0188</c:v>
                </c:pt>
                <c:pt idx="38">
                  <c:v>SA-0373</c:v>
                </c:pt>
                <c:pt idx="39">
                  <c:v>RA-0398</c:v>
                </c:pt>
                <c:pt idx="40">
                  <c:v>RA-0557</c:v>
                </c:pt>
                <c:pt idx="41">
                  <c:v>RA-0560</c:v>
                </c:pt>
                <c:pt idx="42">
                  <c:v>RA-0562</c:v>
                </c:pt>
                <c:pt idx="43">
                  <c:v>SA-0519</c:v>
                </c:pt>
                <c:pt idx="44">
                  <c:v>SA-0401</c:v>
                </c:pt>
                <c:pt idx="45">
                  <c:v>SA-0575</c:v>
                </c:pt>
                <c:pt idx="46">
                  <c:v>SA-0573</c:v>
                </c:pt>
                <c:pt idx="47">
                  <c:v>RA-0392</c:v>
                </c:pt>
                <c:pt idx="48">
                  <c:v>RA-0502</c:v>
                </c:pt>
                <c:pt idx="49">
                  <c:v>SA-0577</c:v>
                </c:pt>
                <c:pt idx="50">
                  <c:v>SA-0474</c:v>
                </c:pt>
                <c:pt idx="51">
                  <c:v>RA-0568</c:v>
                </c:pt>
                <c:pt idx="52">
                  <c:v>RA-0222</c:v>
                </c:pt>
                <c:pt idx="53">
                  <c:v>SA-0576</c:v>
                </c:pt>
                <c:pt idx="54">
                  <c:v>SA-0574</c:v>
                </c:pt>
                <c:pt idx="55">
                  <c:v>RA-0566</c:v>
                </c:pt>
                <c:pt idx="56">
                  <c:v>SA-0164</c:v>
                </c:pt>
              </c:strCache>
            </c:strRef>
          </c:cat>
          <c:val>
            <c:numRef>
              <c:f>'Well Data-NK'!$W$132:$W$188</c:f>
              <c:numCache>
                <c:formatCode>General</c:formatCode>
                <c:ptCount val="57"/>
                <c:pt idx="0">
                  <c:v>1549</c:v>
                </c:pt>
                <c:pt idx="1">
                  <c:v>2103</c:v>
                </c:pt>
                <c:pt idx="2">
                  <c:v>2998</c:v>
                </c:pt>
                <c:pt idx="3">
                  <c:v>3251</c:v>
                </c:pt>
                <c:pt idx="4">
                  <c:v>4114</c:v>
                </c:pt>
                <c:pt idx="5">
                  <c:v>871</c:v>
                </c:pt>
                <c:pt idx="6">
                  <c:v>4335</c:v>
                </c:pt>
                <c:pt idx="7">
                  <c:v>5028</c:v>
                </c:pt>
                <c:pt idx="8">
                  <c:v>4842</c:v>
                </c:pt>
                <c:pt idx="9">
                  <c:v>0</c:v>
                </c:pt>
                <c:pt idx="10">
                  <c:v>2547</c:v>
                </c:pt>
                <c:pt idx="11">
                  <c:v>3726</c:v>
                </c:pt>
                <c:pt idx="12">
                  <c:v>3111</c:v>
                </c:pt>
                <c:pt idx="13">
                  <c:v>5000</c:v>
                </c:pt>
                <c:pt idx="14">
                  <c:v>5335</c:v>
                </c:pt>
                <c:pt idx="15">
                  <c:v>2194</c:v>
                </c:pt>
                <c:pt idx="16">
                  <c:v>2</c:v>
                </c:pt>
                <c:pt idx="17">
                  <c:v>7440</c:v>
                </c:pt>
                <c:pt idx="18">
                  <c:v>2057</c:v>
                </c:pt>
                <c:pt idx="19">
                  <c:v>580</c:v>
                </c:pt>
                <c:pt idx="20">
                  <c:v>696</c:v>
                </c:pt>
                <c:pt idx="21">
                  <c:v>4849</c:v>
                </c:pt>
                <c:pt idx="22">
                  <c:v>4805</c:v>
                </c:pt>
                <c:pt idx="23">
                  <c:v>2866</c:v>
                </c:pt>
                <c:pt idx="24">
                  <c:v>1390</c:v>
                </c:pt>
                <c:pt idx="25">
                  <c:v>608</c:v>
                </c:pt>
                <c:pt idx="26">
                  <c:v>824</c:v>
                </c:pt>
                <c:pt idx="27">
                  <c:v>33</c:v>
                </c:pt>
                <c:pt idx="28">
                  <c:v>2566</c:v>
                </c:pt>
                <c:pt idx="29">
                  <c:v>5224</c:v>
                </c:pt>
                <c:pt idx="30">
                  <c:v>2458</c:v>
                </c:pt>
                <c:pt idx="31">
                  <c:v>3958</c:v>
                </c:pt>
                <c:pt idx="32">
                  <c:v>746</c:v>
                </c:pt>
                <c:pt idx="33">
                  <c:v>1994</c:v>
                </c:pt>
                <c:pt idx="34">
                  <c:v>3715</c:v>
                </c:pt>
                <c:pt idx="35">
                  <c:v>5390</c:v>
                </c:pt>
                <c:pt idx="36">
                  <c:v>1837</c:v>
                </c:pt>
                <c:pt idx="37">
                  <c:v>5002</c:v>
                </c:pt>
                <c:pt idx="38">
                  <c:v>3274</c:v>
                </c:pt>
                <c:pt idx="39">
                  <c:v>4444</c:v>
                </c:pt>
                <c:pt idx="40">
                  <c:v>801</c:v>
                </c:pt>
                <c:pt idx="41">
                  <c:v>788</c:v>
                </c:pt>
                <c:pt idx="42">
                  <c:v>680</c:v>
                </c:pt>
                <c:pt idx="43">
                  <c:v>4055</c:v>
                </c:pt>
                <c:pt idx="44">
                  <c:v>5547</c:v>
                </c:pt>
                <c:pt idx="45">
                  <c:v>4308</c:v>
                </c:pt>
                <c:pt idx="46">
                  <c:v>0</c:v>
                </c:pt>
                <c:pt idx="47">
                  <c:v>0</c:v>
                </c:pt>
                <c:pt idx="48">
                  <c:v>1090</c:v>
                </c:pt>
                <c:pt idx="49">
                  <c:v>3360</c:v>
                </c:pt>
                <c:pt idx="50">
                  <c:v>2780</c:v>
                </c:pt>
                <c:pt idx="51">
                  <c:v>0.2999999999992724</c:v>
                </c:pt>
                <c:pt idx="52">
                  <c:v>3726</c:v>
                </c:pt>
                <c:pt idx="53">
                  <c:v>2050</c:v>
                </c:pt>
                <c:pt idx="54">
                  <c:v>0</c:v>
                </c:pt>
                <c:pt idx="55">
                  <c:v>635</c:v>
                </c:pt>
                <c:pt idx="56">
                  <c:v>2877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5130384"/>
        <c:axId val="585130776"/>
      </c:barChart>
      <c:catAx>
        <c:axId val="5851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270000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130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51307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Feet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130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NK Well Count</a:t>
            </a:r>
          </a:p>
          <a:p>
            <a:pPr>
              <a:defRPr/>
            </a:pPr>
            <a:r>
              <a:rPr lang="en-US" sz="1400"/>
              <a:t>09/01/2014 to current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25997101072814E-2"/>
          <c:y val="0.23166708295478561"/>
          <c:w val="0.85116370738787162"/>
          <c:h val="0.564764252836020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MA</c:v>
                </c:pt>
              </c:strCache>
            </c:strRef>
          </c:tx>
          <c:invertIfNegative val="0"/>
          <c:cat>
            <c:numRef>
              <c:f>Sheet1!$A$32:$A$43</c:f>
              <c:numCache>
                <c:formatCode>mmm\-yy</c:formatCode>
                <c:ptCount val="12"/>
                <c:pt idx="0">
                  <c:v>41883</c:v>
                </c:pt>
                <c:pt idx="1">
                  <c:v>41913</c:v>
                </c:pt>
                <c:pt idx="2">
                  <c:v>41944</c:v>
                </c:pt>
                <c:pt idx="3">
                  <c:v>41974</c:v>
                </c:pt>
                <c:pt idx="4">
                  <c:v>42005</c:v>
                </c:pt>
                <c:pt idx="5">
                  <c:v>42036</c:v>
                </c:pt>
                <c:pt idx="6">
                  <c:v>42064</c:v>
                </c:pt>
                <c:pt idx="7">
                  <c:v>42095</c:v>
                </c:pt>
                <c:pt idx="8">
                  <c:v>42125</c:v>
                </c:pt>
                <c:pt idx="9">
                  <c:v>42156</c:v>
                </c:pt>
                <c:pt idx="10">
                  <c:v>42186</c:v>
                </c:pt>
                <c:pt idx="11">
                  <c:v>42217</c:v>
                </c:pt>
              </c:numCache>
            </c:numRef>
          </c:cat>
          <c:val>
            <c:numRef>
              <c:f>Sheet1!$D$32:$D$43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7</c:v>
                </c:pt>
                <c:pt idx="11">
                  <c:v>3</c:v>
                </c:pt>
              </c:numCache>
            </c:numRef>
          </c:val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LB</c:v>
                </c:pt>
              </c:strCache>
            </c:strRef>
          </c:tx>
          <c:invertIfNegative val="0"/>
          <c:cat>
            <c:numRef>
              <c:f>Sheet1!$A$32:$A$43</c:f>
              <c:numCache>
                <c:formatCode>mmm\-yy</c:formatCode>
                <c:ptCount val="12"/>
                <c:pt idx="0">
                  <c:v>41883</c:v>
                </c:pt>
                <c:pt idx="1">
                  <c:v>41913</c:v>
                </c:pt>
                <c:pt idx="2">
                  <c:v>41944</c:v>
                </c:pt>
                <c:pt idx="3">
                  <c:v>41974</c:v>
                </c:pt>
                <c:pt idx="4">
                  <c:v>42005</c:v>
                </c:pt>
                <c:pt idx="5">
                  <c:v>42036</c:v>
                </c:pt>
                <c:pt idx="6">
                  <c:v>42064</c:v>
                </c:pt>
                <c:pt idx="7">
                  <c:v>42095</c:v>
                </c:pt>
                <c:pt idx="8">
                  <c:v>42125</c:v>
                </c:pt>
                <c:pt idx="9">
                  <c:v>42156</c:v>
                </c:pt>
                <c:pt idx="10">
                  <c:v>42186</c:v>
                </c:pt>
                <c:pt idx="11">
                  <c:v>42217</c:v>
                </c:pt>
              </c:numCache>
            </c:numRef>
          </c:cat>
          <c:val>
            <c:numRef>
              <c:f>Sheet1!$E$32:$E$43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</c:ser>
        <c:ser>
          <c:idx val="2"/>
          <c:order val="2"/>
          <c:tx>
            <c:strRef>
              <c:f>Sheet1!$G$2</c:f>
              <c:strCache>
                <c:ptCount val="1"/>
                <c:pt idx="0">
                  <c:v>ZU / RT</c:v>
                </c:pt>
              </c:strCache>
            </c:strRef>
          </c:tx>
          <c:invertIfNegative val="0"/>
          <c:cat>
            <c:numRef>
              <c:f>Sheet1!$A$32:$A$43</c:f>
              <c:numCache>
                <c:formatCode>mmm\-yy</c:formatCode>
                <c:ptCount val="12"/>
                <c:pt idx="0">
                  <c:v>41883</c:v>
                </c:pt>
                <c:pt idx="1">
                  <c:v>41913</c:v>
                </c:pt>
                <c:pt idx="2">
                  <c:v>41944</c:v>
                </c:pt>
                <c:pt idx="3">
                  <c:v>41974</c:v>
                </c:pt>
                <c:pt idx="4">
                  <c:v>42005</c:v>
                </c:pt>
                <c:pt idx="5">
                  <c:v>42036</c:v>
                </c:pt>
                <c:pt idx="6">
                  <c:v>42064</c:v>
                </c:pt>
                <c:pt idx="7">
                  <c:v>42095</c:v>
                </c:pt>
                <c:pt idx="8">
                  <c:v>42125</c:v>
                </c:pt>
                <c:pt idx="9">
                  <c:v>42156</c:v>
                </c:pt>
                <c:pt idx="10">
                  <c:v>42186</c:v>
                </c:pt>
                <c:pt idx="11">
                  <c:v>42217</c:v>
                </c:pt>
              </c:numCache>
            </c:numRef>
          </c:cat>
          <c:val>
            <c:numRef>
              <c:f>Sheet1!$G$32:$G$43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4"/>
          <c:order val="3"/>
          <c:tx>
            <c:strRef>
              <c:f>Sheet1!$F$2</c:f>
              <c:strCache>
                <c:ptCount val="1"/>
                <c:pt idx="0">
                  <c:v>UB</c:v>
                </c:pt>
              </c:strCache>
            </c:strRef>
          </c:tx>
          <c:invertIfNegative val="0"/>
          <c:cat>
            <c:numRef>
              <c:f>Sheet1!$A$32:$A$43</c:f>
              <c:numCache>
                <c:formatCode>mmm\-yy</c:formatCode>
                <c:ptCount val="12"/>
                <c:pt idx="0">
                  <c:v>41883</c:v>
                </c:pt>
                <c:pt idx="1">
                  <c:v>41913</c:v>
                </c:pt>
                <c:pt idx="2">
                  <c:v>41944</c:v>
                </c:pt>
                <c:pt idx="3">
                  <c:v>41974</c:v>
                </c:pt>
                <c:pt idx="4">
                  <c:v>42005</c:v>
                </c:pt>
                <c:pt idx="5">
                  <c:v>42036</c:v>
                </c:pt>
                <c:pt idx="6">
                  <c:v>42064</c:v>
                </c:pt>
                <c:pt idx="7">
                  <c:v>42095</c:v>
                </c:pt>
                <c:pt idx="8">
                  <c:v>42125</c:v>
                </c:pt>
                <c:pt idx="9">
                  <c:v>42156</c:v>
                </c:pt>
                <c:pt idx="10">
                  <c:v>42186</c:v>
                </c:pt>
                <c:pt idx="11">
                  <c:v>42217</c:v>
                </c:pt>
              </c:numCache>
            </c:numRef>
          </c:cat>
          <c:val>
            <c:numRef>
              <c:f>Sheet1!$F$32:$F$43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5"/>
          <c:order val="4"/>
          <c:tx>
            <c:strRef>
              <c:f>Sheet1!$H$2</c:f>
              <c:strCache>
                <c:ptCount val="1"/>
                <c:pt idx="0">
                  <c:v>EOR / Border Fields</c:v>
                </c:pt>
              </c:strCache>
            </c:strRef>
          </c:tx>
          <c:invertIfNegative val="0"/>
          <c:cat>
            <c:numRef>
              <c:f>Sheet1!$A$32:$A$43</c:f>
              <c:numCache>
                <c:formatCode>mmm\-yy</c:formatCode>
                <c:ptCount val="12"/>
                <c:pt idx="0">
                  <c:v>41883</c:v>
                </c:pt>
                <c:pt idx="1">
                  <c:v>41913</c:v>
                </c:pt>
                <c:pt idx="2">
                  <c:v>41944</c:v>
                </c:pt>
                <c:pt idx="3">
                  <c:v>41974</c:v>
                </c:pt>
                <c:pt idx="4">
                  <c:v>42005</c:v>
                </c:pt>
                <c:pt idx="5">
                  <c:v>42036</c:v>
                </c:pt>
                <c:pt idx="6">
                  <c:v>42064</c:v>
                </c:pt>
                <c:pt idx="7">
                  <c:v>42095</c:v>
                </c:pt>
                <c:pt idx="8">
                  <c:v>42125</c:v>
                </c:pt>
                <c:pt idx="9">
                  <c:v>42156</c:v>
                </c:pt>
                <c:pt idx="10">
                  <c:v>42186</c:v>
                </c:pt>
                <c:pt idx="11">
                  <c:v>42217</c:v>
                </c:pt>
              </c:numCache>
            </c:numRef>
          </c:cat>
          <c:val>
            <c:numRef>
              <c:f>Sheet1!$H$32:$H$43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5131560"/>
        <c:axId val="585131952"/>
      </c:barChart>
      <c:lineChart>
        <c:grouping val="standard"/>
        <c:varyColors val="0"/>
        <c:ser>
          <c:idx val="6"/>
          <c:order val="6"/>
          <c:tx>
            <c:v>Average Wells/Month</c:v>
          </c:tx>
          <c:marker>
            <c:symbol val="none"/>
          </c:marker>
          <c:cat>
            <c:numRef>
              <c:f>Sheet1!$A$32:$A$42</c:f>
              <c:numCache>
                <c:formatCode>mmm\-yy</c:formatCode>
                <c:ptCount val="11"/>
                <c:pt idx="0">
                  <c:v>41883</c:v>
                </c:pt>
                <c:pt idx="1">
                  <c:v>41913</c:v>
                </c:pt>
                <c:pt idx="2">
                  <c:v>41944</c:v>
                </c:pt>
                <c:pt idx="3">
                  <c:v>41974</c:v>
                </c:pt>
                <c:pt idx="4">
                  <c:v>42005</c:v>
                </c:pt>
                <c:pt idx="5">
                  <c:v>42036</c:v>
                </c:pt>
                <c:pt idx="6">
                  <c:v>42064</c:v>
                </c:pt>
                <c:pt idx="7">
                  <c:v>42095</c:v>
                </c:pt>
                <c:pt idx="8">
                  <c:v>42125</c:v>
                </c:pt>
                <c:pt idx="9">
                  <c:v>42156</c:v>
                </c:pt>
                <c:pt idx="10">
                  <c:v>42186</c:v>
                </c:pt>
              </c:numCache>
            </c:numRef>
          </c:cat>
          <c:val>
            <c:numRef>
              <c:f>Sheet1!$K$32:$K$43</c:f>
              <c:numCache>
                <c:formatCode>0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5.5</c:v>
                </c:pt>
                <c:pt idx="4">
                  <c:v>5.4</c:v>
                </c:pt>
                <c:pt idx="5">
                  <c:v>5.666666666666667</c:v>
                </c:pt>
                <c:pt idx="6">
                  <c:v>5.8571428571428568</c:v>
                </c:pt>
                <c:pt idx="7">
                  <c:v>6.125</c:v>
                </c:pt>
                <c:pt idx="8">
                  <c:v>6.4444444444444446</c:v>
                </c:pt>
                <c:pt idx="9">
                  <c:v>6</c:v>
                </c:pt>
                <c:pt idx="10">
                  <c:v>6.5454545454545459</c:v>
                </c:pt>
                <c:pt idx="11">
                  <c:v>6.333333333333333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31560"/>
        <c:axId val="585131952"/>
      </c:lineChart>
      <c:lineChart>
        <c:grouping val="standard"/>
        <c:varyColors val="0"/>
        <c:ser>
          <c:idx val="3"/>
          <c:order val="5"/>
          <c:tx>
            <c:strRef>
              <c:f>Sheet1!$J$2</c:f>
              <c:strCache>
                <c:ptCount val="1"/>
                <c:pt idx="0">
                  <c:v>Cumulative</c:v>
                </c:pt>
              </c:strCache>
            </c:strRef>
          </c:tx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Sheet1!$A$32:$A$42</c:f>
              <c:numCache>
                <c:formatCode>mmm\-yy</c:formatCode>
                <c:ptCount val="11"/>
                <c:pt idx="0">
                  <c:v>41883</c:v>
                </c:pt>
                <c:pt idx="1">
                  <c:v>41913</c:v>
                </c:pt>
                <c:pt idx="2">
                  <c:v>41944</c:v>
                </c:pt>
                <c:pt idx="3">
                  <c:v>41974</c:v>
                </c:pt>
                <c:pt idx="4">
                  <c:v>42005</c:v>
                </c:pt>
                <c:pt idx="5">
                  <c:v>42036</c:v>
                </c:pt>
                <c:pt idx="6">
                  <c:v>42064</c:v>
                </c:pt>
                <c:pt idx="7">
                  <c:v>42095</c:v>
                </c:pt>
                <c:pt idx="8">
                  <c:v>42125</c:v>
                </c:pt>
                <c:pt idx="9">
                  <c:v>42156</c:v>
                </c:pt>
                <c:pt idx="10">
                  <c:v>42186</c:v>
                </c:pt>
              </c:numCache>
            </c:numRef>
          </c:cat>
          <c:val>
            <c:numRef>
              <c:f>Sheet1!$J$32:$J$43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18</c:v>
                </c:pt>
                <c:pt idx="3">
                  <c:v>22</c:v>
                </c:pt>
                <c:pt idx="4">
                  <c:v>27</c:v>
                </c:pt>
                <c:pt idx="5">
                  <c:v>34</c:v>
                </c:pt>
                <c:pt idx="6">
                  <c:v>41</c:v>
                </c:pt>
                <c:pt idx="7">
                  <c:v>49</c:v>
                </c:pt>
                <c:pt idx="8">
                  <c:v>58</c:v>
                </c:pt>
                <c:pt idx="9">
                  <c:v>60</c:v>
                </c:pt>
                <c:pt idx="10">
                  <c:v>72</c:v>
                </c:pt>
                <c:pt idx="11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32736"/>
        <c:axId val="585132344"/>
      </c:lineChart>
      <c:dateAx>
        <c:axId val="585131560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85131952"/>
        <c:crosses val="autoZero"/>
        <c:auto val="1"/>
        <c:lblOffset val="100"/>
        <c:baseTimeUnit val="months"/>
      </c:dateAx>
      <c:valAx>
        <c:axId val="585131952"/>
        <c:scaling>
          <c:orientation val="minMax"/>
          <c:max val="13"/>
          <c:min val="0"/>
        </c:scaling>
        <c:delete val="0"/>
        <c:axPos val="l"/>
        <c:majorGridlines>
          <c:spPr>
            <a:ln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Monthly Well 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85131560"/>
        <c:crosses val="autoZero"/>
        <c:crossBetween val="between"/>
      </c:valAx>
      <c:valAx>
        <c:axId val="585132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85132736"/>
        <c:crosses val="max"/>
        <c:crossBetween val="between"/>
      </c:valAx>
      <c:dateAx>
        <c:axId val="585132736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585132344"/>
        <c:crosses val="autoZero"/>
        <c:auto val="1"/>
        <c:lblOffset val="100"/>
        <c:baseTimeUnit val="months"/>
        <c:majorUnit val="1"/>
        <c:minorUnit val="1"/>
      </c:dateAx>
    </c:plotArea>
    <c:legend>
      <c:legendPos val="b"/>
      <c:layout>
        <c:manualLayout>
          <c:xMode val="edge"/>
          <c:yMode val="edge"/>
          <c:x val="0.11080174708756509"/>
          <c:y val="0.91442465779744242"/>
          <c:w val="0.87462454734462924"/>
          <c:h val="6.8267248738098044E-2"/>
        </c:manualLayout>
      </c:layout>
      <c:overlay val="0"/>
      <c:txPr>
        <a:bodyPr/>
        <a:lstStyle/>
        <a:p>
          <a:pPr>
            <a:defRPr sz="800" baseline="0"/>
          </a:pPr>
          <a:endParaRPr lang="en-US"/>
        </a:p>
      </c:txPr>
    </c:legend>
    <c:plotVisOnly val="1"/>
    <c:dispBlanksAs val="gap"/>
    <c:showDLblsOverMax val="0"/>
  </c:chart>
  <c:printSettings>
    <c:headerFooter alignWithMargins="0"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Average Days Per Well to Deliver AAP Target Well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Sheet1!$F$16</c:f>
              <c:strCache>
                <c:ptCount val="1"/>
                <c:pt idx="0">
                  <c:v>Days for 60 Wells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Sheet1!$E$17:$E$19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12.5</c:v>
                </c:pt>
              </c:numCache>
            </c:numRef>
          </c:cat>
          <c:val>
            <c:numRef>
              <c:f>Sheet1!$F$17:$F$19</c:f>
              <c:numCache>
                <c:formatCode>General</c:formatCode>
                <c:ptCount val="3"/>
                <c:pt idx="0">
                  <c:v>55.833333333333336</c:v>
                </c:pt>
                <c:pt idx="1">
                  <c:v>61.916666666666671</c:v>
                </c:pt>
                <c:pt idx="2">
                  <c:v>71.041666666666671</c:v>
                </c:pt>
              </c:numCache>
            </c:numRef>
          </c:val>
        </c:ser>
        <c:ser>
          <c:idx val="1"/>
          <c:order val="1"/>
          <c:tx>
            <c:strRef>
              <c:f>Sheet1!$G$16</c:f>
              <c:strCache>
                <c:ptCount val="1"/>
                <c:pt idx="0">
                  <c:v>Days for 75 Wells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Sheet1!$G$17:$G$19</c:f>
              <c:numCache>
                <c:formatCode>General</c:formatCode>
                <c:ptCount val="3"/>
                <c:pt idx="0">
                  <c:v>43.666666666666664</c:v>
                </c:pt>
                <c:pt idx="1">
                  <c:v>48.533333333333331</c:v>
                </c:pt>
                <c:pt idx="2">
                  <c:v>55.833333333333336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5201392"/>
        <c:axId val="585201784"/>
      </c:barChart>
      <c:lineChart>
        <c:grouping val="standard"/>
        <c:varyColors val="0"/>
        <c:ser>
          <c:idx val="2"/>
          <c:order val="2"/>
          <c:tx>
            <c:strRef>
              <c:f>Sheet1!$H$16</c:f>
              <c:strCache>
                <c:ptCount val="1"/>
                <c:pt idx="0">
                  <c:v>Current Avg Days / Well 49.2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Sheet1!$H$17:$H$19</c:f>
              <c:numCache>
                <c:formatCode>General</c:formatCode>
                <c:ptCount val="3"/>
                <c:pt idx="0">
                  <c:v>49.2</c:v>
                </c:pt>
                <c:pt idx="1">
                  <c:v>49.2</c:v>
                </c:pt>
                <c:pt idx="2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201392"/>
        <c:axId val="585201784"/>
      </c:lineChart>
      <c:catAx>
        <c:axId val="585201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Rig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201784"/>
        <c:crosses val="autoZero"/>
        <c:auto val="1"/>
        <c:lblAlgn val="ctr"/>
        <c:lblOffset val="100"/>
        <c:noMultiLvlLbl val="0"/>
      </c:catAx>
      <c:valAx>
        <c:axId val="58520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Days per Well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20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86666760988734"/>
          <c:y val="0.91221333974474561"/>
          <c:w val="0.75768735578370061"/>
          <c:h val="5.72523091102161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t" anchorCtr="0"/>
          <a:lstStyle/>
          <a:p>
            <a:pPr>
              <a:defRPr/>
            </a:pPr>
            <a:r>
              <a:rPr lang="en-US"/>
              <a:t>2014 D&amp;C</a:t>
            </a:r>
            <a:r>
              <a:rPr lang="en-US" baseline="0"/>
              <a:t> Wells</a:t>
            </a:r>
          </a:p>
          <a:p>
            <a:pPr>
              <a:defRPr/>
            </a:pPr>
            <a:r>
              <a:rPr lang="en-US" baseline="0"/>
              <a:t> </a:t>
            </a:r>
            <a:r>
              <a:rPr lang="en-US" sz="1050" baseline="0"/>
              <a:t>(Released &amp; Active)</a:t>
            </a:r>
            <a:endParaRPr lang="en-US" sz="105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8300857327168E-2"/>
          <c:y val="0.16997647699697915"/>
          <c:w val="0.90872937318107283"/>
          <c:h val="0.751244738275640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'P50 and P25 table'!$B$8</c:f>
              <c:strCache>
                <c:ptCount val="1"/>
                <c:pt idx="0">
                  <c:v>Prod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 and P25 table'!$A$9:$A$17</c:f>
              <c:strCache>
                <c:ptCount val="9"/>
                <c:pt idx="0">
                  <c:v>RAMA</c:v>
                </c:pt>
                <c:pt idx="1">
                  <c:v>RAUB</c:v>
                </c:pt>
                <c:pt idx="2">
                  <c:v>RALB</c:v>
                </c:pt>
                <c:pt idx="3">
                  <c:v>RAZU</c:v>
                </c:pt>
                <c:pt idx="4">
                  <c:v>SAMA</c:v>
                </c:pt>
                <c:pt idx="5">
                  <c:v>SAUB</c:v>
                </c:pt>
                <c:pt idx="6">
                  <c:v>SALB</c:v>
                </c:pt>
                <c:pt idx="7">
                  <c:v>SAZU</c:v>
                </c:pt>
                <c:pt idx="8">
                  <c:v>SART</c:v>
                </c:pt>
              </c:strCache>
            </c:strRef>
          </c:cat>
          <c:val>
            <c:numRef>
              <c:f>'P50 and P25 table'!$B$9:$B$17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 and P25 table'!$C$8</c:f>
              <c:strCache>
                <c:ptCount val="1"/>
                <c:pt idx="0">
                  <c:v>PROD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 and P25 table'!$A$9:$A$17</c:f>
              <c:strCache>
                <c:ptCount val="9"/>
                <c:pt idx="0">
                  <c:v>RAMA</c:v>
                </c:pt>
                <c:pt idx="1">
                  <c:v>RAUB</c:v>
                </c:pt>
                <c:pt idx="2">
                  <c:v>RALB</c:v>
                </c:pt>
                <c:pt idx="3">
                  <c:v>RAZU</c:v>
                </c:pt>
                <c:pt idx="4">
                  <c:v>SAMA</c:v>
                </c:pt>
                <c:pt idx="5">
                  <c:v>SAUB</c:v>
                </c:pt>
                <c:pt idx="6">
                  <c:v>SALB</c:v>
                </c:pt>
                <c:pt idx="7">
                  <c:v>SAZU</c:v>
                </c:pt>
                <c:pt idx="8">
                  <c:v>SART</c:v>
                </c:pt>
              </c:strCache>
            </c:strRef>
          </c:cat>
          <c:val>
            <c:numRef>
              <c:f>'P50 and P25 table'!$C$9:$C$17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2"/>
          <c:order val="2"/>
          <c:tx>
            <c:strRef>
              <c:f>'P50 and P25 table'!$D$8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 and P25 table'!$A$9:$A$17</c:f>
              <c:strCache>
                <c:ptCount val="9"/>
                <c:pt idx="0">
                  <c:v>RAMA</c:v>
                </c:pt>
                <c:pt idx="1">
                  <c:v>RAUB</c:v>
                </c:pt>
                <c:pt idx="2">
                  <c:v>RALB</c:v>
                </c:pt>
                <c:pt idx="3">
                  <c:v>RAZU</c:v>
                </c:pt>
                <c:pt idx="4">
                  <c:v>SAMA</c:v>
                </c:pt>
                <c:pt idx="5">
                  <c:v>SAUB</c:v>
                </c:pt>
                <c:pt idx="6">
                  <c:v>SALB</c:v>
                </c:pt>
                <c:pt idx="7">
                  <c:v>SAZU</c:v>
                </c:pt>
                <c:pt idx="8">
                  <c:v>SART</c:v>
                </c:pt>
              </c:strCache>
            </c:strRef>
          </c:cat>
          <c:val>
            <c:numRef>
              <c:f>'P50 and P25 table'!$D$9:$D$17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202568"/>
        <c:axId val="585202960"/>
      </c:barChart>
      <c:catAx>
        <c:axId val="585202568"/>
        <c:scaling>
          <c:orientation val="minMax"/>
        </c:scaling>
        <c:delete val="0"/>
        <c:axPos val="b"/>
        <c:majorGridlines/>
        <c:numFmt formatCode="General" sourceLinked="0"/>
        <c:majorTickMark val="in"/>
        <c:minorTickMark val="in"/>
        <c:tickLblPos val="nextTo"/>
        <c:crossAx val="585202960"/>
        <c:crosses val="autoZero"/>
        <c:auto val="1"/>
        <c:lblAlgn val="ctr"/>
        <c:lblOffset val="100"/>
        <c:noMultiLvlLbl val="0"/>
      </c:catAx>
      <c:valAx>
        <c:axId val="5852029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85202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99848330403352"/>
          <c:y val="0.19921581736245234"/>
          <c:w val="9.3982754969887686E-2"/>
          <c:h val="0.170593522507799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(P25) Top 25% Average</a:t>
            </a:r>
          </a:p>
          <a:p>
            <a:pPr>
              <a:defRPr sz="1400"/>
            </a:pPr>
            <a:r>
              <a:rPr lang="en-US" sz="1400"/>
              <a:t>Type/Prod/Inj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'P50 and P25 table'!$R$23</c:f>
              <c:strCache>
                <c:ptCount val="1"/>
                <c:pt idx="0">
                  <c:v>NW PROD</c:v>
                </c:pt>
              </c:strCache>
            </c:strRef>
          </c:tx>
          <c:invertIfNegative val="0"/>
          <c:cat>
            <c:strRef>
              <c:f>'P50 and P25 table'!$F$24:$F$28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table'!$R$24:$R$28</c:f>
              <c:numCache>
                <c:formatCode>General</c:formatCode>
                <c:ptCount val="5"/>
                <c:pt idx="0">
                  <c:v>46.798611111111917</c:v>
                </c:pt>
                <c:pt idx="1">
                  <c:v>48.875</c:v>
                </c:pt>
                <c:pt idx="2">
                  <c:v>44.70833333333394</c:v>
                </c:pt>
                <c:pt idx="3">
                  <c:v>60.770833333332121</c:v>
                </c:pt>
                <c:pt idx="4">
                  <c:v>46.108796296296838</c:v>
                </c:pt>
              </c:numCache>
            </c:numRef>
          </c:val>
        </c:ser>
        <c:ser>
          <c:idx val="2"/>
          <c:order val="1"/>
          <c:tx>
            <c:strRef>
              <c:f>'P50 and P25 table'!$T$23</c:f>
              <c:strCache>
                <c:ptCount val="1"/>
                <c:pt idx="0">
                  <c:v>ST PROD</c:v>
                </c:pt>
              </c:strCache>
            </c:strRef>
          </c:tx>
          <c:invertIfNegative val="0"/>
          <c:cat>
            <c:strRef>
              <c:f>'P50 and P25 table'!$F$24:$F$28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table'!$T$24:$T$28</c:f>
              <c:numCache>
                <c:formatCode>General</c:formatCode>
                <c:ptCount val="5"/>
                <c:pt idx="0">
                  <c:v>33.885416666667879</c:v>
                </c:pt>
                <c:pt idx="1">
                  <c:v>40.770829999999997</c:v>
                </c:pt>
                <c:pt idx="2">
                  <c:v>0</c:v>
                </c:pt>
                <c:pt idx="3">
                  <c:v>52</c:v>
                </c:pt>
                <c:pt idx="4">
                  <c:v>35.262499333334304</c:v>
                </c:pt>
              </c:numCache>
            </c:numRef>
          </c:val>
        </c:ser>
        <c:ser>
          <c:idx val="5"/>
          <c:order val="2"/>
          <c:tx>
            <c:strRef>
              <c:f>'P50 and P25 table'!$S$23</c:f>
              <c:strCache>
                <c:ptCount val="1"/>
                <c:pt idx="0">
                  <c:v>NW INJ</c:v>
                </c:pt>
              </c:strCache>
            </c:strRef>
          </c:tx>
          <c:invertIfNegative val="0"/>
          <c:val>
            <c:numRef>
              <c:f>'P50 and P25 table'!$S$24:$S$28</c:f>
              <c:numCache>
                <c:formatCode>General</c:formatCode>
                <c:ptCount val="5"/>
                <c:pt idx="0">
                  <c:v>43.458333333335759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43.458333333335759</c:v>
                </c:pt>
              </c:numCache>
            </c:numRef>
          </c:val>
        </c:ser>
        <c:ser>
          <c:idx val="3"/>
          <c:order val="3"/>
          <c:tx>
            <c:strRef>
              <c:f>'P50 and P25 table'!$U$23</c:f>
              <c:strCache>
                <c:ptCount val="1"/>
                <c:pt idx="0">
                  <c:v>ST INJ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'P50 and P25 table'!$F$24:$F$28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table'!$U$24:$U$28</c:f>
              <c:numCache>
                <c:formatCode>General</c:formatCode>
                <c:ptCount val="5"/>
                <c:pt idx="0">
                  <c:v>29.16145833333211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29.16145833333211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203744"/>
        <c:axId val="585204136"/>
      </c:barChart>
      <c:catAx>
        <c:axId val="585203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Reservoir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585204136"/>
        <c:crosses val="autoZero"/>
        <c:auto val="1"/>
        <c:lblAlgn val="ctr"/>
        <c:lblOffset val="100"/>
        <c:noMultiLvlLbl val="0"/>
      </c:catAx>
      <c:valAx>
        <c:axId val="585204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585203744"/>
        <c:crosses val="autoZero"/>
        <c:crossBetween val="between"/>
        <c:majorUnit val="10"/>
        <c:minorUnit val="5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(P50) Average</a:t>
            </a:r>
          </a:p>
          <a:p>
            <a:pPr>
              <a:defRPr sz="1400"/>
            </a:pPr>
            <a:r>
              <a:rPr lang="en-US" sz="1400"/>
              <a:t>Type/Prod/Inj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'P50 and P25 table'!$L$23</c:f>
              <c:strCache>
                <c:ptCount val="1"/>
                <c:pt idx="0">
                  <c:v>NW PROD</c:v>
                </c:pt>
              </c:strCache>
            </c:strRef>
          </c:tx>
          <c:invertIfNegative val="0"/>
          <c:cat>
            <c:strRef>
              <c:f>'P50 and P25 table'!$F$24:$F$28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table'!$L$24:$L$28</c:f>
              <c:numCache>
                <c:formatCode>General</c:formatCode>
                <c:ptCount val="5"/>
                <c:pt idx="0">
                  <c:v>61.421875000000604</c:v>
                </c:pt>
                <c:pt idx="1">
                  <c:v>57.55416666666715</c:v>
                </c:pt>
                <c:pt idx="2">
                  <c:v>65.53525640769287</c:v>
                </c:pt>
                <c:pt idx="3">
                  <c:v>89.017361111110702</c:v>
                </c:pt>
                <c:pt idx="4">
                  <c:v>66.969328702778185</c:v>
                </c:pt>
              </c:numCache>
            </c:numRef>
          </c:val>
        </c:ser>
        <c:ser>
          <c:idx val="2"/>
          <c:order val="1"/>
          <c:tx>
            <c:strRef>
              <c:f>'P50 and P25 table'!$N$23</c:f>
              <c:strCache>
                <c:ptCount val="1"/>
                <c:pt idx="0">
                  <c:v>ST PROD</c:v>
                </c:pt>
              </c:strCache>
            </c:strRef>
          </c:tx>
          <c:invertIfNegative val="0"/>
          <c:cat>
            <c:strRef>
              <c:f>'P50 and P25 table'!$F$24:$F$28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table'!$N$24:$N$28</c:f>
              <c:numCache>
                <c:formatCode>General</c:formatCode>
                <c:ptCount val="5"/>
                <c:pt idx="0">
                  <c:v>47.811111111110463</c:v>
                </c:pt>
                <c:pt idx="1">
                  <c:v>52.635414999999995</c:v>
                </c:pt>
                <c:pt idx="2">
                  <c:v>0</c:v>
                </c:pt>
                <c:pt idx="3">
                  <c:v>52</c:v>
                </c:pt>
                <c:pt idx="4">
                  <c:v>48.579860925925381</c:v>
                </c:pt>
              </c:numCache>
            </c:numRef>
          </c:val>
        </c:ser>
        <c:ser>
          <c:idx val="5"/>
          <c:order val="2"/>
          <c:tx>
            <c:strRef>
              <c:f>'P50 and P25 table'!$M$23</c:f>
              <c:strCache>
                <c:ptCount val="1"/>
                <c:pt idx="0">
                  <c:v>NW INJ</c:v>
                </c:pt>
              </c:strCache>
            </c:strRef>
          </c:tx>
          <c:invertIfNegative val="0"/>
          <c:val>
            <c:numRef>
              <c:f>'P50 and P25 table'!$M$24:$M$28</c:f>
              <c:numCache>
                <c:formatCode>General</c:formatCode>
                <c:ptCount val="5"/>
                <c:pt idx="0">
                  <c:v>55.437500000003638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55.437500000003638</c:v>
                </c:pt>
              </c:numCache>
            </c:numRef>
          </c:val>
        </c:ser>
        <c:ser>
          <c:idx val="3"/>
          <c:order val="3"/>
          <c:tx>
            <c:strRef>
              <c:f>'P50 and P25 table'!$O$23</c:f>
              <c:strCache>
                <c:ptCount val="1"/>
                <c:pt idx="0">
                  <c:v>ST INJ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'P50 and P25 table'!$F$24:$F$28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table'!$O$24:$O$28</c:f>
              <c:numCache>
                <c:formatCode>General</c:formatCode>
                <c:ptCount val="5"/>
                <c:pt idx="0">
                  <c:v>42.839843749999545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42.839843749999545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204920"/>
        <c:axId val="584408608"/>
      </c:barChart>
      <c:catAx>
        <c:axId val="585204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Reservoir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584408608"/>
        <c:crosses val="autoZero"/>
        <c:auto val="1"/>
        <c:lblAlgn val="ctr"/>
        <c:lblOffset val="100"/>
        <c:noMultiLvlLbl val="0"/>
      </c:catAx>
      <c:valAx>
        <c:axId val="584408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585204920"/>
        <c:crosses val="autoZero"/>
        <c:crossBetween val="between"/>
        <c:majorUnit val="10"/>
        <c:minorUnit val="5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P50 (Spud to RR)</a:t>
            </a:r>
          </a:p>
          <a:p>
            <a:pPr>
              <a:defRPr/>
            </a:pPr>
            <a:r>
              <a:rPr lang="en-US" sz="1400"/>
              <a:t>AAP 04/2014</a:t>
            </a:r>
            <a:r>
              <a:rPr lang="en-US" sz="1400" baseline="0"/>
              <a:t> to Current</a:t>
            </a:r>
            <a:endParaRPr 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 and P25 table'!$L$76</c:f>
              <c:strCache>
                <c:ptCount val="1"/>
                <c:pt idx="0">
                  <c:v>NW PROD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'P50 and P25 table'!$F$77:$F$81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table'!$L$77:$L$81</c:f>
              <c:numCache>
                <c:formatCode>General</c:formatCode>
                <c:ptCount val="5"/>
                <c:pt idx="0">
                  <c:v>57.083333333332121</c:v>
                </c:pt>
                <c:pt idx="1">
                  <c:v>53.604164999999995</c:v>
                </c:pt>
                <c:pt idx="2">
                  <c:v>55.81537142381022</c:v>
                </c:pt>
                <c:pt idx="3">
                  <c:v>99.088549999999998</c:v>
                </c:pt>
                <c:pt idx="4">
                  <c:v>67.229119775555716</c:v>
                </c:pt>
              </c:numCache>
            </c:numRef>
          </c:val>
        </c:ser>
        <c:ser>
          <c:idx val="1"/>
          <c:order val="1"/>
          <c:tx>
            <c:strRef>
              <c:f>'P50 and P25 table'!$N$76</c:f>
              <c:strCache>
                <c:ptCount val="1"/>
                <c:pt idx="0">
                  <c:v>NW INJ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'P50 and P25 table'!$F$77:$F$81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table'!$N$77:$N$81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'P50 and P25 table'!$P$76</c:f>
              <c:strCache>
                <c:ptCount val="1"/>
                <c:pt idx="0">
                  <c:v>ST PROD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cat>
            <c:strRef>
              <c:f>'P50 and P25 table'!$F$77:$F$81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table'!$P$77:$P$81</c:f>
              <c:numCache>
                <c:formatCode>General</c:formatCode>
                <c:ptCount val="5"/>
                <c:pt idx="0">
                  <c:v>47.881547142856107</c:v>
                </c:pt>
                <c:pt idx="1">
                  <c:v>52.635414999999995</c:v>
                </c:pt>
                <c:pt idx="2">
                  <c:v>0</c:v>
                </c:pt>
                <c:pt idx="3">
                  <c:v>52</c:v>
                </c:pt>
                <c:pt idx="4">
                  <c:v>49.244165999999268</c:v>
                </c:pt>
              </c:numCache>
            </c:numRef>
          </c:val>
        </c:ser>
        <c:ser>
          <c:idx val="3"/>
          <c:order val="3"/>
          <c:tx>
            <c:strRef>
              <c:f>'P50 and P25 table'!$R$76</c:f>
              <c:strCache>
                <c:ptCount val="1"/>
                <c:pt idx="0">
                  <c:v>ST INJ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'P50 and P25 table'!$F$77:$F$81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table'!$R$77:$R$81</c:f>
              <c:numCache>
                <c:formatCode>General</c:formatCode>
                <c:ptCount val="5"/>
                <c:pt idx="0">
                  <c:v>35.545833099999626</c:v>
                </c:pt>
                <c:pt idx="1">
                  <c:v>0</c:v>
                </c:pt>
                <c:pt idx="2">
                  <c:v>0</c:v>
                </c:pt>
                <c:pt idx="3">
                  <c:v>36</c:v>
                </c:pt>
                <c:pt idx="4">
                  <c:v>35.567460095237742</c:v>
                </c:pt>
              </c:numCache>
            </c:numRef>
          </c:val>
        </c:ser>
        <c:ser>
          <c:idx val="5"/>
          <c:order val="4"/>
          <c:tx>
            <c:strRef>
              <c:f>'P50 and P25 table'!$N$67</c:f>
              <c:strCache>
                <c:ptCount val="1"/>
                <c:pt idx="0">
                  <c:v>NW PROD PLAN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'P50 and P25 table'!$N$68:$N$72</c:f>
              <c:numCache>
                <c:formatCode>General</c:formatCode>
                <c:ptCount val="5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77.466666666666669</c:v>
                </c:pt>
              </c:numCache>
            </c:numRef>
          </c:val>
        </c:ser>
        <c:ser>
          <c:idx val="6"/>
          <c:order val="5"/>
          <c:tx>
            <c:strRef>
              <c:f>'P50 and P25 table'!$O$67</c:f>
              <c:strCache>
                <c:ptCount val="1"/>
                <c:pt idx="0">
                  <c:v>NW INJ PLAN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val>
            <c:numRef>
              <c:f>'P50 and P25 table'!$O$68:$O$72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6"/>
          <c:tx>
            <c:strRef>
              <c:f>'P50 and P25 table'!$P$67</c:f>
              <c:strCache>
                <c:ptCount val="1"/>
                <c:pt idx="0">
                  <c:v>ST PROD PLAN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val>
            <c:numRef>
              <c:f>'P50 and P25 table'!$P$68:$P$72</c:f>
              <c:numCache>
                <c:formatCode>General</c:formatCode>
                <c:ptCount val="5"/>
                <c:pt idx="0">
                  <c:v>56</c:v>
                </c:pt>
                <c:pt idx="1">
                  <c:v>56</c:v>
                </c:pt>
                <c:pt idx="2">
                  <c:v>0</c:v>
                </c:pt>
                <c:pt idx="3">
                  <c:v>56</c:v>
                </c:pt>
                <c:pt idx="4">
                  <c:v>56</c:v>
                </c:pt>
              </c:numCache>
            </c:numRef>
          </c:val>
        </c:ser>
        <c:ser>
          <c:idx val="8"/>
          <c:order val="7"/>
          <c:tx>
            <c:strRef>
              <c:f>'P50 and P25 table'!$Q$67</c:f>
              <c:strCache>
                <c:ptCount val="1"/>
                <c:pt idx="0">
                  <c:v>ST INJ PLAN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val>
            <c:numRef>
              <c:f>'P50 and P25 table'!$Q$68:$Q$72</c:f>
              <c:numCache>
                <c:formatCode>General</c:formatCode>
                <c:ptCount val="5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409392"/>
        <c:axId val="584409784"/>
      </c:barChart>
      <c:catAx>
        <c:axId val="584409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Reservoir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584409784"/>
        <c:crosses val="autoZero"/>
        <c:auto val="1"/>
        <c:lblAlgn val="ctr"/>
        <c:lblOffset val="100"/>
        <c:noMultiLvlLbl val="0"/>
      </c:catAx>
      <c:valAx>
        <c:axId val="584409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09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P25 Top 25% Average (Spud to RR)</a:t>
            </a:r>
          </a:p>
          <a:p>
            <a:pPr>
              <a:defRPr/>
            </a:pPr>
            <a:r>
              <a:rPr lang="en-US" sz="1400"/>
              <a:t>AAP 04/2014</a:t>
            </a:r>
            <a:r>
              <a:rPr lang="en-US" sz="1400" baseline="0"/>
              <a:t> to Current</a:t>
            </a:r>
            <a:endParaRPr 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 and P25 table'!$L$84</c:f>
              <c:strCache>
                <c:ptCount val="1"/>
                <c:pt idx="0">
                  <c:v>NW PROD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'P50 and P25 table'!$F$85:$F$89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table'!$L$85:$L$89</c:f>
              <c:numCache>
                <c:formatCode>General</c:formatCode>
                <c:ptCount val="5"/>
                <c:pt idx="0">
                  <c:v>47.791666666664241</c:v>
                </c:pt>
                <c:pt idx="1">
                  <c:v>48</c:v>
                </c:pt>
                <c:pt idx="2">
                  <c:v>45.207999999999998</c:v>
                </c:pt>
                <c:pt idx="3">
                  <c:v>53.375</c:v>
                </c:pt>
                <c:pt idx="4">
                  <c:v>46.55191666666606</c:v>
                </c:pt>
              </c:numCache>
            </c:numRef>
          </c:val>
        </c:ser>
        <c:ser>
          <c:idx val="1"/>
          <c:order val="1"/>
          <c:tx>
            <c:strRef>
              <c:f>'P50 and P25 table'!$N$84</c:f>
              <c:strCache>
                <c:ptCount val="1"/>
                <c:pt idx="0">
                  <c:v>NW INJ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</c:spPr>
          <c:invertIfNegative val="0"/>
          <c:cat>
            <c:strRef>
              <c:f>'P50 and P25 table'!$F$85:$F$89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table'!$N$85:$N$89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'P50 and P25 table'!$P$84</c:f>
              <c:strCache>
                <c:ptCount val="1"/>
                <c:pt idx="0">
                  <c:v>ST PROD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cat>
            <c:strRef>
              <c:f>'P50 and P25 table'!$F$85:$F$89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table'!$P$85:$P$89</c:f>
              <c:numCache>
                <c:formatCode>General</c:formatCode>
                <c:ptCount val="5"/>
                <c:pt idx="0">
                  <c:v>41.770833333332121</c:v>
                </c:pt>
                <c:pt idx="1">
                  <c:v>40.770829999999997</c:v>
                </c:pt>
                <c:pt idx="2">
                  <c:v>0</c:v>
                </c:pt>
                <c:pt idx="3">
                  <c:v>52</c:v>
                </c:pt>
                <c:pt idx="4">
                  <c:v>41.437498888888079</c:v>
                </c:pt>
              </c:numCache>
            </c:numRef>
          </c:val>
        </c:ser>
        <c:ser>
          <c:idx val="3"/>
          <c:order val="3"/>
          <c:tx>
            <c:strRef>
              <c:f>'P50 and P25 table'!$R$84</c:f>
              <c:strCache>
                <c:ptCount val="1"/>
                <c:pt idx="0">
                  <c:v>ST INJ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</c:spPr>
          <c:invertIfNegative val="0"/>
          <c:cat>
            <c:strRef>
              <c:f>'P50 and P25 table'!$F$85:$F$89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table'!$R$85:$R$89</c:f>
              <c:numCache>
                <c:formatCode>General</c:formatCode>
                <c:ptCount val="5"/>
                <c:pt idx="0">
                  <c:v>26.054166533332847</c:v>
                </c:pt>
                <c:pt idx="1">
                  <c:v>0</c:v>
                </c:pt>
                <c:pt idx="2">
                  <c:v>0</c:v>
                </c:pt>
                <c:pt idx="3">
                  <c:v>36</c:v>
                </c:pt>
                <c:pt idx="4">
                  <c:v>26.743055444444039</c:v>
                </c:pt>
              </c:numCache>
            </c:numRef>
          </c:val>
        </c:ser>
        <c:ser>
          <c:idx val="6"/>
          <c:order val="4"/>
          <c:tx>
            <c:strRef>
              <c:f>'P50 and P25 table'!$N$67</c:f>
              <c:strCache>
                <c:ptCount val="1"/>
                <c:pt idx="0">
                  <c:v>NW PROD PLAN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val>
            <c:numRef>
              <c:f>'P50 and P25 table'!$N$68:$N$72</c:f>
              <c:numCache>
                <c:formatCode>General</c:formatCode>
                <c:ptCount val="5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77.466666666666669</c:v>
                </c:pt>
              </c:numCache>
            </c:numRef>
          </c:val>
        </c:ser>
        <c:ser>
          <c:idx val="5"/>
          <c:order val="5"/>
          <c:tx>
            <c:strRef>
              <c:f>'P50 and P25 table'!$O$67</c:f>
              <c:strCache>
                <c:ptCount val="1"/>
                <c:pt idx="0">
                  <c:v>NW INJ PLAN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val>
            <c:numRef>
              <c:f>'P50 and P25 table'!$O$68:$O$72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6"/>
          <c:tx>
            <c:strRef>
              <c:f>'P50 and P25 table'!$P$67</c:f>
              <c:strCache>
                <c:ptCount val="1"/>
                <c:pt idx="0">
                  <c:v>ST PROD PLAN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val>
            <c:numRef>
              <c:f>'P50 and P25 table'!$P$68:$P$72</c:f>
              <c:numCache>
                <c:formatCode>General</c:formatCode>
                <c:ptCount val="5"/>
                <c:pt idx="0">
                  <c:v>56</c:v>
                </c:pt>
                <c:pt idx="1">
                  <c:v>56</c:v>
                </c:pt>
                <c:pt idx="2">
                  <c:v>0</c:v>
                </c:pt>
                <c:pt idx="3">
                  <c:v>56</c:v>
                </c:pt>
                <c:pt idx="4">
                  <c:v>56</c:v>
                </c:pt>
              </c:numCache>
            </c:numRef>
          </c:val>
        </c:ser>
        <c:ser>
          <c:idx val="8"/>
          <c:order val="7"/>
          <c:tx>
            <c:strRef>
              <c:f>'P50 and P25 table'!$Q$67</c:f>
              <c:strCache>
                <c:ptCount val="1"/>
                <c:pt idx="0">
                  <c:v>ST INJ PLAN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val>
            <c:numRef>
              <c:f>'P50 and P25 table'!$Q$68:$Q$72</c:f>
              <c:numCache>
                <c:formatCode>General</c:formatCode>
                <c:ptCount val="5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410568"/>
        <c:axId val="584410960"/>
      </c:barChart>
      <c:catAx>
        <c:axId val="584410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Reservoir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584410960"/>
        <c:crosses val="autoZero"/>
        <c:auto val="1"/>
        <c:lblAlgn val="ctr"/>
        <c:lblOffset val="100"/>
        <c:noMultiLvlLbl val="0"/>
      </c:catAx>
      <c:valAx>
        <c:axId val="584410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10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Spud to RR Vs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'Well Data-NK'!$Q$1</c:f>
              <c:strCache>
                <c:ptCount val="1"/>
                <c:pt idx="0">
                  <c:v>Spud to RR</c:v>
                </c:pt>
              </c:strCache>
            </c:strRef>
          </c:tx>
          <c:spPr>
            <a:ln w="19050">
              <a:noFill/>
            </a:ln>
          </c:spPr>
          <c:dLbls>
            <c:dLbl>
              <c:idx val="0"/>
              <c:tx>
                <c:strRef>
                  <c:f>'Well Data-NK'!$J$2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{1749BA03-16F8-48CB-A57B-1461A2BB8890}</c15:txfldGUID>
                      <c15:f>'Well Data-NK'!$J$2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'Well Data-NK'!$J$3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{A3004876-7E93-499C-BC71-FC9991E1FAF4}</c15:txfldGUID>
                      <c15:f>'Well Data-NK'!$J$3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'Well Data-NK'!$J$4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{E2188469-1FBF-40AE-962B-1306CE894CA6}</c15:txfldGUID>
                      <c15:f>'Well Data-NK'!$J$4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'Well Data-NK'!$J$5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{711F28A4-730B-4116-90AA-5AE99F3FFB91}</c15:txfldGUID>
                      <c15:f>'Well Data-NK'!$J$5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'Well Data-NK'!$J$6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{D4FC02D0-DD03-4828-ADCA-25FE950C2CC0}</c15:txfldGUID>
                      <c15:f>'Well Data-NK'!$J$6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'Well Data-NK'!$J$7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{5CC342AA-AE64-4D8B-8D90-6A1752220E25}</c15:txfldGUID>
                      <c15:f>'Well Data-NK'!$J$7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'Well Data-NK'!$J$8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{BB84E2B2-F885-41A0-AE35-D939FA3AE5EE}</c15:txfldGUID>
                      <c15:f>'Well Data-NK'!$J$8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'Well Data-NK'!$J$9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{AD6357E2-E55E-4AD2-8FD1-ED216BB5A359}</c15:txfldGUID>
                      <c15:f>'Well Data-NK'!$J$9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'Well Data-NK'!$J$10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{9A807B1A-905F-448B-AE44-B64C057A14E6}</c15:txfldGUID>
                      <c15:f>'Well Data-NK'!$J$10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'Well Data-NK'!$J$11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{0664D977-982B-41EF-B20C-3AFC42FECFF3}</c15:txfldGUID>
                      <c15:f>'Well Data-NK'!$J$11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'Well Data-NK'!$J$12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{774EEA63-79AF-4D2E-BD6C-6CF724ACCE83}</c15:txfldGUID>
                      <c15:f>'Well Data-NK'!$J$12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'Well Data-NK'!$J$13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{94922028-ADB1-4FCB-A9DC-89139F024A50}</c15:txfldGUID>
                      <c15:f>'Well Data-NK'!$J$13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tx>
                <c:strRef>
                  <c:f>'Well Data-NK'!$J$14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{53032EFB-B1E7-4937-B75D-C584FA4EC613}</c15:txfldGUID>
                      <c15:f>'Well Data-NK'!$J$14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'Well Data-NK'!$J$15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{1EA7D6D7-6983-4663-BE97-79788FFB1645}</c15:txfldGUID>
                      <c15:f>'Well Data-NK'!$J$15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tx>
                <c:strRef>
                  <c:f>'Well Data-NK'!$J$16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{6F7774ED-47AE-4819-8FB7-D4CFA4D581D7}</c15:txfldGUID>
                      <c15:f>'Well Data-NK'!$J$16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tx>
                <c:strRef>
                  <c:f>'Well Data-NK'!$J$17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{827BF42F-048D-47FE-AB99-5A64E3EBDB7D}</c15:txfldGUID>
                      <c15:f>'Well Data-NK'!$J$17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'Well Data-NK'!$J$18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{1230C056-8315-4C60-8F4E-4EE3E7839CA5}</c15:txfldGUID>
                      <c15:f>'Well Data-NK'!$J$18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tx>
                <c:strRef>
                  <c:f>'Well Data-NK'!$J$19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{2D1AF854-666C-42F4-B332-E768171B9403}</c15:txfldGUID>
                      <c15:f>'Well Data-NK'!$J$19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tx>
                <c:strRef>
                  <c:f>'Well Data-NK'!$J$20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{CF0012D3-204E-4D10-893E-B541100F6FAC}</c15:txfldGUID>
                      <c15:f>'Well Data-NK'!$J$20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'Well Data-NK'!$J$21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{EE5D4254-496C-4B54-BF9C-AE1034B7A7B1}</c15:txfldGUID>
                      <c15:f>'Well Data-NK'!$J$21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tx>
                <c:strRef>
                  <c:f>'Well Data-NK'!$J$22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{EDE0342A-E79A-4E20-A4EF-650B4B9D8C0B}</c15:txfldGUID>
                      <c15:f>'Well Data-NK'!$J$22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tx>
                <c:strRef>
                  <c:f>'Well Data-NK'!$J$23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{1A198DDC-FDDC-45B6-AE46-35D09E741A89}</c15:txfldGUID>
                      <c15:f>'Well Data-NK'!$J$23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tx>
                <c:strRef>
                  <c:f>'Well Data-NK'!$J$24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{B0215C4B-AA18-4801-B444-A3B37E3997F8}</c15:txfldGUID>
                      <c15:f>'Well Data-NK'!$J$24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tx>
                <c:strRef>
                  <c:f>'Well Data-NK'!$J$25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{E956C547-54A8-4C0B-A9DE-94A1572A4B2F}</c15:txfldGUID>
                      <c15:f>'Well Data-NK'!$J$25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tx>
                <c:strRef>
                  <c:f>'Well Data-NK'!$J$26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{04CCB96C-2903-481E-B621-CEECF9CB04E3}</c15:txfldGUID>
                      <c15:f>'Well Data-NK'!$J$26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tx>
                <c:strRef>
                  <c:f>'Well Data-NK'!$J$27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{899B4137-BA28-4EB9-BBBE-388D5B30608A}</c15:txfldGUID>
                      <c15:f>'Well Data-NK'!$J$27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tx>
                <c:strRef>
                  <c:f>'Well Data-NK'!$J$28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{745554B7-6DAB-4D58-B5C5-D943316E4562}</c15:txfldGUID>
                      <c15:f>'Well Data-NK'!$J$28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tx>
                <c:strRef>
                  <c:f>'Well Data-NK'!$J$29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{62B72985-70A1-4AAA-9617-6457B6EE4923}</c15:txfldGUID>
                      <c15:f>'Well Data-NK'!$J$29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tx>
                <c:strRef>
                  <c:f>'Well Data-NK'!$J$30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{53336E5F-C4B0-4B70-B09F-B8692729E0CA}</c15:txfldGUID>
                      <c15:f>'Well Data-NK'!$J$30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tx>
                <c:strRef>
                  <c:f>'Well Data-NK'!$J$31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{17E790B2-CCEB-4A10-AC60-D569793B05B3}</c15:txfldGUID>
                      <c15:f>'Well Data-NK'!$J$31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0"/>
              <c:tx>
                <c:strRef>
                  <c:f>'Well Data-NK'!$J$32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{17FB3CF5-E8F6-4C97-BC11-3D473B6EAC41}</c15:txfldGUID>
                      <c15:f>'Well Data-NK'!$J$32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1"/>
              <c:tx>
                <c:strRef>
                  <c:f>'Well Data-NK'!$J$33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{16800B69-2E26-4EAE-9E3F-FEEB175633E8}</c15:txfldGUID>
                      <c15:f>'Well Data-NK'!$J$33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2"/>
              <c:tx>
                <c:strRef>
                  <c:f>'Well Data-NK'!$J$34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{32158BCC-339F-4D29-BFD2-974002A666D4}</c15:txfldGUID>
                      <c15:f>'Well Data-NK'!$J$34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3"/>
              <c:tx>
                <c:strRef>
                  <c:f>'Well Data-NK'!$J$35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{EF6F7F7F-CF84-40E3-9904-0E14BE536899}</c15:txfldGUID>
                      <c15:f>'Well Data-NK'!$J$35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4"/>
              <c:tx>
                <c:strRef>
                  <c:f>'Well Data-NK'!$J$36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{14BCD3FD-8CAB-4BE9-BF27-DAC8AD32CD64}</c15:txfldGUID>
                      <c15:f>'Well Data-NK'!$J$36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5"/>
              <c:tx>
                <c:strRef>
                  <c:f>'Well Data-NK'!$J$37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{5EC61FB7-81EC-44D1-AD66-30BE116F09DE}</c15:txfldGUID>
                      <c15:f>'Well Data-NK'!$J$37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6"/>
              <c:tx>
                <c:strRef>
                  <c:f>'Well Data-NK'!$J$38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{2CC0C222-4E4E-4D31-9444-312505648271}</c15:txfldGUID>
                      <c15:f>'Well Data-NK'!$J$38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7"/>
              <c:tx>
                <c:strRef>
                  <c:f>'Well Data-NK'!$J$39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{B09C6095-4D9B-4566-A1D4-B1EB46C83FE9}</c15:txfldGUID>
                      <c15:f>'Well Data-NK'!$J$39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8"/>
              <c:tx>
                <c:strRef>
                  <c:f>'Well Data-NK'!$J$40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{3C2A0CC3-14AA-47E5-B397-5E8DF9C81E48}</c15:txfldGUID>
                      <c15:f>'Well Data-NK'!$J$40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9"/>
              <c:tx>
                <c:strRef>
                  <c:f>'Well Data-NK'!$J$41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{DD819B35-74FC-4A18-90D8-2F5605AD583C}</c15:txfldGUID>
                      <c15:f>'Well Data-NK'!$J$41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0"/>
              <c:tx>
                <c:strRef>
                  <c:f>'Well Data-NK'!$J$42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{E035C80A-2C00-4253-A4EE-AB3875244AD8}</c15:txfldGUID>
                      <c15:f>'Well Data-NK'!$J$42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1"/>
              <c:tx>
                <c:strRef>
                  <c:f>'Well Data-NK'!$J$43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{13E76AE0-C779-40FC-981A-814F59ECA908}</c15:txfldGUID>
                      <c15:f>'Well Data-NK'!$J$43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2"/>
              <c:tx>
                <c:strRef>
                  <c:f>'Well Data-NK'!$J$44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{C5A2FA8A-D9F3-4009-A703-691CA6C4F3F2}</c15:txfldGUID>
                      <c15:f>'Well Data-NK'!$J$44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3"/>
              <c:tx>
                <c:strRef>
                  <c:f>'Well Data-NK'!$J$45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{356D2022-8089-4AC4-8A8E-A4D544578787}</c15:txfldGUID>
                      <c15:f>'Well Data-NK'!$J$45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4"/>
              <c:tx>
                <c:strRef>
                  <c:f>'Well Data-NK'!$J$46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{3F07AEDA-0F84-4782-A528-764A73685E5E}</c15:txfldGUID>
                      <c15:f>'Well Data-NK'!$J$46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5"/>
              <c:tx>
                <c:strRef>
                  <c:f>'Well Data-NK'!$J$47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{782511BD-E80B-438E-B667-61F907D664F5}</c15:txfldGUID>
                      <c15:f>'Well Data-NK'!$J$47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6"/>
              <c:tx>
                <c:strRef>
                  <c:f>'Well Data-NK'!$J$48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{C53C6169-62EB-4DB9-B5B2-C554FC6F2DFA}</c15:txfldGUID>
                      <c15:f>'Well Data-NK'!$J$48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7"/>
              <c:tx>
                <c:strRef>
                  <c:f>'Well Data-NK'!$J$49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{F2C59E26-BE07-4F6B-93B9-52B0D6025568}</c15:txfldGUID>
                      <c15:f>'Well Data-NK'!$J$49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8"/>
              <c:tx>
                <c:strRef>
                  <c:f>'Well Data-NK'!$J$50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{ED60A9DA-5818-4FF6-AF49-073CC204EA04}</c15:txfldGUID>
                      <c15:f>'Well Data-NK'!$J$50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9"/>
              <c:tx>
                <c:strRef>
                  <c:f>'Well Data-NK'!$J$51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{F997D397-E17A-4D52-B4CE-0D514507584C}</c15:txfldGUID>
                      <c15:f>'Well Data-NK'!$J$51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0"/>
              <c:tx>
                <c:strRef>
                  <c:f>'Well Data-NK'!$J$52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{48647205-DB15-422D-88BD-13B2EBBFB1C6}</c15:txfldGUID>
                      <c15:f>'Well Data-NK'!$J$52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1"/>
              <c:tx>
                <c:strRef>
                  <c:f>'Well Data-NK'!$J$53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{1DA0B4F1-45F3-4D3A-BBE6-6FD66D613147}</c15:txfldGUID>
                      <c15:f>'Well Data-NK'!$J$53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2"/>
              <c:tx>
                <c:strRef>
                  <c:f>'Well Data-NK'!$J$54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{B7FDED06-E933-454F-B186-DC0503B70292}</c15:txfldGUID>
                      <c15:f>'Well Data-NK'!$J$54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3"/>
              <c:tx>
                <c:strRef>
                  <c:f>'Well Data-NK'!$J$55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{CEDA6F66-CB5D-4769-8217-C0B0E49F14A8}</c15:txfldGUID>
                      <c15:f>'Well Data-NK'!$J$55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4"/>
              <c:tx>
                <c:strRef>
                  <c:f>'Well Data-NK'!$J$56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{F9309E78-D3A4-4482-B3B7-99B5A43E9FAB}</c15:txfldGUID>
                      <c15:f>'Well Data-NK'!$J$56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5"/>
              <c:tx>
                <c:strRef>
                  <c:f>'Well Data-NK'!$J$57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{3C4686E7-26BE-4821-BFC5-CDF7D65AE2D1}</c15:txfldGUID>
                      <c15:f>'Well Data-NK'!$J$57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6"/>
              <c:tx>
                <c:strRef>
                  <c:f>'Well Data-NK'!$J$58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{CFBEDE6A-4BAE-45B2-8D6E-2CB3A4BCC726}</c15:txfldGUID>
                      <c15:f>'Well Data-NK'!$J$58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7"/>
              <c:tx>
                <c:strRef>
                  <c:f>'Well Data-NK'!$J$59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{AFCE476D-2404-49E7-9611-CEA91A18D3A2}</c15:txfldGUID>
                      <c15:f>'Well Data-NK'!$J$59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8"/>
              <c:tx>
                <c:strRef>
                  <c:f>'Well Data-NK'!$J$60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{4EC6CE96-F763-48D7-92A8-ADB64F260B65}</c15:txfldGUID>
                      <c15:f>'Well Data-NK'!$J$60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9"/>
              <c:tx>
                <c:strRef>
                  <c:f>'Well Data-NK'!$J$61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{3268233B-EDF5-4B57-8D42-F4D67EDD2315}</c15:txfldGUID>
                      <c15:f>'Well Data-NK'!$J$61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0"/>
              <c:tx>
                <c:strRef>
                  <c:f>'Well Data-NK'!$J$62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{4C75DE8D-3716-4AA9-B2AF-82F21D07CE45}</c15:txfldGUID>
                      <c15:f>'Well Data-NK'!$J$62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1"/>
              <c:tx>
                <c:strRef>
                  <c:f>'Well Data-NK'!$J$63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{F00D6533-1311-44DA-B5C3-88C1C9385C1F}</c15:txfldGUID>
                      <c15:f>'Well Data-NK'!$J$63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2"/>
              <c:tx>
                <c:strRef>
                  <c:f>'Well Data-NK'!$J$64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{446542DF-95DD-40C7-9DFC-AA10E42512A6}</c15:txfldGUID>
                      <c15:f>'Well Data-NK'!$J$64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3"/>
              <c:tx>
                <c:strRef>
                  <c:f>'Well Data-NK'!$J$65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{2510B91C-F031-4B4D-8839-097E516A0436}</c15:txfldGUID>
                      <c15:f>'Well Data-NK'!$J$65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4"/>
              <c:tx>
                <c:strRef>
                  <c:f>'Well Data-NK'!$J$66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{D46D9748-06A9-4616-B94B-9C0EE10DAC52}</c15:txfldGUID>
                      <c15:f>'Well Data-NK'!$J$66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5"/>
              <c:tx>
                <c:strRef>
                  <c:f>'Well Data-NK'!$J$67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{C7FB2286-DD8C-40ED-ADE2-B24C55D28330}</c15:txfldGUID>
                      <c15:f>'Well Data-NK'!$J$67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6"/>
              <c:tx>
                <c:strRef>
                  <c:f>'Well Data-NK'!$J$68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{393A3B1C-1758-4262-B66E-1BA5ED580138}</c15:txfldGUID>
                      <c15:f>'Well Data-NK'!$J$68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7"/>
              <c:tx>
                <c:strRef>
                  <c:f>'Well Data-NK'!$J$69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{C5BEC9FE-F5C7-4B5F-91D0-B0E2327B407A}</c15:txfldGUID>
                      <c15:f>'Well Data-NK'!$J$69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8"/>
              <c:tx>
                <c:strRef>
                  <c:f>'Well Data-NK'!$J$70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{310C46FB-C386-447E-8313-B9EA33574B55}</c15:txfldGUID>
                      <c15:f>'Well Data-NK'!$J$70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9"/>
              <c:tx>
                <c:strRef>
                  <c:f>'Well Data-NK'!$J$71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{27AC77DE-1042-4F9E-94C2-F6690F3B4A6C}</c15:txfldGUID>
                      <c15:f>'Well Data-NK'!$J$71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0"/>
              <c:tx>
                <c:strRef>
                  <c:f>'Well Data-NK'!$J$72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{B6A5E359-97FB-4CF9-AAEB-01E567BE5C75}</c15:txfldGUID>
                      <c15:f>'Well Data-NK'!$J$72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1"/>
              <c:tx>
                <c:strRef>
                  <c:f>'Well Data-NK'!$J$73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{4DB3B11B-DAF4-453A-8466-CD3BCBD09E5D}</c15:txfldGUID>
                      <c15:f>'Well Data-NK'!$J$73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2"/>
              <c:tx>
                <c:strRef>
                  <c:f>'Well Data-NK'!$J$74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{943F45B0-4EC4-4D82-939C-17CF851068C4}</c15:txfldGUID>
                      <c15:f>'Well Data-NK'!$J$74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3"/>
              <c:tx>
                <c:strRef>
                  <c:f>'Well Data-NK'!$J$75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{63981503-15AF-4BAA-A3F9-275FB2363F10}</c15:txfldGUID>
                      <c15:f>'Well Data-NK'!$J$75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4"/>
              <c:tx>
                <c:strRef>
                  <c:f>'Well Data-NK'!$J$76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{2BE6DFA7-3EC2-4230-8885-A25904C1C0F6}</c15:txfldGUID>
                      <c15:f>'Well Data-NK'!$J$76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5"/>
              <c:tx>
                <c:strRef>
                  <c:f>'Well Data-NK'!$J$77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{396AA4E0-C76A-4827-A20C-FA4B7948BDDC}</c15:txfldGUID>
                      <c15:f>'Well Data-NK'!$J$77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6"/>
              <c:tx>
                <c:strRef>
                  <c:f>'Well Data-NK'!$J$78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{00928520-5B2B-44C9-83A7-67BD70D884AF}</c15:txfldGUID>
                      <c15:f>'Well Data-NK'!$J$78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7"/>
              <c:tx>
                <c:strRef>
                  <c:f>'Well Data-NK'!$J$79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{4BD07CCA-6E78-426F-ADB9-80ABCF72C5A5}</c15:txfldGUID>
                      <c15:f>'Well Data-NK'!$J$79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8"/>
              <c:tx>
                <c:strRef>
                  <c:f>'Well Data-NK'!$J$80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{0A0EE73C-C1D8-484E-BF75-E86CF9F1E04D}</c15:txfldGUID>
                      <c15:f>'Well Data-NK'!$J$80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9"/>
              <c:tx>
                <c:strRef>
                  <c:f>'Well Data-NK'!$J$81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{70190840-C8BB-415E-9517-3D4BB4C52630}</c15:txfldGUID>
                      <c15:f>'Well Data-NK'!$J$81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0"/>
              <c:tx>
                <c:strRef>
                  <c:f>'Well Data-NK'!$J$82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{343D2800-2CB9-42E0-888E-FEE6CEF93F17}</c15:txfldGUID>
                      <c15:f>'Well Data-NK'!$J$82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1"/>
              <c:tx>
                <c:strRef>
                  <c:f>'Well Data-NK'!$J$83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{95F0F3D7-D79C-4571-96C9-E52729756115}</c15:txfldGUID>
                      <c15:f>'Well Data-NK'!$J$83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2"/>
              <c:tx>
                <c:strRef>
                  <c:f>'Well Data-NK'!$J$84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{27A22370-DAAC-4359-9C57-E06B1AFBBB8A}</c15:txfldGUID>
                      <c15:f>'Well Data-NK'!$J$84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3"/>
              <c:tx>
                <c:strRef>
                  <c:f>'Well Data-NK'!$J$85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{452025DA-FC8E-4B87-BF58-63FDE1F9221A}</c15:txfldGUID>
                      <c15:f>'Well Data-NK'!$J$85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4"/>
              <c:tx>
                <c:strRef>
                  <c:f>'Well Data-NK'!$J$86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{D2BE17C8-2D99-4E66-95BC-9E2B004608F6}</c15:txfldGUID>
                      <c15:f>'Well Data-NK'!$J$86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5"/>
              <c:tx>
                <c:strRef>
                  <c:f>'Well Data-NK'!$J$87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{106588EC-8544-47E8-BF4A-2F1584EC841A}</c15:txfldGUID>
                      <c15:f>'Well Data-NK'!$J$87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6"/>
              <c:tx>
                <c:strRef>
                  <c:f>'Well Data-NK'!$J$88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{626D7F1D-BFF7-413F-88E5-5D6B0399B115}</c15:txfldGUID>
                      <c15:f>'Well Data-NK'!$J$88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7"/>
              <c:tx>
                <c:strRef>
                  <c:f>'Well Data-NK'!$J$89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{7714C903-8EBC-400E-BE5A-242C6CE0B896}</c15:txfldGUID>
                      <c15:f>'Well Data-NK'!$J$89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8"/>
              <c:tx>
                <c:strRef>
                  <c:f>'Well Data-NK'!$J$90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{6E1646BB-CAEB-4BEA-AF3B-086176308085}</c15:txfldGUID>
                      <c15:f>'Well Data-NK'!$J$90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9"/>
              <c:tx>
                <c:strRef>
                  <c:f>'Well Data-NK'!$J$91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{8B138870-9A24-4F25-B8F0-2EA38EF5EA66}</c15:txfldGUID>
                      <c15:f>'Well Data-NK'!$J$91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0"/>
              <c:tx>
                <c:strRef>
                  <c:f>'Well Data-NK'!$J$92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{9123FB8F-137C-4644-814E-4662A09B6D00}</c15:txfldGUID>
                      <c15:f>'Well Data-NK'!$J$92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1"/>
              <c:tx>
                <c:strRef>
                  <c:f>'Well Data-NK'!$J$93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{7230761D-AC11-4DDB-BB4B-FD52BA633CE6}</c15:txfldGUID>
                      <c15:f>'Well Data-NK'!$J$93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2"/>
              <c:tx>
                <c:strRef>
                  <c:f>'Well Data-NK'!$J$94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{F503D3C9-339C-465C-9CD8-D9F6345E27DF}</c15:txfldGUID>
                      <c15:f>'Well Data-NK'!$J$94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3"/>
              <c:tx>
                <c:strRef>
                  <c:f>'Well Data-NK'!$J$95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{570A5B9D-B6D4-43C3-8145-1C956C13390F}</c15:txfldGUID>
                      <c15:f>'Well Data-NK'!$J$95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4"/>
              <c:tx>
                <c:strRef>
                  <c:f>'Well Data-NK'!$J$96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{0CEB45E6-C35A-4F15-840B-EDB440D59355}</c15:txfldGUID>
                      <c15:f>'Well Data-NK'!$J$96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5"/>
              <c:tx>
                <c:strRef>
                  <c:f>'Well Data-NK'!$J$97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{F96D7AC2-1A8A-4598-BA98-09D3E277BDEF}</c15:txfldGUID>
                      <c15:f>'Well Data-NK'!$J$97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6"/>
              <c:tx>
                <c:strRef>
                  <c:f>'Well Data-NK'!$J$98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{0F038993-C44D-449D-BADD-255D78E104BF}</c15:txfldGUID>
                      <c15:f>'Well Data-NK'!$J$98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7"/>
              <c:tx>
                <c:strRef>
                  <c:f>'Well Data-NK'!$J$99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{BDE1358F-BF9A-43ED-B347-56C97A321EAB}</c15:txfldGUID>
                      <c15:f>'Well Data-NK'!$J$99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8"/>
              <c:tx>
                <c:strRef>
                  <c:f>'Well Data-NK'!$J$100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{52F8A2E4-47E9-42F8-AC77-14A13957F92E}</c15:txfldGUID>
                      <c15:f>'Well Data-NK'!$J$100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9"/>
              <c:tx>
                <c:strRef>
                  <c:f>'Well Data-NK'!$J$101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{105CD071-9E15-4019-ADC2-585144DC1120}</c15:txfldGUID>
                      <c15:f>'Well Data-NK'!$J$101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0"/>
              <c:tx>
                <c:strRef>
                  <c:f>'Well Data-NK'!$J$102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{9A906587-1DE4-4113-AAF2-FBF676E19A69}</c15:txfldGUID>
                      <c15:f>'Well Data-NK'!$J$102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1"/>
              <c:tx>
                <c:strRef>
                  <c:f>'Well Data-NK'!$J$103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{FB79C812-C70E-4BCA-85F2-D55E2F0FD239}</c15:txfldGUID>
                      <c15:f>'Well Data-NK'!$J$103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2"/>
              <c:tx>
                <c:strRef>
                  <c:f>'Well Data-NK'!$J$104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{FCA77AB5-D33A-4E6D-BAE5-05AFB99493D7}</c15:txfldGUID>
                      <c15:f>'Well Data-NK'!$J$104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3"/>
              <c:tx>
                <c:strRef>
                  <c:f>'Well Data-NK'!$J$105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{9BEDF738-5388-459B-B2C6-06C49E0D4558}</c15:txfldGUID>
                      <c15:f>'Well Data-NK'!$J$105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4"/>
              <c:tx>
                <c:strRef>
                  <c:f>'Well Data-NK'!$J$106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{F30F33F5-B9B7-4EB0-979D-13F6A6D14B68}</c15:txfldGUID>
                      <c15:f>'Well Data-NK'!$J$106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5"/>
              <c:tx>
                <c:strRef>
                  <c:f>'Well Data-NK'!$J$107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{61E6B7B1-57EE-4AA3-AA2D-A5FE69134863}</c15:txfldGUID>
                      <c15:f>'Well Data-NK'!$J$107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6"/>
              <c:tx>
                <c:strRef>
                  <c:f>'Well Data-NK'!$J$108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{9CAD3336-FF64-463E-B4D9-3C4279C5916B}</c15:txfldGUID>
                      <c15:f>'Well Data-NK'!$J$108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7"/>
              <c:tx>
                <c:strRef>
                  <c:f>'Well Data-NK'!$J$109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{D165E86E-E692-4B01-8AAE-A13E1049CCF2}</c15:txfldGUID>
                      <c15:f>'Well Data-NK'!$J$109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8"/>
              <c:tx>
                <c:strRef>
                  <c:f>'Well Data-NK'!$J$110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{2FD90577-665D-4579-99FE-46C926E4B1A1}</c15:txfldGUID>
                      <c15:f>'Well Data-NK'!$J$110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9"/>
              <c:tx>
                <c:strRef>
                  <c:f>'Well Data-NK'!$J$111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{ECAC403D-D779-48C6-BD03-B24FD8A1DBF1}</c15:txfldGUID>
                      <c15:f>'Well Data-NK'!$J$111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0"/>
              <c:tx>
                <c:strRef>
                  <c:f>'Well Data-NK'!$J$112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{8A370687-C858-4E81-88F9-8D107967E298}</c15:txfldGUID>
                      <c15:f>'Well Data-NK'!$J$112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1"/>
              <c:tx>
                <c:strRef>
                  <c:f>'Well Data-NK'!$J$113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{1BAA8CD9-4AAC-435C-A6A8-3D1D4DC916FD}</c15:txfldGUID>
                      <c15:f>'Well Data-NK'!$J$113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2"/>
              <c:tx>
                <c:strRef>
                  <c:f>'Well Data-NK'!$J$114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{3F5DB891-989A-40C9-B1A9-DD38263B2151}</c15:txfldGUID>
                      <c15:f>'Well Data-NK'!$J$114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3"/>
              <c:tx>
                <c:strRef>
                  <c:f>'Well Data-NK'!$J$115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{0DED3B8E-56E4-4D42-BA57-32B548D71796}</c15:txfldGUID>
                      <c15:f>'Well Data-NK'!$J$115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4"/>
              <c:tx>
                <c:strRef>
                  <c:f>'Well Data-NK'!$J$116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{4A2ED8CC-D7D8-4C53-B5CF-044AD2BB2524}</c15:txfldGUID>
                      <c15:f>'Well Data-NK'!$J$116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5"/>
              <c:tx>
                <c:strRef>
                  <c:f>'Well Data-NK'!$J$117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{6A723C45-4901-482C-8873-2F72CDD2C731}</c15:txfldGUID>
                      <c15:f>'Well Data-NK'!$J$117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6"/>
              <c:tx>
                <c:strRef>
                  <c:f>'Well Data-NK'!$J$118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{EA1C521C-8C01-4795-BFC9-8D781E1CCC62}</c15:txfldGUID>
                      <c15:f>'Well Data-NK'!$J$118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7"/>
              <c:tx>
                <c:strRef>
                  <c:f>'Well Data-NK'!$J$119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{59040F12-2FA8-4058-84D9-CA38FDC92757}</c15:txfldGUID>
                      <c15:f>'Well Data-NK'!$J$119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8"/>
              <c:tx>
                <c:strRef>
                  <c:f>'Well Data-NK'!$J$120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{CA3AF462-1EC3-494F-8D0C-66DA923B6242}</c15:txfldGUID>
                      <c15:f>'Well Data-NK'!$J$120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9"/>
              <c:tx>
                <c:strRef>
                  <c:f>'Well Data-NK'!$J$121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{1776A423-BDCC-4D2F-8FB2-3A4ECBBE2680}</c15:txfldGUID>
                      <c15:f>'Well Data-NK'!$J$121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0"/>
              <c:tx>
                <c:strRef>
                  <c:f>'Well Data-NK'!$J$122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{874D0D41-D269-4B2C-B0BD-EE5B3E30943D}</c15:txfldGUID>
                      <c15:f>'Well Data-NK'!$J$122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1"/>
              <c:tx>
                <c:strRef>
                  <c:f>'Well Data-NK'!$J$123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{73BA6659-8644-4212-B37D-E152801C1417}</c15:txfldGUID>
                      <c15:f>'Well Data-NK'!$J$123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2"/>
              <c:tx>
                <c:strRef>
                  <c:f>'Well Data-NK'!$J$124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{53E7E928-AC36-4B50-9FDA-10BFBF7ADB9D}</c15:txfldGUID>
                      <c15:f>'Well Data-NK'!$J$124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3"/>
              <c:tx>
                <c:strRef>
                  <c:f>'Well Data-NK'!$J$125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{67867274-296A-44DF-9D43-DF058E9E3030}</c15:txfldGUID>
                      <c15:f>'Well Data-NK'!$J$125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4"/>
              <c:tx>
                <c:strRef>
                  <c:f>'Well Data-NK'!$J$126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{84633B47-73C6-48A0-8504-8328695F05DF}</c15:txfldGUID>
                      <c15:f>'Well Data-NK'!$J$126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5"/>
              <c:tx>
                <c:strRef>
                  <c:f>'Well Data-NK'!$J$127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{0922DEFC-18E1-412B-8576-6A5B57FC5435}</c15:txfldGUID>
                      <c15:f>'Well Data-NK'!$J$127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6"/>
              <c:tx>
                <c:strRef>
                  <c:f>'Well Data-NK'!$J$128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{F04CA0CE-0B41-4A17-B8BE-F84C9D285260}</c15:txfldGUID>
                      <c15:f>'Well Data-NK'!$J$128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7"/>
              <c:tx>
                <c:strRef>
                  <c:f>'Well Data-NK'!$J$129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{6D26E3DB-81D8-486E-9573-577FF294815D}</c15:txfldGUID>
                      <c15:f>'Well Data-NK'!$J$129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8"/>
              <c:tx>
                <c:strRef>
                  <c:f>'Well Data-NK'!$J$130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{4F9867ED-A137-4B8D-93CD-EDB843AE3E29}</c15:txfldGUID>
                      <c15:f>'Well Data-NK'!$J$130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9"/>
              <c:tx>
                <c:strRef>
                  <c:f>'Well Data-NK'!$J$131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{D325E818-4765-4DB1-94A8-570EE68D8CD7}</c15:txfldGUID>
                      <c15:f>'Well Data-NK'!$J$131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0"/>
              <c:tx>
                <c:strRef>
                  <c:f>'Well Data-NK'!$J$132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{D251DE4F-3117-4447-AFB7-50423996D1F9}</c15:txfldGUID>
                      <c15:f>'Well Data-NK'!$J$132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1"/>
              <c:tx>
                <c:strRef>
                  <c:f>'Well Data-NK'!$J$133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{FCC437AE-C19E-4147-8CFB-37822EC8B5DB}</c15:txfldGUID>
                      <c15:f>'Well Data-NK'!$J$133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2"/>
              <c:tx>
                <c:strRef>
                  <c:f>'Well Data-NK'!$J$134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{D5282EB0-DE4F-402E-9D45-3AA8437CE1A4}</c15:txfldGUID>
                      <c15:f>'Well Data-NK'!$J$134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3"/>
              <c:tx>
                <c:strRef>
                  <c:f>'Well Data-NK'!$J$135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{100E64ED-56EA-43FC-809D-6901DB643D50}</c15:txfldGUID>
                      <c15:f>'Well Data-NK'!$J$135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4"/>
              <c:tx>
                <c:strRef>
                  <c:f>'Well Data-NK'!$J$136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{E32D8CD6-EE69-4527-9A69-DE9391764E2F}</c15:txfldGUID>
                      <c15:f>'Well Data-NK'!$J$136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5"/>
              <c:tx>
                <c:strRef>
                  <c:f>'Well Data-NK'!$J$137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{F646D62D-DBE4-4E9B-967B-D9A55EFBEAB9}</c15:txfldGUID>
                      <c15:f>'Well Data-NK'!$J$137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6"/>
              <c:tx>
                <c:strRef>
                  <c:f>'Well Data-NK'!$J$138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{0B60825D-9CE2-45B8-97DA-41CAE4AE4362}</c15:txfldGUID>
                      <c15:f>'Well Data-NK'!$J$138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7"/>
              <c:tx>
                <c:strRef>
                  <c:f>'Well Data-NK'!$J$139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{D82A930B-6998-4C4D-94BA-CB13E659D5B1}</c15:txfldGUID>
                      <c15:f>'Well Data-NK'!$J$139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8"/>
              <c:tx>
                <c:strRef>
                  <c:f>'Well Data-NK'!$J$140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{7F2D9AFC-3606-4CB1-9984-3066ECA3406C}</c15:txfldGUID>
                      <c15:f>'Well Data-NK'!$J$140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9"/>
              <c:tx>
                <c:strRef>
                  <c:f>'Well Data-NK'!$J$141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{292BFA09-3EBB-42D8-A43F-4F90E5CC990D}</c15:txfldGUID>
                      <c15:f>'Well Data-NK'!$J$141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0"/>
              <c:tx>
                <c:strRef>
                  <c:f>'Well Data-NK'!$J$142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{111A751E-91E5-4CE9-8CB9-BCA5FE03F369}</c15:txfldGUID>
                      <c15:f>'Well Data-NK'!$J$142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1"/>
              <c:tx>
                <c:strRef>
                  <c:f>'Well Data-NK'!$J$143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{558F24FF-A518-4786-AA33-D700806DCE27}</c15:txfldGUID>
                      <c15:f>'Well Data-NK'!$J$143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2"/>
              <c:tx>
                <c:strRef>
                  <c:f>'Well Data-NK'!$J$144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{2FAD1B7A-7019-411F-BBD7-F903299E7981}</c15:txfldGUID>
                      <c15:f>'Well Data-NK'!$J$144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3"/>
              <c:tx>
                <c:strRef>
                  <c:f>'Well Data-NK'!$J$145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{CF91B28F-7E91-4C5F-AB39-67E7B19DAE83}</c15:txfldGUID>
                      <c15:f>'Well Data-NK'!$J$145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4"/>
              <c:tx>
                <c:strRef>
                  <c:f>'Well Data-NK'!$J$146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{A01D26BC-5834-4ABE-85F4-E537C9377A1D}</c15:txfldGUID>
                      <c15:f>'Well Data-NK'!$J$146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5"/>
              <c:tx>
                <c:strRef>
                  <c:f>'Well Data-NK'!$J$147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{A756A336-92B8-467A-B567-9F81C3F2FB98}</c15:txfldGUID>
                      <c15:f>'Well Data-NK'!$J$147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6"/>
              <c:tx>
                <c:strRef>
                  <c:f>'Well Data-NK'!$J$148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{D3CF731C-ED46-48ED-94CD-2475DE128D6F}</c15:txfldGUID>
                      <c15:f>'Well Data-NK'!$J$148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7"/>
              <c:tx>
                <c:strRef>
                  <c:f>'Well Data-NK'!$J$149</c:f>
                  <c:strCache>
                    <c:ptCount val="1"/>
                    <c:pt idx="0">
                      <c:v>Inj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{B3A95D8A-2A31-4F0C-AE11-BEB70824B75E}</c15:txfldGUID>
                      <c15:f>'Well Data-NK'!$J$149</c15:f>
                      <c15:dlblFieldTableCache>
                        <c:ptCount val="1"/>
                        <c:pt idx="0">
                          <c:v>Inj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8"/>
              <c:tx>
                <c:strRef>
                  <c:f>'Well Data-NK'!$J$150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{72DC8A4F-F74D-4FC4-852E-F9014602F3D3}</c15:txfldGUID>
                      <c15:f>'Well Data-NK'!$J$150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9"/>
              <c:tx>
                <c:strRef>
                  <c:f>'Well Data-NK'!$J$151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{DBD516CD-61E0-4861-83DA-C9289A0E618E}</c15:txfldGUID>
                      <c15:f>'Well Data-NK'!$J$151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0"/>
              <c:tx>
                <c:strRef>
                  <c:f>'Well Data-NK'!$J$152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{9FD302FD-B792-4BCE-B0D7-0ABC31EB1999}</c15:txfldGUID>
                      <c15:f>'Well Data-NK'!$J$152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1"/>
              <c:tx>
                <c:strRef>
                  <c:f>'Well Data-NK'!$J$153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{9FCE8BC4-14CB-4D80-A5D5-98CAC7E53AB0}</c15:txfldGUID>
                      <c15:f>'Well Data-NK'!$J$153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2"/>
              <c:tx>
                <c:strRef>
                  <c:f>'Well Data-NK'!$J$154</c:f>
                  <c:strCache>
                    <c:ptCount val="1"/>
                    <c:pt idx="0">
                      <c:v>Prod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{62AFE227-959F-4FD8-A890-9408EFF1FEC3}</c15:txfldGUID>
                      <c15:f>'Well Data-NK'!$J$154</c15:f>
                      <c15:dlblFieldTableCache>
                        <c:ptCount val="1"/>
                        <c:pt idx="0">
                          <c:v>Prod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'Well Data-NK'!$P$2:$P$154</c:f>
              <c:numCache>
                <c:formatCode>m/d/yyyy</c:formatCode>
                <c:ptCount val="153"/>
                <c:pt idx="0">
                  <c:v>41048</c:v>
                </c:pt>
                <c:pt idx="1">
                  <c:v>41078.75</c:v>
                </c:pt>
                <c:pt idx="2">
                  <c:v>41091.875</c:v>
                </c:pt>
                <c:pt idx="3">
                  <c:v>41107.75</c:v>
                </c:pt>
                <c:pt idx="4">
                  <c:v>41120.916666666664</c:v>
                </c:pt>
                <c:pt idx="5">
                  <c:v>41126.25</c:v>
                </c:pt>
                <c:pt idx="6">
                  <c:v>41130.854166666664</c:v>
                </c:pt>
                <c:pt idx="7">
                  <c:v>41134.625</c:v>
                </c:pt>
                <c:pt idx="8">
                  <c:v>41138.583333333336</c:v>
                </c:pt>
                <c:pt idx="9">
                  <c:v>41146.5</c:v>
                </c:pt>
                <c:pt idx="10">
                  <c:v>41151.25</c:v>
                </c:pt>
                <c:pt idx="11">
                  <c:v>41164.916666666664</c:v>
                </c:pt>
                <c:pt idx="12">
                  <c:v>41169.833333333336</c:v>
                </c:pt>
                <c:pt idx="13">
                  <c:v>41183.125</c:v>
                </c:pt>
                <c:pt idx="14">
                  <c:v>41186.041666666664</c:v>
                </c:pt>
                <c:pt idx="15">
                  <c:v>41186.708333333336</c:v>
                </c:pt>
                <c:pt idx="16">
                  <c:v>41187</c:v>
                </c:pt>
                <c:pt idx="17">
                  <c:v>41195.25</c:v>
                </c:pt>
                <c:pt idx="18">
                  <c:v>41204.083333333336</c:v>
                </c:pt>
                <c:pt idx="19">
                  <c:v>41208.6875</c:v>
                </c:pt>
                <c:pt idx="20">
                  <c:v>41212.458333333336</c:v>
                </c:pt>
                <c:pt idx="21">
                  <c:v>41213.5</c:v>
                </c:pt>
                <c:pt idx="22">
                  <c:v>41233.875</c:v>
                </c:pt>
                <c:pt idx="23">
                  <c:v>41236.583333333336</c:v>
                </c:pt>
                <c:pt idx="24">
                  <c:v>41236.708333333336</c:v>
                </c:pt>
                <c:pt idx="25">
                  <c:v>41245.666666666664</c:v>
                </c:pt>
                <c:pt idx="26">
                  <c:v>41255.083333333336</c:v>
                </c:pt>
                <c:pt idx="27">
                  <c:v>41262.125</c:v>
                </c:pt>
                <c:pt idx="28">
                  <c:v>41262.958333333336</c:v>
                </c:pt>
                <c:pt idx="29">
                  <c:v>41264.208333333336</c:v>
                </c:pt>
                <c:pt idx="30">
                  <c:v>41272.5</c:v>
                </c:pt>
                <c:pt idx="31">
                  <c:v>41282.625</c:v>
                </c:pt>
                <c:pt idx="32">
                  <c:v>41283.75</c:v>
                </c:pt>
                <c:pt idx="33">
                  <c:v>41289.75</c:v>
                </c:pt>
                <c:pt idx="34">
                  <c:v>41292.833333333336</c:v>
                </c:pt>
                <c:pt idx="35">
                  <c:v>41297.25</c:v>
                </c:pt>
                <c:pt idx="36">
                  <c:v>41300.416666666664</c:v>
                </c:pt>
                <c:pt idx="37">
                  <c:v>41305.770833333336</c:v>
                </c:pt>
                <c:pt idx="38">
                  <c:v>41315.25</c:v>
                </c:pt>
                <c:pt idx="39">
                  <c:v>41315.958333333336</c:v>
                </c:pt>
                <c:pt idx="40">
                  <c:v>41322.25</c:v>
                </c:pt>
                <c:pt idx="41">
                  <c:v>41334.666666666664</c:v>
                </c:pt>
                <c:pt idx="42">
                  <c:v>41336.041666666664</c:v>
                </c:pt>
                <c:pt idx="43">
                  <c:v>41337.979166666664</c:v>
                </c:pt>
                <c:pt idx="44">
                  <c:v>41340.083333333336</c:v>
                </c:pt>
                <c:pt idx="45">
                  <c:v>41342.25</c:v>
                </c:pt>
                <c:pt idx="46">
                  <c:v>41342.25</c:v>
                </c:pt>
                <c:pt idx="47">
                  <c:v>41346.875</c:v>
                </c:pt>
                <c:pt idx="48">
                  <c:v>41349.5625</c:v>
                </c:pt>
                <c:pt idx="49">
                  <c:v>41356.75</c:v>
                </c:pt>
                <c:pt idx="50">
                  <c:v>41357.979166666664</c:v>
                </c:pt>
                <c:pt idx="51">
                  <c:v>41372.208333333336</c:v>
                </c:pt>
                <c:pt idx="52">
                  <c:v>41382.791666666664</c:v>
                </c:pt>
                <c:pt idx="53">
                  <c:v>41385.833333333336</c:v>
                </c:pt>
                <c:pt idx="54">
                  <c:v>41386.75</c:v>
                </c:pt>
                <c:pt idx="55">
                  <c:v>41387.25</c:v>
                </c:pt>
                <c:pt idx="56">
                  <c:v>41392.708333333336</c:v>
                </c:pt>
                <c:pt idx="57">
                  <c:v>41404.833333333336</c:v>
                </c:pt>
                <c:pt idx="58">
                  <c:v>41411.25</c:v>
                </c:pt>
                <c:pt idx="59">
                  <c:v>41417.354166666664</c:v>
                </c:pt>
                <c:pt idx="60">
                  <c:v>41418.958333333336</c:v>
                </c:pt>
                <c:pt idx="61">
                  <c:v>41427.5</c:v>
                </c:pt>
                <c:pt idx="62">
                  <c:v>41434.854166666664</c:v>
                </c:pt>
                <c:pt idx="63">
                  <c:v>41435.666666666664</c:v>
                </c:pt>
                <c:pt idx="64">
                  <c:v>41442.479166666664</c:v>
                </c:pt>
                <c:pt idx="65">
                  <c:v>41444.541666666664</c:v>
                </c:pt>
                <c:pt idx="66">
                  <c:v>41447.25</c:v>
                </c:pt>
                <c:pt idx="67">
                  <c:v>41447.25</c:v>
                </c:pt>
                <c:pt idx="68">
                  <c:v>41456.791666666664</c:v>
                </c:pt>
                <c:pt idx="69">
                  <c:v>41461.395833333336</c:v>
                </c:pt>
                <c:pt idx="70">
                  <c:v>41464.125</c:v>
                </c:pt>
                <c:pt idx="71">
                  <c:v>41489.583333333336</c:v>
                </c:pt>
                <c:pt idx="72">
                  <c:v>41500.166666666664</c:v>
                </c:pt>
                <c:pt idx="73">
                  <c:v>41504.375</c:v>
                </c:pt>
                <c:pt idx="74">
                  <c:v>41507.833333333336</c:v>
                </c:pt>
                <c:pt idx="75">
                  <c:v>41511.25</c:v>
                </c:pt>
                <c:pt idx="76">
                  <c:v>41516.916666666664</c:v>
                </c:pt>
                <c:pt idx="77">
                  <c:v>41525.916666666664</c:v>
                </c:pt>
                <c:pt idx="78">
                  <c:v>41527.25</c:v>
                </c:pt>
                <c:pt idx="79">
                  <c:v>41528.375</c:v>
                </c:pt>
                <c:pt idx="80">
                  <c:v>41539.25</c:v>
                </c:pt>
                <c:pt idx="81">
                  <c:v>41552.020833333336</c:v>
                </c:pt>
                <c:pt idx="82">
                  <c:v>41557.916666666664</c:v>
                </c:pt>
                <c:pt idx="83">
                  <c:v>41558.708333333336</c:v>
                </c:pt>
                <c:pt idx="84">
                  <c:v>41563.583333333336</c:v>
                </c:pt>
                <c:pt idx="85">
                  <c:v>41586</c:v>
                </c:pt>
                <c:pt idx="86">
                  <c:v>41590.083333333336</c:v>
                </c:pt>
                <c:pt idx="87">
                  <c:v>41597.75</c:v>
                </c:pt>
                <c:pt idx="88">
                  <c:v>41601.25</c:v>
                </c:pt>
                <c:pt idx="89">
                  <c:v>41601.75</c:v>
                </c:pt>
                <c:pt idx="90">
                  <c:v>41608.25</c:v>
                </c:pt>
                <c:pt idx="91">
                  <c:v>41613.145833333336</c:v>
                </c:pt>
                <c:pt idx="92">
                  <c:v>41634.020833333336</c:v>
                </c:pt>
                <c:pt idx="93">
                  <c:v>41639.958333333336</c:v>
                </c:pt>
                <c:pt idx="94">
                  <c:v>41645</c:v>
                </c:pt>
                <c:pt idx="95">
                  <c:v>41647.083333333336</c:v>
                </c:pt>
                <c:pt idx="96">
                  <c:v>41654.833333333336</c:v>
                </c:pt>
                <c:pt idx="97">
                  <c:v>41661.25</c:v>
                </c:pt>
                <c:pt idx="98">
                  <c:v>41666.125</c:v>
                </c:pt>
                <c:pt idx="99">
                  <c:v>41669.895833333336</c:v>
                </c:pt>
                <c:pt idx="100">
                  <c:v>41691.458333333336</c:v>
                </c:pt>
                <c:pt idx="101">
                  <c:v>41707.166666666664</c:v>
                </c:pt>
                <c:pt idx="102">
                  <c:v>41709.041666666664</c:v>
                </c:pt>
                <c:pt idx="103">
                  <c:v>41710.666666666664</c:v>
                </c:pt>
                <c:pt idx="104">
                  <c:v>41712.25</c:v>
                </c:pt>
                <c:pt idx="105">
                  <c:v>41721.625</c:v>
                </c:pt>
                <c:pt idx="106">
                  <c:v>41721.916666666664</c:v>
                </c:pt>
                <c:pt idx="107">
                  <c:v>41731.6875</c:v>
                </c:pt>
                <c:pt idx="108">
                  <c:v>41747.25</c:v>
                </c:pt>
                <c:pt idx="109">
                  <c:v>41762.375</c:v>
                </c:pt>
                <c:pt idx="110">
                  <c:v>41765</c:v>
                </c:pt>
                <c:pt idx="111">
                  <c:v>41771.708333333336</c:v>
                </c:pt>
                <c:pt idx="112">
                  <c:v>41777</c:v>
                </c:pt>
                <c:pt idx="113">
                  <c:v>41779</c:v>
                </c:pt>
                <c:pt idx="114">
                  <c:v>41786</c:v>
                </c:pt>
                <c:pt idx="115">
                  <c:v>41802</c:v>
                </c:pt>
                <c:pt idx="116">
                  <c:v>41803</c:v>
                </c:pt>
                <c:pt idx="117">
                  <c:v>41813</c:v>
                </c:pt>
                <c:pt idx="118">
                  <c:v>41817</c:v>
                </c:pt>
                <c:pt idx="119">
                  <c:v>41819</c:v>
                </c:pt>
                <c:pt idx="120">
                  <c:v>41820</c:v>
                </c:pt>
                <c:pt idx="121">
                  <c:v>41823</c:v>
                </c:pt>
                <c:pt idx="122">
                  <c:v>41825</c:v>
                </c:pt>
                <c:pt idx="123">
                  <c:v>41846</c:v>
                </c:pt>
                <c:pt idx="124">
                  <c:v>41848</c:v>
                </c:pt>
                <c:pt idx="125">
                  <c:v>41856</c:v>
                </c:pt>
                <c:pt idx="126">
                  <c:v>41867</c:v>
                </c:pt>
                <c:pt idx="127">
                  <c:v>41876</c:v>
                </c:pt>
                <c:pt idx="128">
                  <c:v>41879</c:v>
                </c:pt>
                <c:pt idx="129">
                  <c:v>41880</c:v>
                </c:pt>
                <c:pt idx="130">
                  <c:v>41887</c:v>
                </c:pt>
                <c:pt idx="131">
                  <c:v>41888</c:v>
                </c:pt>
                <c:pt idx="132">
                  <c:v>41912.333333333336</c:v>
                </c:pt>
                <c:pt idx="133">
                  <c:v>41912.916666666664</c:v>
                </c:pt>
                <c:pt idx="134">
                  <c:v>41915.25</c:v>
                </c:pt>
                <c:pt idx="135">
                  <c:v>41915.583333333336</c:v>
                </c:pt>
                <c:pt idx="136">
                  <c:v>41927.833333333336</c:v>
                </c:pt>
                <c:pt idx="137">
                  <c:v>41934.479166666664</c:v>
                </c:pt>
                <c:pt idx="138">
                  <c:v>41944.5</c:v>
                </c:pt>
                <c:pt idx="139">
                  <c:v>41961.25</c:v>
                </c:pt>
                <c:pt idx="140">
                  <c:v>41962.25</c:v>
                </c:pt>
                <c:pt idx="141">
                  <c:v>41965.416666666664</c:v>
                </c:pt>
                <c:pt idx="142">
                  <c:v>41966.541666666664</c:v>
                </c:pt>
                <c:pt idx="143">
                  <c:v>41966.791666666664</c:v>
                </c:pt>
                <c:pt idx="144">
                  <c:v>41971.916666666664</c:v>
                </c:pt>
                <c:pt idx="145">
                  <c:v>41994</c:v>
                </c:pt>
                <c:pt idx="146">
                  <c:v>42001</c:v>
                </c:pt>
                <c:pt idx="147">
                  <c:v>42003</c:v>
                </c:pt>
                <c:pt idx="148">
                  <c:v>42004</c:v>
                </c:pt>
                <c:pt idx="149">
                  <c:v>42010</c:v>
                </c:pt>
                <c:pt idx="150">
                  <c:v>42011</c:v>
                </c:pt>
                <c:pt idx="151">
                  <c:v>42016</c:v>
                </c:pt>
                <c:pt idx="152">
                  <c:v>42018</c:v>
                </c:pt>
              </c:numCache>
            </c:numRef>
          </c:xVal>
          <c:yVal>
            <c:numRef>
              <c:f>'Well Data-NK'!$Q$2:$Q$154</c:f>
              <c:numCache>
                <c:formatCode>0.0</c:formatCode>
                <c:ptCount val="153"/>
                <c:pt idx="0">
                  <c:v>74</c:v>
                </c:pt>
                <c:pt idx="1">
                  <c:v>53.208333333335759</c:v>
                </c:pt>
                <c:pt idx="2">
                  <c:v>85.583333333335759</c:v>
                </c:pt>
                <c:pt idx="3">
                  <c:v>38.041666666664241</c:v>
                </c:pt>
                <c:pt idx="4">
                  <c:v>74.5</c:v>
                </c:pt>
                <c:pt idx="5">
                  <c:v>116.54166666666424</c:v>
                </c:pt>
                <c:pt idx="6">
                  <c:v>78.9375</c:v>
                </c:pt>
                <c:pt idx="7">
                  <c:v>129.39583333333599</c:v>
                </c:pt>
                <c:pt idx="8">
                  <c:v>109.54166666667152</c:v>
                </c:pt>
                <c:pt idx="9">
                  <c:v>92.5</c:v>
                </c:pt>
                <c:pt idx="10">
                  <c:v>71.5</c:v>
                </c:pt>
                <c:pt idx="11">
                  <c:v>136.52083333332848</c:v>
                </c:pt>
                <c:pt idx="12">
                  <c:v>54.270833333335759</c:v>
                </c:pt>
                <c:pt idx="13">
                  <c:v>38.6875</c:v>
                </c:pt>
                <c:pt idx="14">
                  <c:v>55.5</c:v>
                </c:pt>
                <c:pt idx="15">
                  <c:v>50.8125</c:v>
                </c:pt>
                <c:pt idx="16">
                  <c:v>61.479166666664241</c:v>
                </c:pt>
                <c:pt idx="17">
                  <c:v>56.666666666664241</c:v>
                </c:pt>
                <c:pt idx="18">
                  <c:v>51.708333333335759</c:v>
                </c:pt>
                <c:pt idx="19">
                  <c:v>107.72916666666424</c:v>
                </c:pt>
                <c:pt idx="20">
                  <c:v>49.770833333335759</c:v>
                </c:pt>
                <c:pt idx="21">
                  <c:v>55.75</c:v>
                </c:pt>
                <c:pt idx="22">
                  <c:v>42.875</c:v>
                </c:pt>
                <c:pt idx="23">
                  <c:v>76.8125</c:v>
                </c:pt>
                <c:pt idx="24">
                  <c:v>63.770833333335759</c:v>
                </c:pt>
                <c:pt idx="25">
                  <c:v>48.416600000000003</c:v>
                </c:pt>
                <c:pt idx="26">
                  <c:v>67</c:v>
                </c:pt>
                <c:pt idx="27">
                  <c:v>74.958333333335759</c:v>
                </c:pt>
                <c:pt idx="28">
                  <c:v>61.041666666671517</c:v>
                </c:pt>
                <c:pt idx="29">
                  <c:v>93.75</c:v>
                </c:pt>
                <c:pt idx="30">
                  <c:v>97.916666666664241</c:v>
                </c:pt>
                <c:pt idx="31">
                  <c:v>66.145833333335759</c:v>
                </c:pt>
                <c:pt idx="32">
                  <c:v>78.479166666664241</c:v>
                </c:pt>
                <c:pt idx="33">
                  <c:v>27.75</c:v>
                </c:pt>
                <c:pt idx="34">
                  <c:v>63.583333333335759</c:v>
                </c:pt>
                <c:pt idx="35">
                  <c:v>86.833333333335759</c:v>
                </c:pt>
                <c:pt idx="36">
                  <c:v>57.270833333328483</c:v>
                </c:pt>
                <c:pt idx="37">
                  <c:v>36.104166666671517</c:v>
                </c:pt>
                <c:pt idx="38">
                  <c:v>47.75</c:v>
                </c:pt>
                <c:pt idx="39">
                  <c:v>78.166666666671517</c:v>
                </c:pt>
                <c:pt idx="40">
                  <c:v>73.25</c:v>
                </c:pt>
                <c:pt idx="41">
                  <c:v>49.729166666664241</c:v>
                </c:pt>
                <c:pt idx="42">
                  <c:v>71.333333333328483</c:v>
                </c:pt>
                <c:pt idx="43">
                  <c:v>19.3125</c:v>
                </c:pt>
                <c:pt idx="44">
                  <c:v>102</c:v>
                </c:pt>
                <c:pt idx="45">
                  <c:v>47.833333333335759</c:v>
                </c:pt>
                <c:pt idx="46">
                  <c:v>41.791666666664241</c:v>
                </c:pt>
                <c:pt idx="47">
                  <c:v>47.458333333335759</c:v>
                </c:pt>
                <c:pt idx="48">
                  <c:v>64.3125</c:v>
                </c:pt>
                <c:pt idx="49">
                  <c:v>31.791666666664241</c:v>
                </c:pt>
                <c:pt idx="50">
                  <c:v>51.5</c:v>
                </c:pt>
                <c:pt idx="51">
                  <c:v>31.125</c:v>
                </c:pt>
                <c:pt idx="52">
                  <c:v>39.125</c:v>
                </c:pt>
                <c:pt idx="53">
                  <c:v>65.895833333335759</c:v>
                </c:pt>
                <c:pt idx="54">
                  <c:v>73.833333333335759</c:v>
                </c:pt>
                <c:pt idx="55">
                  <c:v>34.5</c:v>
                </c:pt>
                <c:pt idx="56">
                  <c:v>39.958333333335759</c:v>
                </c:pt>
                <c:pt idx="57">
                  <c:v>40.25</c:v>
                </c:pt>
                <c:pt idx="58">
                  <c:v>113.02083333333576</c:v>
                </c:pt>
                <c:pt idx="59">
                  <c:v>79.520833333328483</c:v>
                </c:pt>
                <c:pt idx="60">
                  <c:v>66.104166666671517</c:v>
                </c:pt>
                <c:pt idx="61">
                  <c:v>38.208333333335759</c:v>
                </c:pt>
                <c:pt idx="62">
                  <c:v>39.125</c:v>
                </c:pt>
                <c:pt idx="63">
                  <c:v>50.166666666664241</c:v>
                </c:pt>
                <c:pt idx="64">
                  <c:v>27.229166666664241</c:v>
                </c:pt>
                <c:pt idx="65">
                  <c:v>34.125</c:v>
                </c:pt>
                <c:pt idx="66">
                  <c:v>71.895833333335759</c:v>
                </c:pt>
                <c:pt idx="67">
                  <c:v>0</c:v>
                </c:pt>
                <c:pt idx="68">
                  <c:v>46.208333333328483</c:v>
                </c:pt>
                <c:pt idx="69">
                  <c:v>42.729166666671517</c:v>
                </c:pt>
                <c:pt idx="70">
                  <c:v>32.625</c:v>
                </c:pt>
                <c:pt idx="71">
                  <c:v>38.729166666671517</c:v>
                </c:pt>
                <c:pt idx="72">
                  <c:v>69.520833333328483</c:v>
                </c:pt>
                <c:pt idx="73">
                  <c:v>49.583333333335759</c:v>
                </c:pt>
                <c:pt idx="74">
                  <c:v>68.979166666671517</c:v>
                </c:pt>
                <c:pt idx="75">
                  <c:v>40.104166666664241</c:v>
                </c:pt>
                <c:pt idx="76">
                  <c:v>50.791666666664241</c:v>
                </c:pt>
                <c:pt idx="77">
                  <c:v>87.333333333328483</c:v>
                </c:pt>
                <c:pt idx="78">
                  <c:v>109.83333333333576</c:v>
                </c:pt>
                <c:pt idx="79">
                  <c:v>65.041666666664241</c:v>
                </c:pt>
                <c:pt idx="80">
                  <c:v>46.770833333335759</c:v>
                </c:pt>
                <c:pt idx="81">
                  <c:v>48.145833333335759</c:v>
                </c:pt>
                <c:pt idx="82">
                  <c:v>44.875</c:v>
                </c:pt>
                <c:pt idx="83">
                  <c:v>34.375</c:v>
                </c:pt>
                <c:pt idx="84">
                  <c:v>50.104166666671517</c:v>
                </c:pt>
                <c:pt idx="85">
                  <c:v>53.5625</c:v>
                </c:pt>
                <c:pt idx="86">
                  <c:v>71.083333333335759</c:v>
                </c:pt>
                <c:pt idx="87">
                  <c:v>33.333333333335759</c:v>
                </c:pt>
                <c:pt idx="88">
                  <c:v>45.75</c:v>
                </c:pt>
                <c:pt idx="89">
                  <c:v>54.145833333335759</c:v>
                </c:pt>
                <c:pt idx="90">
                  <c:v>70.520833333335759</c:v>
                </c:pt>
                <c:pt idx="91">
                  <c:v>51.479166666671517</c:v>
                </c:pt>
                <c:pt idx="92">
                  <c:v>46.1875</c:v>
                </c:pt>
                <c:pt idx="93">
                  <c:v>35.125</c:v>
                </c:pt>
                <c:pt idx="94">
                  <c:v>38.125</c:v>
                </c:pt>
                <c:pt idx="95">
                  <c:v>43.395833333335759</c:v>
                </c:pt>
                <c:pt idx="96">
                  <c:v>72</c:v>
                </c:pt>
                <c:pt idx="97">
                  <c:v>45.395833333335759</c:v>
                </c:pt>
                <c:pt idx="98">
                  <c:v>123.5</c:v>
                </c:pt>
                <c:pt idx="99">
                  <c:v>110.1875</c:v>
                </c:pt>
                <c:pt idx="100">
                  <c:v>47.208333333335759</c:v>
                </c:pt>
                <c:pt idx="101">
                  <c:v>42.604166666664241</c:v>
                </c:pt>
                <c:pt idx="102">
                  <c:v>110.47916666666424</c:v>
                </c:pt>
                <c:pt idx="103">
                  <c:v>36.875</c:v>
                </c:pt>
                <c:pt idx="104">
                  <c:v>41.208333333335759</c:v>
                </c:pt>
                <c:pt idx="105">
                  <c:v>65.395833333335759</c:v>
                </c:pt>
                <c:pt idx="106">
                  <c:v>53.958333333328483</c:v>
                </c:pt>
                <c:pt idx="107">
                  <c:v>36</c:v>
                </c:pt>
                <c:pt idx="108">
                  <c:v>37.520833333335759</c:v>
                </c:pt>
                <c:pt idx="109">
                  <c:v>48.125</c:v>
                </c:pt>
                <c:pt idx="110">
                  <c:v>50.416666666664241</c:v>
                </c:pt>
                <c:pt idx="111">
                  <c:v>55.229166666671517</c:v>
                </c:pt>
                <c:pt idx="112" formatCode="General">
                  <c:v>43.375</c:v>
                </c:pt>
                <c:pt idx="113" formatCode="General">
                  <c:v>53.375</c:v>
                </c:pt>
                <c:pt idx="114" formatCode="General">
                  <c:v>36</c:v>
                </c:pt>
                <c:pt idx="115" formatCode="General">
                  <c:v>166.54169999999999</c:v>
                </c:pt>
                <c:pt idx="116" formatCode="General">
                  <c:v>25.854165999999999</c:v>
                </c:pt>
                <c:pt idx="117" formatCode="General">
                  <c:v>25.625</c:v>
                </c:pt>
                <c:pt idx="118" formatCode="General">
                  <c:v>31.375</c:v>
                </c:pt>
                <c:pt idx="119" formatCode="General">
                  <c:v>38.875</c:v>
                </c:pt>
                <c:pt idx="120" formatCode="General">
                  <c:v>53.645829999999997</c:v>
                </c:pt>
                <c:pt idx="121" formatCode="General">
                  <c:v>79.4375</c:v>
                </c:pt>
                <c:pt idx="122" formatCode="General">
                  <c:v>45.9</c:v>
                </c:pt>
                <c:pt idx="123" formatCode="General">
                  <c:v>23.125</c:v>
                </c:pt>
                <c:pt idx="124" formatCode="General">
                  <c:v>32.791665999999999</c:v>
                </c:pt>
                <c:pt idx="125" formatCode="General">
                  <c:v>40.270829999999997</c:v>
                </c:pt>
                <c:pt idx="126" formatCode="General">
                  <c:v>43.415999999999997</c:v>
                </c:pt>
                <c:pt idx="127" formatCode="General">
                  <c:v>66.375</c:v>
                </c:pt>
                <c:pt idx="128" formatCode="General">
                  <c:v>59.208329999999997</c:v>
                </c:pt>
                <c:pt idx="129" formatCode="General">
                  <c:v>58.666600000000003</c:v>
                </c:pt>
                <c:pt idx="130" formatCode="General">
                  <c:v>59.3958333</c:v>
                </c:pt>
                <c:pt idx="131" formatCode="General">
                  <c:v>40.770829999999997</c:v>
                </c:pt>
                <c:pt idx="132" formatCode="General">
                  <c:v>40.833333333335759</c:v>
                </c:pt>
                <c:pt idx="133" formatCode="General">
                  <c:v>28.666666666664241</c:v>
                </c:pt>
                <c:pt idx="134" formatCode="General">
                  <c:v>30.791666666664199</c:v>
                </c:pt>
                <c:pt idx="135" formatCode="General">
                  <c:v>78.875</c:v>
                </c:pt>
                <c:pt idx="136" formatCode="General">
                  <c:v>38</c:v>
                </c:pt>
                <c:pt idx="137" formatCode="General">
                  <c:v>42.708333333328483</c:v>
                </c:pt>
                <c:pt idx="138" formatCode="General">
                  <c:v>31.125</c:v>
                </c:pt>
                <c:pt idx="139" formatCode="General">
                  <c:v>64.5</c:v>
                </c:pt>
                <c:pt idx="140" formatCode="General">
                  <c:v>47.833333333335759</c:v>
                </c:pt>
                <c:pt idx="141" formatCode="General">
                  <c:v>35.083333333328483</c:v>
                </c:pt>
                <c:pt idx="142" formatCode="General">
                  <c:v>47.791666666664241</c:v>
                </c:pt>
                <c:pt idx="143" formatCode="General">
                  <c:v>30.1875</c:v>
                </c:pt>
                <c:pt idx="144" formatCode="General">
                  <c:v>52.083333333328483</c:v>
                </c:pt>
                <c:pt idx="145" formatCode="General">
                  <c:v>27</c:v>
                </c:pt>
                <c:pt idx="146" formatCode="General">
                  <c:v>48</c:v>
                </c:pt>
                <c:pt idx="147" formatCode="General">
                  <c:v>57</c:v>
                </c:pt>
                <c:pt idx="148" formatCode="General">
                  <c:v>52</c:v>
                </c:pt>
                <c:pt idx="149" formatCode="General">
                  <c:v>47</c:v>
                </c:pt>
                <c:pt idx="150" formatCode="General">
                  <c:v>97</c:v>
                </c:pt>
                <c:pt idx="151" formatCode="General">
                  <c:v>56</c:v>
                </c:pt>
                <c:pt idx="152" formatCode="General">
                  <c:v>44</c:v>
                </c:pt>
              </c:numCache>
            </c:numRef>
          </c:yVal>
          <c:smooth val="0"/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584411744"/>
        <c:axId val="584412136"/>
      </c:scatterChart>
      <c:valAx>
        <c:axId val="584411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84412136"/>
        <c:crosses val="autoZero"/>
        <c:crossBetween val="midCat"/>
      </c:valAx>
      <c:valAx>
        <c:axId val="584412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 (Spud to RR)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84411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P50 (Spud to RR)</a:t>
            </a:r>
          </a:p>
          <a:p>
            <a:pPr>
              <a:defRPr/>
            </a:pPr>
            <a:r>
              <a:rPr lang="en-US" sz="1400"/>
              <a:t>2014-2015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 and P25 table'!$L$45</c:f>
              <c:strCache>
                <c:ptCount val="1"/>
                <c:pt idx="0">
                  <c:v>NW PROD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table'!$L$46:$L$50</c:f>
              <c:numCache>
                <c:formatCode>General</c:formatCode>
                <c:ptCount val="5"/>
                <c:pt idx="0">
                  <c:v>61.421875000000604</c:v>
                </c:pt>
                <c:pt idx="1">
                  <c:v>57.55416666666715</c:v>
                </c:pt>
                <c:pt idx="2">
                  <c:v>65.53525640769287</c:v>
                </c:pt>
                <c:pt idx="3">
                  <c:v>89.017361111110702</c:v>
                </c:pt>
                <c:pt idx="4">
                  <c:v>66.969328702778185</c:v>
                </c:pt>
              </c:numCache>
            </c:numRef>
          </c:val>
        </c:ser>
        <c:ser>
          <c:idx val="1"/>
          <c:order val="1"/>
          <c:tx>
            <c:strRef>
              <c:f>'P50 and P25 table'!$N$45</c:f>
              <c:strCache>
                <c:ptCount val="1"/>
                <c:pt idx="0">
                  <c:v>NW INJ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table'!$N$46:$N$50</c:f>
              <c:numCache>
                <c:formatCode>General</c:formatCode>
                <c:ptCount val="5"/>
                <c:pt idx="0">
                  <c:v>55.437500000003638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55.437500000003638</c:v>
                </c:pt>
              </c:numCache>
            </c:numRef>
          </c:val>
        </c:ser>
        <c:ser>
          <c:idx val="2"/>
          <c:order val="2"/>
          <c:tx>
            <c:strRef>
              <c:f>'P50 and P25 table'!$P$45</c:f>
              <c:strCache>
                <c:ptCount val="1"/>
                <c:pt idx="0">
                  <c:v>ST PROD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table'!$P$46:$P$50</c:f>
              <c:numCache>
                <c:formatCode>General</c:formatCode>
                <c:ptCount val="5"/>
                <c:pt idx="0">
                  <c:v>47.811111111110463</c:v>
                </c:pt>
                <c:pt idx="1">
                  <c:v>52.635414999999995</c:v>
                </c:pt>
                <c:pt idx="2">
                  <c:v>0</c:v>
                </c:pt>
                <c:pt idx="3">
                  <c:v>52</c:v>
                </c:pt>
                <c:pt idx="4">
                  <c:v>48.579860925925381</c:v>
                </c:pt>
              </c:numCache>
            </c:numRef>
          </c:val>
        </c:ser>
        <c:ser>
          <c:idx val="3"/>
          <c:order val="3"/>
          <c:tx>
            <c:strRef>
              <c:f>'P50 and P25 table'!$R$45</c:f>
              <c:strCache>
                <c:ptCount val="1"/>
                <c:pt idx="0">
                  <c:v>ST INJ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table'!$R$46:$R$50</c:f>
              <c:numCache>
                <c:formatCode>General</c:formatCode>
                <c:ptCount val="5"/>
                <c:pt idx="0">
                  <c:v>42.839843749999545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42.839843749999545</c:v>
                </c:pt>
              </c:numCache>
            </c:numRef>
          </c:val>
        </c:ser>
        <c:ser>
          <c:idx val="5"/>
          <c:order val="4"/>
          <c:tx>
            <c:strRef>
              <c:f>'P50 and P25 table'!$N$36</c:f>
              <c:strCache>
                <c:ptCount val="1"/>
                <c:pt idx="0">
                  <c:v>NW PROD PLAN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table'!$N$37:$N$41</c:f>
              <c:numCache>
                <c:formatCode>General</c:formatCode>
                <c:ptCount val="5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74.666666666666671</c:v>
                </c:pt>
              </c:numCache>
            </c:numRef>
          </c:val>
        </c:ser>
        <c:ser>
          <c:idx val="6"/>
          <c:order val="5"/>
          <c:tx>
            <c:strRef>
              <c:f>'P50 and P25 table'!$O$36</c:f>
              <c:strCache>
                <c:ptCount val="1"/>
                <c:pt idx="0">
                  <c:v>NW INJ PLAN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table'!$O$37:$O$41</c:f>
              <c:numCache>
                <c:formatCode>General</c:formatCode>
                <c:ptCount val="5"/>
                <c:pt idx="0">
                  <c:v>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63</c:v>
                </c:pt>
              </c:numCache>
            </c:numRef>
          </c:val>
        </c:ser>
        <c:ser>
          <c:idx val="7"/>
          <c:order val="6"/>
          <c:tx>
            <c:strRef>
              <c:f>'P50 and P25 table'!$P$36</c:f>
              <c:strCache>
                <c:ptCount val="1"/>
                <c:pt idx="0">
                  <c:v>ST PROD PLAN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table'!$P$37:$P$41</c:f>
              <c:numCache>
                <c:formatCode>General</c:formatCode>
                <c:ptCount val="5"/>
                <c:pt idx="0">
                  <c:v>56</c:v>
                </c:pt>
                <c:pt idx="1">
                  <c:v>56</c:v>
                </c:pt>
                <c:pt idx="2">
                  <c:v>0</c:v>
                </c:pt>
                <c:pt idx="3">
                  <c:v>56</c:v>
                </c:pt>
                <c:pt idx="4">
                  <c:v>56</c:v>
                </c:pt>
              </c:numCache>
            </c:numRef>
          </c:val>
        </c:ser>
        <c:ser>
          <c:idx val="8"/>
          <c:order val="7"/>
          <c:tx>
            <c:strRef>
              <c:f>'P50 and P25 table'!$Q$36</c:f>
              <c:strCache>
                <c:ptCount val="1"/>
                <c:pt idx="0">
                  <c:v>ST INJ PLAN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table'!$Q$37:$Q$41</c:f>
              <c:numCache>
                <c:formatCode>General</c:formatCode>
                <c:ptCount val="5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401832"/>
        <c:axId val="584402224"/>
      </c:barChart>
      <c:catAx>
        <c:axId val="584401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Reservoir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584402224"/>
        <c:crosses val="autoZero"/>
        <c:auto val="1"/>
        <c:lblAlgn val="ctr"/>
        <c:lblOffset val="100"/>
        <c:noMultiLvlLbl val="0"/>
      </c:catAx>
      <c:valAx>
        <c:axId val="584402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01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P25 Top 25% Average (Spud to RR)</a:t>
            </a:r>
          </a:p>
          <a:p>
            <a:pPr>
              <a:defRPr/>
            </a:pPr>
            <a:r>
              <a:rPr lang="en-US" sz="1400"/>
              <a:t>2014-2015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 and P25 table'!$L$53</c:f>
              <c:strCache>
                <c:ptCount val="1"/>
                <c:pt idx="0">
                  <c:v>NW PROD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table'!$L$54:$L$58</c:f>
              <c:numCache>
                <c:formatCode>General</c:formatCode>
                <c:ptCount val="5"/>
                <c:pt idx="0">
                  <c:v>46.798611111111917</c:v>
                </c:pt>
                <c:pt idx="1">
                  <c:v>48.875</c:v>
                </c:pt>
                <c:pt idx="2">
                  <c:v>44.70833333333394</c:v>
                </c:pt>
                <c:pt idx="3">
                  <c:v>60.770833333332121</c:v>
                </c:pt>
                <c:pt idx="4">
                  <c:v>46.108796296296838</c:v>
                </c:pt>
              </c:numCache>
            </c:numRef>
          </c:val>
        </c:ser>
        <c:ser>
          <c:idx val="1"/>
          <c:order val="1"/>
          <c:tx>
            <c:strRef>
              <c:f>'P50 and P25 table'!$N$53</c:f>
              <c:strCache>
                <c:ptCount val="1"/>
                <c:pt idx="0">
                  <c:v>NW INJ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table'!$N$54:$N$58</c:f>
              <c:numCache>
                <c:formatCode>General</c:formatCode>
                <c:ptCount val="5"/>
                <c:pt idx="0">
                  <c:v>43.458333333335759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43.458333333335759</c:v>
                </c:pt>
              </c:numCache>
            </c:numRef>
          </c:val>
        </c:ser>
        <c:ser>
          <c:idx val="2"/>
          <c:order val="2"/>
          <c:tx>
            <c:strRef>
              <c:f>'P50 and P25 table'!$P$53</c:f>
              <c:strCache>
                <c:ptCount val="1"/>
                <c:pt idx="0">
                  <c:v>ST PROD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table'!$P$54:$P$58</c:f>
              <c:numCache>
                <c:formatCode>General</c:formatCode>
                <c:ptCount val="5"/>
                <c:pt idx="0">
                  <c:v>33.885416666667879</c:v>
                </c:pt>
                <c:pt idx="1">
                  <c:v>40.770829999999997</c:v>
                </c:pt>
                <c:pt idx="2">
                  <c:v>0</c:v>
                </c:pt>
                <c:pt idx="3">
                  <c:v>52</c:v>
                </c:pt>
                <c:pt idx="4">
                  <c:v>35.262499333334304</c:v>
                </c:pt>
              </c:numCache>
            </c:numRef>
          </c:val>
        </c:ser>
        <c:ser>
          <c:idx val="3"/>
          <c:order val="3"/>
          <c:tx>
            <c:strRef>
              <c:f>'P50 and P25 table'!$R$53</c:f>
              <c:strCache>
                <c:ptCount val="1"/>
                <c:pt idx="0">
                  <c:v>ST INJ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table'!$R$54:$R$58</c:f>
              <c:numCache>
                <c:formatCode>General</c:formatCode>
                <c:ptCount val="5"/>
                <c:pt idx="0">
                  <c:v>29.16145833333211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29.16145833333211</c:v>
                </c:pt>
              </c:numCache>
            </c:numRef>
          </c:val>
        </c:ser>
        <c:ser>
          <c:idx val="6"/>
          <c:order val="4"/>
          <c:tx>
            <c:strRef>
              <c:f>'P50 and P25 table'!$N$36</c:f>
              <c:strCache>
                <c:ptCount val="1"/>
                <c:pt idx="0">
                  <c:v>NW PROD PLAN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table'!$N$37:$N$41</c:f>
              <c:numCache>
                <c:formatCode>General</c:formatCode>
                <c:ptCount val="5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74.666666666666671</c:v>
                </c:pt>
              </c:numCache>
            </c:numRef>
          </c:val>
        </c:ser>
        <c:ser>
          <c:idx val="5"/>
          <c:order val="5"/>
          <c:tx>
            <c:strRef>
              <c:f>'P50 and P25 table'!$O$36</c:f>
              <c:strCache>
                <c:ptCount val="1"/>
                <c:pt idx="0">
                  <c:v>NW INJ PLAN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table'!$O$37:$O$41</c:f>
              <c:numCache>
                <c:formatCode>General</c:formatCode>
                <c:ptCount val="5"/>
                <c:pt idx="0">
                  <c:v>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63</c:v>
                </c:pt>
              </c:numCache>
            </c:numRef>
          </c:val>
        </c:ser>
        <c:ser>
          <c:idx val="7"/>
          <c:order val="6"/>
          <c:tx>
            <c:strRef>
              <c:f>'P50 and P25 table'!$P$36</c:f>
              <c:strCache>
                <c:ptCount val="1"/>
                <c:pt idx="0">
                  <c:v>ST PROD PLAN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table'!$P$37:$P$41</c:f>
              <c:numCache>
                <c:formatCode>General</c:formatCode>
                <c:ptCount val="5"/>
                <c:pt idx="0">
                  <c:v>56</c:v>
                </c:pt>
                <c:pt idx="1">
                  <c:v>56</c:v>
                </c:pt>
                <c:pt idx="2">
                  <c:v>0</c:v>
                </c:pt>
                <c:pt idx="3">
                  <c:v>56</c:v>
                </c:pt>
                <c:pt idx="4">
                  <c:v>56</c:v>
                </c:pt>
              </c:numCache>
            </c:numRef>
          </c:val>
        </c:ser>
        <c:ser>
          <c:idx val="8"/>
          <c:order val="7"/>
          <c:tx>
            <c:strRef>
              <c:f>'P50 and P25 table'!$Q$36</c:f>
              <c:strCache>
                <c:ptCount val="1"/>
                <c:pt idx="0">
                  <c:v>ST INJ PLAN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'P50 and P25 table'!$F$46:$F$50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table'!$Q$37:$Q$41</c:f>
              <c:numCache>
                <c:formatCode>General</c:formatCode>
                <c:ptCount val="5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403008"/>
        <c:axId val="584403400"/>
      </c:barChart>
      <c:catAx>
        <c:axId val="584403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Reservoir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584403400"/>
        <c:crosses val="autoZero"/>
        <c:auto val="1"/>
        <c:lblAlgn val="ctr"/>
        <c:lblOffset val="100"/>
        <c:noMultiLvlLbl val="0"/>
      </c:catAx>
      <c:valAx>
        <c:axId val="584403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Days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03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50"/>
              <a:t>Average</a:t>
            </a:r>
            <a:r>
              <a:rPr lang="en-US" sz="1050" baseline="0"/>
              <a:t> Days by Reservoir (Spud to RR)</a:t>
            </a:r>
          </a:p>
          <a:p>
            <a:pPr>
              <a:defRPr/>
            </a:pPr>
            <a:r>
              <a:rPr lang="en-US" sz="1050" baseline="0"/>
              <a:t>09/01/2014 to Current</a:t>
            </a:r>
            <a:endParaRPr lang="en-US" sz="105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 by Type'!$B$156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Type'!$A$156:$A$160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Type'!$G$156:$G$160</c:f>
              <c:numCache>
                <c:formatCode>0</c:formatCode>
                <c:ptCount val="5"/>
                <c:pt idx="0">
                  <c:v>50.012037037036983</c:v>
                </c:pt>
                <c:pt idx="1">
                  <c:v>56.148809047619395</c:v>
                </c:pt>
                <c:pt idx="2">
                  <c:v>65.53525640769287</c:v>
                </c:pt>
                <c:pt idx="3">
                  <c:v>83.729166666666316</c:v>
                </c:pt>
                <c:pt idx="4">
                  <c:v>56.689525416203772</c:v>
                </c:pt>
              </c:numCache>
            </c:numRef>
          </c:val>
        </c:ser>
        <c:ser>
          <c:idx val="1"/>
          <c:order val="1"/>
          <c:tx>
            <c:strRef>
              <c:f>'P50P25 Drill Times by Type'!$B$151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Type'!$A$156:$A$160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Type'!$G$151:$G$155</c:f>
              <c:numCache>
                <c:formatCode>0</c:formatCode>
                <c:ptCount val="5"/>
                <c:pt idx="0">
                  <c:v>57.555555555555557</c:v>
                </c:pt>
                <c:pt idx="1">
                  <c:v>66</c:v>
                </c:pt>
                <c:pt idx="2">
                  <c:v>70</c:v>
                </c:pt>
                <c:pt idx="3">
                  <c:v>92</c:v>
                </c:pt>
                <c:pt idx="4">
                  <c:v>63.972222222222221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404576"/>
        <c:axId val="584404968"/>
      </c:barChart>
      <c:catAx>
        <c:axId val="584404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84404968"/>
        <c:crosses val="autoZero"/>
        <c:auto val="1"/>
        <c:lblAlgn val="ctr"/>
        <c:lblOffset val="100"/>
        <c:noMultiLvlLbl val="0"/>
      </c:catAx>
      <c:valAx>
        <c:axId val="58440496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584404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50"/>
              <a:t>NW</a:t>
            </a:r>
            <a:r>
              <a:rPr lang="en-US" sz="1050" baseline="0"/>
              <a:t> </a:t>
            </a:r>
            <a:r>
              <a:rPr lang="en-US" sz="1050"/>
              <a:t>Average</a:t>
            </a:r>
            <a:r>
              <a:rPr lang="en-US" sz="1050" baseline="0"/>
              <a:t> Days (Spud to RR)</a:t>
            </a:r>
          </a:p>
          <a:p>
            <a:pPr>
              <a:defRPr/>
            </a:pPr>
            <a:r>
              <a:rPr lang="en-US" sz="1050" baseline="0"/>
              <a:t>09/01/2014 to current</a:t>
            </a:r>
            <a:endParaRPr lang="en-US" sz="105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 by Type'!$B$166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Type'!$A$166:$A$170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Type'!$G$166:$G$170</c:f>
              <c:numCache>
                <c:formatCode>0</c:formatCode>
                <c:ptCount val="5"/>
                <c:pt idx="0">
                  <c:v>60.566964285715322</c:v>
                </c:pt>
                <c:pt idx="1">
                  <c:v>57.55416666666715</c:v>
                </c:pt>
                <c:pt idx="2">
                  <c:v>65.53525640769287</c:v>
                </c:pt>
                <c:pt idx="3">
                  <c:v>89.017361111110702</c:v>
                </c:pt>
                <c:pt idx="4">
                  <c:v>66.362390350000581</c:v>
                </c:pt>
              </c:numCache>
            </c:numRef>
          </c:val>
        </c:ser>
        <c:ser>
          <c:idx val="1"/>
          <c:order val="1"/>
          <c:tx>
            <c:strRef>
              <c:f>'P50P25 Drill Times by Type'!$B$161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Type'!$A$166:$A$170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Type'!$G$161:$G$165</c:f>
              <c:numCache>
                <c:formatCode>0</c:formatCode>
                <c:ptCount val="5"/>
                <c:pt idx="0">
                  <c:v>69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74.05263157894737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029128"/>
        <c:axId val="455029520"/>
      </c:barChart>
      <c:catAx>
        <c:axId val="455029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5029520"/>
        <c:crosses val="autoZero"/>
        <c:auto val="1"/>
        <c:lblAlgn val="ctr"/>
        <c:lblOffset val="100"/>
        <c:noMultiLvlLbl val="0"/>
      </c:catAx>
      <c:valAx>
        <c:axId val="455029520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455029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50" baseline="0"/>
              <a:t>ST </a:t>
            </a:r>
            <a:r>
              <a:rPr lang="en-US" sz="1050"/>
              <a:t>Average</a:t>
            </a:r>
            <a:r>
              <a:rPr lang="en-US" sz="1050" baseline="0"/>
              <a:t> Days (Spud to RR)</a:t>
            </a:r>
          </a:p>
          <a:p>
            <a:pPr>
              <a:defRPr/>
            </a:pPr>
            <a:r>
              <a:rPr lang="en-US" sz="1050" baseline="0"/>
              <a:t>09/01/2014 to Current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 by Type'!$B$176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Type'!$A$166:$A$170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Type'!$G$176:$G$180</c:f>
              <c:numCache>
                <c:formatCode>0</c:formatCode>
                <c:ptCount val="5"/>
                <c:pt idx="0">
                  <c:v>45.245295698924181</c:v>
                </c:pt>
                <c:pt idx="1">
                  <c:v>52.635414999999995</c:v>
                </c:pt>
                <c:pt idx="2">
                  <c:v>0</c:v>
                </c:pt>
                <c:pt idx="3">
                  <c:v>52</c:v>
                </c:pt>
                <c:pt idx="4">
                  <c:v>45.878676372548519</c:v>
                </c:pt>
              </c:numCache>
            </c:numRef>
          </c:val>
        </c:ser>
        <c:ser>
          <c:idx val="1"/>
          <c:order val="1"/>
          <c:tx>
            <c:strRef>
              <c:f>'P50P25 Drill Times by Type'!$B$171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Type'!$A$166:$A$170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Type'!$G$171:$G$175</c:f>
              <c:numCache>
                <c:formatCode>0</c:formatCode>
                <c:ptCount val="5"/>
                <c:pt idx="0">
                  <c:v>52.387096774193552</c:v>
                </c:pt>
                <c:pt idx="1">
                  <c:v>56</c:v>
                </c:pt>
                <c:pt idx="2">
                  <c:v>0</c:v>
                </c:pt>
                <c:pt idx="3">
                  <c:v>56</c:v>
                </c:pt>
                <c:pt idx="4">
                  <c:v>52.705882352941174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030304"/>
        <c:axId val="455030696"/>
      </c:barChart>
      <c:catAx>
        <c:axId val="455030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5030696"/>
        <c:crosses val="autoZero"/>
        <c:auto val="1"/>
        <c:lblAlgn val="ctr"/>
        <c:lblOffset val="100"/>
        <c:noMultiLvlLbl val="0"/>
      </c:catAx>
      <c:valAx>
        <c:axId val="455030696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455030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050"/>
              <a:t>Average</a:t>
            </a:r>
            <a:r>
              <a:rPr lang="en-US" sz="1050" baseline="0"/>
              <a:t> Days by Reservoir (Spud to RR)</a:t>
            </a:r>
          </a:p>
          <a:p>
            <a:pPr>
              <a:defRPr/>
            </a:pPr>
            <a:r>
              <a:rPr lang="en-US" sz="1050" baseline="0"/>
              <a:t>04/01/2015 to Current</a:t>
            </a:r>
            <a:endParaRPr lang="en-US" sz="105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 by Type'!$B$8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Type'!$A$8:$A$12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Type'!$G$8:$G$12</c:f>
              <c:numCache>
                <c:formatCode>0</c:formatCode>
                <c:ptCount val="5"/>
                <c:pt idx="0">
                  <c:v>54.847916666667153</c:v>
                </c:pt>
                <c:pt idx="1">
                  <c:v>59.94270833333394</c:v>
                </c:pt>
                <c:pt idx="2">
                  <c:v>74.017361111111924</c:v>
                </c:pt>
                <c:pt idx="3">
                  <c:v>69.40625</c:v>
                </c:pt>
                <c:pt idx="4">
                  <c:v>60.542892156863246</c:v>
                </c:pt>
              </c:numCache>
            </c:numRef>
          </c:val>
        </c:ser>
        <c:ser>
          <c:idx val="1"/>
          <c:order val="1"/>
          <c:tx>
            <c:strRef>
              <c:f>'P50P25 Drill Times by Type'!$B$3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Type'!$A$8:$A$12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Type'!$G$3:$G$7</c:f>
              <c:numCache>
                <c:formatCode>0</c:formatCode>
                <c:ptCount val="5"/>
                <c:pt idx="0">
                  <c:v>63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69.17647058823529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031480"/>
        <c:axId val="455031872"/>
      </c:barChart>
      <c:catAx>
        <c:axId val="4550314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5031872"/>
        <c:crosses val="autoZero"/>
        <c:auto val="1"/>
        <c:lblAlgn val="ctr"/>
        <c:lblOffset val="100"/>
        <c:noMultiLvlLbl val="0"/>
      </c:catAx>
      <c:valAx>
        <c:axId val="45503187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455031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050"/>
              <a:t>NW</a:t>
            </a:r>
            <a:r>
              <a:rPr lang="en-US" sz="1050" baseline="0"/>
              <a:t> </a:t>
            </a:r>
            <a:r>
              <a:rPr lang="en-US" sz="1050"/>
              <a:t>Average</a:t>
            </a:r>
            <a:r>
              <a:rPr lang="en-US" sz="1050" baseline="0"/>
              <a:t> Days (Spud to RR)</a:t>
            </a:r>
          </a:p>
          <a:p>
            <a:pPr>
              <a:defRPr/>
            </a:pPr>
            <a:r>
              <a:rPr lang="en-US" sz="1050" baseline="0"/>
              <a:t>04/01/2015 to current</a:t>
            </a:r>
            <a:endParaRPr lang="en-US" sz="105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 by Type'!$B$18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Type'!$A$13:$A$17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Type'!$G$18:$G$22</c:f>
              <c:numCache>
                <c:formatCode>0</c:formatCode>
                <c:ptCount val="5"/>
                <c:pt idx="0">
                  <c:v>62.428819444445857</c:v>
                </c:pt>
                <c:pt idx="1">
                  <c:v>59.94270833333394</c:v>
                </c:pt>
                <c:pt idx="2">
                  <c:v>74.017361111111924</c:v>
                </c:pt>
                <c:pt idx="3">
                  <c:v>69.40625</c:v>
                </c:pt>
                <c:pt idx="4">
                  <c:v>65.794070512821449</c:v>
                </c:pt>
              </c:numCache>
            </c:numRef>
          </c:val>
        </c:ser>
        <c:ser>
          <c:idx val="1"/>
          <c:order val="1"/>
          <c:tx>
            <c:strRef>
              <c:f>'P50P25 Drill Times by Type'!$B$13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Type'!$A$13:$A$17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Type'!$G$13:$G$17</c:f>
              <c:numCache>
                <c:formatCode>0</c:formatCode>
                <c:ptCount val="5"/>
                <c:pt idx="0">
                  <c:v>68.833333333333329</c:v>
                </c:pt>
                <c:pt idx="1">
                  <c:v>70</c:v>
                </c:pt>
                <c:pt idx="2">
                  <c:v>70</c:v>
                </c:pt>
                <c:pt idx="3">
                  <c:v>98</c:v>
                </c:pt>
                <c:pt idx="4">
                  <c:v>73.769230769230774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49360"/>
        <c:axId val="335249752"/>
      </c:barChart>
      <c:catAx>
        <c:axId val="335249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35249752"/>
        <c:crosses val="autoZero"/>
        <c:auto val="1"/>
        <c:lblAlgn val="ctr"/>
        <c:lblOffset val="100"/>
        <c:noMultiLvlLbl val="0"/>
      </c:catAx>
      <c:valAx>
        <c:axId val="335249752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335249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050" baseline="0"/>
              <a:t>ST </a:t>
            </a:r>
            <a:r>
              <a:rPr lang="en-US" sz="1050"/>
              <a:t>Average</a:t>
            </a:r>
            <a:r>
              <a:rPr lang="en-US" sz="1050" baseline="0"/>
              <a:t> Days (Spud to RR)</a:t>
            </a:r>
          </a:p>
          <a:p>
            <a:pPr>
              <a:defRPr/>
            </a:pPr>
            <a:r>
              <a:rPr lang="en-US" sz="1050" baseline="0"/>
              <a:t>04/01/2015 to Current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 by Type'!$B$28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Type'!$A$28:$A$32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Type'!$G$28:$G$32</c:f>
              <c:numCache>
                <c:formatCode>0</c:formatCode>
                <c:ptCount val="5"/>
                <c:pt idx="0">
                  <c:v>43.476562499999091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43.476562499999091</c:v>
                </c:pt>
              </c:numCache>
            </c:numRef>
          </c:val>
        </c:ser>
        <c:ser>
          <c:idx val="1"/>
          <c:order val="1"/>
          <c:tx>
            <c:strRef>
              <c:f>'P50P25 Drill Times by Type'!$B$23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 by Type'!$A$28:$A$32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'P50P25 Drill Times by Type'!$G$23:$G$27</c:f>
              <c:numCache>
                <c:formatCode>0</c:formatCode>
                <c:ptCount val="5"/>
                <c:pt idx="0">
                  <c:v>54.25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54.25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50536"/>
        <c:axId val="335250928"/>
      </c:barChart>
      <c:catAx>
        <c:axId val="3352505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35250928"/>
        <c:crosses val="autoZero"/>
        <c:auto val="1"/>
        <c:lblAlgn val="ctr"/>
        <c:lblOffset val="100"/>
        <c:noMultiLvlLbl val="0"/>
      </c:catAx>
      <c:valAx>
        <c:axId val="33525092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335250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600" b="1" i="0" u="none" strike="noStrike" baseline="0">
                <a:solidFill>
                  <a:srgbClr val="000000"/>
                </a:solidFill>
                <a:latin typeface="Calibri"/>
              </a:rPr>
              <a:t>2012/15 AAP Well Drilling Performance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600" b="1" i="0" u="none" strike="noStrike" baseline="0">
                <a:solidFill>
                  <a:srgbClr val="000000"/>
                </a:solidFill>
                <a:latin typeface="Calibri"/>
              </a:rPr>
              <a:t> (Rig Release to Rig Release)</a:t>
            </a:r>
          </a:p>
        </c:rich>
      </c:tx>
      <c:layout>
        <c:manualLayout>
          <c:xMode val="edge"/>
          <c:yMode val="edge"/>
          <c:x val="0.27509602185587106"/>
          <c:y val="0.88507600869140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73176458379275"/>
          <c:y val="1.5002640798932392E-2"/>
          <c:w val="0.82505571482312656"/>
          <c:h val="0.76896710491833686"/>
        </c:manualLayout>
      </c:layout>
      <c:scatterChart>
        <c:scatterStyle val="lineMarker"/>
        <c:varyColors val="0"/>
        <c:ser>
          <c:idx val="0"/>
          <c:order val="1"/>
          <c:tx>
            <c:strRef>
              <c:f>'Well Data-NK'!$R$1</c:f>
              <c:strCache>
                <c:ptCount val="1"/>
                <c:pt idx="0">
                  <c:v>Planned      Days (include RM)</c:v>
                </c:pt>
              </c:strCache>
            </c:strRef>
          </c:tx>
          <c:spPr>
            <a:ln w="19050">
              <a:noFill/>
            </a:ln>
          </c:spPr>
          <c:xVal>
            <c:strRef>
              <c:f>'Well Data-NK'!$R$2:$R$146</c:f>
              <c:strCache>
                <c:ptCount val="145"/>
                <c:pt idx="1">
                  <c:v>61</c:v>
                </c:pt>
                <c:pt idx="2">
                  <c:v>75</c:v>
                </c:pt>
                <c:pt idx="3">
                  <c:v>75</c:v>
                </c:pt>
                <c:pt idx="4">
                  <c:v>61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61</c:v>
                </c:pt>
                <c:pt idx="11">
                  <c:v>75</c:v>
                </c:pt>
                <c:pt idx="12">
                  <c:v>75</c:v>
                </c:pt>
                <c:pt idx="13">
                  <c:v>61</c:v>
                </c:pt>
                <c:pt idx="14">
                  <c:v>75</c:v>
                </c:pt>
                <c:pt idx="15">
                  <c:v>61</c:v>
                </c:pt>
                <c:pt idx="16">
                  <c:v>75</c:v>
                </c:pt>
                <c:pt idx="17">
                  <c:v>61</c:v>
                </c:pt>
                <c:pt idx="18">
                  <c:v>75</c:v>
                </c:pt>
                <c:pt idx="19">
                  <c:v>75</c:v>
                </c:pt>
                <c:pt idx="20">
                  <c:v>61</c:v>
                </c:pt>
                <c:pt idx="21">
                  <c:v>61</c:v>
                </c:pt>
                <c:pt idx="22">
                  <c:v>54</c:v>
                </c:pt>
                <c:pt idx="23">
                  <c:v>75</c:v>
                </c:pt>
                <c:pt idx="24">
                  <c:v>75</c:v>
                </c:pt>
                <c:pt idx="25">
                  <c:v>61</c:v>
                </c:pt>
                <c:pt idx="26">
                  <c:v>75</c:v>
                </c:pt>
                <c:pt idx="27">
                  <c:v>61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54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61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61</c:v>
                </c:pt>
                <c:pt idx="50">
                  <c:v>75</c:v>
                </c:pt>
                <c:pt idx="51">
                  <c:v>61</c:v>
                </c:pt>
                <c:pt idx="52">
                  <c:v>61</c:v>
                </c:pt>
                <c:pt idx="54">
                  <c:v>75</c:v>
                </c:pt>
                <c:pt idx="55">
                  <c:v>61</c:v>
                </c:pt>
                <c:pt idx="56">
                  <c:v>61</c:v>
                </c:pt>
                <c:pt idx="57">
                  <c:v>61</c:v>
                </c:pt>
                <c:pt idx="58">
                  <c:v>103</c:v>
                </c:pt>
                <c:pt idx="59">
                  <c:v>75</c:v>
                </c:pt>
                <c:pt idx="60">
                  <c:v>61</c:v>
                </c:pt>
                <c:pt idx="61">
                  <c:v>61</c:v>
                </c:pt>
                <c:pt idx="62">
                  <c:v>61</c:v>
                </c:pt>
                <c:pt idx="63">
                  <c:v>75</c:v>
                </c:pt>
                <c:pt idx="64">
                  <c:v>61</c:v>
                </c:pt>
                <c:pt idx="65">
                  <c:v>61</c:v>
                </c:pt>
                <c:pt idx="67">
                  <c:v>75</c:v>
                </c:pt>
                <c:pt idx="68">
                  <c:v>75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103</c:v>
                </c:pt>
                <c:pt idx="78">
                  <c:v>103</c:v>
                </c:pt>
                <c:pt idx="79">
                  <c:v>103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103</c:v>
                </c:pt>
                <c:pt idx="97">
                  <c:v>75</c:v>
                </c:pt>
                <c:pt idx="98">
                  <c:v>103</c:v>
                </c:pt>
                <c:pt idx="99">
                  <c:v>103</c:v>
                </c:pt>
                <c:pt idx="100">
                  <c:v>75</c:v>
                </c:pt>
                <c:pt idx="102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8">
                  <c:v>54</c:v>
                </c:pt>
                <c:pt idx="109">
                  <c:v>75</c:v>
                </c:pt>
                <c:pt idx="110">
                  <c:v>54</c:v>
                </c:pt>
                <c:pt idx="111">
                  <c:v>75</c:v>
                </c:pt>
                <c:pt idx="112">
                  <c:v>54</c:v>
                </c:pt>
                <c:pt idx="113">
                  <c:v>103</c:v>
                </c:pt>
                <c:pt idx="114">
                  <c:v>54</c:v>
                </c:pt>
                <c:pt idx="115">
                  <c:v>103</c:v>
                </c:pt>
                <c:pt idx="116">
                  <c:v>54</c:v>
                </c:pt>
                <c:pt idx="117">
                  <c:v>54</c:v>
                </c:pt>
                <c:pt idx="118">
                  <c:v>54</c:v>
                </c:pt>
                <c:pt idx="119">
                  <c:v>54</c:v>
                </c:pt>
                <c:pt idx="120">
                  <c:v>61</c:v>
                </c:pt>
                <c:pt idx="121">
                  <c:v>103</c:v>
                </c:pt>
                <c:pt idx="122">
                  <c:v>61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61</c:v>
                </c:pt>
                <c:pt idx="132">
                  <c:v>61</c:v>
                </c:pt>
                <c:pt idx="133">
                  <c:v>54</c:v>
                </c:pt>
                <c:pt idx="134">
                  <c:v>54</c:v>
                </c:pt>
                <c:pt idx="135">
                  <c:v>75</c:v>
                </c:pt>
                <c:pt idx="136">
                  <c:v>54</c:v>
                </c:pt>
                <c:pt idx="137">
                  <c:v>61</c:v>
                </c:pt>
                <c:pt idx="138">
                  <c:v>54</c:v>
                </c:pt>
                <c:pt idx="139">
                  <c:v>61</c:v>
                </c:pt>
                <c:pt idx="140">
                  <c:v>54</c:v>
                </c:pt>
                <c:pt idx="141">
                  <c:v>54</c:v>
                </c:pt>
                <c:pt idx="142">
                  <c:v>75</c:v>
                </c:pt>
                <c:pt idx="143">
                  <c:v>54</c:v>
                </c:pt>
                <c:pt idx="144">
                  <c:v>61</c:v>
                </c:pt>
              </c:strCache>
            </c:strRef>
          </c:xVal>
          <c:yVal>
            <c:numRef>
              <c:f>'Well Data-NK'!$V$2:$V$146</c:f>
              <c:numCache>
                <c:formatCode>0.0</c:formatCode>
                <c:ptCount val="145"/>
                <c:pt idx="0">
                  <c:v>80</c:v>
                </c:pt>
                <c:pt idx="1">
                  <c:v>54.25</c:v>
                </c:pt>
                <c:pt idx="2">
                  <c:v>87.166666666664241</c:v>
                </c:pt>
                <c:pt idx="3">
                  <c:v>50.333333333335759</c:v>
                </c:pt>
                <c:pt idx="4">
                  <c:v>79.666666666664241</c:v>
                </c:pt>
                <c:pt idx="5">
                  <c:v>117.75</c:v>
                </c:pt>
                <c:pt idx="6">
                  <c:v>85.979166666664241</c:v>
                </c:pt>
                <c:pt idx="7">
                  <c:v>132.75000033333598</c:v>
                </c:pt>
                <c:pt idx="8">
                  <c:v>114.54166666667152</c:v>
                </c:pt>
                <c:pt idx="9">
                  <c:v>98.375</c:v>
                </c:pt>
                <c:pt idx="10">
                  <c:v>72.5</c:v>
                </c:pt>
                <c:pt idx="11">
                  <c:v>139.35416666666424</c:v>
                </c:pt>
                <c:pt idx="12">
                  <c:v>62.083333333335759</c:v>
                </c:pt>
                <c:pt idx="13">
                  <c:v>44.541666666664241</c:v>
                </c:pt>
                <c:pt idx="14">
                  <c:v>59.791666666664241</c:v>
                </c:pt>
                <c:pt idx="15">
                  <c:v>55.854166666671517</c:v>
                </c:pt>
                <c:pt idx="16">
                  <c:v>66.083333333335759</c:v>
                </c:pt>
                <c:pt idx="17">
                  <c:v>60.708333333335759</c:v>
                </c:pt>
                <c:pt idx="18">
                  <c:v>53.083333333335759</c:v>
                </c:pt>
                <c:pt idx="19">
                  <c:v>116.8125</c:v>
                </c:pt>
                <c:pt idx="20">
                  <c:v>65.958333333335759</c:v>
                </c:pt>
                <c:pt idx="21">
                  <c:v>56.083333333335759</c:v>
                </c:pt>
                <c:pt idx="22">
                  <c:v>46.875</c:v>
                </c:pt>
                <c:pt idx="23">
                  <c:v>79.395833333335759</c:v>
                </c:pt>
                <c:pt idx="24">
                  <c:v>71.458333333335759</c:v>
                </c:pt>
                <c:pt idx="25">
                  <c:v>50.874930000000006</c:v>
                </c:pt>
                <c:pt idx="26">
                  <c:v>71.958333333335759</c:v>
                </c:pt>
                <c:pt idx="27">
                  <c:v>76.083333333335759</c:v>
                </c:pt>
                <c:pt idx="28">
                  <c:v>65.666666666671517</c:v>
                </c:pt>
                <c:pt idx="29">
                  <c:v>105.83333333333576</c:v>
                </c:pt>
                <c:pt idx="30">
                  <c:v>102.66666666666424</c:v>
                </c:pt>
                <c:pt idx="31">
                  <c:v>69.125</c:v>
                </c:pt>
                <c:pt idx="32">
                  <c:v>80.75</c:v>
                </c:pt>
                <c:pt idx="33">
                  <c:v>34.666666666664241</c:v>
                </c:pt>
                <c:pt idx="34">
                  <c:v>80.375</c:v>
                </c:pt>
                <c:pt idx="35">
                  <c:v>88.5625</c:v>
                </c:pt>
                <c:pt idx="36">
                  <c:v>63.708333333328483</c:v>
                </c:pt>
                <c:pt idx="37">
                  <c:v>41.5625</c:v>
                </c:pt>
                <c:pt idx="38">
                  <c:v>52.291666666664241</c:v>
                </c:pt>
                <c:pt idx="39">
                  <c:v>82.083333333335759</c:v>
                </c:pt>
                <c:pt idx="40">
                  <c:v>76.583333333335759</c:v>
                </c:pt>
                <c:pt idx="41">
                  <c:v>51.166666666664241</c:v>
                </c:pt>
                <c:pt idx="42">
                  <c:v>73.916666666664241</c:v>
                </c:pt>
                <c:pt idx="43">
                  <c:v>22.729166666664241</c:v>
                </c:pt>
                <c:pt idx="44">
                  <c:v>103.5</c:v>
                </c:pt>
                <c:pt idx="45">
                  <c:v>52.5</c:v>
                </c:pt>
                <c:pt idx="46">
                  <c:v>44</c:v>
                </c:pt>
                <c:pt idx="47">
                  <c:v>54.041666666664241</c:v>
                </c:pt>
                <c:pt idx="48">
                  <c:v>66.9375</c:v>
                </c:pt>
                <c:pt idx="49">
                  <c:v>35.5</c:v>
                </c:pt>
                <c:pt idx="50">
                  <c:v>57.979166666664241</c:v>
                </c:pt>
                <c:pt idx="51">
                  <c:v>34.229166666671517</c:v>
                </c:pt>
                <c:pt idx="52">
                  <c:v>40.541666666664241</c:v>
                </c:pt>
                <c:pt idx="53">
                  <c:v>69.875</c:v>
                </c:pt>
                <c:pt idx="54">
                  <c:v>80.979166666664241</c:v>
                </c:pt>
                <c:pt idx="55">
                  <c:v>45</c:v>
                </c:pt>
                <c:pt idx="56">
                  <c:v>43.145833333335759</c:v>
                </c:pt>
                <c:pt idx="57">
                  <c:v>46.854166666671517</c:v>
                </c:pt>
                <c:pt idx="58">
                  <c:v>114.77083333333576</c:v>
                </c:pt>
                <c:pt idx="59">
                  <c:v>81.3125</c:v>
                </c:pt>
                <c:pt idx="60">
                  <c:v>72.083333333335759</c:v>
                </c:pt>
                <c:pt idx="61">
                  <c:v>41.666666666664241</c:v>
                </c:pt>
                <c:pt idx="62">
                  <c:v>42.145833333328483</c:v>
                </c:pt>
                <c:pt idx="63">
                  <c:v>52.875</c:v>
                </c:pt>
                <c:pt idx="64">
                  <c:v>37.645833333328483</c:v>
                </c:pt>
                <c:pt idx="65">
                  <c:v>57.791666666664241</c:v>
                </c:pt>
                <c:pt idx="66">
                  <c:v>75.041666666664241</c:v>
                </c:pt>
                <c:pt idx="67">
                  <c:v>0</c:v>
                </c:pt>
                <c:pt idx="68">
                  <c:v>69.541666666664241</c:v>
                </c:pt>
                <c:pt idx="69">
                  <c:v>44.041666666671517</c:v>
                </c:pt>
                <c:pt idx="70">
                  <c:v>45.166666666664241</c:v>
                </c:pt>
                <c:pt idx="71">
                  <c:v>42.333333333335759</c:v>
                </c:pt>
                <c:pt idx="72">
                  <c:v>72.666666666664241</c:v>
                </c:pt>
                <c:pt idx="73">
                  <c:v>61.895833333335759</c:v>
                </c:pt>
                <c:pt idx="74">
                  <c:v>72.979166666671517</c:v>
                </c:pt>
                <c:pt idx="75">
                  <c:v>47.125</c:v>
                </c:pt>
                <c:pt idx="76">
                  <c:v>60.125</c:v>
                </c:pt>
                <c:pt idx="77">
                  <c:v>90.25</c:v>
                </c:pt>
                <c:pt idx="78">
                  <c:v>114.83333333333576</c:v>
                </c:pt>
                <c:pt idx="79">
                  <c:v>66.979166666664241</c:v>
                </c:pt>
                <c:pt idx="80">
                  <c:v>49.666666666664241</c:v>
                </c:pt>
                <c:pt idx="81">
                  <c:v>51.854166666671517</c:v>
                </c:pt>
                <c:pt idx="82">
                  <c:v>50.083333333328483</c:v>
                </c:pt>
                <c:pt idx="83">
                  <c:v>41.791666666671517</c:v>
                </c:pt>
                <c:pt idx="84">
                  <c:v>59.208333333335759</c:v>
                </c:pt>
                <c:pt idx="85">
                  <c:v>57.75</c:v>
                </c:pt>
                <c:pt idx="86">
                  <c:v>78.833333333335759</c:v>
                </c:pt>
                <c:pt idx="87">
                  <c:v>39.5</c:v>
                </c:pt>
                <c:pt idx="88">
                  <c:v>49.229166666664241</c:v>
                </c:pt>
                <c:pt idx="89">
                  <c:v>57.458333333335759</c:v>
                </c:pt>
                <c:pt idx="90">
                  <c:v>87.833333333335759</c:v>
                </c:pt>
                <c:pt idx="91">
                  <c:v>55.229166666671517</c:v>
                </c:pt>
                <c:pt idx="92">
                  <c:v>48.020833333335759</c:v>
                </c:pt>
                <c:pt idx="93">
                  <c:v>38.708333333335759</c:v>
                </c:pt>
                <c:pt idx="94">
                  <c:v>46.25</c:v>
                </c:pt>
                <c:pt idx="95">
                  <c:v>45.333333333335759</c:v>
                </c:pt>
                <c:pt idx="96">
                  <c:v>73.958333333335759</c:v>
                </c:pt>
                <c:pt idx="97">
                  <c:v>48.104166666664241</c:v>
                </c:pt>
                <c:pt idx="98">
                  <c:v>126.875</c:v>
                </c:pt>
                <c:pt idx="99">
                  <c:v>117.27083333333576</c:v>
                </c:pt>
                <c:pt idx="100">
                  <c:v>51.5</c:v>
                </c:pt>
                <c:pt idx="101">
                  <c:v>45.916666666664241</c:v>
                </c:pt>
                <c:pt idx="102">
                  <c:v>118.95833333332848</c:v>
                </c:pt>
                <c:pt idx="103">
                  <c:v>40.770833333328483</c:v>
                </c:pt>
                <c:pt idx="104">
                  <c:v>46.125</c:v>
                </c:pt>
                <c:pt idx="105">
                  <c:v>74.541666666664241</c:v>
                </c:pt>
                <c:pt idx="106">
                  <c:v>67.083333333328483</c:v>
                </c:pt>
                <c:pt idx="107">
                  <c:v>40</c:v>
                </c:pt>
                <c:pt idx="108">
                  <c:v>40.083333333335759</c:v>
                </c:pt>
                <c:pt idx="109">
                  <c:v>51.708333333335759</c:v>
                </c:pt>
                <c:pt idx="110">
                  <c:v>52.75</c:v>
                </c:pt>
                <c:pt idx="111">
                  <c:v>62.666666666671517</c:v>
                </c:pt>
                <c:pt idx="112">
                  <c:v>47.585000000000001</c:v>
                </c:pt>
                <c:pt idx="113">
                  <c:v>57.585000000000001</c:v>
                </c:pt>
                <c:pt idx="114">
                  <c:v>39</c:v>
                </c:pt>
                <c:pt idx="115">
                  <c:v>168.64586699999998</c:v>
                </c:pt>
                <c:pt idx="116" formatCode="General">
                  <c:v>32.204166000000001</c:v>
                </c:pt>
                <c:pt idx="117" formatCode="General">
                  <c:v>27.625</c:v>
                </c:pt>
                <c:pt idx="118" formatCode="General">
                  <c:v>38.040999999999997</c:v>
                </c:pt>
                <c:pt idx="119" formatCode="General">
                  <c:v>42.290999999999997</c:v>
                </c:pt>
                <c:pt idx="120">
                  <c:v>55.499996666666661</c:v>
                </c:pt>
                <c:pt idx="121">
                  <c:v>101.7705</c:v>
                </c:pt>
                <c:pt idx="122">
                  <c:v>62.607999999999997</c:v>
                </c:pt>
                <c:pt idx="123">
                  <c:v>25.583333333333332</c:v>
                </c:pt>
                <c:pt idx="124">
                  <c:v>34.791665999999999</c:v>
                </c:pt>
                <c:pt idx="125" formatCode="General">
                  <c:v>54.603829999999995</c:v>
                </c:pt>
                <c:pt idx="126" formatCode="General">
                  <c:v>50.165999999999997</c:v>
                </c:pt>
                <c:pt idx="127" formatCode="General">
                  <c:v>67.457999999999998</c:v>
                </c:pt>
                <c:pt idx="128" formatCode="General">
                  <c:v>75.145829999999989</c:v>
                </c:pt>
                <c:pt idx="129" formatCode="General">
                  <c:v>60.999600000000001</c:v>
                </c:pt>
                <c:pt idx="130" formatCode="General">
                  <c:v>62.125000299999996</c:v>
                </c:pt>
                <c:pt idx="131" formatCode="General">
                  <c:v>42.853829999999995</c:v>
                </c:pt>
                <c:pt idx="132" formatCode="General">
                  <c:v>42.875</c:v>
                </c:pt>
                <c:pt idx="133" formatCode="General">
                  <c:v>36.208333333328483</c:v>
                </c:pt>
                <c:pt idx="134" formatCode="General">
                  <c:v>34.333333333335716</c:v>
                </c:pt>
                <c:pt idx="135" formatCode="General">
                  <c:v>91.895833333335801</c:v>
                </c:pt>
                <c:pt idx="136" formatCode="General">
                  <c:v>40.707999999999998</c:v>
                </c:pt>
                <c:pt idx="137" formatCode="General">
                  <c:v>45.541666666664241</c:v>
                </c:pt>
                <c:pt idx="138" formatCode="General">
                  <c:v>65.4375</c:v>
                </c:pt>
                <c:pt idx="139" formatCode="General">
                  <c:v>97.833333333335759</c:v>
                </c:pt>
                <c:pt idx="140" formatCode="General">
                  <c:v>49.916666666664241</c:v>
                </c:pt>
                <c:pt idx="141" formatCode="General">
                  <c:v>37.583333333328483</c:v>
                </c:pt>
                <c:pt idx="142" formatCode="General">
                  <c:v>53.625</c:v>
                </c:pt>
                <c:pt idx="143" formatCode="General">
                  <c:v>32.3125</c:v>
                </c:pt>
                <c:pt idx="144" formatCode="General">
                  <c:v>56.666666666664241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251712"/>
        <c:axId val="335252104"/>
      </c:scatterChart>
      <c:scatterChart>
        <c:scatterStyle val="smoothMarker"/>
        <c:varyColors val="0"/>
        <c:ser>
          <c:idx val="6"/>
          <c:order val="0"/>
          <c:tx>
            <c:v>Planned Time</c:v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255E91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Sheet1!$W$5:$W$6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Sheet1!$V$5:$V$6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251712"/>
        <c:axId val="335252104"/>
      </c:scatterChart>
      <c:valAx>
        <c:axId val="335251712"/>
        <c:scaling>
          <c:orientation val="minMax"/>
          <c:max val="1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Planned Days (RR to RR)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5252104"/>
        <c:crosses val="autoZero"/>
        <c:crossBetween val="midCat"/>
        <c:majorUnit val="20"/>
      </c:valAx>
      <c:valAx>
        <c:axId val="335252104"/>
        <c:scaling>
          <c:orientation val="minMax"/>
          <c:max val="1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Actual Days (RR to RR)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52517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600" b="1" i="0" u="none" strike="noStrike" baseline="0">
                <a:solidFill>
                  <a:srgbClr val="000000"/>
                </a:solidFill>
                <a:latin typeface="Calibri"/>
              </a:rPr>
              <a:t>2014 Q4 AAP Well Drilling Performance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600" b="1" i="0" u="none" strike="noStrike" baseline="0">
                <a:solidFill>
                  <a:srgbClr val="000000"/>
                </a:solidFill>
                <a:latin typeface="Calibri"/>
              </a:rPr>
              <a:t> (Rig Release to Rig Release)</a:t>
            </a:r>
          </a:p>
        </c:rich>
      </c:tx>
      <c:layout>
        <c:manualLayout>
          <c:xMode val="edge"/>
          <c:yMode val="edge"/>
          <c:x val="0.27509602185587106"/>
          <c:y val="0.88507600869140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60014218835934"/>
          <c:y val="1.737097416813509E-2"/>
          <c:w val="0.82505571482312656"/>
          <c:h val="0.76896710491833686"/>
        </c:manualLayout>
      </c:layout>
      <c:scatterChart>
        <c:scatterStyle val="lineMarker"/>
        <c:varyColors val="0"/>
        <c:ser>
          <c:idx val="0"/>
          <c:order val="1"/>
          <c:tx>
            <c:strRef>
              <c:f>'Well Data-NK'!$R$1</c:f>
              <c:strCache>
                <c:ptCount val="1"/>
                <c:pt idx="0">
                  <c:v>Planned      Days (include RM)</c:v>
                </c:pt>
              </c:strCache>
            </c:strRef>
          </c:tx>
          <c:spPr>
            <a:ln w="19050">
              <a:noFill/>
            </a:ln>
          </c:spPr>
          <c:xVal>
            <c:numRef>
              <c:f>'Well Data-NK'!$R$136:$R$146</c:f>
              <c:numCache>
                <c:formatCode>General</c:formatCode>
                <c:ptCount val="11"/>
                <c:pt idx="0">
                  <c:v>54</c:v>
                </c:pt>
                <c:pt idx="1">
                  <c:v>75</c:v>
                </c:pt>
                <c:pt idx="2">
                  <c:v>54</c:v>
                </c:pt>
                <c:pt idx="3">
                  <c:v>61</c:v>
                </c:pt>
                <c:pt idx="4">
                  <c:v>54</c:v>
                </c:pt>
                <c:pt idx="5">
                  <c:v>61</c:v>
                </c:pt>
                <c:pt idx="6">
                  <c:v>54</c:v>
                </c:pt>
                <c:pt idx="7">
                  <c:v>54</c:v>
                </c:pt>
                <c:pt idx="8">
                  <c:v>75</c:v>
                </c:pt>
                <c:pt idx="9">
                  <c:v>54</c:v>
                </c:pt>
                <c:pt idx="10">
                  <c:v>61</c:v>
                </c:pt>
              </c:numCache>
            </c:numRef>
          </c:xVal>
          <c:yVal>
            <c:numRef>
              <c:f>'Well Data-NK'!$V$136:$V$146</c:f>
              <c:numCache>
                <c:formatCode>General</c:formatCode>
                <c:ptCount val="11"/>
                <c:pt idx="0">
                  <c:v>34.333333333335716</c:v>
                </c:pt>
                <c:pt idx="1">
                  <c:v>91.895833333335801</c:v>
                </c:pt>
                <c:pt idx="2">
                  <c:v>40.707999999999998</c:v>
                </c:pt>
                <c:pt idx="3">
                  <c:v>45.541666666664241</c:v>
                </c:pt>
                <c:pt idx="4">
                  <c:v>65.4375</c:v>
                </c:pt>
                <c:pt idx="5">
                  <c:v>97.833333333335759</c:v>
                </c:pt>
                <c:pt idx="6">
                  <c:v>49.916666666664241</c:v>
                </c:pt>
                <c:pt idx="7">
                  <c:v>37.583333333328483</c:v>
                </c:pt>
                <c:pt idx="8">
                  <c:v>53.625</c:v>
                </c:pt>
                <c:pt idx="9">
                  <c:v>32.3125</c:v>
                </c:pt>
                <c:pt idx="10">
                  <c:v>56.666666666664241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252888"/>
        <c:axId val="568057656"/>
      </c:scatterChart>
      <c:scatterChart>
        <c:scatterStyle val="smoothMarker"/>
        <c:varyColors val="0"/>
        <c:ser>
          <c:idx val="6"/>
          <c:order val="0"/>
          <c:tx>
            <c:v>Planned Time</c:v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255E91"/>
              </a:solidFill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Sheet1!$W$5:$W$6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Sheet1!$V$5:$V$6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252888"/>
        <c:axId val="568057656"/>
      </c:scatterChart>
      <c:valAx>
        <c:axId val="335252888"/>
        <c:scaling>
          <c:orientation val="minMax"/>
          <c:max val="1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Planned Days (RR to RR)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68057656"/>
        <c:crosses val="autoZero"/>
        <c:crossBetween val="midCat"/>
        <c:majorUnit val="20"/>
      </c:valAx>
      <c:valAx>
        <c:axId val="568057656"/>
        <c:scaling>
          <c:orientation val="minMax"/>
          <c:max val="1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Actual Days (RR to RR)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5252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 and P25 table'!$B$276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 and P25 table'!$A$276:$A$280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ZU/RT</c:v>
                </c:pt>
                <c:pt idx="4">
                  <c:v>Composite</c:v>
                </c:pt>
              </c:strCache>
            </c:strRef>
          </c:cat>
          <c:val>
            <c:numRef>
              <c:f>'P50 and P25 table'!$G$276:$G$280</c:f>
              <c:numCache>
                <c:formatCode>General</c:formatCode>
                <c:ptCount val="5"/>
                <c:pt idx="0">
                  <c:v>39.268672543209242</c:v>
                </c:pt>
                <c:pt idx="1">
                  <c:v>51.574998666667149</c:v>
                </c:pt>
                <c:pt idx="2">
                  <c:v>57.190648715385173</c:v>
                </c:pt>
                <c:pt idx="3">
                  <c:v>77.252086666666429</c:v>
                </c:pt>
                <c:pt idx="4">
                  <c:v>51.529608217575579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058440"/>
        <c:axId val="568058832"/>
      </c:barChart>
      <c:catAx>
        <c:axId val="568058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8058832"/>
        <c:crosses val="autoZero"/>
        <c:auto val="1"/>
        <c:lblAlgn val="ctr"/>
        <c:lblOffset val="100"/>
        <c:noMultiLvlLbl val="0"/>
      </c:catAx>
      <c:valAx>
        <c:axId val="56805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058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Well</a:t>
            </a:r>
            <a:r>
              <a:rPr lang="en-US" baseline="0"/>
              <a:t> Count by Month by Well Type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'Visual Schedule'!$S$35</c:f>
              <c:strCache>
                <c:ptCount val="1"/>
                <c:pt idx="0">
                  <c:v>MA</c:v>
                </c:pt>
              </c:strCache>
            </c:strRef>
          </c:tx>
          <c:invertIfNegative val="0"/>
          <c:cat>
            <c:numRef>
              <c:f>'Visual Schedule'!$R$36:$R$48</c:f>
              <c:numCache>
                <c:formatCode>mmm\-yy</c:formatCode>
                <c:ptCount val="1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</c:numCache>
            </c:numRef>
          </c:cat>
          <c:val>
            <c:numRef>
              <c:f>'Visual Schedule'!$S$36:$S$48</c:f>
              <c:numCache>
                <c:formatCode>General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7</c:v>
                </c:pt>
                <c:pt idx="9">
                  <c:v>8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</c:ser>
        <c:ser>
          <c:idx val="1"/>
          <c:order val="1"/>
          <c:tx>
            <c:strRef>
              <c:f>'Visual Schedule'!$T$35</c:f>
              <c:strCache>
                <c:ptCount val="1"/>
                <c:pt idx="0">
                  <c:v>TU</c:v>
                </c:pt>
              </c:strCache>
            </c:strRef>
          </c:tx>
          <c:invertIfNegative val="0"/>
          <c:cat>
            <c:numRef>
              <c:f>'Visual Schedule'!$R$36:$R$48</c:f>
              <c:numCache>
                <c:formatCode>mmm\-yy</c:formatCode>
                <c:ptCount val="1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</c:numCache>
            </c:numRef>
          </c:cat>
          <c:val>
            <c:numRef>
              <c:f>'Visual Schedule'!$T$36:$T$48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</c:ser>
        <c:ser>
          <c:idx val="2"/>
          <c:order val="2"/>
          <c:tx>
            <c:strRef>
              <c:f>'Visual Schedule'!$U$35</c:f>
              <c:strCache>
                <c:ptCount val="1"/>
                <c:pt idx="0">
                  <c:v>UB</c:v>
                </c:pt>
              </c:strCache>
            </c:strRef>
          </c:tx>
          <c:invertIfNegative val="0"/>
          <c:cat>
            <c:numRef>
              <c:f>'Visual Schedule'!$R$36:$R$48</c:f>
              <c:numCache>
                <c:formatCode>mmm\-yy</c:formatCode>
                <c:ptCount val="1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</c:numCache>
            </c:numRef>
          </c:cat>
          <c:val>
            <c:numRef>
              <c:f>'Visual Schedule'!$U$36:$U$48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3"/>
          <c:order val="3"/>
          <c:tx>
            <c:strRef>
              <c:f>'Visual Schedule'!$V$35</c:f>
              <c:strCache>
                <c:ptCount val="1"/>
                <c:pt idx="0">
                  <c:v>MB</c:v>
                </c:pt>
              </c:strCache>
            </c:strRef>
          </c:tx>
          <c:invertIfNegative val="0"/>
          <c:cat>
            <c:numRef>
              <c:f>'Visual Schedule'!$R$36:$R$48</c:f>
              <c:numCache>
                <c:formatCode>mmm\-yy</c:formatCode>
                <c:ptCount val="1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</c:numCache>
            </c:numRef>
          </c:cat>
          <c:val>
            <c:numRef>
              <c:f>'Visual Schedule'!$V$36:$V$48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</c:ser>
        <c:ser>
          <c:idx val="4"/>
          <c:order val="4"/>
          <c:tx>
            <c:strRef>
              <c:f>'Visual Schedule'!$W$35</c:f>
              <c:strCache>
                <c:ptCount val="1"/>
                <c:pt idx="0">
                  <c:v>LB</c:v>
                </c:pt>
              </c:strCache>
            </c:strRef>
          </c:tx>
          <c:invertIfNegative val="0"/>
          <c:cat>
            <c:numRef>
              <c:f>'Visual Schedule'!$R$36:$R$48</c:f>
              <c:numCache>
                <c:formatCode>mmm\-yy</c:formatCode>
                <c:ptCount val="1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</c:numCache>
            </c:numRef>
          </c:cat>
          <c:val>
            <c:numRef>
              <c:f>'Visual Schedule'!$W$36:$W$48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5"/>
          <c:order val="5"/>
          <c:tx>
            <c:strRef>
              <c:f>'Visual Schedule'!$X$35</c:f>
              <c:strCache>
                <c:ptCount val="1"/>
                <c:pt idx="0">
                  <c:v>ZU</c:v>
                </c:pt>
              </c:strCache>
            </c:strRef>
          </c:tx>
          <c:invertIfNegative val="0"/>
          <c:cat>
            <c:numRef>
              <c:f>'Visual Schedule'!$R$36:$R$48</c:f>
              <c:numCache>
                <c:formatCode>mmm\-yy</c:formatCode>
                <c:ptCount val="13"/>
                <c:pt idx="0">
                  <c:v>41730</c:v>
                </c:pt>
                <c:pt idx="1">
                  <c:v>41760</c:v>
                </c:pt>
                <c:pt idx="2">
                  <c:v>41791</c:v>
                </c:pt>
                <c:pt idx="3">
                  <c:v>41821</c:v>
                </c:pt>
                <c:pt idx="4">
                  <c:v>41852</c:v>
                </c:pt>
                <c:pt idx="5">
                  <c:v>41883</c:v>
                </c:pt>
                <c:pt idx="6">
                  <c:v>41913</c:v>
                </c:pt>
                <c:pt idx="7">
                  <c:v>41944</c:v>
                </c:pt>
                <c:pt idx="8">
                  <c:v>41974</c:v>
                </c:pt>
                <c:pt idx="9">
                  <c:v>42005</c:v>
                </c:pt>
                <c:pt idx="10">
                  <c:v>42036</c:v>
                </c:pt>
                <c:pt idx="11">
                  <c:v>42064</c:v>
                </c:pt>
                <c:pt idx="12">
                  <c:v>42095</c:v>
                </c:pt>
              </c:numCache>
            </c:numRef>
          </c:cat>
          <c:val>
            <c:numRef>
              <c:f>'Visual Schedule'!$X$36:$X$48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</c:numCache>
            </c:numRef>
          </c:val>
        </c:ser>
        <c:ser>
          <c:idx val="6"/>
          <c:order val="6"/>
          <c:tx>
            <c:strRef>
              <c:f>'Visual Schedule'!$Y$35</c:f>
              <c:strCache>
                <c:ptCount val="1"/>
                <c:pt idx="0">
                  <c:v>NEW</c:v>
                </c:pt>
              </c:strCache>
            </c:strRef>
          </c:tx>
          <c:invertIfNegative val="0"/>
          <c:val>
            <c:numRef>
              <c:f>'Visual Schedule'!$Y$36:$Y$48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68059616"/>
        <c:axId val="568060008"/>
      </c:barChart>
      <c:dateAx>
        <c:axId val="56805961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crossAx val="568060008"/>
        <c:crosses val="autoZero"/>
        <c:auto val="1"/>
        <c:lblOffset val="100"/>
        <c:baseTimeUnit val="months"/>
      </c:dateAx>
      <c:valAx>
        <c:axId val="5680600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6805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Times'!$B$101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Times'!$J$108:$J$114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Times'!$G$101:$G$107</c:f>
              <c:numCache>
                <c:formatCode>General</c:formatCode>
                <c:ptCount val="7"/>
                <c:pt idx="0">
                  <c:v>43.09824540350845</c:v>
                </c:pt>
                <c:pt idx="1">
                  <c:v>55.055555555554747</c:v>
                </c:pt>
                <c:pt idx="2">
                  <c:v>42.073333104761623</c:v>
                </c:pt>
                <c:pt idx="3">
                  <c:v>55.055555555554747</c:v>
                </c:pt>
                <c:pt idx="4">
                  <c:v>52.015529999999337</c:v>
                </c:pt>
                <c:pt idx="5">
                  <c:v>0</c:v>
                </c:pt>
                <c:pt idx="6">
                  <c:v>37.516492861111004</c:v>
                </c:pt>
              </c:numCache>
            </c:numRef>
          </c:val>
        </c:ser>
        <c:ser>
          <c:idx val="1"/>
          <c:order val="1"/>
          <c:tx>
            <c:strRef>
              <c:f>'P50P25 Drill Times'!$B$108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Times'!$J$108:$J$114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Times'!$G$108:$G$114</c:f>
              <c:numCache>
                <c:formatCode>General</c:formatCode>
                <c:ptCount val="7"/>
                <c:pt idx="0">
                  <c:v>52.684210526315788</c:v>
                </c:pt>
                <c:pt idx="1">
                  <c:v>70</c:v>
                </c:pt>
                <c:pt idx="2">
                  <c:v>51.2</c:v>
                </c:pt>
                <c:pt idx="3">
                  <c:v>70</c:v>
                </c:pt>
                <c:pt idx="4">
                  <c:v>56</c:v>
                </c:pt>
                <c:pt idx="5">
                  <c:v>0</c:v>
                </c:pt>
                <c:pt idx="6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060792"/>
        <c:axId val="56806118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Times'!$H$101:$H$107</c:f>
              <c:numCache>
                <c:formatCode>General</c:formatCode>
                <c:ptCount val="7"/>
                <c:pt idx="0">
                  <c:v>38</c:v>
                </c:pt>
                <c:pt idx="1">
                  <c:v>3</c:v>
                </c:pt>
                <c:pt idx="2">
                  <c:v>35</c:v>
                </c:pt>
                <c:pt idx="3">
                  <c:v>3</c:v>
                </c:pt>
                <c:pt idx="4">
                  <c:v>11</c:v>
                </c:pt>
                <c:pt idx="5">
                  <c:v>0</c:v>
                </c:pt>
                <c:pt idx="6">
                  <c:v>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061968"/>
        <c:axId val="568061576"/>
      </c:lineChart>
      <c:catAx>
        <c:axId val="5680607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68061184"/>
        <c:crosses val="autoZero"/>
        <c:auto val="1"/>
        <c:lblAlgn val="ctr"/>
        <c:lblOffset val="100"/>
        <c:noMultiLvlLbl val="0"/>
      </c:catAx>
      <c:valAx>
        <c:axId val="5680611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68060792"/>
        <c:crosses val="autoZero"/>
        <c:crossBetween val="between"/>
      </c:valAx>
      <c:valAx>
        <c:axId val="568061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68061968"/>
        <c:crosses val="max"/>
        <c:crossBetween val="between"/>
      </c:valAx>
      <c:catAx>
        <c:axId val="56806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5680615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  P25</a:t>
            </a:r>
            <a:r>
              <a:rPr lang="en-US" baseline="0"/>
              <a:t> </a:t>
            </a:r>
            <a:r>
              <a:rPr lang="en-US"/>
              <a:t>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Times'!$B$32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Times'!$J$32:$J$37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Times'!$G$32:$G$37</c:f>
              <c:numCache>
                <c:formatCode>General</c:formatCode>
                <c:ptCount val="6"/>
                <c:pt idx="0">
                  <c:v>47.791666666664241</c:v>
                </c:pt>
                <c:pt idx="1">
                  <c:v>28.194444370369826</c:v>
                </c:pt>
                <c:pt idx="2">
                  <c:v>47.791666666664241</c:v>
                </c:pt>
                <c:pt idx="3">
                  <c:v>41.847222222221411</c:v>
                </c:pt>
                <c:pt idx="4">
                  <c:v>0</c:v>
                </c:pt>
                <c:pt idx="5">
                  <c:v>26.743055444444039</c:v>
                </c:pt>
              </c:numCache>
            </c:numRef>
          </c:val>
        </c:ser>
        <c:ser>
          <c:idx val="1"/>
          <c:order val="1"/>
          <c:tx>
            <c:strRef>
              <c:f>'P50P25 Drill Times'!$B$108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Times'!$J$32:$J$37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Times'!$G$109:$G$114</c:f>
              <c:numCache>
                <c:formatCode>General</c:formatCode>
                <c:ptCount val="6"/>
                <c:pt idx="0">
                  <c:v>70</c:v>
                </c:pt>
                <c:pt idx="1">
                  <c:v>51.2</c:v>
                </c:pt>
                <c:pt idx="2">
                  <c:v>70</c:v>
                </c:pt>
                <c:pt idx="3">
                  <c:v>56</c:v>
                </c:pt>
                <c:pt idx="4">
                  <c:v>0</c:v>
                </c:pt>
                <c:pt idx="5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062752"/>
        <c:axId val="56806314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'P50P25 Drill Times'!$H$32:$H$37</c:f>
              <c:numCache>
                <c:formatCode>General</c:formatCode>
                <c:ptCount val="6"/>
                <c:pt idx="0">
                  <c:v>1</c:v>
                </c:pt>
                <c:pt idx="1">
                  <c:v>9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063928"/>
        <c:axId val="568063536"/>
      </c:lineChart>
      <c:catAx>
        <c:axId val="568062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68063144"/>
        <c:crosses val="autoZero"/>
        <c:auto val="1"/>
        <c:lblAlgn val="ctr"/>
        <c:lblOffset val="100"/>
        <c:noMultiLvlLbl val="0"/>
      </c:catAx>
      <c:valAx>
        <c:axId val="5680631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68062752"/>
        <c:crosses val="autoZero"/>
        <c:crossBetween val="between"/>
      </c:valAx>
      <c:valAx>
        <c:axId val="568063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68063928"/>
        <c:crosses val="max"/>
        <c:crossBetween val="between"/>
      </c:valAx>
      <c:catAx>
        <c:axId val="568063928"/>
        <c:scaling>
          <c:orientation val="minMax"/>
        </c:scaling>
        <c:delete val="1"/>
        <c:axPos val="b"/>
        <c:majorTickMark val="out"/>
        <c:minorTickMark val="none"/>
        <c:tickLblPos val="nextTo"/>
        <c:crossAx val="56806353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Times'!$B$115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Times'!$J$115:$J$121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Times'!$G$115:$G$121</c:f>
              <c:numCache>
                <c:formatCode>General</c:formatCode>
                <c:ptCount val="7"/>
                <c:pt idx="0">
                  <c:v>53.119789999999995</c:v>
                </c:pt>
                <c:pt idx="1">
                  <c:v>53.604164999999995</c:v>
                </c:pt>
                <c:pt idx="2">
                  <c:v>52.635414999999995</c:v>
                </c:pt>
                <c:pt idx="3">
                  <c:v>53.604164999999995</c:v>
                </c:pt>
                <c:pt idx="4">
                  <c:v>52.635414999999995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Times'!$B$122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Times'!$J$115:$J$121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Times'!$G$122:$G$128</c:f>
              <c:numCache>
                <c:formatCode>General</c:formatCode>
                <c:ptCount val="7"/>
                <c:pt idx="0">
                  <c:v>63</c:v>
                </c:pt>
                <c:pt idx="1">
                  <c:v>70</c:v>
                </c:pt>
                <c:pt idx="2">
                  <c:v>56</c:v>
                </c:pt>
                <c:pt idx="3">
                  <c:v>70</c:v>
                </c:pt>
                <c:pt idx="4">
                  <c:v>56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064712"/>
        <c:axId val="56806510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Times'!$H$115:$H$121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09496"/>
        <c:axId val="335409104"/>
      </c:lineChart>
      <c:catAx>
        <c:axId val="5680647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68065104"/>
        <c:crosses val="autoZero"/>
        <c:auto val="1"/>
        <c:lblAlgn val="ctr"/>
        <c:lblOffset val="100"/>
        <c:noMultiLvlLbl val="0"/>
      </c:catAx>
      <c:valAx>
        <c:axId val="56806510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68064712"/>
        <c:crosses val="autoZero"/>
        <c:crossBetween val="between"/>
      </c:valAx>
      <c:valAx>
        <c:axId val="335409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35409496"/>
        <c:crosses val="max"/>
        <c:crossBetween val="between"/>
      </c:valAx>
      <c:catAx>
        <c:axId val="335409496"/>
        <c:scaling>
          <c:orientation val="minMax"/>
        </c:scaling>
        <c:delete val="1"/>
        <c:axPos val="b"/>
        <c:majorTickMark val="out"/>
        <c:minorTickMark val="none"/>
        <c:tickLblPos val="nextTo"/>
        <c:crossAx val="33540910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  P25 Average Days (Spud to RR)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Times'!$B$46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Times'!$J$46:$J$51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Times'!$G$46:$G$51</c:f>
              <c:numCache>
                <c:formatCode>General</c:formatCode>
                <c:ptCount val="6"/>
                <c:pt idx="0">
                  <c:v>48</c:v>
                </c:pt>
                <c:pt idx="1">
                  <c:v>40.770829999999997</c:v>
                </c:pt>
                <c:pt idx="2">
                  <c:v>48</c:v>
                </c:pt>
                <c:pt idx="3">
                  <c:v>40.770829999999997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Times'!$B$123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Times'!$J$46:$J$51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Times'!$G$123:$G$128</c:f>
              <c:numCache>
                <c:formatCode>General</c:formatCode>
                <c:ptCount val="6"/>
                <c:pt idx="0">
                  <c:v>70</c:v>
                </c:pt>
                <c:pt idx="1">
                  <c:v>56</c:v>
                </c:pt>
                <c:pt idx="2">
                  <c:v>70</c:v>
                </c:pt>
                <c:pt idx="3">
                  <c:v>56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410280"/>
        <c:axId val="335410672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Times'!$H$46:$H$51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11456"/>
        <c:axId val="335411064"/>
      </c:lineChart>
      <c:catAx>
        <c:axId val="335410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35410672"/>
        <c:crosses val="autoZero"/>
        <c:auto val="1"/>
        <c:lblAlgn val="ctr"/>
        <c:lblOffset val="100"/>
        <c:noMultiLvlLbl val="0"/>
      </c:catAx>
      <c:valAx>
        <c:axId val="3354106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35410280"/>
        <c:crosses val="autoZero"/>
        <c:crossBetween val="between"/>
      </c:valAx>
      <c:valAx>
        <c:axId val="335411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35411456"/>
        <c:crosses val="max"/>
        <c:crossBetween val="between"/>
      </c:valAx>
      <c:catAx>
        <c:axId val="335411456"/>
        <c:scaling>
          <c:orientation val="minMax"/>
        </c:scaling>
        <c:delete val="1"/>
        <c:axPos val="b"/>
        <c:majorTickMark val="out"/>
        <c:minorTickMark val="none"/>
        <c:tickLblPos val="nextTo"/>
        <c:crossAx val="33541106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LB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Times'!$B$87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Times'!$J$87:$J$93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Times'!$G$87:$G$93</c:f>
              <c:numCache>
                <c:formatCode>General</c:formatCode>
                <c:ptCount val="7"/>
                <c:pt idx="0">
                  <c:v>55.753721209091573</c:v>
                </c:pt>
                <c:pt idx="1">
                  <c:v>55.753721209091573</c:v>
                </c:pt>
                <c:pt idx="2">
                  <c:v>0</c:v>
                </c:pt>
                <c:pt idx="3">
                  <c:v>55.753721209091573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Times'!$B$94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Times'!$J$87:$J$93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Times'!$G$94:$G$100</c:f>
              <c:numCache>
                <c:formatCode>General</c:formatCode>
                <c:ptCount val="7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412240"/>
        <c:axId val="335412632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Times'!$H$87:$H$93</c:f>
              <c:numCache>
                <c:formatCode>General</c:formatCode>
                <c:ptCount val="7"/>
                <c:pt idx="0">
                  <c:v>11</c:v>
                </c:pt>
                <c:pt idx="1">
                  <c:v>11</c:v>
                </c:pt>
                <c:pt idx="2">
                  <c:v>0</c:v>
                </c:pt>
                <c:pt idx="3">
                  <c:v>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13416"/>
        <c:axId val="335413024"/>
      </c:lineChart>
      <c:catAx>
        <c:axId val="335412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35412632"/>
        <c:crosses val="autoZero"/>
        <c:auto val="1"/>
        <c:lblAlgn val="ctr"/>
        <c:lblOffset val="100"/>
        <c:noMultiLvlLbl val="0"/>
      </c:catAx>
      <c:valAx>
        <c:axId val="3354126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35412240"/>
        <c:crosses val="autoZero"/>
        <c:crossBetween val="between"/>
      </c:valAx>
      <c:valAx>
        <c:axId val="335413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35413416"/>
        <c:crosses val="max"/>
        <c:crossBetween val="between"/>
      </c:valAx>
      <c:catAx>
        <c:axId val="335413416"/>
        <c:scaling>
          <c:orientation val="minMax"/>
        </c:scaling>
        <c:delete val="1"/>
        <c:axPos val="b"/>
        <c:majorTickMark val="out"/>
        <c:minorTickMark val="none"/>
        <c:tickLblPos val="nextTo"/>
        <c:crossAx val="33541302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ZU/RT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Times'!$B$129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Times'!$J$129:$J$135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Times'!$G$129:$G$135</c:f>
              <c:numCache>
                <c:formatCode>General</c:formatCode>
                <c:ptCount val="7"/>
                <c:pt idx="0">
                  <c:v>91.976195238094888</c:v>
                </c:pt>
                <c:pt idx="1">
                  <c:v>111.16667333333285</c:v>
                </c:pt>
                <c:pt idx="2">
                  <c:v>44</c:v>
                </c:pt>
                <c:pt idx="3">
                  <c:v>111.16667333333285</c:v>
                </c:pt>
                <c:pt idx="4">
                  <c:v>52</c:v>
                </c:pt>
                <c:pt idx="5">
                  <c:v>0</c:v>
                </c:pt>
                <c:pt idx="6">
                  <c:v>36</c:v>
                </c:pt>
              </c:numCache>
            </c:numRef>
          </c:val>
        </c:ser>
        <c:ser>
          <c:idx val="1"/>
          <c:order val="1"/>
          <c:tx>
            <c:strRef>
              <c:f>'P50P25 Drill Times'!$B$136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Times'!$J$129:$J$135</c:f>
              <c:strCache>
                <c:ptCount val="7"/>
                <c:pt idx="0">
                  <c:v>Composite</c:v>
                </c:pt>
                <c:pt idx="1">
                  <c:v>NW</c:v>
                </c:pt>
                <c:pt idx="2">
                  <c:v>ST</c:v>
                </c:pt>
                <c:pt idx="3">
                  <c:v>NW Prod</c:v>
                </c:pt>
                <c:pt idx="4">
                  <c:v>ST Prod</c:v>
                </c:pt>
                <c:pt idx="5">
                  <c:v>NW Inj</c:v>
                </c:pt>
                <c:pt idx="6">
                  <c:v>ST Inj</c:v>
                </c:pt>
              </c:strCache>
            </c:strRef>
          </c:cat>
          <c:val>
            <c:numRef>
              <c:f>'P50P25 Drill Times'!$G$136:$G$142</c:f>
              <c:numCache>
                <c:formatCode>General</c:formatCode>
                <c:ptCount val="7"/>
                <c:pt idx="0">
                  <c:v>91</c:v>
                </c:pt>
                <c:pt idx="1">
                  <c:v>98</c:v>
                </c:pt>
                <c:pt idx="2">
                  <c:v>56</c:v>
                </c:pt>
                <c:pt idx="3">
                  <c:v>98</c:v>
                </c:pt>
                <c:pt idx="4">
                  <c:v>56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414200"/>
        <c:axId val="335414592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Times'!$H$129:$H$135</c:f>
              <c:numCache>
                <c:formatCode>General</c:formatCode>
                <c:ptCount val="7"/>
                <c:pt idx="0">
                  <c:v>7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15376"/>
        <c:axId val="335414984"/>
      </c:lineChart>
      <c:catAx>
        <c:axId val="335414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35414592"/>
        <c:crosses val="autoZero"/>
        <c:auto val="1"/>
        <c:lblAlgn val="ctr"/>
        <c:lblOffset val="100"/>
        <c:noMultiLvlLbl val="0"/>
      </c:catAx>
      <c:valAx>
        <c:axId val="3354145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35414200"/>
        <c:crosses val="autoZero"/>
        <c:crossBetween val="between"/>
      </c:valAx>
      <c:valAx>
        <c:axId val="335414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35415376"/>
        <c:crosses val="max"/>
        <c:crossBetween val="between"/>
      </c:valAx>
      <c:catAx>
        <c:axId val="33541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33541498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LB  P25</a:t>
            </a:r>
            <a:r>
              <a:rPr lang="en-US" baseline="0"/>
              <a:t> </a:t>
            </a:r>
            <a:r>
              <a:rPr lang="en-US"/>
              <a:t>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Times'!$J$18:$J$23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Times'!$G$18:$G$23</c:f>
              <c:numCache>
                <c:formatCode>General</c:formatCode>
                <c:ptCount val="6"/>
                <c:pt idx="0">
                  <c:v>42.666444444445254</c:v>
                </c:pt>
                <c:pt idx="1">
                  <c:v>0</c:v>
                </c:pt>
                <c:pt idx="2">
                  <c:v>42.666444444445254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Times'!$B$95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Times'!$J$18:$J$23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Times'!$G$95:$G$100</c:f>
              <c:numCache>
                <c:formatCode>General</c:formatCode>
                <c:ptCount val="6"/>
                <c:pt idx="0">
                  <c:v>70</c:v>
                </c:pt>
                <c:pt idx="1">
                  <c:v>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416160"/>
        <c:axId val="335416552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Times'!$H$18:$H$23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267264"/>
        <c:axId val="454266872"/>
      </c:lineChart>
      <c:catAx>
        <c:axId val="3354161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35416552"/>
        <c:crosses val="autoZero"/>
        <c:auto val="1"/>
        <c:lblAlgn val="ctr"/>
        <c:lblOffset val="100"/>
        <c:noMultiLvlLbl val="0"/>
      </c:catAx>
      <c:valAx>
        <c:axId val="3354165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35416160"/>
        <c:crosses val="autoZero"/>
        <c:crossBetween val="between"/>
      </c:valAx>
      <c:valAx>
        <c:axId val="454266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267264"/>
        <c:crosses val="max"/>
        <c:crossBetween val="between"/>
      </c:valAx>
      <c:catAx>
        <c:axId val="454267264"/>
        <c:scaling>
          <c:orientation val="minMax"/>
        </c:scaling>
        <c:delete val="1"/>
        <c:axPos val="b"/>
        <c:majorTickMark val="out"/>
        <c:minorTickMark val="none"/>
        <c:tickLblPos val="nextTo"/>
        <c:crossAx val="45426687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ZU/RT  P25</a:t>
            </a:r>
            <a:r>
              <a:rPr lang="en-US" baseline="0"/>
              <a:t> </a:t>
            </a:r>
            <a:r>
              <a:rPr lang="en-US"/>
              <a:t>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Times'!$B$60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Times'!$J$60:$J$65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Times'!$G$60:$G$65</c:f>
              <c:numCache>
                <c:formatCode>General</c:formatCode>
                <c:ptCount val="6"/>
                <c:pt idx="0">
                  <c:v>66.40625</c:v>
                </c:pt>
                <c:pt idx="1">
                  <c:v>36</c:v>
                </c:pt>
                <c:pt idx="2">
                  <c:v>66.40625</c:v>
                </c:pt>
                <c:pt idx="3">
                  <c:v>52</c:v>
                </c:pt>
                <c:pt idx="4">
                  <c:v>0</c:v>
                </c:pt>
                <c:pt idx="5">
                  <c:v>36</c:v>
                </c:pt>
              </c:numCache>
            </c:numRef>
          </c:val>
        </c:ser>
        <c:ser>
          <c:idx val="1"/>
          <c:order val="1"/>
          <c:tx>
            <c:strRef>
              <c:f>'P50P25 Drill Times'!$B$137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Times'!$J$60:$J$65</c:f>
              <c:strCache>
                <c:ptCount val="6"/>
                <c:pt idx="0">
                  <c:v>NW</c:v>
                </c:pt>
                <c:pt idx="1">
                  <c:v>ST</c:v>
                </c:pt>
                <c:pt idx="2">
                  <c:v>NW Prod</c:v>
                </c:pt>
                <c:pt idx="3">
                  <c:v>ST Prod</c:v>
                </c:pt>
                <c:pt idx="4">
                  <c:v>NW Inj</c:v>
                </c:pt>
                <c:pt idx="5">
                  <c:v>ST Inj</c:v>
                </c:pt>
              </c:strCache>
            </c:strRef>
          </c:cat>
          <c:val>
            <c:numRef>
              <c:f>'P50P25 Drill Times'!$G$137:$G$142</c:f>
              <c:numCache>
                <c:formatCode>General</c:formatCode>
                <c:ptCount val="6"/>
                <c:pt idx="0">
                  <c:v>98</c:v>
                </c:pt>
                <c:pt idx="1">
                  <c:v>56</c:v>
                </c:pt>
                <c:pt idx="2">
                  <c:v>98</c:v>
                </c:pt>
                <c:pt idx="3">
                  <c:v>56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68048"/>
        <c:axId val="454268440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Times'!$H$60:$H$65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269224"/>
        <c:axId val="454268832"/>
      </c:lineChart>
      <c:catAx>
        <c:axId val="4542680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268440"/>
        <c:crosses val="autoZero"/>
        <c:auto val="1"/>
        <c:lblAlgn val="ctr"/>
        <c:lblOffset val="100"/>
        <c:noMultiLvlLbl val="0"/>
      </c:catAx>
      <c:valAx>
        <c:axId val="4542684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268048"/>
        <c:crosses val="autoZero"/>
        <c:crossBetween val="between"/>
      </c:valAx>
      <c:valAx>
        <c:axId val="45426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269224"/>
        <c:crosses val="max"/>
        <c:crossBetween val="between"/>
      </c:valAx>
      <c:catAx>
        <c:axId val="454269224"/>
        <c:scaling>
          <c:orientation val="minMax"/>
        </c:scaling>
        <c:delete val="1"/>
        <c:axPos val="b"/>
        <c:majorTickMark val="out"/>
        <c:minorTickMark val="none"/>
        <c:tickLblPos val="nextTo"/>
        <c:crossAx val="45426883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Times'!$B$101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Times'!$J$111:$J$114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Times'!$G$104:$G$107</c:f>
              <c:numCache>
                <c:formatCode>General</c:formatCode>
                <c:ptCount val="4"/>
                <c:pt idx="0">
                  <c:v>55.055555555554747</c:v>
                </c:pt>
                <c:pt idx="1">
                  <c:v>52.015529999999337</c:v>
                </c:pt>
                <c:pt idx="2">
                  <c:v>0</c:v>
                </c:pt>
                <c:pt idx="3">
                  <c:v>37.516492861111004</c:v>
                </c:pt>
              </c:numCache>
            </c:numRef>
          </c:val>
        </c:ser>
        <c:ser>
          <c:idx val="1"/>
          <c:order val="1"/>
          <c:tx>
            <c:strRef>
              <c:f>'P50P25 Drill Times'!$B$108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Times'!$J$111:$J$114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Times'!$G$111:$G$114</c:f>
              <c:numCache>
                <c:formatCode>General</c:formatCode>
                <c:ptCount val="4"/>
                <c:pt idx="0">
                  <c:v>70</c:v>
                </c:pt>
                <c:pt idx="1">
                  <c:v>56</c:v>
                </c:pt>
                <c:pt idx="2">
                  <c:v>0</c:v>
                </c:pt>
                <c:pt idx="3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70008"/>
        <c:axId val="454270400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Times'!$H$104:$H$107</c:f>
              <c:numCache>
                <c:formatCode>General</c:formatCode>
                <c:ptCount val="4"/>
                <c:pt idx="0">
                  <c:v>3</c:v>
                </c:pt>
                <c:pt idx="1">
                  <c:v>11</c:v>
                </c:pt>
                <c:pt idx="2">
                  <c:v>0</c:v>
                </c:pt>
                <c:pt idx="3">
                  <c:v>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271184"/>
        <c:axId val="454270792"/>
      </c:lineChart>
      <c:catAx>
        <c:axId val="4542700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270400"/>
        <c:crosses val="autoZero"/>
        <c:auto val="1"/>
        <c:lblAlgn val="ctr"/>
        <c:lblOffset val="100"/>
        <c:noMultiLvlLbl val="0"/>
      </c:catAx>
      <c:valAx>
        <c:axId val="4542704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270008"/>
        <c:crosses val="autoZero"/>
        <c:crossBetween val="between"/>
      </c:valAx>
      <c:valAx>
        <c:axId val="454270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271184"/>
        <c:crosses val="max"/>
        <c:crossBetween val="between"/>
      </c:valAx>
      <c:catAx>
        <c:axId val="454271184"/>
        <c:scaling>
          <c:orientation val="minMax"/>
        </c:scaling>
        <c:delete val="1"/>
        <c:axPos val="b"/>
        <c:majorTickMark val="out"/>
        <c:minorTickMark val="none"/>
        <c:tickLblPos val="nextTo"/>
        <c:crossAx val="45427079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  P25</a:t>
            </a:r>
            <a:r>
              <a:rPr lang="en-US" baseline="0"/>
              <a:t> </a:t>
            </a:r>
            <a:r>
              <a:rPr lang="en-US"/>
              <a:t>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Times'!$B$32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Times'!$J$34:$J$37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Times'!$G$34:$G$37</c:f>
              <c:numCache>
                <c:formatCode>General</c:formatCode>
                <c:ptCount val="4"/>
                <c:pt idx="0">
                  <c:v>47.791666666664241</c:v>
                </c:pt>
                <c:pt idx="1">
                  <c:v>41.847222222221411</c:v>
                </c:pt>
                <c:pt idx="2">
                  <c:v>0</c:v>
                </c:pt>
                <c:pt idx="3">
                  <c:v>26.743055444444039</c:v>
                </c:pt>
              </c:numCache>
            </c:numRef>
          </c:val>
        </c:ser>
        <c:ser>
          <c:idx val="1"/>
          <c:order val="1"/>
          <c:tx>
            <c:strRef>
              <c:f>'P50P25 Drill Times'!$B$108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Times'!$J$34:$J$37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Times'!$G$111:$G$114</c:f>
              <c:numCache>
                <c:formatCode>General</c:formatCode>
                <c:ptCount val="4"/>
                <c:pt idx="0">
                  <c:v>70</c:v>
                </c:pt>
                <c:pt idx="1">
                  <c:v>56</c:v>
                </c:pt>
                <c:pt idx="2">
                  <c:v>0</c:v>
                </c:pt>
                <c:pt idx="3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71968"/>
        <c:axId val="454272360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'P50P25 Drill Times'!$H$34:$H$37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273144"/>
        <c:axId val="454272752"/>
      </c:lineChart>
      <c:catAx>
        <c:axId val="454271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272360"/>
        <c:crosses val="autoZero"/>
        <c:auto val="1"/>
        <c:lblAlgn val="ctr"/>
        <c:lblOffset val="100"/>
        <c:noMultiLvlLbl val="0"/>
      </c:catAx>
      <c:valAx>
        <c:axId val="4542723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271968"/>
        <c:crosses val="autoZero"/>
        <c:crossBetween val="between"/>
      </c:valAx>
      <c:valAx>
        <c:axId val="454272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273144"/>
        <c:crosses val="max"/>
        <c:crossBetween val="between"/>
      </c:valAx>
      <c:catAx>
        <c:axId val="454273144"/>
        <c:scaling>
          <c:orientation val="minMax"/>
        </c:scaling>
        <c:delete val="1"/>
        <c:axPos val="b"/>
        <c:majorTickMark val="out"/>
        <c:minorTickMark val="none"/>
        <c:tickLblPos val="nextTo"/>
        <c:crossAx val="45427275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Times'!$B$115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Times'!$J$118:$J$121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Times'!$G$118:$G$121</c:f>
              <c:numCache>
                <c:formatCode>General</c:formatCode>
                <c:ptCount val="4"/>
                <c:pt idx="0">
                  <c:v>53.604164999999995</c:v>
                </c:pt>
                <c:pt idx="1">
                  <c:v>52.635414999999995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Times'!$B$122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Times'!$J$118:$J$121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Times'!$G$125:$G$128</c:f>
              <c:numCache>
                <c:formatCode>General</c:formatCode>
                <c:ptCount val="4"/>
                <c:pt idx="0">
                  <c:v>70</c:v>
                </c:pt>
                <c:pt idx="1">
                  <c:v>56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73928"/>
        <c:axId val="454274320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Times'!$H$118:$H$121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60768"/>
        <c:axId val="454160376"/>
      </c:lineChart>
      <c:catAx>
        <c:axId val="454273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274320"/>
        <c:crosses val="autoZero"/>
        <c:auto val="1"/>
        <c:lblAlgn val="ctr"/>
        <c:lblOffset val="100"/>
        <c:noMultiLvlLbl val="0"/>
      </c:catAx>
      <c:valAx>
        <c:axId val="4542743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273928"/>
        <c:crosses val="autoZero"/>
        <c:crossBetween val="between"/>
      </c:valAx>
      <c:valAx>
        <c:axId val="454160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160768"/>
        <c:crosses val="max"/>
        <c:crossBetween val="between"/>
      </c:valAx>
      <c:catAx>
        <c:axId val="454160768"/>
        <c:scaling>
          <c:orientation val="minMax"/>
        </c:scaling>
        <c:delete val="1"/>
        <c:axPos val="b"/>
        <c:majorTickMark val="out"/>
        <c:minorTickMark val="none"/>
        <c:tickLblPos val="nextTo"/>
        <c:crossAx val="4541603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  P25 Average Days (Spud to RR)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Times'!$B$46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Times'!$J$48:$J$51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Times'!$G$48:$G$51</c:f>
              <c:numCache>
                <c:formatCode>General</c:formatCode>
                <c:ptCount val="4"/>
                <c:pt idx="0">
                  <c:v>48</c:v>
                </c:pt>
                <c:pt idx="1">
                  <c:v>40.770829999999997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Times'!$B$123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'P50P25 Drill Times'!$J$48:$J$51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Times'!$G$125:$G$128</c:f>
              <c:numCache>
                <c:formatCode>General</c:formatCode>
                <c:ptCount val="4"/>
                <c:pt idx="0">
                  <c:v>70</c:v>
                </c:pt>
                <c:pt idx="1">
                  <c:v>56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61552"/>
        <c:axId val="45416194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Times'!$H$48:$H$51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62728"/>
        <c:axId val="454162336"/>
      </c:lineChart>
      <c:catAx>
        <c:axId val="4541615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161944"/>
        <c:crosses val="autoZero"/>
        <c:auto val="1"/>
        <c:lblAlgn val="ctr"/>
        <c:lblOffset val="100"/>
        <c:noMultiLvlLbl val="0"/>
      </c:catAx>
      <c:valAx>
        <c:axId val="4541619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161552"/>
        <c:crosses val="autoZero"/>
        <c:crossBetween val="between"/>
      </c:valAx>
      <c:valAx>
        <c:axId val="454162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162728"/>
        <c:crosses val="max"/>
        <c:crossBetween val="between"/>
        <c:majorUnit val="1"/>
      </c:valAx>
      <c:catAx>
        <c:axId val="454162728"/>
        <c:scaling>
          <c:orientation val="minMax"/>
        </c:scaling>
        <c:delete val="1"/>
        <c:axPos val="b"/>
        <c:majorTickMark val="out"/>
        <c:minorTickMark val="none"/>
        <c:tickLblPos val="nextTo"/>
        <c:crossAx val="45416233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LB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Times'!$B$87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Times'!$J$90:$J$93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Times'!$G$90:$G$93</c:f>
              <c:numCache>
                <c:formatCode>General</c:formatCode>
                <c:ptCount val="4"/>
                <c:pt idx="0">
                  <c:v>55.753721209091573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Times'!$B$94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Times'!$J$90:$J$93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Times'!$G$97:$G$100</c:f>
              <c:numCache>
                <c:formatCode>General</c:formatCode>
                <c:ptCount val="4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63512"/>
        <c:axId val="45416390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Times'!$H$90:$H$93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64688"/>
        <c:axId val="454164296"/>
      </c:lineChart>
      <c:catAx>
        <c:axId val="454163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163904"/>
        <c:crosses val="autoZero"/>
        <c:auto val="1"/>
        <c:lblAlgn val="ctr"/>
        <c:lblOffset val="100"/>
        <c:noMultiLvlLbl val="0"/>
      </c:catAx>
      <c:valAx>
        <c:axId val="45416390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163512"/>
        <c:crosses val="autoZero"/>
        <c:crossBetween val="between"/>
      </c:valAx>
      <c:valAx>
        <c:axId val="454164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164688"/>
        <c:crosses val="max"/>
        <c:crossBetween val="between"/>
      </c:valAx>
      <c:catAx>
        <c:axId val="45416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45416429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ZU/RT P50 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Times'!$B$129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Times'!$J$132:$J$135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Times'!$G$132:$G$135</c:f>
              <c:numCache>
                <c:formatCode>General</c:formatCode>
                <c:ptCount val="4"/>
                <c:pt idx="0">
                  <c:v>111.16667333333285</c:v>
                </c:pt>
                <c:pt idx="1">
                  <c:v>52</c:v>
                </c:pt>
                <c:pt idx="2">
                  <c:v>0</c:v>
                </c:pt>
                <c:pt idx="3">
                  <c:v>36</c:v>
                </c:pt>
              </c:numCache>
            </c:numRef>
          </c:val>
        </c:ser>
        <c:ser>
          <c:idx val="1"/>
          <c:order val="1"/>
          <c:tx>
            <c:strRef>
              <c:f>'P50P25 Drill Times'!$B$136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Times'!$J$132:$J$135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Times'!$G$139:$G$142</c:f>
              <c:numCache>
                <c:formatCode>General</c:formatCode>
                <c:ptCount val="4"/>
                <c:pt idx="0">
                  <c:v>98</c:v>
                </c:pt>
                <c:pt idx="1">
                  <c:v>56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65472"/>
        <c:axId val="45416586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Times'!$H$132:$H$135</c:f>
              <c:numCache>
                <c:formatCode>General</c:formatCode>
                <c:ptCount val="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66648"/>
        <c:axId val="454166256"/>
      </c:lineChart>
      <c:catAx>
        <c:axId val="4541654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165864"/>
        <c:crosses val="autoZero"/>
        <c:auto val="1"/>
        <c:lblAlgn val="ctr"/>
        <c:lblOffset val="100"/>
        <c:noMultiLvlLbl val="0"/>
      </c:catAx>
      <c:valAx>
        <c:axId val="4541658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165472"/>
        <c:crosses val="autoZero"/>
        <c:crossBetween val="between"/>
      </c:valAx>
      <c:valAx>
        <c:axId val="4541662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166648"/>
        <c:crosses val="max"/>
        <c:crossBetween val="between"/>
        <c:majorUnit val="1"/>
      </c:valAx>
      <c:catAx>
        <c:axId val="454166648"/>
        <c:scaling>
          <c:orientation val="minMax"/>
        </c:scaling>
        <c:delete val="1"/>
        <c:axPos val="b"/>
        <c:majorTickMark val="out"/>
        <c:minorTickMark val="none"/>
        <c:tickLblPos val="nextTo"/>
        <c:crossAx val="45416625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LB  P25</a:t>
            </a:r>
            <a:r>
              <a:rPr lang="en-US" baseline="0"/>
              <a:t> </a:t>
            </a:r>
            <a:r>
              <a:rPr lang="en-US"/>
              <a:t>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Times'!$B$18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Times'!$J$20:$J$23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Times'!$G$20:$G$23</c:f>
              <c:numCache>
                <c:formatCode>General</c:formatCode>
                <c:ptCount val="4"/>
                <c:pt idx="0">
                  <c:v>42.666444444445254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'P50P25 Drill Times'!$B$95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Times'!$J$20:$J$23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Times'!$G$97:$G$100</c:f>
              <c:numCache>
                <c:formatCode>General</c:formatCode>
                <c:ptCount val="4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67432"/>
        <c:axId val="45416782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Times'!$H$20:$H$23</c:f>
              <c:numCache>
                <c:formatCode>General</c:formatCode>
                <c:ptCount val="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81248"/>
        <c:axId val="454180856"/>
      </c:lineChart>
      <c:catAx>
        <c:axId val="454167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167824"/>
        <c:crosses val="autoZero"/>
        <c:auto val="1"/>
        <c:lblAlgn val="ctr"/>
        <c:lblOffset val="100"/>
        <c:noMultiLvlLbl val="0"/>
      </c:catAx>
      <c:valAx>
        <c:axId val="4541678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167432"/>
        <c:crosses val="autoZero"/>
        <c:crossBetween val="between"/>
      </c:valAx>
      <c:valAx>
        <c:axId val="454180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181248"/>
        <c:crosses val="max"/>
        <c:crossBetween val="between"/>
        <c:majorUnit val="1"/>
      </c:valAx>
      <c:catAx>
        <c:axId val="454181248"/>
        <c:scaling>
          <c:orientation val="minMax"/>
        </c:scaling>
        <c:delete val="1"/>
        <c:axPos val="b"/>
        <c:majorTickMark val="out"/>
        <c:minorTickMark val="none"/>
        <c:tickLblPos val="nextTo"/>
        <c:crossAx val="45418085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ZU/RT  P25</a:t>
            </a:r>
            <a:r>
              <a:rPr lang="en-US" baseline="0"/>
              <a:t> </a:t>
            </a:r>
            <a:r>
              <a:rPr lang="en-US"/>
              <a:t>Average</a:t>
            </a:r>
            <a:r>
              <a:rPr lang="en-US" baseline="0"/>
              <a:t> Days (Spud to RR)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'P50P25 Drill Times'!$B$60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cat>
            <c:strRef>
              <c:f>'P50P25 Drill Times'!$J$62:$J$65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Times'!$G$62:$G$65</c:f>
              <c:numCache>
                <c:formatCode>General</c:formatCode>
                <c:ptCount val="4"/>
                <c:pt idx="0">
                  <c:v>66.40625</c:v>
                </c:pt>
                <c:pt idx="1">
                  <c:v>52</c:v>
                </c:pt>
                <c:pt idx="2">
                  <c:v>0</c:v>
                </c:pt>
                <c:pt idx="3">
                  <c:v>36</c:v>
                </c:pt>
              </c:numCache>
            </c:numRef>
          </c:val>
        </c:ser>
        <c:ser>
          <c:idx val="1"/>
          <c:order val="1"/>
          <c:tx>
            <c:strRef>
              <c:f>'P50P25 Drill Times'!$B$137</c:f>
              <c:strCache>
                <c:ptCount val="1"/>
                <c:pt idx="0">
                  <c:v>Plan</c:v>
                </c:pt>
              </c:strCache>
            </c:strRef>
          </c:tx>
          <c:invertIfNegative val="0"/>
          <c:cat>
            <c:strRef>
              <c:f>'P50P25 Drill Times'!$J$62:$J$65</c:f>
              <c:strCache>
                <c:ptCount val="4"/>
                <c:pt idx="0">
                  <c:v>NW Prod</c:v>
                </c:pt>
                <c:pt idx="1">
                  <c:v>ST Prod</c:v>
                </c:pt>
                <c:pt idx="2">
                  <c:v>NW Inj</c:v>
                </c:pt>
                <c:pt idx="3">
                  <c:v>ST Inj</c:v>
                </c:pt>
              </c:strCache>
            </c:strRef>
          </c:cat>
          <c:val>
            <c:numRef>
              <c:f>'P50P25 Drill Times'!$G$139:$G$142</c:f>
              <c:numCache>
                <c:formatCode>General</c:formatCode>
                <c:ptCount val="4"/>
                <c:pt idx="0">
                  <c:v>98</c:v>
                </c:pt>
                <c:pt idx="1">
                  <c:v>56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82032"/>
        <c:axId val="454182424"/>
      </c:barChart>
      <c:lineChart>
        <c:grouping val="standard"/>
        <c:varyColors val="0"/>
        <c:ser>
          <c:idx val="2"/>
          <c:order val="2"/>
          <c:tx>
            <c:strRef>
              <c:f>'P50P25 Drill Times'!$H$2</c:f>
              <c:strCache>
                <c:ptCount val="1"/>
                <c:pt idx="0">
                  <c:v>Count Actual</c:v>
                </c:pt>
              </c:strCache>
            </c:strRef>
          </c:tx>
          <c:marker>
            <c:symbol val="none"/>
          </c:marker>
          <c:val>
            <c:numRef>
              <c:f>'P50P25 Drill Times'!$H$62:$H$65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83208"/>
        <c:axId val="454182816"/>
      </c:lineChart>
      <c:catAx>
        <c:axId val="454182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454182424"/>
        <c:crosses val="autoZero"/>
        <c:auto val="1"/>
        <c:lblAlgn val="ctr"/>
        <c:lblOffset val="100"/>
        <c:noMultiLvlLbl val="0"/>
      </c:catAx>
      <c:valAx>
        <c:axId val="4541824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454182032"/>
        <c:crosses val="autoZero"/>
        <c:crossBetween val="between"/>
      </c:valAx>
      <c:valAx>
        <c:axId val="454182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54183208"/>
        <c:crosses val="max"/>
        <c:crossBetween val="between"/>
        <c:majorUnit val="1"/>
      </c:valAx>
      <c:catAx>
        <c:axId val="454183208"/>
        <c:scaling>
          <c:orientation val="minMax"/>
        </c:scaling>
        <c:delete val="1"/>
        <c:axPos val="b"/>
        <c:majorTickMark val="out"/>
        <c:minorTickMark val="none"/>
        <c:tickLblPos val="nextTo"/>
        <c:crossAx val="45418281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'15-16 DP PLANNED ONLY'!$AH$4</c:f>
              <c:strCache>
                <c:ptCount val="1"/>
                <c:pt idx="0">
                  <c:v>Current Rigs</c:v>
                </c:pt>
              </c:strCache>
            </c:strRef>
          </c:tx>
          <c:val>
            <c:numRef>
              <c:f>'15-16 DP PLANNED ONLY'!$AH$5:$AH$160</c:f>
              <c:numCache>
                <c:formatCode>0</c:formatCode>
                <c:ptCount val="156"/>
                <c:pt idx="0">
                  <c:v>1959.9114500000001</c:v>
                </c:pt>
                <c:pt idx="1">
                  <c:v>1899.0960785761897</c:v>
                </c:pt>
                <c:pt idx="2">
                  <c:v>1846.2145314333336</c:v>
                </c:pt>
                <c:pt idx="3">
                  <c:v>1793.3329842904775</c:v>
                </c:pt>
                <c:pt idx="4">
                  <c:v>1732.5176128666674</c:v>
                </c:pt>
                <c:pt idx="5">
                  <c:v>1679.6360657238113</c:v>
                </c:pt>
                <c:pt idx="6">
                  <c:v>1575.5475157238111</c:v>
                </c:pt>
                <c:pt idx="7">
                  <c:v>1522.665968580955</c:v>
                </c:pt>
                <c:pt idx="8">
                  <c:v>1464.0618035809553</c:v>
                </c:pt>
                <c:pt idx="9">
                  <c:v>1401.9784702476231</c:v>
                </c:pt>
                <c:pt idx="10">
                  <c:v>1297.889920247623</c:v>
                </c:pt>
                <c:pt idx="11">
                  <c:v>1237.0745488238126</c:v>
                </c:pt>
                <c:pt idx="12">
                  <c:v>1176.2591774000025</c:v>
                </c:pt>
                <c:pt idx="13">
                  <c:v>1135.713344300003</c:v>
                </c:pt>
                <c:pt idx="14">
                  <c:v>1095.1675112000032</c:v>
                </c:pt>
                <c:pt idx="15">
                  <c:v>1042.2859640571471</c:v>
                </c:pt>
                <c:pt idx="16">
                  <c:v>1001.7401309571476</c:v>
                </c:pt>
                <c:pt idx="17">
                  <c:v>939.65679762381546</c:v>
                </c:pt>
                <c:pt idx="18">
                  <c:v>899.11096452381594</c:v>
                </c:pt>
                <c:pt idx="19">
                  <c:v>858.56513142381641</c:v>
                </c:pt>
                <c:pt idx="20">
                  <c:v>805.6835842809603</c:v>
                </c:pt>
                <c:pt idx="21">
                  <c:v>747.07941928096034</c:v>
                </c:pt>
                <c:pt idx="22">
                  <c:v>694.19787213810423</c:v>
                </c:pt>
                <c:pt idx="23">
                  <c:v>641.31632499524812</c:v>
                </c:pt>
                <c:pt idx="24">
                  <c:v>579.232991661916</c:v>
                </c:pt>
                <c:pt idx="25">
                  <c:v>475.14444166191606</c:v>
                </c:pt>
                <c:pt idx="26">
                  <c:v>416.5402766619161</c:v>
                </c:pt>
                <c:pt idx="27">
                  <c:v>363.65872951905999</c:v>
                </c:pt>
                <c:pt idx="28">
                  <c:v>259.57017951906005</c:v>
                </c:pt>
                <c:pt idx="29">
                  <c:v>197.48684618572793</c:v>
                </c:pt>
                <c:pt idx="30">
                  <c:v>156.9410130857284</c:v>
                </c:pt>
                <c:pt idx="31">
                  <c:v>104.05946594287229</c:v>
                </c:pt>
                <c:pt idx="32">
                  <c:v>63.513632842872767</c:v>
                </c:pt>
                <c:pt idx="33">
                  <c:v>1.4302995095404185</c:v>
                </c:pt>
                <c:pt idx="34">
                  <c:v>-102.65825049045952</c:v>
                </c:pt>
                <c:pt idx="35">
                  <c:v>-107.65825049045952</c:v>
                </c:pt>
                <c:pt idx="36">
                  <c:v>-160.53979763331563</c:v>
                </c:pt>
                <c:pt idx="37">
                  <c:v>-165.53979763331563</c:v>
                </c:pt>
                <c:pt idx="38">
                  <c:v>-224.14396263331582</c:v>
                </c:pt>
                <c:pt idx="39">
                  <c:v>-286.22729596664794</c:v>
                </c:pt>
                <c:pt idx="40">
                  <c:v>-291.22729596664794</c:v>
                </c:pt>
                <c:pt idx="41">
                  <c:v>-331.77312906664747</c:v>
                </c:pt>
                <c:pt idx="42">
                  <c:v>-390.37729406664766</c:v>
                </c:pt>
                <c:pt idx="43">
                  <c:v>-494.46584406664761</c:v>
                </c:pt>
                <c:pt idx="44">
                  <c:v>-553.0700090666478</c:v>
                </c:pt>
                <c:pt idx="45">
                  <c:v>-613.88538049045792</c:v>
                </c:pt>
                <c:pt idx="46">
                  <c:v>-674.70075191426804</c:v>
                </c:pt>
                <c:pt idx="47">
                  <c:v>-736.78408524760016</c:v>
                </c:pt>
                <c:pt idx="48">
                  <c:v>-798.86741858093228</c:v>
                </c:pt>
                <c:pt idx="49">
                  <c:v>-857.47158358093247</c:v>
                </c:pt>
                <c:pt idx="50">
                  <c:v>-919.5549169142646</c:v>
                </c:pt>
                <c:pt idx="51">
                  <c:v>-981.63825024759672</c:v>
                </c:pt>
                <c:pt idx="52">
                  <c:v>-1043.7215835809288</c:v>
                </c:pt>
                <c:pt idx="53">
                  <c:v>-1096.6031307237849</c:v>
                </c:pt>
                <c:pt idx="54">
                  <c:v>-1155.2072957237851</c:v>
                </c:pt>
                <c:pt idx="55">
                  <c:v>-1217.2906290571173</c:v>
                </c:pt>
                <c:pt idx="56">
                  <c:v>-1222.2906290571173</c:v>
                </c:pt>
                <c:pt idx="57">
                  <c:v>-1284.3739623904494</c:v>
                </c:pt>
                <c:pt idx="58">
                  <c:v>-1346.4572957237815</c:v>
                </c:pt>
                <c:pt idx="59">
                  <c:v>-1399.3388428666376</c:v>
                </c:pt>
                <c:pt idx="60">
                  <c:v>-1460.1542142904477</c:v>
                </c:pt>
                <c:pt idx="61">
                  <c:v>-1520.9695857142578</c:v>
                </c:pt>
                <c:pt idx="62">
                  <c:v>-1581.784957138068</c:v>
                </c:pt>
                <c:pt idx="63">
                  <c:v>-1642.6003285618781</c:v>
                </c:pt>
                <c:pt idx="64">
                  <c:v>-1703.4156999856882</c:v>
                </c:pt>
                <c:pt idx="65">
                  <c:v>-1765.4990333190203</c:v>
                </c:pt>
                <c:pt idx="66">
                  <c:v>-1827.5823666523524</c:v>
                </c:pt>
                <c:pt idx="67">
                  <c:v>-1889.6656999856846</c:v>
                </c:pt>
                <c:pt idx="68">
                  <c:v>-1951.7490333190167</c:v>
                </c:pt>
                <c:pt idx="69">
                  <c:v>-2013.8323666523488</c:v>
                </c:pt>
                <c:pt idx="70">
                  <c:v>-2075.9156999856805</c:v>
                </c:pt>
                <c:pt idx="71">
                  <c:v>-2128.7972471285366</c:v>
                </c:pt>
                <c:pt idx="72">
                  <c:v>-2189.6126185523472</c:v>
                </c:pt>
                <c:pt idx="73">
                  <c:v>-2250.4279899761577</c:v>
                </c:pt>
                <c:pt idx="74">
                  <c:v>-2312.5113233094899</c:v>
                </c:pt>
                <c:pt idx="75">
                  <c:v>-2374.594656642822</c:v>
                </c:pt>
                <c:pt idx="76">
                  <c:v>-2435.4100280666325</c:v>
                </c:pt>
                <c:pt idx="77">
                  <c:v>-2497.4933613999647</c:v>
                </c:pt>
                <c:pt idx="78">
                  <c:v>-2558.3087328237752</c:v>
                </c:pt>
                <c:pt idx="79">
                  <c:v>-2619.1241042475858</c:v>
                </c:pt>
                <c:pt idx="80">
                  <c:v>-2624.1241042475858</c:v>
                </c:pt>
                <c:pt idx="81">
                  <c:v>-2684.9394756713964</c:v>
                </c:pt>
                <c:pt idx="82">
                  <c:v>-2747.0228090047285</c:v>
                </c:pt>
                <c:pt idx="83">
                  <c:v>-2809.1061423380606</c:v>
                </c:pt>
                <c:pt idx="84">
                  <c:v>-2869.9215137618712</c:v>
                </c:pt>
                <c:pt idx="85">
                  <c:v>-2932.0048470952033</c:v>
                </c:pt>
                <c:pt idx="86">
                  <c:v>-2992.8202185190139</c:v>
                </c:pt>
                <c:pt idx="87">
                  <c:v>-3053.6355899428245</c:v>
                </c:pt>
                <c:pt idx="88">
                  <c:v>-3157.7241399428249</c:v>
                </c:pt>
                <c:pt idx="89">
                  <c:v>-3219.807473276157</c:v>
                </c:pt>
                <c:pt idx="90">
                  <c:v>-3281.8908066094891</c:v>
                </c:pt>
                <c:pt idx="91">
                  <c:v>-3340.4949716094889</c:v>
                </c:pt>
                <c:pt idx="92">
                  <c:v>-3345.4949716094889</c:v>
                </c:pt>
                <c:pt idx="93">
                  <c:v>-3407.578304942821</c:v>
                </c:pt>
                <c:pt idx="94">
                  <c:v>-3448.124138042821</c:v>
                </c:pt>
                <c:pt idx="95">
                  <c:v>-3508.9395094666315</c:v>
                </c:pt>
                <c:pt idx="96">
                  <c:v>-3571.0228427999637</c:v>
                </c:pt>
                <c:pt idx="97">
                  <c:v>-3629.6270077999634</c:v>
                </c:pt>
                <c:pt idx="98">
                  <c:v>-3691.7103411332955</c:v>
                </c:pt>
                <c:pt idx="99">
                  <c:v>-3750.3145061332953</c:v>
                </c:pt>
                <c:pt idx="100">
                  <c:v>-3812.3978394666274</c:v>
                </c:pt>
                <c:pt idx="101">
                  <c:v>-3874.4811727999595</c:v>
                </c:pt>
                <c:pt idx="102">
                  <c:v>-3879.4811727999595</c:v>
                </c:pt>
                <c:pt idx="103">
                  <c:v>-3884.4811727999595</c:v>
                </c:pt>
                <c:pt idx="104">
                  <c:v>-3988.5697227999599</c:v>
                </c:pt>
                <c:pt idx="105">
                  <c:v>-4050.653056133292</c:v>
                </c:pt>
                <c:pt idx="106">
                  <c:v>-4112.7363894666241</c:v>
                </c:pt>
                <c:pt idx="107">
                  <c:v>-4216.8249394666245</c:v>
                </c:pt>
                <c:pt idx="108">
                  <c:v>-4221.8249394666245</c:v>
                </c:pt>
                <c:pt idx="109">
                  <c:v>-4226.8249394666245</c:v>
                </c:pt>
                <c:pt idx="110">
                  <c:v>-4288.9082727999566</c:v>
                </c:pt>
                <c:pt idx="111">
                  <c:v>-4350.9916061332888</c:v>
                </c:pt>
                <c:pt idx="112">
                  <c:v>-4413.0749394666209</c:v>
                </c:pt>
                <c:pt idx="113">
                  <c:v>-4475.158272799953</c:v>
                </c:pt>
                <c:pt idx="114">
                  <c:v>-4535.9736442237636</c:v>
                </c:pt>
                <c:pt idx="115">
                  <c:v>-4576.5194773237636</c:v>
                </c:pt>
                <c:pt idx="116">
                  <c:v>-4617.0653104237635</c:v>
                </c:pt>
                <c:pt idx="117">
                  <c:v>-4679.1486437570957</c:v>
                </c:pt>
                <c:pt idx="118">
                  <c:v>-4684.1486437570957</c:v>
                </c:pt>
                <c:pt idx="119">
                  <c:v>-4689.1486437570957</c:v>
                </c:pt>
                <c:pt idx="120">
                  <c:v>-4749.9640151809062</c:v>
                </c:pt>
                <c:pt idx="121">
                  <c:v>-4854.0525651809066</c:v>
                </c:pt>
                <c:pt idx="122">
                  <c:v>-4912.6567301809064</c:v>
                </c:pt>
                <c:pt idx="123">
                  <c:v>-4974.7400635142385</c:v>
                </c:pt>
                <c:pt idx="124">
                  <c:v>-5033.3442285142382</c:v>
                </c:pt>
                <c:pt idx="125">
                  <c:v>-5095.4275618475704</c:v>
                </c:pt>
                <c:pt idx="126">
                  <c:v>-5157.5108951809025</c:v>
                </c:pt>
                <c:pt idx="127">
                  <c:v>-5162.5108951809025</c:v>
                </c:pt>
                <c:pt idx="128">
                  <c:v>-5223.3262666047131</c:v>
                </c:pt>
                <c:pt idx="129">
                  <c:v>-5285.4095999380452</c:v>
                </c:pt>
                <c:pt idx="130">
                  <c:v>-5347.4929332713773</c:v>
                </c:pt>
                <c:pt idx="131">
                  <c:v>-5352.4929332713773</c:v>
                </c:pt>
                <c:pt idx="132">
                  <c:v>-5357.4929332713773</c:v>
                </c:pt>
                <c:pt idx="133">
                  <c:v>-5398.0387663713773</c:v>
                </c:pt>
                <c:pt idx="134">
                  <c:v>-5460.1220997047094</c:v>
                </c:pt>
                <c:pt idx="135">
                  <c:v>-5522.2054330380415</c:v>
                </c:pt>
                <c:pt idx="136">
                  <c:v>-5580.8095980380413</c:v>
                </c:pt>
                <c:pt idx="137">
                  <c:v>-5642.8929313713734</c:v>
                </c:pt>
                <c:pt idx="138">
                  <c:v>-5703.708302795184</c:v>
                </c:pt>
                <c:pt idx="139">
                  <c:v>-5807.7968527951843</c:v>
                </c:pt>
                <c:pt idx="140">
                  <c:v>-5869.8801861285165</c:v>
                </c:pt>
                <c:pt idx="141">
                  <c:v>-5928.4843511285162</c:v>
                </c:pt>
                <c:pt idx="142">
                  <c:v>-5989.2997225523268</c:v>
                </c:pt>
                <c:pt idx="143">
                  <c:v>-6051.3830558856589</c:v>
                </c:pt>
                <c:pt idx="144">
                  <c:v>-6056.3830558856589</c:v>
                </c:pt>
                <c:pt idx="145">
                  <c:v>-6118.466389218991</c:v>
                </c:pt>
                <c:pt idx="146">
                  <c:v>-6179.2817606428016</c:v>
                </c:pt>
                <c:pt idx="147">
                  <c:v>-6237.8859256428022</c:v>
                </c:pt>
                <c:pt idx="148">
                  <c:v>-6242.8859256428022</c:v>
                </c:pt>
                <c:pt idx="149">
                  <c:v>-6304.9692589761344</c:v>
                </c:pt>
                <c:pt idx="150">
                  <c:v>-6309.9692589761344</c:v>
                </c:pt>
                <c:pt idx="151">
                  <c:v>-6314.9692589761344</c:v>
                </c:pt>
                <c:pt idx="152">
                  <c:v>-6319.9692589761344</c:v>
                </c:pt>
                <c:pt idx="153">
                  <c:v>-6324.9692589761344</c:v>
                </c:pt>
                <c:pt idx="154">
                  <c:v>-6329.9692589761344</c:v>
                </c:pt>
                <c:pt idx="155">
                  <c:v>-6434.0578089761348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83992"/>
        <c:axId val="454184384"/>
      </c:lineChart>
      <c:catAx>
        <c:axId val="454183992"/>
        <c:scaling>
          <c:orientation val="minMax"/>
        </c:scaling>
        <c:delete val="0"/>
        <c:axPos val="b"/>
        <c:majorTickMark val="out"/>
        <c:minorTickMark val="none"/>
        <c:tickLblPos val="nextTo"/>
        <c:crossAx val="454184384"/>
        <c:crosses val="autoZero"/>
        <c:auto val="1"/>
        <c:lblAlgn val="ctr"/>
        <c:lblOffset val="100"/>
        <c:noMultiLvlLbl val="0"/>
      </c:catAx>
      <c:valAx>
        <c:axId val="4541843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54183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2014 AAP vs 15-16</a:t>
            </a:r>
            <a:r>
              <a:rPr lang="en-US" baseline="0"/>
              <a:t> Plan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'15-16_DP_Tables'!$G$1</c:f>
              <c:strCache>
                <c:ptCount val="1"/>
                <c:pt idx="0">
                  <c:v>Percent of total 2014 AAP</c:v>
                </c:pt>
              </c:strCache>
            </c:strRef>
          </c:tx>
          <c:invertIfNegative val="0"/>
          <c:cat>
            <c:strRef>
              <c:f>'15-16_DP_Tables'!$A$7:$A$11</c:f>
              <c:strCache>
                <c:ptCount val="5"/>
                <c:pt idx="0">
                  <c:v>MA</c:v>
                </c:pt>
                <c:pt idx="1">
                  <c:v>UB</c:v>
                </c:pt>
                <c:pt idx="2">
                  <c:v>LB</c:v>
                </c:pt>
                <c:pt idx="3">
                  <c:v>TU</c:v>
                </c:pt>
                <c:pt idx="4">
                  <c:v>ZU/RT</c:v>
                </c:pt>
              </c:strCache>
            </c:strRef>
          </c:cat>
          <c:val>
            <c:numRef>
              <c:f>'15-16_DP_Tables'!$G$7:$G$11</c:f>
              <c:numCache>
                <c:formatCode>0.00</c:formatCode>
                <c:ptCount val="5"/>
                <c:pt idx="0">
                  <c:v>0.63043478260869568</c:v>
                </c:pt>
                <c:pt idx="1">
                  <c:v>8.6956521739130432E-2</c:v>
                </c:pt>
                <c:pt idx="2">
                  <c:v>0.15217391304347827</c:v>
                </c:pt>
                <c:pt idx="3">
                  <c:v>0</c:v>
                </c:pt>
                <c:pt idx="4">
                  <c:v>0.13043478260869565</c:v>
                </c:pt>
              </c:numCache>
            </c:numRef>
          </c:val>
        </c:ser>
        <c:ser>
          <c:idx val="1"/>
          <c:order val="1"/>
          <c:tx>
            <c:strRef>
              <c:f>'15-16_DP_Tables'!$E$1</c:f>
              <c:strCache>
                <c:ptCount val="1"/>
                <c:pt idx="0">
                  <c:v>Percent of total 15-16 Plan</c:v>
                </c:pt>
              </c:strCache>
            </c:strRef>
          </c:tx>
          <c:invertIfNegative val="0"/>
          <c:val>
            <c:numRef>
              <c:f>'15-16_DP_Tables'!$E$7:$E$11</c:f>
              <c:numCache>
                <c:formatCode>0.00</c:formatCode>
                <c:ptCount val="5"/>
                <c:pt idx="0">
                  <c:v>0.61111111111111116</c:v>
                </c:pt>
                <c:pt idx="1">
                  <c:v>0.12222222222222222</c:v>
                </c:pt>
                <c:pt idx="2">
                  <c:v>0.17222222222222222</c:v>
                </c:pt>
                <c:pt idx="3">
                  <c:v>5.5555555555555558E-3</c:v>
                </c:pt>
                <c:pt idx="4">
                  <c:v>8.8888888888888892E-2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85168"/>
        <c:axId val="454185560"/>
      </c:barChart>
      <c:lineChart>
        <c:grouping val="standard"/>
        <c:varyColors val="0"/>
        <c:ser>
          <c:idx val="2"/>
          <c:order val="2"/>
          <c:tx>
            <c:strRef>
              <c:f>'15-16_DP_Tables'!$H$1</c:f>
              <c:strCache>
                <c:ptCount val="1"/>
                <c:pt idx="0">
                  <c:v>P50 QRI Days</c:v>
                </c:pt>
              </c:strCache>
            </c:strRef>
          </c:tx>
          <c:marker>
            <c:symbol val="none"/>
          </c:marker>
          <c:val>
            <c:numRef>
              <c:f>'15-16_DP_Tables'!$H$7:$H$11</c:f>
              <c:numCache>
                <c:formatCode>0.00</c:formatCode>
                <c:ptCount val="5"/>
                <c:pt idx="0">
                  <c:v>40.008764091953431</c:v>
                </c:pt>
                <c:pt idx="1">
                  <c:v>53.119789999999995</c:v>
                </c:pt>
                <c:pt idx="2">
                  <c:v>55.81537142381022</c:v>
                </c:pt>
                <c:pt idx="3">
                  <c:v>0</c:v>
                </c:pt>
                <c:pt idx="4">
                  <c:v>48.865111274637414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'15-16_DP_Tables'!$I$1</c:f>
              <c:strCache>
                <c:ptCount val="1"/>
                <c:pt idx="0">
                  <c:v>P50 15-16 Plan Days</c:v>
                </c:pt>
              </c:strCache>
            </c:strRef>
          </c:tx>
          <c:marker>
            <c:symbol val="none"/>
          </c:marker>
          <c:val>
            <c:numRef>
              <c:f>'15-16_DP_Tables'!$I$7:$I$11</c:f>
              <c:numCache>
                <c:formatCode>General</c:formatCode>
                <c:ptCount val="5"/>
                <c:pt idx="0">
                  <c:v>55.68181818181818</c:v>
                </c:pt>
                <c:pt idx="1">
                  <c:v>62.68181818181818</c:v>
                </c:pt>
                <c:pt idx="2">
                  <c:v>67.41935483870968</c:v>
                </c:pt>
                <c:pt idx="3">
                  <c:v>0</c:v>
                </c:pt>
                <c:pt idx="4">
                  <c:v>98.3125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86344"/>
        <c:axId val="454185952"/>
      </c:lineChart>
      <c:catAx>
        <c:axId val="454185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Reservoir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54185560"/>
        <c:crosses val="autoZero"/>
        <c:auto val="1"/>
        <c:lblAlgn val="ctr"/>
        <c:lblOffset val="100"/>
        <c:noMultiLvlLbl val="0"/>
      </c:catAx>
      <c:valAx>
        <c:axId val="454185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of Total Wells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54185168"/>
        <c:crosses val="autoZero"/>
        <c:crossBetween val="between"/>
      </c:valAx>
      <c:valAx>
        <c:axId val="45418595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54186344"/>
        <c:crosses val="max"/>
        <c:crossBetween val="between"/>
      </c:valAx>
      <c:catAx>
        <c:axId val="454186344"/>
        <c:scaling>
          <c:orientation val="minMax"/>
        </c:scaling>
        <c:delete val="1"/>
        <c:axPos val="b"/>
        <c:majorTickMark val="out"/>
        <c:minorTickMark val="none"/>
        <c:tickLblPos val="nextTo"/>
        <c:crossAx val="45418595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Calendar</a:t>
            </a:r>
            <a:r>
              <a:rPr lang="en-US" baseline="0"/>
              <a:t> Year 2015-2016 DP wells Possible vs Rig Number</a:t>
            </a:r>
          </a:p>
          <a:p>
            <a:pPr>
              <a:defRPr/>
            </a:pPr>
            <a:r>
              <a:rPr lang="en-US" sz="1400" baseline="0"/>
              <a:t>(QRI P50/P25)</a:t>
            </a:r>
            <a:endParaRPr lang="en-US" sz="140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'15-16_DP_Tables'!$A$69</c:f>
              <c:strCache>
                <c:ptCount val="1"/>
                <c:pt idx="0">
                  <c:v>P50</c:v>
                </c:pt>
              </c:strCache>
            </c:strRef>
          </c:tx>
          <c:invertIfNegative val="0"/>
          <c:cat>
            <c:strRef>
              <c:f>'15-16_DP_Tables'!$B$68:$C$68</c:f>
              <c:strCache>
                <c:ptCount val="2"/>
                <c:pt idx="0">
                  <c:v>16 Rigs</c:v>
                </c:pt>
                <c:pt idx="1">
                  <c:v>30 Rigs</c:v>
                </c:pt>
              </c:strCache>
            </c:strRef>
          </c:cat>
          <c:val>
            <c:numRef>
              <c:f>'15-16_DP_Tables'!$B$69:$C$69</c:f>
              <c:numCache>
                <c:formatCode>General</c:formatCode>
                <c:ptCount val="2"/>
                <c:pt idx="0">
                  <c:v>34</c:v>
                </c:pt>
                <c:pt idx="1">
                  <c:v>66</c:v>
                </c:pt>
              </c:numCache>
            </c:numRef>
          </c:val>
        </c:ser>
        <c:ser>
          <c:idx val="1"/>
          <c:order val="1"/>
          <c:tx>
            <c:strRef>
              <c:f>'15-16_DP_Tables'!$A$70</c:f>
              <c:strCache>
                <c:ptCount val="1"/>
                <c:pt idx="0">
                  <c:v>P25</c:v>
                </c:pt>
              </c:strCache>
            </c:strRef>
          </c:tx>
          <c:invertIfNegative val="0"/>
          <c:cat>
            <c:strRef>
              <c:f>'15-16_DP_Tables'!$B$68:$C$68</c:f>
              <c:strCache>
                <c:ptCount val="2"/>
                <c:pt idx="0">
                  <c:v>16 Rigs</c:v>
                </c:pt>
                <c:pt idx="1">
                  <c:v>30 Rigs</c:v>
                </c:pt>
              </c:strCache>
            </c:strRef>
          </c:cat>
          <c:val>
            <c:numRef>
              <c:f>'15-16_DP_Tables'!$B$70:$C$70</c:f>
              <c:numCache>
                <c:formatCode>General</c:formatCode>
                <c:ptCount val="2"/>
                <c:pt idx="0">
                  <c:v>45</c:v>
                </c:pt>
                <c:pt idx="1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87128"/>
        <c:axId val="454187520"/>
      </c:barChart>
      <c:catAx>
        <c:axId val="454187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Rigs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54187520"/>
        <c:crosses val="autoZero"/>
        <c:auto val="1"/>
        <c:lblAlgn val="ctr"/>
        <c:lblOffset val="100"/>
        <c:noMultiLvlLbl val="0"/>
      </c:catAx>
      <c:valAx>
        <c:axId val="454187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Wells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187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Avg Well Days (Spud to RR)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'15-16_DP_Tables'!$A$92</c:f>
              <c:strCache>
                <c:ptCount val="1"/>
                <c:pt idx="0">
                  <c:v>P50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'15-16_DP_Tables'!$B$91:$C$91</c:f>
              <c:strCache>
                <c:ptCount val="2"/>
                <c:pt idx="0">
                  <c:v>2014 / 15 AAP </c:v>
                </c:pt>
                <c:pt idx="1">
                  <c:v>2015 / 16  Drilling Plan</c:v>
                </c:pt>
              </c:strCache>
            </c:strRef>
          </c:cat>
          <c:val>
            <c:numRef>
              <c:f>'15-16_DP_Tables'!$B$92:$C$92</c:f>
              <c:numCache>
                <c:formatCode>0</c:formatCode>
                <c:ptCount val="2"/>
                <c:pt idx="0">
                  <c:v>48.865111274637414</c:v>
                </c:pt>
                <c:pt idx="1">
                  <c:v>56.156309978986201</c:v>
                </c:pt>
              </c:numCache>
            </c:numRef>
          </c:val>
        </c:ser>
        <c:ser>
          <c:idx val="1"/>
          <c:order val="1"/>
          <c:tx>
            <c:strRef>
              <c:f>'15-16_DP_Tables'!$A$93</c:f>
              <c:strCache>
                <c:ptCount val="1"/>
                <c:pt idx="0">
                  <c:v>P25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'15-16_DP_Tables'!$B$91:$C$91</c:f>
              <c:strCache>
                <c:ptCount val="2"/>
                <c:pt idx="0">
                  <c:v>2014 / 15 AAP </c:v>
                </c:pt>
                <c:pt idx="1">
                  <c:v>2015 / 16  Drilling Plan</c:v>
                </c:pt>
              </c:strCache>
            </c:strRef>
          </c:cat>
          <c:val>
            <c:numRef>
              <c:f>'15-16_DP_Tables'!$B$93:$C$93</c:f>
              <c:numCache>
                <c:formatCode>0</c:formatCode>
                <c:ptCount val="2"/>
                <c:pt idx="0">
                  <c:v>36.707829507245876</c:v>
                </c:pt>
                <c:pt idx="1">
                  <c:v>44.385431146510513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188304"/>
        <c:axId val="571493744"/>
      </c:barChart>
      <c:catAx>
        <c:axId val="454188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71493744"/>
        <c:crosses val="autoZero"/>
        <c:auto val="1"/>
        <c:lblAlgn val="ctr"/>
        <c:lblOffset val="100"/>
        <c:noMultiLvlLbl val="0"/>
      </c:catAx>
      <c:valAx>
        <c:axId val="571493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 Days (Spud to RR)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54188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  <a:r>
              <a:rPr lang="en-US" baseline="0"/>
              <a:t> Drilling Time Based on Well Type Composition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'15-16_DP_Tables'!$A$92</c:f>
              <c:strCache>
                <c:ptCount val="1"/>
                <c:pt idx="0">
                  <c:v>P50</c:v>
                </c:pt>
              </c:strCache>
            </c:strRef>
          </c:tx>
          <c:invertIfNegative val="0"/>
          <c:cat>
            <c:strRef>
              <c:f>'15-16_DP_Tables'!$B$91:$C$91</c:f>
              <c:strCache>
                <c:ptCount val="2"/>
                <c:pt idx="0">
                  <c:v>2014 / 15 AAP </c:v>
                </c:pt>
                <c:pt idx="1">
                  <c:v>2015 / 16  Drilling Plan</c:v>
                </c:pt>
              </c:strCache>
            </c:strRef>
          </c:cat>
          <c:val>
            <c:numRef>
              <c:f>'15-16_DP_Tables'!$B$92:$C$92</c:f>
              <c:numCache>
                <c:formatCode>0</c:formatCode>
                <c:ptCount val="2"/>
                <c:pt idx="0">
                  <c:v>48.865111274637414</c:v>
                </c:pt>
                <c:pt idx="1">
                  <c:v>56.156309978986201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494528"/>
        <c:axId val="571494920"/>
      </c:barChart>
      <c:catAx>
        <c:axId val="571494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1494920"/>
        <c:crosses val="autoZero"/>
        <c:auto val="1"/>
        <c:lblAlgn val="ctr"/>
        <c:lblOffset val="100"/>
        <c:noMultiLvlLbl val="0"/>
      </c:catAx>
      <c:valAx>
        <c:axId val="5714949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71494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2015/16 Well Count</a:t>
            </a:r>
            <a:r>
              <a:rPr lang="en-US" baseline="0"/>
              <a:t> with 21 Rigs Based on Drilling Performance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'15-16_DP_Tables'!$A$116:$A$117</c:f>
              <c:strCache>
                <c:ptCount val="2"/>
                <c:pt idx="0">
                  <c:v>Average</c:v>
                </c:pt>
                <c:pt idx="1">
                  <c:v>Top Quartile</c:v>
                </c:pt>
              </c:strCache>
            </c:strRef>
          </c:cat>
          <c:val>
            <c:numRef>
              <c:f>'15-16_DP_Tables'!$C$116:$C$117</c:f>
              <c:numCache>
                <c:formatCode>General</c:formatCode>
                <c:ptCount val="2"/>
                <c:pt idx="0">
                  <c:v>125.33457304133874</c:v>
                </c:pt>
                <c:pt idx="1">
                  <c:v>155.2077165684843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1495704"/>
        <c:axId val="571496096"/>
      </c:barChart>
      <c:catAx>
        <c:axId val="571495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71496096"/>
        <c:crosses val="autoZero"/>
        <c:auto val="1"/>
        <c:lblAlgn val="ctr"/>
        <c:lblOffset val="100"/>
        <c:noMultiLvlLbl val="0"/>
      </c:catAx>
      <c:valAx>
        <c:axId val="5714960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71495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50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6" Type="http://schemas.openxmlformats.org/officeDocument/2006/relationships/chart" Target="../charts/chart53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5" Type="http://schemas.openxmlformats.org/officeDocument/2006/relationships/chart" Target="../charts/chart5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Relationship Id="rId14" Type="http://schemas.openxmlformats.org/officeDocument/2006/relationships/chart" Target="../charts/chart5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843643</xdr:colOff>
      <xdr:row>209</xdr:row>
      <xdr:rowOff>81642</xdr:rowOff>
    </xdr:from>
    <xdr:to>
      <xdr:col>69</xdr:col>
      <xdr:colOff>2027465</xdr:colOff>
      <xdr:row>213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54429</xdr:colOff>
      <xdr:row>31</xdr:row>
      <xdr:rowOff>149677</xdr:rowOff>
    </xdr:from>
    <xdr:to>
      <xdr:col>18</xdr:col>
      <xdr:colOff>693965</xdr:colOff>
      <xdr:row>86</xdr:row>
      <xdr:rowOff>136070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530679</xdr:colOff>
      <xdr:row>87</xdr:row>
      <xdr:rowOff>163283</xdr:rowOff>
    </xdr:from>
    <xdr:to>
      <xdr:col>8</xdr:col>
      <xdr:colOff>1442357</xdr:colOff>
      <xdr:row>99</xdr:row>
      <xdr:rowOff>149677</xdr:rowOff>
    </xdr:to>
    <xdr:sp macro="" textlink="">
      <xdr:nvSpPr>
        <xdr:cNvPr id="3" name="TextBox 2"/>
        <xdr:cNvSpPr txBox="1"/>
      </xdr:nvSpPr>
      <xdr:spPr>
        <a:xfrm>
          <a:off x="13103679" y="16219712"/>
          <a:ext cx="7592785" cy="19458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issues:</a:t>
          </a:r>
        </a:p>
        <a:p>
          <a:r>
            <a:rPr lang="en-US" sz="1100"/>
            <a:t>Currently Rigs</a:t>
          </a:r>
          <a:r>
            <a:rPr lang="en-US" sz="1100" baseline="0"/>
            <a:t> that do not have a current well drilling show as having no future wells.</a:t>
          </a:r>
        </a:p>
        <a:p>
          <a:r>
            <a:rPr lang="en-US" sz="1100" baseline="0"/>
            <a:t>This is because you must have a expected spud date for the future well.</a:t>
          </a:r>
        </a:p>
        <a:p>
          <a:r>
            <a:rPr lang="en-US" sz="1100" baseline="0"/>
            <a:t>Options: put in a IF no current well drilling THEN estimate some amount of days ie:30</a:t>
          </a:r>
        </a:p>
        <a:p>
          <a:endParaRPr lang="en-US" sz="1100" baseline="0"/>
        </a:p>
        <a:p>
          <a:r>
            <a:rPr lang="en-US" sz="1100" baseline="0"/>
            <a:t>Wells need to be colored by well type</a:t>
          </a:r>
        </a:p>
        <a:p>
          <a:r>
            <a:rPr lang="en-US" sz="1100" baseline="0"/>
            <a:t>Wells need to be labeled by specific well name.</a:t>
          </a:r>
        </a:p>
        <a:p>
          <a:endParaRPr lang="en-US" sz="1100" baseline="0"/>
        </a:p>
        <a:p>
          <a:r>
            <a:rPr lang="en-US" sz="1100" baseline="0"/>
            <a:t>Add an argument, IF planning days = "" then "" if not then stay the same</a:t>
          </a:r>
        </a:p>
        <a:p>
          <a:endParaRPr lang="en-US" sz="1100" baseline="0"/>
        </a:p>
        <a:p>
          <a:r>
            <a:rPr lang="en-US" sz="1100" baseline="0"/>
            <a:t>Also, planned days on other worksheet are +5. need to know if i should get rid of plus 5, i think i should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24</xdr:row>
          <xdr:rowOff>0</xdr:rowOff>
        </xdr:from>
        <xdr:to>
          <xdr:col>4</xdr:col>
          <xdr:colOff>1238250</xdr:colOff>
          <xdr:row>30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Rig Schedule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0.92303</cdr:x>
      <cdr:y>0.00673</cdr:y>
    </cdr:from>
    <cdr:to>
      <cdr:x>1</cdr:x>
      <cdr:y>0.14416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9930005" y="60348"/>
          <a:ext cx="2495817" cy="123233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 b="1"/>
            <a:t>	MA </a:t>
          </a:r>
        </a:p>
        <a:p xmlns:a="http://schemas.openxmlformats.org/drawingml/2006/main">
          <a:r>
            <a:rPr lang="en-US" sz="1600" b="1"/>
            <a:t>	UB</a:t>
          </a:r>
        </a:p>
        <a:p xmlns:a="http://schemas.openxmlformats.org/drawingml/2006/main">
          <a:r>
            <a:rPr lang="en-US" sz="1600" b="1"/>
            <a:t>	LB</a:t>
          </a:r>
        </a:p>
        <a:p xmlns:a="http://schemas.openxmlformats.org/drawingml/2006/main">
          <a:r>
            <a:rPr lang="en-US" sz="1600" b="1"/>
            <a:t>	ZU/RT</a:t>
          </a:r>
        </a:p>
      </cdr:txBody>
    </cdr:sp>
  </cdr:relSizeAnchor>
  <cdr:relSizeAnchor xmlns:cdr="http://schemas.openxmlformats.org/drawingml/2006/chartDrawing">
    <cdr:from>
      <cdr:x>0.94125</cdr:x>
      <cdr:y>0.01935</cdr:y>
    </cdr:from>
    <cdr:to>
      <cdr:x>0.953</cdr:x>
      <cdr:y>0.03954</cdr:y>
    </cdr:to>
    <cdr:sp macro="" textlink="">
      <cdr:nvSpPr>
        <cdr:cNvPr id="3" name="Rectangle 2"/>
        <cdr:cNvSpPr/>
      </cdr:nvSpPr>
      <cdr:spPr>
        <a:xfrm xmlns:a="http://schemas.openxmlformats.org/drawingml/2006/main">
          <a:off x="30520726" y="173534"/>
          <a:ext cx="381004" cy="18104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7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0.94042</cdr:x>
      <cdr:y>0.04626</cdr:y>
    </cdr:from>
    <cdr:to>
      <cdr:x>0.95217</cdr:x>
      <cdr:y>0.06645</cdr:y>
    </cdr:to>
    <cdr:sp macro="" textlink="">
      <cdr:nvSpPr>
        <cdr:cNvPr id="4" name="Rectangle 3"/>
        <cdr:cNvSpPr/>
      </cdr:nvSpPr>
      <cdr:spPr>
        <a:xfrm xmlns:a="http://schemas.openxmlformats.org/drawingml/2006/main">
          <a:off x="30493848" y="414793"/>
          <a:ext cx="381003" cy="181046"/>
        </a:xfrm>
        <a:prstGeom xmlns:a="http://schemas.openxmlformats.org/drawingml/2006/main" prst="rect">
          <a:avLst/>
        </a:prstGeom>
        <a:solidFill xmlns:a="http://schemas.openxmlformats.org/drawingml/2006/main">
          <a:srgbClr val="C0000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0.94042</cdr:x>
      <cdr:y>0.07183</cdr:y>
    </cdr:from>
    <cdr:to>
      <cdr:x>0.95217</cdr:x>
      <cdr:y>0.09202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30493849" y="644082"/>
          <a:ext cx="381003" cy="18104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0.93983</cdr:x>
      <cdr:y>0.09606</cdr:y>
    </cdr:from>
    <cdr:to>
      <cdr:x>0.95158</cdr:x>
      <cdr:y>0.11625</cdr:y>
    </cdr:to>
    <cdr:sp macro="" textlink="">
      <cdr:nvSpPr>
        <cdr:cNvPr id="6" name="Rectangle 5"/>
        <cdr:cNvSpPr/>
      </cdr:nvSpPr>
      <cdr:spPr>
        <a:xfrm xmlns:a="http://schemas.openxmlformats.org/drawingml/2006/main">
          <a:off x="30474717" y="861355"/>
          <a:ext cx="381004" cy="181046"/>
        </a:xfrm>
        <a:prstGeom xmlns:a="http://schemas.openxmlformats.org/drawingml/2006/main" prst="rect">
          <a:avLst/>
        </a:prstGeom>
        <a:solidFill xmlns:a="http://schemas.openxmlformats.org/drawingml/2006/main">
          <a:srgbClr val="7030A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361950</xdr:colOff>
      <xdr:row>21</xdr:row>
      <xdr:rowOff>57149</xdr:rowOff>
    </xdr:from>
    <xdr:ext cx="1847850" cy="609013"/>
    <xdr:sp macro="" textlink="">
      <xdr:nvSpPr>
        <xdr:cNvPr id="2" name="TextBox 1"/>
        <xdr:cNvSpPr txBox="1"/>
      </xdr:nvSpPr>
      <xdr:spPr>
        <a:xfrm>
          <a:off x="4000500" y="4057649"/>
          <a:ext cx="1847850" cy="60901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Well Count:</a:t>
          </a:r>
        </a:p>
        <a:p>
          <a:r>
            <a:rPr lang="en-US" sz="1100"/>
            <a:t>Rig Release by Reservoir by month.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114300</xdr:colOff>
      <xdr:row>15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400050</xdr:colOff>
      <xdr:row>0</xdr:row>
      <xdr:rowOff>9525</xdr:rowOff>
    </xdr:from>
    <xdr:to>
      <xdr:col>24</xdr:col>
      <xdr:colOff>142875</xdr:colOff>
      <xdr:row>16</xdr:row>
      <xdr:rowOff>85725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542924</xdr:colOff>
      <xdr:row>34</xdr:row>
      <xdr:rowOff>95250</xdr:rowOff>
    </xdr:from>
    <xdr:to>
      <xdr:col>25</xdr:col>
      <xdr:colOff>114299</xdr:colOff>
      <xdr:row>52</xdr:row>
      <xdr:rowOff>0</xdr:rowOff>
    </xdr:to>
    <xdr:graphicFrame macro="">
      <xdr:nvGraphicFramePr>
        <xdr:cNvPr id="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400048</xdr:colOff>
      <xdr:row>16</xdr:row>
      <xdr:rowOff>57150</xdr:rowOff>
    </xdr:from>
    <xdr:to>
      <xdr:col>28</xdr:col>
      <xdr:colOff>190499</xdr:colOff>
      <xdr:row>31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438151</xdr:colOff>
      <xdr:row>0</xdr:row>
      <xdr:rowOff>19050</xdr:rowOff>
    </xdr:from>
    <xdr:to>
      <xdr:col>28</xdr:col>
      <xdr:colOff>180974</xdr:colOff>
      <xdr:row>15</xdr:row>
      <xdr:rowOff>76198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34</xdr:row>
      <xdr:rowOff>123824</xdr:rowOff>
    </xdr:from>
    <xdr:to>
      <xdr:col>10</xdr:col>
      <xdr:colOff>314324</xdr:colOff>
      <xdr:row>54</xdr:row>
      <xdr:rowOff>57149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161925</xdr:colOff>
      <xdr:row>54</xdr:row>
      <xdr:rowOff>95250</xdr:rowOff>
    </xdr:from>
    <xdr:to>
      <xdr:col>8</xdr:col>
      <xdr:colOff>514350</xdr:colOff>
      <xdr:row>75</xdr:row>
      <xdr:rowOff>133350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</xdr:col>
      <xdr:colOff>266699</xdr:colOff>
      <xdr:row>112</xdr:row>
      <xdr:rowOff>180974</xdr:rowOff>
    </xdr:from>
    <xdr:ext cx="1181101" cy="264560"/>
    <xdr:sp macro="" textlink="">
      <xdr:nvSpPr>
        <xdr:cNvPr id="17" name="TextBox 16"/>
        <xdr:cNvSpPr txBox="1"/>
      </xdr:nvSpPr>
      <xdr:spPr>
        <a:xfrm>
          <a:off x="1447799" y="21516974"/>
          <a:ext cx="1181101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chemeClr val="bg1"/>
              </a:solidFill>
            </a:rPr>
            <a:t>New Charts:</a:t>
          </a:r>
        </a:p>
      </xdr:txBody>
    </xdr:sp>
    <xdr:clientData/>
  </xdr:oneCellAnchor>
  <xdr:oneCellAnchor>
    <xdr:from>
      <xdr:col>12</xdr:col>
      <xdr:colOff>152401</xdr:colOff>
      <xdr:row>114</xdr:row>
      <xdr:rowOff>190499</xdr:rowOff>
    </xdr:from>
    <xdr:ext cx="3390900" cy="264560"/>
    <xdr:sp macro="" textlink="">
      <xdr:nvSpPr>
        <xdr:cNvPr id="20" name="TextBox 19"/>
        <xdr:cNvSpPr txBox="1"/>
      </xdr:nvSpPr>
      <xdr:spPr>
        <a:xfrm>
          <a:off x="7239001" y="21907499"/>
          <a:ext cx="3390900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AAP 04/2014 to Current</a:t>
          </a:r>
        </a:p>
      </xdr:txBody>
    </xdr:sp>
    <xdr:clientData/>
  </xdr:oneCellAnchor>
  <xdr:oneCellAnchor>
    <xdr:from>
      <xdr:col>11</xdr:col>
      <xdr:colOff>209550</xdr:colOff>
      <xdr:row>140</xdr:row>
      <xdr:rowOff>57150</xdr:rowOff>
    </xdr:from>
    <xdr:ext cx="3390900" cy="264560"/>
    <xdr:sp macro="" textlink="">
      <xdr:nvSpPr>
        <xdr:cNvPr id="21" name="TextBox 20"/>
        <xdr:cNvSpPr txBox="1"/>
      </xdr:nvSpPr>
      <xdr:spPr>
        <a:xfrm>
          <a:off x="6705600" y="26727150"/>
          <a:ext cx="3390900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2014-2015</a:t>
          </a:r>
        </a:p>
      </xdr:txBody>
    </xdr:sp>
    <xdr:clientData/>
  </xdr:oneCellAnchor>
  <xdr:oneCellAnchor>
    <xdr:from>
      <xdr:col>12</xdr:col>
      <xdr:colOff>0</xdr:colOff>
      <xdr:row>84</xdr:row>
      <xdr:rowOff>0</xdr:rowOff>
    </xdr:from>
    <xdr:ext cx="3390900" cy="264560"/>
    <xdr:sp macro="" textlink="">
      <xdr:nvSpPr>
        <xdr:cNvPr id="22" name="TextBox 21"/>
        <xdr:cNvSpPr txBox="1"/>
      </xdr:nvSpPr>
      <xdr:spPr>
        <a:xfrm>
          <a:off x="7086600" y="16002000"/>
          <a:ext cx="3390900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CHART</a:t>
          </a:r>
          <a:r>
            <a:rPr lang="en-US" sz="1100" b="1" baseline="0">
              <a:solidFill>
                <a:schemeClr val="bg1"/>
              </a:solidFill>
            </a:rPr>
            <a:t> OPTIONS</a:t>
          </a:r>
          <a:endParaRPr lang="en-US" sz="1100" b="1">
            <a:solidFill>
              <a:schemeClr val="bg1"/>
            </a:solidFill>
          </a:endParaRPr>
        </a:p>
      </xdr:txBody>
    </xdr:sp>
    <xdr:clientData/>
  </xdr:oneCellAnchor>
  <xdr:twoCellAnchor>
    <xdr:from>
      <xdr:col>0</xdr:col>
      <xdr:colOff>0</xdr:colOff>
      <xdr:row>15</xdr:row>
      <xdr:rowOff>152400</xdr:rowOff>
    </xdr:from>
    <xdr:to>
      <xdr:col>7</xdr:col>
      <xdr:colOff>85725</xdr:colOff>
      <xdr:row>32</xdr:row>
      <xdr:rowOff>133350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428625</xdr:colOff>
      <xdr:row>59</xdr:row>
      <xdr:rowOff>57150</xdr:rowOff>
    </xdr:from>
    <xdr:to>
      <xdr:col>20</xdr:col>
      <xdr:colOff>276225</xdr:colOff>
      <xdr:row>73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57150</xdr:rowOff>
    </xdr:from>
    <xdr:to>
      <xdr:col>7</xdr:col>
      <xdr:colOff>95250</xdr:colOff>
      <xdr:row>33</xdr:row>
      <xdr:rowOff>180975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</xdr:colOff>
      <xdr:row>0</xdr:row>
      <xdr:rowOff>0</xdr:rowOff>
    </xdr:from>
    <xdr:to>
      <xdr:col>16</xdr:col>
      <xdr:colOff>400050</xdr:colOff>
      <xdr:row>31</xdr:row>
      <xdr:rowOff>180975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7</xdr:col>
      <xdr:colOff>114300</xdr:colOff>
      <xdr:row>15</xdr:row>
      <xdr:rowOff>104775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400050</xdr:colOff>
      <xdr:row>0</xdr:row>
      <xdr:rowOff>9525</xdr:rowOff>
    </xdr:from>
    <xdr:to>
      <xdr:col>24</xdr:col>
      <xdr:colOff>142875</xdr:colOff>
      <xdr:row>16</xdr:row>
      <xdr:rowOff>85725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542924</xdr:colOff>
      <xdr:row>34</xdr:row>
      <xdr:rowOff>95250</xdr:rowOff>
    </xdr:from>
    <xdr:to>
      <xdr:col>25</xdr:col>
      <xdr:colOff>114299</xdr:colOff>
      <xdr:row>52</xdr:row>
      <xdr:rowOff>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400048</xdr:colOff>
      <xdr:row>16</xdr:row>
      <xdr:rowOff>57150</xdr:rowOff>
    </xdr:from>
    <xdr:to>
      <xdr:col>28</xdr:col>
      <xdr:colOff>190499</xdr:colOff>
      <xdr:row>31</xdr:row>
      <xdr:rowOff>180975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481540</xdr:colOff>
      <xdr:row>31</xdr:row>
      <xdr:rowOff>105834</xdr:rowOff>
    </xdr:from>
    <xdr:to>
      <xdr:col>18</xdr:col>
      <xdr:colOff>153458</xdr:colOff>
      <xdr:row>34</xdr:row>
      <xdr:rowOff>63500</xdr:rowOff>
    </xdr:to>
    <xdr:sp macro="" textlink="">
      <xdr:nvSpPr>
        <xdr:cNvPr id="7" name="TextBox 6"/>
        <xdr:cNvSpPr txBox="1"/>
      </xdr:nvSpPr>
      <xdr:spPr>
        <a:xfrm>
          <a:off x="3434290" y="6011334"/>
          <a:ext cx="7349068" cy="52916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Number of PDDPs</a:t>
          </a:r>
          <a:r>
            <a:rPr lang="en-US" sz="1600" b="1" baseline="0">
              <a:solidFill>
                <a:schemeClr val="bg1"/>
              </a:solidFill>
            </a:rPr>
            <a:t> Complete for Upcoming Wells on Active Rigs (7 July 2014): 3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438151</xdr:colOff>
      <xdr:row>0</xdr:row>
      <xdr:rowOff>19050</xdr:rowOff>
    </xdr:from>
    <xdr:to>
      <xdr:col>29</xdr:col>
      <xdr:colOff>276225</xdr:colOff>
      <xdr:row>15</xdr:row>
      <xdr:rowOff>76198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34</xdr:row>
      <xdr:rowOff>123824</xdr:rowOff>
    </xdr:from>
    <xdr:to>
      <xdr:col>10</xdr:col>
      <xdr:colOff>314324</xdr:colOff>
      <xdr:row>54</xdr:row>
      <xdr:rowOff>57149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161925</xdr:colOff>
      <xdr:row>54</xdr:row>
      <xdr:rowOff>95250</xdr:rowOff>
    </xdr:from>
    <xdr:to>
      <xdr:col>8</xdr:col>
      <xdr:colOff>514350</xdr:colOff>
      <xdr:row>75</xdr:row>
      <xdr:rowOff>133350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38098</xdr:colOff>
      <xdr:row>87</xdr:row>
      <xdr:rowOff>142875</xdr:rowOff>
    </xdr:from>
    <xdr:to>
      <xdr:col>14</xdr:col>
      <xdr:colOff>114299</xdr:colOff>
      <xdr:row>109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228600</xdr:colOff>
      <xdr:row>87</xdr:row>
      <xdr:rowOff>180975</xdr:rowOff>
    </xdr:from>
    <xdr:to>
      <xdr:col>26</xdr:col>
      <xdr:colOff>0</xdr:colOff>
      <xdr:row>109</xdr:row>
      <xdr:rowOff>171450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114300</xdr:colOff>
      <xdr:row>117</xdr:row>
      <xdr:rowOff>38099</xdr:rowOff>
    </xdr:from>
    <xdr:to>
      <xdr:col>13</xdr:col>
      <xdr:colOff>581025</xdr:colOff>
      <xdr:row>138</xdr:row>
      <xdr:rowOff>9524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180975</xdr:colOff>
      <xdr:row>117</xdr:row>
      <xdr:rowOff>66675</xdr:rowOff>
    </xdr:from>
    <xdr:to>
      <xdr:col>26</xdr:col>
      <xdr:colOff>57150</xdr:colOff>
      <xdr:row>138</xdr:row>
      <xdr:rowOff>38100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447676</xdr:colOff>
      <xdr:row>180</xdr:row>
      <xdr:rowOff>9524</xdr:rowOff>
    </xdr:from>
    <xdr:to>
      <xdr:col>16</xdr:col>
      <xdr:colOff>390526</xdr:colOff>
      <xdr:row>206</xdr:row>
      <xdr:rowOff>133349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2</xdr:col>
      <xdr:colOff>266699</xdr:colOff>
      <xdr:row>112</xdr:row>
      <xdr:rowOff>180974</xdr:rowOff>
    </xdr:from>
    <xdr:ext cx="1181101" cy="264560"/>
    <xdr:sp macro="" textlink="">
      <xdr:nvSpPr>
        <xdr:cNvPr id="9" name="TextBox 8"/>
        <xdr:cNvSpPr txBox="1"/>
      </xdr:nvSpPr>
      <xdr:spPr>
        <a:xfrm>
          <a:off x="1447799" y="21516974"/>
          <a:ext cx="1181101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chemeClr val="bg1"/>
              </a:solidFill>
            </a:rPr>
            <a:t>New Charts:</a:t>
          </a:r>
        </a:p>
      </xdr:txBody>
    </xdr:sp>
    <xdr:clientData/>
  </xdr:oneCellAnchor>
  <xdr:twoCellAnchor>
    <xdr:from>
      <xdr:col>2</xdr:col>
      <xdr:colOff>19050</xdr:colOff>
      <xdr:row>142</xdr:row>
      <xdr:rowOff>57150</xdr:rowOff>
    </xdr:from>
    <xdr:to>
      <xdr:col>13</xdr:col>
      <xdr:colOff>485775</xdr:colOff>
      <xdr:row>163</xdr:row>
      <xdr:rowOff>28575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0</xdr:colOff>
      <xdr:row>142</xdr:row>
      <xdr:rowOff>85725</xdr:rowOff>
    </xdr:from>
    <xdr:to>
      <xdr:col>25</xdr:col>
      <xdr:colOff>466725</xdr:colOff>
      <xdr:row>163</xdr:row>
      <xdr:rowOff>57150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12</xdr:col>
      <xdr:colOff>152401</xdr:colOff>
      <xdr:row>114</xdr:row>
      <xdr:rowOff>190499</xdr:rowOff>
    </xdr:from>
    <xdr:ext cx="3390900" cy="264560"/>
    <xdr:sp macro="" textlink="">
      <xdr:nvSpPr>
        <xdr:cNvPr id="20" name="TextBox 19"/>
        <xdr:cNvSpPr txBox="1"/>
      </xdr:nvSpPr>
      <xdr:spPr>
        <a:xfrm>
          <a:off x="7239001" y="21907499"/>
          <a:ext cx="3390900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AAP 04/2014 to Current</a:t>
          </a:r>
        </a:p>
      </xdr:txBody>
    </xdr:sp>
    <xdr:clientData/>
  </xdr:oneCellAnchor>
  <xdr:oneCellAnchor>
    <xdr:from>
      <xdr:col>11</xdr:col>
      <xdr:colOff>209550</xdr:colOff>
      <xdr:row>140</xdr:row>
      <xdr:rowOff>57150</xdr:rowOff>
    </xdr:from>
    <xdr:ext cx="3390900" cy="264560"/>
    <xdr:sp macro="" textlink="">
      <xdr:nvSpPr>
        <xdr:cNvPr id="21" name="TextBox 20"/>
        <xdr:cNvSpPr txBox="1"/>
      </xdr:nvSpPr>
      <xdr:spPr>
        <a:xfrm>
          <a:off x="6705600" y="26727150"/>
          <a:ext cx="3390900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2014-2015</a:t>
          </a:r>
        </a:p>
      </xdr:txBody>
    </xdr:sp>
    <xdr:clientData/>
  </xdr:oneCellAnchor>
  <xdr:oneCellAnchor>
    <xdr:from>
      <xdr:col>12</xdr:col>
      <xdr:colOff>0</xdr:colOff>
      <xdr:row>84</xdr:row>
      <xdr:rowOff>0</xdr:rowOff>
    </xdr:from>
    <xdr:ext cx="3390900" cy="264560"/>
    <xdr:sp macro="" textlink="">
      <xdr:nvSpPr>
        <xdr:cNvPr id="22" name="TextBox 21"/>
        <xdr:cNvSpPr txBox="1"/>
      </xdr:nvSpPr>
      <xdr:spPr>
        <a:xfrm>
          <a:off x="7086600" y="16002000"/>
          <a:ext cx="3390900" cy="26456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CHART</a:t>
          </a:r>
          <a:r>
            <a:rPr lang="en-US" sz="1100" b="1" baseline="0">
              <a:solidFill>
                <a:schemeClr val="bg1"/>
              </a:solidFill>
            </a:rPr>
            <a:t> OPTIONS</a:t>
          </a:r>
          <a:endParaRPr lang="en-US" sz="1100" b="1">
            <a:solidFill>
              <a:schemeClr val="bg1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8</xdr:row>
      <xdr:rowOff>0</xdr:rowOff>
    </xdr:from>
    <xdr:to>
      <xdr:col>13</xdr:col>
      <xdr:colOff>734785</xdr:colOff>
      <xdr:row>23</xdr:row>
      <xdr:rowOff>0</xdr:rowOff>
    </xdr:to>
    <xdr:sp macro="" textlink="">
      <xdr:nvSpPr>
        <xdr:cNvPr id="2" name="TextBox 1"/>
        <xdr:cNvSpPr txBox="1"/>
      </xdr:nvSpPr>
      <xdr:spPr>
        <a:xfrm>
          <a:off x="17566821" y="1524000"/>
          <a:ext cx="2109107" cy="285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DP-2015-2016 planned</a:t>
          </a:r>
          <a:r>
            <a:rPr lang="en-US" sz="1100" baseline="0"/>
            <a:t> times:</a:t>
          </a:r>
        </a:p>
        <a:p>
          <a:r>
            <a:rPr lang="en-US" sz="1100" baseline="0"/>
            <a:t>I placed these in "Planned Days" and added 5 (planned rig move days). Because there is a column on the other spreadsheet called Spud to RR, which subtracts the 5 (planned rig move days).</a:t>
          </a:r>
        </a:p>
        <a:p>
          <a:endParaRPr lang="en-US" sz="1100" baseline="0"/>
        </a:p>
        <a:p>
          <a:endParaRPr lang="en-US" sz="1100" baseline="0"/>
        </a:p>
      </xdr:txBody>
    </xdr:sp>
    <xdr:clientData/>
  </xdr:twoCellAnchor>
  <xdr:twoCellAnchor>
    <xdr:from>
      <xdr:col>24</xdr:col>
      <xdr:colOff>435429</xdr:colOff>
      <xdr:row>8</xdr:row>
      <xdr:rowOff>54429</xdr:rowOff>
    </xdr:from>
    <xdr:to>
      <xdr:col>27</xdr:col>
      <xdr:colOff>0</xdr:colOff>
      <xdr:row>14</xdr:row>
      <xdr:rowOff>81643</xdr:rowOff>
    </xdr:to>
    <xdr:sp macro="" textlink="">
      <xdr:nvSpPr>
        <xdr:cNvPr id="3" name="TextBox 2"/>
        <xdr:cNvSpPr txBox="1"/>
      </xdr:nvSpPr>
      <xdr:spPr>
        <a:xfrm>
          <a:off x="35609893" y="1578429"/>
          <a:ext cx="3687536" cy="11702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These are just estimates.</a:t>
          </a:r>
        </a:p>
        <a:p>
          <a:r>
            <a:rPr lang="en-US" sz="1100"/>
            <a:t>I</a:t>
          </a:r>
          <a:r>
            <a:rPr lang="en-US" sz="1100" baseline="0"/>
            <a:t> used the longest drill times for these estimates.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247649</xdr:colOff>
      <xdr:row>152</xdr:row>
      <xdr:rowOff>180975</xdr:rowOff>
    </xdr:from>
    <xdr:to>
      <xdr:col>23</xdr:col>
      <xdr:colOff>542924</xdr:colOff>
      <xdr:row>169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266700</xdr:colOff>
      <xdr:row>169</xdr:row>
      <xdr:rowOff>171450</xdr:rowOff>
    </xdr:from>
    <xdr:to>
      <xdr:col>23</xdr:col>
      <xdr:colOff>561975</xdr:colOff>
      <xdr:row>186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257175</xdr:colOff>
      <xdr:row>186</xdr:row>
      <xdr:rowOff>152400</xdr:rowOff>
    </xdr:from>
    <xdr:to>
      <xdr:col>24</xdr:col>
      <xdr:colOff>400050</xdr:colOff>
      <xdr:row>203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8</xdr:row>
      <xdr:rowOff>0</xdr:rowOff>
    </xdr:from>
    <xdr:to>
      <xdr:col>21</xdr:col>
      <xdr:colOff>295275</xdr:colOff>
      <xdr:row>24</xdr:row>
      <xdr:rowOff>133350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19051</xdr:colOff>
      <xdr:row>24</xdr:row>
      <xdr:rowOff>180975</xdr:rowOff>
    </xdr:from>
    <xdr:to>
      <xdr:col>21</xdr:col>
      <xdr:colOff>314326</xdr:colOff>
      <xdr:row>41</xdr:row>
      <xdr:rowOff>123825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</xdr:colOff>
      <xdr:row>41</xdr:row>
      <xdr:rowOff>142875</xdr:rowOff>
    </xdr:from>
    <xdr:to>
      <xdr:col>22</xdr:col>
      <xdr:colOff>142876</xdr:colOff>
      <xdr:row>58</xdr:row>
      <xdr:rowOff>85725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190500</xdr:colOff>
      <xdr:row>22</xdr:row>
      <xdr:rowOff>133350</xdr:rowOff>
    </xdr:from>
    <xdr:to>
      <xdr:col>43</xdr:col>
      <xdr:colOff>104775</xdr:colOff>
      <xdr:row>34</xdr:row>
      <xdr:rowOff>57150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257175</xdr:colOff>
      <xdr:row>3</xdr:row>
      <xdr:rowOff>0</xdr:rowOff>
    </xdr:from>
    <xdr:to>
      <xdr:col>52</xdr:col>
      <xdr:colOff>361950</xdr:colOff>
      <xdr:row>34</xdr:row>
      <xdr:rowOff>180975</xdr:rowOff>
    </xdr:to>
    <xdr:graphicFrame macro="">
      <xdr:nvGraphicFramePr>
        <xdr:cNvPr id="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676275</xdr:colOff>
      <xdr:row>272</xdr:row>
      <xdr:rowOff>152400</xdr:rowOff>
    </xdr:from>
    <xdr:to>
      <xdr:col>11</xdr:col>
      <xdr:colOff>1666875</xdr:colOff>
      <xdr:row>287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190499</xdr:colOff>
      <xdr:row>2</xdr:row>
      <xdr:rowOff>133350</xdr:rowOff>
    </xdr:from>
    <xdr:to>
      <xdr:col>27</xdr:col>
      <xdr:colOff>466724</xdr:colOff>
      <xdr:row>26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66675</xdr:colOff>
      <xdr:row>95</xdr:row>
      <xdr:rowOff>171450</xdr:rowOff>
    </xdr:from>
    <xdr:to>
      <xdr:col>35</xdr:col>
      <xdr:colOff>104775</xdr:colOff>
      <xdr:row>111</xdr:row>
      <xdr:rowOff>33337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133349</xdr:colOff>
      <xdr:row>96</xdr:row>
      <xdr:rowOff>19050</xdr:rowOff>
    </xdr:from>
    <xdr:to>
      <xdr:col>42</xdr:col>
      <xdr:colOff>600074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57150</xdr:colOff>
      <xdr:row>111</xdr:row>
      <xdr:rowOff>57150</xdr:rowOff>
    </xdr:from>
    <xdr:to>
      <xdr:col>35</xdr:col>
      <xdr:colOff>114300</xdr:colOff>
      <xdr:row>127</xdr:row>
      <xdr:rowOff>38100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142875</xdr:colOff>
      <xdr:row>111</xdr:row>
      <xdr:rowOff>66674</xdr:rowOff>
    </xdr:from>
    <xdr:to>
      <xdr:col>42</xdr:col>
      <xdr:colOff>581025</xdr:colOff>
      <xdr:row>127</xdr:row>
      <xdr:rowOff>57149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76200</xdr:colOff>
      <xdr:row>127</xdr:row>
      <xdr:rowOff>66675</xdr:rowOff>
    </xdr:from>
    <xdr:to>
      <xdr:col>35</xdr:col>
      <xdr:colOff>133350</xdr:colOff>
      <xdr:row>143</xdr:row>
      <xdr:rowOff>47625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85725</xdr:colOff>
      <xdr:row>143</xdr:row>
      <xdr:rowOff>76200</xdr:rowOff>
    </xdr:from>
    <xdr:to>
      <xdr:col>35</xdr:col>
      <xdr:colOff>142875</xdr:colOff>
      <xdr:row>159</xdr:row>
      <xdr:rowOff>57150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142875</xdr:colOff>
      <xdr:row>127</xdr:row>
      <xdr:rowOff>76200</xdr:rowOff>
    </xdr:from>
    <xdr:to>
      <xdr:col>42</xdr:col>
      <xdr:colOff>581025</xdr:colOff>
      <xdr:row>143</xdr:row>
      <xdr:rowOff>66675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133350</xdr:colOff>
      <xdr:row>143</xdr:row>
      <xdr:rowOff>66675</xdr:rowOff>
    </xdr:from>
    <xdr:to>
      <xdr:col>42</xdr:col>
      <xdr:colOff>571500</xdr:colOff>
      <xdr:row>159</xdr:row>
      <xdr:rowOff>57150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9525</xdr:colOff>
      <xdr:row>2</xdr:row>
      <xdr:rowOff>0</xdr:rowOff>
    </xdr:from>
    <xdr:to>
      <xdr:col>19</xdr:col>
      <xdr:colOff>619125</xdr:colOff>
      <xdr:row>17</xdr:row>
      <xdr:rowOff>52387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647699</xdr:colOff>
      <xdr:row>2</xdr:row>
      <xdr:rowOff>38100</xdr:rowOff>
    </xdr:from>
    <xdr:to>
      <xdr:col>23</xdr:col>
      <xdr:colOff>1076324</xdr:colOff>
      <xdr:row>17</xdr:row>
      <xdr:rowOff>47625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17</xdr:row>
      <xdr:rowOff>76200</xdr:rowOff>
    </xdr:from>
    <xdr:to>
      <xdr:col>19</xdr:col>
      <xdr:colOff>628650</xdr:colOff>
      <xdr:row>33</xdr:row>
      <xdr:rowOff>57150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657225</xdr:colOff>
      <xdr:row>17</xdr:row>
      <xdr:rowOff>85724</xdr:rowOff>
    </xdr:from>
    <xdr:to>
      <xdr:col>23</xdr:col>
      <xdr:colOff>1057275</xdr:colOff>
      <xdr:row>33</xdr:row>
      <xdr:rowOff>76199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19050</xdr:colOff>
      <xdr:row>33</xdr:row>
      <xdr:rowOff>85725</xdr:rowOff>
    </xdr:from>
    <xdr:to>
      <xdr:col>19</xdr:col>
      <xdr:colOff>647700</xdr:colOff>
      <xdr:row>49</xdr:row>
      <xdr:rowOff>66675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28575</xdr:colOff>
      <xdr:row>49</xdr:row>
      <xdr:rowOff>95250</xdr:rowOff>
    </xdr:from>
    <xdr:to>
      <xdr:col>19</xdr:col>
      <xdr:colOff>657225</xdr:colOff>
      <xdr:row>65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657225</xdr:colOff>
      <xdr:row>33</xdr:row>
      <xdr:rowOff>95250</xdr:rowOff>
    </xdr:from>
    <xdr:to>
      <xdr:col>23</xdr:col>
      <xdr:colOff>1057275</xdr:colOff>
      <xdr:row>49</xdr:row>
      <xdr:rowOff>85725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647700</xdr:colOff>
      <xdr:row>49</xdr:row>
      <xdr:rowOff>85725</xdr:rowOff>
    </xdr:from>
    <xdr:to>
      <xdr:col>23</xdr:col>
      <xdr:colOff>1047750</xdr:colOff>
      <xdr:row>65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123824</xdr:colOff>
      <xdr:row>162</xdr:row>
      <xdr:rowOff>138112</xdr:rowOff>
    </xdr:from>
    <xdr:to>
      <xdr:col>32</xdr:col>
      <xdr:colOff>933449</xdr:colOff>
      <xdr:row>182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371474</xdr:colOff>
      <xdr:row>36</xdr:row>
      <xdr:rowOff>80961</xdr:rowOff>
    </xdr:from>
    <xdr:to>
      <xdr:col>6</xdr:col>
      <xdr:colOff>161925</xdr:colOff>
      <xdr:row>64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238125</xdr:colOff>
      <xdr:row>67</xdr:row>
      <xdr:rowOff>42861</xdr:rowOff>
    </xdr:from>
    <xdr:to>
      <xdr:col>7</xdr:col>
      <xdr:colOff>0</xdr:colOff>
      <xdr:row>87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552450</xdr:colOff>
      <xdr:row>95</xdr:row>
      <xdr:rowOff>128586</xdr:rowOff>
    </xdr:from>
    <xdr:to>
      <xdr:col>4</xdr:col>
      <xdr:colOff>409575</xdr:colOff>
      <xdr:row>111</xdr:row>
      <xdr:rowOff>152399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114300</xdr:colOff>
      <xdr:row>14</xdr:row>
      <xdr:rowOff>85725</xdr:rowOff>
    </xdr:from>
    <xdr:to>
      <xdr:col>5</xdr:col>
      <xdr:colOff>542925</xdr:colOff>
      <xdr:row>18</xdr:row>
      <xdr:rowOff>85725</xdr:rowOff>
    </xdr:to>
    <xdr:sp macro="" textlink="">
      <xdr:nvSpPr>
        <xdr:cNvPr id="4" name="TextBox 3"/>
        <xdr:cNvSpPr txBox="1"/>
      </xdr:nvSpPr>
      <xdr:spPr>
        <a:xfrm>
          <a:off x="6429375" y="2724150"/>
          <a:ext cx="2238375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Change calculation to</a:t>
          </a:r>
          <a:r>
            <a:rPr lang="en-US" sz="1100" baseline="0"/>
            <a:t> match those on the other sheets. these calcs dont transfer from sheet to sheet.</a:t>
          </a:r>
          <a:endParaRPr lang="en-US" sz="1100"/>
        </a:p>
      </xdr:txBody>
    </xdr:sp>
    <xdr:clientData/>
  </xdr:twoCellAnchor>
  <xdr:twoCellAnchor>
    <xdr:from>
      <xdr:col>19</xdr:col>
      <xdr:colOff>57150</xdr:colOff>
      <xdr:row>6</xdr:row>
      <xdr:rowOff>142875</xdr:rowOff>
    </xdr:from>
    <xdr:to>
      <xdr:col>21</xdr:col>
      <xdr:colOff>238125</xdr:colOff>
      <xdr:row>10</xdr:row>
      <xdr:rowOff>142875</xdr:rowOff>
    </xdr:to>
    <xdr:sp macro="" textlink="">
      <xdr:nvSpPr>
        <xdr:cNvPr id="7" name="TextBox 6"/>
        <xdr:cNvSpPr txBox="1"/>
      </xdr:nvSpPr>
      <xdr:spPr>
        <a:xfrm>
          <a:off x="24203025" y="1257300"/>
          <a:ext cx="2238375" cy="7620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Change calculation to</a:t>
          </a:r>
          <a:r>
            <a:rPr lang="en-US" sz="1100" baseline="0"/>
            <a:t> match those on the other sheets. these calcs dont transfer from sheet to sheet.</a:t>
          </a:r>
          <a:endParaRPr lang="en-US" sz="1100"/>
        </a:p>
      </xdr:txBody>
    </xdr:sp>
    <xdr:clientData/>
  </xdr:twoCellAnchor>
  <xdr:twoCellAnchor>
    <xdr:from>
      <xdr:col>4</xdr:col>
      <xdr:colOff>1419225</xdr:colOff>
      <xdr:row>88</xdr:row>
      <xdr:rowOff>166686</xdr:rowOff>
    </xdr:from>
    <xdr:to>
      <xdr:col>9</xdr:col>
      <xdr:colOff>1085850</xdr:colOff>
      <xdr:row>111</xdr:row>
      <xdr:rowOff>38099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871537</xdr:colOff>
      <xdr:row>112</xdr:row>
      <xdr:rowOff>119062</xdr:rowOff>
    </xdr:from>
    <xdr:to>
      <xdr:col>8</xdr:col>
      <xdr:colOff>714375</xdr:colOff>
      <xdr:row>132</xdr:row>
      <xdr:rowOff>152400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Z204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2" sqref="J2"/>
    </sheetView>
  </sheetViews>
  <sheetFormatPr defaultColWidth="11.42578125" defaultRowHeight="15" x14ac:dyDescent="0.25"/>
  <cols>
    <col min="1" max="1" width="15.42578125" style="27" bestFit="1" customWidth="1"/>
    <col min="2" max="2" width="22.7109375" style="26" customWidth="1"/>
    <col min="3" max="3" width="27.5703125" style="58" customWidth="1"/>
    <col min="4" max="4" width="11.42578125" style="557"/>
    <col min="5" max="5" width="11.28515625" style="26" customWidth="1"/>
    <col min="6" max="6" width="9.140625" style="26" customWidth="1"/>
    <col min="7" max="7" width="10.85546875" style="26" customWidth="1"/>
    <col min="8" max="8" width="18.42578125" style="26" customWidth="1"/>
    <col min="9" max="9" width="11.85546875" style="26" customWidth="1"/>
    <col min="10" max="10" width="12.85546875" style="26" customWidth="1"/>
    <col min="11" max="11" width="11.28515625" style="26" customWidth="1"/>
    <col min="12" max="12" width="18.85546875" style="26" customWidth="1"/>
    <col min="13" max="13" width="15" style="30" customWidth="1"/>
    <col min="14" max="14" width="11.140625" style="26" customWidth="1"/>
    <col min="15" max="15" width="17" style="27" customWidth="1"/>
    <col min="16" max="16" width="18.5703125" style="27" customWidth="1"/>
    <col min="17" max="17" width="24.85546875" style="27" customWidth="1"/>
    <col min="18" max="18" width="36.42578125" style="27" customWidth="1"/>
    <col min="19" max="19" width="38.7109375" style="27" customWidth="1"/>
    <col min="20" max="20" width="29.28515625" style="27" customWidth="1"/>
    <col min="21" max="21" width="37.140625" style="27" customWidth="1"/>
    <col min="22" max="22" width="22" style="27" customWidth="1"/>
    <col min="23" max="23" width="20.140625" style="27" customWidth="1"/>
    <col min="24" max="24" width="25.85546875" style="264" customWidth="1"/>
    <col min="25" max="25" width="22.85546875" style="27" customWidth="1"/>
    <col min="26" max="26" width="20.42578125" style="27" customWidth="1"/>
    <col min="27" max="27" width="20.85546875" style="27" customWidth="1"/>
    <col min="28" max="28" width="21.85546875" style="27" customWidth="1"/>
    <col min="29" max="29" width="26.5703125" style="27" customWidth="1"/>
    <col min="30" max="30" width="19.42578125" style="27" customWidth="1"/>
    <col min="31" max="36" width="25" style="27" customWidth="1"/>
    <col min="37" max="37" width="25" style="447" customWidth="1"/>
    <col min="38" max="38" width="15.7109375" style="27" customWidth="1"/>
    <col min="39" max="39" width="9.140625" style="27" customWidth="1"/>
    <col min="40" max="40" width="19" style="27" customWidth="1"/>
    <col min="41" max="42" width="14" style="27" customWidth="1"/>
    <col min="43" max="43" width="15.85546875" style="26" customWidth="1"/>
    <col min="44" max="44" width="23.28515625" style="26" customWidth="1"/>
    <col min="45" max="45" width="25.85546875" style="27" customWidth="1"/>
    <col min="46" max="46" width="13.42578125" style="27" customWidth="1"/>
    <col min="47" max="47" width="17.28515625" style="27" customWidth="1"/>
    <col min="48" max="48" width="12" style="27" customWidth="1"/>
    <col min="49" max="49" width="13.42578125" style="27" customWidth="1"/>
    <col min="50" max="51" width="11.28515625" style="26" customWidth="1"/>
    <col min="52" max="52" width="14.42578125" style="26" customWidth="1"/>
    <col min="53" max="57" width="11.42578125" style="27" customWidth="1"/>
    <col min="58" max="59" width="11.85546875" style="27" customWidth="1"/>
    <col min="60" max="60" width="25" style="27" customWidth="1"/>
    <col min="61" max="61" width="30" style="27" customWidth="1"/>
    <col min="62" max="62" width="18" style="27" customWidth="1"/>
    <col min="63" max="64" width="42.85546875" style="27" customWidth="1"/>
    <col min="65" max="65" width="32.28515625" style="27" customWidth="1"/>
    <col min="66" max="66" width="38.85546875" style="27" customWidth="1"/>
    <col min="67" max="67" width="40.85546875" customWidth="1"/>
    <col min="68" max="68" width="41.42578125" style="27" customWidth="1"/>
    <col min="69" max="69" width="32.28515625" style="27" customWidth="1"/>
    <col min="70" max="70" width="30.85546875" style="27" customWidth="1"/>
    <col min="71" max="71" width="32.42578125" style="27" customWidth="1"/>
    <col min="72" max="72" width="23.28515625" style="27" customWidth="1"/>
    <col min="73" max="73" width="22.5703125" style="27" customWidth="1"/>
    <col min="74" max="74" width="23.85546875" style="27" customWidth="1"/>
    <col min="75" max="75" width="20" style="27" customWidth="1"/>
    <col min="76" max="76" width="11.42578125" style="469"/>
    <col min="77" max="78" width="26.5703125" style="472" customWidth="1"/>
    <col min="79" max="16384" width="11.42578125" style="27"/>
  </cols>
  <sheetData>
    <row r="1" spans="1:78" s="293" customFormat="1" ht="72" customHeight="1" x14ac:dyDescent="0.25">
      <c r="A1" s="378" t="s">
        <v>0</v>
      </c>
      <c r="B1" s="378" t="s">
        <v>268</v>
      </c>
      <c r="C1" s="378" t="s">
        <v>574</v>
      </c>
      <c r="D1" s="293" t="s">
        <v>2404</v>
      </c>
      <c r="E1" s="378" t="s">
        <v>1</v>
      </c>
      <c r="F1" s="378" t="s">
        <v>3</v>
      </c>
      <c r="G1" s="378" t="s">
        <v>6</v>
      </c>
      <c r="H1" s="378" t="s">
        <v>4</v>
      </c>
      <c r="I1" s="378" t="s">
        <v>5</v>
      </c>
      <c r="J1" s="378" t="s">
        <v>297</v>
      </c>
      <c r="K1" s="379" t="s">
        <v>7</v>
      </c>
      <c r="L1" s="378" t="s">
        <v>2</v>
      </c>
      <c r="M1" s="378" t="s">
        <v>58</v>
      </c>
      <c r="N1" s="378" t="s">
        <v>284</v>
      </c>
      <c r="O1" s="378" t="s">
        <v>481</v>
      </c>
      <c r="P1" s="463" t="s">
        <v>306</v>
      </c>
      <c r="Q1" s="379" t="s">
        <v>307</v>
      </c>
      <c r="R1" s="378" t="s">
        <v>1595</v>
      </c>
      <c r="S1" s="378" t="s">
        <v>466</v>
      </c>
      <c r="T1" s="378" t="s">
        <v>461</v>
      </c>
      <c r="U1" s="378" t="s">
        <v>417</v>
      </c>
      <c r="V1" s="378" t="s">
        <v>425</v>
      </c>
      <c r="W1" s="379" t="s">
        <v>418</v>
      </c>
      <c r="X1" s="381" t="s">
        <v>1342</v>
      </c>
      <c r="Y1" s="378" t="s">
        <v>1345</v>
      </c>
      <c r="Z1" s="378" t="s">
        <v>820</v>
      </c>
      <c r="AA1" s="378" t="s">
        <v>809</v>
      </c>
      <c r="AB1" s="378" t="s">
        <v>808</v>
      </c>
      <c r="AC1" s="378" t="s">
        <v>812</v>
      </c>
      <c r="AD1" s="378" t="s">
        <v>811</v>
      </c>
      <c r="AE1" s="380" t="s">
        <v>1569</v>
      </c>
      <c r="AF1" s="380" t="s">
        <v>1450</v>
      </c>
      <c r="AG1" s="378" t="s">
        <v>1490</v>
      </c>
      <c r="AH1" s="378" t="s">
        <v>1491</v>
      </c>
      <c r="AI1" s="378" t="s">
        <v>1495</v>
      </c>
      <c r="AJ1" s="378" t="s">
        <v>1512</v>
      </c>
      <c r="AK1" s="378" t="s">
        <v>1691</v>
      </c>
      <c r="AL1" s="379" t="s">
        <v>309</v>
      </c>
      <c r="AM1" s="379" t="s">
        <v>462</v>
      </c>
      <c r="AN1" s="378" t="s">
        <v>308</v>
      </c>
      <c r="AO1" s="379" t="s">
        <v>424</v>
      </c>
      <c r="AP1" s="379" t="s">
        <v>468</v>
      </c>
      <c r="AQ1" s="378" t="s">
        <v>81</v>
      </c>
      <c r="AR1" s="379" t="s">
        <v>89</v>
      </c>
      <c r="AS1" s="379" t="s">
        <v>90</v>
      </c>
      <c r="AT1" s="378" t="s">
        <v>314</v>
      </c>
      <c r="AU1" s="378" t="s">
        <v>93</v>
      </c>
      <c r="AV1" s="378" t="s">
        <v>421</v>
      </c>
      <c r="AW1" s="379" t="s">
        <v>422</v>
      </c>
      <c r="AX1" s="379" t="s">
        <v>475</v>
      </c>
      <c r="AY1" s="379" t="s">
        <v>476</v>
      </c>
      <c r="AZ1" s="378" t="s">
        <v>273</v>
      </c>
      <c r="BA1" s="379" t="s">
        <v>310</v>
      </c>
      <c r="BB1" s="379" t="s">
        <v>311</v>
      </c>
      <c r="BC1" s="379" t="s">
        <v>312</v>
      </c>
      <c r="BD1" s="379" t="s">
        <v>414</v>
      </c>
      <c r="BE1" s="378" t="s">
        <v>413</v>
      </c>
      <c r="BF1" s="378" t="s">
        <v>423</v>
      </c>
      <c r="BG1" s="378" t="s">
        <v>469</v>
      </c>
      <c r="BH1" s="379" t="s">
        <v>313</v>
      </c>
      <c r="BI1" s="335" t="s">
        <v>741</v>
      </c>
      <c r="BJ1" s="378" t="s">
        <v>1343</v>
      </c>
      <c r="BK1" s="378" t="s">
        <v>1347</v>
      </c>
      <c r="BL1" s="378" t="s">
        <v>1346</v>
      </c>
      <c r="BM1" s="378" t="s">
        <v>1364</v>
      </c>
      <c r="BN1" s="378" t="s">
        <v>1393</v>
      </c>
      <c r="BO1" s="378" t="s">
        <v>1803</v>
      </c>
      <c r="BP1" s="378" t="s">
        <v>1802</v>
      </c>
      <c r="BQ1" s="465" t="s">
        <v>1871</v>
      </c>
      <c r="BR1" s="465" t="s">
        <v>1872</v>
      </c>
      <c r="BS1" s="465" t="s">
        <v>1873</v>
      </c>
      <c r="BT1" s="465" t="s">
        <v>1874</v>
      </c>
      <c r="BU1" s="465" t="s">
        <v>1875</v>
      </c>
      <c r="BV1" s="465" t="s">
        <v>1876</v>
      </c>
      <c r="BW1" s="465" t="s">
        <v>1880</v>
      </c>
      <c r="BX1" s="468" t="s">
        <v>1881</v>
      </c>
      <c r="BY1" s="412" t="s">
        <v>1882</v>
      </c>
      <c r="BZ1" s="412" t="s">
        <v>1883</v>
      </c>
    </row>
    <row r="2" spans="1:78" s="38" customFormat="1" ht="18" customHeight="1" x14ac:dyDescent="0.25">
      <c r="A2" s="29" t="s">
        <v>175</v>
      </c>
      <c r="B2" s="385" t="s">
        <v>92</v>
      </c>
      <c r="C2" s="283" t="s">
        <v>738</v>
      </c>
      <c r="D2" s="529" t="s">
        <v>2005</v>
      </c>
      <c r="E2" s="385">
        <v>5</v>
      </c>
      <c r="F2" s="385" t="s">
        <v>11</v>
      </c>
      <c r="G2" s="281" t="s">
        <v>13</v>
      </c>
      <c r="H2" s="420" t="s">
        <v>12</v>
      </c>
      <c r="I2" s="385" t="s">
        <v>16</v>
      </c>
      <c r="J2" s="281" t="s">
        <v>298</v>
      </c>
      <c r="K2" s="281" t="s">
        <v>14</v>
      </c>
      <c r="L2" s="384" t="s">
        <v>1410</v>
      </c>
      <c r="M2" s="281" t="s">
        <v>74</v>
      </c>
      <c r="N2" s="283">
        <v>1</v>
      </c>
      <c r="O2" s="13">
        <f t="shared" ref="O2:O33" si="0">P2-Q2</f>
        <v>40974</v>
      </c>
      <c r="P2" s="13">
        <v>41048</v>
      </c>
      <c r="Q2" s="14">
        <v>74</v>
      </c>
      <c r="R2" s="334" t="str">
        <f>IF(ISERROR(VLOOKUP(G2,'Planning and Target Times'!$L$1:$AJ$6,MATCH(K2&amp;"_"&amp;L2&amp;"_"&amp;J2,INDEX('Planning and Target Times'!$L$1:$AJ$6,1,0),0),0)+5),"",(VLOOKUP(G2,'Planning and Target Times'!$L$1:$AJ$6,MATCH(K2&amp;"_"&amp;L2&amp;"_"&amp;J2,INDEX('Planning and Target Times'!$L$1:$AJ$6,1,0),0),0)+5))</f>
        <v/>
      </c>
      <c r="S2" s="420" t="str">
        <f t="shared" ref="S2:S33" si="1">IF(ISERROR(R2-5),"",R2-5)</f>
        <v/>
      </c>
      <c r="T2" s="392" t="e">
        <f>VLOOKUP(G2,'Planning and Target Times'!$A$7:$G$12,MATCH(K2&amp;"-"&amp;L2&amp;"-"&amp;J2,INDEX('Planning and Target Times'!$A$7:$G$12,1,0),0),0)</f>
        <v>#N/A</v>
      </c>
      <c r="U2" s="283">
        <v>6</v>
      </c>
      <c r="V2" s="14">
        <f t="shared" ref="V2:V65" si="2">Q2+U2</f>
        <v>80</v>
      </c>
      <c r="W2" s="292">
        <v>1814</v>
      </c>
      <c r="X2" s="286" t="str">
        <f t="shared" ref="X2:X33" si="3">IF(OR(G2="ZU",G2="RT"),"ZU/RT",G2)</f>
        <v>TU</v>
      </c>
      <c r="Y2" s="302">
        <v>7931</v>
      </c>
      <c r="Z2" s="302"/>
      <c r="AA2" s="302"/>
      <c r="AB2" s="302"/>
      <c r="AC2" s="302"/>
      <c r="AD2" s="302"/>
      <c r="AE2" s="283"/>
      <c r="AF2" s="283"/>
      <c r="AG2" s="283"/>
      <c r="AH2" s="283"/>
      <c r="AI2" s="283"/>
      <c r="AJ2" s="283"/>
      <c r="AK2" s="283"/>
      <c r="AL2" s="282" t="str">
        <f>VLOOKUP(G2,'Planning and Target Times'!$I$2:$J$7,2,0)</f>
        <v>Carbonate</v>
      </c>
      <c r="AM2" s="14" t="e">
        <f t="shared" ref="AM2:AM33" si="4">V2-R2</f>
        <v>#VALUE!</v>
      </c>
      <c r="AN2" s="283">
        <v>15</v>
      </c>
      <c r="AO2" s="14">
        <f t="shared" ref="AO2:AO15" si="5">BF2/Q2</f>
        <v>0</v>
      </c>
      <c r="AP2" s="283" t="e">
        <f>VLOOKUP(G2,'Planning and Target Times'!$A$43:$L$47,MATCH(F2&amp;"-"&amp;K2&amp;"-"&amp;L2&amp;"-"&amp;J2,INDEX('Planning and Target Times'!$A$43:$L$47,1,0),0),0)</f>
        <v>#N/A</v>
      </c>
      <c r="AQ2" s="385" t="s">
        <v>83</v>
      </c>
      <c r="AR2" s="302">
        <v>1</v>
      </c>
      <c r="AS2" s="384" t="s">
        <v>10</v>
      </c>
      <c r="AT2" s="292"/>
      <c r="AU2" s="283">
        <v>1</v>
      </c>
      <c r="AV2" s="283"/>
      <c r="AW2" s="283"/>
      <c r="AX2" s="281"/>
      <c r="AY2" s="281"/>
      <c r="AZ2" s="283" t="s">
        <v>299</v>
      </c>
      <c r="BA2" s="292"/>
      <c r="BB2" s="292"/>
      <c r="BC2" s="292"/>
      <c r="BD2" s="292"/>
      <c r="BE2" s="292"/>
      <c r="BF2" s="292"/>
      <c r="BG2" s="292"/>
      <c r="BH2" s="292"/>
      <c r="BI2" s="283">
        <v>284740</v>
      </c>
      <c r="BJ2" s="283"/>
      <c r="BK2" s="302">
        <f>COUNT(P$2:P2)</f>
        <v>1</v>
      </c>
      <c r="BL2" s="302">
        <f>SUMPRODUCT(--(YEAR(P$2:P2)=YEAR(P2)))</f>
        <v>1</v>
      </c>
      <c r="BM2" s="302">
        <v>1</v>
      </c>
      <c r="BN2" s="283">
        <v>0</v>
      </c>
      <c r="BO2" s="283"/>
      <c r="BP2" s="283"/>
      <c r="BQ2" s="467">
        <v>415.98333333333335</v>
      </c>
      <c r="BR2" s="467">
        <v>411.85666666666674</v>
      </c>
      <c r="BS2" s="467">
        <v>371.18583333333339</v>
      </c>
      <c r="BT2" s="467"/>
      <c r="BU2" s="467"/>
      <c r="BV2" s="467"/>
      <c r="BW2" s="467" t="s">
        <v>1877</v>
      </c>
      <c r="BX2" s="469">
        <v>41061</v>
      </c>
      <c r="BY2" s="472">
        <f t="shared" ref="BY2:BY15" si="6">BQ2/Q2</f>
        <v>5.6213963963963964</v>
      </c>
      <c r="BZ2" s="472"/>
    </row>
    <row r="3" spans="1:78" x14ac:dyDescent="0.25">
      <c r="A3" s="281" t="s">
        <v>176</v>
      </c>
      <c r="B3" s="281" t="s">
        <v>94</v>
      </c>
      <c r="C3" s="302" t="s">
        <v>94</v>
      </c>
      <c r="D3" s="529" t="s">
        <v>2006</v>
      </c>
      <c r="E3" s="281">
        <v>3</v>
      </c>
      <c r="F3" s="281" t="str">
        <f t="shared" ref="F3:F15" si="7">LEFT(B3,2)</f>
        <v>SA</v>
      </c>
      <c r="G3" s="281" t="s">
        <v>17</v>
      </c>
      <c r="H3" s="384" t="s">
        <v>15</v>
      </c>
      <c r="I3" s="281" t="s">
        <v>16</v>
      </c>
      <c r="J3" s="281" t="s">
        <v>298</v>
      </c>
      <c r="K3" s="281" t="s">
        <v>18</v>
      </c>
      <c r="L3" s="384" t="s">
        <v>1410</v>
      </c>
      <c r="M3" s="292" t="s">
        <v>74</v>
      </c>
      <c r="N3" s="292">
        <v>0</v>
      </c>
      <c r="O3" s="13">
        <f t="shared" si="0"/>
        <v>41025.541666666664</v>
      </c>
      <c r="P3" s="284">
        <v>41078.75</v>
      </c>
      <c r="Q3" s="15">
        <v>53.208333333335759</v>
      </c>
      <c r="R3" s="334">
        <f>IF(ISERROR(VLOOKUP(G3,'Planning and Target Times'!$L$1:$AJ$6,MATCH(K3&amp;"_"&amp;L3&amp;"_"&amp;J3,INDEX('Planning and Target Times'!$L$1:$AJ$6,1,0),0),0)+5),"",(VLOOKUP(G3,'Planning and Target Times'!$L$1:$AJ$6,MATCH(K3&amp;"_"&amp;L3&amp;"_"&amp;J3,INDEX('Planning and Target Times'!$L$1:$AJ$6,1,0),0),0)+5))</f>
        <v>61</v>
      </c>
      <c r="S3" s="420">
        <f t="shared" si="1"/>
        <v>56</v>
      </c>
      <c r="T3" s="392">
        <f>VLOOKUP(G3,'Planning and Target Times'!$A$7:$G$12,MATCH(K3&amp;"-"&amp;L3&amp;"-"&amp;J3,INDEX('Planning and Target Times'!$A$7:$G$12,1,0),0),0)</f>
        <v>27</v>
      </c>
      <c r="U3" s="292">
        <v>1.0416666666642413</v>
      </c>
      <c r="V3" s="14">
        <f t="shared" si="2"/>
        <v>54.25</v>
      </c>
      <c r="W3" s="292">
        <v>4170</v>
      </c>
      <c r="X3" s="286" t="str">
        <f t="shared" si="3"/>
        <v>MA</v>
      </c>
      <c r="Y3" s="302">
        <v>12633</v>
      </c>
      <c r="Z3" s="302"/>
      <c r="AA3" s="302">
        <v>6123</v>
      </c>
      <c r="AB3" s="302">
        <v>8463</v>
      </c>
      <c r="AC3" s="302"/>
      <c r="AD3" s="302"/>
      <c r="AE3" s="292"/>
      <c r="AF3" s="292"/>
      <c r="AG3" s="292"/>
      <c r="AH3" s="292"/>
      <c r="AI3" s="292"/>
      <c r="AJ3" s="292"/>
      <c r="AK3" s="292"/>
      <c r="AL3" s="282" t="str">
        <f>VLOOKUP(G3,'Planning and Target Times'!$I$2:$J$7,2,0)</f>
        <v>Carbonate</v>
      </c>
      <c r="AM3" s="14">
        <f t="shared" si="4"/>
        <v>-6.75</v>
      </c>
      <c r="AN3" s="292">
        <v>10.644041650597764</v>
      </c>
      <c r="AO3" s="14">
        <f t="shared" si="5"/>
        <v>13.537353171495077</v>
      </c>
      <c r="AP3" s="283">
        <f>VLOOKUP(G3,'Planning and Target Times'!$A$43:$L$47,MATCH(F3&amp;"-"&amp;K3&amp;"-"&amp;L3&amp;"-"&amp;J3,INDEX('Planning and Target Times'!$A$43:$L$47,1,0),0),0)</f>
        <v>20</v>
      </c>
      <c r="AQ3" s="385" t="s">
        <v>83</v>
      </c>
      <c r="AR3" s="302">
        <v>1</v>
      </c>
      <c r="AS3" s="384" t="s">
        <v>33</v>
      </c>
      <c r="AT3" s="282" t="s">
        <v>39</v>
      </c>
      <c r="AU3" s="292">
        <v>0.95</v>
      </c>
      <c r="AV3" s="292"/>
      <c r="AW3" s="292"/>
      <c r="AX3" s="281"/>
      <c r="AY3" s="281"/>
      <c r="AZ3" s="283" t="s">
        <v>299</v>
      </c>
      <c r="BA3" s="292">
        <v>10</v>
      </c>
      <c r="BB3" s="292">
        <v>10</v>
      </c>
      <c r="BC3" s="292">
        <v>2200</v>
      </c>
      <c r="BD3" s="282">
        <v>2401</v>
      </c>
      <c r="BE3" s="282">
        <v>70</v>
      </c>
      <c r="BF3" s="282">
        <f t="shared" ref="BF3:BF17" si="8">(1-BE3/100)*BD3</f>
        <v>720.30000000000007</v>
      </c>
      <c r="BG3" s="282"/>
      <c r="BH3" s="292" t="s">
        <v>381</v>
      </c>
      <c r="BI3" s="283">
        <v>285765</v>
      </c>
      <c r="BJ3" s="292"/>
      <c r="BK3" s="302">
        <f>COUNT(P$2:P3)</f>
        <v>2</v>
      </c>
      <c r="BL3" s="302">
        <f>SUMPRODUCT(--(YEAR(P$2:P3)=YEAR(P3)))</f>
        <v>2</v>
      </c>
      <c r="BM3" s="302">
        <f t="shared" ref="BM3:BM34" si="9">IF(AND(MONTH(P2)&lt;&gt;4,MONTH(P3)=4),1,BM2+1)</f>
        <v>2</v>
      </c>
      <c r="BN3" s="292">
        <v>0</v>
      </c>
      <c r="BO3" s="292"/>
      <c r="BP3" s="292"/>
      <c r="BQ3" s="467">
        <v>1649.0266666666666</v>
      </c>
      <c r="BR3" s="467">
        <v>1464.61</v>
      </c>
      <c r="BS3" s="467">
        <v>1134.2133333333331</v>
      </c>
      <c r="BT3" s="467"/>
      <c r="BU3" s="467"/>
      <c r="BV3" s="467"/>
      <c r="BW3" s="467" t="s">
        <v>1877</v>
      </c>
      <c r="BX3" s="469">
        <v>41061</v>
      </c>
      <c r="BY3" s="472">
        <f t="shared" si="6"/>
        <v>30.991887235707278</v>
      </c>
    </row>
    <row r="4" spans="1:78" x14ac:dyDescent="0.25">
      <c r="A4" s="281" t="s">
        <v>177</v>
      </c>
      <c r="B4" s="281" t="s">
        <v>95</v>
      </c>
      <c r="C4" s="302" t="s">
        <v>95</v>
      </c>
      <c r="D4" s="529" t="s">
        <v>2007</v>
      </c>
      <c r="E4" s="281">
        <v>5</v>
      </c>
      <c r="F4" s="281" t="str">
        <f t="shared" si="7"/>
        <v>RA</v>
      </c>
      <c r="G4" s="281" t="s">
        <v>17</v>
      </c>
      <c r="H4" s="384" t="s">
        <v>19</v>
      </c>
      <c r="I4" s="384" t="s">
        <v>20</v>
      </c>
      <c r="J4" s="281" t="s">
        <v>298</v>
      </c>
      <c r="K4" s="281" t="s">
        <v>14</v>
      </c>
      <c r="L4" s="384" t="s">
        <v>1410</v>
      </c>
      <c r="M4" s="292" t="s">
        <v>61</v>
      </c>
      <c r="N4" s="281">
        <v>0</v>
      </c>
      <c r="O4" s="13">
        <f t="shared" si="0"/>
        <v>41006.291666666664</v>
      </c>
      <c r="P4" s="284">
        <v>41091.875</v>
      </c>
      <c r="Q4" s="15">
        <v>85.583333333335759</v>
      </c>
      <c r="R4" s="334">
        <f>IF(ISERROR(VLOOKUP(G4,'Planning and Target Times'!$L$1:$AJ$6,MATCH(K4&amp;"_"&amp;L4&amp;"_"&amp;J4,INDEX('Planning and Target Times'!$L$1:$AJ$6,1,0),0),0)+5),"",(VLOOKUP(G4,'Planning and Target Times'!$L$1:$AJ$6,MATCH(K4&amp;"_"&amp;L4&amp;"_"&amp;J4,INDEX('Planning and Target Times'!$L$1:$AJ$6,1,0),0),0)+5))</f>
        <v>75</v>
      </c>
      <c r="S4" s="420">
        <f t="shared" si="1"/>
        <v>70</v>
      </c>
      <c r="T4" s="392">
        <f>VLOOKUP(G4,'Planning and Target Times'!$A$7:$G$12,MATCH(K4&amp;"-"&amp;L4&amp;"-"&amp;J4,INDEX('Planning and Target Times'!$A$7:$G$12,1,0),0),0)</f>
        <v>35</v>
      </c>
      <c r="U4" s="292">
        <v>1.5833333333284827</v>
      </c>
      <c r="V4" s="14">
        <f t="shared" si="2"/>
        <v>87.166666666664241</v>
      </c>
      <c r="W4" s="292">
        <v>5343</v>
      </c>
      <c r="X4" s="286" t="str">
        <f t="shared" si="3"/>
        <v>MA</v>
      </c>
      <c r="Y4" s="302">
        <v>14860</v>
      </c>
      <c r="Z4" s="302">
        <v>6205</v>
      </c>
      <c r="AA4" s="302">
        <v>8147</v>
      </c>
      <c r="AB4" s="302">
        <v>9517</v>
      </c>
      <c r="AC4" s="302"/>
      <c r="AD4" s="302"/>
      <c r="AE4" s="292"/>
      <c r="AF4" s="292"/>
      <c r="AG4" s="292"/>
      <c r="AH4" s="292"/>
      <c r="AI4" s="292"/>
      <c r="AJ4" s="292"/>
      <c r="AK4" s="282">
        <f>IF(ISERROR(VLOOKUP(G4,'Planning and Target Times'!$B$106:$D$110,MATCH(F4,INDEX('Planning and Target Times'!$B$106:$D$110,1,0),0),0)),"",(VLOOKUP(G4,'Planning and Target Times'!$B$106:$D$110,MATCH(F4,INDEX('Planning and Target Times'!$B$106:$D$110,1,0),0),0)))</f>
        <v>650</v>
      </c>
      <c r="AL4" s="282" t="str">
        <f>VLOOKUP(G4,'Planning and Target Times'!$I$2:$J$7,2,0)</f>
        <v>Carbonate</v>
      </c>
      <c r="AM4" s="14">
        <f t="shared" si="4"/>
        <v>12.166666666664241</v>
      </c>
      <c r="AN4" s="292">
        <v>13.109464627151054</v>
      </c>
      <c r="AO4" s="14">
        <f t="shared" si="5"/>
        <v>16.20198636806186</v>
      </c>
      <c r="AP4" s="283">
        <f>VLOOKUP(G4,'Planning and Target Times'!$A$43:$L$47,MATCH(F4&amp;"-"&amp;K4&amp;"-"&amp;L4&amp;"-"&amp;J4,INDEX('Planning and Target Times'!$A$43:$L$47,1,0),0),0)</f>
        <v>16</v>
      </c>
      <c r="AQ4" s="385" t="s">
        <v>83</v>
      </c>
      <c r="AR4" s="302">
        <v>1</v>
      </c>
      <c r="AS4" s="384" t="s">
        <v>10</v>
      </c>
      <c r="AT4" s="282" t="s">
        <v>39</v>
      </c>
      <c r="AU4" s="292">
        <v>0.63</v>
      </c>
      <c r="AV4" s="292"/>
      <c r="AW4" s="292"/>
      <c r="AX4" s="281"/>
      <c r="AY4" s="281"/>
      <c r="AZ4" s="283" t="s">
        <v>299</v>
      </c>
      <c r="BA4" s="292">
        <v>16</v>
      </c>
      <c r="BB4" s="292">
        <v>8</v>
      </c>
      <c r="BC4" s="292">
        <v>2500</v>
      </c>
      <c r="BD4" s="292">
        <v>1691</v>
      </c>
      <c r="BE4" s="282">
        <v>18</v>
      </c>
      <c r="BF4" s="282">
        <f t="shared" si="8"/>
        <v>1386.6200000000001</v>
      </c>
      <c r="BG4" s="282"/>
      <c r="BH4" s="292" t="s">
        <v>336</v>
      </c>
      <c r="BI4" s="283">
        <v>285305</v>
      </c>
      <c r="BJ4" s="292"/>
      <c r="BK4" s="302">
        <f>COUNT(P$2:P4)</f>
        <v>3</v>
      </c>
      <c r="BL4" s="302">
        <f>SUMPRODUCT(--(YEAR(P$2:P4)=YEAR(P4)))</f>
        <v>3</v>
      </c>
      <c r="BM4" s="302">
        <f t="shared" si="9"/>
        <v>3</v>
      </c>
      <c r="BN4" s="292">
        <v>0</v>
      </c>
      <c r="BO4" s="292"/>
      <c r="BP4" s="292"/>
      <c r="BQ4" s="467">
        <v>1455.34</v>
      </c>
      <c r="BR4" s="467">
        <v>1456.7483333333332</v>
      </c>
      <c r="BS4" s="467">
        <v>1452.0033333333331</v>
      </c>
      <c r="BT4" s="467"/>
      <c r="BU4" s="467"/>
      <c r="BV4" s="467"/>
      <c r="BW4" s="467" t="s">
        <v>1877</v>
      </c>
      <c r="BX4" s="469">
        <v>41122</v>
      </c>
      <c r="BY4" s="472">
        <f t="shared" si="6"/>
        <v>17.00494644595862</v>
      </c>
    </row>
    <row r="5" spans="1:78" ht="15" customHeight="1" x14ac:dyDescent="0.25">
      <c r="A5" s="281" t="s">
        <v>178</v>
      </c>
      <c r="B5" s="281" t="s">
        <v>96</v>
      </c>
      <c r="C5" s="302" t="s">
        <v>96</v>
      </c>
      <c r="D5" s="529" t="s">
        <v>2008</v>
      </c>
      <c r="E5" s="281">
        <v>4</v>
      </c>
      <c r="F5" s="281" t="str">
        <f t="shared" si="7"/>
        <v>SA</v>
      </c>
      <c r="G5" s="281" t="s">
        <v>22</v>
      </c>
      <c r="H5" s="384" t="s">
        <v>21</v>
      </c>
      <c r="I5" s="281" t="s">
        <v>16</v>
      </c>
      <c r="J5" s="281" t="s">
        <v>298</v>
      </c>
      <c r="K5" s="281" t="s">
        <v>18</v>
      </c>
      <c r="L5" s="384" t="s">
        <v>1410</v>
      </c>
      <c r="M5" s="384" t="s">
        <v>74</v>
      </c>
      <c r="N5" s="292">
        <v>1</v>
      </c>
      <c r="O5" s="13">
        <f t="shared" si="0"/>
        <v>41069.708333333336</v>
      </c>
      <c r="P5" s="284">
        <v>41107.75</v>
      </c>
      <c r="Q5" s="15">
        <v>38.041666666664241</v>
      </c>
      <c r="R5" s="334">
        <f>IF(ISERROR(VLOOKUP(G5,'Planning and Target Times'!$L$1:$AJ$6,MATCH(K5&amp;"_"&amp;L5&amp;"_"&amp;J5,INDEX('Planning and Target Times'!$L$1:$AJ$6,1,0),0),0)+5),"",(VLOOKUP(G5,'Planning and Target Times'!$L$1:$AJ$6,MATCH(K5&amp;"_"&amp;L5&amp;"_"&amp;J5,INDEX('Planning and Target Times'!$L$1:$AJ$6,1,0),0),0)+5))</f>
        <v>75</v>
      </c>
      <c r="S5" s="420">
        <f t="shared" si="1"/>
        <v>70</v>
      </c>
      <c r="T5" s="392" t="str">
        <f>VLOOKUP(G5,'Planning and Target Times'!$A$7:$G$12,MATCH(K5&amp;"-"&amp;L5&amp;"-"&amp;J5,INDEX('Planning and Target Times'!$A$7:$G$12,1,0),0),0)</f>
        <v>N/A</v>
      </c>
      <c r="U5" s="292">
        <v>12.291666666671517</v>
      </c>
      <c r="V5" s="14">
        <f t="shared" si="2"/>
        <v>50.333333333335759</v>
      </c>
      <c r="W5" s="292">
        <v>775</v>
      </c>
      <c r="X5" s="286" t="str">
        <f t="shared" si="3"/>
        <v>LB</v>
      </c>
      <c r="Y5" s="302">
        <v>9778</v>
      </c>
      <c r="Z5" s="302">
        <v>5971</v>
      </c>
      <c r="AA5" s="302">
        <v>8296</v>
      </c>
      <c r="AB5" s="302">
        <v>8934</v>
      </c>
      <c r="AC5" s="302"/>
      <c r="AD5" s="302"/>
      <c r="AE5" s="292"/>
      <c r="AF5" s="292"/>
      <c r="AG5" s="292"/>
      <c r="AH5" s="292"/>
      <c r="AI5" s="292"/>
      <c r="AJ5" s="292"/>
      <c r="AK5" s="282">
        <f>IF(ISERROR(VLOOKUP(G5,'Planning and Target Times'!$B$106:$D$110,MATCH(F5,INDEX('Planning and Target Times'!$B$106:$D$110,1,0),0),0)),"",(VLOOKUP(G5,'Planning and Target Times'!$B$106:$D$110,MATCH(F5,INDEX('Planning and Target Times'!$B$106:$D$110,1,0),0),0)))</f>
        <v>550</v>
      </c>
      <c r="AL5" s="282" t="str">
        <f>VLOOKUP(G5,'Planning and Target Times'!$I$2:$J$7,2,0)</f>
        <v>Sandstone</v>
      </c>
      <c r="AM5" s="14">
        <f t="shared" si="4"/>
        <v>-24.666666666664241</v>
      </c>
      <c r="AN5" s="292">
        <v>6.7466887417218544</v>
      </c>
      <c r="AO5" s="14">
        <f t="shared" si="5"/>
        <v>0</v>
      </c>
      <c r="AP5" s="283" t="str">
        <f>VLOOKUP(G5,'Planning and Target Times'!$A$43:$L$47,MATCH(F5&amp;"-"&amp;K5&amp;"-"&amp;L5&amp;"-"&amp;J5,INDEX('Planning and Target Times'!$A$43:$L$47,1,0),0),0)</f>
        <v>N/A</v>
      </c>
      <c r="AQ5" s="385" t="s">
        <v>83</v>
      </c>
      <c r="AR5" s="302">
        <v>1</v>
      </c>
      <c r="AS5" s="384" t="s">
        <v>10</v>
      </c>
      <c r="AT5" s="21" t="s">
        <v>341</v>
      </c>
      <c r="AU5" s="292">
        <v>1</v>
      </c>
      <c r="AV5" s="292"/>
      <c r="AW5" s="292"/>
      <c r="AX5" s="281"/>
      <c r="AY5" s="281"/>
      <c r="AZ5" s="292" t="s">
        <v>10</v>
      </c>
      <c r="BA5" s="292">
        <v>18</v>
      </c>
      <c r="BB5" s="292">
        <v>10</v>
      </c>
      <c r="BC5" s="292">
        <v>3000</v>
      </c>
      <c r="BD5" s="292"/>
      <c r="BE5" s="292"/>
      <c r="BF5" s="282">
        <f t="shared" si="8"/>
        <v>0</v>
      </c>
      <c r="BG5" s="282"/>
      <c r="BH5" s="292"/>
      <c r="BI5" s="283">
        <v>285144</v>
      </c>
      <c r="BJ5" s="292"/>
      <c r="BK5" s="302">
        <f>COUNT(P$2:P5)</f>
        <v>4</v>
      </c>
      <c r="BL5" s="302">
        <f>SUMPRODUCT(--(YEAR(P$2:P5)=YEAR(P5)))</f>
        <v>4</v>
      </c>
      <c r="BM5" s="302">
        <f t="shared" si="9"/>
        <v>4</v>
      </c>
      <c r="BN5" s="292">
        <v>0</v>
      </c>
      <c r="BO5" s="292"/>
      <c r="BP5" s="292"/>
      <c r="BQ5" s="467">
        <v>1479.4633333333334</v>
      </c>
      <c r="BR5" s="467">
        <v>1216.1383333333333</v>
      </c>
      <c r="BS5" s="467">
        <v>1026.6274999999998</v>
      </c>
      <c r="BT5" s="467"/>
      <c r="BU5" s="467"/>
      <c r="BV5" s="467"/>
      <c r="BW5" s="467" t="s">
        <v>1877</v>
      </c>
      <c r="BX5" s="469">
        <v>41122</v>
      </c>
      <c r="BY5" s="472">
        <f t="shared" si="6"/>
        <v>38.890602409641033</v>
      </c>
    </row>
    <row r="6" spans="1:78" ht="15" customHeight="1" x14ac:dyDescent="0.25">
      <c r="A6" s="281" t="s">
        <v>179</v>
      </c>
      <c r="B6" s="281" t="s">
        <v>432</v>
      </c>
      <c r="C6" s="302" t="s">
        <v>432</v>
      </c>
      <c r="D6" s="529" t="s">
        <v>2009</v>
      </c>
      <c r="E6" s="281">
        <v>4</v>
      </c>
      <c r="F6" s="281" t="str">
        <f t="shared" si="7"/>
        <v>SA</v>
      </c>
      <c r="G6" s="281" t="s">
        <v>17</v>
      </c>
      <c r="H6" s="384" t="s">
        <v>23</v>
      </c>
      <c r="I6" s="281" t="s">
        <v>24</v>
      </c>
      <c r="J6" s="281" t="s">
        <v>298</v>
      </c>
      <c r="K6" s="281" t="s">
        <v>18</v>
      </c>
      <c r="L6" s="384" t="s">
        <v>1410</v>
      </c>
      <c r="M6" s="384" t="s">
        <v>61</v>
      </c>
      <c r="N6" s="292">
        <v>0</v>
      </c>
      <c r="O6" s="13">
        <f t="shared" si="0"/>
        <v>41046.416666666664</v>
      </c>
      <c r="P6" s="284">
        <v>41120.916666666664</v>
      </c>
      <c r="Q6" s="15">
        <v>74.5</v>
      </c>
      <c r="R6" s="334">
        <f>IF(ISERROR(VLOOKUP(G6,'Planning and Target Times'!$L$1:$AJ$6,MATCH(K6&amp;"_"&amp;L6&amp;"_"&amp;J6,INDEX('Planning and Target Times'!$L$1:$AJ$6,1,0),0),0)+5),"",(VLOOKUP(G6,'Planning and Target Times'!$L$1:$AJ$6,MATCH(K6&amp;"_"&amp;L6&amp;"_"&amp;J6,INDEX('Planning and Target Times'!$L$1:$AJ$6,1,0),0),0)+5))</f>
        <v>61</v>
      </c>
      <c r="S6" s="420">
        <f t="shared" si="1"/>
        <v>56</v>
      </c>
      <c r="T6" s="392">
        <f>VLOOKUP(G6,'Planning and Target Times'!$A$7:$G$12,MATCH(K6&amp;"-"&amp;L6&amp;"-"&amp;J6,INDEX('Planning and Target Times'!$A$7:$G$12,1,0),0),0)</f>
        <v>27</v>
      </c>
      <c r="U6" s="292">
        <v>5.1666666666642413</v>
      </c>
      <c r="V6" s="14">
        <f t="shared" si="2"/>
        <v>79.666666666664241</v>
      </c>
      <c r="W6" s="292">
        <v>4180</v>
      </c>
      <c r="X6" s="286" t="str">
        <f t="shared" si="3"/>
        <v>MA</v>
      </c>
      <c r="Y6" s="302">
        <v>13000</v>
      </c>
      <c r="Z6" s="302">
        <v>6220</v>
      </c>
      <c r="AA6" s="302">
        <v>6307</v>
      </c>
      <c r="AB6" s="302">
        <v>8820</v>
      </c>
      <c r="AC6" s="302"/>
      <c r="AD6" s="302">
        <v>13000</v>
      </c>
      <c r="AE6" s="292"/>
      <c r="AF6" s="292"/>
      <c r="AG6" s="292"/>
      <c r="AH6" s="292"/>
      <c r="AI6" s="292"/>
      <c r="AJ6" s="292"/>
      <c r="AK6" s="282">
        <f>IF(ISERROR(VLOOKUP(G6,'Planning and Target Times'!$B$106:$D$110,MATCH(F6,INDEX('Planning and Target Times'!$B$106:$D$110,1,0),0),0)),"",(VLOOKUP(G6,'Planning and Target Times'!$B$106:$D$110,MATCH(F6,INDEX('Planning and Target Times'!$B$106:$D$110,1,0),0),0)))</f>
        <v>740</v>
      </c>
      <c r="AL6" s="282" t="str">
        <f>VLOOKUP(G6,'Planning and Target Times'!$I$2:$J$7,2,0)</f>
        <v>Carbonate</v>
      </c>
      <c r="AM6" s="14">
        <f t="shared" si="4"/>
        <v>18.666666666664241</v>
      </c>
      <c r="AN6" s="292">
        <v>8.2830930537352554</v>
      </c>
      <c r="AO6" s="14">
        <f t="shared" si="5"/>
        <v>10.691006711409397</v>
      </c>
      <c r="AP6" s="283">
        <f>VLOOKUP(G6,'Planning and Target Times'!$A$43:$L$47,MATCH(F6&amp;"-"&amp;K6&amp;"-"&amp;L6&amp;"-"&amp;J6,INDEX('Planning and Target Times'!$A$43:$L$47,1,0),0),0)</f>
        <v>20</v>
      </c>
      <c r="AQ6" s="385" t="s">
        <v>83</v>
      </c>
      <c r="AR6" s="302">
        <v>1</v>
      </c>
      <c r="AS6" s="384" t="s">
        <v>10</v>
      </c>
      <c r="AT6" s="282" t="s">
        <v>39</v>
      </c>
      <c r="AU6" s="292">
        <v>1</v>
      </c>
      <c r="AV6" s="292"/>
      <c r="AW6" s="292"/>
      <c r="AX6" s="281"/>
      <c r="AY6" s="281"/>
      <c r="AZ6" s="283" t="s">
        <v>299</v>
      </c>
      <c r="BA6" s="292">
        <v>22</v>
      </c>
      <c r="BB6" s="292">
        <v>10</v>
      </c>
      <c r="BC6" s="292">
        <v>2000</v>
      </c>
      <c r="BD6" s="292">
        <v>1048</v>
      </c>
      <c r="BE6" s="282">
        <v>24</v>
      </c>
      <c r="BF6" s="282">
        <f t="shared" si="8"/>
        <v>796.48</v>
      </c>
      <c r="BG6" s="282"/>
      <c r="BH6" s="292" t="s">
        <v>373</v>
      </c>
      <c r="BI6" s="283">
        <v>285756</v>
      </c>
      <c r="BJ6" s="292"/>
      <c r="BK6" s="302">
        <f>COUNT(P$2:P6)</f>
        <v>5</v>
      </c>
      <c r="BL6" s="302">
        <f>SUMPRODUCT(--(YEAR(P$2:P6)=YEAR(P6)))</f>
        <v>5</v>
      </c>
      <c r="BM6" s="302">
        <f t="shared" si="9"/>
        <v>5</v>
      </c>
      <c r="BN6" s="292">
        <v>0</v>
      </c>
      <c r="BO6" s="292"/>
      <c r="BP6" s="292"/>
      <c r="BQ6" s="467">
        <v>297.37333333333333</v>
      </c>
      <c r="BR6" s="467">
        <v>261.25833333333338</v>
      </c>
      <c r="BS6" s="467">
        <v>226.50250000000003</v>
      </c>
      <c r="BT6" s="467"/>
      <c r="BU6" s="467"/>
      <c r="BV6" s="467"/>
      <c r="BW6" s="467" t="s">
        <v>1877</v>
      </c>
      <c r="BX6" s="469">
        <v>41122</v>
      </c>
      <c r="BY6" s="472">
        <f t="shared" si="6"/>
        <v>3.9915883668903804</v>
      </c>
    </row>
    <row r="7" spans="1:78" ht="15" customHeight="1" x14ac:dyDescent="0.25">
      <c r="A7" s="384" t="s">
        <v>180</v>
      </c>
      <c r="B7" s="384" t="s">
        <v>97</v>
      </c>
      <c r="C7" s="302" t="s">
        <v>560</v>
      </c>
      <c r="D7" s="529" t="s">
        <v>2010</v>
      </c>
      <c r="E7" s="384">
        <v>5</v>
      </c>
      <c r="F7" s="384" t="str">
        <f t="shared" si="7"/>
        <v>RA</v>
      </c>
      <c r="G7" s="384" t="s">
        <v>22</v>
      </c>
      <c r="H7" s="384" t="s">
        <v>25</v>
      </c>
      <c r="I7" s="384" t="s">
        <v>16</v>
      </c>
      <c r="J7" s="281" t="s">
        <v>298</v>
      </c>
      <c r="K7" s="281" t="s">
        <v>14</v>
      </c>
      <c r="L7" s="384" t="s">
        <v>1410</v>
      </c>
      <c r="M7" s="384" t="s">
        <v>61</v>
      </c>
      <c r="N7" s="281">
        <v>3</v>
      </c>
      <c r="O7" s="13">
        <f t="shared" si="0"/>
        <v>41009.708333333336</v>
      </c>
      <c r="P7" s="284">
        <v>41126.25</v>
      </c>
      <c r="Q7" s="15">
        <v>116.54166666666424</v>
      </c>
      <c r="R7" s="334">
        <f>IF(ISERROR(VLOOKUP(G7,'Planning and Target Times'!$L$1:$AJ$6,MATCH(K7&amp;"_"&amp;L7&amp;"_"&amp;J7,INDEX('Planning and Target Times'!$L$1:$AJ$6,1,0),0),0)+5),"",(VLOOKUP(G7,'Planning and Target Times'!$L$1:$AJ$6,MATCH(K7&amp;"_"&amp;L7&amp;"_"&amp;J7,INDEX('Planning and Target Times'!$L$1:$AJ$6,1,0),0),0)+5))</f>
        <v>75</v>
      </c>
      <c r="S7" s="420">
        <f t="shared" si="1"/>
        <v>70</v>
      </c>
      <c r="T7" s="392">
        <f>VLOOKUP(G7,'Planning and Target Times'!$A$7:$G$12,MATCH(K7&amp;"-"&amp;L7&amp;"-"&amp;J7,INDEX('Planning and Target Times'!$A$7:$G$12,1,0),0),0)</f>
        <v>35</v>
      </c>
      <c r="U7" s="292">
        <v>1.2083333333357587</v>
      </c>
      <c r="V7" s="14">
        <f t="shared" si="2"/>
        <v>117.75</v>
      </c>
      <c r="W7" s="292">
        <v>1314</v>
      </c>
      <c r="X7" s="286" t="str">
        <f t="shared" si="3"/>
        <v>LB</v>
      </c>
      <c r="Y7" s="302">
        <v>10908</v>
      </c>
      <c r="Z7" s="302">
        <v>6088</v>
      </c>
      <c r="AA7" s="302">
        <v>8452</v>
      </c>
      <c r="AB7" s="302">
        <v>9594</v>
      </c>
      <c r="AC7" s="302"/>
      <c r="AD7" s="302">
        <v>10908</v>
      </c>
      <c r="AE7" s="292"/>
      <c r="AF7" s="292"/>
      <c r="AG7" s="292"/>
      <c r="AH7" s="292"/>
      <c r="AI7" s="292"/>
      <c r="AJ7" s="292"/>
      <c r="AK7" s="282">
        <f>IF(ISERROR(VLOOKUP(G7,'Planning and Target Times'!$B$106:$D$110,MATCH(F7,INDEX('Planning and Target Times'!$B$106:$D$110,1,0),0),0)),"",(VLOOKUP(G7,'Planning and Target Times'!$B$106:$D$110,MATCH(F7,INDEX('Planning and Target Times'!$B$106:$D$110,1,0),0),0)))</f>
        <v>900</v>
      </c>
      <c r="AL7" s="282" t="str">
        <f>VLOOKUP(G7,'Planning and Target Times'!$I$2:$J$7,2,0)</f>
        <v>Sandstone</v>
      </c>
      <c r="AM7" s="14">
        <f t="shared" si="4"/>
        <v>42.75</v>
      </c>
      <c r="AN7" s="292">
        <v>39.096683133380381</v>
      </c>
      <c r="AO7" s="14">
        <f t="shared" si="5"/>
        <v>33.745355738291728</v>
      </c>
      <c r="AP7" s="283">
        <f>VLOOKUP(G7,'Planning and Target Times'!$A$43:$L$47,MATCH(F7&amp;"-"&amp;K7&amp;"-"&amp;L7&amp;"-"&amp;J7,INDEX('Planning and Target Times'!$A$43:$L$47,1,0),0),0)</f>
        <v>29</v>
      </c>
      <c r="AQ7" s="385" t="s">
        <v>83</v>
      </c>
      <c r="AR7" s="302">
        <v>1</v>
      </c>
      <c r="AS7" s="384" t="s">
        <v>10</v>
      </c>
      <c r="AT7" s="282" t="s">
        <v>39</v>
      </c>
      <c r="AU7" s="292">
        <v>1</v>
      </c>
      <c r="AV7" s="292"/>
      <c r="AW7" s="292"/>
      <c r="AX7" s="281"/>
      <c r="AY7" s="281"/>
      <c r="AZ7" s="292" t="s">
        <v>10</v>
      </c>
      <c r="BA7" s="292">
        <v>30</v>
      </c>
      <c r="BB7" s="292">
        <v>9</v>
      </c>
      <c r="BC7" s="292">
        <v>4000</v>
      </c>
      <c r="BD7" s="292">
        <v>4013</v>
      </c>
      <c r="BE7" s="282">
        <v>2</v>
      </c>
      <c r="BF7" s="282">
        <f t="shared" si="8"/>
        <v>3932.74</v>
      </c>
      <c r="BG7" s="282"/>
      <c r="BH7" s="292" t="s">
        <v>342</v>
      </c>
      <c r="BI7" s="283">
        <v>285353</v>
      </c>
      <c r="BJ7" s="292"/>
      <c r="BK7" s="302">
        <f>COUNT(P$2:P7)</f>
        <v>6</v>
      </c>
      <c r="BL7" s="302">
        <f>SUMPRODUCT(--(YEAR(P$2:P7)=YEAR(P7)))</f>
        <v>6</v>
      </c>
      <c r="BM7" s="302">
        <f t="shared" si="9"/>
        <v>6</v>
      </c>
      <c r="BN7" s="292">
        <v>0</v>
      </c>
      <c r="BO7" s="292"/>
      <c r="BP7" s="292"/>
      <c r="BQ7" s="467">
        <v>2796.4333333333329</v>
      </c>
      <c r="BR7" s="467">
        <v>3317.7249999999999</v>
      </c>
      <c r="BS7" s="467">
        <v>3365.4133333333334</v>
      </c>
      <c r="BT7" s="467"/>
      <c r="BU7" s="467"/>
      <c r="BV7" s="467"/>
      <c r="BW7" s="467" t="s">
        <v>1877</v>
      </c>
      <c r="BX7" s="469">
        <v>41122</v>
      </c>
      <c r="BY7" s="472">
        <f t="shared" si="6"/>
        <v>23.99513764747994</v>
      </c>
    </row>
    <row r="8" spans="1:78" ht="15" customHeight="1" x14ac:dyDescent="0.25">
      <c r="A8" s="384" t="s">
        <v>181</v>
      </c>
      <c r="B8" s="384" t="s">
        <v>98</v>
      </c>
      <c r="C8" s="302" t="s">
        <v>537</v>
      </c>
      <c r="D8" s="529" t="s">
        <v>2011</v>
      </c>
      <c r="E8" s="384">
        <v>5</v>
      </c>
      <c r="F8" s="384" t="str">
        <f t="shared" si="7"/>
        <v>RA</v>
      </c>
      <c r="G8" s="384" t="s">
        <v>22</v>
      </c>
      <c r="H8" s="384" t="s">
        <v>26</v>
      </c>
      <c r="I8" s="384" t="s">
        <v>16</v>
      </c>
      <c r="J8" s="281" t="s">
        <v>298</v>
      </c>
      <c r="K8" s="281" t="s">
        <v>14</v>
      </c>
      <c r="L8" s="384" t="s">
        <v>1410</v>
      </c>
      <c r="M8" s="384" t="s">
        <v>60</v>
      </c>
      <c r="N8" s="281">
        <v>1</v>
      </c>
      <c r="O8" s="13">
        <f t="shared" si="0"/>
        <v>41051.916666666664</v>
      </c>
      <c r="P8" s="284">
        <v>41130.854166666664</v>
      </c>
      <c r="Q8" s="15">
        <v>78.9375</v>
      </c>
      <c r="R8" s="334">
        <f>IF(ISERROR(VLOOKUP(G8,'Planning and Target Times'!$L$1:$AJ$6,MATCH(K8&amp;"_"&amp;L8&amp;"_"&amp;J8,INDEX('Planning and Target Times'!$L$1:$AJ$6,1,0),0),0)+5),"",(VLOOKUP(G8,'Planning and Target Times'!$L$1:$AJ$6,MATCH(K8&amp;"_"&amp;L8&amp;"_"&amp;J8,INDEX('Planning and Target Times'!$L$1:$AJ$6,1,0),0),0)+5))</f>
        <v>75</v>
      </c>
      <c r="S8" s="420">
        <f t="shared" si="1"/>
        <v>70</v>
      </c>
      <c r="T8" s="392">
        <f>VLOOKUP(G8,'Planning and Target Times'!$A$7:$G$12,MATCH(K8&amp;"-"&amp;L8&amp;"-"&amp;J8,INDEX('Planning and Target Times'!$A$7:$G$12,1,0),0),0)</f>
        <v>35</v>
      </c>
      <c r="U8" s="292">
        <v>7.0416666666642413</v>
      </c>
      <c r="V8" s="14">
        <f t="shared" si="2"/>
        <v>85.979166666664241</v>
      </c>
      <c r="W8" s="292">
        <v>508</v>
      </c>
      <c r="X8" s="286" t="str">
        <f t="shared" si="3"/>
        <v>LB</v>
      </c>
      <c r="Y8" s="302">
        <v>9686</v>
      </c>
      <c r="Z8" s="302">
        <v>6155</v>
      </c>
      <c r="AA8" s="302">
        <v>8407</v>
      </c>
      <c r="AB8" s="302">
        <v>9158</v>
      </c>
      <c r="AC8" s="302"/>
      <c r="AD8" s="302">
        <v>9686</v>
      </c>
      <c r="AE8" s="292"/>
      <c r="AF8" s="292"/>
      <c r="AG8" s="292"/>
      <c r="AH8" s="292"/>
      <c r="AI8" s="292"/>
      <c r="AJ8" s="292"/>
      <c r="AK8" s="282">
        <f>IF(ISERROR(VLOOKUP(G8,'Planning and Target Times'!$B$106:$D$110,MATCH(F8,INDEX('Planning and Target Times'!$B$106:$D$110,1,0),0),0)),"",(VLOOKUP(G8,'Planning and Target Times'!$B$106:$D$110,MATCH(F8,INDEX('Planning and Target Times'!$B$106:$D$110,1,0),0),0)))</f>
        <v>900</v>
      </c>
      <c r="AL8" s="282" t="str">
        <f>VLOOKUP(G8,'Planning and Target Times'!$I$2:$J$7,2,0)</f>
        <v>Sandstone</v>
      </c>
      <c r="AM8" s="14">
        <f t="shared" si="4"/>
        <v>10.979166666664241</v>
      </c>
      <c r="AN8" s="292">
        <v>12.100512320078069</v>
      </c>
      <c r="AO8" s="14">
        <f t="shared" si="5"/>
        <v>55.070847189231984</v>
      </c>
      <c r="AP8" s="283">
        <f>VLOOKUP(G8,'Planning and Target Times'!$A$43:$L$47,MATCH(F8&amp;"-"&amp;K8&amp;"-"&amp;L8&amp;"-"&amp;J8,INDEX('Planning and Target Times'!$A$43:$L$47,1,0),0),0)</f>
        <v>29</v>
      </c>
      <c r="AQ8" s="385" t="s">
        <v>83</v>
      </c>
      <c r="AR8" s="302">
        <v>1</v>
      </c>
      <c r="AS8" s="384" t="s">
        <v>10</v>
      </c>
      <c r="AT8" s="282" t="s">
        <v>39</v>
      </c>
      <c r="AU8" s="292">
        <v>0.9</v>
      </c>
      <c r="AV8" s="292"/>
      <c r="AW8" s="292"/>
      <c r="AX8" s="281"/>
      <c r="AY8" s="281"/>
      <c r="AZ8" s="292" t="s">
        <v>10</v>
      </c>
      <c r="BA8" s="292">
        <v>9</v>
      </c>
      <c r="BB8" s="292">
        <v>5</v>
      </c>
      <c r="BC8" s="292">
        <v>5000</v>
      </c>
      <c r="BD8" s="292">
        <v>4369</v>
      </c>
      <c r="BE8" s="282">
        <v>0.5</v>
      </c>
      <c r="BF8" s="282">
        <f t="shared" si="8"/>
        <v>4347.1549999999997</v>
      </c>
      <c r="BG8" s="282"/>
      <c r="BH8" s="292" t="s">
        <v>343</v>
      </c>
      <c r="BI8" s="283">
        <v>285374</v>
      </c>
      <c r="BJ8" s="292"/>
      <c r="BK8" s="302">
        <f>COUNT(P$2:P8)</f>
        <v>7</v>
      </c>
      <c r="BL8" s="302">
        <f>SUMPRODUCT(--(YEAR(P$2:P8)=YEAR(P8)))</f>
        <v>7</v>
      </c>
      <c r="BM8" s="302">
        <f t="shared" si="9"/>
        <v>7</v>
      </c>
      <c r="BN8" s="292">
        <v>0</v>
      </c>
      <c r="BO8" s="292"/>
      <c r="BP8" s="292"/>
      <c r="BQ8" s="467">
        <v>3587.4</v>
      </c>
      <c r="BR8" s="467">
        <v>3960.623333333333</v>
      </c>
      <c r="BS8" s="467">
        <v>3894.7075</v>
      </c>
      <c r="BT8" s="467"/>
      <c r="BU8" s="467"/>
      <c r="BV8" s="467"/>
      <c r="BW8" s="467" t="s">
        <v>1877</v>
      </c>
      <c r="BX8" s="469">
        <v>41153</v>
      </c>
      <c r="BY8" s="472">
        <f t="shared" si="6"/>
        <v>45.446080760095015</v>
      </c>
    </row>
    <row r="9" spans="1:78" ht="15" customHeight="1" x14ac:dyDescent="0.25">
      <c r="A9" s="384" t="s">
        <v>182</v>
      </c>
      <c r="B9" s="384" t="s">
        <v>172</v>
      </c>
      <c r="C9" s="302" t="s">
        <v>182</v>
      </c>
      <c r="D9" s="529" t="s">
        <v>2012</v>
      </c>
      <c r="E9" s="384">
        <v>4</v>
      </c>
      <c r="F9" s="384" t="str">
        <f t="shared" si="7"/>
        <v>RA</v>
      </c>
      <c r="G9" s="384" t="s">
        <v>22</v>
      </c>
      <c r="H9" s="384" t="s">
        <v>27</v>
      </c>
      <c r="I9" s="384" t="s">
        <v>20</v>
      </c>
      <c r="J9" s="281" t="s">
        <v>298</v>
      </c>
      <c r="K9" s="281" t="s">
        <v>14</v>
      </c>
      <c r="L9" s="384" t="s">
        <v>1410</v>
      </c>
      <c r="M9" s="384" t="s">
        <v>59</v>
      </c>
      <c r="N9" s="281">
        <v>3</v>
      </c>
      <c r="O9" s="13">
        <f t="shared" si="0"/>
        <v>41005.229166666664</v>
      </c>
      <c r="P9" s="284">
        <v>41134.625</v>
      </c>
      <c r="Q9" s="15">
        <v>129.39583333333599</v>
      </c>
      <c r="R9" s="334">
        <f>IF(ISERROR(VLOOKUP(G9,'Planning and Target Times'!$L$1:$AJ$6,MATCH(K9&amp;"_"&amp;L9&amp;"_"&amp;J9,INDEX('Planning and Target Times'!$L$1:$AJ$6,1,0),0),0)+5),"",(VLOOKUP(G9,'Planning and Target Times'!$L$1:$AJ$6,MATCH(K9&amp;"_"&amp;L9&amp;"_"&amp;J9,INDEX('Planning and Target Times'!$L$1:$AJ$6,1,0),0),0)+5))</f>
        <v>75</v>
      </c>
      <c r="S9" s="420">
        <f t="shared" si="1"/>
        <v>70</v>
      </c>
      <c r="T9" s="392">
        <f>VLOOKUP(G9,'Planning and Target Times'!$A$7:$G$12,MATCH(K9&amp;"-"&amp;L9&amp;"-"&amp;J9,INDEX('Planning and Target Times'!$A$7:$G$12,1,0),0),0)</f>
        <v>35</v>
      </c>
      <c r="U9" s="292">
        <v>3.3541669999999999</v>
      </c>
      <c r="V9" s="14">
        <f t="shared" si="2"/>
        <v>132.75000033333598</v>
      </c>
      <c r="W9" s="292">
        <v>1800</v>
      </c>
      <c r="X9" s="286" t="str">
        <f t="shared" si="3"/>
        <v>LB</v>
      </c>
      <c r="Y9" s="302">
        <v>12217</v>
      </c>
      <c r="Z9" s="302">
        <v>5957</v>
      </c>
      <c r="AA9" s="302">
        <v>8484</v>
      </c>
      <c r="AB9" s="302">
        <v>10417</v>
      </c>
      <c r="AC9" s="302"/>
      <c r="AD9" s="302">
        <v>12217</v>
      </c>
      <c r="AE9" s="292"/>
      <c r="AF9" s="292"/>
      <c r="AG9" s="292"/>
      <c r="AH9" s="292"/>
      <c r="AI9" s="292"/>
      <c r="AJ9" s="292"/>
      <c r="AK9" s="282">
        <f>IF(ISERROR(VLOOKUP(G9,'Planning and Target Times'!$B$106:$D$110,MATCH(F9,INDEX('Planning and Target Times'!$B$106:$D$110,1,0),0),0)),"",(VLOOKUP(G9,'Planning and Target Times'!$B$106:$D$110,MATCH(F9,INDEX('Planning and Target Times'!$B$106:$D$110,1,0),0),0)))</f>
        <v>900</v>
      </c>
      <c r="AL9" s="282" t="str">
        <f>VLOOKUP(G9,'Planning and Target Times'!$I$2:$J$7,2,0)</f>
        <v>Sandstone</v>
      </c>
      <c r="AM9" s="14">
        <f t="shared" si="4"/>
        <v>57.750000333335976</v>
      </c>
      <c r="AN9" s="292">
        <v>12.810827824992129</v>
      </c>
      <c r="AO9" s="14">
        <f t="shared" si="5"/>
        <v>15.315794558041871</v>
      </c>
      <c r="AP9" s="283">
        <f>VLOOKUP(G9,'Planning and Target Times'!$A$43:$L$47,MATCH(F9&amp;"-"&amp;K9&amp;"-"&amp;L9&amp;"-"&amp;J9,INDEX('Planning and Target Times'!$A$43:$L$47,1,0),0),0)</f>
        <v>29</v>
      </c>
      <c r="AQ9" s="385" t="s">
        <v>83</v>
      </c>
      <c r="AR9" s="292">
        <v>2</v>
      </c>
      <c r="AS9" s="384" t="s">
        <v>10</v>
      </c>
      <c r="AT9" s="282" t="s">
        <v>39</v>
      </c>
      <c r="AU9" s="292">
        <v>0.88</v>
      </c>
      <c r="AV9" s="292"/>
      <c r="AW9" s="292"/>
      <c r="AX9" s="281"/>
      <c r="AY9" s="281"/>
      <c r="AZ9" s="292" t="s">
        <v>10</v>
      </c>
      <c r="BA9" s="292">
        <v>36</v>
      </c>
      <c r="BB9" s="292">
        <v>8</v>
      </c>
      <c r="BC9" s="292">
        <v>10000</v>
      </c>
      <c r="BD9" s="292">
        <v>3670</v>
      </c>
      <c r="BE9" s="282">
        <v>46</v>
      </c>
      <c r="BF9" s="282">
        <f t="shared" si="8"/>
        <v>1981.8000000000002</v>
      </c>
      <c r="BG9" s="282"/>
      <c r="BH9" s="292" t="s">
        <v>344</v>
      </c>
      <c r="BI9" s="283">
        <v>285376</v>
      </c>
      <c r="BJ9" s="292"/>
      <c r="BK9" s="302">
        <f>COUNT(P$2:P9)</f>
        <v>8</v>
      </c>
      <c r="BL9" s="302">
        <f>SUMPRODUCT(--(YEAR(P$2:P9)=YEAR(P9)))</f>
        <v>8</v>
      </c>
      <c r="BM9" s="302">
        <f t="shared" si="9"/>
        <v>8</v>
      </c>
      <c r="BN9" s="292">
        <v>0</v>
      </c>
      <c r="BO9" s="292"/>
      <c r="BP9" s="292"/>
      <c r="BQ9" s="467">
        <v>1485.8500000000001</v>
      </c>
      <c r="BR9" s="467">
        <v>1774.2633333333333</v>
      </c>
      <c r="BS9" s="467">
        <v>1558.3925000000002</v>
      </c>
      <c r="BT9" s="467"/>
      <c r="BU9" s="467"/>
      <c r="BV9" s="467"/>
      <c r="BW9" s="467" t="s">
        <v>1877</v>
      </c>
      <c r="BX9" s="469">
        <v>41122</v>
      </c>
      <c r="BY9" s="472">
        <f t="shared" si="6"/>
        <v>11.482981806472154</v>
      </c>
    </row>
    <row r="10" spans="1:78" ht="15" customHeight="1" x14ac:dyDescent="0.25">
      <c r="A10" s="384" t="s">
        <v>183</v>
      </c>
      <c r="B10" s="384" t="s">
        <v>99</v>
      </c>
      <c r="C10" s="302" t="s">
        <v>183</v>
      </c>
      <c r="D10" s="529" t="s">
        <v>2013</v>
      </c>
      <c r="E10" s="384">
        <v>3</v>
      </c>
      <c r="F10" s="384" t="str">
        <f t="shared" si="7"/>
        <v>RA</v>
      </c>
      <c r="G10" s="384" t="s">
        <v>22</v>
      </c>
      <c r="H10" s="384" t="s">
        <v>28</v>
      </c>
      <c r="I10" s="384" t="s">
        <v>24</v>
      </c>
      <c r="J10" s="281" t="s">
        <v>298</v>
      </c>
      <c r="K10" s="281" t="s">
        <v>14</v>
      </c>
      <c r="L10" s="384" t="s">
        <v>1410</v>
      </c>
      <c r="M10" s="384" t="s">
        <v>60</v>
      </c>
      <c r="N10" s="281">
        <v>2</v>
      </c>
      <c r="O10" s="13">
        <f t="shared" si="0"/>
        <v>41029.041666666664</v>
      </c>
      <c r="P10" s="284">
        <v>41138.583333333336</v>
      </c>
      <c r="Q10" s="15">
        <v>109.54166666667152</v>
      </c>
      <c r="R10" s="334">
        <f>IF(ISERROR(VLOOKUP(G10,'Planning and Target Times'!$L$1:$AJ$6,MATCH(K10&amp;"_"&amp;L10&amp;"_"&amp;J10,INDEX('Planning and Target Times'!$L$1:$AJ$6,1,0),0),0)+5),"",(VLOOKUP(G10,'Planning and Target Times'!$L$1:$AJ$6,MATCH(K10&amp;"_"&amp;L10&amp;"_"&amp;J10,INDEX('Planning and Target Times'!$L$1:$AJ$6,1,0),0),0)+5))</f>
        <v>75</v>
      </c>
      <c r="S10" s="420">
        <f t="shared" si="1"/>
        <v>70</v>
      </c>
      <c r="T10" s="392">
        <f>VLOOKUP(G10,'Planning and Target Times'!$A$7:$G$12,MATCH(K10&amp;"-"&amp;L10&amp;"-"&amp;J10,INDEX('Planning and Target Times'!$A$7:$G$12,1,0),0),0)</f>
        <v>35</v>
      </c>
      <c r="U10" s="292">
        <v>5</v>
      </c>
      <c r="V10" s="14">
        <f t="shared" si="2"/>
        <v>114.54166666667152</v>
      </c>
      <c r="W10" s="292">
        <v>1510</v>
      </c>
      <c r="X10" s="286" t="str">
        <f t="shared" si="3"/>
        <v>LB</v>
      </c>
      <c r="Y10" s="302">
        <v>11385</v>
      </c>
      <c r="Z10" s="302">
        <v>5940</v>
      </c>
      <c r="AA10" s="302">
        <v>9875</v>
      </c>
      <c r="AB10" s="302"/>
      <c r="AC10" s="302"/>
      <c r="AD10" s="302"/>
      <c r="AE10" s="292"/>
      <c r="AF10" s="292"/>
      <c r="AG10" s="292"/>
      <c r="AH10" s="292"/>
      <c r="AI10" s="292"/>
      <c r="AJ10" s="292"/>
      <c r="AK10" s="282">
        <f>IF(ISERROR(VLOOKUP(G10,'Planning and Target Times'!$B$106:$D$110,MATCH(F10,INDEX('Planning and Target Times'!$B$106:$D$110,1,0),0),0)),"",(VLOOKUP(G10,'Planning and Target Times'!$B$106:$D$110,MATCH(F10,INDEX('Planning and Target Times'!$B$106:$D$110,1,0),0),0)))</f>
        <v>900</v>
      </c>
      <c r="AL10" s="282" t="str">
        <f>VLOOKUP(G10,'Planning and Target Times'!$I$2:$J$7,2,0)</f>
        <v>Sandstone</v>
      </c>
      <c r="AM10" s="14">
        <f t="shared" si="4"/>
        <v>39.541666666671517</v>
      </c>
      <c r="AN10" s="292">
        <v>34.487156130442706</v>
      </c>
      <c r="AO10" s="14">
        <f t="shared" si="5"/>
        <v>40.23564853556308</v>
      </c>
      <c r="AP10" s="283">
        <f>VLOOKUP(G10,'Planning and Target Times'!$A$43:$L$47,MATCH(F10&amp;"-"&amp;K10&amp;"-"&amp;L10&amp;"-"&amp;J10,INDEX('Planning and Target Times'!$A$43:$L$47,1,0),0),0)</f>
        <v>29</v>
      </c>
      <c r="AQ10" s="384" t="s">
        <v>80</v>
      </c>
      <c r="AR10" s="19">
        <v>1</v>
      </c>
      <c r="AS10" s="10" t="s">
        <v>33</v>
      </c>
      <c r="AT10" s="282" t="s">
        <v>39</v>
      </c>
      <c r="AU10" s="292">
        <v>0.86</v>
      </c>
      <c r="AV10" s="292"/>
      <c r="AW10" s="292"/>
      <c r="AX10" s="281"/>
      <c r="AY10" s="281"/>
      <c r="AZ10" s="292" t="s">
        <v>10</v>
      </c>
      <c r="BA10" s="292">
        <v>37</v>
      </c>
      <c r="BB10" s="292">
        <v>0</v>
      </c>
      <c r="BC10" s="292">
        <v>5000</v>
      </c>
      <c r="BD10" s="292">
        <v>5724</v>
      </c>
      <c r="BE10" s="282">
        <v>23</v>
      </c>
      <c r="BF10" s="282">
        <f t="shared" si="8"/>
        <v>4407.4800000000005</v>
      </c>
      <c r="BG10" s="282"/>
      <c r="BH10" s="292" t="s">
        <v>332</v>
      </c>
      <c r="BI10" s="283">
        <v>285368</v>
      </c>
      <c r="BJ10" s="292"/>
      <c r="BK10" s="302">
        <f>COUNT(P$2:P10)</f>
        <v>9</v>
      </c>
      <c r="BL10" s="302">
        <f>SUMPRODUCT(--(YEAR(P$2:P10)=YEAR(P10)))</f>
        <v>9</v>
      </c>
      <c r="BM10" s="302">
        <f t="shared" si="9"/>
        <v>9</v>
      </c>
      <c r="BN10" s="292">
        <v>0</v>
      </c>
      <c r="BO10" s="292"/>
      <c r="BP10" s="292"/>
      <c r="BQ10" s="467">
        <v>2021.04</v>
      </c>
      <c r="BR10" s="467">
        <v>2163.2383333333332</v>
      </c>
      <c r="BS10" s="467">
        <v>2273.1383333333338</v>
      </c>
      <c r="BT10" s="467"/>
      <c r="BU10" s="467"/>
      <c r="BV10" s="467"/>
      <c r="BW10" s="467" t="s">
        <v>1877</v>
      </c>
      <c r="BX10" s="469">
        <v>41153</v>
      </c>
      <c r="BY10" s="472">
        <f t="shared" si="6"/>
        <v>18.449965766450305</v>
      </c>
    </row>
    <row r="11" spans="1:78" ht="15" customHeight="1" x14ac:dyDescent="0.25">
      <c r="A11" s="384" t="s">
        <v>184</v>
      </c>
      <c r="B11" s="384" t="s">
        <v>173</v>
      </c>
      <c r="C11" s="302" t="s">
        <v>536</v>
      </c>
      <c r="D11" s="529" t="s">
        <v>2014</v>
      </c>
      <c r="E11" s="384">
        <v>5</v>
      </c>
      <c r="F11" s="384" t="str">
        <f t="shared" si="7"/>
        <v>RA</v>
      </c>
      <c r="G11" s="384" t="s">
        <v>29</v>
      </c>
      <c r="H11" s="384" t="s">
        <v>12</v>
      </c>
      <c r="I11" s="384" t="s">
        <v>16</v>
      </c>
      <c r="J11" s="281" t="s">
        <v>298</v>
      </c>
      <c r="K11" s="281" t="s">
        <v>14</v>
      </c>
      <c r="L11" s="384" t="s">
        <v>1410</v>
      </c>
      <c r="M11" s="384" t="s">
        <v>61</v>
      </c>
      <c r="N11" s="281">
        <v>4</v>
      </c>
      <c r="O11" s="13">
        <f t="shared" si="0"/>
        <v>41054</v>
      </c>
      <c r="P11" s="284">
        <v>41146.5</v>
      </c>
      <c r="Q11" s="15">
        <v>92.5</v>
      </c>
      <c r="R11" s="334">
        <f>IF(ISERROR(VLOOKUP(G11,'Planning and Target Times'!$L$1:$AJ$6,MATCH(K11&amp;"_"&amp;L11&amp;"_"&amp;J11,INDEX('Planning and Target Times'!$L$1:$AJ$6,1,0),0),0)+5),"",(VLOOKUP(G11,'Planning and Target Times'!$L$1:$AJ$6,MATCH(K11&amp;"_"&amp;L11&amp;"_"&amp;J11,INDEX('Planning and Target Times'!$L$1:$AJ$6,1,0),0),0)+5))</f>
        <v>75</v>
      </c>
      <c r="S11" s="420">
        <f t="shared" si="1"/>
        <v>70</v>
      </c>
      <c r="T11" s="392">
        <f>VLOOKUP(G11,'Planning and Target Times'!$A$7:$G$12,MATCH(K11&amp;"-"&amp;L11&amp;"-"&amp;J11,INDEX('Planning and Target Times'!$A$7:$G$12,1,0),0),0)</f>
        <v>35</v>
      </c>
      <c r="U11" s="292">
        <v>5.875</v>
      </c>
      <c r="V11" s="14">
        <f t="shared" si="2"/>
        <v>98.375</v>
      </c>
      <c r="W11" s="292">
        <v>1354</v>
      </c>
      <c r="X11" s="286" t="str">
        <f t="shared" si="3"/>
        <v>UB</v>
      </c>
      <c r="Y11" s="302">
        <v>10600</v>
      </c>
      <c r="Z11" s="302">
        <v>6036</v>
      </c>
      <c r="AA11" s="302">
        <v>7859</v>
      </c>
      <c r="AB11" s="302">
        <v>9246</v>
      </c>
      <c r="AC11" s="302"/>
      <c r="AD11" s="302"/>
      <c r="AE11" s="292"/>
      <c r="AF11" s="292"/>
      <c r="AG11" s="292"/>
      <c r="AH11" s="292"/>
      <c r="AI11" s="292"/>
      <c r="AJ11" s="292"/>
      <c r="AK11" s="282">
        <f>IF(ISERROR(VLOOKUP(G11,'Planning and Target Times'!$B$106:$D$110,MATCH(F11,INDEX('Planning and Target Times'!$B$106:$D$110,1,0),0),0)),"",(VLOOKUP(G11,'Planning and Target Times'!$B$106:$D$110,MATCH(F11,INDEX('Planning and Target Times'!$B$106:$D$110,1,0),0),0)))</f>
        <v>940</v>
      </c>
      <c r="AL11" s="282" t="str">
        <f>VLOOKUP(G11,'Planning and Target Times'!$I$2:$J$7,2,0)</f>
        <v>Sandstone</v>
      </c>
      <c r="AM11" s="14">
        <f t="shared" si="4"/>
        <v>23.375</v>
      </c>
      <c r="AN11" s="292">
        <v>21.240999576450655</v>
      </c>
      <c r="AO11" s="14">
        <f t="shared" si="5"/>
        <v>19.393729729729731</v>
      </c>
      <c r="AP11" s="283">
        <f>VLOOKUP(G11,'Planning and Target Times'!$A$43:$L$47,MATCH(F11&amp;"-"&amp;K11&amp;"-"&amp;L11&amp;"-"&amp;J11,INDEX('Planning and Target Times'!$A$43:$L$47,1,0),0),0)</f>
        <v>24</v>
      </c>
      <c r="AQ11" s="385" t="s">
        <v>83</v>
      </c>
      <c r="AR11" s="292">
        <v>1</v>
      </c>
      <c r="AS11" s="384" t="s">
        <v>10</v>
      </c>
      <c r="AT11" s="282" t="s">
        <v>39</v>
      </c>
      <c r="AU11" s="292">
        <v>0.93</v>
      </c>
      <c r="AV11" s="292"/>
      <c r="AW11" s="292"/>
      <c r="AX11" s="281"/>
      <c r="AY11" s="281"/>
      <c r="AZ11" s="292" t="s">
        <v>10</v>
      </c>
      <c r="BA11" s="292">
        <v>18</v>
      </c>
      <c r="BB11" s="292">
        <v>6</v>
      </c>
      <c r="BC11" s="292">
        <v>2000</v>
      </c>
      <c r="BD11" s="292">
        <v>2803</v>
      </c>
      <c r="BE11" s="282">
        <v>36</v>
      </c>
      <c r="BF11" s="282">
        <f t="shared" si="8"/>
        <v>1793.92</v>
      </c>
      <c r="BG11" s="282"/>
      <c r="BH11" s="292" t="s">
        <v>337</v>
      </c>
      <c r="BI11" s="283">
        <v>285398</v>
      </c>
      <c r="BJ11" s="292"/>
      <c r="BK11" s="302">
        <f>COUNT(P$2:P11)</f>
        <v>10</v>
      </c>
      <c r="BL11" s="302">
        <f>SUMPRODUCT(--(YEAR(P$2:P11)=YEAR(P11)))</f>
        <v>10</v>
      </c>
      <c r="BM11" s="302">
        <f t="shared" si="9"/>
        <v>10</v>
      </c>
      <c r="BN11" s="15">
        <f t="shared" ref="BN11:BN42" si="10">AVERAGE(Q2:Q11)</f>
        <v>85.225000000000747</v>
      </c>
      <c r="BO11" s="292"/>
      <c r="BP11" s="292"/>
      <c r="BQ11" s="467">
        <v>1818.8166666666666</v>
      </c>
      <c r="BR11" s="467">
        <v>1971.3633333333335</v>
      </c>
      <c r="BS11" s="467">
        <v>1835.0350000000001</v>
      </c>
      <c r="BT11" s="467"/>
      <c r="BU11" s="467"/>
      <c r="BV11" s="467"/>
      <c r="BW11" s="467" t="s">
        <v>1877</v>
      </c>
      <c r="BX11" s="469">
        <v>41153</v>
      </c>
      <c r="BY11" s="472">
        <f t="shared" si="6"/>
        <v>19.662882882882883</v>
      </c>
    </row>
    <row r="12" spans="1:78" ht="15" customHeight="1" x14ac:dyDescent="0.25">
      <c r="A12" s="384" t="s">
        <v>30</v>
      </c>
      <c r="B12" s="384" t="s">
        <v>431</v>
      </c>
      <c r="C12" s="302" t="s">
        <v>431</v>
      </c>
      <c r="D12" s="529" t="s">
        <v>2015</v>
      </c>
      <c r="E12" s="384">
        <v>3</v>
      </c>
      <c r="F12" s="384" t="str">
        <f t="shared" si="7"/>
        <v>SA</v>
      </c>
      <c r="G12" s="384" t="s">
        <v>17</v>
      </c>
      <c r="H12" s="384" t="s">
        <v>15</v>
      </c>
      <c r="I12" s="384" t="s">
        <v>20</v>
      </c>
      <c r="J12" s="281" t="s">
        <v>298</v>
      </c>
      <c r="K12" s="281" t="s">
        <v>18</v>
      </c>
      <c r="L12" s="384" t="s">
        <v>1410</v>
      </c>
      <c r="M12" s="384" t="s">
        <v>74</v>
      </c>
      <c r="N12" s="292">
        <v>1</v>
      </c>
      <c r="O12" s="13">
        <f t="shared" si="0"/>
        <v>41079.75</v>
      </c>
      <c r="P12" s="284">
        <v>41151.25</v>
      </c>
      <c r="Q12" s="15">
        <v>71.5</v>
      </c>
      <c r="R12" s="334">
        <f>IF(ISERROR(VLOOKUP(G12,'Planning and Target Times'!$L$1:$AJ$6,MATCH(K12&amp;"_"&amp;L12&amp;"_"&amp;J12,INDEX('Planning and Target Times'!$L$1:$AJ$6,1,0),0),0)+5),"",(VLOOKUP(G12,'Planning and Target Times'!$L$1:$AJ$6,MATCH(K12&amp;"_"&amp;L12&amp;"_"&amp;J12,INDEX('Planning and Target Times'!$L$1:$AJ$6,1,0),0),0)+5))</f>
        <v>61</v>
      </c>
      <c r="S12" s="420">
        <f t="shared" si="1"/>
        <v>56</v>
      </c>
      <c r="T12" s="392">
        <f>VLOOKUP(G12,'Planning and Target Times'!$A$7:$G$12,MATCH(K12&amp;"-"&amp;L12&amp;"-"&amp;J12,INDEX('Planning and Target Times'!$A$7:$G$12,1,0),0),0)</f>
        <v>27</v>
      </c>
      <c r="U12" s="292">
        <v>1</v>
      </c>
      <c r="V12" s="14">
        <f t="shared" si="2"/>
        <v>72.5</v>
      </c>
      <c r="W12" s="292">
        <v>5641</v>
      </c>
      <c r="X12" s="286" t="str">
        <f t="shared" si="3"/>
        <v>MA</v>
      </c>
      <c r="Y12" s="302">
        <v>13988</v>
      </c>
      <c r="Z12" s="302"/>
      <c r="AA12" s="302"/>
      <c r="AB12" s="302">
        <v>8365</v>
      </c>
      <c r="AC12" s="302"/>
      <c r="AD12" s="302"/>
      <c r="AE12" s="292"/>
      <c r="AF12" s="292"/>
      <c r="AG12" s="292"/>
      <c r="AH12" s="292"/>
      <c r="AI12" s="292"/>
      <c r="AJ12" s="292"/>
      <c r="AK12" s="282">
        <f>IF(ISERROR(VLOOKUP(G12,'Planning and Target Times'!$B$106:$D$110,MATCH(F12,INDEX('Planning and Target Times'!$B$106:$D$110,1,0),0),0)),"",(VLOOKUP(G12,'Planning and Target Times'!$B$106:$D$110,MATCH(F12,INDEX('Planning and Target Times'!$B$106:$D$110,1,0),0),0)))</f>
        <v>740</v>
      </c>
      <c r="AL12" s="282" t="str">
        <f>VLOOKUP(G12,'Planning and Target Times'!$I$2:$J$7,2,0)</f>
        <v>Carbonate</v>
      </c>
      <c r="AM12" s="14">
        <f t="shared" si="4"/>
        <v>11.5</v>
      </c>
      <c r="AN12" s="292">
        <v>36.456558773424192</v>
      </c>
      <c r="AO12" s="14">
        <f t="shared" si="5"/>
        <v>0</v>
      </c>
      <c r="AP12" s="283">
        <f>VLOOKUP(G12,'Planning and Target Times'!$A$43:$L$47,MATCH(F12&amp;"-"&amp;K12&amp;"-"&amp;L12&amp;"-"&amp;J12,INDEX('Planning and Target Times'!$A$43:$L$47,1,0),0),0)</f>
        <v>20</v>
      </c>
      <c r="AQ12" s="385" t="s">
        <v>83</v>
      </c>
      <c r="AR12" s="292">
        <v>1</v>
      </c>
      <c r="AS12" s="384" t="s">
        <v>10</v>
      </c>
      <c r="AT12" s="282" t="s">
        <v>39</v>
      </c>
      <c r="AU12" s="292">
        <v>0.82</v>
      </c>
      <c r="AV12" s="292"/>
      <c r="AW12" s="292"/>
      <c r="AX12" s="281"/>
      <c r="AY12" s="281"/>
      <c r="AZ12" s="283" t="s">
        <v>299</v>
      </c>
      <c r="BA12" s="292">
        <v>23</v>
      </c>
      <c r="BB12" s="292">
        <v>11</v>
      </c>
      <c r="BC12" s="292">
        <v>2000</v>
      </c>
      <c r="BD12" s="292"/>
      <c r="BE12" s="292"/>
      <c r="BF12" s="282">
        <f t="shared" si="8"/>
        <v>0</v>
      </c>
      <c r="BG12" s="282"/>
      <c r="BH12" s="292" t="s">
        <v>380</v>
      </c>
      <c r="BI12" s="283">
        <v>285763</v>
      </c>
      <c r="BJ12" s="292"/>
      <c r="BK12" s="302">
        <f>COUNT(P$2:P12)</f>
        <v>11</v>
      </c>
      <c r="BL12" s="302">
        <f>SUMPRODUCT(--(YEAR(P$2:P12)=YEAR(P12)))</f>
        <v>11</v>
      </c>
      <c r="BM12" s="302">
        <f t="shared" si="9"/>
        <v>11</v>
      </c>
      <c r="BN12" s="15">
        <f t="shared" si="10"/>
        <v>84.975000000000747</v>
      </c>
      <c r="BO12" s="292"/>
      <c r="BP12" s="292"/>
      <c r="BQ12" s="467">
        <v>639.17333333333329</v>
      </c>
      <c r="BR12" s="467">
        <v>596.74</v>
      </c>
      <c r="BS12" s="467">
        <v>555.88749999999993</v>
      </c>
      <c r="BT12" s="467"/>
      <c r="BU12" s="467"/>
      <c r="BV12" s="467"/>
      <c r="BW12" s="467" t="s">
        <v>1877</v>
      </c>
      <c r="BX12" s="469">
        <v>41183</v>
      </c>
      <c r="BY12" s="472">
        <f t="shared" si="6"/>
        <v>8.9394871794871786</v>
      </c>
    </row>
    <row r="13" spans="1:78" ht="15" customHeight="1" x14ac:dyDescent="0.25">
      <c r="A13" s="384" t="s">
        <v>185</v>
      </c>
      <c r="B13" s="384" t="s">
        <v>171</v>
      </c>
      <c r="C13" s="385" t="s">
        <v>739</v>
      </c>
      <c r="D13" s="529" t="s">
        <v>2016</v>
      </c>
      <c r="E13" s="384">
        <v>4</v>
      </c>
      <c r="F13" s="384" t="str">
        <f t="shared" si="7"/>
        <v>RA</v>
      </c>
      <c r="G13" s="384" t="s">
        <v>22</v>
      </c>
      <c r="H13" s="384" t="s">
        <v>31</v>
      </c>
      <c r="I13" s="384" t="s">
        <v>24</v>
      </c>
      <c r="J13" s="281" t="s">
        <v>298</v>
      </c>
      <c r="K13" s="281" t="s">
        <v>14</v>
      </c>
      <c r="L13" s="384" t="s">
        <v>1410</v>
      </c>
      <c r="M13" s="384" t="s">
        <v>74</v>
      </c>
      <c r="N13" s="281">
        <v>4</v>
      </c>
      <c r="O13" s="13">
        <f t="shared" si="0"/>
        <v>41028.395833333336</v>
      </c>
      <c r="P13" s="284">
        <v>41164.916666666664</v>
      </c>
      <c r="Q13" s="15">
        <v>136.52083333332848</v>
      </c>
      <c r="R13" s="334">
        <f>IF(ISERROR(VLOOKUP(G13,'Planning and Target Times'!$L$1:$AJ$6,MATCH(K13&amp;"_"&amp;L13&amp;"_"&amp;J13,INDEX('Planning and Target Times'!$L$1:$AJ$6,1,0),0),0)+5),"",(VLOOKUP(G13,'Planning and Target Times'!$L$1:$AJ$6,MATCH(K13&amp;"_"&amp;L13&amp;"_"&amp;J13,INDEX('Planning and Target Times'!$L$1:$AJ$6,1,0),0),0)+5))</f>
        <v>75</v>
      </c>
      <c r="S13" s="420">
        <f t="shared" si="1"/>
        <v>70</v>
      </c>
      <c r="T13" s="392">
        <f>VLOOKUP(G13,'Planning and Target Times'!$A$7:$G$12,MATCH(K13&amp;"-"&amp;L13&amp;"-"&amp;J13,INDEX('Planning and Target Times'!$A$7:$G$12,1,0),0),0)</f>
        <v>35</v>
      </c>
      <c r="U13" s="292">
        <v>2.8333333333357587</v>
      </c>
      <c r="V13" s="14">
        <f t="shared" si="2"/>
        <v>139.35416666666424</v>
      </c>
      <c r="W13" s="292">
        <v>525</v>
      </c>
      <c r="X13" s="286" t="str">
        <f t="shared" si="3"/>
        <v>LB</v>
      </c>
      <c r="Y13" s="302">
        <v>9812</v>
      </c>
      <c r="Z13" s="302">
        <v>6023</v>
      </c>
      <c r="AA13" s="302">
        <v>8166</v>
      </c>
      <c r="AB13" s="302">
        <v>9228</v>
      </c>
      <c r="AC13" s="302"/>
      <c r="AD13" s="302"/>
      <c r="AE13" s="292"/>
      <c r="AF13" s="292"/>
      <c r="AG13" s="292"/>
      <c r="AH13" s="292"/>
      <c r="AI13" s="292"/>
      <c r="AJ13" s="292"/>
      <c r="AK13" s="282">
        <f>IF(ISERROR(VLOOKUP(G13,'Planning and Target Times'!$B$106:$D$110,MATCH(F13,INDEX('Planning and Target Times'!$B$106:$D$110,1,0),0),0)),"",(VLOOKUP(G13,'Planning and Target Times'!$B$106:$D$110,MATCH(F13,INDEX('Planning and Target Times'!$B$106:$D$110,1,0),0),0)))</f>
        <v>900</v>
      </c>
      <c r="AL13" s="282" t="str">
        <f>VLOOKUP(G13,'Planning and Target Times'!$I$2:$J$7,2,0)</f>
        <v>Sandstone</v>
      </c>
      <c r="AM13" s="14">
        <f t="shared" si="4"/>
        <v>64.354166666664241</v>
      </c>
      <c r="AN13" s="292">
        <v>17.563527653213754</v>
      </c>
      <c r="AO13" s="14">
        <f t="shared" si="5"/>
        <v>19.777201281856343</v>
      </c>
      <c r="AP13" s="283">
        <f>VLOOKUP(G13,'Planning and Target Times'!$A$43:$L$47,MATCH(F13&amp;"-"&amp;K13&amp;"-"&amp;L13&amp;"-"&amp;J13,INDEX('Planning and Target Times'!$A$43:$L$47,1,0),0),0)</f>
        <v>29</v>
      </c>
      <c r="AQ13" s="385" t="s">
        <v>83</v>
      </c>
      <c r="AR13" s="292">
        <v>1</v>
      </c>
      <c r="AS13" s="384" t="s">
        <v>10</v>
      </c>
      <c r="AT13" s="282" t="s">
        <v>39</v>
      </c>
      <c r="AU13" s="292">
        <v>0.83</v>
      </c>
      <c r="AV13" s="292"/>
      <c r="AW13" s="292"/>
      <c r="AX13" s="281"/>
      <c r="AY13" s="281"/>
      <c r="AZ13" s="292" t="s">
        <v>10</v>
      </c>
      <c r="BA13" s="292">
        <v>6</v>
      </c>
      <c r="BB13" s="292">
        <v>3</v>
      </c>
      <c r="BC13" s="292"/>
      <c r="BD13" s="292">
        <v>2700</v>
      </c>
      <c r="BE13" s="282">
        <v>0</v>
      </c>
      <c r="BF13" s="282">
        <f t="shared" si="8"/>
        <v>2700</v>
      </c>
      <c r="BG13" s="282"/>
      <c r="BH13" s="282" t="s">
        <v>339</v>
      </c>
      <c r="BI13" s="283">
        <v>285535</v>
      </c>
      <c r="BJ13" s="292"/>
      <c r="BK13" s="302">
        <f>COUNT(P$2:P13)</f>
        <v>12</v>
      </c>
      <c r="BL13" s="302">
        <f>SUMPRODUCT(--(YEAR(P$2:P13)=YEAR(P13)))</f>
        <v>12</v>
      </c>
      <c r="BM13" s="302">
        <f t="shared" si="9"/>
        <v>12</v>
      </c>
      <c r="BN13" s="15">
        <f t="shared" si="10"/>
        <v>93.30625000000002</v>
      </c>
      <c r="BO13" s="292"/>
      <c r="BP13" s="292"/>
      <c r="BQ13" s="467">
        <v>831.14333333333332</v>
      </c>
      <c r="BR13" s="467">
        <v>706.04499999999996</v>
      </c>
      <c r="BS13" s="467">
        <v>763.88749999999993</v>
      </c>
      <c r="BT13" s="467"/>
      <c r="BU13" s="467"/>
      <c r="BV13" s="467"/>
      <c r="BW13" s="467" t="s">
        <v>1877</v>
      </c>
      <c r="BX13" s="469">
        <v>41153</v>
      </c>
      <c r="BY13" s="472">
        <f t="shared" si="6"/>
        <v>6.0880329620023526</v>
      </c>
    </row>
    <row r="14" spans="1:78" x14ac:dyDescent="0.25">
      <c r="A14" s="384" t="s">
        <v>186</v>
      </c>
      <c r="B14" s="384" t="s">
        <v>100</v>
      </c>
      <c r="C14" s="302" t="s">
        <v>100</v>
      </c>
      <c r="D14" s="529" t="s">
        <v>2017</v>
      </c>
      <c r="E14" s="384">
        <v>2</v>
      </c>
      <c r="F14" s="384" t="str">
        <f t="shared" si="7"/>
        <v>SA</v>
      </c>
      <c r="G14" s="384" t="s">
        <v>22</v>
      </c>
      <c r="H14" s="384" t="s">
        <v>21</v>
      </c>
      <c r="I14" s="384" t="s">
        <v>16</v>
      </c>
      <c r="J14" s="281" t="s">
        <v>298</v>
      </c>
      <c r="K14" s="384" t="s">
        <v>14</v>
      </c>
      <c r="L14" s="384" t="s">
        <v>1410</v>
      </c>
      <c r="M14" s="384" t="s">
        <v>74</v>
      </c>
      <c r="N14" s="292">
        <v>1</v>
      </c>
      <c r="O14" s="13">
        <f t="shared" si="0"/>
        <v>41115.5625</v>
      </c>
      <c r="P14" s="284">
        <v>41169.833333333336</v>
      </c>
      <c r="Q14" s="15">
        <v>54.270833333335759</v>
      </c>
      <c r="R14" s="334">
        <f>IF(ISERROR(VLOOKUP(G14,'Planning and Target Times'!$L$1:$AJ$6,MATCH(K14&amp;"_"&amp;L14&amp;"_"&amp;J14,INDEX('Planning and Target Times'!$L$1:$AJ$6,1,0),0),0)+5),"",(VLOOKUP(G14,'Planning and Target Times'!$L$1:$AJ$6,MATCH(K14&amp;"_"&amp;L14&amp;"_"&amp;J14,INDEX('Planning and Target Times'!$L$1:$AJ$6,1,0),0),0)+5))</f>
        <v>75</v>
      </c>
      <c r="S14" s="420">
        <f t="shared" si="1"/>
        <v>70</v>
      </c>
      <c r="T14" s="392">
        <f>VLOOKUP(G14,'Planning and Target Times'!$A$7:$G$12,MATCH(K14&amp;"-"&amp;L14&amp;"-"&amp;J14,INDEX('Planning and Target Times'!$A$7:$G$12,1,0),0),0)</f>
        <v>35</v>
      </c>
      <c r="U14" s="292">
        <v>7.8125</v>
      </c>
      <c r="V14" s="14">
        <f t="shared" si="2"/>
        <v>62.083333333335759</v>
      </c>
      <c r="W14" s="292">
        <v>1420</v>
      </c>
      <c r="X14" s="286" t="str">
        <f t="shared" si="3"/>
        <v>LB</v>
      </c>
      <c r="Y14" s="302">
        <v>10621</v>
      </c>
      <c r="Z14" s="302">
        <v>5923</v>
      </c>
      <c r="AA14" s="302">
        <v>9225</v>
      </c>
      <c r="AB14" s="302"/>
      <c r="AC14" s="302"/>
      <c r="AD14" s="302"/>
      <c r="AE14" s="292"/>
      <c r="AF14" s="292"/>
      <c r="AG14" s="292"/>
      <c r="AH14" s="292"/>
      <c r="AI14" s="292"/>
      <c r="AJ14" s="292"/>
      <c r="AK14" s="282">
        <f>IF(ISERROR(VLOOKUP(G14,'Planning and Target Times'!$B$106:$D$110,MATCH(F14,INDEX('Planning and Target Times'!$B$106:$D$110,1,0),0),0)),"",(VLOOKUP(G14,'Planning and Target Times'!$B$106:$D$110,MATCH(F14,INDEX('Planning and Target Times'!$B$106:$D$110,1,0),0),0)))</f>
        <v>550</v>
      </c>
      <c r="AL14" s="282" t="str">
        <f>VLOOKUP(G14,'Planning and Target Times'!$I$2:$J$7,2,0)</f>
        <v>Sandstone</v>
      </c>
      <c r="AM14" s="14">
        <f t="shared" si="4"/>
        <v>-12.916666666664241</v>
      </c>
      <c r="AN14" s="292">
        <v>2.5503355704697985</v>
      </c>
      <c r="AO14" s="14">
        <f t="shared" si="5"/>
        <v>46.212667946255131</v>
      </c>
      <c r="AP14" s="283">
        <f>VLOOKUP(G14,'Planning and Target Times'!$A$43:$L$47,MATCH(F14&amp;"-"&amp;K14&amp;"-"&amp;L14&amp;"-"&amp;J14,INDEX('Planning and Target Times'!$A$43:$L$47,1,0),0),0)</f>
        <v>24</v>
      </c>
      <c r="AQ14" s="384" t="s">
        <v>80</v>
      </c>
      <c r="AR14" s="292">
        <v>1</v>
      </c>
      <c r="AS14" s="384" t="s">
        <v>10</v>
      </c>
      <c r="AT14" s="282" t="s">
        <v>39</v>
      </c>
      <c r="AU14" s="292">
        <v>1</v>
      </c>
      <c r="AV14" s="292"/>
      <c r="AW14" s="292"/>
      <c r="AX14" s="384"/>
      <c r="AY14" s="384"/>
      <c r="AZ14" s="292" t="s">
        <v>10</v>
      </c>
      <c r="BA14" s="292">
        <v>37</v>
      </c>
      <c r="BB14" s="292">
        <v>8</v>
      </c>
      <c r="BC14" s="292">
        <v>4000</v>
      </c>
      <c r="BD14" s="282">
        <v>2850</v>
      </c>
      <c r="BE14" s="282">
        <v>12</v>
      </c>
      <c r="BF14" s="282">
        <f t="shared" si="8"/>
        <v>2508</v>
      </c>
      <c r="BG14" s="282"/>
      <c r="BH14" s="292" t="s">
        <v>384</v>
      </c>
      <c r="BI14" s="283">
        <v>285714</v>
      </c>
      <c r="BJ14" s="292"/>
      <c r="BK14" s="302">
        <f>COUNT(P$2:P14)</f>
        <v>13</v>
      </c>
      <c r="BL14" s="302">
        <f>SUMPRODUCT(--(YEAR(P$2:P14)=YEAR(P14)))</f>
        <v>13</v>
      </c>
      <c r="BM14" s="302">
        <f t="shared" si="9"/>
        <v>13</v>
      </c>
      <c r="BN14" s="15">
        <f t="shared" si="10"/>
        <v>90.175000000000026</v>
      </c>
      <c r="BO14" s="292"/>
      <c r="BP14" s="292"/>
      <c r="BQ14" s="467">
        <v>1609.9133333333332</v>
      </c>
      <c r="BR14" s="467">
        <v>1563.0366666666666</v>
      </c>
      <c r="BS14" s="467">
        <v>1278.7116666666666</v>
      </c>
      <c r="BT14" s="467"/>
      <c r="BU14" s="467"/>
      <c r="BV14" s="467"/>
      <c r="BW14" s="467" t="s">
        <v>1877</v>
      </c>
      <c r="BX14" s="469">
        <v>41214</v>
      </c>
      <c r="BY14" s="472">
        <f t="shared" si="6"/>
        <v>29.664429942417097</v>
      </c>
    </row>
    <row r="15" spans="1:78" ht="15" customHeight="1" x14ac:dyDescent="0.25">
      <c r="A15" s="384" t="s">
        <v>187</v>
      </c>
      <c r="B15" s="384" t="s">
        <v>433</v>
      </c>
      <c r="C15" s="302" t="s">
        <v>433</v>
      </c>
      <c r="D15" s="529" t="s">
        <v>2018</v>
      </c>
      <c r="E15" s="384">
        <v>3</v>
      </c>
      <c r="F15" s="384" t="str">
        <f t="shared" si="7"/>
        <v>RA</v>
      </c>
      <c r="G15" s="384" t="s">
        <v>17</v>
      </c>
      <c r="H15" s="384" t="s">
        <v>32</v>
      </c>
      <c r="I15" s="384" t="s">
        <v>20</v>
      </c>
      <c r="J15" s="281" t="s">
        <v>298</v>
      </c>
      <c r="K15" s="384" t="s">
        <v>18</v>
      </c>
      <c r="L15" s="384" t="s">
        <v>1410</v>
      </c>
      <c r="M15" s="384" t="s">
        <v>60</v>
      </c>
      <c r="N15" s="281">
        <v>1</v>
      </c>
      <c r="O15" s="13">
        <f t="shared" si="0"/>
        <v>41144.4375</v>
      </c>
      <c r="P15" s="284">
        <v>41183.125</v>
      </c>
      <c r="Q15" s="15">
        <v>38.6875</v>
      </c>
      <c r="R15" s="334">
        <f>IF(ISERROR(VLOOKUP(G15,'Planning and Target Times'!$L$1:$AJ$6,MATCH(K15&amp;"_"&amp;L15&amp;"_"&amp;J15,INDEX('Planning and Target Times'!$L$1:$AJ$6,1,0),0),0)+5),"",(VLOOKUP(G15,'Planning and Target Times'!$L$1:$AJ$6,MATCH(K15&amp;"_"&amp;L15&amp;"_"&amp;J15,INDEX('Planning and Target Times'!$L$1:$AJ$6,1,0),0),0)+5))</f>
        <v>61</v>
      </c>
      <c r="S15" s="420">
        <f t="shared" si="1"/>
        <v>56</v>
      </c>
      <c r="T15" s="392">
        <f>VLOOKUP(G15,'Planning and Target Times'!$A$7:$G$12,MATCH(K15&amp;"-"&amp;L15&amp;"-"&amp;J15,INDEX('Planning and Target Times'!$A$7:$G$12,1,0),0),0)</f>
        <v>27</v>
      </c>
      <c r="U15" s="292">
        <v>5.8541666666642413</v>
      </c>
      <c r="V15" s="14">
        <f t="shared" si="2"/>
        <v>44.541666666664241</v>
      </c>
      <c r="W15" s="292">
        <v>2975</v>
      </c>
      <c r="X15" s="286" t="str">
        <f t="shared" si="3"/>
        <v>MA</v>
      </c>
      <c r="Y15" s="302">
        <v>11150</v>
      </c>
      <c r="Z15" s="302"/>
      <c r="AA15" s="302">
        <v>5980</v>
      </c>
      <c r="AB15" s="302">
        <v>8175</v>
      </c>
      <c r="AC15" s="302"/>
      <c r="AD15" s="302"/>
      <c r="AE15" s="292"/>
      <c r="AF15" s="292"/>
      <c r="AG15" s="292"/>
      <c r="AH15" s="292"/>
      <c r="AI15" s="292"/>
      <c r="AJ15" s="292"/>
      <c r="AK15" s="282">
        <f>IF(ISERROR(VLOOKUP(G15,'Planning and Target Times'!$B$106:$D$110,MATCH(F15,INDEX('Planning and Target Times'!$B$106:$D$110,1,0),0),0)),"",(VLOOKUP(G15,'Planning and Target Times'!$B$106:$D$110,MATCH(F15,INDEX('Planning and Target Times'!$B$106:$D$110,1,0),0),0)))</f>
        <v>650</v>
      </c>
      <c r="AL15" s="282" t="str">
        <f>VLOOKUP(G15,'Planning and Target Times'!$I$2:$J$7,2,0)</f>
        <v>Carbonate</v>
      </c>
      <c r="AM15" s="14">
        <f t="shared" si="4"/>
        <v>-16.458333333335759</v>
      </c>
      <c r="AN15" s="292">
        <v>15.077501174260217</v>
      </c>
      <c r="AO15" s="14">
        <f t="shared" si="5"/>
        <v>21.505654281098543</v>
      </c>
      <c r="AP15" s="283">
        <f>VLOOKUP(G15,'Planning and Target Times'!$A$43:$L$47,MATCH(F15&amp;"-"&amp;K15&amp;"-"&amp;L15&amp;"-"&amp;J15,INDEX('Planning and Target Times'!$A$43:$L$47,1,0),0),0)</f>
        <v>20</v>
      </c>
      <c r="AQ15" s="385" t="s">
        <v>83</v>
      </c>
      <c r="AR15" s="19">
        <v>1</v>
      </c>
      <c r="AS15" s="10" t="s">
        <v>10</v>
      </c>
      <c r="AT15" s="20" t="s">
        <v>24</v>
      </c>
      <c r="AU15" s="292">
        <v>1</v>
      </c>
      <c r="AV15" s="292"/>
      <c r="AW15" s="292"/>
      <c r="AX15" s="384"/>
      <c r="AY15" s="384"/>
      <c r="AZ15" s="283" t="s">
        <v>299</v>
      </c>
      <c r="BA15" s="292">
        <v>15</v>
      </c>
      <c r="BB15" s="282">
        <v>21</v>
      </c>
      <c r="BC15" s="282">
        <v>3000</v>
      </c>
      <c r="BD15" s="282">
        <v>2600</v>
      </c>
      <c r="BE15" s="282">
        <v>68</v>
      </c>
      <c r="BF15" s="282">
        <f t="shared" si="8"/>
        <v>831.99999999999989</v>
      </c>
      <c r="BG15" s="282"/>
      <c r="BH15" s="292" t="s">
        <v>321</v>
      </c>
      <c r="BI15" s="283">
        <v>287067</v>
      </c>
      <c r="BJ15" s="292"/>
      <c r="BK15" s="302">
        <f>COUNT(P$2:P15)</f>
        <v>14</v>
      </c>
      <c r="BL15" s="302">
        <f>SUMPRODUCT(--(YEAR(P$2:P15)=YEAR(P15)))</f>
        <v>14</v>
      </c>
      <c r="BM15" s="302">
        <f t="shared" si="9"/>
        <v>14</v>
      </c>
      <c r="BN15" s="15">
        <f t="shared" si="10"/>
        <v>90.239583333333599</v>
      </c>
      <c r="BO15" s="292"/>
      <c r="BP15" s="292"/>
      <c r="BQ15" s="467">
        <v>666.38</v>
      </c>
      <c r="BR15" s="467">
        <v>680.98</v>
      </c>
      <c r="BS15" s="467">
        <v>778.88749999999993</v>
      </c>
      <c r="BT15" s="467"/>
      <c r="BU15" s="467"/>
      <c r="BV15" s="467"/>
      <c r="BW15" s="467" t="s">
        <v>1877</v>
      </c>
      <c r="BX15" s="469">
        <v>41365</v>
      </c>
      <c r="BY15" s="472">
        <f t="shared" si="6"/>
        <v>17.224684975767367</v>
      </c>
    </row>
    <row r="16" spans="1:78" ht="15" customHeight="1" x14ac:dyDescent="0.25">
      <c r="A16" s="384" t="s">
        <v>1587</v>
      </c>
      <c r="B16" s="384" t="s">
        <v>1587</v>
      </c>
      <c r="C16" s="385" t="s">
        <v>1586</v>
      </c>
      <c r="D16" s="556" t="s">
        <v>2206</v>
      </c>
      <c r="E16" s="384">
        <v>5</v>
      </c>
      <c r="F16" s="384" t="s">
        <v>42</v>
      </c>
      <c r="G16" s="384" t="s">
        <v>22</v>
      </c>
      <c r="H16" s="384" t="s">
        <v>25</v>
      </c>
      <c r="I16" s="384" t="s">
        <v>20</v>
      </c>
      <c r="J16" s="384" t="s">
        <v>298</v>
      </c>
      <c r="K16" s="281" t="s">
        <v>18</v>
      </c>
      <c r="L16" s="384" t="s">
        <v>1410</v>
      </c>
      <c r="M16" s="384" t="s">
        <v>74</v>
      </c>
      <c r="N16" s="281">
        <v>2</v>
      </c>
      <c r="O16" s="13">
        <f t="shared" si="0"/>
        <v>41130.541666666664</v>
      </c>
      <c r="P16" s="284">
        <v>41186.041666666664</v>
      </c>
      <c r="Q16" s="15">
        <v>55.5</v>
      </c>
      <c r="R16" s="334">
        <f>IF(ISERROR(VLOOKUP(G16,'Planning and Target Times'!$L$1:$AJ$6,MATCH(K16&amp;"_"&amp;L16&amp;"_"&amp;J16,INDEX('Planning and Target Times'!$L$1:$AJ$6,1,0),0),0)+5),"",(VLOOKUP(G16,'Planning and Target Times'!$L$1:$AJ$6,MATCH(K16&amp;"_"&amp;L16&amp;"_"&amp;J16,INDEX('Planning and Target Times'!$L$1:$AJ$6,1,0),0),0)+5))</f>
        <v>75</v>
      </c>
      <c r="S16" s="420">
        <f t="shared" si="1"/>
        <v>70</v>
      </c>
      <c r="T16" s="392" t="str">
        <f>VLOOKUP(G16,'Planning and Target Times'!$A$7:$G$12,MATCH(K16&amp;"-"&amp;L16&amp;"-"&amp;J16,INDEX('Planning and Target Times'!$A$7:$G$12,1,0),0),0)</f>
        <v>N/A</v>
      </c>
      <c r="U16" s="292">
        <v>4.2916666666642413</v>
      </c>
      <c r="V16" s="14">
        <f t="shared" si="2"/>
        <v>59.791666666664241</v>
      </c>
      <c r="W16" s="292">
        <v>1155</v>
      </c>
      <c r="X16" s="286" t="str">
        <f t="shared" si="3"/>
        <v>LB</v>
      </c>
      <c r="Y16" s="302">
        <v>11469</v>
      </c>
      <c r="Z16" s="302"/>
      <c r="AA16" s="302">
        <v>8560</v>
      </c>
      <c r="AB16" s="302">
        <v>10312</v>
      </c>
      <c r="AC16" s="302"/>
      <c r="AD16" s="302"/>
      <c r="AE16" s="292"/>
      <c r="AF16" s="292"/>
      <c r="AG16" s="292"/>
      <c r="AH16" s="292"/>
      <c r="AI16" s="292"/>
      <c r="AJ16" s="292"/>
      <c r="AK16" s="282">
        <f>IF(ISERROR(VLOOKUP(G16,'Planning and Target Times'!$B$106:$D$110,MATCH(F16,INDEX('Planning and Target Times'!$B$106:$D$110,1,0),0),0)),"",(VLOOKUP(G16,'Planning and Target Times'!$B$106:$D$110,MATCH(F16,INDEX('Planning and Target Times'!$B$106:$D$110,1,0),0),0)))</f>
        <v>900</v>
      </c>
      <c r="AL16" s="282" t="str">
        <f>VLOOKUP(G16,'Planning and Target Times'!$I$2:$J$7,2,0)</f>
        <v>Sandstone</v>
      </c>
      <c r="AM16" s="14">
        <f t="shared" si="4"/>
        <v>-15.208333333335759</v>
      </c>
      <c r="AN16" s="292">
        <v>11.161492849668644</v>
      </c>
      <c r="AO16" s="14" t="s">
        <v>91</v>
      </c>
      <c r="AP16" s="283" t="str">
        <f>VLOOKUP(G16,'Planning and Target Times'!$A$43:$L$47,MATCH(F16&amp;"-"&amp;K16&amp;"-"&amp;L16&amp;"-"&amp;J16,INDEX('Planning and Target Times'!$A$43:$L$47,1,0),0),0)</f>
        <v>N/A</v>
      </c>
      <c r="AQ16" s="384" t="s">
        <v>87</v>
      </c>
      <c r="AR16" s="292" t="s">
        <v>91</v>
      </c>
      <c r="AS16" s="292" t="s">
        <v>91</v>
      </c>
      <c r="AT16" s="292" t="s">
        <v>91</v>
      </c>
      <c r="AU16" s="292">
        <v>0.71</v>
      </c>
      <c r="AV16" s="292"/>
      <c r="AW16" s="292"/>
      <c r="AX16" s="281"/>
      <c r="AY16" s="284"/>
      <c r="AZ16" s="292" t="s">
        <v>10</v>
      </c>
      <c r="BA16" s="292">
        <v>0</v>
      </c>
      <c r="BB16" s="292">
        <v>0</v>
      </c>
      <c r="BC16" s="292"/>
      <c r="BD16" s="292">
        <v>1051</v>
      </c>
      <c r="BE16" s="292">
        <v>70</v>
      </c>
      <c r="BF16" s="282">
        <f t="shared" si="8"/>
        <v>315.30000000000007</v>
      </c>
      <c r="BG16" s="282"/>
      <c r="BH16" s="282" t="s">
        <v>319</v>
      </c>
      <c r="BI16" s="283"/>
      <c r="BJ16" s="292"/>
      <c r="BK16" s="302">
        <f>COUNT(P$2:P16)</f>
        <v>15</v>
      </c>
      <c r="BL16" s="302">
        <f>SUMPRODUCT(--(YEAR(P$2:P16)=YEAR(P16)))</f>
        <v>15</v>
      </c>
      <c r="BM16" s="302">
        <f t="shared" si="9"/>
        <v>15</v>
      </c>
      <c r="BN16" s="15">
        <f t="shared" si="10"/>
        <v>88.339583333333593</v>
      </c>
      <c r="BO16" s="292"/>
      <c r="BP16" s="292"/>
      <c r="BQ16" s="467"/>
      <c r="BR16" s="467"/>
      <c r="BS16" s="467"/>
      <c r="BT16" s="467"/>
      <c r="BU16" s="467"/>
      <c r="BV16" s="467"/>
      <c r="BW16" s="467" t="s">
        <v>1878</v>
      </c>
    </row>
    <row r="17" spans="1:78" ht="15" customHeight="1" x14ac:dyDescent="0.25">
      <c r="A17" s="384" t="s">
        <v>188</v>
      </c>
      <c r="B17" s="384" t="s">
        <v>434</v>
      </c>
      <c r="C17" s="302" t="s">
        <v>434</v>
      </c>
      <c r="D17" s="529" t="s">
        <v>2019</v>
      </c>
      <c r="E17" s="384">
        <v>5</v>
      </c>
      <c r="F17" s="384" t="str">
        <f t="shared" ref="F17:F51" si="11">LEFT(B17,2)</f>
        <v>SA</v>
      </c>
      <c r="G17" s="384" t="s">
        <v>17</v>
      </c>
      <c r="H17" s="384" t="s">
        <v>26</v>
      </c>
      <c r="I17" s="384" t="s">
        <v>16</v>
      </c>
      <c r="J17" s="281" t="s">
        <v>298</v>
      </c>
      <c r="K17" s="384" t="s">
        <v>18</v>
      </c>
      <c r="L17" s="384" t="s">
        <v>1410</v>
      </c>
      <c r="M17" s="384" t="s">
        <v>60</v>
      </c>
      <c r="N17" s="292">
        <v>0</v>
      </c>
      <c r="O17" s="13">
        <f t="shared" si="0"/>
        <v>41135.895833333336</v>
      </c>
      <c r="P17" s="284">
        <v>41186.708333333336</v>
      </c>
      <c r="Q17" s="15">
        <v>50.8125</v>
      </c>
      <c r="R17" s="334">
        <f>IF(ISERROR(VLOOKUP(G17,'Planning and Target Times'!$L$1:$AJ$6,MATCH(K17&amp;"_"&amp;L17&amp;"_"&amp;J17,INDEX('Planning and Target Times'!$L$1:$AJ$6,1,0),0),0)+5),"",(VLOOKUP(G17,'Planning and Target Times'!$L$1:$AJ$6,MATCH(K17&amp;"_"&amp;L17&amp;"_"&amp;J17,INDEX('Planning and Target Times'!$L$1:$AJ$6,1,0),0),0)+5))</f>
        <v>61</v>
      </c>
      <c r="S17" s="420">
        <f t="shared" si="1"/>
        <v>56</v>
      </c>
      <c r="T17" s="392">
        <f>VLOOKUP(G17,'Planning and Target Times'!$A$7:$G$12,MATCH(K17&amp;"-"&amp;L17&amp;"-"&amp;J17,INDEX('Planning and Target Times'!$A$7:$G$12,1,0),0),0)</f>
        <v>27</v>
      </c>
      <c r="U17" s="292">
        <v>5.0416666666715173</v>
      </c>
      <c r="V17" s="14">
        <f t="shared" si="2"/>
        <v>55.854166666671517</v>
      </c>
      <c r="W17" s="292">
        <v>3997</v>
      </c>
      <c r="X17" s="286" t="str">
        <f t="shared" si="3"/>
        <v>MA</v>
      </c>
      <c r="Y17" s="302">
        <v>8655</v>
      </c>
      <c r="Z17" s="302"/>
      <c r="AA17" s="302"/>
      <c r="AB17" s="302"/>
      <c r="AC17" s="302"/>
      <c r="AD17" s="302"/>
      <c r="AE17" s="292"/>
      <c r="AF17" s="292"/>
      <c r="AG17" s="292"/>
      <c r="AH17" s="292"/>
      <c r="AI17" s="292"/>
      <c r="AJ17" s="292"/>
      <c r="AK17" s="282">
        <f>IF(ISERROR(VLOOKUP(G17,'Planning and Target Times'!$B$106:$D$110,MATCH(F17,INDEX('Planning and Target Times'!$B$106:$D$110,1,0),0),0)),"",(VLOOKUP(G17,'Planning and Target Times'!$B$106:$D$110,MATCH(F17,INDEX('Planning and Target Times'!$B$106:$D$110,1,0),0),0)))</f>
        <v>740</v>
      </c>
      <c r="AL17" s="282" t="str">
        <f>VLOOKUP(G17,'Planning and Target Times'!$I$2:$J$7,2,0)</f>
        <v>Carbonate</v>
      </c>
      <c r="AM17" s="14">
        <f t="shared" si="4"/>
        <v>-5.1458333333284827</v>
      </c>
      <c r="AN17" s="292">
        <v>12.346139500186498</v>
      </c>
      <c r="AO17" s="14">
        <f>BF17/Q17</f>
        <v>20.369003690036902</v>
      </c>
      <c r="AP17" s="283">
        <f>VLOOKUP(G17,'Planning and Target Times'!$A$43:$L$47,MATCH(F17&amp;"-"&amp;K17&amp;"-"&amp;L17&amp;"-"&amp;J17,INDEX('Planning and Target Times'!$A$43:$L$47,1,0),0),0)</f>
        <v>20</v>
      </c>
      <c r="AQ17" s="385" t="s">
        <v>83</v>
      </c>
      <c r="AR17" s="292">
        <v>1</v>
      </c>
      <c r="AS17" s="384" t="s">
        <v>10</v>
      </c>
      <c r="AT17" s="282" t="s">
        <v>39</v>
      </c>
      <c r="AU17" s="292">
        <v>1</v>
      </c>
      <c r="AV17" s="292"/>
      <c r="AW17" s="292"/>
      <c r="AX17" s="384"/>
      <c r="AY17" s="384"/>
      <c r="AZ17" s="283" t="s">
        <v>299</v>
      </c>
      <c r="BA17" s="292">
        <v>22</v>
      </c>
      <c r="BB17" s="292">
        <v>10</v>
      </c>
      <c r="BC17" s="292">
        <v>2000</v>
      </c>
      <c r="BD17" s="292">
        <v>1150</v>
      </c>
      <c r="BE17" s="282">
        <v>10</v>
      </c>
      <c r="BF17" s="282">
        <f t="shared" si="8"/>
        <v>1035</v>
      </c>
      <c r="BG17" s="282"/>
      <c r="BH17" s="292" t="s">
        <v>379</v>
      </c>
      <c r="BI17" s="283">
        <v>285922</v>
      </c>
      <c r="BJ17" s="292"/>
      <c r="BK17" s="302">
        <f>COUNT(P$2:P17)</f>
        <v>16</v>
      </c>
      <c r="BL17" s="302">
        <f>SUMPRODUCT(--(YEAR(P$2:P17)=YEAR(P17)))</f>
        <v>16</v>
      </c>
      <c r="BM17" s="302">
        <f t="shared" si="9"/>
        <v>16</v>
      </c>
      <c r="BN17" s="15">
        <f t="shared" si="10"/>
        <v>81.766666666667177</v>
      </c>
      <c r="BO17" s="292"/>
      <c r="BP17" s="292"/>
      <c r="BQ17" s="467">
        <v>1115.9100000000001</v>
      </c>
      <c r="BR17" s="467">
        <v>1145.7733333333333</v>
      </c>
      <c r="BS17" s="467">
        <v>771.5</v>
      </c>
      <c r="BT17" s="467"/>
      <c r="BU17" s="467"/>
      <c r="BV17" s="467"/>
      <c r="BW17" s="467" t="s">
        <v>1877</v>
      </c>
      <c r="BX17" s="469">
        <v>41183</v>
      </c>
      <c r="BY17" s="472">
        <f t="shared" ref="BY17:BY23" si="12">BQ17/Q17</f>
        <v>21.961328413284136</v>
      </c>
    </row>
    <row r="18" spans="1:78" ht="15" customHeight="1" x14ac:dyDescent="0.25">
      <c r="A18" s="384" t="s">
        <v>189</v>
      </c>
      <c r="B18" s="384" t="s">
        <v>101</v>
      </c>
      <c r="C18" s="302" t="s">
        <v>551</v>
      </c>
      <c r="D18" s="529" t="s">
        <v>2020</v>
      </c>
      <c r="E18" s="384">
        <v>5</v>
      </c>
      <c r="F18" s="384" t="str">
        <f t="shared" si="11"/>
        <v>SA</v>
      </c>
      <c r="G18" s="384" t="s">
        <v>17</v>
      </c>
      <c r="H18" s="384" t="s">
        <v>23</v>
      </c>
      <c r="I18" s="384" t="s">
        <v>24</v>
      </c>
      <c r="J18" s="281" t="s">
        <v>298</v>
      </c>
      <c r="K18" s="384" t="s">
        <v>14</v>
      </c>
      <c r="L18" s="384" t="s">
        <v>1410</v>
      </c>
      <c r="M18" s="384" t="s">
        <v>61</v>
      </c>
      <c r="N18" s="292">
        <v>0</v>
      </c>
      <c r="O18" s="13">
        <f t="shared" si="0"/>
        <v>41125.520833333336</v>
      </c>
      <c r="P18" s="284">
        <v>41187</v>
      </c>
      <c r="Q18" s="15">
        <v>61.479166666664241</v>
      </c>
      <c r="R18" s="334">
        <f>IF(ISERROR(VLOOKUP(G18,'Planning and Target Times'!$L$1:$AJ$6,MATCH(K18&amp;"_"&amp;L18&amp;"_"&amp;J18,INDEX('Planning and Target Times'!$L$1:$AJ$6,1,0),0),0)+5),"",(VLOOKUP(G18,'Planning and Target Times'!$L$1:$AJ$6,MATCH(K18&amp;"_"&amp;L18&amp;"_"&amp;J18,INDEX('Planning and Target Times'!$L$1:$AJ$6,1,0),0),0)+5))</f>
        <v>75</v>
      </c>
      <c r="S18" s="420">
        <f t="shared" si="1"/>
        <v>70</v>
      </c>
      <c r="T18" s="392">
        <f>VLOOKUP(G18,'Planning and Target Times'!$A$7:$G$12,MATCH(K18&amp;"-"&amp;L18&amp;"-"&amp;J18,INDEX('Planning and Target Times'!$A$7:$G$12,1,0),0),0)</f>
        <v>35</v>
      </c>
      <c r="U18" s="292">
        <v>4.6041666666715173</v>
      </c>
      <c r="V18" s="14">
        <f t="shared" si="2"/>
        <v>66.083333333335759</v>
      </c>
      <c r="W18" s="292">
        <v>4359</v>
      </c>
      <c r="X18" s="286" t="str">
        <f t="shared" si="3"/>
        <v>MA</v>
      </c>
      <c r="Y18" s="302">
        <v>12911</v>
      </c>
      <c r="Z18" s="302">
        <v>6097</v>
      </c>
      <c r="AA18" s="302">
        <v>7457</v>
      </c>
      <c r="AB18" s="302">
        <v>8550</v>
      </c>
      <c r="AC18" s="302"/>
      <c r="AD18" s="302"/>
      <c r="AE18" s="292"/>
      <c r="AF18" s="292"/>
      <c r="AG18" s="292"/>
      <c r="AH18" s="292"/>
      <c r="AI18" s="292"/>
      <c r="AJ18" s="292"/>
      <c r="AK18" s="282">
        <f>IF(ISERROR(VLOOKUP(G18,'Planning and Target Times'!$B$106:$D$110,MATCH(F18,INDEX('Planning and Target Times'!$B$106:$D$110,1,0),0),0)),"",(VLOOKUP(G18,'Planning and Target Times'!$B$106:$D$110,MATCH(F18,INDEX('Planning and Target Times'!$B$106:$D$110,1,0),0),0)))</f>
        <v>740</v>
      </c>
      <c r="AL18" s="282" t="str">
        <f>VLOOKUP(G18,'Planning and Target Times'!$I$2:$J$7,2,0)</f>
        <v>Carbonate</v>
      </c>
      <c r="AM18" s="14">
        <f t="shared" si="4"/>
        <v>-8.9166666666642413</v>
      </c>
      <c r="AN18" s="292">
        <v>8.8587641866330404</v>
      </c>
      <c r="AO18" s="14" t="s">
        <v>91</v>
      </c>
      <c r="AP18" s="283">
        <f>VLOOKUP(G18,'Planning and Target Times'!$A$43:$L$47,MATCH(F18&amp;"-"&amp;K18&amp;"-"&amp;L18&amp;"-"&amp;J18,INDEX('Planning and Target Times'!$A$43:$L$47,1,0),0),0)</f>
        <v>16</v>
      </c>
      <c r="AQ18" s="384" t="s">
        <v>88</v>
      </c>
      <c r="AR18" s="292" t="s">
        <v>91</v>
      </c>
      <c r="AS18" s="292" t="s">
        <v>91</v>
      </c>
      <c r="AT18" s="292" t="s">
        <v>91</v>
      </c>
      <c r="AU18" s="292">
        <v>0.83</v>
      </c>
      <c r="AV18" s="292"/>
      <c r="AW18" s="292"/>
      <c r="AX18" s="384"/>
      <c r="AY18" s="384"/>
      <c r="AZ18" s="283" t="s">
        <v>299</v>
      </c>
      <c r="BA18" s="292">
        <v>0</v>
      </c>
      <c r="BB18" s="292">
        <v>0</v>
      </c>
      <c r="BC18" s="292"/>
      <c r="BD18" s="292" t="s">
        <v>412</v>
      </c>
      <c r="BE18" s="292" t="s">
        <v>412</v>
      </c>
      <c r="BF18" s="282" t="s">
        <v>91</v>
      </c>
      <c r="BG18" s="282"/>
      <c r="BH18" s="282" t="s">
        <v>320</v>
      </c>
      <c r="BI18" s="283">
        <v>286283</v>
      </c>
      <c r="BJ18" s="292"/>
      <c r="BK18" s="302">
        <f>COUNT(P$2:P18)</f>
        <v>17</v>
      </c>
      <c r="BL18" s="302">
        <f>SUMPRODUCT(--(YEAR(P$2:P18)=YEAR(P18)))</f>
        <v>17</v>
      </c>
      <c r="BM18" s="302">
        <f t="shared" si="9"/>
        <v>17</v>
      </c>
      <c r="BN18" s="15">
        <f t="shared" si="10"/>
        <v>80.020833333333599</v>
      </c>
      <c r="BO18" s="292"/>
      <c r="BP18" s="292"/>
      <c r="BQ18" s="467">
        <v>173.03</v>
      </c>
      <c r="BR18" s="467">
        <v>229.17833333333337</v>
      </c>
      <c r="BS18" s="467">
        <v>181.22166666666669</v>
      </c>
      <c r="BT18" s="467"/>
      <c r="BU18" s="467"/>
      <c r="BV18" s="467"/>
      <c r="BW18" s="467" t="s">
        <v>1877</v>
      </c>
      <c r="BX18" s="469">
        <v>41275</v>
      </c>
      <c r="BY18" s="472">
        <f t="shared" si="12"/>
        <v>2.8144493392071595</v>
      </c>
    </row>
    <row r="19" spans="1:78" ht="15" customHeight="1" x14ac:dyDescent="0.25">
      <c r="A19" s="31" t="s">
        <v>190</v>
      </c>
      <c r="B19" s="384" t="s">
        <v>102</v>
      </c>
      <c r="C19" s="302" t="s">
        <v>532</v>
      </c>
      <c r="D19" s="529" t="s">
        <v>2021</v>
      </c>
      <c r="E19" s="384">
        <v>4</v>
      </c>
      <c r="F19" s="384" t="str">
        <f t="shared" si="11"/>
        <v>RA</v>
      </c>
      <c r="G19" s="384" t="s">
        <v>17</v>
      </c>
      <c r="H19" s="384" t="s">
        <v>27</v>
      </c>
      <c r="I19" s="384" t="s">
        <v>16</v>
      </c>
      <c r="J19" s="281" t="s">
        <v>298</v>
      </c>
      <c r="K19" s="384" t="s">
        <v>18</v>
      </c>
      <c r="L19" s="384" t="s">
        <v>1410</v>
      </c>
      <c r="M19" s="384" t="s">
        <v>61</v>
      </c>
      <c r="N19" s="281">
        <v>2</v>
      </c>
      <c r="O19" s="13">
        <f t="shared" si="0"/>
        <v>41138.583333333336</v>
      </c>
      <c r="P19" s="284">
        <v>41195.25</v>
      </c>
      <c r="Q19" s="15">
        <v>56.666666666664241</v>
      </c>
      <c r="R19" s="334">
        <f>IF(ISERROR(VLOOKUP(G19,'Planning and Target Times'!$L$1:$AJ$6,MATCH(K19&amp;"_"&amp;L19&amp;"_"&amp;J19,INDEX('Planning and Target Times'!$L$1:$AJ$6,1,0),0),0)+5),"",(VLOOKUP(G19,'Planning and Target Times'!$L$1:$AJ$6,MATCH(K19&amp;"_"&amp;L19&amp;"_"&amp;J19,INDEX('Planning and Target Times'!$L$1:$AJ$6,1,0),0),0)+5))</f>
        <v>61</v>
      </c>
      <c r="S19" s="420">
        <f t="shared" si="1"/>
        <v>56</v>
      </c>
      <c r="T19" s="392">
        <f>VLOOKUP(G19,'Planning and Target Times'!$A$7:$G$12,MATCH(K19&amp;"-"&amp;L19&amp;"-"&amp;J19,INDEX('Planning and Target Times'!$A$7:$G$12,1,0),0),0)</f>
        <v>27</v>
      </c>
      <c r="U19" s="292">
        <v>4.0416666666715173</v>
      </c>
      <c r="V19" s="14">
        <f t="shared" si="2"/>
        <v>60.708333333335759</v>
      </c>
      <c r="W19" s="292">
        <v>5137</v>
      </c>
      <c r="X19" s="286" t="str">
        <f t="shared" si="3"/>
        <v>MA</v>
      </c>
      <c r="Y19" s="302">
        <v>14000</v>
      </c>
      <c r="Z19" s="302">
        <v>6035</v>
      </c>
      <c r="AA19" s="302">
        <v>6140</v>
      </c>
      <c r="AB19" s="302">
        <v>8863</v>
      </c>
      <c r="AC19" s="302"/>
      <c r="AD19" s="302">
        <v>13997</v>
      </c>
      <c r="AE19" s="292"/>
      <c r="AF19" s="292"/>
      <c r="AG19" s="292"/>
      <c r="AH19" s="292"/>
      <c r="AI19" s="292"/>
      <c r="AJ19" s="292"/>
      <c r="AK19" s="282">
        <f>IF(ISERROR(VLOOKUP(G19,'Planning and Target Times'!$B$106:$D$110,MATCH(F19,INDEX('Planning and Target Times'!$B$106:$D$110,1,0),0),0)),"",(VLOOKUP(G19,'Planning and Target Times'!$B$106:$D$110,MATCH(F19,INDEX('Planning and Target Times'!$B$106:$D$110,1,0),0),0)))</f>
        <v>650</v>
      </c>
      <c r="AL19" s="282" t="str">
        <f>VLOOKUP(G19,'Planning and Target Times'!$I$2:$J$7,2,0)</f>
        <v>Carbonate</v>
      </c>
      <c r="AM19" s="14">
        <f t="shared" si="4"/>
        <v>-0.29166666666424135</v>
      </c>
      <c r="AN19" s="292">
        <v>8.6822237474262174</v>
      </c>
      <c r="AO19" s="14">
        <f>BF19/Q19</f>
        <v>34.941176470589731</v>
      </c>
      <c r="AP19" s="283">
        <f>VLOOKUP(G19,'Planning and Target Times'!$A$43:$L$47,MATCH(F19&amp;"-"&amp;K19&amp;"-"&amp;L19&amp;"-"&amp;J19,INDEX('Planning and Target Times'!$A$43:$L$47,1,0),0),0)</f>
        <v>20</v>
      </c>
      <c r="AQ19" s="385" t="s">
        <v>83</v>
      </c>
      <c r="AR19" s="292">
        <v>1</v>
      </c>
      <c r="AS19" s="384" t="s">
        <v>10</v>
      </c>
      <c r="AT19" s="20" t="s">
        <v>24</v>
      </c>
      <c r="AU19" s="292">
        <v>0.91</v>
      </c>
      <c r="AV19" s="292"/>
      <c r="AW19" s="292"/>
      <c r="AX19" s="384"/>
      <c r="AY19" s="384"/>
      <c r="AZ19" s="283" t="s">
        <v>299</v>
      </c>
      <c r="BA19" s="282">
        <v>25</v>
      </c>
      <c r="BB19" s="282">
        <v>24</v>
      </c>
      <c r="BC19" s="282">
        <v>2500</v>
      </c>
      <c r="BD19" s="282">
        <v>2200</v>
      </c>
      <c r="BE19" s="282">
        <v>10</v>
      </c>
      <c r="BF19" s="282">
        <f>(1-BE19/100)*BD19</f>
        <v>1980</v>
      </c>
      <c r="BG19" s="282"/>
      <c r="BH19" s="292" t="s">
        <v>327</v>
      </c>
      <c r="BI19" s="283">
        <v>286479</v>
      </c>
      <c r="BJ19" s="292"/>
      <c r="BK19" s="302">
        <f>COUNT(P$2:P19)</f>
        <v>18</v>
      </c>
      <c r="BL19" s="302">
        <f>SUMPRODUCT(--(YEAR(P$2:P19)=YEAR(P19)))</f>
        <v>18</v>
      </c>
      <c r="BM19" s="302">
        <f t="shared" si="9"/>
        <v>18</v>
      </c>
      <c r="BN19" s="15">
        <f t="shared" si="10"/>
        <v>72.747916666666427</v>
      </c>
      <c r="BO19" s="292"/>
      <c r="BP19" s="292"/>
      <c r="BQ19" s="467">
        <v>1235.8533333333332</v>
      </c>
      <c r="BR19" s="467">
        <v>1419.9549999999999</v>
      </c>
      <c r="BS19" s="467">
        <v>1485.4691666666668</v>
      </c>
      <c r="BT19" s="467"/>
      <c r="BU19" s="467"/>
      <c r="BV19" s="467"/>
      <c r="BW19" s="467" t="s">
        <v>1877</v>
      </c>
      <c r="BX19" s="469">
        <v>41214</v>
      </c>
      <c r="BY19" s="472">
        <f t="shared" si="12"/>
        <v>21.809176470589168</v>
      </c>
    </row>
    <row r="20" spans="1:78" ht="15" customHeight="1" x14ac:dyDescent="0.25">
      <c r="A20" s="384" t="s">
        <v>191</v>
      </c>
      <c r="B20" s="384" t="s">
        <v>103</v>
      </c>
      <c r="C20" s="302" t="s">
        <v>103</v>
      </c>
      <c r="D20" s="529" t="s">
        <v>2022</v>
      </c>
      <c r="E20" s="384">
        <v>3</v>
      </c>
      <c r="F20" s="384" t="str">
        <f t="shared" si="11"/>
        <v>SA</v>
      </c>
      <c r="G20" s="384" t="s">
        <v>22</v>
      </c>
      <c r="H20" s="384" t="s">
        <v>15</v>
      </c>
      <c r="I20" s="384" t="s">
        <v>20</v>
      </c>
      <c r="J20" s="281" t="s">
        <v>298</v>
      </c>
      <c r="K20" s="384" t="s">
        <v>18</v>
      </c>
      <c r="L20" s="384" t="s">
        <v>1410</v>
      </c>
      <c r="M20" s="384" t="s">
        <v>74</v>
      </c>
      <c r="N20" s="292">
        <v>1</v>
      </c>
      <c r="O20" s="13">
        <f t="shared" si="0"/>
        <v>41152.375</v>
      </c>
      <c r="P20" s="284">
        <v>41204.083333333336</v>
      </c>
      <c r="Q20" s="15">
        <v>51.708333333335759</v>
      </c>
      <c r="R20" s="334">
        <f>IF(ISERROR(VLOOKUP(G20,'Planning and Target Times'!$L$1:$AJ$6,MATCH(K20&amp;"_"&amp;L20&amp;"_"&amp;J20,INDEX('Planning and Target Times'!$L$1:$AJ$6,1,0),0),0)+5),"",(VLOOKUP(G20,'Planning and Target Times'!$L$1:$AJ$6,MATCH(K20&amp;"_"&amp;L20&amp;"_"&amp;J20,INDEX('Planning and Target Times'!$L$1:$AJ$6,1,0),0),0)+5))</f>
        <v>75</v>
      </c>
      <c r="S20" s="420">
        <f t="shared" si="1"/>
        <v>70</v>
      </c>
      <c r="T20" s="392" t="str">
        <f>VLOOKUP(G20,'Planning and Target Times'!$A$7:$G$12,MATCH(K20&amp;"-"&amp;L20&amp;"-"&amp;J20,INDEX('Planning and Target Times'!$A$7:$G$12,1,0),0),0)</f>
        <v>N/A</v>
      </c>
      <c r="U20" s="292">
        <v>1.375</v>
      </c>
      <c r="V20" s="14">
        <f t="shared" si="2"/>
        <v>53.083333333335759</v>
      </c>
      <c r="W20" s="292">
        <v>1190</v>
      </c>
      <c r="X20" s="286" t="str">
        <f t="shared" si="3"/>
        <v>LB</v>
      </c>
      <c r="Y20" s="302">
        <v>10742</v>
      </c>
      <c r="Z20" s="302">
        <v>5941</v>
      </c>
      <c r="AA20" s="302">
        <v>6140</v>
      </c>
      <c r="AB20" s="302">
        <v>9610</v>
      </c>
      <c r="AC20" s="302"/>
      <c r="AD20" s="302"/>
      <c r="AE20" s="292"/>
      <c r="AF20" s="292"/>
      <c r="AG20" s="292"/>
      <c r="AH20" s="292"/>
      <c r="AI20" s="292"/>
      <c r="AJ20" s="292"/>
      <c r="AK20" s="282">
        <f>IF(ISERROR(VLOOKUP(G20,'Planning and Target Times'!$B$106:$D$110,MATCH(F20,INDEX('Planning and Target Times'!$B$106:$D$110,1,0),0),0)),"",(VLOOKUP(G20,'Planning and Target Times'!$B$106:$D$110,MATCH(F20,INDEX('Planning and Target Times'!$B$106:$D$110,1,0),0),0)))</f>
        <v>550</v>
      </c>
      <c r="AL20" s="282" t="str">
        <f>VLOOKUP(G20,'Planning and Target Times'!$I$2:$J$7,2,0)</f>
        <v>Sandstone</v>
      </c>
      <c r="AM20" s="14">
        <f t="shared" si="4"/>
        <v>-21.916666666664241</v>
      </c>
      <c r="AN20" s="292">
        <v>12.062726176115802</v>
      </c>
      <c r="AO20" s="14">
        <f>BF20/Q20</f>
        <v>59.358904109586256</v>
      </c>
      <c r="AP20" s="283" t="str">
        <f>VLOOKUP(G20,'Planning and Target Times'!$A$43:$L$47,MATCH(F20&amp;"-"&amp;K20&amp;"-"&amp;L20&amp;"-"&amp;J20,INDEX('Planning and Target Times'!$A$43:$L$47,1,0),0),0)</f>
        <v>N/A</v>
      </c>
      <c r="AQ20" s="385" t="s">
        <v>83</v>
      </c>
      <c r="AR20" s="292">
        <v>1</v>
      </c>
      <c r="AS20" s="384" t="s">
        <v>10</v>
      </c>
      <c r="AT20" s="292" t="s">
        <v>16</v>
      </c>
      <c r="AU20" s="292">
        <v>1</v>
      </c>
      <c r="AV20" s="292"/>
      <c r="AW20" s="292"/>
      <c r="AX20" s="384"/>
      <c r="AY20" s="384"/>
      <c r="AZ20" s="292" t="s">
        <v>10</v>
      </c>
      <c r="BA20" s="292">
        <v>15</v>
      </c>
      <c r="BB20" s="292">
        <v>8</v>
      </c>
      <c r="BC20" s="292">
        <v>3000</v>
      </c>
      <c r="BD20" s="292">
        <v>3611</v>
      </c>
      <c r="BE20" s="282">
        <v>15</v>
      </c>
      <c r="BF20" s="282">
        <f>(1-BE20/100)*BD20</f>
        <v>3069.35</v>
      </c>
      <c r="BG20" s="282"/>
      <c r="BH20" s="23" t="s">
        <v>377</v>
      </c>
      <c r="BI20" s="283">
        <v>285871</v>
      </c>
      <c r="BJ20" s="292"/>
      <c r="BK20" s="302">
        <f>COUNT(P$2:P20)</f>
        <v>19</v>
      </c>
      <c r="BL20" s="302">
        <f>SUMPRODUCT(--(YEAR(P$2:P20)=YEAR(P20)))</f>
        <v>19</v>
      </c>
      <c r="BM20" s="302">
        <f t="shared" si="9"/>
        <v>19</v>
      </c>
      <c r="BN20" s="15">
        <f t="shared" si="10"/>
        <v>66.964583333332854</v>
      </c>
      <c r="BO20" s="292"/>
      <c r="BP20" s="292"/>
      <c r="BQ20" s="467">
        <v>3433.3066666666659</v>
      </c>
      <c r="BR20" s="467">
        <v>2569.5366666666664</v>
      </c>
      <c r="BS20" s="467">
        <v>1706.8258333333331</v>
      </c>
      <c r="BT20" s="467"/>
      <c r="BU20" s="467"/>
      <c r="BV20" s="467"/>
      <c r="BW20" s="467" t="s">
        <v>1877</v>
      </c>
      <c r="BX20" s="469">
        <v>41183</v>
      </c>
      <c r="BY20" s="472">
        <f t="shared" si="12"/>
        <v>66.397550362607674</v>
      </c>
    </row>
    <row r="21" spans="1:78" ht="15" customHeight="1" x14ac:dyDescent="0.25">
      <c r="A21" s="384" t="s">
        <v>192</v>
      </c>
      <c r="B21" s="384" t="s">
        <v>104</v>
      </c>
      <c r="C21" s="302" t="s">
        <v>535</v>
      </c>
      <c r="D21" s="529" t="s">
        <v>2023</v>
      </c>
      <c r="E21" s="384">
        <v>5</v>
      </c>
      <c r="F21" s="384" t="str">
        <f t="shared" si="11"/>
        <v>RA</v>
      </c>
      <c r="G21" s="384" t="s">
        <v>17</v>
      </c>
      <c r="H21" s="384" t="s">
        <v>19</v>
      </c>
      <c r="I21" s="384" t="s">
        <v>24</v>
      </c>
      <c r="J21" s="281" t="s">
        <v>298</v>
      </c>
      <c r="K21" s="384" t="s">
        <v>14</v>
      </c>
      <c r="L21" s="384" t="s">
        <v>1410</v>
      </c>
      <c r="M21" s="384" t="s">
        <v>61</v>
      </c>
      <c r="N21" s="281">
        <v>5</v>
      </c>
      <c r="O21" s="13">
        <f t="shared" si="0"/>
        <v>41100.958333333336</v>
      </c>
      <c r="P21" s="284">
        <v>41208.6875</v>
      </c>
      <c r="Q21" s="15">
        <v>107.72916666666424</v>
      </c>
      <c r="R21" s="334">
        <f>IF(ISERROR(VLOOKUP(G21,'Planning and Target Times'!$L$1:$AJ$6,MATCH(K21&amp;"_"&amp;L21&amp;"_"&amp;J21,INDEX('Planning and Target Times'!$L$1:$AJ$6,1,0),0),0)+5),"",(VLOOKUP(G21,'Planning and Target Times'!$L$1:$AJ$6,MATCH(K21&amp;"_"&amp;L21&amp;"_"&amp;J21,INDEX('Planning and Target Times'!$L$1:$AJ$6,1,0),0),0)+5))</f>
        <v>75</v>
      </c>
      <c r="S21" s="420">
        <f t="shared" si="1"/>
        <v>70</v>
      </c>
      <c r="T21" s="392">
        <f>VLOOKUP(G21,'Planning and Target Times'!$A$7:$G$12,MATCH(K21&amp;"-"&amp;L21&amp;"-"&amp;J21,INDEX('Planning and Target Times'!$A$7:$G$12,1,0),0),0)</f>
        <v>35</v>
      </c>
      <c r="U21" s="292">
        <v>9.0833333333357587</v>
      </c>
      <c r="V21" s="14">
        <f t="shared" si="2"/>
        <v>116.8125</v>
      </c>
      <c r="W21" s="292">
        <v>3145</v>
      </c>
      <c r="X21" s="286" t="str">
        <f t="shared" si="3"/>
        <v>MA</v>
      </c>
      <c r="Y21" s="302">
        <v>12500</v>
      </c>
      <c r="Z21" s="302"/>
      <c r="AA21" s="302">
        <v>8003</v>
      </c>
      <c r="AB21" s="302">
        <v>9355</v>
      </c>
      <c r="AC21" s="302"/>
      <c r="AD21" s="302"/>
      <c r="AE21" s="292"/>
      <c r="AF21" s="292"/>
      <c r="AG21" s="292"/>
      <c r="AH21" s="292"/>
      <c r="AI21" s="292"/>
      <c r="AJ21" s="292"/>
      <c r="AK21" s="282">
        <f>IF(ISERROR(VLOOKUP(G21,'Planning and Target Times'!$B$106:$D$110,MATCH(F21,INDEX('Planning and Target Times'!$B$106:$D$110,1,0),0),0)),"",(VLOOKUP(G21,'Planning and Target Times'!$B$106:$D$110,MATCH(F21,INDEX('Planning and Target Times'!$B$106:$D$110,1,0),0),0)))</f>
        <v>650</v>
      </c>
      <c r="AL21" s="282" t="str">
        <f>VLOOKUP(G21,'Planning and Target Times'!$I$2:$J$7,2,0)</f>
        <v>Carbonate</v>
      </c>
      <c r="AM21" s="14">
        <f t="shared" si="4"/>
        <v>41.8125</v>
      </c>
      <c r="AN21" s="292">
        <v>50.089349535382425</v>
      </c>
      <c r="AO21" s="14">
        <f>BF21/Q21</f>
        <v>14.56318700444821</v>
      </c>
      <c r="AP21" s="283">
        <f>VLOOKUP(G21,'Planning and Target Times'!$A$43:$L$47,MATCH(F21&amp;"-"&amp;K21&amp;"-"&amp;L21&amp;"-"&amp;J21,INDEX('Planning and Target Times'!$A$43:$L$47,1,0),0),0)</f>
        <v>16</v>
      </c>
      <c r="AQ21" s="385" t="s">
        <v>83</v>
      </c>
      <c r="AR21" s="292">
        <v>1</v>
      </c>
      <c r="AS21" s="384" t="s">
        <v>10</v>
      </c>
      <c r="AT21" s="282" t="s">
        <v>39</v>
      </c>
      <c r="AU21" s="292">
        <v>0.75</v>
      </c>
      <c r="AV21" s="292"/>
      <c r="AW21" s="292"/>
      <c r="AX21" s="384"/>
      <c r="AY21" s="384"/>
      <c r="AZ21" s="292" t="s">
        <v>10</v>
      </c>
      <c r="BA21" s="292">
        <v>10</v>
      </c>
      <c r="BB21" s="292">
        <v>9</v>
      </c>
      <c r="BC21" s="292">
        <v>1500</v>
      </c>
      <c r="BD21" s="292">
        <v>2179</v>
      </c>
      <c r="BE21" s="282">
        <v>28</v>
      </c>
      <c r="BF21" s="282">
        <f>(1-BE21/100)*BD21</f>
        <v>1568.8799999999999</v>
      </c>
      <c r="BG21" s="282"/>
      <c r="BH21" s="292" t="s">
        <v>334</v>
      </c>
      <c r="BI21" s="283">
        <v>286204</v>
      </c>
      <c r="BJ21" s="292"/>
      <c r="BK21" s="302">
        <f>COUNT(P$2:P21)</f>
        <v>20</v>
      </c>
      <c r="BL21" s="302">
        <f>SUMPRODUCT(--(YEAR(P$2:P21)=YEAR(P21)))</f>
        <v>20</v>
      </c>
      <c r="BM21" s="302">
        <f t="shared" si="9"/>
        <v>20</v>
      </c>
      <c r="BN21" s="15">
        <f t="shared" si="10"/>
        <v>68.487499999999272</v>
      </c>
      <c r="BO21" s="292"/>
      <c r="BP21" s="292"/>
      <c r="BQ21" s="467">
        <v>1446.7966666666669</v>
      </c>
      <c r="BR21" s="467">
        <v>1446.7966666666669</v>
      </c>
      <c r="BS21" s="467">
        <v>1446.7966666666669</v>
      </c>
      <c r="BT21" s="467"/>
      <c r="BU21" s="467"/>
      <c r="BV21" s="467"/>
      <c r="BW21" s="467" t="s">
        <v>1877</v>
      </c>
      <c r="BX21" s="469">
        <v>41244</v>
      </c>
      <c r="BY21" s="472">
        <f t="shared" si="12"/>
        <v>13.429943918004559</v>
      </c>
    </row>
    <row r="22" spans="1:78" ht="15" customHeight="1" x14ac:dyDescent="0.25">
      <c r="A22" s="384" t="s">
        <v>193</v>
      </c>
      <c r="B22" s="384" t="s">
        <v>105</v>
      </c>
      <c r="C22" s="302" t="s">
        <v>105</v>
      </c>
      <c r="D22" s="529" t="s">
        <v>2024</v>
      </c>
      <c r="E22" s="384">
        <v>5</v>
      </c>
      <c r="F22" s="384" t="str">
        <f t="shared" si="11"/>
        <v>SA</v>
      </c>
      <c r="G22" s="384" t="s">
        <v>17</v>
      </c>
      <c r="H22" s="384" t="s">
        <v>12</v>
      </c>
      <c r="I22" s="384" t="s">
        <v>16</v>
      </c>
      <c r="J22" s="281" t="s">
        <v>298</v>
      </c>
      <c r="K22" s="384" t="s">
        <v>18</v>
      </c>
      <c r="L22" s="384" t="s">
        <v>1410</v>
      </c>
      <c r="M22" s="384" t="s">
        <v>74</v>
      </c>
      <c r="N22" s="292">
        <v>0</v>
      </c>
      <c r="O22" s="13">
        <f t="shared" si="0"/>
        <v>41162.6875</v>
      </c>
      <c r="P22" s="284">
        <v>41212.458333333336</v>
      </c>
      <c r="Q22" s="15">
        <v>49.770833333335759</v>
      </c>
      <c r="R22" s="334">
        <f>IF(ISERROR(VLOOKUP(G22,'Planning and Target Times'!$L$1:$AJ$6,MATCH(K22&amp;"_"&amp;L22&amp;"_"&amp;J22,INDEX('Planning and Target Times'!$L$1:$AJ$6,1,0),0),0)+5),"",(VLOOKUP(G22,'Planning and Target Times'!$L$1:$AJ$6,MATCH(K22&amp;"_"&amp;L22&amp;"_"&amp;J22,INDEX('Planning and Target Times'!$L$1:$AJ$6,1,0),0),0)+5))</f>
        <v>61</v>
      </c>
      <c r="S22" s="420">
        <f t="shared" si="1"/>
        <v>56</v>
      </c>
      <c r="T22" s="392">
        <f>VLOOKUP(G22,'Planning and Target Times'!$A$7:$G$12,MATCH(K22&amp;"-"&amp;L22&amp;"-"&amp;J22,INDEX('Planning and Target Times'!$A$7:$G$12,1,0),0),0)</f>
        <v>27</v>
      </c>
      <c r="U22" s="292">
        <v>16.1875</v>
      </c>
      <c r="V22" s="14">
        <f t="shared" si="2"/>
        <v>65.958333333335759</v>
      </c>
      <c r="W22" s="292">
        <v>3718</v>
      </c>
      <c r="X22" s="286" t="str">
        <f t="shared" si="3"/>
        <v>MA</v>
      </c>
      <c r="Y22" s="302">
        <v>12600</v>
      </c>
      <c r="Z22" s="302">
        <v>5899</v>
      </c>
      <c r="AA22" s="302">
        <v>6311</v>
      </c>
      <c r="AB22" s="302">
        <v>8882</v>
      </c>
      <c r="AC22" s="302"/>
      <c r="AD22" s="302"/>
      <c r="AE22" s="292"/>
      <c r="AF22" s="292"/>
      <c r="AG22" s="292"/>
      <c r="AH22" s="292"/>
      <c r="AI22" s="292"/>
      <c r="AJ22" s="292"/>
      <c r="AK22" s="282">
        <f>IF(ISERROR(VLOOKUP(G22,'Planning and Target Times'!$B$106:$D$110,MATCH(F22,INDEX('Planning and Target Times'!$B$106:$D$110,1,0),0),0)),"",(VLOOKUP(G22,'Planning and Target Times'!$B$106:$D$110,MATCH(F22,INDEX('Planning and Target Times'!$B$106:$D$110,1,0),0),0)))</f>
        <v>740</v>
      </c>
      <c r="AL22" s="282" t="str">
        <f>VLOOKUP(G22,'Planning and Target Times'!$I$2:$J$7,2,0)</f>
        <v>Carbonate</v>
      </c>
      <c r="AM22" s="14">
        <f t="shared" si="4"/>
        <v>4.9583333333357587</v>
      </c>
      <c r="AN22" s="292">
        <v>11.718256475047379</v>
      </c>
      <c r="AO22" s="14">
        <f>BF22/Q22</f>
        <v>21.361908748429265</v>
      </c>
      <c r="AP22" s="283">
        <f>VLOOKUP(G22,'Planning and Target Times'!$A$43:$L$47,MATCH(F22&amp;"-"&amp;K22&amp;"-"&amp;L22&amp;"-"&amp;J22,INDEX('Planning and Target Times'!$A$43:$L$47,1,0),0),0)</f>
        <v>20</v>
      </c>
      <c r="AQ22" s="385" t="s">
        <v>83</v>
      </c>
      <c r="AR22" s="292">
        <v>2</v>
      </c>
      <c r="AS22" s="384" t="s">
        <v>10</v>
      </c>
      <c r="AT22" s="20" t="s">
        <v>24</v>
      </c>
      <c r="AU22" s="292">
        <v>1</v>
      </c>
      <c r="AV22" s="292"/>
      <c r="AW22" s="292"/>
      <c r="AX22" s="384"/>
      <c r="AY22" s="384"/>
      <c r="AZ22" s="283" t="s">
        <v>299</v>
      </c>
      <c r="BA22" s="292">
        <v>11</v>
      </c>
      <c r="BB22" s="292">
        <v>12</v>
      </c>
      <c r="BC22" s="292">
        <v>1200</v>
      </c>
      <c r="BD22" s="292">
        <v>1329</v>
      </c>
      <c r="BE22" s="282">
        <v>20</v>
      </c>
      <c r="BF22" s="282">
        <f>(1-BE22/100)*BD22</f>
        <v>1063.2</v>
      </c>
      <c r="BG22" s="282"/>
      <c r="BH22" s="292" t="s">
        <v>374</v>
      </c>
      <c r="BI22" s="283">
        <v>286911</v>
      </c>
      <c r="BJ22" s="292"/>
      <c r="BK22" s="302">
        <f>COUNT(P$2:P22)</f>
        <v>21</v>
      </c>
      <c r="BL22" s="302">
        <f>SUMPRODUCT(--(YEAR(P$2:P22)=YEAR(P22)))</f>
        <v>21</v>
      </c>
      <c r="BM22" s="302">
        <f t="shared" si="9"/>
        <v>21</v>
      </c>
      <c r="BN22" s="15">
        <f t="shared" si="10"/>
        <v>66.314583333332848</v>
      </c>
      <c r="BO22" s="292"/>
      <c r="BP22" s="292"/>
      <c r="BQ22" s="467">
        <v>760.66666666666663</v>
      </c>
      <c r="BR22" s="467">
        <v>603.34499999999991</v>
      </c>
      <c r="BS22" s="467">
        <v>443.86666666666673</v>
      </c>
      <c r="BT22" s="467"/>
      <c r="BU22" s="467"/>
      <c r="BV22" s="467"/>
      <c r="BW22" s="467" t="s">
        <v>1877</v>
      </c>
      <c r="BX22" s="469">
        <v>41214</v>
      </c>
      <c r="BY22" s="472">
        <f t="shared" si="12"/>
        <v>15.283382168270498</v>
      </c>
    </row>
    <row r="23" spans="1:78" ht="15" customHeight="1" x14ac:dyDescent="0.25">
      <c r="A23" s="384" t="s">
        <v>194</v>
      </c>
      <c r="B23" s="384" t="s">
        <v>106</v>
      </c>
      <c r="C23" s="302" t="s">
        <v>529</v>
      </c>
      <c r="D23" s="529" t="s">
        <v>2025</v>
      </c>
      <c r="E23" s="384">
        <v>2</v>
      </c>
      <c r="F23" s="384" t="str">
        <f t="shared" si="11"/>
        <v>RA</v>
      </c>
      <c r="G23" s="384" t="s">
        <v>29</v>
      </c>
      <c r="H23" s="384" t="s">
        <v>31</v>
      </c>
      <c r="I23" s="384" t="s">
        <v>20</v>
      </c>
      <c r="J23" s="281" t="s">
        <v>298</v>
      </c>
      <c r="K23" s="384" t="s">
        <v>18</v>
      </c>
      <c r="L23" s="384" t="s">
        <v>1410</v>
      </c>
      <c r="M23" s="384" t="s">
        <v>74</v>
      </c>
      <c r="N23" s="281">
        <v>2</v>
      </c>
      <c r="O23" s="13">
        <f t="shared" si="0"/>
        <v>41157.75</v>
      </c>
      <c r="P23" s="284">
        <v>41213.5</v>
      </c>
      <c r="Q23" s="15">
        <v>55.75</v>
      </c>
      <c r="R23" s="334">
        <f>IF(ISERROR(VLOOKUP(G23,'Planning and Target Times'!$L$1:$AJ$6,MATCH(K23&amp;"_"&amp;L23&amp;"_"&amp;J23,INDEX('Planning and Target Times'!$L$1:$AJ$6,1,0),0),0)+5),"",(VLOOKUP(G23,'Planning and Target Times'!$L$1:$AJ$6,MATCH(K23&amp;"_"&amp;L23&amp;"_"&amp;J23,INDEX('Planning and Target Times'!$L$1:$AJ$6,1,0),0),0)+5))</f>
        <v>61</v>
      </c>
      <c r="S23" s="420">
        <f t="shared" si="1"/>
        <v>56</v>
      </c>
      <c r="T23" s="392">
        <f>VLOOKUP(G23,'Planning and Target Times'!$A$7:$G$12,MATCH(K23&amp;"-"&amp;L23&amp;"-"&amp;J23,INDEX('Planning and Target Times'!$A$7:$G$12,1,0),0),0)</f>
        <v>33</v>
      </c>
      <c r="U23" s="292">
        <v>0.33333333333575865</v>
      </c>
      <c r="V23" s="14">
        <f t="shared" si="2"/>
        <v>56.083333333335759</v>
      </c>
      <c r="W23" s="292">
        <v>1725</v>
      </c>
      <c r="X23" s="286" t="str">
        <f t="shared" si="3"/>
        <v>UB</v>
      </c>
      <c r="Y23" s="302">
        <v>10545</v>
      </c>
      <c r="Z23" s="302"/>
      <c r="AA23" s="302">
        <v>6245</v>
      </c>
      <c r="AB23" s="302">
        <v>8718</v>
      </c>
      <c r="AC23" s="302"/>
      <c r="AD23" s="302"/>
      <c r="AE23" s="292"/>
      <c r="AF23" s="292"/>
      <c r="AG23" s="292"/>
      <c r="AH23" s="292"/>
      <c r="AI23" s="292"/>
      <c r="AJ23" s="292"/>
      <c r="AK23" s="282">
        <f>IF(ISERROR(VLOOKUP(G23,'Planning and Target Times'!$B$106:$D$110,MATCH(F23,INDEX('Planning and Target Times'!$B$106:$D$110,1,0),0),0)),"",(VLOOKUP(G23,'Planning and Target Times'!$B$106:$D$110,MATCH(F23,INDEX('Planning and Target Times'!$B$106:$D$110,1,0),0),0)))</f>
        <v>940</v>
      </c>
      <c r="AL23" s="282" t="str">
        <f>VLOOKUP(G23,'Planning and Target Times'!$I$2:$J$7,2,0)</f>
        <v>Sandstone</v>
      </c>
      <c r="AM23" s="14">
        <f t="shared" si="4"/>
        <v>-4.9166666666642413</v>
      </c>
      <c r="AN23" s="292">
        <v>10.738831615120274</v>
      </c>
      <c r="AO23" s="14">
        <f>BF23/Q23</f>
        <v>51.650582959641255</v>
      </c>
      <c r="AP23" s="283">
        <f>VLOOKUP(G23,'Planning and Target Times'!$A$43:$L$47,MATCH(F23&amp;"-"&amp;K23&amp;"-"&amp;L23&amp;"-"&amp;J23,INDEX('Planning and Target Times'!$A$43:$L$47,1,0),0),0)</f>
        <v>18</v>
      </c>
      <c r="AQ23" s="385" t="s">
        <v>83</v>
      </c>
      <c r="AR23" s="292">
        <v>1</v>
      </c>
      <c r="AS23" s="384" t="s">
        <v>10</v>
      </c>
      <c r="AT23" s="282" t="s">
        <v>16</v>
      </c>
      <c r="AU23" s="292">
        <v>1</v>
      </c>
      <c r="AV23" s="292"/>
      <c r="AW23" s="292"/>
      <c r="AX23" s="384"/>
      <c r="AY23" s="384"/>
      <c r="AZ23" s="292" t="s">
        <v>10</v>
      </c>
      <c r="BA23" s="282">
        <v>30</v>
      </c>
      <c r="BB23" s="282">
        <v>15</v>
      </c>
      <c r="BC23" s="282">
        <v>3000</v>
      </c>
      <c r="BD23" s="282">
        <v>3428</v>
      </c>
      <c r="BE23" s="282">
        <v>16</v>
      </c>
      <c r="BF23" s="282">
        <f>(1-BE23/100)*BD23</f>
        <v>2879.52</v>
      </c>
      <c r="BG23" s="282"/>
      <c r="BH23" s="292" t="s">
        <v>325</v>
      </c>
      <c r="BI23" s="283">
        <v>285910</v>
      </c>
      <c r="BJ23" s="292"/>
      <c r="BK23" s="302">
        <f>COUNT(P$2:P23)</f>
        <v>22</v>
      </c>
      <c r="BL23" s="302">
        <f>SUMPRODUCT(--(YEAR(P$2:P23)=YEAR(P23)))</f>
        <v>22</v>
      </c>
      <c r="BM23" s="302">
        <f t="shared" si="9"/>
        <v>22</v>
      </c>
      <c r="BN23" s="15">
        <f t="shared" si="10"/>
        <v>58.237499999999997</v>
      </c>
      <c r="BO23" s="292"/>
      <c r="BP23" s="292"/>
      <c r="BQ23" s="467">
        <v>2514.1866666666665</v>
      </c>
      <c r="BR23" s="467">
        <v>2301.4283333333328</v>
      </c>
      <c r="BS23" s="467">
        <v>2072.9808333333331</v>
      </c>
      <c r="BT23" s="467"/>
      <c r="BU23" s="467"/>
      <c r="BV23" s="467"/>
      <c r="BW23" s="467" t="s">
        <v>1877</v>
      </c>
      <c r="BX23" s="469">
        <v>41244</v>
      </c>
      <c r="BY23" s="472">
        <f t="shared" si="12"/>
        <v>45.097518684603884</v>
      </c>
    </row>
    <row r="24" spans="1:78" ht="15" customHeight="1" x14ac:dyDescent="0.25">
      <c r="A24" s="384" t="s">
        <v>195</v>
      </c>
      <c r="B24" s="384" t="s">
        <v>435</v>
      </c>
      <c r="C24" s="302" t="s">
        <v>435</v>
      </c>
      <c r="D24" s="529" t="s">
        <v>2026</v>
      </c>
      <c r="E24" s="384">
        <v>5</v>
      </c>
      <c r="F24" s="384" t="str">
        <f t="shared" si="11"/>
        <v>SA</v>
      </c>
      <c r="G24" s="384" t="s">
        <v>17</v>
      </c>
      <c r="H24" s="384" t="s">
        <v>23</v>
      </c>
      <c r="I24" s="384" t="s">
        <v>16</v>
      </c>
      <c r="J24" s="384" t="s">
        <v>34</v>
      </c>
      <c r="K24" s="384" t="s">
        <v>18</v>
      </c>
      <c r="L24" s="384" t="s">
        <v>1410</v>
      </c>
      <c r="M24" s="384" t="s">
        <v>61</v>
      </c>
      <c r="N24" s="292">
        <v>0</v>
      </c>
      <c r="O24" s="13">
        <f t="shared" si="0"/>
        <v>41191</v>
      </c>
      <c r="P24" s="284">
        <v>41233.875</v>
      </c>
      <c r="Q24" s="15">
        <v>42.875</v>
      </c>
      <c r="R24" s="334">
        <f>IF(ISERROR(VLOOKUP(G24,'Planning and Target Times'!$L$1:$AJ$6,MATCH(K24&amp;"_"&amp;L24&amp;"_"&amp;J24,INDEX('Planning and Target Times'!$L$1:$AJ$6,1,0),0),0)+5),"",(VLOOKUP(G24,'Planning and Target Times'!$L$1:$AJ$6,MATCH(K24&amp;"_"&amp;L24&amp;"_"&amp;J24,INDEX('Planning and Target Times'!$L$1:$AJ$6,1,0),0),0)+5))</f>
        <v>54</v>
      </c>
      <c r="S24" s="420">
        <f t="shared" si="1"/>
        <v>49</v>
      </c>
      <c r="T24" s="392">
        <f>VLOOKUP(G24,'Planning and Target Times'!$A$7:$G$12,MATCH(K24&amp;"-"&amp;L24&amp;"-"&amp;J24,INDEX('Planning and Target Times'!$A$7:$G$12,1,0),0),0)</f>
        <v>25</v>
      </c>
      <c r="U24" s="292">
        <v>4</v>
      </c>
      <c r="V24" s="14">
        <f t="shared" si="2"/>
        <v>46.875</v>
      </c>
      <c r="W24" s="292">
        <v>2235</v>
      </c>
      <c r="X24" s="286" t="str">
        <f t="shared" si="3"/>
        <v>MA</v>
      </c>
      <c r="Y24" s="302">
        <v>10900</v>
      </c>
      <c r="Z24" s="302"/>
      <c r="AA24" s="302">
        <v>6092</v>
      </c>
      <c r="AB24" s="302">
        <v>8659</v>
      </c>
      <c r="AC24" s="302"/>
      <c r="AD24" s="302"/>
      <c r="AE24" s="292"/>
      <c r="AF24" s="292"/>
      <c r="AG24" s="292"/>
      <c r="AH24" s="292"/>
      <c r="AI24" s="292"/>
      <c r="AJ24" s="292"/>
      <c r="AK24" s="282"/>
      <c r="AL24" s="282" t="str">
        <f>VLOOKUP(G24,'Planning and Target Times'!$I$2:$J$7,2,0)</f>
        <v>Carbonate</v>
      </c>
      <c r="AM24" s="14">
        <f t="shared" si="4"/>
        <v>-7.125</v>
      </c>
      <c r="AN24" s="292">
        <v>9.3333333333333339</v>
      </c>
      <c r="AO24" s="14" t="s">
        <v>91</v>
      </c>
      <c r="AP24" s="283">
        <f>VLOOKUP(G24,'Planning and Target Times'!$A$43:$L$47,MATCH(F24&amp;"-"&amp;K24&amp;"-"&amp;L24&amp;"-"&amp;J24,INDEX('Planning and Target Times'!$A$43:$L$47,1,0),0),0)</f>
        <v>300</v>
      </c>
      <c r="AQ24" s="384" t="s">
        <v>88</v>
      </c>
      <c r="AR24" s="292" t="s">
        <v>91</v>
      </c>
      <c r="AS24" s="292" t="s">
        <v>91</v>
      </c>
      <c r="AT24" s="292" t="s">
        <v>91</v>
      </c>
      <c r="AU24" s="292" t="s">
        <v>91</v>
      </c>
      <c r="AV24" s="292"/>
      <c r="AW24" s="292"/>
      <c r="AX24" s="384"/>
      <c r="AY24" s="384"/>
      <c r="AZ24" s="283" t="s">
        <v>299</v>
      </c>
      <c r="BA24" s="292">
        <v>0</v>
      </c>
      <c r="BB24" s="292">
        <v>0</v>
      </c>
      <c r="BC24" s="292"/>
      <c r="BD24" s="292" t="s">
        <v>34</v>
      </c>
      <c r="BE24" s="292" t="s">
        <v>34</v>
      </c>
      <c r="BF24" s="282" t="s">
        <v>91</v>
      </c>
      <c r="BG24" s="282"/>
      <c r="BH24" s="282" t="s">
        <v>320</v>
      </c>
      <c r="BI24" s="283">
        <v>286723</v>
      </c>
      <c r="BJ24" s="292"/>
      <c r="BK24" s="302">
        <f>COUNT(P$2:P24)</f>
        <v>23</v>
      </c>
      <c r="BL24" s="302">
        <f>SUMPRODUCT(--(YEAR(P$2:P24)=YEAR(P24)))</f>
        <v>23</v>
      </c>
      <c r="BM24" s="302">
        <f t="shared" si="9"/>
        <v>23</v>
      </c>
      <c r="BN24" s="15">
        <f t="shared" si="10"/>
        <v>57.097916666666421</v>
      </c>
      <c r="BO24" s="292"/>
      <c r="BP24" s="292"/>
      <c r="BQ24" s="464"/>
      <c r="BR24" s="464"/>
      <c r="BS24" s="464"/>
      <c r="BT24" s="464">
        <v>2678.4132616487441</v>
      </c>
      <c r="BU24" s="464">
        <v>4368.9336917562687</v>
      </c>
      <c r="BV24" s="464">
        <v>9144.1775985663098</v>
      </c>
      <c r="BW24" s="464" t="s">
        <v>1879</v>
      </c>
      <c r="BX24" s="469">
        <v>39934</v>
      </c>
      <c r="BZ24" s="472">
        <f>BT24/Q24</f>
        <v>62.47028015507275</v>
      </c>
    </row>
    <row r="25" spans="1:78" ht="15" customHeight="1" x14ac:dyDescent="0.25">
      <c r="A25" s="384" t="s">
        <v>196</v>
      </c>
      <c r="B25" s="384" t="s">
        <v>107</v>
      </c>
      <c r="C25" s="302" t="s">
        <v>561</v>
      </c>
      <c r="D25" s="529" t="s">
        <v>2027</v>
      </c>
      <c r="E25" s="384">
        <v>1</v>
      </c>
      <c r="F25" s="384" t="str">
        <f t="shared" si="11"/>
        <v>SA</v>
      </c>
      <c r="G25" s="384" t="s">
        <v>22</v>
      </c>
      <c r="H25" s="384" t="s">
        <v>35</v>
      </c>
      <c r="I25" s="384" t="s">
        <v>16</v>
      </c>
      <c r="J25" s="384" t="s">
        <v>298</v>
      </c>
      <c r="K25" s="384" t="s">
        <v>14</v>
      </c>
      <c r="L25" s="384" t="s">
        <v>1410</v>
      </c>
      <c r="M25" s="384" t="s">
        <v>74</v>
      </c>
      <c r="N25" s="292">
        <v>1</v>
      </c>
      <c r="O25" s="13">
        <f t="shared" si="0"/>
        <v>41159.770833333336</v>
      </c>
      <c r="P25" s="284">
        <v>41236.583333333336</v>
      </c>
      <c r="Q25" s="15">
        <v>76.8125</v>
      </c>
      <c r="R25" s="334">
        <f>IF(ISERROR(VLOOKUP(G25,'Planning and Target Times'!$L$1:$AJ$6,MATCH(K25&amp;"_"&amp;L25&amp;"_"&amp;J25,INDEX('Planning and Target Times'!$L$1:$AJ$6,1,0),0),0)+5),"",(VLOOKUP(G25,'Planning and Target Times'!$L$1:$AJ$6,MATCH(K25&amp;"_"&amp;L25&amp;"_"&amp;J25,INDEX('Planning and Target Times'!$L$1:$AJ$6,1,0),0),0)+5))</f>
        <v>75</v>
      </c>
      <c r="S25" s="420">
        <f t="shared" si="1"/>
        <v>70</v>
      </c>
      <c r="T25" s="392">
        <f>VLOOKUP(G25,'Planning and Target Times'!$A$7:$G$12,MATCH(K25&amp;"-"&amp;L25&amp;"-"&amp;J25,INDEX('Planning and Target Times'!$A$7:$G$12,1,0),0),0)</f>
        <v>35</v>
      </c>
      <c r="U25" s="292">
        <v>2.5833333333357587</v>
      </c>
      <c r="V25" s="14">
        <f t="shared" si="2"/>
        <v>79.395833333335759</v>
      </c>
      <c r="W25" s="292">
        <v>1604</v>
      </c>
      <c r="X25" s="286" t="str">
        <f t="shared" si="3"/>
        <v>LB</v>
      </c>
      <c r="Y25" s="302">
        <v>10779</v>
      </c>
      <c r="Z25" s="302">
        <v>6045</v>
      </c>
      <c r="AA25" s="302">
        <v>9175</v>
      </c>
      <c r="AB25" s="302"/>
      <c r="AC25" s="302"/>
      <c r="AD25" s="302"/>
      <c r="AE25" s="292"/>
      <c r="AF25" s="292"/>
      <c r="AG25" s="292"/>
      <c r="AH25" s="292"/>
      <c r="AI25" s="292"/>
      <c r="AJ25" s="292"/>
      <c r="AK25" s="282">
        <f>IF(ISERROR(VLOOKUP(G25,'Planning and Target Times'!$B$106:$D$110,MATCH(F25,INDEX('Planning and Target Times'!$B$106:$D$110,1,0),0),0)),"",(VLOOKUP(G25,'Planning and Target Times'!$B$106:$D$110,MATCH(F25,INDEX('Planning and Target Times'!$B$106:$D$110,1,0),0),0)))</f>
        <v>550</v>
      </c>
      <c r="AL25" s="282" t="str">
        <f>VLOOKUP(G25,'Planning and Target Times'!$I$2:$J$7,2,0)</f>
        <v>Sandstone</v>
      </c>
      <c r="AM25" s="14">
        <f t="shared" si="4"/>
        <v>4.3958333333357587</v>
      </c>
      <c r="AN25" s="292">
        <v>23.117292049330889</v>
      </c>
      <c r="AO25" s="14">
        <f t="shared" ref="AO25:AO34" si="13">BF25/Q25</f>
        <v>0</v>
      </c>
      <c r="AP25" s="283">
        <f>VLOOKUP(G25,'Planning and Target Times'!$A$43:$L$47,MATCH(F25&amp;"-"&amp;K25&amp;"-"&amp;L25&amp;"-"&amp;J25,INDEX('Planning and Target Times'!$A$43:$L$47,1,0),0),0)</f>
        <v>24</v>
      </c>
      <c r="AQ25" s="384" t="s">
        <v>80</v>
      </c>
      <c r="AR25" s="292">
        <v>1</v>
      </c>
      <c r="AS25" s="384" t="s">
        <v>33</v>
      </c>
      <c r="AT25" s="282" t="s">
        <v>39</v>
      </c>
      <c r="AU25" s="292">
        <v>1</v>
      </c>
      <c r="AV25" s="292"/>
      <c r="AW25" s="292"/>
      <c r="AX25" s="384"/>
      <c r="AY25" s="384"/>
      <c r="AZ25" s="292" t="s">
        <v>10</v>
      </c>
      <c r="BA25" s="292">
        <v>10</v>
      </c>
      <c r="BB25" s="292">
        <v>8</v>
      </c>
      <c r="BC25" s="292">
        <v>2000</v>
      </c>
      <c r="BD25" s="292">
        <v>0</v>
      </c>
      <c r="BE25" s="292"/>
      <c r="BF25" s="282">
        <f t="shared" ref="BF25:BF34" si="14">(1-BE25/100)*BD25</f>
        <v>0</v>
      </c>
      <c r="BG25" s="282"/>
      <c r="BH25" s="292" t="s">
        <v>385</v>
      </c>
      <c r="BI25" s="283">
        <v>286030</v>
      </c>
      <c r="BJ25" s="292"/>
      <c r="BK25" s="302">
        <f>COUNT(P$2:P25)</f>
        <v>24</v>
      </c>
      <c r="BL25" s="302">
        <f>SUMPRODUCT(--(YEAR(P$2:P25)=YEAR(P25)))</f>
        <v>24</v>
      </c>
      <c r="BM25" s="302">
        <f t="shared" si="9"/>
        <v>24</v>
      </c>
      <c r="BN25" s="15">
        <f t="shared" si="10"/>
        <v>60.910416666666421</v>
      </c>
      <c r="BO25" s="292"/>
      <c r="BP25" s="292"/>
      <c r="BQ25" s="467">
        <v>746.43333333333339</v>
      </c>
      <c r="BR25" s="467">
        <v>769.06500000000005</v>
      </c>
      <c r="BS25" s="467">
        <v>673.32583333333343</v>
      </c>
      <c r="BT25" s="467"/>
      <c r="BU25" s="467"/>
      <c r="BV25" s="467"/>
      <c r="BW25" s="467" t="s">
        <v>1877</v>
      </c>
      <c r="BX25" s="469">
        <v>41609</v>
      </c>
      <c r="BY25" s="472">
        <f t="shared" ref="BY25:BY34" si="15">BQ25/Q25</f>
        <v>9.7176023867643071</v>
      </c>
    </row>
    <row r="26" spans="1:78" ht="15" customHeight="1" x14ac:dyDescent="0.25">
      <c r="A26" s="384" t="s">
        <v>197</v>
      </c>
      <c r="B26" s="384" t="s">
        <v>108</v>
      </c>
      <c r="C26" s="302" t="s">
        <v>108</v>
      </c>
      <c r="D26" s="529" t="s">
        <v>2028</v>
      </c>
      <c r="E26" s="384">
        <v>1</v>
      </c>
      <c r="F26" s="384" t="str">
        <f t="shared" si="11"/>
        <v>RA</v>
      </c>
      <c r="G26" s="384" t="s">
        <v>17</v>
      </c>
      <c r="H26" s="384" t="s">
        <v>36</v>
      </c>
      <c r="I26" s="384" t="s">
        <v>20</v>
      </c>
      <c r="J26" s="384" t="s">
        <v>298</v>
      </c>
      <c r="K26" s="384" t="s">
        <v>14</v>
      </c>
      <c r="L26" s="384" t="s">
        <v>1410</v>
      </c>
      <c r="M26" s="384" t="s">
        <v>60</v>
      </c>
      <c r="N26" s="281">
        <v>0</v>
      </c>
      <c r="O26" s="13">
        <f t="shared" si="0"/>
        <v>41172.9375</v>
      </c>
      <c r="P26" s="284">
        <v>41236.708333333336</v>
      </c>
      <c r="Q26" s="15">
        <v>63.770833333335759</v>
      </c>
      <c r="R26" s="334">
        <f>IF(ISERROR(VLOOKUP(G26,'Planning and Target Times'!$L$1:$AJ$6,MATCH(K26&amp;"_"&amp;L26&amp;"_"&amp;J26,INDEX('Planning and Target Times'!$L$1:$AJ$6,1,0),0),0)+5),"",(VLOOKUP(G26,'Planning and Target Times'!$L$1:$AJ$6,MATCH(K26&amp;"_"&amp;L26&amp;"_"&amp;J26,INDEX('Planning and Target Times'!$L$1:$AJ$6,1,0),0),0)+5))</f>
        <v>75</v>
      </c>
      <c r="S26" s="420">
        <f t="shared" si="1"/>
        <v>70</v>
      </c>
      <c r="T26" s="392">
        <f>VLOOKUP(G26,'Planning and Target Times'!$A$7:$G$12,MATCH(K26&amp;"-"&amp;L26&amp;"-"&amp;J26,INDEX('Planning and Target Times'!$A$7:$G$12,1,0),0),0)</f>
        <v>35</v>
      </c>
      <c r="U26" s="292">
        <v>7.6875</v>
      </c>
      <c r="V26" s="14">
        <f t="shared" si="2"/>
        <v>71.458333333335759</v>
      </c>
      <c r="W26" s="292">
        <v>3665</v>
      </c>
      <c r="X26" s="286" t="str">
        <f t="shared" si="3"/>
        <v>MA</v>
      </c>
      <c r="Y26" s="302">
        <v>12217</v>
      </c>
      <c r="Z26" s="302">
        <v>6005</v>
      </c>
      <c r="AA26" s="302">
        <v>7440</v>
      </c>
      <c r="AB26" s="302">
        <v>8552.7000000000007</v>
      </c>
      <c r="AC26" s="302"/>
      <c r="AD26" s="302"/>
      <c r="AE26" s="292"/>
      <c r="AF26" s="292"/>
      <c r="AG26" s="292"/>
      <c r="AH26" s="292"/>
      <c r="AI26" s="292"/>
      <c r="AJ26" s="292"/>
      <c r="AK26" s="282">
        <f>IF(ISERROR(VLOOKUP(G26,'Planning and Target Times'!$B$106:$D$110,MATCH(F26,INDEX('Planning and Target Times'!$B$106:$D$110,1,0),0),0)),"",(VLOOKUP(G26,'Planning and Target Times'!$B$106:$D$110,MATCH(F26,INDEX('Planning and Target Times'!$B$106:$D$110,1,0),0),0)))</f>
        <v>650</v>
      </c>
      <c r="AL26" s="282" t="str">
        <f>VLOOKUP(G26,'Planning and Target Times'!$I$2:$J$7,2,0)</f>
        <v>Carbonate</v>
      </c>
      <c r="AM26" s="14">
        <f t="shared" si="4"/>
        <v>-3.5416666666642413</v>
      </c>
      <c r="AN26" s="292">
        <v>11.253644314868804</v>
      </c>
      <c r="AO26" s="14">
        <f t="shared" si="13"/>
        <v>13.637582489382037</v>
      </c>
      <c r="AP26" s="283">
        <f>VLOOKUP(G26,'Planning and Target Times'!$A$43:$L$47,MATCH(F26&amp;"-"&amp;K26&amp;"-"&amp;L26&amp;"-"&amp;J26,INDEX('Planning and Target Times'!$A$43:$L$47,1,0),0),0)</f>
        <v>16</v>
      </c>
      <c r="AQ26" s="385" t="s">
        <v>83</v>
      </c>
      <c r="AR26" s="292">
        <v>1</v>
      </c>
      <c r="AS26" s="384" t="s">
        <v>10</v>
      </c>
      <c r="AT26" s="20" t="s">
        <v>24</v>
      </c>
      <c r="AU26" s="292">
        <v>0.92</v>
      </c>
      <c r="AV26" s="292"/>
      <c r="AW26" s="292"/>
      <c r="AX26" s="384"/>
      <c r="AY26" s="384"/>
      <c r="AZ26" s="283" t="s">
        <v>299</v>
      </c>
      <c r="BA26" s="292">
        <v>17</v>
      </c>
      <c r="BB26" s="292">
        <v>17</v>
      </c>
      <c r="BC26" s="292">
        <v>1700</v>
      </c>
      <c r="BD26" s="292">
        <v>1553</v>
      </c>
      <c r="BE26" s="282">
        <v>44</v>
      </c>
      <c r="BF26" s="282">
        <f t="shared" si="14"/>
        <v>869.68000000000006</v>
      </c>
      <c r="BG26" s="282"/>
      <c r="BH26" s="292" t="s">
        <v>335</v>
      </c>
      <c r="BI26" s="283">
        <v>286042</v>
      </c>
      <c r="BJ26" s="292"/>
      <c r="BK26" s="302">
        <f>COUNT(P$2:P26)</f>
        <v>25</v>
      </c>
      <c r="BL26" s="302">
        <f>SUMPRODUCT(--(YEAR(P$2:P26)=YEAR(P26)))</f>
        <v>25</v>
      </c>
      <c r="BM26" s="302">
        <f t="shared" si="9"/>
        <v>25</v>
      </c>
      <c r="BN26" s="15">
        <f t="shared" si="10"/>
        <v>61.737499999999997</v>
      </c>
      <c r="BO26" s="292"/>
      <c r="BP26" s="292"/>
      <c r="BQ26" s="467">
        <v>1158.2233333333334</v>
      </c>
      <c r="BR26" s="467">
        <v>1110.7383333333335</v>
      </c>
      <c r="BS26" s="467">
        <v>1033.5616666666667</v>
      </c>
      <c r="BT26" s="467"/>
      <c r="BU26" s="467"/>
      <c r="BV26" s="467"/>
      <c r="BW26" s="467" t="s">
        <v>1877</v>
      </c>
      <c r="BX26" s="469">
        <v>41275</v>
      </c>
      <c r="BY26" s="472">
        <f t="shared" si="15"/>
        <v>18.162273766742203</v>
      </c>
    </row>
    <row r="27" spans="1:78" ht="15" customHeight="1" x14ac:dyDescent="0.25">
      <c r="A27" s="384" t="s">
        <v>198</v>
      </c>
      <c r="B27" s="384" t="s">
        <v>436</v>
      </c>
      <c r="C27" s="302" t="s">
        <v>436</v>
      </c>
      <c r="D27" s="529" t="s">
        <v>2029</v>
      </c>
      <c r="E27" s="384">
        <v>2</v>
      </c>
      <c r="F27" s="384" t="str">
        <f t="shared" si="11"/>
        <v>SA</v>
      </c>
      <c r="G27" s="384" t="s">
        <v>17</v>
      </c>
      <c r="H27" s="384" t="s">
        <v>27</v>
      </c>
      <c r="I27" s="384" t="s">
        <v>16</v>
      </c>
      <c r="J27" s="384" t="s">
        <v>298</v>
      </c>
      <c r="K27" s="384" t="s">
        <v>18</v>
      </c>
      <c r="L27" s="384" t="s">
        <v>1410</v>
      </c>
      <c r="M27" s="384" t="s">
        <v>61</v>
      </c>
      <c r="N27" s="292">
        <v>0</v>
      </c>
      <c r="O27" s="13">
        <f t="shared" si="0"/>
        <v>41197.250066666667</v>
      </c>
      <c r="P27" s="284">
        <v>41245.666666666664</v>
      </c>
      <c r="Q27" s="15">
        <v>48.416600000000003</v>
      </c>
      <c r="R27" s="334">
        <f>IF(ISERROR(VLOOKUP(G27,'Planning and Target Times'!$L$1:$AJ$6,MATCH(K27&amp;"_"&amp;L27&amp;"_"&amp;J27,INDEX('Planning and Target Times'!$L$1:$AJ$6,1,0),0),0)+5),"",(VLOOKUP(G27,'Planning and Target Times'!$L$1:$AJ$6,MATCH(K27&amp;"_"&amp;L27&amp;"_"&amp;J27,INDEX('Planning and Target Times'!$L$1:$AJ$6,1,0),0),0)+5))</f>
        <v>61</v>
      </c>
      <c r="S27" s="420">
        <f t="shared" si="1"/>
        <v>56</v>
      </c>
      <c r="T27" s="392">
        <f>VLOOKUP(G27,'Planning and Target Times'!$A$7:$G$12,MATCH(K27&amp;"-"&amp;L27&amp;"-"&amp;J27,INDEX('Planning and Target Times'!$A$7:$G$12,1,0),0),0)</f>
        <v>27</v>
      </c>
      <c r="U27" s="292">
        <v>2.4583300000000001</v>
      </c>
      <c r="V27" s="14">
        <f t="shared" si="2"/>
        <v>50.874930000000006</v>
      </c>
      <c r="W27" s="282">
        <v>3885</v>
      </c>
      <c r="X27" s="286" t="str">
        <f t="shared" si="3"/>
        <v>MA</v>
      </c>
      <c r="Y27" s="302">
        <v>12530</v>
      </c>
      <c r="Z27" s="302"/>
      <c r="AA27" s="302">
        <v>8320</v>
      </c>
      <c r="AB27" s="302">
        <v>8645</v>
      </c>
      <c r="AC27" s="302"/>
      <c r="AD27" s="302">
        <v>12523</v>
      </c>
      <c r="AE27" s="292"/>
      <c r="AF27" s="292"/>
      <c r="AG27" s="292"/>
      <c r="AH27" s="292"/>
      <c r="AI27" s="292"/>
      <c r="AJ27" s="292"/>
      <c r="AK27" s="282">
        <f>IF(ISERROR(VLOOKUP(G27,'Planning and Target Times'!$B$106:$D$110,MATCH(F27,INDEX('Planning and Target Times'!$B$106:$D$110,1,0),0),0)),"",(VLOOKUP(G27,'Planning and Target Times'!$B$106:$D$110,MATCH(F27,INDEX('Planning and Target Times'!$B$106:$D$110,1,0),0),0)))</f>
        <v>740</v>
      </c>
      <c r="AL27" s="282" t="str">
        <f>VLOOKUP(G27,'Planning and Target Times'!$I$2:$J$7,2,0)</f>
        <v>Carbonate</v>
      </c>
      <c r="AM27" s="14">
        <f t="shared" si="4"/>
        <v>-10.125069999999994</v>
      </c>
      <c r="AN27" s="292">
        <v>6.35</v>
      </c>
      <c r="AO27" s="14">
        <f t="shared" si="13"/>
        <v>22.513765939780981</v>
      </c>
      <c r="AP27" s="283">
        <f>VLOOKUP(G27,'Planning and Target Times'!$A$43:$L$47,MATCH(F27&amp;"-"&amp;K27&amp;"-"&amp;L27&amp;"-"&amp;J27,INDEX('Planning and Target Times'!$A$43:$L$47,1,0),0),0)</f>
        <v>20</v>
      </c>
      <c r="AQ27" s="385" t="s">
        <v>83</v>
      </c>
      <c r="AR27" s="292">
        <v>1</v>
      </c>
      <c r="AS27" s="384" t="s">
        <v>10</v>
      </c>
      <c r="AT27" s="20" t="s">
        <v>24</v>
      </c>
      <c r="AU27" s="292">
        <v>1</v>
      </c>
      <c r="AV27" s="292"/>
      <c r="AW27" s="292"/>
      <c r="AX27" s="384"/>
      <c r="AY27" s="384"/>
      <c r="AZ27" s="283" t="s">
        <v>299</v>
      </c>
      <c r="BA27" s="282">
        <v>17</v>
      </c>
      <c r="BB27" s="282">
        <v>17</v>
      </c>
      <c r="BC27" s="282">
        <v>2000</v>
      </c>
      <c r="BD27" s="282">
        <v>1603</v>
      </c>
      <c r="BE27" s="282">
        <v>32</v>
      </c>
      <c r="BF27" s="282">
        <f t="shared" si="14"/>
        <v>1090.04</v>
      </c>
      <c r="BG27" s="282"/>
      <c r="BH27" s="292" t="s">
        <v>375</v>
      </c>
      <c r="BI27" s="283">
        <v>286913</v>
      </c>
      <c r="BJ27" s="292"/>
      <c r="BK27" s="302">
        <f>COUNT(P$2:P27)</f>
        <v>26</v>
      </c>
      <c r="BL27" s="302">
        <f>SUMPRODUCT(--(YEAR(P$2:P27)=YEAR(P27)))</f>
        <v>26</v>
      </c>
      <c r="BM27" s="302">
        <f t="shared" si="9"/>
        <v>26</v>
      </c>
      <c r="BN27" s="15">
        <f t="shared" si="10"/>
        <v>61.497910000000005</v>
      </c>
      <c r="BO27" s="292"/>
      <c r="BP27" s="292"/>
      <c r="BQ27" s="467">
        <v>1154.1733333333332</v>
      </c>
      <c r="BR27" s="467">
        <v>1173.3416666666665</v>
      </c>
      <c r="BS27" s="467">
        <v>1128.2424999999998</v>
      </c>
      <c r="BT27" s="467"/>
      <c r="BU27" s="467"/>
      <c r="BV27" s="467"/>
      <c r="BW27" s="467" t="s">
        <v>1877</v>
      </c>
      <c r="BX27" s="469">
        <v>41365</v>
      </c>
      <c r="BY27" s="472">
        <f t="shared" si="15"/>
        <v>23.838380500351803</v>
      </c>
    </row>
    <row r="28" spans="1:78" ht="15" customHeight="1" x14ac:dyDescent="0.25">
      <c r="A28" s="384" t="s">
        <v>199</v>
      </c>
      <c r="B28" s="384" t="s">
        <v>109</v>
      </c>
      <c r="C28" s="302" t="s">
        <v>109</v>
      </c>
      <c r="D28" s="529" t="s">
        <v>2030</v>
      </c>
      <c r="E28" s="384">
        <v>1</v>
      </c>
      <c r="F28" s="384" t="str">
        <f t="shared" si="11"/>
        <v>RA</v>
      </c>
      <c r="G28" s="384" t="s">
        <v>29</v>
      </c>
      <c r="H28" s="384" t="s">
        <v>28</v>
      </c>
      <c r="I28" s="384" t="s">
        <v>24</v>
      </c>
      <c r="J28" s="384" t="s">
        <v>298</v>
      </c>
      <c r="K28" s="384" t="s">
        <v>14</v>
      </c>
      <c r="L28" s="384" t="s">
        <v>1410</v>
      </c>
      <c r="M28" s="384" t="s">
        <v>60</v>
      </c>
      <c r="N28" s="281">
        <v>0</v>
      </c>
      <c r="O28" s="13">
        <f t="shared" si="0"/>
        <v>41188.083333333336</v>
      </c>
      <c r="P28" s="284">
        <v>41255.083333333336</v>
      </c>
      <c r="Q28" s="15">
        <v>67</v>
      </c>
      <c r="R28" s="334">
        <f>IF(ISERROR(VLOOKUP(G28,'Planning and Target Times'!$L$1:$AJ$6,MATCH(K28&amp;"_"&amp;L28&amp;"_"&amp;J28,INDEX('Planning and Target Times'!$L$1:$AJ$6,1,0),0),0)+5),"",(VLOOKUP(G28,'Planning and Target Times'!$L$1:$AJ$6,MATCH(K28&amp;"_"&amp;L28&amp;"_"&amp;J28,INDEX('Planning and Target Times'!$L$1:$AJ$6,1,0),0),0)+5))</f>
        <v>75</v>
      </c>
      <c r="S28" s="420">
        <f t="shared" si="1"/>
        <v>70</v>
      </c>
      <c r="T28" s="392">
        <f>VLOOKUP(G28,'Planning and Target Times'!$A$7:$G$12,MATCH(K28&amp;"-"&amp;L28&amp;"-"&amp;J28,INDEX('Planning and Target Times'!$A$7:$G$12,1,0),0),0)</f>
        <v>35</v>
      </c>
      <c r="U28" s="292">
        <v>4.9583333333357587</v>
      </c>
      <c r="V28" s="14">
        <f t="shared" si="2"/>
        <v>71.958333333335759</v>
      </c>
      <c r="W28" s="292">
        <v>1652</v>
      </c>
      <c r="X28" s="286" t="str">
        <f t="shared" si="3"/>
        <v>UB</v>
      </c>
      <c r="Y28" s="302">
        <v>11723</v>
      </c>
      <c r="Z28" s="302">
        <v>5905</v>
      </c>
      <c r="AA28" s="302">
        <v>8132.8</v>
      </c>
      <c r="AB28" s="302">
        <v>10070</v>
      </c>
      <c r="AC28" s="302"/>
      <c r="AD28" s="302"/>
      <c r="AE28" s="292"/>
      <c r="AF28" s="292"/>
      <c r="AG28" s="292"/>
      <c r="AH28" s="292"/>
      <c r="AI28" s="292"/>
      <c r="AJ28" s="292"/>
      <c r="AK28" s="282">
        <f>IF(ISERROR(VLOOKUP(G28,'Planning and Target Times'!$B$106:$D$110,MATCH(F28,INDEX('Planning and Target Times'!$B$106:$D$110,1,0),0),0)),"",(VLOOKUP(G28,'Planning and Target Times'!$B$106:$D$110,MATCH(F28,INDEX('Planning and Target Times'!$B$106:$D$110,1,0),0),0)))</f>
        <v>940</v>
      </c>
      <c r="AL28" s="282" t="str">
        <f>VLOOKUP(G28,'Planning and Target Times'!$I$2:$J$7,2,0)</f>
        <v>Sandstone</v>
      </c>
      <c r="AM28" s="14">
        <f t="shared" si="4"/>
        <v>-3.0416666666642413</v>
      </c>
      <c r="AN28" s="292">
        <v>24.123950188242109</v>
      </c>
      <c r="AO28" s="14">
        <f t="shared" si="13"/>
        <v>17.198059701492536</v>
      </c>
      <c r="AP28" s="283">
        <f>VLOOKUP(G28,'Planning and Target Times'!$A$43:$L$47,MATCH(F28&amp;"-"&amp;K28&amp;"-"&amp;L28&amp;"-"&amp;J28,INDEX('Planning and Target Times'!$A$43:$L$47,1,0),0),0)</f>
        <v>24</v>
      </c>
      <c r="AQ28" s="385" t="s">
        <v>83</v>
      </c>
      <c r="AR28" s="292">
        <v>1</v>
      </c>
      <c r="AS28" s="384" t="s">
        <v>10</v>
      </c>
      <c r="AT28" s="282" t="s">
        <v>16</v>
      </c>
      <c r="AU28" s="292">
        <v>1</v>
      </c>
      <c r="AV28" s="292"/>
      <c r="AW28" s="292"/>
      <c r="AX28" s="384"/>
      <c r="AY28" s="384"/>
      <c r="AZ28" s="283" t="s">
        <v>299</v>
      </c>
      <c r="BA28" s="292">
        <v>21</v>
      </c>
      <c r="BB28" s="292">
        <v>14</v>
      </c>
      <c r="BC28" s="292">
        <v>3500</v>
      </c>
      <c r="BD28" s="292">
        <v>1239</v>
      </c>
      <c r="BE28" s="282">
        <v>7</v>
      </c>
      <c r="BF28" s="282">
        <f t="shared" si="14"/>
        <v>1152.27</v>
      </c>
      <c r="BG28" s="282"/>
      <c r="BH28" s="292" t="s">
        <v>338</v>
      </c>
      <c r="BI28" s="283">
        <v>286404</v>
      </c>
      <c r="BJ28" s="292"/>
      <c r="BK28" s="302">
        <f>COUNT(P$2:P28)</f>
        <v>27</v>
      </c>
      <c r="BL28" s="302">
        <f>SUMPRODUCT(--(YEAR(P$2:P28)=YEAR(P28)))</f>
        <v>27</v>
      </c>
      <c r="BM28" s="302">
        <f t="shared" si="9"/>
        <v>27</v>
      </c>
      <c r="BN28" s="15">
        <f t="shared" si="10"/>
        <v>62.049993333333575</v>
      </c>
      <c r="BO28" s="292"/>
      <c r="BP28" s="292"/>
      <c r="BQ28" s="467">
        <v>2171.9899999999998</v>
      </c>
      <c r="BR28" s="467">
        <v>2669.6983333333333</v>
      </c>
      <c r="BS28" s="467">
        <v>2677.0849999999996</v>
      </c>
      <c r="BT28" s="467"/>
      <c r="BU28" s="467"/>
      <c r="BV28" s="467"/>
      <c r="BW28" s="467" t="s">
        <v>1877</v>
      </c>
      <c r="BX28" s="469">
        <v>41275</v>
      </c>
      <c r="BY28" s="472">
        <f t="shared" si="15"/>
        <v>32.41776119402985</v>
      </c>
    </row>
    <row r="29" spans="1:78" ht="15" customHeight="1" x14ac:dyDescent="0.25">
      <c r="A29" s="384" t="s">
        <v>200</v>
      </c>
      <c r="B29" s="384" t="s">
        <v>110</v>
      </c>
      <c r="C29" s="302" t="s">
        <v>110</v>
      </c>
      <c r="D29" s="529" t="s">
        <v>2031</v>
      </c>
      <c r="E29" s="384">
        <v>5</v>
      </c>
      <c r="F29" s="384" t="str">
        <f t="shared" si="11"/>
        <v>RA</v>
      </c>
      <c r="G29" s="384" t="s">
        <v>17</v>
      </c>
      <c r="H29" s="384" t="s">
        <v>25</v>
      </c>
      <c r="I29" s="384" t="s">
        <v>20</v>
      </c>
      <c r="J29" s="384" t="s">
        <v>298</v>
      </c>
      <c r="K29" s="384" t="s">
        <v>18</v>
      </c>
      <c r="L29" s="384" t="s">
        <v>1410</v>
      </c>
      <c r="M29" s="384" t="s">
        <v>74</v>
      </c>
      <c r="N29" s="281">
        <v>2</v>
      </c>
      <c r="O29" s="13">
        <f t="shared" si="0"/>
        <v>41187.166666666664</v>
      </c>
      <c r="P29" s="284">
        <v>41262.125</v>
      </c>
      <c r="Q29" s="15">
        <v>74.958333333335759</v>
      </c>
      <c r="R29" s="334">
        <f>IF(ISERROR(VLOOKUP(G29,'Planning and Target Times'!$L$1:$AJ$6,MATCH(K29&amp;"_"&amp;L29&amp;"_"&amp;J29,INDEX('Planning and Target Times'!$L$1:$AJ$6,1,0),0),0)+5),"",(VLOOKUP(G29,'Planning and Target Times'!$L$1:$AJ$6,MATCH(K29&amp;"_"&amp;L29&amp;"_"&amp;J29,INDEX('Planning and Target Times'!$L$1:$AJ$6,1,0),0),0)+5))</f>
        <v>61</v>
      </c>
      <c r="S29" s="420">
        <f t="shared" si="1"/>
        <v>56</v>
      </c>
      <c r="T29" s="392">
        <f>VLOOKUP(G29,'Planning and Target Times'!$A$7:$G$12,MATCH(K29&amp;"-"&amp;L29&amp;"-"&amp;J29,INDEX('Planning and Target Times'!$A$7:$G$12,1,0),0),0)</f>
        <v>27</v>
      </c>
      <c r="U29" s="292">
        <v>1.125</v>
      </c>
      <c r="V29" s="14">
        <f t="shared" si="2"/>
        <v>76.083333333335759</v>
      </c>
      <c r="W29" s="292">
        <v>3052</v>
      </c>
      <c r="X29" s="286" t="str">
        <f t="shared" si="3"/>
        <v>MA</v>
      </c>
      <c r="Y29" s="302">
        <v>12832</v>
      </c>
      <c r="Z29" s="302"/>
      <c r="AA29" s="302">
        <v>8494</v>
      </c>
      <c r="AB29" s="302">
        <v>9780</v>
      </c>
      <c r="AC29" s="302"/>
      <c r="AD29" s="302"/>
      <c r="AE29" s="292"/>
      <c r="AF29" s="292"/>
      <c r="AG29" s="292"/>
      <c r="AH29" s="292"/>
      <c r="AI29" s="292"/>
      <c r="AJ29" s="292"/>
      <c r="AK29" s="282">
        <f>IF(ISERROR(VLOOKUP(G29,'Planning and Target Times'!$B$106:$D$110,MATCH(F29,INDEX('Planning and Target Times'!$B$106:$D$110,1,0),0),0)),"",(VLOOKUP(G29,'Planning and Target Times'!$B$106:$D$110,MATCH(F29,INDEX('Planning and Target Times'!$B$106:$D$110,1,0),0),0)))</f>
        <v>650</v>
      </c>
      <c r="AL29" s="282" t="str">
        <f>VLOOKUP(G29,'Planning and Target Times'!$I$2:$J$7,2,0)</f>
        <v>Carbonate</v>
      </c>
      <c r="AM29" s="14">
        <f t="shared" si="4"/>
        <v>15.083333333335759</v>
      </c>
      <c r="AN29" s="292">
        <v>18.069646284617491</v>
      </c>
      <c r="AO29" s="14">
        <f t="shared" si="13"/>
        <v>33.333918843801037</v>
      </c>
      <c r="AP29" s="283">
        <f>VLOOKUP(G29,'Planning and Target Times'!$A$43:$L$47,MATCH(F29&amp;"-"&amp;K29&amp;"-"&amp;L29&amp;"-"&amp;J29,INDEX('Planning and Target Times'!$A$43:$L$47,1,0),0),0)</f>
        <v>20</v>
      </c>
      <c r="AQ29" s="385" t="s">
        <v>83</v>
      </c>
      <c r="AR29" s="292">
        <v>1</v>
      </c>
      <c r="AS29" s="384" t="s">
        <v>10</v>
      </c>
      <c r="AT29" s="20" t="s">
        <v>24</v>
      </c>
      <c r="AU29" s="292">
        <v>0.93</v>
      </c>
      <c r="AV29" s="292"/>
      <c r="AW29" s="292"/>
      <c r="AX29" s="384"/>
      <c r="AY29" s="384"/>
      <c r="AZ29" s="283" t="s">
        <v>299</v>
      </c>
      <c r="BA29" s="292">
        <v>14</v>
      </c>
      <c r="BB29" s="292">
        <v>15</v>
      </c>
      <c r="BC29" s="292">
        <v>1750</v>
      </c>
      <c r="BD29" s="292">
        <v>3183</v>
      </c>
      <c r="BE29" s="282">
        <v>21.5</v>
      </c>
      <c r="BF29" s="282">
        <f t="shared" si="14"/>
        <v>2498.6550000000002</v>
      </c>
      <c r="BG29" s="282"/>
      <c r="BH29" s="292" t="s">
        <v>322</v>
      </c>
      <c r="BI29" s="283">
        <v>288473</v>
      </c>
      <c r="BJ29" s="292"/>
      <c r="BK29" s="302">
        <f>COUNT(P$2:P29)</f>
        <v>28</v>
      </c>
      <c r="BL29" s="302">
        <f>SUMPRODUCT(--(YEAR(P$2:P29)=YEAR(P29)))</f>
        <v>28</v>
      </c>
      <c r="BM29" s="302">
        <f t="shared" si="9"/>
        <v>28</v>
      </c>
      <c r="BN29" s="15">
        <f t="shared" si="10"/>
        <v>63.879160000000731</v>
      </c>
      <c r="BO29" s="292"/>
      <c r="BP29" s="292"/>
      <c r="BQ29" s="467">
        <v>1232.0766666666668</v>
      </c>
      <c r="BR29" s="467">
        <v>1133.801666666667</v>
      </c>
      <c r="BS29" s="467">
        <v>1076.1241666666667</v>
      </c>
      <c r="BT29" s="467"/>
      <c r="BU29" s="467"/>
      <c r="BV29" s="467"/>
      <c r="BW29" s="467" t="s">
        <v>1877</v>
      </c>
      <c r="BX29" s="469">
        <v>41487</v>
      </c>
      <c r="BY29" s="472">
        <f t="shared" si="15"/>
        <v>16.436820455808252</v>
      </c>
    </row>
    <row r="30" spans="1:78" ht="15" customHeight="1" x14ac:dyDescent="0.25">
      <c r="A30" s="384" t="s">
        <v>201</v>
      </c>
      <c r="B30" s="384" t="s">
        <v>111</v>
      </c>
      <c r="C30" s="302" t="s">
        <v>111</v>
      </c>
      <c r="D30" s="529" t="s">
        <v>2032</v>
      </c>
      <c r="E30" s="384">
        <v>2</v>
      </c>
      <c r="F30" s="384" t="str">
        <f t="shared" si="11"/>
        <v>RA</v>
      </c>
      <c r="G30" s="384" t="s">
        <v>22</v>
      </c>
      <c r="H30" s="384" t="s">
        <v>37</v>
      </c>
      <c r="I30" s="384" t="s">
        <v>16</v>
      </c>
      <c r="J30" s="384" t="s">
        <v>298</v>
      </c>
      <c r="K30" s="384" t="s">
        <v>14</v>
      </c>
      <c r="L30" s="384" t="s">
        <v>1410</v>
      </c>
      <c r="M30" s="384" t="s">
        <v>74</v>
      </c>
      <c r="N30" s="281">
        <v>1</v>
      </c>
      <c r="O30" s="13">
        <f t="shared" si="0"/>
        <v>41201.916666666664</v>
      </c>
      <c r="P30" s="284">
        <v>41262.958333333336</v>
      </c>
      <c r="Q30" s="15">
        <v>61.041666666671517</v>
      </c>
      <c r="R30" s="334">
        <f>IF(ISERROR(VLOOKUP(G30,'Planning and Target Times'!$L$1:$AJ$6,MATCH(K30&amp;"_"&amp;L30&amp;"_"&amp;J30,INDEX('Planning and Target Times'!$L$1:$AJ$6,1,0),0),0)+5),"",(VLOOKUP(G30,'Planning and Target Times'!$L$1:$AJ$6,MATCH(K30&amp;"_"&amp;L30&amp;"_"&amp;J30,INDEX('Planning and Target Times'!$L$1:$AJ$6,1,0),0),0)+5))</f>
        <v>75</v>
      </c>
      <c r="S30" s="420">
        <f t="shared" si="1"/>
        <v>70</v>
      </c>
      <c r="T30" s="392">
        <f>VLOOKUP(G30,'Planning and Target Times'!$A$7:$G$12,MATCH(K30&amp;"-"&amp;L30&amp;"-"&amp;J30,INDEX('Planning and Target Times'!$A$7:$G$12,1,0),0),0)</f>
        <v>35</v>
      </c>
      <c r="U30" s="292">
        <v>4.625</v>
      </c>
      <c r="V30" s="14">
        <f t="shared" si="2"/>
        <v>65.666666666671517</v>
      </c>
      <c r="W30" s="292">
        <v>1634</v>
      </c>
      <c r="X30" s="286" t="str">
        <f t="shared" si="3"/>
        <v>LB</v>
      </c>
      <c r="Y30" s="302">
        <v>11140</v>
      </c>
      <c r="Z30" s="302"/>
      <c r="AA30" s="302">
        <v>8487</v>
      </c>
      <c r="AB30" s="302">
        <v>9645</v>
      </c>
      <c r="AC30" s="302"/>
      <c r="AD30" s="302"/>
      <c r="AE30" s="292"/>
      <c r="AF30" s="292"/>
      <c r="AG30" s="292"/>
      <c r="AH30" s="292"/>
      <c r="AI30" s="292"/>
      <c r="AJ30" s="292"/>
      <c r="AK30" s="282">
        <f>IF(ISERROR(VLOOKUP(G30,'Planning and Target Times'!$B$106:$D$110,MATCH(F30,INDEX('Planning and Target Times'!$B$106:$D$110,1,0),0),0)),"",(VLOOKUP(G30,'Planning and Target Times'!$B$106:$D$110,MATCH(F30,INDEX('Planning and Target Times'!$B$106:$D$110,1,0),0),0)))</f>
        <v>900</v>
      </c>
      <c r="AL30" s="282" t="str">
        <f>VLOOKUP(G30,'Planning and Target Times'!$I$2:$J$7,2,0)</f>
        <v>Sandstone</v>
      </c>
      <c r="AM30" s="14">
        <f t="shared" si="4"/>
        <v>-9.3333333333284827</v>
      </c>
      <c r="AN30" s="292">
        <v>6.0317460317460316</v>
      </c>
      <c r="AO30" s="14">
        <f t="shared" si="13"/>
        <v>37.29518088736905</v>
      </c>
      <c r="AP30" s="283">
        <f>VLOOKUP(G30,'Planning and Target Times'!$A$43:$L$47,MATCH(F30&amp;"-"&amp;K30&amp;"-"&amp;L30&amp;"-"&amp;J30,INDEX('Planning and Target Times'!$A$43:$L$47,1,0),0),0)</f>
        <v>29</v>
      </c>
      <c r="AQ30" s="385" t="s">
        <v>83</v>
      </c>
      <c r="AR30" s="292">
        <v>1</v>
      </c>
      <c r="AS30" s="384" t="s">
        <v>10</v>
      </c>
      <c r="AT30" s="292" t="s">
        <v>16</v>
      </c>
      <c r="AU30" s="292">
        <v>1</v>
      </c>
      <c r="AV30" s="292"/>
      <c r="AW30" s="292"/>
      <c r="AX30" s="384"/>
      <c r="AY30" s="384"/>
      <c r="AZ30" s="292" t="s">
        <v>10</v>
      </c>
      <c r="BA30" s="292">
        <v>28</v>
      </c>
      <c r="BB30" s="292">
        <v>14</v>
      </c>
      <c r="BC30" s="292">
        <v>3000</v>
      </c>
      <c r="BD30" s="292">
        <v>2587</v>
      </c>
      <c r="BE30" s="282">
        <v>12</v>
      </c>
      <c r="BF30" s="282">
        <f t="shared" si="14"/>
        <v>2276.56</v>
      </c>
      <c r="BG30" s="282"/>
      <c r="BH30" s="292" t="s">
        <v>347</v>
      </c>
      <c r="BI30" s="283">
        <v>286348</v>
      </c>
      <c r="BJ30" s="292"/>
      <c r="BK30" s="302">
        <f>COUNT(P$2:P30)</f>
        <v>29</v>
      </c>
      <c r="BL30" s="302">
        <f>SUMPRODUCT(--(YEAR(P$2:P30)=YEAR(P30)))</f>
        <v>29</v>
      </c>
      <c r="BM30" s="302">
        <f t="shared" si="9"/>
        <v>29</v>
      </c>
      <c r="BN30" s="15">
        <f t="shared" si="10"/>
        <v>64.812493333334302</v>
      </c>
      <c r="BO30" s="292"/>
      <c r="BP30" s="292"/>
      <c r="BQ30" s="467">
        <v>3507.0033333333336</v>
      </c>
      <c r="BR30" s="467">
        <v>3700.4016666666666</v>
      </c>
      <c r="BS30" s="467">
        <v>3332.0033333333336</v>
      </c>
      <c r="BT30" s="467"/>
      <c r="BU30" s="467"/>
      <c r="BV30" s="467"/>
      <c r="BW30" s="467" t="s">
        <v>1877</v>
      </c>
      <c r="BX30" s="469">
        <v>41306</v>
      </c>
      <c r="BY30" s="472">
        <f t="shared" si="15"/>
        <v>57.452614334466425</v>
      </c>
    </row>
    <row r="31" spans="1:78" ht="15" customHeight="1" x14ac:dyDescent="0.25">
      <c r="A31" s="384" t="s">
        <v>202</v>
      </c>
      <c r="B31" s="384" t="s">
        <v>112</v>
      </c>
      <c r="C31" s="302" t="s">
        <v>112</v>
      </c>
      <c r="D31" s="529" t="s">
        <v>2033</v>
      </c>
      <c r="E31" s="384">
        <v>1</v>
      </c>
      <c r="F31" s="384" t="str">
        <f t="shared" si="11"/>
        <v>SA</v>
      </c>
      <c r="G31" s="384" t="s">
        <v>29</v>
      </c>
      <c r="H31" s="384" t="s">
        <v>38</v>
      </c>
      <c r="I31" s="384" t="s">
        <v>16</v>
      </c>
      <c r="J31" s="384" t="s">
        <v>298</v>
      </c>
      <c r="K31" s="384" t="s">
        <v>14</v>
      </c>
      <c r="L31" s="384" t="s">
        <v>1410</v>
      </c>
      <c r="M31" s="384" t="s">
        <v>74</v>
      </c>
      <c r="N31" s="292">
        <v>1</v>
      </c>
      <c r="O31" s="13">
        <f t="shared" si="0"/>
        <v>41170.458333333336</v>
      </c>
      <c r="P31" s="284">
        <v>41264.208333333336</v>
      </c>
      <c r="Q31" s="15">
        <v>93.75</v>
      </c>
      <c r="R31" s="334">
        <f>IF(ISERROR(VLOOKUP(G31,'Planning and Target Times'!$L$1:$AJ$6,MATCH(K31&amp;"_"&amp;L31&amp;"_"&amp;J31,INDEX('Planning and Target Times'!$L$1:$AJ$6,1,0),0),0)+5),"",(VLOOKUP(G31,'Planning and Target Times'!$L$1:$AJ$6,MATCH(K31&amp;"_"&amp;L31&amp;"_"&amp;J31,INDEX('Planning and Target Times'!$L$1:$AJ$6,1,0),0),0)+5))</f>
        <v>75</v>
      </c>
      <c r="S31" s="420">
        <f t="shared" si="1"/>
        <v>70</v>
      </c>
      <c r="T31" s="392">
        <f>VLOOKUP(G31,'Planning and Target Times'!$A$7:$G$12,MATCH(K31&amp;"-"&amp;L31&amp;"-"&amp;J31,INDEX('Planning and Target Times'!$A$7:$G$12,1,0),0),0)</f>
        <v>35</v>
      </c>
      <c r="U31" s="292">
        <v>12.083333333335759</v>
      </c>
      <c r="V31" s="14">
        <f t="shared" si="2"/>
        <v>105.83333333333576</v>
      </c>
      <c r="W31" s="292">
        <v>2300</v>
      </c>
      <c r="X31" s="286" t="str">
        <f t="shared" si="3"/>
        <v>UB</v>
      </c>
      <c r="Y31" s="302">
        <v>11158</v>
      </c>
      <c r="Z31" s="302">
        <v>5965</v>
      </c>
      <c r="AA31" s="302">
        <v>7755</v>
      </c>
      <c r="AB31" s="302">
        <v>8858.2999999999993</v>
      </c>
      <c r="AC31" s="302"/>
      <c r="AD31" s="302">
        <v>11155</v>
      </c>
      <c r="AE31" s="292"/>
      <c r="AF31" s="292"/>
      <c r="AG31" s="292"/>
      <c r="AH31" s="292"/>
      <c r="AI31" s="292"/>
      <c r="AJ31" s="292"/>
      <c r="AK31" s="282">
        <f>IF(ISERROR(VLOOKUP(G31,'Planning and Target Times'!$B$106:$D$110,MATCH(F31,INDEX('Planning and Target Times'!$B$106:$D$110,1,0),0),0)),"",(VLOOKUP(G31,'Planning and Target Times'!$B$106:$D$110,MATCH(F31,INDEX('Planning and Target Times'!$B$106:$D$110,1,0),0),0)))</f>
        <v>630</v>
      </c>
      <c r="AL31" s="282" t="str">
        <f>VLOOKUP(G31,'Planning and Target Times'!$I$2:$J$7,2,0)</f>
        <v>Sandstone</v>
      </c>
      <c r="AM31" s="14">
        <f t="shared" si="4"/>
        <v>30.833333333335759</v>
      </c>
      <c r="AN31" s="292">
        <v>30.354330708661418</v>
      </c>
      <c r="AO31" s="14">
        <f t="shared" si="13"/>
        <v>28.684373333333337</v>
      </c>
      <c r="AP31" s="283">
        <f>VLOOKUP(G31,'Planning and Target Times'!$A$43:$L$47,MATCH(F31&amp;"-"&amp;K31&amp;"-"&amp;L31&amp;"-"&amp;J31,INDEX('Planning and Target Times'!$A$43:$L$47,1,0),0),0)</f>
        <v>20</v>
      </c>
      <c r="AQ31" s="385" t="s">
        <v>83</v>
      </c>
      <c r="AR31" s="292">
        <v>1</v>
      </c>
      <c r="AS31" s="384" t="s">
        <v>10</v>
      </c>
      <c r="AT31" s="292" t="s">
        <v>16</v>
      </c>
      <c r="AU31" s="292">
        <v>0.93</v>
      </c>
      <c r="AV31" s="292"/>
      <c r="AW31" s="292"/>
      <c r="AX31" s="384"/>
      <c r="AY31" s="384"/>
      <c r="AZ31" s="292" t="s">
        <v>10</v>
      </c>
      <c r="BA31" s="292">
        <v>26</v>
      </c>
      <c r="BB31" s="292">
        <v>15</v>
      </c>
      <c r="BC31" s="292">
        <v>2500</v>
      </c>
      <c r="BD31" s="282">
        <v>2923</v>
      </c>
      <c r="BE31" s="282">
        <v>8</v>
      </c>
      <c r="BF31" s="282">
        <f t="shared" si="14"/>
        <v>2689.1600000000003</v>
      </c>
      <c r="BG31" s="282"/>
      <c r="BH31" s="292" t="s">
        <v>387</v>
      </c>
      <c r="BI31" s="283">
        <v>286314</v>
      </c>
      <c r="BJ31" s="292"/>
      <c r="BK31" s="302">
        <f>COUNT(P$2:P31)</f>
        <v>30</v>
      </c>
      <c r="BL31" s="302">
        <f>SUMPRODUCT(--(YEAR(P$2:P31)=YEAR(P31)))</f>
        <v>30</v>
      </c>
      <c r="BM31" s="302">
        <f t="shared" si="9"/>
        <v>30</v>
      </c>
      <c r="BN31" s="15">
        <f t="shared" si="10"/>
        <v>63.414576666667884</v>
      </c>
      <c r="BO31" s="292"/>
      <c r="BP31" s="292"/>
      <c r="BQ31" s="467">
        <v>2801.896666666667</v>
      </c>
      <c r="BR31" s="467">
        <v>2661.2416666666668</v>
      </c>
      <c r="BS31" s="467">
        <v>2162.4850000000001</v>
      </c>
      <c r="BT31" s="467"/>
      <c r="BU31" s="467"/>
      <c r="BV31" s="467"/>
      <c r="BW31" s="467" t="s">
        <v>1877</v>
      </c>
      <c r="BX31" s="469">
        <v>41275</v>
      </c>
      <c r="BY31" s="472">
        <f t="shared" si="15"/>
        <v>29.886897777777783</v>
      </c>
    </row>
    <row r="32" spans="1:78" ht="15" customHeight="1" x14ac:dyDescent="0.25">
      <c r="A32" s="384" t="s">
        <v>203</v>
      </c>
      <c r="B32" s="384" t="s">
        <v>113</v>
      </c>
      <c r="C32" s="302" t="s">
        <v>113</v>
      </c>
      <c r="D32" s="529" t="s">
        <v>2034</v>
      </c>
      <c r="E32" s="384">
        <v>2</v>
      </c>
      <c r="F32" s="384" t="str">
        <f t="shared" si="11"/>
        <v>SA</v>
      </c>
      <c r="G32" s="384" t="s">
        <v>22</v>
      </c>
      <c r="H32" s="384" t="s">
        <v>21</v>
      </c>
      <c r="I32" s="384" t="s">
        <v>24</v>
      </c>
      <c r="J32" s="384" t="s">
        <v>298</v>
      </c>
      <c r="K32" s="384" t="s">
        <v>14</v>
      </c>
      <c r="L32" s="384" t="s">
        <v>1410</v>
      </c>
      <c r="M32" s="384" t="s">
        <v>74</v>
      </c>
      <c r="N32" s="292">
        <v>2</v>
      </c>
      <c r="O32" s="13">
        <f t="shared" si="0"/>
        <v>41174.583333333336</v>
      </c>
      <c r="P32" s="284">
        <v>41272.5</v>
      </c>
      <c r="Q32" s="15">
        <v>97.916666666664241</v>
      </c>
      <c r="R32" s="334">
        <f>IF(ISERROR(VLOOKUP(G32,'Planning and Target Times'!$L$1:$AJ$6,MATCH(K32&amp;"_"&amp;L32&amp;"_"&amp;J32,INDEX('Planning and Target Times'!$L$1:$AJ$6,1,0),0),0)+5),"",(VLOOKUP(G32,'Planning and Target Times'!$L$1:$AJ$6,MATCH(K32&amp;"_"&amp;L32&amp;"_"&amp;J32,INDEX('Planning and Target Times'!$L$1:$AJ$6,1,0),0),0)+5))</f>
        <v>75</v>
      </c>
      <c r="S32" s="420">
        <f t="shared" si="1"/>
        <v>70</v>
      </c>
      <c r="T32" s="392">
        <f>VLOOKUP(G32,'Planning and Target Times'!$A$7:$G$12,MATCH(K32&amp;"-"&amp;L32&amp;"-"&amp;J32,INDEX('Planning and Target Times'!$A$7:$G$12,1,0),0),0)</f>
        <v>35</v>
      </c>
      <c r="U32" s="292">
        <v>4.75</v>
      </c>
      <c r="V32" s="14">
        <f t="shared" si="2"/>
        <v>102.66666666666424</v>
      </c>
      <c r="W32" s="292">
        <v>1223</v>
      </c>
      <c r="X32" s="286" t="str">
        <f t="shared" si="3"/>
        <v>LB</v>
      </c>
      <c r="Y32" s="302">
        <v>11065</v>
      </c>
      <c r="Z32" s="302">
        <v>5968</v>
      </c>
      <c r="AA32" s="302">
        <v>9839</v>
      </c>
      <c r="AB32" s="302"/>
      <c r="AC32" s="302"/>
      <c r="AD32" s="302"/>
      <c r="AE32" s="292"/>
      <c r="AF32" s="292"/>
      <c r="AG32" s="292"/>
      <c r="AH32" s="292"/>
      <c r="AI32" s="292"/>
      <c r="AJ32" s="292"/>
      <c r="AK32" s="282">
        <f>IF(ISERROR(VLOOKUP(G32,'Planning and Target Times'!$B$106:$D$110,MATCH(F32,INDEX('Planning and Target Times'!$B$106:$D$110,1,0),0),0)),"",(VLOOKUP(G32,'Planning and Target Times'!$B$106:$D$110,MATCH(F32,INDEX('Planning and Target Times'!$B$106:$D$110,1,0),0),0)))</f>
        <v>550</v>
      </c>
      <c r="AL32" s="282" t="str">
        <f>VLOOKUP(G32,'Planning and Target Times'!$I$2:$J$7,2,0)</f>
        <v>Sandstone</v>
      </c>
      <c r="AM32" s="14">
        <f t="shared" si="4"/>
        <v>27.666666666664241</v>
      </c>
      <c r="AN32" s="292">
        <v>20.531547981334956</v>
      </c>
      <c r="AO32" s="14">
        <f t="shared" si="13"/>
        <v>32.675744680851871</v>
      </c>
      <c r="AP32" s="283">
        <f>VLOOKUP(G32,'Planning and Target Times'!$A$43:$L$47,MATCH(F32&amp;"-"&amp;K32&amp;"-"&amp;L32&amp;"-"&amp;J32,INDEX('Planning and Target Times'!$A$43:$L$47,1,0),0),0)</f>
        <v>24</v>
      </c>
      <c r="AQ32" s="384" t="s">
        <v>80</v>
      </c>
      <c r="AR32" s="292">
        <v>2</v>
      </c>
      <c r="AS32" s="384" t="s">
        <v>10</v>
      </c>
      <c r="AT32" s="282" t="s">
        <v>39</v>
      </c>
      <c r="AU32" s="292">
        <v>1</v>
      </c>
      <c r="AV32" s="292"/>
      <c r="AW32" s="292"/>
      <c r="AX32" s="384"/>
      <c r="AY32" s="384"/>
      <c r="AZ32" s="292" t="s">
        <v>10</v>
      </c>
      <c r="BA32" s="292">
        <v>18</v>
      </c>
      <c r="BB32" s="292">
        <v>10</v>
      </c>
      <c r="BC32" s="292">
        <v>2400</v>
      </c>
      <c r="BD32" s="282">
        <v>3555</v>
      </c>
      <c r="BE32" s="282">
        <v>10</v>
      </c>
      <c r="BF32" s="282">
        <f t="shared" si="14"/>
        <v>3199.5</v>
      </c>
      <c r="BG32" s="282"/>
      <c r="BH32" s="292" t="s">
        <v>386</v>
      </c>
      <c r="BI32" s="283">
        <v>286351</v>
      </c>
      <c r="BJ32" s="292"/>
      <c r="BK32" s="302">
        <f>COUNT(P$2:P32)</f>
        <v>31</v>
      </c>
      <c r="BL32" s="302">
        <f>SUMPRODUCT(--(YEAR(P$2:P32)=YEAR(P32)))</f>
        <v>31</v>
      </c>
      <c r="BM32" s="302">
        <f t="shared" si="9"/>
        <v>31</v>
      </c>
      <c r="BN32" s="15">
        <f t="shared" si="10"/>
        <v>68.229160000000732</v>
      </c>
      <c r="BO32" s="292"/>
      <c r="BP32" s="292"/>
      <c r="BQ32" s="467">
        <v>2469.5433333333331</v>
      </c>
      <c r="BR32" s="467">
        <v>1660.4566666666667</v>
      </c>
      <c r="BS32" s="467">
        <v>1117.9383333333333</v>
      </c>
      <c r="BT32" s="467"/>
      <c r="BU32" s="467"/>
      <c r="BV32" s="467"/>
      <c r="BW32" s="467" t="s">
        <v>1877</v>
      </c>
      <c r="BX32" s="469">
        <v>41275</v>
      </c>
      <c r="BY32" s="472">
        <f t="shared" si="15"/>
        <v>25.220868085107004</v>
      </c>
    </row>
    <row r="33" spans="1:78" ht="15" customHeight="1" x14ac:dyDescent="0.25">
      <c r="A33" s="384" t="s">
        <v>204</v>
      </c>
      <c r="B33" s="384" t="s">
        <v>114</v>
      </c>
      <c r="C33" s="302" t="s">
        <v>114</v>
      </c>
      <c r="D33" s="529" t="s">
        <v>2035</v>
      </c>
      <c r="E33" s="384">
        <v>2</v>
      </c>
      <c r="F33" s="384" t="str">
        <f t="shared" si="11"/>
        <v>RA</v>
      </c>
      <c r="G33" s="384" t="s">
        <v>22</v>
      </c>
      <c r="H33" s="384" t="s">
        <v>31</v>
      </c>
      <c r="I33" s="384" t="s">
        <v>24</v>
      </c>
      <c r="J33" s="384" t="s">
        <v>298</v>
      </c>
      <c r="K33" s="384" t="s">
        <v>14</v>
      </c>
      <c r="L33" s="384" t="s">
        <v>1410</v>
      </c>
      <c r="M33" s="384" t="s">
        <v>74</v>
      </c>
      <c r="N33" s="281">
        <v>1</v>
      </c>
      <c r="O33" s="13">
        <f t="shared" si="0"/>
        <v>41216.479166666664</v>
      </c>
      <c r="P33" s="284">
        <v>41282.625</v>
      </c>
      <c r="Q33" s="15">
        <v>66.145833333335759</v>
      </c>
      <c r="R33" s="334">
        <f>IF(ISERROR(VLOOKUP(G33,'Planning and Target Times'!$L$1:$AJ$6,MATCH(K33&amp;"_"&amp;L33&amp;"_"&amp;J33,INDEX('Planning and Target Times'!$L$1:$AJ$6,1,0),0),0)+5),"",(VLOOKUP(G33,'Planning and Target Times'!$L$1:$AJ$6,MATCH(K33&amp;"_"&amp;L33&amp;"_"&amp;J33,INDEX('Planning and Target Times'!$L$1:$AJ$6,1,0),0),0)+5))</f>
        <v>75</v>
      </c>
      <c r="S33" s="420">
        <f t="shared" si="1"/>
        <v>70</v>
      </c>
      <c r="T33" s="392">
        <f>VLOOKUP(G33,'Planning and Target Times'!$A$7:$G$12,MATCH(K33&amp;"-"&amp;L33&amp;"-"&amp;J33,INDEX('Planning and Target Times'!$A$7:$G$12,1,0),0),0)</f>
        <v>35</v>
      </c>
      <c r="U33" s="292">
        <v>2.9791666666642413</v>
      </c>
      <c r="V33" s="14">
        <f t="shared" si="2"/>
        <v>69.125</v>
      </c>
      <c r="W33" s="282">
        <v>1670</v>
      </c>
      <c r="X33" s="286" t="str">
        <f t="shared" si="3"/>
        <v>LB</v>
      </c>
      <c r="Y33" s="302">
        <v>11557</v>
      </c>
      <c r="Z33" s="302">
        <v>6066</v>
      </c>
      <c r="AA33" s="302">
        <v>8256</v>
      </c>
      <c r="AB33" s="302">
        <v>9358</v>
      </c>
      <c r="AC33" s="302"/>
      <c r="AD33" s="302">
        <v>11588</v>
      </c>
      <c r="AE33" s="292"/>
      <c r="AF33" s="292"/>
      <c r="AG33" s="292"/>
      <c r="AH33" s="292"/>
      <c r="AI33" s="292"/>
      <c r="AJ33" s="292"/>
      <c r="AK33" s="282">
        <f>IF(ISERROR(VLOOKUP(G33,'Planning and Target Times'!$B$106:$D$110,MATCH(F33,INDEX('Planning and Target Times'!$B$106:$D$110,1,0),0),0)),"",(VLOOKUP(G33,'Planning and Target Times'!$B$106:$D$110,MATCH(F33,INDEX('Planning and Target Times'!$B$106:$D$110,1,0),0),0)))</f>
        <v>900</v>
      </c>
      <c r="AL33" s="282" t="str">
        <f>VLOOKUP(G33,'Planning and Target Times'!$I$2:$J$7,2,0)</f>
        <v>Sandstone</v>
      </c>
      <c r="AM33" s="14">
        <f t="shared" si="4"/>
        <v>-5.875</v>
      </c>
      <c r="AN33" s="292">
        <v>4.4303797468354427</v>
      </c>
      <c r="AO33" s="14">
        <f t="shared" si="13"/>
        <v>23.961902362203848</v>
      </c>
      <c r="AP33" s="283">
        <f>VLOOKUP(G33,'Planning and Target Times'!$A$43:$L$47,MATCH(F33&amp;"-"&amp;K33&amp;"-"&amp;L33&amp;"-"&amp;J33,INDEX('Planning and Target Times'!$A$43:$L$47,1,0),0),0)</f>
        <v>29</v>
      </c>
      <c r="AQ33" s="385" t="s">
        <v>83</v>
      </c>
      <c r="AR33" s="292">
        <v>1</v>
      </c>
      <c r="AS33" s="384" t="s">
        <v>10</v>
      </c>
      <c r="AT33" s="282" t="s">
        <v>16</v>
      </c>
      <c r="AU33" s="292">
        <v>1</v>
      </c>
      <c r="AV33" s="292"/>
      <c r="AW33" s="292"/>
      <c r="AX33" s="384"/>
      <c r="AY33" s="384"/>
      <c r="AZ33" s="292" t="s">
        <v>10</v>
      </c>
      <c r="BA33" s="282">
        <v>28</v>
      </c>
      <c r="BB33" s="282">
        <v>15</v>
      </c>
      <c r="BC33" s="282">
        <v>4500</v>
      </c>
      <c r="BD33" s="282">
        <v>1634</v>
      </c>
      <c r="BE33" s="282">
        <v>3</v>
      </c>
      <c r="BF33" s="282">
        <f t="shared" si="14"/>
        <v>1584.98</v>
      </c>
      <c r="BG33" s="282"/>
      <c r="BH33" s="292" t="s">
        <v>358</v>
      </c>
      <c r="BI33" s="283">
        <v>286806</v>
      </c>
      <c r="BJ33" s="292"/>
      <c r="BK33" s="302">
        <f>COUNT(P$2:P33)</f>
        <v>32</v>
      </c>
      <c r="BL33" s="302">
        <f>SUMPRODUCT(--(YEAR(P$2:P33)=YEAR(P33)))</f>
        <v>1</v>
      </c>
      <c r="BM33" s="302">
        <f t="shared" si="9"/>
        <v>32</v>
      </c>
      <c r="BN33" s="15">
        <f t="shared" si="10"/>
        <v>69.268743333334299</v>
      </c>
      <c r="BO33" s="292"/>
      <c r="BP33" s="292"/>
      <c r="BQ33" s="467">
        <v>3527.0766666666673</v>
      </c>
      <c r="BR33" s="467">
        <v>4010.1916666666671</v>
      </c>
      <c r="BS33" s="467">
        <v>3128.7999999999997</v>
      </c>
      <c r="BT33" s="467"/>
      <c r="BU33" s="467"/>
      <c r="BV33" s="467"/>
      <c r="BW33" s="467" t="s">
        <v>1877</v>
      </c>
      <c r="BX33" s="469">
        <v>41334</v>
      </c>
      <c r="BY33" s="472">
        <f t="shared" si="15"/>
        <v>53.322733858265771</v>
      </c>
    </row>
    <row r="34" spans="1:78" ht="15" customHeight="1" x14ac:dyDescent="0.25">
      <c r="A34" s="384" t="s">
        <v>205</v>
      </c>
      <c r="B34" s="384" t="s">
        <v>170</v>
      </c>
      <c r="C34" s="302" t="s">
        <v>170</v>
      </c>
      <c r="D34" s="529" t="s">
        <v>2036</v>
      </c>
      <c r="E34" s="384">
        <v>1</v>
      </c>
      <c r="F34" s="384" t="str">
        <f t="shared" si="11"/>
        <v>SA</v>
      </c>
      <c r="G34" s="384" t="s">
        <v>22</v>
      </c>
      <c r="H34" s="384" t="s">
        <v>15</v>
      </c>
      <c r="I34" s="384" t="s">
        <v>16</v>
      </c>
      <c r="J34" s="384" t="s">
        <v>298</v>
      </c>
      <c r="K34" s="384" t="s">
        <v>14</v>
      </c>
      <c r="L34" s="384" t="s">
        <v>1410</v>
      </c>
      <c r="M34" s="384" t="s">
        <v>74</v>
      </c>
      <c r="N34" s="292">
        <v>1</v>
      </c>
      <c r="O34" s="13">
        <f t="shared" ref="O34:O65" si="16">P34-Q34</f>
        <v>41205.270833333336</v>
      </c>
      <c r="P34" s="284">
        <v>41283.75</v>
      </c>
      <c r="Q34" s="15">
        <v>78.479166666664241</v>
      </c>
      <c r="R34" s="334">
        <f>IF(ISERROR(VLOOKUP(G34,'Planning and Target Times'!$L$1:$AJ$6,MATCH(K34&amp;"_"&amp;L34&amp;"_"&amp;J34,INDEX('Planning and Target Times'!$L$1:$AJ$6,1,0),0),0)+5),"",(VLOOKUP(G34,'Planning and Target Times'!$L$1:$AJ$6,MATCH(K34&amp;"_"&amp;L34&amp;"_"&amp;J34,INDEX('Planning and Target Times'!$L$1:$AJ$6,1,0),0),0)+5))</f>
        <v>75</v>
      </c>
      <c r="S34" s="420">
        <f t="shared" ref="S34:S65" si="17">IF(ISERROR(R34-5),"",R34-5)</f>
        <v>70</v>
      </c>
      <c r="T34" s="392">
        <f>VLOOKUP(G34,'Planning and Target Times'!$A$7:$G$12,MATCH(K34&amp;"-"&amp;L34&amp;"-"&amp;J34,INDEX('Planning and Target Times'!$A$7:$G$12,1,0),0),0)</f>
        <v>35</v>
      </c>
      <c r="U34" s="292">
        <v>2.2708333333357587</v>
      </c>
      <c r="V34" s="14">
        <f t="shared" si="2"/>
        <v>80.75</v>
      </c>
      <c r="W34" s="292">
        <v>330</v>
      </c>
      <c r="X34" s="286" t="str">
        <f t="shared" ref="X34:X65" si="18">IF(OR(G34="ZU",G34="RT"),"ZU/RT",G34)</f>
        <v>LB</v>
      </c>
      <c r="Y34" s="302">
        <v>11055</v>
      </c>
      <c r="Z34" s="302">
        <v>5875</v>
      </c>
      <c r="AA34" s="302">
        <v>8849</v>
      </c>
      <c r="AB34" s="302"/>
      <c r="AC34" s="302"/>
      <c r="AD34" s="302"/>
      <c r="AE34" s="292"/>
      <c r="AF34" s="292"/>
      <c r="AG34" s="292"/>
      <c r="AH34" s="292"/>
      <c r="AI34" s="292"/>
      <c r="AJ34" s="292"/>
      <c r="AK34" s="282">
        <f>IF(ISERROR(VLOOKUP(G34,'Planning and Target Times'!$B$106:$D$110,MATCH(F34,INDEX('Planning and Target Times'!$B$106:$D$110,1,0),0),0)),"",(VLOOKUP(G34,'Planning and Target Times'!$B$106:$D$110,MATCH(F34,INDEX('Planning and Target Times'!$B$106:$D$110,1,0),0),0)))</f>
        <v>550</v>
      </c>
      <c r="AL34" s="282" t="str">
        <f>VLOOKUP(G34,'Planning and Target Times'!$I$2:$J$7,2,0)</f>
        <v>Sandstone</v>
      </c>
      <c r="AM34" s="14">
        <f t="shared" ref="AM34:AM65" si="19">V34-R34</f>
        <v>5.75</v>
      </c>
      <c r="AN34" s="292">
        <v>31.450980392156865</v>
      </c>
      <c r="AO34" s="14">
        <f t="shared" si="13"/>
        <v>25.420759224848144</v>
      </c>
      <c r="AP34" s="283">
        <f>VLOOKUP(G34,'Planning and Target Times'!$A$43:$L$47,MATCH(F34&amp;"-"&amp;K34&amp;"-"&amp;L34&amp;"-"&amp;J34,INDEX('Planning and Target Times'!$A$43:$L$47,1,0),0),0)</f>
        <v>24</v>
      </c>
      <c r="AQ34" s="384" t="s">
        <v>80</v>
      </c>
      <c r="AR34" s="292">
        <v>1</v>
      </c>
      <c r="AS34" s="384" t="s">
        <v>10</v>
      </c>
      <c r="AT34" s="282" t="s">
        <v>39</v>
      </c>
      <c r="AU34" s="292">
        <v>0.56999999999999995</v>
      </c>
      <c r="AV34" s="292"/>
      <c r="AW34" s="292"/>
      <c r="AX34" s="384"/>
      <c r="AY34" s="384"/>
      <c r="AZ34" s="292" t="s">
        <v>10</v>
      </c>
      <c r="BA34" s="292">
        <v>8</v>
      </c>
      <c r="BB34" s="292">
        <v>3</v>
      </c>
      <c r="BC34" s="292">
        <v>1700</v>
      </c>
      <c r="BD34" s="282">
        <v>1995</v>
      </c>
      <c r="BE34" s="282">
        <v>0</v>
      </c>
      <c r="BF34" s="282">
        <f t="shared" si="14"/>
        <v>1995</v>
      </c>
      <c r="BG34" s="282"/>
      <c r="BH34" s="292" t="s">
        <v>395</v>
      </c>
      <c r="BI34" s="283">
        <v>286608</v>
      </c>
      <c r="BJ34" s="292"/>
      <c r="BK34" s="302">
        <f>COUNT(P$2:P34)</f>
        <v>33</v>
      </c>
      <c r="BL34" s="302">
        <f>SUMPRODUCT(--(YEAR(P$2:P34)=YEAR(P34)))</f>
        <v>2</v>
      </c>
      <c r="BM34" s="302">
        <f t="shared" si="9"/>
        <v>33</v>
      </c>
      <c r="BN34" s="15">
        <f t="shared" si="10"/>
        <v>72.829160000000726</v>
      </c>
      <c r="BO34" s="292"/>
      <c r="BP34" s="292"/>
      <c r="BQ34" s="467">
        <v>2000.13</v>
      </c>
      <c r="BR34" s="467">
        <v>1690.0349999999999</v>
      </c>
      <c r="BS34" s="467">
        <v>1257.3700000000001</v>
      </c>
      <c r="BT34" s="467"/>
      <c r="BU34" s="467"/>
      <c r="BV34" s="467"/>
      <c r="BW34" s="467" t="s">
        <v>1877</v>
      </c>
      <c r="BX34" s="469">
        <v>41306</v>
      </c>
      <c r="BY34" s="472">
        <f t="shared" si="15"/>
        <v>25.486126891426327</v>
      </c>
    </row>
    <row r="35" spans="1:78" ht="15" customHeight="1" x14ac:dyDescent="0.25">
      <c r="A35" s="384" t="s">
        <v>206</v>
      </c>
      <c r="B35" s="384" t="s">
        <v>437</v>
      </c>
      <c r="C35" s="302" t="s">
        <v>437</v>
      </c>
      <c r="D35" s="529" t="s">
        <v>2037</v>
      </c>
      <c r="E35" s="384">
        <v>1</v>
      </c>
      <c r="F35" s="384" t="str">
        <f t="shared" si="11"/>
        <v>RA</v>
      </c>
      <c r="G35" s="384" t="s">
        <v>17</v>
      </c>
      <c r="H35" s="384" t="s">
        <v>28</v>
      </c>
      <c r="I35" s="384" t="s">
        <v>20</v>
      </c>
      <c r="J35" s="384" t="s">
        <v>34</v>
      </c>
      <c r="K35" s="384" t="s">
        <v>18</v>
      </c>
      <c r="L35" s="384" t="s">
        <v>1410</v>
      </c>
      <c r="M35" s="384" t="s">
        <v>60</v>
      </c>
      <c r="N35" s="281">
        <v>1</v>
      </c>
      <c r="O35" s="13">
        <f t="shared" si="16"/>
        <v>41262</v>
      </c>
      <c r="P35" s="284">
        <v>41289.75</v>
      </c>
      <c r="Q35" s="15">
        <v>27.75</v>
      </c>
      <c r="R35" s="334">
        <f>IF(ISERROR(VLOOKUP(G35,'Planning and Target Times'!$L$1:$AJ$6,MATCH(K35&amp;"_"&amp;L35&amp;"_"&amp;J35,INDEX('Planning and Target Times'!$L$1:$AJ$6,1,0),0),0)+5),"",(VLOOKUP(G35,'Planning and Target Times'!$L$1:$AJ$6,MATCH(K35&amp;"_"&amp;L35&amp;"_"&amp;J35,INDEX('Planning and Target Times'!$L$1:$AJ$6,1,0),0),0)+5))</f>
        <v>54</v>
      </c>
      <c r="S35" s="420">
        <f t="shared" si="17"/>
        <v>49</v>
      </c>
      <c r="T35" s="392">
        <f>VLOOKUP(G35,'Planning and Target Times'!$A$7:$G$12,MATCH(K35&amp;"-"&amp;L35&amp;"-"&amp;J35,INDEX('Planning and Target Times'!$A$7:$G$12,1,0),0),0)</f>
        <v>25</v>
      </c>
      <c r="U35" s="292">
        <v>6.9166666666642413</v>
      </c>
      <c r="V35" s="14">
        <f t="shared" si="2"/>
        <v>34.666666666664241</v>
      </c>
      <c r="W35" s="292">
        <v>2938</v>
      </c>
      <c r="X35" s="286" t="str">
        <f t="shared" si="18"/>
        <v>MA</v>
      </c>
      <c r="Y35" s="302">
        <v>11500</v>
      </c>
      <c r="Z35" s="302">
        <v>6023</v>
      </c>
      <c r="AA35" s="302">
        <v>6403</v>
      </c>
      <c r="AB35" s="302">
        <v>8560</v>
      </c>
      <c r="AC35" s="302"/>
      <c r="AD35" s="302"/>
      <c r="AE35" s="292"/>
      <c r="AF35" s="292"/>
      <c r="AG35" s="292"/>
      <c r="AH35" s="292"/>
      <c r="AI35" s="292"/>
      <c r="AJ35" s="292"/>
      <c r="AK35" s="282"/>
      <c r="AL35" s="282" t="str">
        <f>VLOOKUP(G35,'Planning and Target Times'!$I$2:$J$7,2,0)</f>
        <v>Carbonate</v>
      </c>
      <c r="AM35" s="14">
        <f t="shared" si="19"/>
        <v>-19.333333333335759</v>
      </c>
      <c r="AN35" s="292">
        <v>8.4735576923076934</v>
      </c>
      <c r="AO35" s="14" t="s">
        <v>91</v>
      </c>
      <c r="AP35" s="283">
        <f>VLOOKUP(G35,'Planning and Target Times'!$A$43:$L$47,MATCH(F35&amp;"-"&amp;K35&amp;"-"&amp;L35&amp;"-"&amp;J35,INDEX('Planning and Target Times'!$A$43:$L$47,1,0),0),0)</f>
        <v>300</v>
      </c>
      <c r="AQ35" s="384" t="s">
        <v>88</v>
      </c>
      <c r="AR35" s="292" t="s">
        <v>91</v>
      </c>
      <c r="AS35" s="292" t="s">
        <v>91</v>
      </c>
      <c r="AT35" s="292" t="s">
        <v>91</v>
      </c>
      <c r="AU35" s="292" t="s">
        <v>91</v>
      </c>
      <c r="AV35" s="292"/>
      <c r="AW35" s="292"/>
      <c r="AX35" s="384"/>
      <c r="AY35" s="384"/>
      <c r="AZ35" s="283" t="s">
        <v>299</v>
      </c>
      <c r="BA35" s="292">
        <v>0</v>
      </c>
      <c r="BB35" s="292">
        <v>0</v>
      </c>
      <c r="BC35" s="292"/>
      <c r="BD35" s="292" t="s">
        <v>34</v>
      </c>
      <c r="BE35" s="292" t="s">
        <v>34</v>
      </c>
      <c r="BF35" s="282" t="s">
        <v>91</v>
      </c>
      <c r="BG35" s="282"/>
      <c r="BH35" s="282" t="s">
        <v>320</v>
      </c>
      <c r="BI35" s="283">
        <v>288370</v>
      </c>
      <c r="BJ35" s="292"/>
      <c r="BK35" s="302">
        <f>COUNT(P$2:P35)</f>
        <v>34</v>
      </c>
      <c r="BL35" s="302">
        <f>SUMPRODUCT(--(YEAR(P$2:P35)=YEAR(P35)))</f>
        <v>3</v>
      </c>
      <c r="BM35" s="302">
        <f t="shared" ref="BM35:BM66" si="20">IF(AND(MONTH(P34)&lt;&gt;4,MONTH(P35)=4),1,BM34+1)</f>
        <v>34</v>
      </c>
      <c r="BN35" s="15">
        <f t="shared" si="10"/>
        <v>67.922910000000726</v>
      </c>
      <c r="BO35" s="292"/>
      <c r="BP35" s="292"/>
      <c r="BQ35" s="464"/>
      <c r="BR35" s="464"/>
      <c r="BS35" s="464"/>
      <c r="BT35" s="464">
        <v>440.36559139784964</v>
      </c>
      <c r="BU35" s="464">
        <v>3972.9030337941635</v>
      </c>
      <c r="BV35" s="464">
        <v>6705.0050115207314</v>
      </c>
      <c r="BW35" s="464" t="s">
        <v>1879</v>
      </c>
      <c r="BX35" s="469">
        <v>39934</v>
      </c>
      <c r="BZ35" s="472">
        <f>BT35/Q35</f>
        <v>15.86903032064323</v>
      </c>
    </row>
    <row r="36" spans="1:78" ht="15" customHeight="1" x14ac:dyDescent="0.25">
      <c r="A36" s="384" t="s">
        <v>207</v>
      </c>
      <c r="B36" s="384" t="s">
        <v>115</v>
      </c>
      <c r="C36" s="302" t="s">
        <v>115</v>
      </c>
      <c r="D36" s="529" t="s">
        <v>2038</v>
      </c>
      <c r="E36" s="384">
        <v>5</v>
      </c>
      <c r="F36" s="384" t="str">
        <f t="shared" si="11"/>
        <v>RA</v>
      </c>
      <c r="G36" s="384" t="s">
        <v>22</v>
      </c>
      <c r="H36" s="384" t="s">
        <v>12</v>
      </c>
      <c r="I36" s="384" t="s">
        <v>16</v>
      </c>
      <c r="J36" s="384" t="s">
        <v>298</v>
      </c>
      <c r="K36" s="384" t="s">
        <v>14</v>
      </c>
      <c r="L36" s="384" t="s">
        <v>1410</v>
      </c>
      <c r="M36" s="384" t="s">
        <v>74</v>
      </c>
      <c r="N36" s="281">
        <v>1</v>
      </c>
      <c r="O36" s="13">
        <f t="shared" si="16"/>
        <v>41229.25</v>
      </c>
      <c r="P36" s="284">
        <v>41292.833333333336</v>
      </c>
      <c r="Q36" s="15">
        <v>63.583333333335759</v>
      </c>
      <c r="R36" s="334">
        <f>IF(ISERROR(VLOOKUP(G36,'Planning and Target Times'!$L$1:$AJ$6,MATCH(K36&amp;"_"&amp;L36&amp;"_"&amp;J36,INDEX('Planning and Target Times'!$L$1:$AJ$6,1,0),0),0)+5),"",(VLOOKUP(G36,'Planning and Target Times'!$L$1:$AJ$6,MATCH(K36&amp;"_"&amp;L36&amp;"_"&amp;J36,INDEX('Planning and Target Times'!$L$1:$AJ$6,1,0),0),0)+5))</f>
        <v>75</v>
      </c>
      <c r="S36" s="420">
        <f t="shared" si="17"/>
        <v>70</v>
      </c>
      <c r="T36" s="392">
        <f>VLOOKUP(G36,'Planning and Target Times'!$A$7:$G$12,MATCH(K36&amp;"-"&amp;L36&amp;"-"&amp;J36,INDEX('Planning and Target Times'!$A$7:$G$12,1,0),0),0)</f>
        <v>35</v>
      </c>
      <c r="U36" s="292">
        <v>16.791666666664241</v>
      </c>
      <c r="V36" s="14">
        <f t="shared" si="2"/>
        <v>80.375</v>
      </c>
      <c r="W36" s="292">
        <v>944</v>
      </c>
      <c r="X36" s="286" t="str">
        <f t="shared" si="18"/>
        <v>LB</v>
      </c>
      <c r="Y36" s="302">
        <v>10487</v>
      </c>
      <c r="Z36" s="302">
        <v>6015</v>
      </c>
      <c r="AA36" s="302">
        <v>8342</v>
      </c>
      <c r="AB36" s="302">
        <v>9543</v>
      </c>
      <c r="AC36" s="302"/>
      <c r="AD36" s="302"/>
      <c r="AE36" s="292"/>
      <c r="AF36" s="292"/>
      <c r="AG36" s="292"/>
      <c r="AH36" s="292"/>
      <c r="AI36" s="292"/>
      <c r="AJ36" s="292"/>
      <c r="AK36" s="282">
        <f>IF(ISERROR(VLOOKUP(G36,'Planning and Target Times'!$B$106:$D$110,MATCH(F36,INDEX('Planning and Target Times'!$B$106:$D$110,1,0),0),0)),"",(VLOOKUP(G36,'Planning and Target Times'!$B$106:$D$110,MATCH(F36,INDEX('Planning and Target Times'!$B$106:$D$110,1,0),0),0)))</f>
        <v>900</v>
      </c>
      <c r="AL36" s="282" t="str">
        <f>VLOOKUP(G36,'Planning and Target Times'!$I$2:$J$7,2,0)</f>
        <v>Sandstone</v>
      </c>
      <c r="AM36" s="14">
        <f t="shared" si="19"/>
        <v>5.375</v>
      </c>
      <c r="AN36" s="292">
        <v>16.796267496111973</v>
      </c>
      <c r="AO36" s="14">
        <f>BF36/Q36</f>
        <v>30.511140235909714</v>
      </c>
      <c r="AP36" s="283">
        <f>VLOOKUP(G36,'Planning and Target Times'!$A$43:$L$47,MATCH(F36&amp;"-"&amp;K36&amp;"-"&amp;L36&amp;"-"&amp;J36,INDEX('Planning and Target Times'!$A$43:$L$47,1,0),0),0)</f>
        <v>29</v>
      </c>
      <c r="AQ36" s="385" t="s">
        <v>83</v>
      </c>
      <c r="AR36" s="292">
        <v>1</v>
      </c>
      <c r="AS36" s="384" t="s">
        <v>33</v>
      </c>
      <c r="AT36" s="282" t="s">
        <v>16</v>
      </c>
      <c r="AU36" s="292">
        <v>0.8</v>
      </c>
      <c r="AV36" s="292"/>
      <c r="AW36" s="292"/>
      <c r="AX36" s="384"/>
      <c r="AY36" s="384"/>
      <c r="AZ36" s="292" t="s">
        <v>10</v>
      </c>
      <c r="BA36" s="292">
        <v>14</v>
      </c>
      <c r="BB36" s="292">
        <v>9</v>
      </c>
      <c r="BC36" s="292">
        <v>3000</v>
      </c>
      <c r="BD36" s="292">
        <v>2000</v>
      </c>
      <c r="BE36" s="282">
        <v>3</v>
      </c>
      <c r="BF36" s="282">
        <f>(1-BE36/100)*BD36</f>
        <v>1940</v>
      </c>
      <c r="BG36" s="282"/>
      <c r="BH36" s="292" t="s">
        <v>351</v>
      </c>
      <c r="BI36" s="283">
        <v>286610</v>
      </c>
      <c r="BJ36" s="292"/>
      <c r="BK36" s="302">
        <f>COUNT(P$2:P36)</f>
        <v>35</v>
      </c>
      <c r="BL36" s="302">
        <f>SUMPRODUCT(--(YEAR(P$2:P36)=YEAR(P36)))</f>
        <v>4</v>
      </c>
      <c r="BM36" s="302">
        <f t="shared" si="20"/>
        <v>35</v>
      </c>
      <c r="BN36" s="15">
        <f t="shared" si="10"/>
        <v>67.904160000000729</v>
      </c>
      <c r="BO36" s="292"/>
      <c r="BP36" s="292"/>
      <c r="BQ36" s="467">
        <v>2002.4866666666669</v>
      </c>
      <c r="BR36" s="467">
        <v>1937.4866666666667</v>
      </c>
      <c r="BS36" s="467">
        <v>1987.0133333333333</v>
      </c>
      <c r="BT36" s="467"/>
      <c r="BU36" s="467"/>
      <c r="BV36" s="467"/>
      <c r="BW36" s="467" t="s">
        <v>1877</v>
      </c>
      <c r="BX36" s="469">
        <v>41334</v>
      </c>
      <c r="BY36" s="472">
        <f t="shared" ref="BY36:BY68" si="21">BQ36/Q36</f>
        <v>31.493892529487663</v>
      </c>
    </row>
    <row r="37" spans="1:78" ht="15" customHeight="1" x14ac:dyDescent="0.25">
      <c r="A37" s="384" t="s">
        <v>208</v>
      </c>
      <c r="B37" s="384" t="s">
        <v>169</v>
      </c>
      <c r="C37" s="302" t="s">
        <v>169</v>
      </c>
      <c r="D37" s="529" t="s">
        <v>2039</v>
      </c>
      <c r="E37" s="384">
        <v>5</v>
      </c>
      <c r="F37" s="384" t="str">
        <f t="shared" si="11"/>
        <v>SA</v>
      </c>
      <c r="G37" s="384" t="s">
        <v>22</v>
      </c>
      <c r="H37" s="384" t="s">
        <v>19</v>
      </c>
      <c r="I37" s="384" t="s">
        <v>20</v>
      </c>
      <c r="J37" s="384" t="s">
        <v>298</v>
      </c>
      <c r="K37" s="384" t="s">
        <v>14</v>
      </c>
      <c r="L37" s="384" t="s">
        <v>1410</v>
      </c>
      <c r="M37" s="384" t="s">
        <v>61</v>
      </c>
      <c r="N37" s="292">
        <v>2</v>
      </c>
      <c r="O37" s="13">
        <f t="shared" si="16"/>
        <v>41210.416666666664</v>
      </c>
      <c r="P37" s="284">
        <v>41297.25</v>
      </c>
      <c r="Q37" s="15">
        <v>86.833333333335759</v>
      </c>
      <c r="R37" s="334">
        <f>IF(ISERROR(VLOOKUP(G37,'Planning and Target Times'!$L$1:$AJ$6,MATCH(K37&amp;"_"&amp;L37&amp;"_"&amp;J37,INDEX('Planning and Target Times'!$L$1:$AJ$6,1,0),0),0)+5),"",(VLOOKUP(G37,'Planning and Target Times'!$L$1:$AJ$6,MATCH(K37&amp;"_"&amp;L37&amp;"_"&amp;J37,INDEX('Planning and Target Times'!$L$1:$AJ$6,1,0),0),0)+5))</f>
        <v>75</v>
      </c>
      <c r="S37" s="420">
        <f t="shared" si="17"/>
        <v>70</v>
      </c>
      <c r="T37" s="392">
        <f>VLOOKUP(G37,'Planning and Target Times'!$A$7:$G$12,MATCH(K37&amp;"-"&amp;L37&amp;"-"&amp;J37,INDEX('Planning and Target Times'!$A$7:$G$12,1,0),0),0)</f>
        <v>35</v>
      </c>
      <c r="U37" s="292">
        <v>1.7291666666642413</v>
      </c>
      <c r="V37" s="14">
        <f t="shared" si="2"/>
        <v>88.5625</v>
      </c>
      <c r="W37" s="292">
        <v>2500</v>
      </c>
      <c r="X37" s="286" t="str">
        <f t="shared" si="18"/>
        <v>LB</v>
      </c>
      <c r="Y37" s="302">
        <v>12500</v>
      </c>
      <c r="Z37" s="302">
        <v>6002</v>
      </c>
      <c r="AA37" s="302">
        <v>8353</v>
      </c>
      <c r="AB37" s="302">
        <v>9410</v>
      </c>
      <c r="AC37" s="302"/>
      <c r="AD37" s="302"/>
      <c r="AE37" s="292"/>
      <c r="AF37" s="292"/>
      <c r="AG37" s="292"/>
      <c r="AH37" s="292"/>
      <c r="AI37" s="292"/>
      <c r="AJ37" s="292"/>
      <c r="AK37" s="282">
        <f>IF(ISERROR(VLOOKUP(G37,'Planning and Target Times'!$B$106:$D$110,MATCH(F37,INDEX('Planning and Target Times'!$B$106:$D$110,1,0),0),0)),"",(VLOOKUP(G37,'Planning and Target Times'!$B$106:$D$110,MATCH(F37,INDEX('Planning and Target Times'!$B$106:$D$110,1,0),0),0)))</f>
        <v>550</v>
      </c>
      <c r="AL37" s="282" t="str">
        <f>VLOOKUP(G37,'Planning and Target Times'!$I$2:$J$7,2,0)</f>
        <v>Sandstone</v>
      </c>
      <c r="AM37" s="14">
        <f t="shared" si="19"/>
        <v>13.5625</v>
      </c>
      <c r="AN37" s="292">
        <v>27.487649964714183</v>
      </c>
      <c r="AO37" s="14" t="s">
        <v>91</v>
      </c>
      <c r="AP37" s="283">
        <f>VLOOKUP(G37,'Planning and Target Times'!$A$43:$L$47,MATCH(F37&amp;"-"&amp;K37&amp;"-"&amp;L37&amp;"-"&amp;J37,INDEX('Planning and Target Times'!$A$43:$L$47,1,0),0),0)</f>
        <v>24</v>
      </c>
      <c r="AQ37" s="420" t="s">
        <v>415</v>
      </c>
      <c r="AR37" s="292" t="s">
        <v>91</v>
      </c>
      <c r="AS37" s="292" t="s">
        <v>91</v>
      </c>
      <c r="AT37" s="292" t="s">
        <v>91</v>
      </c>
      <c r="AU37" s="292">
        <v>1</v>
      </c>
      <c r="AV37" s="292"/>
      <c r="AW37" s="292"/>
      <c r="AX37" s="384"/>
      <c r="AY37" s="384"/>
      <c r="AZ37" s="292" t="s">
        <v>10</v>
      </c>
      <c r="BA37" s="292">
        <v>0</v>
      </c>
      <c r="BB37" s="292">
        <v>0</v>
      </c>
      <c r="BC37" s="292"/>
      <c r="BD37" s="292" t="s">
        <v>412</v>
      </c>
      <c r="BE37" s="292" t="s">
        <v>412</v>
      </c>
      <c r="BF37" s="282" t="s">
        <v>91</v>
      </c>
      <c r="BG37" s="282"/>
      <c r="BH37" s="292" t="s">
        <v>320</v>
      </c>
      <c r="BI37" s="283">
        <v>288603</v>
      </c>
      <c r="BJ37" s="292"/>
      <c r="BK37" s="302">
        <f>COUNT(P$2:P37)</f>
        <v>36</v>
      </c>
      <c r="BL37" s="302">
        <f>SUMPRODUCT(--(YEAR(P$2:P37)=YEAR(P37)))</f>
        <v>5</v>
      </c>
      <c r="BM37" s="302">
        <f t="shared" si="20"/>
        <v>36</v>
      </c>
      <c r="BN37" s="15">
        <f t="shared" si="10"/>
        <v>71.745833333334303</v>
      </c>
      <c r="BO37" s="292"/>
      <c r="BP37" s="292"/>
      <c r="BQ37" s="467">
        <v>1486.6166666666668</v>
      </c>
      <c r="BR37" s="467">
        <v>1353.1466666666668</v>
      </c>
      <c r="BS37" s="467">
        <v>1187.8691666666668</v>
      </c>
      <c r="BT37" s="467"/>
      <c r="BU37" s="467"/>
      <c r="BV37" s="467"/>
      <c r="BW37" s="467" t="s">
        <v>1877</v>
      </c>
      <c r="BX37" s="469">
        <v>41487</v>
      </c>
      <c r="BY37" s="472">
        <f t="shared" si="21"/>
        <v>17.120345489442901</v>
      </c>
    </row>
    <row r="38" spans="1:78" ht="15" customHeight="1" x14ac:dyDescent="0.25">
      <c r="A38" s="384" t="s">
        <v>209</v>
      </c>
      <c r="B38" s="384" t="s">
        <v>116</v>
      </c>
      <c r="C38" s="302" t="s">
        <v>116</v>
      </c>
      <c r="D38" s="529" t="s">
        <v>2040</v>
      </c>
      <c r="E38" s="384">
        <v>1</v>
      </c>
      <c r="F38" s="384" t="str">
        <f t="shared" si="11"/>
        <v>RA</v>
      </c>
      <c r="G38" s="384" t="s">
        <v>22</v>
      </c>
      <c r="H38" s="384" t="s">
        <v>36</v>
      </c>
      <c r="I38" s="384" t="s">
        <v>16</v>
      </c>
      <c r="J38" s="384" t="s">
        <v>298</v>
      </c>
      <c r="K38" s="384" t="s">
        <v>14</v>
      </c>
      <c r="L38" s="384" t="s">
        <v>1410</v>
      </c>
      <c r="M38" s="384" t="s">
        <v>60</v>
      </c>
      <c r="N38" s="292">
        <v>1</v>
      </c>
      <c r="O38" s="13">
        <f t="shared" si="16"/>
        <v>41243.145833333336</v>
      </c>
      <c r="P38" s="284">
        <v>41300.416666666664</v>
      </c>
      <c r="Q38" s="15">
        <v>57.270833333328483</v>
      </c>
      <c r="R38" s="334">
        <f>IF(ISERROR(VLOOKUP(G38,'Planning and Target Times'!$L$1:$AJ$6,MATCH(K38&amp;"_"&amp;L38&amp;"_"&amp;J38,INDEX('Planning and Target Times'!$L$1:$AJ$6,1,0),0),0)+5),"",(VLOOKUP(G38,'Planning and Target Times'!$L$1:$AJ$6,MATCH(K38&amp;"_"&amp;L38&amp;"_"&amp;J38,INDEX('Planning and Target Times'!$L$1:$AJ$6,1,0),0),0)+5))</f>
        <v>75</v>
      </c>
      <c r="S38" s="420">
        <f t="shared" si="17"/>
        <v>70</v>
      </c>
      <c r="T38" s="392">
        <f>VLOOKUP(G38,'Planning and Target Times'!$A$7:$G$12,MATCH(K38&amp;"-"&amp;L38&amp;"-"&amp;J38,INDEX('Planning and Target Times'!$A$7:$G$12,1,0),0),0)</f>
        <v>35</v>
      </c>
      <c r="U38" s="292">
        <v>6.4375</v>
      </c>
      <c r="V38" s="14">
        <f t="shared" si="2"/>
        <v>63.708333333328483</v>
      </c>
      <c r="W38" s="292">
        <v>938</v>
      </c>
      <c r="X38" s="286" t="str">
        <f t="shared" si="18"/>
        <v>LB</v>
      </c>
      <c r="Y38" s="302">
        <v>10435</v>
      </c>
      <c r="Z38" s="302">
        <v>6023</v>
      </c>
      <c r="AA38" s="302">
        <v>8555</v>
      </c>
      <c r="AB38" s="302">
        <v>9552</v>
      </c>
      <c r="AC38" s="302"/>
      <c r="AD38" s="302"/>
      <c r="AE38" s="292"/>
      <c r="AF38" s="292"/>
      <c r="AG38" s="292"/>
      <c r="AH38" s="292"/>
      <c r="AI38" s="292"/>
      <c r="AJ38" s="292"/>
      <c r="AK38" s="282">
        <f>IF(ISERROR(VLOOKUP(G38,'Planning and Target Times'!$B$106:$D$110,MATCH(F38,INDEX('Planning and Target Times'!$B$106:$D$110,1,0),0),0)),"",(VLOOKUP(G38,'Planning and Target Times'!$B$106:$D$110,MATCH(F38,INDEX('Planning and Target Times'!$B$106:$D$110,1,0),0),0)))</f>
        <v>900</v>
      </c>
      <c r="AL38" s="282" t="str">
        <f>VLOOKUP(G38,'Planning and Target Times'!$I$2:$J$7,2,0)</f>
        <v>Sandstone</v>
      </c>
      <c r="AM38" s="14">
        <f t="shared" si="19"/>
        <v>-11.291666666671517</v>
      </c>
      <c r="AN38" s="292">
        <v>5.5918901242418091</v>
      </c>
      <c r="AO38" s="14">
        <f t="shared" ref="AO38:AO46" si="22">BF38/Q38</f>
        <v>48.523826846129971</v>
      </c>
      <c r="AP38" s="283">
        <f>VLOOKUP(G38,'Planning and Target Times'!$A$43:$L$47,MATCH(F38&amp;"-"&amp;K38&amp;"-"&amp;L38&amp;"-"&amp;J38,INDEX('Planning and Target Times'!$A$43:$L$47,1,0),0),0)</f>
        <v>29</v>
      </c>
      <c r="AQ38" s="385" t="s">
        <v>83</v>
      </c>
      <c r="AR38" s="292">
        <v>1</v>
      </c>
      <c r="AS38" s="384" t="s">
        <v>10</v>
      </c>
      <c r="AT38" s="282" t="s">
        <v>16</v>
      </c>
      <c r="AU38" s="292">
        <v>1</v>
      </c>
      <c r="AV38" s="292"/>
      <c r="AW38" s="292"/>
      <c r="AX38" s="384"/>
      <c r="AY38" s="384"/>
      <c r="AZ38" s="281" t="s">
        <v>10</v>
      </c>
      <c r="BA38" s="292">
        <v>11</v>
      </c>
      <c r="BB38" s="292">
        <v>13</v>
      </c>
      <c r="BC38" s="292">
        <v>2000</v>
      </c>
      <c r="BD38" s="292">
        <v>2779</v>
      </c>
      <c r="BE38" s="282">
        <v>0</v>
      </c>
      <c r="BF38" s="282">
        <f t="shared" ref="BF38:BF46" si="23">(1-BE38/100)*BD38</f>
        <v>2779</v>
      </c>
      <c r="BG38" s="282"/>
      <c r="BH38" s="292" t="s">
        <v>346</v>
      </c>
      <c r="BI38" s="283">
        <v>286618</v>
      </c>
      <c r="BJ38" s="292"/>
      <c r="BK38" s="302">
        <f>COUNT(P$2:P38)</f>
        <v>37</v>
      </c>
      <c r="BL38" s="302">
        <f>SUMPRODUCT(--(YEAR(P$2:P38)=YEAR(P38)))</f>
        <v>6</v>
      </c>
      <c r="BM38" s="302">
        <f t="shared" si="20"/>
        <v>37</v>
      </c>
      <c r="BN38" s="15">
        <f t="shared" si="10"/>
        <v>70.772916666667157</v>
      </c>
      <c r="BO38" s="292"/>
      <c r="BP38" s="292"/>
      <c r="BQ38" s="467">
        <v>1794.623333333333</v>
      </c>
      <c r="BR38" s="467">
        <v>1267.5416666666665</v>
      </c>
      <c r="BS38" s="467">
        <v>878.84416666666664</v>
      </c>
      <c r="BT38" s="467"/>
      <c r="BU38" s="467"/>
      <c r="BV38" s="467"/>
      <c r="BW38" s="467" t="s">
        <v>1877</v>
      </c>
      <c r="BX38" s="469">
        <v>41334</v>
      </c>
      <c r="BY38" s="472">
        <f t="shared" si="21"/>
        <v>31.335729356132148</v>
      </c>
    </row>
    <row r="39" spans="1:78" ht="15" customHeight="1" x14ac:dyDescent="0.25">
      <c r="A39" s="384" t="s">
        <v>210</v>
      </c>
      <c r="B39" s="384" t="s">
        <v>117</v>
      </c>
      <c r="C39" s="302" t="s">
        <v>117</v>
      </c>
      <c r="D39" s="529" t="s">
        <v>2041</v>
      </c>
      <c r="E39" s="384">
        <v>1</v>
      </c>
      <c r="F39" s="384" t="str">
        <f t="shared" si="11"/>
        <v>SA</v>
      </c>
      <c r="G39" s="384" t="s">
        <v>22</v>
      </c>
      <c r="H39" s="384" t="s">
        <v>38</v>
      </c>
      <c r="I39" s="384" t="s">
        <v>24</v>
      </c>
      <c r="J39" s="384" t="s">
        <v>298</v>
      </c>
      <c r="K39" s="384" t="s">
        <v>18</v>
      </c>
      <c r="L39" s="384" t="s">
        <v>1410</v>
      </c>
      <c r="M39" s="384" t="s">
        <v>59</v>
      </c>
      <c r="N39" s="292">
        <v>1</v>
      </c>
      <c r="O39" s="13">
        <f t="shared" si="16"/>
        <v>41269.666666666664</v>
      </c>
      <c r="P39" s="284">
        <v>41305.770833333336</v>
      </c>
      <c r="Q39" s="15">
        <v>36.104166666671517</v>
      </c>
      <c r="R39" s="334">
        <f>IF(ISERROR(VLOOKUP(G39,'Planning and Target Times'!$L$1:$AJ$6,MATCH(K39&amp;"_"&amp;L39&amp;"_"&amp;J39,INDEX('Planning and Target Times'!$L$1:$AJ$6,1,0),0),0)+5),"",(VLOOKUP(G39,'Planning and Target Times'!$L$1:$AJ$6,MATCH(K39&amp;"_"&amp;L39&amp;"_"&amp;J39,INDEX('Planning and Target Times'!$L$1:$AJ$6,1,0),0),0)+5))</f>
        <v>75</v>
      </c>
      <c r="S39" s="420">
        <f t="shared" si="17"/>
        <v>70</v>
      </c>
      <c r="T39" s="392" t="str">
        <f>VLOOKUP(G39,'Planning and Target Times'!$A$7:$G$12,MATCH(K39&amp;"-"&amp;L39&amp;"-"&amp;J39,INDEX('Planning and Target Times'!$A$7:$G$12,1,0),0),0)</f>
        <v>N/A</v>
      </c>
      <c r="U39" s="292">
        <v>5.4583333333284827</v>
      </c>
      <c r="V39" s="14">
        <f t="shared" si="2"/>
        <v>41.5625</v>
      </c>
      <c r="W39" s="292">
        <v>1092</v>
      </c>
      <c r="X39" s="286" t="str">
        <f t="shared" si="18"/>
        <v>LB</v>
      </c>
      <c r="Y39" s="302">
        <v>9676</v>
      </c>
      <c r="Z39" s="302"/>
      <c r="AA39" s="302">
        <v>6506</v>
      </c>
      <c r="AB39" s="302">
        <v>8910</v>
      </c>
      <c r="AC39" s="302"/>
      <c r="AD39" s="302"/>
      <c r="AE39" s="292"/>
      <c r="AF39" s="292"/>
      <c r="AG39" s="292"/>
      <c r="AH39" s="292"/>
      <c r="AI39" s="292"/>
      <c r="AJ39" s="292"/>
      <c r="AK39" s="282">
        <f>IF(ISERROR(VLOOKUP(G39,'Planning and Target Times'!$B$106:$D$110,MATCH(F39,INDEX('Planning and Target Times'!$B$106:$D$110,1,0),0),0)),"",(VLOOKUP(G39,'Planning and Target Times'!$B$106:$D$110,MATCH(F39,INDEX('Planning and Target Times'!$B$106:$D$110,1,0),0),0)))</f>
        <v>550</v>
      </c>
      <c r="AL39" s="282" t="str">
        <f>VLOOKUP(G39,'Planning and Target Times'!$I$2:$J$7,2,0)</f>
        <v>Sandstone</v>
      </c>
      <c r="AM39" s="14">
        <f t="shared" si="19"/>
        <v>-33.4375</v>
      </c>
      <c r="AN39" s="292">
        <v>5.9147869674185474</v>
      </c>
      <c r="AO39" s="14">
        <f t="shared" si="22"/>
        <v>77.553375649152883</v>
      </c>
      <c r="AP39" s="283" t="str">
        <f>VLOOKUP(G39,'Planning and Target Times'!$A$43:$L$47,MATCH(F39&amp;"-"&amp;K39&amp;"-"&amp;L39&amp;"-"&amp;J39,INDEX('Planning and Target Times'!$A$43:$L$47,1,0),0),0)</f>
        <v>N/A</v>
      </c>
      <c r="AQ39" s="385" t="s">
        <v>83</v>
      </c>
      <c r="AR39" s="292">
        <v>1</v>
      </c>
      <c r="AS39" s="384" t="s">
        <v>10</v>
      </c>
      <c r="AT39" s="282" t="s">
        <v>39</v>
      </c>
      <c r="AU39" s="292">
        <v>1</v>
      </c>
      <c r="AV39" s="292"/>
      <c r="AW39" s="292"/>
      <c r="AX39" s="384"/>
      <c r="AY39" s="384"/>
      <c r="AZ39" s="292" t="s">
        <v>10</v>
      </c>
      <c r="BA39" s="292">
        <v>23</v>
      </c>
      <c r="BB39" s="292">
        <v>13</v>
      </c>
      <c r="BC39" s="292">
        <v>2500</v>
      </c>
      <c r="BD39" s="292">
        <v>2800</v>
      </c>
      <c r="BE39" s="282">
        <v>0</v>
      </c>
      <c r="BF39" s="282">
        <f t="shared" si="23"/>
        <v>2800</v>
      </c>
      <c r="BG39" s="282"/>
      <c r="BH39" s="292" t="s">
        <v>378</v>
      </c>
      <c r="BI39" s="283">
        <v>287317</v>
      </c>
      <c r="BJ39" s="292"/>
      <c r="BK39" s="302">
        <f>COUNT(P$2:P39)</f>
        <v>38</v>
      </c>
      <c r="BL39" s="302">
        <f>SUMPRODUCT(--(YEAR(P$2:P39)=YEAR(P39)))</f>
        <v>7</v>
      </c>
      <c r="BM39" s="302">
        <f t="shared" si="20"/>
        <v>38</v>
      </c>
      <c r="BN39" s="15">
        <f t="shared" si="10"/>
        <v>66.887500000000728</v>
      </c>
      <c r="BO39" s="292"/>
      <c r="BP39" s="292"/>
      <c r="BQ39" s="467">
        <v>3119.1133333333332</v>
      </c>
      <c r="BR39" s="467">
        <v>2965.9666666666667</v>
      </c>
      <c r="BS39" s="467">
        <v>2107.9850000000001</v>
      </c>
      <c r="BT39" s="467"/>
      <c r="BU39" s="467"/>
      <c r="BV39" s="467"/>
      <c r="BW39" s="467" t="s">
        <v>1877</v>
      </c>
      <c r="BX39" s="469">
        <v>41365</v>
      </c>
      <c r="BY39" s="472">
        <f t="shared" si="21"/>
        <v>86.392060011529068</v>
      </c>
    </row>
    <row r="40" spans="1:78" s="26" customFormat="1" ht="15" customHeight="1" x14ac:dyDescent="0.25">
      <c r="A40" s="384" t="s">
        <v>211</v>
      </c>
      <c r="B40" s="384" t="s">
        <v>118</v>
      </c>
      <c r="C40" s="302" t="s">
        <v>118</v>
      </c>
      <c r="D40" s="529" t="s">
        <v>2042</v>
      </c>
      <c r="E40" s="384">
        <v>2</v>
      </c>
      <c r="F40" s="384" t="str">
        <f t="shared" si="11"/>
        <v>RA</v>
      </c>
      <c r="G40" s="384" t="s">
        <v>22</v>
      </c>
      <c r="H40" s="384" t="s">
        <v>37</v>
      </c>
      <c r="I40" s="384" t="s">
        <v>16</v>
      </c>
      <c r="J40" s="384" t="s">
        <v>298</v>
      </c>
      <c r="K40" s="384" t="s">
        <v>14</v>
      </c>
      <c r="L40" s="384" t="s">
        <v>1410</v>
      </c>
      <c r="M40" s="384" t="s">
        <v>74</v>
      </c>
      <c r="N40" s="292">
        <v>1</v>
      </c>
      <c r="O40" s="13">
        <f t="shared" si="16"/>
        <v>41267.5</v>
      </c>
      <c r="P40" s="284">
        <v>41315.25</v>
      </c>
      <c r="Q40" s="15">
        <v>47.75</v>
      </c>
      <c r="R40" s="334">
        <f>IF(ISERROR(VLOOKUP(G40,'Planning and Target Times'!$L$1:$AJ$6,MATCH(K40&amp;"_"&amp;L40&amp;"_"&amp;J40,INDEX('Planning and Target Times'!$L$1:$AJ$6,1,0),0),0)+5),"",(VLOOKUP(G40,'Planning and Target Times'!$L$1:$AJ$6,MATCH(K40&amp;"_"&amp;L40&amp;"_"&amp;J40,INDEX('Planning and Target Times'!$L$1:$AJ$6,1,0),0),0)+5))</f>
        <v>75</v>
      </c>
      <c r="S40" s="420">
        <f t="shared" si="17"/>
        <v>70</v>
      </c>
      <c r="T40" s="392">
        <f>VLOOKUP(G40,'Planning and Target Times'!$A$7:$G$12,MATCH(K40&amp;"-"&amp;L40&amp;"-"&amp;J40,INDEX('Planning and Target Times'!$A$7:$G$12,1,0),0),0)</f>
        <v>35</v>
      </c>
      <c r="U40" s="292">
        <v>4.5416666666642413</v>
      </c>
      <c r="V40" s="14">
        <f t="shared" si="2"/>
        <v>52.291666666664241</v>
      </c>
      <c r="W40" s="292">
        <v>321</v>
      </c>
      <c r="X40" s="286" t="str">
        <f t="shared" si="18"/>
        <v>LB</v>
      </c>
      <c r="Y40" s="302">
        <v>9612</v>
      </c>
      <c r="Z40" s="302">
        <v>6060</v>
      </c>
      <c r="AA40" s="302">
        <v>8252</v>
      </c>
      <c r="AB40" s="302">
        <v>9291</v>
      </c>
      <c r="AC40" s="302"/>
      <c r="AD40" s="302">
        <v>9605</v>
      </c>
      <c r="AE40" s="281"/>
      <c r="AF40" s="281"/>
      <c r="AG40" s="281"/>
      <c r="AH40" s="281"/>
      <c r="AI40" s="281"/>
      <c r="AJ40" s="281"/>
      <c r="AK40" s="282">
        <f>IF(ISERROR(VLOOKUP(G40,'Planning and Target Times'!$B$106:$D$110,MATCH(F40,INDEX('Planning and Target Times'!$B$106:$D$110,1,0),0),0)),"",(VLOOKUP(G40,'Planning and Target Times'!$B$106:$D$110,MATCH(F40,INDEX('Planning and Target Times'!$B$106:$D$110,1,0),0),0)))</f>
        <v>900</v>
      </c>
      <c r="AL40" s="282" t="str">
        <f>VLOOKUP(G40,'Planning and Target Times'!$I$2:$J$7,2,0)</f>
        <v>Sandstone</v>
      </c>
      <c r="AM40" s="14">
        <f t="shared" si="19"/>
        <v>-22.708333333335759</v>
      </c>
      <c r="AN40" s="292">
        <v>3.1075697211155382</v>
      </c>
      <c r="AO40" s="14">
        <f t="shared" si="22"/>
        <v>94.261361256544518</v>
      </c>
      <c r="AP40" s="283">
        <f>VLOOKUP(G40,'Planning and Target Times'!$A$43:$L$47,MATCH(F40&amp;"-"&amp;K40&amp;"-"&amp;L40&amp;"-"&amp;J40,INDEX('Planning and Target Times'!$A$43:$L$47,1,0),0),0)</f>
        <v>29</v>
      </c>
      <c r="AQ40" s="385" t="s">
        <v>83</v>
      </c>
      <c r="AR40" s="292">
        <v>1</v>
      </c>
      <c r="AS40" s="384" t="s">
        <v>10</v>
      </c>
      <c r="AT40" s="282" t="s">
        <v>16</v>
      </c>
      <c r="AU40" s="292">
        <v>1</v>
      </c>
      <c r="AV40" s="292"/>
      <c r="AW40" s="292"/>
      <c r="AX40" s="384"/>
      <c r="AY40" s="384"/>
      <c r="AZ40" s="281" t="s">
        <v>10</v>
      </c>
      <c r="BA40" s="292">
        <v>6</v>
      </c>
      <c r="BB40" s="292">
        <v>7</v>
      </c>
      <c r="BC40" s="292">
        <v>2500</v>
      </c>
      <c r="BD40" s="292">
        <v>5489</v>
      </c>
      <c r="BE40" s="282">
        <v>18</v>
      </c>
      <c r="BF40" s="282">
        <f t="shared" si="23"/>
        <v>4500.9800000000005</v>
      </c>
      <c r="BG40" s="282"/>
      <c r="BH40" s="292" t="s">
        <v>349</v>
      </c>
      <c r="BI40" s="283">
        <v>286897</v>
      </c>
      <c r="BJ40" s="281"/>
      <c r="BK40" s="302">
        <f>COUNT(P$2:P40)</f>
        <v>39</v>
      </c>
      <c r="BL40" s="302">
        <f>SUMPRODUCT(--(YEAR(P$2:P40)=YEAR(P40)))</f>
        <v>8</v>
      </c>
      <c r="BM40" s="302">
        <f t="shared" si="20"/>
        <v>39</v>
      </c>
      <c r="BN40" s="15">
        <f t="shared" si="10"/>
        <v>65.558333333333579</v>
      </c>
      <c r="BO40" s="281"/>
      <c r="BP40" s="281"/>
      <c r="BQ40" s="467">
        <v>2813.4133333333339</v>
      </c>
      <c r="BR40" s="467">
        <v>2839.5183333333334</v>
      </c>
      <c r="BS40" s="467">
        <v>2377.6133333333332</v>
      </c>
      <c r="BT40" s="467"/>
      <c r="BU40" s="467"/>
      <c r="BV40" s="467"/>
      <c r="BW40" s="467" t="s">
        <v>1877</v>
      </c>
      <c r="BX40" s="469">
        <v>41334</v>
      </c>
      <c r="BY40" s="472">
        <f t="shared" si="21"/>
        <v>58.919650959860398</v>
      </c>
      <c r="BZ40" s="472"/>
    </row>
    <row r="41" spans="1:78" ht="15" customHeight="1" x14ac:dyDescent="0.25">
      <c r="A41" s="384" t="s">
        <v>212</v>
      </c>
      <c r="B41" s="384" t="s">
        <v>119</v>
      </c>
      <c r="C41" s="302" t="s">
        <v>119</v>
      </c>
      <c r="D41" s="529" t="s">
        <v>2043</v>
      </c>
      <c r="E41" s="384">
        <v>5</v>
      </c>
      <c r="F41" s="384" t="str">
        <f t="shared" si="11"/>
        <v>SA</v>
      </c>
      <c r="G41" s="384" t="s">
        <v>22</v>
      </c>
      <c r="H41" s="384" t="s">
        <v>23</v>
      </c>
      <c r="I41" s="384" t="s">
        <v>20</v>
      </c>
      <c r="J41" s="384" t="s">
        <v>298</v>
      </c>
      <c r="K41" s="384" t="s">
        <v>14</v>
      </c>
      <c r="L41" s="384" t="s">
        <v>1410</v>
      </c>
      <c r="M41" s="384" t="s">
        <v>61</v>
      </c>
      <c r="N41" s="292">
        <v>2</v>
      </c>
      <c r="O41" s="13">
        <f t="shared" si="16"/>
        <v>41237.791666666664</v>
      </c>
      <c r="P41" s="284">
        <v>41315.958333333336</v>
      </c>
      <c r="Q41" s="15">
        <v>78.166666666671517</v>
      </c>
      <c r="R41" s="334">
        <f>IF(ISERROR(VLOOKUP(G41,'Planning and Target Times'!$L$1:$AJ$6,MATCH(K41&amp;"_"&amp;L41&amp;"_"&amp;J41,INDEX('Planning and Target Times'!$L$1:$AJ$6,1,0),0),0)+5),"",(VLOOKUP(G41,'Planning and Target Times'!$L$1:$AJ$6,MATCH(K41&amp;"_"&amp;L41&amp;"_"&amp;J41,INDEX('Planning and Target Times'!$L$1:$AJ$6,1,0),0),0)+5))</f>
        <v>75</v>
      </c>
      <c r="S41" s="420">
        <f t="shared" si="17"/>
        <v>70</v>
      </c>
      <c r="T41" s="392">
        <f>VLOOKUP(G41,'Planning and Target Times'!$A$7:$G$12,MATCH(K41&amp;"-"&amp;L41&amp;"-"&amp;J41,INDEX('Planning and Target Times'!$A$7:$G$12,1,0),0),0)</f>
        <v>35</v>
      </c>
      <c r="U41" s="292">
        <v>3.9166666666642413</v>
      </c>
      <c r="V41" s="14">
        <f t="shared" si="2"/>
        <v>82.083333333335759</v>
      </c>
      <c r="W41" s="292">
        <v>935</v>
      </c>
      <c r="X41" s="286" t="str">
        <f t="shared" si="18"/>
        <v>LB</v>
      </c>
      <c r="Y41" s="302">
        <v>10852</v>
      </c>
      <c r="Z41" s="302">
        <v>5965</v>
      </c>
      <c r="AA41" s="302">
        <v>8663</v>
      </c>
      <c r="AB41" s="302">
        <v>9918</v>
      </c>
      <c r="AC41" s="302"/>
      <c r="AD41" s="302"/>
      <c r="AE41" s="292"/>
      <c r="AF41" s="292"/>
      <c r="AG41" s="292"/>
      <c r="AH41" s="292"/>
      <c r="AI41" s="292"/>
      <c r="AJ41" s="292"/>
      <c r="AK41" s="282">
        <f>IF(ISERROR(VLOOKUP(G41,'Planning and Target Times'!$B$106:$D$110,MATCH(F41,INDEX('Planning and Target Times'!$B$106:$D$110,1,0),0),0)),"",(VLOOKUP(G41,'Planning and Target Times'!$B$106:$D$110,MATCH(F41,INDEX('Planning and Target Times'!$B$106:$D$110,1,0),0),0)))</f>
        <v>550</v>
      </c>
      <c r="AL41" s="282" t="str">
        <f>VLOOKUP(G41,'Planning and Target Times'!$I$2:$J$7,2,0)</f>
        <v>Sandstone</v>
      </c>
      <c r="AM41" s="14">
        <f t="shared" si="19"/>
        <v>7.0833333333357587</v>
      </c>
      <c r="AN41" s="292">
        <v>23.756345177664976</v>
      </c>
      <c r="AO41" s="14">
        <f t="shared" si="22"/>
        <v>23.54507462686421</v>
      </c>
      <c r="AP41" s="283">
        <f>VLOOKUP(G41,'Planning and Target Times'!$A$43:$L$47,MATCH(F41&amp;"-"&amp;K41&amp;"-"&amp;L41&amp;"-"&amp;J41,INDEX('Planning and Target Times'!$A$43:$L$47,1,0),0),0)</f>
        <v>24</v>
      </c>
      <c r="AQ41" s="385" t="s">
        <v>83</v>
      </c>
      <c r="AR41" s="292">
        <v>1</v>
      </c>
      <c r="AS41" s="384" t="s">
        <v>10</v>
      </c>
      <c r="AT41" s="282" t="s">
        <v>39</v>
      </c>
      <c r="AU41" s="292">
        <v>0.92</v>
      </c>
      <c r="AV41" s="292"/>
      <c r="AW41" s="292"/>
      <c r="AX41" s="384"/>
      <c r="AY41" s="384"/>
      <c r="AZ41" s="292" t="s">
        <v>10</v>
      </c>
      <c r="BA41" s="292">
        <v>17</v>
      </c>
      <c r="BB41" s="292">
        <v>8</v>
      </c>
      <c r="BC41" s="292">
        <v>1500</v>
      </c>
      <c r="BD41" s="282">
        <v>1878</v>
      </c>
      <c r="BE41" s="282">
        <v>2</v>
      </c>
      <c r="BF41" s="282">
        <f t="shared" si="23"/>
        <v>1840.44</v>
      </c>
      <c r="BG41" s="282"/>
      <c r="BH41" s="292" t="s">
        <v>383</v>
      </c>
      <c r="BI41" s="283">
        <v>288602</v>
      </c>
      <c r="BJ41" s="292"/>
      <c r="BK41" s="302">
        <f>COUNT(P$2:P41)</f>
        <v>40</v>
      </c>
      <c r="BL41" s="302">
        <f>SUMPRODUCT(--(YEAR(P$2:P41)=YEAR(P41)))</f>
        <v>9</v>
      </c>
      <c r="BM41" s="302">
        <f t="shared" si="20"/>
        <v>40</v>
      </c>
      <c r="BN41" s="15">
        <f t="shared" si="10"/>
        <v>64.000000000000725</v>
      </c>
      <c r="BO41" s="292"/>
      <c r="BP41" s="292"/>
      <c r="BQ41" s="467">
        <v>869.71999999999991</v>
      </c>
      <c r="BR41" s="467">
        <v>733.05000000000007</v>
      </c>
      <c r="BS41" s="467">
        <v>539.26499999999999</v>
      </c>
      <c r="BT41" s="467"/>
      <c r="BU41" s="467"/>
      <c r="BV41" s="467"/>
      <c r="BW41" s="467" t="s">
        <v>1877</v>
      </c>
      <c r="BX41" s="469">
        <v>41334</v>
      </c>
      <c r="BY41" s="472">
        <f t="shared" si="21"/>
        <v>11.126481876331932</v>
      </c>
    </row>
    <row r="42" spans="1:78" ht="15" customHeight="1" x14ac:dyDescent="0.25">
      <c r="A42" s="384" t="s">
        <v>213</v>
      </c>
      <c r="B42" s="384" t="s">
        <v>174</v>
      </c>
      <c r="C42" s="302" t="s">
        <v>174</v>
      </c>
      <c r="D42" s="529" t="s">
        <v>2044</v>
      </c>
      <c r="E42" s="384">
        <v>2</v>
      </c>
      <c r="F42" s="384" t="str">
        <f t="shared" si="11"/>
        <v>SA</v>
      </c>
      <c r="G42" s="384" t="s">
        <v>22</v>
      </c>
      <c r="H42" s="384" t="s">
        <v>27</v>
      </c>
      <c r="I42" s="384" t="s">
        <v>20</v>
      </c>
      <c r="J42" s="384" t="s">
        <v>298</v>
      </c>
      <c r="K42" s="384" t="s">
        <v>14</v>
      </c>
      <c r="L42" s="384" t="s">
        <v>1410</v>
      </c>
      <c r="M42" s="281" t="s">
        <v>61</v>
      </c>
      <c r="N42" s="281">
        <v>1</v>
      </c>
      <c r="O42" s="13">
        <f t="shared" si="16"/>
        <v>41249</v>
      </c>
      <c r="P42" s="17">
        <v>41322.25</v>
      </c>
      <c r="Q42" s="18">
        <v>73.25</v>
      </c>
      <c r="R42" s="334">
        <f>IF(ISERROR(VLOOKUP(G42,'Planning and Target Times'!$L$1:$AJ$6,MATCH(K42&amp;"_"&amp;L42&amp;"_"&amp;J42,INDEX('Planning and Target Times'!$L$1:$AJ$6,1,0),0),0)+5),"",(VLOOKUP(G42,'Planning and Target Times'!$L$1:$AJ$6,MATCH(K42&amp;"_"&amp;L42&amp;"_"&amp;J42,INDEX('Planning and Target Times'!$L$1:$AJ$6,1,0),0),0)+5))</f>
        <v>75</v>
      </c>
      <c r="S42" s="420">
        <f t="shared" si="17"/>
        <v>70</v>
      </c>
      <c r="T42" s="392">
        <f>VLOOKUP(G42,'Planning and Target Times'!$A$7:$G$12,MATCH(K42&amp;"-"&amp;L42&amp;"-"&amp;J42,INDEX('Planning and Target Times'!$A$7:$G$12,1,0),0),0)</f>
        <v>35</v>
      </c>
      <c r="U42" s="281">
        <v>3.3333333333357587</v>
      </c>
      <c r="V42" s="14">
        <f t="shared" si="2"/>
        <v>76.583333333335759</v>
      </c>
      <c r="W42" s="282">
        <v>1075</v>
      </c>
      <c r="X42" s="286" t="str">
        <f t="shared" si="18"/>
        <v>LB</v>
      </c>
      <c r="Y42" s="302">
        <v>11202</v>
      </c>
      <c r="Z42" s="302">
        <v>5990</v>
      </c>
      <c r="AA42" s="302">
        <v>9540</v>
      </c>
      <c r="AB42" s="302">
        <v>10125</v>
      </c>
      <c r="AC42" s="302"/>
      <c r="AD42" s="302">
        <v>11053</v>
      </c>
      <c r="AE42" s="292"/>
      <c r="AF42" s="292"/>
      <c r="AG42" s="292"/>
      <c r="AH42" s="292"/>
      <c r="AI42" s="292"/>
      <c r="AJ42" s="292"/>
      <c r="AK42" s="282">
        <f>IF(ISERROR(VLOOKUP(G42,'Planning and Target Times'!$B$106:$D$110,MATCH(F42,INDEX('Planning and Target Times'!$B$106:$D$110,1,0),0),0)),"",(VLOOKUP(G42,'Planning and Target Times'!$B$106:$D$110,MATCH(F42,INDEX('Planning and Target Times'!$B$106:$D$110,1,0),0),0)))</f>
        <v>550</v>
      </c>
      <c r="AL42" s="282" t="str">
        <f>VLOOKUP(G42,'Planning and Target Times'!$I$2:$J$7,2,0)</f>
        <v>Sandstone</v>
      </c>
      <c r="AM42" s="14">
        <f t="shared" si="19"/>
        <v>1.5833333333357587</v>
      </c>
      <c r="AN42" s="281">
        <v>7.3721436343852016</v>
      </c>
      <c r="AO42" s="14">
        <f t="shared" si="22"/>
        <v>26.679317406143344</v>
      </c>
      <c r="AP42" s="283">
        <f>VLOOKUP(G42,'Planning and Target Times'!$A$43:$L$47,MATCH(F42&amp;"-"&amp;K42&amp;"-"&amp;L42&amp;"-"&amp;J42,INDEX('Planning and Target Times'!$A$43:$L$47,1,0),0),0)</f>
        <v>24</v>
      </c>
      <c r="AQ42" s="385" t="s">
        <v>83</v>
      </c>
      <c r="AR42" s="292">
        <v>1</v>
      </c>
      <c r="AS42" s="384" t="s">
        <v>10</v>
      </c>
      <c r="AT42" s="282" t="s">
        <v>39</v>
      </c>
      <c r="AU42" s="281">
        <v>0.2</v>
      </c>
      <c r="AV42" s="281"/>
      <c r="AW42" s="281"/>
      <c r="AX42" s="384"/>
      <c r="AY42" s="384"/>
      <c r="AZ42" s="292" t="s">
        <v>10</v>
      </c>
      <c r="BA42" s="282">
        <v>9</v>
      </c>
      <c r="BB42" s="282">
        <v>6</v>
      </c>
      <c r="BC42" s="282">
        <v>1500</v>
      </c>
      <c r="BD42" s="282">
        <v>1974</v>
      </c>
      <c r="BE42" s="282">
        <v>1</v>
      </c>
      <c r="BF42" s="282">
        <f t="shared" si="23"/>
        <v>1954.26</v>
      </c>
      <c r="BG42" s="282"/>
      <c r="BH42" s="292" t="s">
        <v>396</v>
      </c>
      <c r="BI42" s="283">
        <v>286788</v>
      </c>
      <c r="BJ42" s="292"/>
      <c r="BK42" s="302">
        <f>COUNT(P$2:P42)</f>
        <v>41</v>
      </c>
      <c r="BL42" s="302">
        <f>SUMPRODUCT(--(YEAR(P$2:P42)=YEAR(P42)))</f>
        <v>10</v>
      </c>
      <c r="BM42" s="302">
        <f t="shared" si="20"/>
        <v>41</v>
      </c>
      <c r="BN42" s="15">
        <f t="shared" si="10"/>
        <v>61.533333333334305</v>
      </c>
      <c r="BO42" s="292"/>
      <c r="BP42" s="292"/>
      <c r="BQ42" s="467">
        <v>1635.68</v>
      </c>
      <c r="BR42" s="467">
        <v>1698.2033333333336</v>
      </c>
      <c r="BS42" s="467">
        <v>1709.125</v>
      </c>
      <c r="BT42" s="467"/>
      <c r="BU42" s="467"/>
      <c r="BV42" s="467"/>
      <c r="BW42" s="467" t="s">
        <v>1877</v>
      </c>
      <c r="BX42" s="469">
        <v>41334</v>
      </c>
      <c r="BY42" s="472">
        <f t="shared" si="21"/>
        <v>22.330102389078498</v>
      </c>
    </row>
    <row r="43" spans="1:78" s="26" customFormat="1" ht="15" customHeight="1" x14ac:dyDescent="0.25">
      <c r="A43" s="384" t="s">
        <v>214</v>
      </c>
      <c r="B43" s="384" t="s">
        <v>168</v>
      </c>
      <c r="C43" s="302" t="s">
        <v>553</v>
      </c>
      <c r="D43" s="529" t="s">
        <v>2045</v>
      </c>
      <c r="E43" s="384">
        <v>1</v>
      </c>
      <c r="F43" s="384" t="str">
        <f t="shared" si="11"/>
        <v>SA</v>
      </c>
      <c r="G43" s="384" t="s">
        <v>22</v>
      </c>
      <c r="H43" s="384" t="s">
        <v>15</v>
      </c>
      <c r="I43" s="384" t="s">
        <v>16</v>
      </c>
      <c r="J43" s="384" t="s">
        <v>298</v>
      </c>
      <c r="K43" s="384" t="s">
        <v>14</v>
      </c>
      <c r="L43" s="384" t="s">
        <v>1410</v>
      </c>
      <c r="M43" s="384" t="s">
        <v>74</v>
      </c>
      <c r="N43" s="292">
        <v>2</v>
      </c>
      <c r="O43" s="13">
        <f t="shared" si="16"/>
        <v>41284.9375</v>
      </c>
      <c r="P43" s="284">
        <v>41334.666666666664</v>
      </c>
      <c r="Q43" s="15">
        <v>49.729166666664241</v>
      </c>
      <c r="R43" s="334">
        <f>IF(ISERROR(VLOOKUP(G43,'Planning and Target Times'!$L$1:$AJ$6,MATCH(K43&amp;"_"&amp;L43&amp;"_"&amp;J43,INDEX('Planning and Target Times'!$L$1:$AJ$6,1,0),0),0)+5),"",(VLOOKUP(G43,'Planning and Target Times'!$L$1:$AJ$6,MATCH(K43&amp;"_"&amp;L43&amp;"_"&amp;J43,INDEX('Planning and Target Times'!$L$1:$AJ$6,1,0),0),0)+5))</f>
        <v>75</v>
      </c>
      <c r="S43" s="420">
        <f t="shared" si="17"/>
        <v>70</v>
      </c>
      <c r="T43" s="392">
        <f>VLOOKUP(G43,'Planning and Target Times'!$A$7:$G$12,MATCH(K43&amp;"-"&amp;L43&amp;"-"&amp;J43,INDEX('Planning and Target Times'!$A$7:$G$12,1,0),0),0)</f>
        <v>35</v>
      </c>
      <c r="U43" s="292">
        <v>1.4375</v>
      </c>
      <c r="V43" s="14">
        <f t="shared" si="2"/>
        <v>51.166666666664241</v>
      </c>
      <c r="W43" s="292">
        <v>660</v>
      </c>
      <c r="X43" s="286" t="str">
        <f t="shared" si="18"/>
        <v>LB</v>
      </c>
      <c r="Y43" s="302">
        <v>9668</v>
      </c>
      <c r="Z43" s="302">
        <v>5938</v>
      </c>
      <c r="AA43" s="302">
        <v>8066</v>
      </c>
      <c r="AB43" s="302">
        <v>9108</v>
      </c>
      <c r="AC43" s="302"/>
      <c r="AD43" s="302">
        <v>9650</v>
      </c>
      <c r="AE43" s="281"/>
      <c r="AF43" s="281"/>
      <c r="AG43" s="281"/>
      <c r="AH43" s="281"/>
      <c r="AI43" s="281"/>
      <c r="AJ43" s="281"/>
      <c r="AK43" s="282">
        <f>IF(ISERROR(VLOOKUP(G43,'Planning and Target Times'!$B$106:$D$110,MATCH(F43,INDEX('Planning and Target Times'!$B$106:$D$110,1,0),0),0)),"",(VLOOKUP(G43,'Planning and Target Times'!$B$106:$D$110,MATCH(F43,INDEX('Planning and Target Times'!$B$106:$D$110,1,0),0),0)))</f>
        <v>550</v>
      </c>
      <c r="AL43" s="282" t="str">
        <f>VLOOKUP(G43,'Planning and Target Times'!$I$2:$J$7,2,0)</f>
        <v>Sandstone</v>
      </c>
      <c r="AM43" s="14">
        <f t="shared" si="19"/>
        <v>-23.833333333335759</v>
      </c>
      <c r="AN43" s="292">
        <v>9.9389002036659875</v>
      </c>
      <c r="AO43" s="14">
        <f t="shared" si="22"/>
        <v>7.54728110599115</v>
      </c>
      <c r="AP43" s="283">
        <f>VLOOKUP(G43,'Planning and Target Times'!$A$43:$L$47,MATCH(F43&amp;"-"&amp;K43&amp;"-"&amp;L43&amp;"-"&amp;J43,INDEX('Planning and Target Times'!$A$43:$L$47,1,0),0),0)</f>
        <v>24</v>
      </c>
      <c r="AQ43" s="385" t="s">
        <v>83</v>
      </c>
      <c r="AR43" s="282">
        <v>2</v>
      </c>
      <c r="AS43" s="384" t="s">
        <v>10</v>
      </c>
      <c r="AT43" s="282" t="s">
        <v>39</v>
      </c>
      <c r="AU43" s="292">
        <v>0.35</v>
      </c>
      <c r="AV43" s="292"/>
      <c r="AW43" s="292"/>
      <c r="AX43" s="384"/>
      <c r="AY43" s="384"/>
      <c r="AZ43" s="292" t="s">
        <v>10</v>
      </c>
      <c r="BA43" s="292">
        <v>5</v>
      </c>
      <c r="BB43" s="292">
        <v>5</v>
      </c>
      <c r="BC43" s="292">
        <v>1500</v>
      </c>
      <c r="BD43" s="282">
        <v>853</v>
      </c>
      <c r="BE43" s="282">
        <v>56</v>
      </c>
      <c r="BF43" s="282">
        <f t="shared" si="23"/>
        <v>375.31999999999994</v>
      </c>
      <c r="BG43" s="282"/>
      <c r="BH43" s="292" t="s">
        <v>397</v>
      </c>
      <c r="BI43" s="283">
        <v>286829</v>
      </c>
      <c r="BJ43" s="281"/>
      <c r="BK43" s="302">
        <f>COUNT(P$2:P43)</f>
        <v>42</v>
      </c>
      <c r="BL43" s="302">
        <f>SUMPRODUCT(--(YEAR(P$2:P43)=YEAR(P43)))</f>
        <v>11</v>
      </c>
      <c r="BM43" s="302">
        <f t="shared" si="20"/>
        <v>42</v>
      </c>
      <c r="BN43" s="15">
        <f t="shared" ref="BN43:BN74" si="24">AVERAGE(Q34:Q43)</f>
        <v>59.891666666667149</v>
      </c>
      <c r="BO43" s="281"/>
      <c r="BP43" s="281"/>
      <c r="BQ43" s="467">
        <v>1363.3733333333332</v>
      </c>
      <c r="BR43" s="467">
        <v>1259.1099999999999</v>
      </c>
      <c r="BS43" s="467">
        <v>1089.8283333333331</v>
      </c>
      <c r="BT43" s="467"/>
      <c r="BU43" s="467"/>
      <c r="BV43" s="467"/>
      <c r="BW43" s="467" t="s">
        <v>1877</v>
      </c>
      <c r="BX43" s="469">
        <v>41334</v>
      </c>
      <c r="BY43" s="472">
        <f t="shared" si="21"/>
        <v>27.415969836616334</v>
      </c>
      <c r="BZ43" s="472"/>
    </row>
    <row r="44" spans="1:78" s="26" customFormat="1" ht="20.25" customHeight="1" x14ac:dyDescent="0.25">
      <c r="A44" s="384" t="s">
        <v>215</v>
      </c>
      <c r="B44" s="384" t="s">
        <v>167</v>
      </c>
      <c r="C44" s="302" t="s">
        <v>540</v>
      </c>
      <c r="D44" s="529" t="s">
        <v>2046</v>
      </c>
      <c r="E44" s="384">
        <v>5</v>
      </c>
      <c r="F44" s="384" t="str">
        <f t="shared" si="11"/>
        <v>RA</v>
      </c>
      <c r="G44" s="384" t="s">
        <v>22</v>
      </c>
      <c r="H44" s="384" t="s">
        <v>25</v>
      </c>
      <c r="I44" s="384" t="s">
        <v>16</v>
      </c>
      <c r="J44" s="384" t="s">
        <v>298</v>
      </c>
      <c r="K44" s="384" t="s">
        <v>14</v>
      </c>
      <c r="L44" s="384" t="s">
        <v>1410</v>
      </c>
      <c r="M44" s="281" t="s">
        <v>74</v>
      </c>
      <c r="N44" s="281">
        <v>4</v>
      </c>
      <c r="O44" s="13">
        <f t="shared" si="16"/>
        <v>41264.708333333336</v>
      </c>
      <c r="P44" s="17">
        <v>41336.041666666664</v>
      </c>
      <c r="Q44" s="18">
        <v>71.333333333328483</v>
      </c>
      <c r="R44" s="334">
        <f>IF(ISERROR(VLOOKUP(G44,'Planning and Target Times'!$L$1:$AJ$6,MATCH(K44&amp;"_"&amp;L44&amp;"_"&amp;J44,INDEX('Planning and Target Times'!$L$1:$AJ$6,1,0),0),0)+5),"",(VLOOKUP(G44,'Planning and Target Times'!$L$1:$AJ$6,MATCH(K44&amp;"_"&amp;L44&amp;"_"&amp;J44,INDEX('Planning and Target Times'!$L$1:$AJ$6,1,0),0),0)+5))</f>
        <v>75</v>
      </c>
      <c r="S44" s="420">
        <f t="shared" si="17"/>
        <v>70</v>
      </c>
      <c r="T44" s="392">
        <f>VLOOKUP(G44,'Planning and Target Times'!$A$7:$G$12,MATCH(K44&amp;"-"&amp;L44&amp;"-"&amp;J44,INDEX('Planning and Target Times'!$A$7:$G$12,1,0),0),0)</f>
        <v>35</v>
      </c>
      <c r="U44" s="281">
        <v>2.5833333333357587</v>
      </c>
      <c r="V44" s="14">
        <f t="shared" si="2"/>
        <v>73.916666666664241</v>
      </c>
      <c r="W44" s="292">
        <v>527</v>
      </c>
      <c r="X44" s="286" t="str">
        <f t="shared" si="18"/>
        <v>LB</v>
      </c>
      <c r="Y44" s="302">
        <v>9561</v>
      </c>
      <c r="Z44" s="302">
        <v>6015</v>
      </c>
      <c r="AA44" s="302">
        <v>8218</v>
      </c>
      <c r="AB44" s="302">
        <v>9298</v>
      </c>
      <c r="AC44" s="302"/>
      <c r="AD44" s="302"/>
      <c r="AE44" s="281"/>
      <c r="AF44" s="281"/>
      <c r="AG44" s="281"/>
      <c r="AH44" s="281"/>
      <c r="AI44" s="281"/>
      <c r="AJ44" s="281"/>
      <c r="AK44" s="282">
        <f>IF(ISERROR(VLOOKUP(G44,'Planning and Target Times'!$B$106:$D$110,MATCH(F44,INDEX('Planning and Target Times'!$B$106:$D$110,1,0),0),0)),"",(VLOOKUP(G44,'Planning and Target Times'!$B$106:$D$110,MATCH(F44,INDEX('Planning and Target Times'!$B$106:$D$110,1,0),0),0)))</f>
        <v>900</v>
      </c>
      <c r="AL44" s="282" t="str">
        <f>VLOOKUP(G44,'Planning and Target Times'!$I$2:$J$7,2,0)</f>
        <v>Sandstone</v>
      </c>
      <c r="AM44" s="14">
        <f t="shared" si="19"/>
        <v>-1.0833333333357587</v>
      </c>
      <c r="AN44" s="281">
        <v>34.621896162528223</v>
      </c>
      <c r="AO44" s="14">
        <f t="shared" si="22"/>
        <v>14.269626168225271</v>
      </c>
      <c r="AP44" s="283">
        <f>VLOOKUP(G44,'Planning and Target Times'!$A$43:$L$47,MATCH(F44&amp;"-"&amp;K44&amp;"-"&amp;L44&amp;"-"&amp;J44,INDEX('Planning and Target Times'!$A$43:$L$47,1,0),0),0)</f>
        <v>29</v>
      </c>
      <c r="AQ44" s="385" t="s">
        <v>83</v>
      </c>
      <c r="AR44" s="282">
        <v>1</v>
      </c>
      <c r="AS44" s="384" t="s">
        <v>10</v>
      </c>
      <c r="AT44" s="282" t="s">
        <v>16</v>
      </c>
      <c r="AU44" s="281">
        <v>0.27</v>
      </c>
      <c r="AV44" s="281"/>
      <c r="AW44" s="281"/>
      <c r="AX44" s="384"/>
      <c r="AY44" s="384"/>
      <c r="AZ44" s="292" t="s">
        <v>10</v>
      </c>
      <c r="BA44" s="292">
        <v>5</v>
      </c>
      <c r="BB44" s="292">
        <v>5</v>
      </c>
      <c r="BC44" s="292">
        <v>1500</v>
      </c>
      <c r="BD44" s="292">
        <v>1566</v>
      </c>
      <c r="BE44" s="282">
        <v>35</v>
      </c>
      <c r="BF44" s="282">
        <f t="shared" si="23"/>
        <v>1017.9000000000001</v>
      </c>
      <c r="BG44" s="282"/>
      <c r="BH44" s="292" t="s">
        <v>350</v>
      </c>
      <c r="BI44" s="283">
        <v>287664</v>
      </c>
      <c r="BJ44" s="281"/>
      <c r="BK44" s="302">
        <f>COUNT(P$2:P44)</f>
        <v>43</v>
      </c>
      <c r="BL44" s="302">
        <f>SUMPRODUCT(--(YEAR(P$2:P44)=YEAR(P44)))</f>
        <v>12</v>
      </c>
      <c r="BM44" s="302">
        <f t="shared" si="20"/>
        <v>43</v>
      </c>
      <c r="BN44" s="15">
        <f t="shared" si="24"/>
        <v>59.177083333333577</v>
      </c>
      <c r="BO44" s="281"/>
      <c r="BP44" s="281"/>
      <c r="BQ44" s="467">
        <v>768.57</v>
      </c>
      <c r="BR44" s="467">
        <v>870.42166666666662</v>
      </c>
      <c r="BS44" s="467">
        <v>735.18333333333339</v>
      </c>
      <c r="BT44" s="467"/>
      <c r="BU44" s="467"/>
      <c r="BV44" s="467"/>
      <c r="BW44" s="467" t="s">
        <v>1877</v>
      </c>
      <c r="BX44" s="469">
        <v>41456</v>
      </c>
      <c r="BY44" s="472">
        <f t="shared" si="21"/>
        <v>10.774345794393257</v>
      </c>
      <c r="BZ44" s="472"/>
    </row>
    <row r="45" spans="1:78" ht="15" customHeight="1" x14ac:dyDescent="0.25">
      <c r="A45" s="384" t="s">
        <v>216</v>
      </c>
      <c r="B45" s="384" t="s">
        <v>171</v>
      </c>
      <c r="C45" s="302" t="s">
        <v>562</v>
      </c>
      <c r="D45" s="529" t="s">
        <v>2047</v>
      </c>
      <c r="E45" s="384">
        <v>2</v>
      </c>
      <c r="F45" s="384" t="str">
        <f t="shared" si="11"/>
        <v>RA</v>
      </c>
      <c r="G45" s="384" t="s">
        <v>22</v>
      </c>
      <c r="H45" s="384" t="s">
        <v>37</v>
      </c>
      <c r="I45" s="384" t="s">
        <v>39</v>
      </c>
      <c r="J45" s="384" t="s">
        <v>298</v>
      </c>
      <c r="K45" s="384" t="s">
        <v>18</v>
      </c>
      <c r="L45" s="420" t="s">
        <v>1416</v>
      </c>
      <c r="M45" s="281" t="s">
        <v>74</v>
      </c>
      <c r="N45" s="281">
        <v>0</v>
      </c>
      <c r="O45" s="13">
        <f t="shared" si="16"/>
        <v>41318.666666666664</v>
      </c>
      <c r="P45" s="17">
        <v>41337.979166666664</v>
      </c>
      <c r="Q45" s="18">
        <v>19.3125</v>
      </c>
      <c r="R45" s="334">
        <f>IF(ISERROR(VLOOKUP(G45,'Planning and Target Times'!$L$1:$AJ$6,MATCH(K45&amp;"_"&amp;L45&amp;"_"&amp;J45,INDEX('Planning and Target Times'!$L$1:$AJ$6,1,0),0),0)+5),"",(VLOOKUP(G45,'Planning and Target Times'!$L$1:$AJ$6,MATCH(K45&amp;"_"&amp;L45&amp;"_"&amp;J45,INDEX('Planning and Target Times'!$L$1:$AJ$6,1,0),0),0)+5))</f>
        <v>61</v>
      </c>
      <c r="S45" s="420">
        <f t="shared" si="17"/>
        <v>56</v>
      </c>
      <c r="T45" s="392" t="e">
        <f>VLOOKUP(G45,'Planning and Target Times'!$A$7:$G$12,MATCH(K45&amp;"-"&amp;L45&amp;"-"&amp;J45,INDEX('Planning and Target Times'!$A$7:$G$12,1,0),0),0)</f>
        <v>#N/A</v>
      </c>
      <c r="U45" s="281">
        <v>3.4166666666642413</v>
      </c>
      <c r="V45" s="14">
        <f t="shared" si="2"/>
        <v>22.729166666664241</v>
      </c>
      <c r="W45" s="292">
        <v>1194</v>
      </c>
      <c r="X45" s="286" t="str">
        <f t="shared" si="18"/>
        <v>LB</v>
      </c>
      <c r="Y45" s="302">
        <v>9812</v>
      </c>
      <c r="Z45" s="302">
        <v>6023</v>
      </c>
      <c r="AA45" s="302">
        <v>8166</v>
      </c>
      <c r="AB45" s="302">
        <v>9228</v>
      </c>
      <c r="AC45" s="302"/>
      <c r="AD45" s="302"/>
      <c r="AE45" s="292"/>
      <c r="AF45" s="292"/>
      <c r="AG45" s="292"/>
      <c r="AH45" s="292"/>
      <c r="AI45" s="292"/>
      <c r="AJ45" s="292"/>
      <c r="AK45" s="282">
        <f>IF(ISERROR(VLOOKUP(G45,'Planning and Target Times'!$B$106:$D$110,MATCH(F45,INDEX('Planning and Target Times'!$B$106:$D$110,1,0),0),0)),"",(VLOOKUP(G45,'Planning and Target Times'!$B$106:$D$110,MATCH(F45,INDEX('Planning and Target Times'!$B$106:$D$110,1,0),0),0)))</f>
        <v>900</v>
      </c>
      <c r="AL45" s="282" t="str">
        <f>VLOOKUP(G45,'Planning and Target Times'!$I$2:$J$7,2,0)</f>
        <v>Sandstone</v>
      </c>
      <c r="AM45" s="14">
        <f t="shared" si="19"/>
        <v>-38.270833333335759</v>
      </c>
      <c r="AN45" s="281">
        <v>7.5160403299725012</v>
      </c>
      <c r="AO45" s="14">
        <f t="shared" si="22"/>
        <v>43.495145631067963</v>
      </c>
      <c r="AP45" s="283" t="e">
        <f>VLOOKUP(G45,'Planning and Target Times'!$A$43:$L$47,MATCH(F45&amp;"-"&amp;K45&amp;"-"&amp;L45&amp;"-"&amp;J45,INDEX('Planning and Target Times'!$A$43:$L$47,1,0),0),0)</f>
        <v>#N/A</v>
      </c>
      <c r="AQ45" s="384" t="s">
        <v>416</v>
      </c>
      <c r="AR45" s="292" t="s">
        <v>91</v>
      </c>
      <c r="AS45" s="292" t="s">
        <v>91</v>
      </c>
      <c r="AT45" s="292" t="s">
        <v>91</v>
      </c>
      <c r="AU45" s="281">
        <v>0.76</v>
      </c>
      <c r="AV45" s="281"/>
      <c r="AW45" s="281"/>
      <c r="AX45" s="384"/>
      <c r="AY45" s="384"/>
      <c r="AZ45" s="283" t="s">
        <v>299</v>
      </c>
      <c r="BA45" s="292">
        <v>6</v>
      </c>
      <c r="BB45" s="292">
        <v>3</v>
      </c>
      <c r="BC45" s="292">
        <v>1200</v>
      </c>
      <c r="BD45" s="292">
        <v>1400</v>
      </c>
      <c r="BE45" s="282">
        <v>40</v>
      </c>
      <c r="BF45" s="282">
        <f t="shared" si="23"/>
        <v>840</v>
      </c>
      <c r="BG45" s="282"/>
      <c r="BH45" s="292" t="s">
        <v>340</v>
      </c>
      <c r="BI45" s="283">
        <v>287539</v>
      </c>
      <c r="BJ45" s="292"/>
      <c r="BK45" s="302">
        <f>COUNT(P$2:P45)</f>
        <v>44</v>
      </c>
      <c r="BL45" s="302">
        <f>SUMPRODUCT(--(YEAR(P$2:P45)=YEAR(P45)))</f>
        <v>13</v>
      </c>
      <c r="BM45" s="302">
        <f t="shared" si="20"/>
        <v>44</v>
      </c>
      <c r="BN45" s="15">
        <f t="shared" si="24"/>
        <v>58.333333333333577</v>
      </c>
      <c r="BO45" s="292"/>
      <c r="BP45" s="292"/>
      <c r="BQ45" s="467">
        <v>864.58</v>
      </c>
      <c r="BR45" s="467">
        <v>799.59666666666681</v>
      </c>
      <c r="BS45" s="467">
        <v>612.10583333333341</v>
      </c>
      <c r="BT45" s="467"/>
      <c r="BU45" s="467"/>
      <c r="BV45" s="467"/>
      <c r="BW45" s="467" t="s">
        <v>1877</v>
      </c>
      <c r="BX45" s="469">
        <v>41579</v>
      </c>
      <c r="BY45" s="472">
        <f t="shared" si="21"/>
        <v>44.767896440129455</v>
      </c>
    </row>
    <row r="46" spans="1:78" ht="15" customHeight="1" x14ac:dyDescent="0.25">
      <c r="A46" s="384" t="s">
        <v>217</v>
      </c>
      <c r="B46" s="384" t="s">
        <v>120</v>
      </c>
      <c r="C46" s="302" t="s">
        <v>552</v>
      </c>
      <c r="D46" s="529" t="s">
        <v>2048</v>
      </c>
      <c r="E46" s="384">
        <v>1</v>
      </c>
      <c r="F46" s="384" t="str">
        <f t="shared" si="11"/>
        <v>SA</v>
      </c>
      <c r="G46" s="384" t="s">
        <v>22</v>
      </c>
      <c r="H46" s="384" t="s">
        <v>35</v>
      </c>
      <c r="I46" s="10" t="s">
        <v>40</v>
      </c>
      <c r="J46" s="384" t="s">
        <v>298</v>
      </c>
      <c r="K46" s="384" t="s">
        <v>14</v>
      </c>
      <c r="L46" s="384" t="s">
        <v>1410</v>
      </c>
      <c r="M46" s="384" t="s">
        <v>74</v>
      </c>
      <c r="N46" s="292">
        <v>2</v>
      </c>
      <c r="O46" s="13">
        <f t="shared" si="16"/>
        <v>41238.083333333336</v>
      </c>
      <c r="P46" s="284">
        <v>41340.083333333336</v>
      </c>
      <c r="Q46" s="15">
        <v>102</v>
      </c>
      <c r="R46" s="334">
        <f>IF(ISERROR(VLOOKUP(G46,'Planning and Target Times'!$L$1:$AJ$6,MATCH(K46&amp;"_"&amp;L46&amp;"_"&amp;J46,INDEX('Planning and Target Times'!$L$1:$AJ$6,1,0),0),0)+5),"",(VLOOKUP(G46,'Planning and Target Times'!$L$1:$AJ$6,MATCH(K46&amp;"_"&amp;L46&amp;"_"&amp;J46,INDEX('Planning and Target Times'!$L$1:$AJ$6,1,0),0),0)+5))</f>
        <v>75</v>
      </c>
      <c r="S46" s="420">
        <f t="shared" si="17"/>
        <v>70</v>
      </c>
      <c r="T46" s="392">
        <f>VLOOKUP(G46,'Planning and Target Times'!$A$7:$G$12,MATCH(K46&amp;"-"&amp;L46&amp;"-"&amp;J46,INDEX('Planning and Target Times'!$A$7:$G$12,1,0),0),0)</f>
        <v>35</v>
      </c>
      <c r="U46" s="292">
        <v>1.5</v>
      </c>
      <c r="V46" s="14">
        <f t="shared" si="2"/>
        <v>103.5</v>
      </c>
      <c r="W46" s="282">
        <v>804</v>
      </c>
      <c r="X46" s="286" t="str">
        <f t="shared" si="18"/>
        <v>LB</v>
      </c>
      <c r="Y46" s="302">
        <v>9922</v>
      </c>
      <c r="Z46" s="302">
        <v>9922</v>
      </c>
      <c r="AA46" s="302">
        <v>7945</v>
      </c>
      <c r="AB46" s="302">
        <v>9167</v>
      </c>
      <c r="AC46" s="302"/>
      <c r="AD46" s="302"/>
      <c r="AE46" s="292"/>
      <c r="AF46" s="292"/>
      <c r="AG46" s="292"/>
      <c r="AH46" s="292"/>
      <c r="AI46" s="292"/>
      <c r="AJ46" s="292"/>
      <c r="AK46" s="282">
        <f>IF(ISERROR(VLOOKUP(G46,'Planning and Target Times'!$B$106:$D$110,MATCH(F46,INDEX('Planning and Target Times'!$B$106:$D$110,1,0),0),0)),"",(VLOOKUP(G46,'Planning and Target Times'!$B$106:$D$110,MATCH(F46,INDEX('Planning and Target Times'!$B$106:$D$110,1,0),0),0)))</f>
        <v>550</v>
      </c>
      <c r="AL46" s="282" t="str">
        <f>VLOOKUP(G46,'Planning and Target Times'!$I$2:$J$7,2,0)</f>
        <v>Sandstone</v>
      </c>
      <c r="AM46" s="14">
        <f t="shared" si="19"/>
        <v>28.5</v>
      </c>
      <c r="AN46" s="292">
        <v>33.655394524959739</v>
      </c>
      <c r="AO46" s="14">
        <f t="shared" si="22"/>
        <v>11.752941176470587</v>
      </c>
      <c r="AP46" s="283">
        <f>VLOOKUP(G46,'Planning and Target Times'!$A$43:$L$47,MATCH(F46&amp;"-"&amp;K46&amp;"-"&amp;L46&amp;"-"&amp;J46,INDEX('Planning and Target Times'!$A$43:$L$47,1,0),0),0)</f>
        <v>24</v>
      </c>
      <c r="AQ46" s="385" t="s">
        <v>83</v>
      </c>
      <c r="AR46" s="292">
        <v>1</v>
      </c>
      <c r="AS46" s="384" t="s">
        <v>10</v>
      </c>
      <c r="AT46" s="282" t="s">
        <v>39</v>
      </c>
      <c r="AU46" s="292">
        <v>0.91</v>
      </c>
      <c r="AV46" s="292"/>
      <c r="AW46" s="292"/>
      <c r="AX46" s="384"/>
      <c r="AY46" s="384"/>
      <c r="AZ46" s="292" t="s">
        <v>10</v>
      </c>
      <c r="BA46" s="282">
        <v>19</v>
      </c>
      <c r="BB46" s="282">
        <v>19</v>
      </c>
      <c r="BC46" s="282">
        <v>1500</v>
      </c>
      <c r="BD46" s="282">
        <v>1998</v>
      </c>
      <c r="BE46" s="282">
        <v>40</v>
      </c>
      <c r="BF46" s="282">
        <f t="shared" si="23"/>
        <v>1198.8</v>
      </c>
      <c r="BG46" s="282"/>
      <c r="BH46" s="292" t="s">
        <v>393</v>
      </c>
      <c r="BI46" s="283">
        <v>286828</v>
      </c>
      <c r="BJ46" s="292"/>
      <c r="BK46" s="302">
        <f>COUNT(P$2:P46)</f>
        <v>45</v>
      </c>
      <c r="BL46" s="302">
        <f>SUMPRODUCT(--(YEAR(P$2:P46)=YEAR(P46)))</f>
        <v>14</v>
      </c>
      <c r="BM46" s="302">
        <f t="shared" si="20"/>
        <v>45</v>
      </c>
      <c r="BN46" s="15">
        <f t="shared" si="24"/>
        <v>62.174999999999997</v>
      </c>
      <c r="BO46" s="292"/>
      <c r="BP46" s="292"/>
      <c r="BQ46" s="467">
        <v>1542.86</v>
      </c>
      <c r="BR46" s="467">
        <v>1760.0249999999999</v>
      </c>
      <c r="BS46" s="467">
        <v>1640.0725</v>
      </c>
      <c r="BT46" s="467"/>
      <c r="BU46" s="467"/>
      <c r="BV46" s="467"/>
      <c r="BW46" s="467" t="s">
        <v>1877</v>
      </c>
      <c r="BX46" s="469">
        <v>41334</v>
      </c>
      <c r="BY46" s="472">
        <f t="shared" si="21"/>
        <v>15.126078431372548</v>
      </c>
    </row>
    <row r="47" spans="1:78" ht="15" customHeight="1" x14ac:dyDescent="0.25">
      <c r="A47" s="384" t="s">
        <v>218</v>
      </c>
      <c r="B47" s="384" t="s">
        <v>121</v>
      </c>
      <c r="C47" s="302" t="s">
        <v>121</v>
      </c>
      <c r="D47" s="529" t="s">
        <v>2049</v>
      </c>
      <c r="E47" s="384">
        <v>1</v>
      </c>
      <c r="F47" s="384" t="str">
        <f t="shared" si="11"/>
        <v>RA</v>
      </c>
      <c r="G47" s="384" t="s">
        <v>22</v>
      </c>
      <c r="H47" s="384" t="s">
        <v>28</v>
      </c>
      <c r="I47" s="384" t="s">
        <v>40</v>
      </c>
      <c r="J47" s="384" t="s">
        <v>298</v>
      </c>
      <c r="K47" s="384" t="s">
        <v>14</v>
      </c>
      <c r="L47" s="384" t="s">
        <v>1410</v>
      </c>
      <c r="M47" s="384" t="s">
        <v>60</v>
      </c>
      <c r="N47" s="281">
        <v>1</v>
      </c>
      <c r="O47" s="13">
        <f t="shared" si="16"/>
        <v>41294.416666666664</v>
      </c>
      <c r="P47" s="284">
        <v>41342.25</v>
      </c>
      <c r="Q47" s="15">
        <v>47.833333333335759</v>
      </c>
      <c r="R47" s="334">
        <f>IF(ISERROR(VLOOKUP(G47,'Planning and Target Times'!$L$1:$AJ$6,MATCH(K47&amp;"_"&amp;L47&amp;"_"&amp;J47,INDEX('Planning and Target Times'!$L$1:$AJ$6,1,0),0),0)+5),"",(VLOOKUP(G47,'Planning and Target Times'!$L$1:$AJ$6,MATCH(K47&amp;"_"&amp;L47&amp;"_"&amp;J47,INDEX('Planning and Target Times'!$L$1:$AJ$6,1,0),0),0)+5))</f>
        <v>75</v>
      </c>
      <c r="S47" s="420">
        <f t="shared" si="17"/>
        <v>70</v>
      </c>
      <c r="T47" s="392">
        <f>VLOOKUP(G47,'Planning and Target Times'!$A$7:$G$12,MATCH(K47&amp;"-"&amp;L47&amp;"-"&amp;J47,INDEX('Planning and Target Times'!$A$7:$G$12,1,0),0),0)</f>
        <v>35</v>
      </c>
      <c r="U47" s="292">
        <v>4.6666666666642413</v>
      </c>
      <c r="V47" s="14">
        <f t="shared" si="2"/>
        <v>52.5</v>
      </c>
      <c r="W47" s="292">
        <v>410</v>
      </c>
      <c r="X47" s="286" t="str">
        <f t="shared" si="18"/>
        <v>LB</v>
      </c>
      <c r="Y47" s="302">
        <v>9811</v>
      </c>
      <c r="Z47" s="302">
        <v>6135</v>
      </c>
      <c r="AA47" s="302">
        <v>8185</v>
      </c>
      <c r="AB47" s="302">
        <v>9400.4</v>
      </c>
      <c r="AC47" s="302"/>
      <c r="AD47" s="302"/>
      <c r="AE47" s="292"/>
      <c r="AF47" s="292"/>
      <c r="AG47" s="292"/>
      <c r="AH47" s="292"/>
      <c r="AI47" s="292"/>
      <c r="AJ47" s="292"/>
      <c r="AK47" s="282">
        <f>IF(ISERROR(VLOOKUP(G47,'Planning and Target Times'!$B$106:$D$110,MATCH(F47,INDEX('Planning and Target Times'!$B$106:$D$110,1,0),0),0)),"",(VLOOKUP(G47,'Planning and Target Times'!$B$106:$D$110,MATCH(F47,INDEX('Planning and Target Times'!$B$106:$D$110,1,0),0),0)))</f>
        <v>900</v>
      </c>
      <c r="AL47" s="282" t="str">
        <f>VLOOKUP(G47,'Planning and Target Times'!$I$2:$J$7,2,0)</f>
        <v>Sandstone</v>
      </c>
      <c r="AM47" s="14">
        <f t="shared" si="19"/>
        <v>-22.5</v>
      </c>
      <c r="AN47" s="292">
        <v>9.4594594594594597</v>
      </c>
      <c r="AO47" s="14" t="s">
        <v>91</v>
      </c>
      <c r="AP47" s="283">
        <f>VLOOKUP(G47,'Planning and Target Times'!$A$43:$L$47,MATCH(F47&amp;"-"&amp;K47&amp;"-"&amp;L47&amp;"-"&amp;J47,INDEX('Planning and Target Times'!$A$43:$L$47,1,0),0),0)</f>
        <v>29</v>
      </c>
      <c r="AQ47" s="385" t="s">
        <v>83</v>
      </c>
      <c r="AR47" s="292">
        <v>1</v>
      </c>
      <c r="AS47" s="384" t="s">
        <v>10</v>
      </c>
      <c r="AT47" s="282" t="s">
        <v>39</v>
      </c>
      <c r="AU47" s="292">
        <v>0.63</v>
      </c>
      <c r="AV47" s="292"/>
      <c r="AW47" s="292"/>
      <c r="AX47" s="384"/>
      <c r="AY47" s="384"/>
      <c r="AZ47" s="292" t="s">
        <v>10</v>
      </c>
      <c r="BA47" s="292">
        <v>10</v>
      </c>
      <c r="BB47" s="292">
        <v>5</v>
      </c>
      <c r="BC47" s="282">
        <v>2000</v>
      </c>
      <c r="BD47" s="282" t="s">
        <v>412</v>
      </c>
      <c r="BE47" s="281"/>
      <c r="BF47" s="282" t="s">
        <v>91</v>
      </c>
      <c r="BG47" s="282"/>
      <c r="BH47" s="21" t="s">
        <v>357</v>
      </c>
      <c r="BI47" s="283">
        <v>287049</v>
      </c>
      <c r="BJ47" s="292"/>
      <c r="BK47" s="302">
        <f>COUNT(P$2:P47)</f>
        <v>46</v>
      </c>
      <c r="BL47" s="302">
        <f>SUMPRODUCT(--(YEAR(P$2:P47)=YEAR(P47)))</f>
        <v>15</v>
      </c>
      <c r="BM47" s="302">
        <f t="shared" si="20"/>
        <v>46</v>
      </c>
      <c r="BN47" s="15">
        <f t="shared" si="24"/>
        <v>58.274999999999999</v>
      </c>
      <c r="BO47" s="292"/>
      <c r="BP47" s="292"/>
      <c r="BQ47" s="467">
        <v>1795.11</v>
      </c>
      <c r="BR47" s="467">
        <v>1679.8449999999996</v>
      </c>
      <c r="BS47" s="467">
        <v>1600.4383333333333</v>
      </c>
      <c r="BT47" s="467"/>
      <c r="BU47" s="467"/>
      <c r="BV47" s="467"/>
      <c r="BW47" s="467" t="s">
        <v>1877</v>
      </c>
      <c r="BX47" s="469">
        <v>41395</v>
      </c>
      <c r="BY47" s="472">
        <f t="shared" si="21"/>
        <v>37.528432055747224</v>
      </c>
    </row>
    <row r="48" spans="1:78" ht="15" customHeight="1" x14ac:dyDescent="0.25">
      <c r="A48" s="384" t="s">
        <v>219</v>
      </c>
      <c r="B48" s="384" t="s">
        <v>122</v>
      </c>
      <c r="C48" s="302" t="s">
        <v>122</v>
      </c>
      <c r="D48" s="529" t="s">
        <v>2050</v>
      </c>
      <c r="E48" s="384">
        <v>1</v>
      </c>
      <c r="F48" s="384" t="str">
        <f t="shared" si="11"/>
        <v>RA</v>
      </c>
      <c r="G48" s="384" t="s">
        <v>29</v>
      </c>
      <c r="H48" s="384" t="s">
        <v>36</v>
      </c>
      <c r="I48" s="384" t="s">
        <v>20</v>
      </c>
      <c r="J48" s="384" t="s">
        <v>298</v>
      </c>
      <c r="K48" s="384" t="s">
        <v>14</v>
      </c>
      <c r="L48" s="384" t="s">
        <v>1410</v>
      </c>
      <c r="M48" s="384" t="s">
        <v>60</v>
      </c>
      <c r="N48" s="281">
        <v>0</v>
      </c>
      <c r="O48" s="13">
        <f t="shared" si="16"/>
        <v>41300.458333333336</v>
      </c>
      <c r="P48" s="284">
        <v>41342.25</v>
      </c>
      <c r="Q48" s="15">
        <v>41.791666666664241</v>
      </c>
      <c r="R48" s="334">
        <f>IF(ISERROR(VLOOKUP(G48,'Planning and Target Times'!$L$1:$AJ$6,MATCH(K48&amp;"_"&amp;L48&amp;"_"&amp;J48,INDEX('Planning and Target Times'!$L$1:$AJ$6,1,0),0),0)+5),"",(VLOOKUP(G48,'Planning and Target Times'!$L$1:$AJ$6,MATCH(K48&amp;"_"&amp;L48&amp;"_"&amp;J48,INDEX('Planning and Target Times'!$L$1:$AJ$6,1,0),0),0)+5))</f>
        <v>75</v>
      </c>
      <c r="S48" s="420">
        <f t="shared" si="17"/>
        <v>70</v>
      </c>
      <c r="T48" s="392">
        <f>VLOOKUP(G48,'Planning and Target Times'!$A$7:$G$12,MATCH(K48&amp;"-"&amp;L48&amp;"-"&amp;J48,INDEX('Planning and Target Times'!$A$7:$G$12,1,0),0),0)</f>
        <v>35</v>
      </c>
      <c r="U48" s="292">
        <v>2.2083333333357587</v>
      </c>
      <c r="V48" s="14">
        <f t="shared" si="2"/>
        <v>44</v>
      </c>
      <c r="W48" s="292">
        <v>1527</v>
      </c>
      <c r="X48" s="286" t="str">
        <f t="shared" si="18"/>
        <v>UB</v>
      </c>
      <c r="Y48" s="302">
        <v>10254</v>
      </c>
      <c r="Z48" s="302">
        <v>5979</v>
      </c>
      <c r="AA48" s="302">
        <v>7953</v>
      </c>
      <c r="AB48" s="302">
        <v>9725</v>
      </c>
      <c r="AC48" s="302"/>
      <c r="AD48" s="302"/>
      <c r="AE48" s="292"/>
      <c r="AF48" s="292"/>
      <c r="AG48" s="292"/>
      <c r="AH48" s="292"/>
      <c r="AI48" s="292"/>
      <c r="AJ48" s="292"/>
      <c r="AK48" s="282">
        <f>IF(ISERROR(VLOOKUP(G48,'Planning and Target Times'!$B$106:$D$110,MATCH(F48,INDEX('Planning and Target Times'!$B$106:$D$110,1,0),0),0)),"",(VLOOKUP(G48,'Planning and Target Times'!$B$106:$D$110,MATCH(F48,INDEX('Planning and Target Times'!$B$106:$D$110,1,0),0),0)))</f>
        <v>940</v>
      </c>
      <c r="AL48" s="282" t="str">
        <f>VLOOKUP(G48,'Planning and Target Times'!$I$2:$J$7,2,0)</f>
        <v>Sandstone</v>
      </c>
      <c r="AM48" s="14">
        <f t="shared" si="19"/>
        <v>-31</v>
      </c>
      <c r="AN48" s="292">
        <v>6.4393939393939394</v>
      </c>
      <c r="AO48" s="14">
        <f t="shared" ref="AO48:AO54" si="25">BF48/Q48</f>
        <v>17.060817547358912</v>
      </c>
      <c r="AP48" s="283">
        <f>VLOOKUP(G48,'Planning and Target Times'!$A$43:$L$47,MATCH(F48&amp;"-"&amp;K48&amp;"-"&amp;L48&amp;"-"&amp;J48,INDEX('Planning and Target Times'!$A$43:$L$47,1,0),0),0)</f>
        <v>24</v>
      </c>
      <c r="AQ48" s="385" t="s">
        <v>83</v>
      </c>
      <c r="AR48" s="292">
        <v>1</v>
      </c>
      <c r="AS48" s="384" t="s">
        <v>10</v>
      </c>
      <c r="AT48" s="282" t="s">
        <v>39</v>
      </c>
      <c r="AU48" s="292">
        <v>1</v>
      </c>
      <c r="AV48" s="292"/>
      <c r="AW48" s="292"/>
      <c r="AX48" s="384"/>
      <c r="AY48" s="384"/>
      <c r="AZ48" s="283" t="s">
        <v>299</v>
      </c>
      <c r="BA48" s="292">
        <v>25</v>
      </c>
      <c r="BB48" s="292">
        <v>14</v>
      </c>
      <c r="BC48" s="282">
        <v>3000</v>
      </c>
      <c r="BD48" s="282">
        <v>3565</v>
      </c>
      <c r="BE48" s="282">
        <v>80</v>
      </c>
      <c r="BF48" s="282">
        <f t="shared" ref="BF48:BF54" si="26">(1-BE48/100)*BD48</f>
        <v>712.99999999999989</v>
      </c>
      <c r="BG48" s="282"/>
      <c r="BH48" s="292" t="s">
        <v>352</v>
      </c>
      <c r="BI48" s="283">
        <v>287102</v>
      </c>
      <c r="BJ48" s="292"/>
      <c r="BK48" s="302">
        <f>COUNT(P$2:P48)</f>
        <v>47</v>
      </c>
      <c r="BL48" s="302">
        <f>SUMPRODUCT(--(YEAR(P$2:P48)=YEAR(P48)))</f>
        <v>16</v>
      </c>
      <c r="BM48" s="302">
        <f t="shared" si="20"/>
        <v>47</v>
      </c>
      <c r="BN48" s="15">
        <f t="shared" si="24"/>
        <v>56.727083333333574</v>
      </c>
      <c r="BO48" s="292"/>
      <c r="BP48" s="292"/>
      <c r="BQ48" s="467">
        <v>308.07666666666665</v>
      </c>
      <c r="BR48" s="467">
        <v>291.21333333333331</v>
      </c>
      <c r="BS48" s="467">
        <v>276.16916666666663</v>
      </c>
      <c r="BT48" s="467"/>
      <c r="BU48" s="467"/>
      <c r="BV48" s="467"/>
      <c r="BW48" s="467" t="s">
        <v>1877</v>
      </c>
      <c r="BX48" s="469">
        <v>41365</v>
      </c>
      <c r="BY48" s="472">
        <f t="shared" si="21"/>
        <v>7.3717248255238568</v>
      </c>
    </row>
    <row r="49" spans="1:77" ht="15" customHeight="1" x14ac:dyDescent="0.25">
      <c r="A49" s="384" t="s">
        <v>220</v>
      </c>
      <c r="B49" s="384" t="s">
        <v>123</v>
      </c>
      <c r="C49" s="302" t="s">
        <v>123</v>
      </c>
      <c r="D49" s="529" t="s">
        <v>2051</v>
      </c>
      <c r="E49" s="384">
        <v>5</v>
      </c>
      <c r="F49" s="384" t="str">
        <f t="shared" si="11"/>
        <v>SA</v>
      </c>
      <c r="G49" s="384" t="s">
        <v>22</v>
      </c>
      <c r="H49" s="384" t="s">
        <v>12</v>
      </c>
      <c r="I49" s="384" t="s">
        <v>41</v>
      </c>
      <c r="J49" s="384" t="s">
        <v>298</v>
      </c>
      <c r="K49" s="384" t="s">
        <v>14</v>
      </c>
      <c r="L49" s="384" t="s">
        <v>1410</v>
      </c>
      <c r="M49" s="384" t="s">
        <v>74</v>
      </c>
      <c r="N49" s="292">
        <v>1</v>
      </c>
      <c r="O49" s="13">
        <f t="shared" si="16"/>
        <v>41299.416666666664</v>
      </c>
      <c r="P49" s="284">
        <v>41346.875</v>
      </c>
      <c r="Q49" s="15">
        <v>47.458333333335759</v>
      </c>
      <c r="R49" s="334">
        <f>IF(ISERROR(VLOOKUP(G49,'Planning and Target Times'!$L$1:$AJ$6,MATCH(K49&amp;"_"&amp;L49&amp;"_"&amp;J49,INDEX('Planning and Target Times'!$L$1:$AJ$6,1,0),0),0)+5),"",(VLOOKUP(G49,'Planning and Target Times'!$L$1:$AJ$6,MATCH(K49&amp;"_"&amp;L49&amp;"_"&amp;J49,INDEX('Planning and Target Times'!$L$1:$AJ$6,1,0),0),0)+5))</f>
        <v>75</v>
      </c>
      <c r="S49" s="420">
        <f t="shared" si="17"/>
        <v>70</v>
      </c>
      <c r="T49" s="392">
        <f>VLOOKUP(G49,'Planning and Target Times'!$A$7:$G$12,MATCH(K49&amp;"-"&amp;L49&amp;"-"&amp;J49,INDEX('Planning and Target Times'!$A$7:$G$12,1,0),0),0)</f>
        <v>35</v>
      </c>
      <c r="U49" s="292">
        <v>6.5833333333284827</v>
      </c>
      <c r="V49" s="14">
        <f t="shared" si="2"/>
        <v>54.041666666664241</v>
      </c>
      <c r="W49" s="282">
        <v>1416</v>
      </c>
      <c r="X49" s="286" t="str">
        <f t="shared" si="18"/>
        <v>LB</v>
      </c>
      <c r="Y49" s="302">
        <v>10542</v>
      </c>
      <c r="Z49" s="302">
        <v>6023</v>
      </c>
      <c r="AA49" s="302">
        <v>8214</v>
      </c>
      <c r="AB49" s="302">
        <v>9126</v>
      </c>
      <c r="AC49" s="302"/>
      <c r="AD49" s="302"/>
      <c r="AE49" s="292"/>
      <c r="AF49" s="292"/>
      <c r="AG49" s="292"/>
      <c r="AH49" s="292"/>
      <c r="AI49" s="292"/>
      <c r="AJ49" s="292"/>
      <c r="AK49" s="282">
        <f>IF(ISERROR(VLOOKUP(G49,'Planning and Target Times'!$B$106:$D$110,MATCH(F49,INDEX('Planning and Target Times'!$B$106:$D$110,1,0),0),0)),"",(VLOOKUP(G49,'Planning and Target Times'!$B$106:$D$110,MATCH(F49,INDEX('Planning and Target Times'!$B$106:$D$110,1,0),0),0)))</f>
        <v>550</v>
      </c>
      <c r="AL49" s="282" t="str">
        <f>VLOOKUP(G49,'Planning and Target Times'!$I$2:$J$7,2,0)</f>
        <v>Sandstone</v>
      </c>
      <c r="AM49" s="14">
        <f t="shared" si="19"/>
        <v>-20.958333333335759</v>
      </c>
      <c r="AN49" s="292">
        <v>5.6669236700077104</v>
      </c>
      <c r="AO49" s="14">
        <f t="shared" si="25"/>
        <v>72.52172080772236</v>
      </c>
      <c r="AP49" s="283">
        <f>VLOOKUP(G49,'Planning and Target Times'!$A$43:$L$47,MATCH(F49&amp;"-"&amp;K49&amp;"-"&amp;L49&amp;"-"&amp;J49,INDEX('Planning and Target Times'!$A$43:$L$47,1,0),0),0)</f>
        <v>24</v>
      </c>
      <c r="AQ49" s="385" t="s">
        <v>83</v>
      </c>
      <c r="AR49" s="292">
        <v>1</v>
      </c>
      <c r="AS49" s="384" t="s">
        <v>10</v>
      </c>
      <c r="AT49" s="282" t="s">
        <v>39</v>
      </c>
      <c r="AU49" s="292">
        <v>1</v>
      </c>
      <c r="AV49" s="292"/>
      <c r="AW49" s="292"/>
      <c r="AX49" s="384"/>
      <c r="AY49" s="384"/>
      <c r="AZ49" s="292" t="s">
        <v>10</v>
      </c>
      <c r="BA49" s="282">
        <v>35</v>
      </c>
      <c r="BB49" s="282">
        <v>18</v>
      </c>
      <c r="BC49" s="282">
        <v>3000</v>
      </c>
      <c r="BD49" s="282">
        <v>3512</v>
      </c>
      <c r="BE49" s="282">
        <v>2</v>
      </c>
      <c r="BF49" s="282">
        <f t="shared" si="26"/>
        <v>3441.7599999999998</v>
      </c>
      <c r="BG49" s="282"/>
      <c r="BH49" s="292" t="s">
        <v>394</v>
      </c>
      <c r="BI49" s="283">
        <v>286902</v>
      </c>
      <c r="BJ49" s="292"/>
      <c r="BK49" s="302">
        <f>COUNT(P$2:P49)</f>
        <v>48</v>
      </c>
      <c r="BL49" s="302">
        <f>SUMPRODUCT(--(YEAR(P$2:P49)=YEAR(P49)))</f>
        <v>17</v>
      </c>
      <c r="BM49" s="302">
        <f t="shared" si="20"/>
        <v>48</v>
      </c>
      <c r="BN49" s="15">
        <f t="shared" si="24"/>
        <v>57.862499999999997</v>
      </c>
      <c r="BO49" s="292"/>
      <c r="BP49" s="292"/>
      <c r="BQ49" s="467">
        <v>2365.5699999999997</v>
      </c>
      <c r="BR49" s="467">
        <v>1930.2633333333331</v>
      </c>
      <c r="BS49" s="467">
        <v>1409.0966666666666</v>
      </c>
      <c r="BT49" s="467"/>
      <c r="BU49" s="467"/>
      <c r="BV49" s="467"/>
      <c r="BW49" s="467" t="s">
        <v>1877</v>
      </c>
      <c r="BX49" s="469">
        <v>41365</v>
      </c>
      <c r="BY49" s="472">
        <f t="shared" si="21"/>
        <v>49.845197541700692</v>
      </c>
    </row>
    <row r="50" spans="1:77" ht="15" customHeight="1" x14ac:dyDescent="0.25">
      <c r="A50" s="384" t="s">
        <v>221</v>
      </c>
      <c r="B50" s="384" t="s">
        <v>166</v>
      </c>
      <c r="C50" s="302" t="s">
        <v>541</v>
      </c>
      <c r="D50" s="529" t="s">
        <v>2052</v>
      </c>
      <c r="E50" s="384">
        <v>2</v>
      </c>
      <c r="F50" s="384" t="str">
        <f t="shared" si="11"/>
        <v>RA</v>
      </c>
      <c r="G50" s="384" t="s">
        <v>29</v>
      </c>
      <c r="H50" s="384" t="s">
        <v>31</v>
      </c>
      <c r="I50" s="384" t="s">
        <v>16</v>
      </c>
      <c r="J50" s="384" t="s">
        <v>298</v>
      </c>
      <c r="K50" s="384" t="s">
        <v>14</v>
      </c>
      <c r="L50" s="420" t="s">
        <v>1416</v>
      </c>
      <c r="M50" s="384" t="s">
        <v>74</v>
      </c>
      <c r="N50" s="281">
        <v>2</v>
      </c>
      <c r="O50" s="13">
        <f t="shared" si="16"/>
        <v>41285.25</v>
      </c>
      <c r="P50" s="284">
        <v>41349.5625</v>
      </c>
      <c r="Q50" s="15">
        <v>64.3125</v>
      </c>
      <c r="R50" s="334">
        <f>IF(ISERROR(VLOOKUP(G50,'Planning and Target Times'!$L$1:$AJ$6,MATCH(K50&amp;"_"&amp;L50&amp;"_"&amp;J50,INDEX('Planning and Target Times'!$L$1:$AJ$6,1,0),0),0)+5),"",(VLOOKUP(G50,'Planning and Target Times'!$L$1:$AJ$6,MATCH(K50&amp;"_"&amp;L50&amp;"_"&amp;J50,INDEX('Planning and Target Times'!$L$1:$AJ$6,1,0),0),0)+5))</f>
        <v>75</v>
      </c>
      <c r="S50" s="420">
        <f t="shared" si="17"/>
        <v>70</v>
      </c>
      <c r="T50" s="392">
        <f>VLOOKUP(G50,'Planning and Target Times'!$A$7:$G$12,MATCH(K50&amp;"-"&amp;L50&amp;"-"&amp;J50,INDEX('Planning and Target Times'!$A$7:$G$12,1,0),0),0)</f>
        <v>33</v>
      </c>
      <c r="U50" s="292">
        <v>2.625</v>
      </c>
      <c r="V50" s="14">
        <f t="shared" si="2"/>
        <v>66.9375</v>
      </c>
      <c r="W50" s="292">
        <v>1011</v>
      </c>
      <c r="X50" s="286" t="str">
        <f t="shared" si="18"/>
        <v>UB</v>
      </c>
      <c r="Y50" s="302">
        <v>9023</v>
      </c>
      <c r="Z50" s="302">
        <v>6074</v>
      </c>
      <c r="AA50" s="302">
        <v>7974</v>
      </c>
      <c r="AB50" s="302">
        <v>8826</v>
      </c>
      <c r="AC50" s="302"/>
      <c r="AD50" s="302"/>
      <c r="AE50" s="292"/>
      <c r="AF50" s="292"/>
      <c r="AG50" s="292"/>
      <c r="AH50" s="292"/>
      <c r="AI50" s="292"/>
      <c r="AJ50" s="292"/>
      <c r="AK50" s="282">
        <f>IF(ISERROR(VLOOKUP(G50,'Planning and Target Times'!$B$106:$D$110,MATCH(F50,INDEX('Planning and Target Times'!$B$106:$D$110,1,0),0),0)),"",(VLOOKUP(G50,'Planning and Target Times'!$B$106:$D$110,MATCH(F50,INDEX('Planning and Target Times'!$B$106:$D$110,1,0),0),0)))</f>
        <v>940</v>
      </c>
      <c r="AL50" s="282" t="str">
        <f>VLOOKUP(G50,'Planning and Target Times'!$I$2:$J$7,2,0)</f>
        <v>Sandstone</v>
      </c>
      <c r="AM50" s="14">
        <f t="shared" si="19"/>
        <v>-8.0625</v>
      </c>
      <c r="AN50" s="292">
        <v>5.3532524120759417</v>
      </c>
      <c r="AO50" s="14">
        <f t="shared" si="25"/>
        <v>8.4712925170068036</v>
      </c>
      <c r="AP50" s="283">
        <f>VLOOKUP(G50,'Planning and Target Times'!$A$43:$L$47,MATCH(F50&amp;"-"&amp;K50&amp;"-"&amp;L50&amp;"-"&amp;J50,INDEX('Planning and Target Times'!$A$43:$L$47,1,0),0),0)</f>
        <v>24</v>
      </c>
      <c r="AQ50" s="384" t="s">
        <v>416</v>
      </c>
      <c r="AR50" s="292" t="s">
        <v>91</v>
      </c>
      <c r="AS50" s="292" t="s">
        <v>91</v>
      </c>
      <c r="AT50" s="292" t="s">
        <v>91</v>
      </c>
      <c r="AU50" s="292">
        <v>0.44</v>
      </c>
      <c r="AV50" s="292"/>
      <c r="AW50" s="292"/>
      <c r="AX50" s="384"/>
      <c r="AY50" s="384"/>
      <c r="AZ50" s="292" t="s">
        <v>10</v>
      </c>
      <c r="BA50" s="292">
        <v>0</v>
      </c>
      <c r="BB50" s="292">
        <v>0</v>
      </c>
      <c r="BC50" s="292"/>
      <c r="BD50" s="292">
        <v>1267</v>
      </c>
      <c r="BE50" s="292">
        <v>57</v>
      </c>
      <c r="BF50" s="282">
        <f t="shared" si="26"/>
        <v>544.81000000000006</v>
      </c>
      <c r="BG50" s="282"/>
      <c r="BH50" s="282" t="s">
        <v>353</v>
      </c>
      <c r="BI50" s="283">
        <v>286915</v>
      </c>
      <c r="BJ50" s="292"/>
      <c r="BK50" s="302">
        <f>COUNT(P$2:P50)</f>
        <v>49</v>
      </c>
      <c r="BL50" s="302">
        <f>SUMPRODUCT(--(YEAR(P$2:P50)=YEAR(P50)))</f>
        <v>18</v>
      </c>
      <c r="BM50" s="302">
        <f t="shared" si="20"/>
        <v>49</v>
      </c>
      <c r="BN50" s="15">
        <f t="shared" si="24"/>
        <v>59.518749999999997</v>
      </c>
      <c r="BO50" s="292"/>
      <c r="BP50" s="292"/>
      <c r="BQ50" s="467">
        <v>430.17333333333335</v>
      </c>
      <c r="BR50" s="467">
        <v>386.76333333333332</v>
      </c>
      <c r="BS50" s="467">
        <v>392.05083333333329</v>
      </c>
      <c r="BT50" s="467"/>
      <c r="BU50" s="467"/>
      <c r="BV50" s="467"/>
      <c r="BW50" s="467" t="s">
        <v>1877</v>
      </c>
      <c r="BX50" s="469">
        <v>41365</v>
      </c>
      <c r="BY50" s="472">
        <f t="shared" si="21"/>
        <v>6.6887981859410433</v>
      </c>
    </row>
    <row r="51" spans="1:77" ht="15" customHeight="1" x14ac:dyDescent="0.25">
      <c r="A51" s="31" t="s">
        <v>222</v>
      </c>
      <c r="B51" s="384" t="s">
        <v>124</v>
      </c>
      <c r="C51" s="302" t="s">
        <v>124</v>
      </c>
      <c r="D51" s="529" t="s">
        <v>2053</v>
      </c>
      <c r="E51" s="384">
        <v>2</v>
      </c>
      <c r="F51" s="384" t="str">
        <f t="shared" si="11"/>
        <v>SA</v>
      </c>
      <c r="G51" s="384" t="s">
        <v>17</v>
      </c>
      <c r="H51" s="384" t="s">
        <v>27</v>
      </c>
      <c r="I51" s="384" t="s">
        <v>20</v>
      </c>
      <c r="J51" s="384" t="s">
        <v>298</v>
      </c>
      <c r="K51" s="384" t="s">
        <v>18</v>
      </c>
      <c r="L51" s="384" t="s">
        <v>1410</v>
      </c>
      <c r="M51" s="384" t="s">
        <v>59</v>
      </c>
      <c r="N51" s="292">
        <v>0</v>
      </c>
      <c r="O51" s="13">
        <f t="shared" si="16"/>
        <v>41324.958333333336</v>
      </c>
      <c r="P51" s="284">
        <v>41356.75</v>
      </c>
      <c r="Q51" s="15">
        <v>31.791666666664241</v>
      </c>
      <c r="R51" s="334">
        <f>IF(ISERROR(VLOOKUP(G51,'Planning and Target Times'!$L$1:$AJ$6,MATCH(K51&amp;"_"&amp;L51&amp;"_"&amp;J51,INDEX('Planning and Target Times'!$L$1:$AJ$6,1,0),0),0)+5),"",(VLOOKUP(G51,'Planning and Target Times'!$L$1:$AJ$6,MATCH(K51&amp;"_"&amp;L51&amp;"_"&amp;J51,INDEX('Planning and Target Times'!$L$1:$AJ$6,1,0),0),0)+5))</f>
        <v>61</v>
      </c>
      <c r="S51" s="420">
        <f t="shared" si="17"/>
        <v>56</v>
      </c>
      <c r="T51" s="392">
        <f>VLOOKUP(G51,'Planning and Target Times'!$A$7:$G$12,MATCH(K51&amp;"-"&amp;L51&amp;"-"&amp;J51,INDEX('Planning and Target Times'!$A$7:$G$12,1,0),0),0)</f>
        <v>27</v>
      </c>
      <c r="U51" s="292">
        <v>3.7083333333357587</v>
      </c>
      <c r="V51" s="14">
        <f t="shared" si="2"/>
        <v>35.5</v>
      </c>
      <c r="W51" s="292">
        <v>258</v>
      </c>
      <c r="X51" s="286" t="str">
        <f t="shared" si="18"/>
        <v>MA</v>
      </c>
      <c r="Y51" s="302">
        <v>11449</v>
      </c>
      <c r="Z51" s="302"/>
      <c r="AA51" s="302">
        <v>6237</v>
      </c>
      <c r="AB51" s="302">
        <v>8662</v>
      </c>
      <c r="AC51" s="302"/>
      <c r="AD51" s="302">
        <v>11449</v>
      </c>
      <c r="AE51" s="292"/>
      <c r="AF51" s="292"/>
      <c r="AG51" s="292"/>
      <c r="AH51" s="292"/>
      <c r="AI51" s="292"/>
      <c r="AJ51" s="292"/>
      <c r="AK51" s="282">
        <f>IF(ISERROR(VLOOKUP(G51,'Planning and Target Times'!$B$106:$D$110,MATCH(F51,INDEX('Planning and Target Times'!$B$106:$D$110,1,0),0),0)),"",(VLOOKUP(G51,'Planning and Target Times'!$B$106:$D$110,MATCH(F51,INDEX('Planning and Target Times'!$B$106:$D$110,1,0),0),0)))</f>
        <v>740</v>
      </c>
      <c r="AL51" s="282" t="str">
        <f>VLOOKUP(G51,'Planning and Target Times'!$I$2:$J$7,2,0)</f>
        <v>Carbonate</v>
      </c>
      <c r="AM51" s="14">
        <f t="shared" si="19"/>
        <v>-25.5</v>
      </c>
      <c r="AN51" s="292">
        <v>6.3967136150234749</v>
      </c>
      <c r="AO51" s="14">
        <f t="shared" si="25"/>
        <v>19.023853211010628</v>
      </c>
      <c r="AP51" s="283">
        <f>VLOOKUP(G51,'Planning and Target Times'!$A$43:$L$47,MATCH(F51&amp;"-"&amp;K51&amp;"-"&amp;L51&amp;"-"&amp;J51,INDEX('Planning and Target Times'!$A$43:$L$47,1,0),0),0)</f>
        <v>20</v>
      </c>
      <c r="AQ51" s="384" t="s">
        <v>88</v>
      </c>
      <c r="AR51" s="292" t="s">
        <v>91</v>
      </c>
      <c r="AS51" s="292" t="s">
        <v>91</v>
      </c>
      <c r="AT51" s="292" t="s">
        <v>91</v>
      </c>
      <c r="AU51" s="292">
        <v>1</v>
      </c>
      <c r="AV51" s="292"/>
      <c r="AW51" s="292"/>
      <c r="AX51" s="384"/>
      <c r="AY51" s="384"/>
      <c r="AZ51" s="283" t="s">
        <v>299</v>
      </c>
      <c r="BA51" s="292">
        <v>0</v>
      </c>
      <c r="BB51" s="292">
        <v>0</v>
      </c>
      <c r="BC51" s="292"/>
      <c r="BD51" s="282">
        <v>1512</v>
      </c>
      <c r="BE51" s="282">
        <v>60</v>
      </c>
      <c r="BF51" s="282">
        <f t="shared" si="26"/>
        <v>604.80000000000007</v>
      </c>
      <c r="BG51" s="282"/>
      <c r="BH51" s="282" t="s">
        <v>382</v>
      </c>
      <c r="BI51" s="283">
        <v>286919</v>
      </c>
      <c r="BJ51" s="292"/>
      <c r="BK51" s="302">
        <f>COUNT(P$2:P51)</f>
        <v>50</v>
      </c>
      <c r="BL51" s="302">
        <f>SUMPRODUCT(--(YEAR(P$2:P51)=YEAR(P51)))</f>
        <v>19</v>
      </c>
      <c r="BM51" s="302">
        <f t="shared" si="20"/>
        <v>50</v>
      </c>
      <c r="BN51" s="15">
        <f t="shared" si="24"/>
        <v>54.88124999999927</v>
      </c>
      <c r="BO51" s="292"/>
      <c r="BP51" s="292"/>
      <c r="BQ51" s="467">
        <v>1019.1766666666667</v>
      </c>
      <c r="BR51" s="467">
        <v>955.10166666666657</v>
      </c>
      <c r="BS51" s="467">
        <v>1020.3541666666666</v>
      </c>
      <c r="BT51" s="467"/>
      <c r="BU51" s="467"/>
      <c r="BV51" s="467"/>
      <c r="BW51" s="467" t="s">
        <v>1877</v>
      </c>
      <c r="BX51" s="469">
        <v>41456</v>
      </c>
      <c r="BY51" s="472">
        <f t="shared" si="21"/>
        <v>32.057981651378597</v>
      </c>
    </row>
    <row r="52" spans="1:77" ht="15" customHeight="1" x14ac:dyDescent="0.25">
      <c r="A52" s="384" t="s">
        <v>223</v>
      </c>
      <c r="B52" s="384" t="s">
        <v>125</v>
      </c>
      <c r="C52" s="384" t="s">
        <v>125</v>
      </c>
      <c r="D52" s="529" t="s">
        <v>2054</v>
      </c>
      <c r="E52" s="384">
        <v>2</v>
      </c>
      <c r="F52" s="384" t="s">
        <v>11</v>
      </c>
      <c r="G52" s="384" t="s">
        <v>22</v>
      </c>
      <c r="H52" s="384" t="s">
        <v>21</v>
      </c>
      <c r="I52" s="384" t="s">
        <v>24</v>
      </c>
      <c r="J52" s="384" t="s">
        <v>298</v>
      </c>
      <c r="K52" s="384" t="s">
        <v>14</v>
      </c>
      <c r="L52" s="384" t="s">
        <v>1410</v>
      </c>
      <c r="M52" s="384" t="s">
        <v>74</v>
      </c>
      <c r="N52" s="292">
        <v>1</v>
      </c>
      <c r="O52" s="13">
        <f t="shared" si="16"/>
        <v>41306.479166666664</v>
      </c>
      <c r="P52" s="284">
        <v>41357.979166666664</v>
      </c>
      <c r="Q52" s="15">
        <v>51.5</v>
      </c>
      <c r="R52" s="334">
        <f>IF(ISERROR(VLOOKUP(G52,'Planning and Target Times'!$L$1:$AJ$6,MATCH(K52&amp;"_"&amp;L52&amp;"_"&amp;J52,INDEX('Planning and Target Times'!$L$1:$AJ$6,1,0),0),0)+5),"",(VLOOKUP(G52,'Planning and Target Times'!$L$1:$AJ$6,MATCH(K52&amp;"_"&amp;L52&amp;"_"&amp;J52,INDEX('Planning and Target Times'!$L$1:$AJ$6,1,0),0),0)+5))</f>
        <v>75</v>
      </c>
      <c r="S52" s="420">
        <f t="shared" si="17"/>
        <v>70</v>
      </c>
      <c r="T52" s="392">
        <f>VLOOKUP(G52,'Planning and Target Times'!$A$7:$G$12,MATCH(K52&amp;"-"&amp;L52&amp;"-"&amp;J52,INDEX('Planning and Target Times'!$A$7:$G$12,1,0),0),0)</f>
        <v>35</v>
      </c>
      <c r="U52" s="292">
        <v>6.4791666666642413</v>
      </c>
      <c r="V52" s="14">
        <f t="shared" si="2"/>
        <v>57.979166666664241</v>
      </c>
      <c r="W52" s="282">
        <v>1224</v>
      </c>
      <c r="X52" s="286" t="str">
        <f t="shared" si="18"/>
        <v>LB</v>
      </c>
      <c r="Y52" s="302">
        <v>10392</v>
      </c>
      <c r="Z52" s="302">
        <v>5873</v>
      </c>
      <c r="AA52" s="302">
        <v>9165</v>
      </c>
      <c r="AB52" s="302"/>
      <c r="AC52" s="302"/>
      <c r="AD52" s="302"/>
      <c r="AE52" s="292"/>
      <c r="AF52" s="292"/>
      <c r="AG52" s="292"/>
      <c r="AH52" s="292"/>
      <c r="AI52" s="292"/>
      <c r="AJ52" s="292"/>
      <c r="AK52" s="282">
        <f>IF(ISERROR(VLOOKUP(G52,'Planning and Target Times'!$B$106:$D$110,MATCH(F52,INDEX('Planning and Target Times'!$B$106:$D$110,1,0),0),0)),"",(VLOOKUP(G52,'Planning and Target Times'!$B$106:$D$110,MATCH(F52,INDEX('Planning and Target Times'!$B$106:$D$110,1,0),0),0)))</f>
        <v>550</v>
      </c>
      <c r="AL52" s="282" t="str">
        <f>VLOOKUP(G52,'Planning and Target Times'!$I$2:$J$7,2,0)</f>
        <v>Sandstone</v>
      </c>
      <c r="AM52" s="14">
        <f t="shared" si="19"/>
        <v>-17.020833333335759</v>
      </c>
      <c r="AN52" s="292">
        <v>7.3302191879266978</v>
      </c>
      <c r="AO52" s="14">
        <f t="shared" si="25"/>
        <v>34.807378640776697</v>
      </c>
      <c r="AP52" s="283">
        <f>VLOOKUP(G52,'Planning and Target Times'!$A$43:$L$47,MATCH(F52&amp;"-"&amp;K52&amp;"-"&amp;L52&amp;"-"&amp;J52,INDEX('Planning and Target Times'!$A$43:$L$47,1,0),0),0)</f>
        <v>24</v>
      </c>
      <c r="AQ52" s="385" t="s">
        <v>80</v>
      </c>
      <c r="AR52" s="292">
        <v>1</v>
      </c>
      <c r="AS52" s="384" t="s">
        <v>10</v>
      </c>
      <c r="AT52" s="282" t="s">
        <v>39</v>
      </c>
      <c r="AU52" s="292">
        <v>1</v>
      </c>
      <c r="AV52" s="292"/>
      <c r="AW52" s="292"/>
      <c r="AX52" s="384"/>
      <c r="AY52" s="384"/>
      <c r="AZ52" s="292" t="s">
        <v>10</v>
      </c>
      <c r="BA52" s="282">
        <v>31</v>
      </c>
      <c r="BB52" s="282">
        <v>16</v>
      </c>
      <c r="BC52" s="282">
        <v>3000</v>
      </c>
      <c r="BD52" s="282">
        <v>1907</v>
      </c>
      <c r="BE52" s="282">
        <v>6</v>
      </c>
      <c r="BF52" s="282">
        <f t="shared" si="26"/>
        <v>1792.58</v>
      </c>
      <c r="BG52" s="282"/>
      <c r="BH52" s="292" t="s">
        <v>398</v>
      </c>
      <c r="BI52" s="283">
        <v>287073</v>
      </c>
      <c r="BJ52" s="292"/>
      <c r="BK52" s="302">
        <f>COUNT(P$2:P52)</f>
        <v>51</v>
      </c>
      <c r="BL52" s="302">
        <f>SUMPRODUCT(--(YEAR(P$2:P52)=YEAR(P52)))</f>
        <v>20</v>
      </c>
      <c r="BM52" s="302">
        <f t="shared" si="20"/>
        <v>51</v>
      </c>
      <c r="BN52" s="15">
        <f t="shared" si="24"/>
        <v>52.706249999999272</v>
      </c>
      <c r="BO52" s="292"/>
      <c r="BP52" s="292"/>
      <c r="BQ52" s="467">
        <v>1534.5133333333333</v>
      </c>
      <c r="BR52" s="467">
        <v>1266.7283333333332</v>
      </c>
      <c r="BS52" s="467">
        <v>958.82083333333333</v>
      </c>
      <c r="BT52" s="467"/>
      <c r="BU52" s="467"/>
      <c r="BV52" s="467"/>
      <c r="BW52" s="467" t="s">
        <v>1877</v>
      </c>
      <c r="BX52" s="469">
        <v>41365</v>
      </c>
      <c r="BY52" s="472">
        <f t="shared" si="21"/>
        <v>29.796375404530743</v>
      </c>
    </row>
    <row r="53" spans="1:77" ht="15" customHeight="1" x14ac:dyDescent="0.25">
      <c r="A53" s="384" t="s">
        <v>224</v>
      </c>
      <c r="B53" s="384" t="s">
        <v>126</v>
      </c>
      <c r="C53" s="302" t="s">
        <v>126</v>
      </c>
      <c r="D53" s="529" t="s">
        <v>2055</v>
      </c>
      <c r="E53" s="384">
        <v>2</v>
      </c>
      <c r="F53" s="384" t="str">
        <f>LEFT(B53,2)</f>
        <v>SA</v>
      </c>
      <c r="G53" s="384" t="s">
        <v>17</v>
      </c>
      <c r="H53" s="384" t="s">
        <v>37</v>
      </c>
      <c r="I53" s="384" t="s">
        <v>24</v>
      </c>
      <c r="J53" s="384" t="s">
        <v>298</v>
      </c>
      <c r="K53" s="384" t="s">
        <v>18</v>
      </c>
      <c r="L53" s="384" t="s">
        <v>1410</v>
      </c>
      <c r="M53" s="384" t="s">
        <v>74</v>
      </c>
      <c r="N53" s="292">
        <v>0</v>
      </c>
      <c r="O53" s="13">
        <f t="shared" si="16"/>
        <v>41341.083333333336</v>
      </c>
      <c r="P53" s="284">
        <v>41372.208333333336</v>
      </c>
      <c r="Q53" s="15">
        <v>31.125</v>
      </c>
      <c r="R53" s="334">
        <f>IF(ISERROR(VLOOKUP(G53,'Planning and Target Times'!$L$1:$AJ$6,MATCH(K53&amp;"_"&amp;L53&amp;"_"&amp;J53,INDEX('Planning and Target Times'!$L$1:$AJ$6,1,0),0),0)+5),"",(VLOOKUP(G53,'Planning and Target Times'!$L$1:$AJ$6,MATCH(K53&amp;"_"&amp;L53&amp;"_"&amp;J53,INDEX('Planning and Target Times'!$L$1:$AJ$6,1,0),0),0)+5))</f>
        <v>61</v>
      </c>
      <c r="S53" s="420">
        <f t="shared" si="17"/>
        <v>56</v>
      </c>
      <c r="T53" s="392">
        <f>VLOOKUP(G53,'Planning and Target Times'!$A$7:$G$12,MATCH(K53&amp;"-"&amp;L53&amp;"-"&amp;J53,INDEX('Planning and Target Times'!$A$7:$G$12,1,0),0),0)</f>
        <v>27</v>
      </c>
      <c r="U53" s="292">
        <v>3.1041666666715173</v>
      </c>
      <c r="V53" s="14">
        <f t="shared" si="2"/>
        <v>34.229166666671517</v>
      </c>
      <c r="W53" s="292">
        <v>3640</v>
      </c>
      <c r="X53" s="286" t="str">
        <f t="shared" si="18"/>
        <v>MA</v>
      </c>
      <c r="Y53" s="302">
        <v>11912</v>
      </c>
      <c r="Z53" s="302"/>
      <c r="AA53" s="302">
        <v>6068</v>
      </c>
      <c r="AB53" s="302">
        <v>8272</v>
      </c>
      <c r="AC53" s="302"/>
      <c r="AD53" s="302">
        <v>11907</v>
      </c>
      <c r="AE53" s="292"/>
      <c r="AF53" s="292"/>
      <c r="AG53" s="292"/>
      <c r="AH53" s="292"/>
      <c r="AI53" s="292"/>
      <c r="AJ53" s="292"/>
      <c r="AK53" s="282">
        <f>IF(ISERROR(VLOOKUP(G53,'Planning and Target Times'!$B$106:$D$110,MATCH(F53,INDEX('Planning and Target Times'!$B$106:$D$110,1,0),0),0)),"",(VLOOKUP(G53,'Planning and Target Times'!$B$106:$D$110,MATCH(F53,INDEX('Planning and Target Times'!$B$106:$D$110,1,0),0),0)))</f>
        <v>740</v>
      </c>
      <c r="AL53" s="282" t="str">
        <f>VLOOKUP(G53,'Planning and Target Times'!$I$2:$J$7,2,0)</f>
        <v>Carbonate</v>
      </c>
      <c r="AM53" s="14">
        <f t="shared" si="19"/>
        <v>-26.770833333328483</v>
      </c>
      <c r="AN53" s="292">
        <v>2.3737066342057211</v>
      </c>
      <c r="AO53" s="14">
        <f t="shared" si="25"/>
        <v>9.4554216867469894</v>
      </c>
      <c r="AP53" s="283">
        <f>VLOOKUP(G53,'Planning and Target Times'!$A$43:$L$47,MATCH(F53&amp;"-"&amp;K53&amp;"-"&amp;L53&amp;"-"&amp;J53,INDEX('Planning and Target Times'!$A$43:$L$47,1,0),0),0)</f>
        <v>20</v>
      </c>
      <c r="AQ53" s="385" t="s">
        <v>83</v>
      </c>
      <c r="AR53" s="292">
        <v>1</v>
      </c>
      <c r="AS53" s="384" t="s">
        <v>10</v>
      </c>
      <c r="AT53" s="20" t="s">
        <v>24</v>
      </c>
      <c r="AU53" s="292">
        <v>0.96</v>
      </c>
      <c r="AV53" s="292"/>
      <c r="AW53" s="292"/>
      <c r="AX53" s="384"/>
      <c r="AY53" s="384"/>
      <c r="AZ53" s="283" t="s">
        <v>299</v>
      </c>
      <c r="BA53" s="282">
        <v>15</v>
      </c>
      <c r="BB53" s="282">
        <v>15</v>
      </c>
      <c r="BC53" s="282">
        <v>1500</v>
      </c>
      <c r="BD53" s="282">
        <v>981</v>
      </c>
      <c r="BE53" s="282">
        <v>70</v>
      </c>
      <c r="BF53" s="282">
        <f t="shared" si="26"/>
        <v>294.30000000000007</v>
      </c>
      <c r="BG53" s="282"/>
      <c r="BH53" s="292" t="s">
        <v>371</v>
      </c>
      <c r="BI53" s="283">
        <v>288243</v>
      </c>
      <c r="BJ53" s="292"/>
      <c r="BK53" s="302">
        <f>COUNT(P$2:P53)</f>
        <v>52</v>
      </c>
      <c r="BL53" s="302">
        <f>SUMPRODUCT(--(YEAR(P$2:P53)=YEAR(P53)))</f>
        <v>21</v>
      </c>
      <c r="BM53" s="302">
        <f t="shared" si="20"/>
        <v>1</v>
      </c>
      <c r="BN53" s="15">
        <f t="shared" si="24"/>
        <v>50.845833333332848</v>
      </c>
      <c r="BO53" s="292"/>
      <c r="BP53" s="292"/>
      <c r="BQ53" s="467">
        <v>1031.1099999999999</v>
      </c>
      <c r="BR53" s="467">
        <v>1040.5016666666668</v>
      </c>
      <c r="BS53" s="467">
        <v>963.07666666666682</v>
      </c>
      <c r="BT53" s="467"/>
      <c r="BU53" s="467"/>
      <c r="BV53" s="467"/>
      <c r="BW53" s="467" t="s">
        <v>1877</v>
      </c>
      <c r="BX53" s="469">
        <v>41518</v>
      </c>
      <c r="BY53" s="472">
        <f t="shared" si="21"/>
        <v>33.12803212851405</v>
      </c>
    </row>
    <row r="54" spans="1:77" ht="15" customHeight="1" x14ac:dyDescent="0.25">
      <c r="A54" s="384" t="s">
        <v>225</v>
      </c>
      <c r="B54" s="384" t="s">
        <v>438</v>
      </c>
      <c r="C54" s="302" t="s">
        <v>438</v>
      </c>
      <c r="D54" s="529" t="s">
        <v>2056</v>
      </c>
      <c r="E54" s="384">
        <v>1</v>
      </c>
      <c r="F54" s="384" t="s">
        <v>11</v>
      </c>
      <c r="G54" s="384" t="s">
        <v>17</v>
      </c>
      <c r="H54" s="384" t="s">
        <v>36</v>
      </c>
      <c r="I54" s="384" t="s">
        <v>24</v>
      </c>
      <c r="J54" s="384" t="s">
        <v>298</v>
      </c>
      <c r="K54" s="384" t="s">
        <v>18</v>
      </c>
      <c r="L54" s="384" t="s">
        <v>1410</v>
      </c>
      <c r="M54" s="384" t="s">
        <v>60</v>
      </c>
      <c r="N54" s="292">
        <v>0</v>
      </c>
      <c r="O54" s="13">
        <f t="shared" si="16"/>
        <v>41343.666666666664</v>
      </c>
      <c r="P54" s="284">
        <v>41382.791666666664</v>
      </c>
      <c r="Q54" s="15">
        <v>39.125</v>
      </c>
      <c r="R54" s="334">
        <f>IF(ISERROR(VLOOKUP(G54,'Planning and Target Times'!$L$1:$AJ$6,MATCH(K54&amp;"_"&amp;L54&amp;"_"&amp;J54,INDEX('Planning and Target Times'!$L$1:$AJ$6,1,0),0),0)+5),"",(VLOOKUP(G54,'Planning and Target Times'!$L$1:$AJ$6,MATCH(K54&amp;"_"&amp;L54&amp;"_"&amp;J54,INDEX('Planning and Target Times'!$L$1:$AJ$6,1,0),0),0)+5))</f>
        <v>61</v>
      </c>
      <c r="S54" s="420">
        <f t="shared" si="17"/>
        <v>56</v>
      </c>
      <c r="T54" s="392">
        <f>VLOOKUP(G54,'Planning and Target Times'!$A$7:$G$12,MATCH(K54&amp;"-"&amp;L54&amp;"-"&amp;J54,INDEX('Planning and Target Times'!$A$7:$G$12,1,0),0),0)</f>
        <v>27</v>
      </c>
      <c r="U54" s="292">
        <v>1.4166666666642413</v>
      </c>
      <c r="V54" s="14">
        <f t="shared" si="2"/>
        <v>40.541666666664241</v>
      </c>
      <c r="W54" s="282">
        <v>2906</v>
      </c>
      <c r="X54" s="286" t="str">
        <f t="shared" si="18"/>
        <v>MA</v>
      </c>
      <c r="Y54" s="302">
        <v>11512</v>
      </c>
      <c r="Z54" s="302"/>
      <c r="AA54" s="302">
        <v>6191</v>
      </c>
      <c r="AB54" s="302">
        <v>8606</v>
      </c>
      <c r="AC54" s="302"/>
      <c r="AD54" s="302">
        <v>11505</v>
      </c>
      <c r="AE54" s="292"/>
      <c r="AF54" s="292"/>
      <c r="AG54" s="292"/>
      <c r="AH54" s="292"/>
      <c r="AI54" s="292"/>
      <c r="AJ54" s="292"/>
      <c r="AK54" s="282">
        <f>IF(ISERROR(VLOOKUP(G54,'Planning and Target Times'!$B$106:$D$110,MATCH(F54,INDEX('Planning and Target Times'!$B$106:$D$110,1,0),0),0)),"",(VLOOKUP(G54,'Planning and Target Times'!$B$106:$D$110,MATCH(F54,INDEX('Planning and Target Times'!$B$106:$D$110,1,0),0),0)))</f>
        <v>740</v>
      </c>
      <c r="AL54" s="282" t="str">
        <f>VLOOKUP(G54,'Planning and Target Times'!$I$2:$J$7,2,0)</f>
        <v>Carbonate</v>
      </c>
      <c r="AM54" s="14">
        <f t="shared" si="19"/>
        <v>-20.458333333335759</v>
      </c>
      <c r="AN54" s="292">
        <v>12.435765673175748</v>
      </c>
      <c r="AO54" s="14">
        <f t="shared" si="25"/>
        <v>32.399744408945686</v>
      </c>
      <c r="AP54" s="283">
        <f>VLOOKUP(G54,'Planning and Target Times'!$A$43:$L$47,MATCH(F54&amp;"-"&amp;K54&amp;"-"&amp;L54&amp;"-"&amp;J54,INDEX('Planning and Target Times'!$A$43:$L$47,1,0),0),0)</f>
        <v>20</v>
      </c>
      <c r="AQ54" s="385" t="s">
        <v>83</v>
      </c>
      <c r="AR54" s="292">
        <v>1</v>
      </c>
      <c r="AS54" s="384" t="s">
        <v>10</v>
      </c>
      <c r="AT54" s="20" t="s">
        <v>24</v>
      </c>
      <c r="AU54" s="292">
        <v>1</v>
      </c>
      <c r="AV54" s="292"/>
      <c r="AW54" s="292"/>
      <c r="AX54" s="384"/>
      <c r="AY54" s="384"/>
      <c r="AZ54" s="283" t="s">
        <v>299</v>
      </c>
      <c r="BA54" s="282">
        <v>16</v>
      </c>
      <c r="BB54" s="282">
        <v>16</v>
      </c>
      <c r="BC54" s="282">
        <v>1800</v>
      </c>
      <c r="BD54" s="282">
        <v>1474</v>
      </c>
      <c r="BE54" s="282">
        <v>14</v>
      </c>
      <c r="BF54" s="282">
        <f t="shared" si="26"/>
        <v>1267.6399999999999</v>
      </c>
      <c r="BG54" s="282"/>
      <c r="BH54" s="292" t="s">
        <v>372</v>
      </c>
      <c r="BI54" s="283">
        <v>287399</v>
      </c>
      <c r="BJ54" s="292"/>
      <c r="BK54" s="302">
        <f>COUNT(P$2:P54)</f>
        <v>53</v>
      </c>
      <c r="BL54" s="302">
        <f>SUMPRODUCT(--(YEAR(P$2:P54)=YEAR(P54)))</f>
        <v>22</v>
      </c>
      <c r="BM54" s="302">
        <f t="shared" si="20"/>
        <v>2</v>
      </c>
      <c r="BN54" s="15">
        <f t="shared" si="24"/>
        <v>47.625</v>
      </c>
      <c r="BO54" s="292"/>
      <c r="BP54" s="292"/>
      <c r="BQ54" s="467">
        <v>923.02</v>
      </c>
      <c r="BR54" s="467">
        <v>869.12833333333344</v>
      </c>
      <c r="BS54" s="467">
        <v>835.26666666666677</v>
      </c>
      <c r="BT54" s="467"/>
      <c r="BU54" s="467"/>
      <c r="BV54" s="467"/>
      <c r="BW54" s="467" t="s">
        <v>1877</v>
      </c>
      <c r="BX54" s="469">
        <v>41426</v>
      </c>
      <c r="BY54" s="472">
        <f t="shared" si="21"/>
        <v>23.591565495207668</v>
      </c>
    </row>
    <row r="55" spans="1:77" ht="15" customHeight="1" x14ac:dyDescent="0.25">
      <c r="A55" s="384" t="s">
        <v>226</v>
      </c>
      <c r="B55" s="384" t="s">
        <v>127</v>
      </c>
      <c r="C55" s="302" t="s">
        <v>549</v>
      </c>
      <c r="D55" s="529" t="s">
        <v>2057</v>
      </c>
      <c r="E55" s="384">
        <v>5</v>
      </c>
      <c r="F55" s="384" t="s">
        <v>11</v>
      </c>
      <c r="G55" s="384" t="s">
        <v>13</v>
      </c>
      <c r="H55" s="384" t="s">
        <v>23</v>
      </c>
      <c r="I55" s="384" t="s">
        <v>16</v>
      </c>
      <c r="J55" s="384" t="s">
        <v>298</v>
      </c>
      <c r="K55" s="384" t="s">
        <v>14</v>
      </c>
      <c r="L55" s="420" t="s">
        <v>1416</v>
      </c>
      <c r="M55" s="384" t="s">
        <v>61</v>
      </c>
      <c r="N55" s="292">
        <v>1</v>
      </c>
      <c r="O55" s="13">
        <f t="shared" si="16"/>
        <v>41319.9375</v>
      </c>
      <c r="P55" s="284">
        <v>41385.833333333336</v>
      </c>
      <c r="Q55" s="15">
        <v>65.895833333335759</v>
      </c>
      <c r="R55" s="334" t="str">
        <f>IF(ISERROR(VLOOKUP(G55,'Planning and Target Times'!$L$1:$AJ$6,MATCH(K55&amp;"_"&amp;L55&amp;"_"&amp;J55,INDEX('Planning and Target Times'!$L$1:$AJ$6,1,0),0),0)+5),"",(VLOOKUP(G55,'Planning and Target Times'!$L$1:$AJ$6,MATCH(K55&amp;"_"&amp;L55&amp;"_"&amp;J55,INDEX('Planning and Target Times'!$L$1:$AJ$6,1,0),0),0)+5))</f>
        <v/>
      </c>
      <c r="S55" s="420" t="str">
        <f t="shared" si="17"/>
        <v/>
      </c>
      <c r="T55" s="392" t="e">
        <f>VLOOKUP(G55,'Planning and Target Times'!$A$7:$G$12,MATCH(K55&amp;"-"&amp;L55&amp;"-"&amp;J55,INDEX('Planning and Target Times'!$A$7:$G$12,1,0),0),0)</f>
        <v>#N/A</v>
      </c>
      <c r="U55" s="292">
        <v>3.9791666666642413</v>
      </c>
      <c r="V55" s="14">
        <f t="shared" si="2"/>
        <v>69.875</v>
      </c>
      <c r="W55" s="292">
        <v>2000</v>
      </c>
      <c r="X55" s="286" t="str">
        <f t="shared" si="18"/>
        <v>TU</v>
      </c>
      <c r="Y55" s="302">
        <v>10038</v>
      </c>
      <c r="Z55" s="302">
        <v>5950</v>
      </c>
      <c r="AA55" s="302">
        <v>8038</v>
      </c>
      <c r="AB55" s="302"/>
      <c r="AC55" s="302"/>
      <c r="AD55" s="302"/>
      <c r="AE55" s="292"/>
      <c r="AF55" s="292"/>
      <c r="AG55" s="292"/>
      <c r="AH55" s="292"/>
      <c r="AI55" s="292"/>
      <c r="AJ55" s="292"/>
      <c r="AK55" s="282" t="str">
        <f>IF(ISERROR(VLOOKUP(G55,'Planning and Target Times'!$B$106:$D$110,MATCH(F55,INDEX('Planning and Target Times'!$B$106:$D$110,1,0),0),0)),"",(VLOOKUP(G55,'Planning and Target Times'!$B$106:$D$110,MATCH(F55,INDEX('Planning and Target Times'!$B$106:$D$110,1,0),0),0)))</f>
        <v/>
      </c>
      <c r="AL55" s="282" t="str">
        <f>VLOOKUP(G55,'Planning and Target Times'!$I$2:$J$7,2,0)</f>
        <v>Carbonate</v>
      </c>
      <c r="AM55" s="14" t="e">
        <f t="shared" si="19"/>
        <v>#VALUE!</v>
      </c>
      <c r="AN55" s="292">
        <v>14.162194394752536</v>
      </c>
      <c r="AO55" s="14" t="s">
        <v>91</v>
      </c>
      <c r="AP55" s="283" t="e">
        <f>VLOOKUP(G55,'Planning and Target Times'!$A$43:$L$47,MATCH(F55&amp;"-"&amp;K55&amp;"-"&amp;L55&amp;"-"&amp;J55,INDEX('Planning and Target Times'!$A$43:$L$47,1,0),0),0)</f>
        <v>#N/A</v>
      </c>
      <c r="AQ55" s="384" t="s">
        <v>416</v>
      </c>
      <c r="AR55" s="292" t="s">
        <v>91</v>
      </c>
      <c r="AS55" s="292" t="s">
        <v>91</v>
      </c>
      <c r="AT55" s="292" t="s">
        <v>91</v>
      </c>
      <c r="AU55" s="292">
        <v>1</v>
      </c>
      <c r="AV55" s="292"/>
      <c r="AW55" s="292"/>
      <c r="AX55" s="384"/>
      <c r="AY55" s="384"/>
      <c r="AZ55" s="292" t="s">
        <v>10</v>
      </c>
      <c r="BA55" s="292">
        <v>0</v>
      </c>
      <c r="BB55" s="292">
        <v>0</v>
      </c>
      <c r="BC55" s="292"/>
      <c r="BD55" s="292" t="s">
        <v>412</v>
      </c>
      <c r="BE55" s="292" t="s">
        <v>412</v>
      </c>
      <c r="BF55" s="282" t="s">
        <v>91</v>
      </c>
      <c r="BG55" s="282"/>
      <c r="BH55" s="282" t="s">
        <v>320</v>
      </c>
      <c r="BI55" s="283">
        <v>287415</v>
      </c>
      <c r="BJ55" s="292"/>
      <c r="BK55" s="302">
        <f>COUNT(P$2:P55)</f>
        <v>54</v>
      </c>
      <c r="BL55" s="302">
        <f>SUMPRODUCT(--(YEAR(P$2:P55)=YEAR(P55)))</f>
        <v>23</v>
      </c>
      <c r="BM55" s="302">
        <f t="shared" si="20"/>
        <v>3</v>
      </c>
      <c r="BN55" s="15">
        <f t="shared" si="24"/>
        <v>52.283333333333573</v>
      </c>
      <c r="BO55" s="292"/>
      <c r="BP55" s="292"/>
      <c r="BQ55" s="467">
        <v>350.77666666666664</v>
      </c>
      <c r="BR55" s="467">
        <v>342.62333333333328</v>
      </c>
      <c r="BS55" s="467">
        <v>267.30624999999998</v>
      </c>
      <c r="BT55" s="467"/>
      <c r="BU55" s="467"/>
      <c r="BV55" s="467"/>
      <c r="BW55" s="467" t="s">
        <v>1877</v>
      </c>
      <c r="BX55" s="469">
        <v>41426</v>
      </c>
      <c r="BY55" s="472">
        <f t="shared" si="21"/>
        <v>5.3231994941509262</v>
      </c>
    </row>
    <row r="56" spans="1:77" ht="15" customHeight="1" x14ac:dyDescent="0.25">
      <c r="A56" s="384" t="s">
        <v>227</v>
      </c>
      <c r="B56" s="384" t="s">
        <v>128</v>
      </c>
      <c r="C56" s="302" t="s">
        <v>550</v>
      </c>
      <c r="D56" s="529" t="s">
        <v>2058</v>
      </c>
      <c r="E56" s="384">
        <v>1</v>
      </c>
      <c r="F56" s="384" t="s">
        <v>11</v>
      </c>
      <c r="G56" s="384" t="s">
        <v>17</v>
      </c>
      <c r="H56" s="384" t="s">
        <v>38</v>
      </c>
      <c r="I56" s="384" t="s">
        <v>16</v>
      </c>
      <c r="J56" s="384" t="s">
        <v>298</v>
      </c>
      <c r="K56" s="384" t="s">
        <v>14</v>
      </c>
      <c r="L56" s="384" t="s">
        <v>1410</v>
      </c>
      <c r="M56" s="384" t="s">
        <v>59</v>
      </c>
      <c r="N56" s="292">
        <v>1</v>
      </c>
      <c r="O56" s="13">
        <f t="shared" si="16"/>
        <v>41312.916666666664</v>
      </c>
      <c r="P56" s="284">
        <v>41386.75</v>
      </c>
      <c r="Q56" s="15">
        <v>73.833333333335759</v>
      </c>
      <c r="R56" s="334">
        <f>IF(ISERROR(VLOOKUP(G56,'Planning and Target Times'!$L$1:$AJ$6,MATCH(K56&amp;"_"&amp;L56&amp;"_"&amp;J56,INDEX('Planning and Target Times'!$L$1:$AJ$6,1,0),0),0)+5),"",(VLOOKUP(G56,'Planning and Target Times'!$L$1:$AJ$6,MATCH(K56&amp;"_"&amp;L56&amp;"_"&amp;J56,INDEX('Planning and Target Times'!$L$1:$AJ$6,1,0),0),0)+5))</f>
        <v>75</v>
      </c>
      <c r="S56" s="420">
        <f t="shared" si="17"/>
        <v>70</v>
      </c>
      <c r="T56" s="392">
        <f>VLOOKUP(G56,'Planning and Target Times'!$A$7:$G$12,MATCH(K56&amp;"-"&amp;L56&amp;"-"&amp;J56,INDEX('Planning and Target Times'!$A$7:$G$12,1,0),0),0)</f>
        <v>35</v>
      </c>
      <c r="U56" s="292">
        <v>7.1458333333284827</v>
      </c>
      <c r="V56" s="14">
        <f t="shared" si="2"/>
        <v>80.979166666664241</v>
      </c>
      <c r="W56" s="292">
        <v>3668</v>
      </c>
      <c r="X56" s="286" t="str">
        <f t="shared" si="18"/>
        <v>MA</v>
      </c>
      <c r="Y56" s="302">
        <v>12046</v>
      </c>
      <c r="Z56" s="302">
        <v>6064</v>
      </c>
      <c r="AA56" s="302">
        <v>8380</v>
      </c>
      <c r="AB56" s="302"/>
      <c r="AC56" s="302"/>
      <c r="AD56" s="302"/>
      <c r="AE56" s="292"/>
      <c r="AF56" s="292"/>
      <c r="AG56" s="292"/>
      <c r="AH56" s="292"/>
      <c r="AI56" s="292"/>
      <c r="AJ56" s="292"/>
      <c r="AK56" s="282">
        <f>IF(ISERROR(VLOOKUP(G56,'Planning and Target Times'!$B$106:$D$110,MATCH(F56,INDEX('Planning and Target Times'!$B$106:$D$110,1,0),0),0)),"",(VLOOKUP(G56,'Planning and Target Times'!$B$106:$D$110,MATCH(F56,INDEX('Planning and Target Times'!$B$106:$D$110,1,0),0),0)))</f>
        <v>740</v>
      </c>
      <c r="AL56" s="282" t="str">
        <f>VLOOKUP(G56,'Planning and Target Times'!$I$2:$J$7,2,0)</f>
        <v>Carbonate</v>
      </c>
      <c r="AM56" s="14">
        <f t="shared" si="19"/>
        <v>5.9791666666642413</v>
      </c>
      <c r="AN56" s="292">
        <v>26.035502958579883</v>
      </c>
      <c r="AO56" s="14">
        <f>BF56/Q56</f>
        <v>10.713318284424027</v>
      </c>
      <c r="AP56" s="283">
        <f>VLOOKUP(G56,'Planning and Target Times'!$A$43:$L$47,MATCH(F56&amp;"-"&amp;K56&amp;"-"&amp;L56&amp;"-"&amp;J56,INDEX('Planning and Target Times'!$A$43:$L$47,1,0),0),0)</f>
        <v>16</v>
      </c>
      <c r="AQ56" s="384" t="s">
        <v>80</v>
      </c>
      <c r="AR56" s="292">
        <v>1</v>
      </c>
      <c r="AS56" s="384" t="s">
        <v>10</v>
      </c>
      <c r="AT56" s="282" t="s">
        <v>39</v>
      </c>
      <c r="AU56" s="292">
        <v>0.89</v>
      </c>
      <c r="AV56" s="292"/>
      <c r="AW56" s="292"/>
      <c r="AX56" s="384"/>
      <c r="AY56" s="384"/>
      <c r="AZ56" s="283" t="s">
        <v>299</v>
      </c>
      <c r="BA56" s="292">
        <v>16</v>
      </c>
      <c r="BB56" s="292">
        <v>32</v>
      </c>
      <c r="BC56" s="292">
        <v>1500</v>
      </c>
      <c r="BD56" s="282">
        <v>1582</v>
      </c>
      <c r="BE56" s="282">
        <v>50</v>
      </c>
      <c r="BF56" s="282">
        <f>(1-BE56/100)*BD56</f>
        <v>791</v>
      </c>
      <c r="BG56" s="282"/>
      <c r="BH56" s="292" t="s">
        <v>388</v>
      </c>
      <c r="BI56" s="283">
        <v>287407</v>
      </c>
      <c r="BJ56" s="292"/>
      <c r="BK56" s="302">
        <f>COUNT(P$2:P56)</f>
        <v>55</v>
      </c>
      <c r="BL56" s="302">
        <f>SUMPRODUCT(--(YEAR(P$2:P56)=YEAR(P56)))</f>
        <v>24</v>
      </c>
      <c r="BM56" s="302">
        <f t="shared" si="20"/>
        <v>4</v>
      </c>
      <c r="BN56" s="15">
        <f t="shared" si="24"/>
        <v>49.466666666667152</v>
      </c>
      <c r="BO56" s="292"/>
      <c r="BP56" s="292"/>
      <c r="BQ56" s="467">
        <v>1024.7966666666666</v>
      </c>
      <c r="BR56" s="467">
        <v>853.65333333333331</v>
      </c>
      <c r="BS56" s="467">
        <v>731.46416666666664</v>
      </c>
      <c r="BT56" s="467"/>
      <c r="BU56" s="467"/>
      <c r="BV56" s="467"/>
      <c r="BW56" s="467" t="s">
        <v>1877</v>
      </c>
      <c r="BX56" s="469">
        <v>41426</v>
      </c>
      <c r="BY56" s="472">
        <f t="shared" si="21"/>
        <v>13.879864559818957</v>
      </c>
    </row>
    <row r="57" spans="1:77" ht="15" customHeight="1" x14ac:dyDescent="0.25">
      <c r="A57" s="384" t="s">
        <v>228</v>
      </c>
      <c r="B57" s="384" t="s">
        <v>129</v>
      </c>
      <c r="C57" s="302" t="s">
        <v>129</v>
      </c>
      <c r="D57" s="529" t="s">
        <v>2059</v>
      </c>
      <c r="E57" s="384">
        <v>1</v>
      </c>
      <c r="F57" s="384" t="s">
        <v>11</v>
      </c>
      <c r="G57" s="384" t="s">
        <v>17</v>
      </c>
      <c r="H57" s="384" t="s">
        <v>28</v>
      </c>
      <c r="I57" s="384" t="s">
        <v>16</v>
      </c>
      <c r="J57" s="384" t="s">
        <v>298</v>
      </c>
      <c r="K57" s="384" t="s">
        <v>18</v>
      </c>
      <c r="L57" s="384" t="s">
        <v>1410</v>
      </c>
      <c r="M57" s="384" t="s">
        <v>60</v>
      </c>
      <c r="N57" s="292">
        <v>0</v>
      </c>
      <c r="O57" s="13">
        <f t="shared" si="16"/>
        <v>41352.75</v>
      </c>
      <c r="P57" s="284">
        <v>41387.25</v>
      </c>
      <c r="Q57" s="15">
        <v>34.5</v>
      </c>
      <c r="R57" s="334">
        <f>IF(ISERROR(VLOOKUP(G57,'Planning and Target Times'!$L$1:$AJ$6,MATCH(K57&amp;"_"&amp;L57&amp;"_"&amp;J57,INDEX('Planning and Target Times'!$L$1:$AJ$6,1,0),0),0)+5),"",(VLOOKUP(G57,'Planning and Target Times'!$L$1:$AJ$6,MATCH(K57&amp;"_"&amp;L57&amp;"_"&amp;J57,INDEX('Planning and Target Times'!$L$1:$AJ$6,1,0),0),0)+5))</f>
        <v>61</v>
      </c>
      <c r="S57" s="420">
        <f t="shared" si="17"/>
        <v>56</v>
      </c>
      <c r="T57" s="392">
        <f>VLOOKUP(G57,'Planning and Target Times'!$A$7:$G$12,MATCH(K57&amp;"-"&amp;L57&amp;"-"&amp;J57,INDEX('Planning and Target Times'!$A$7:$G$12,1,0),0),0)</f>
        <v>27</v>
      </c>
      <c r="U57" s="292">
        <v>10.5</v>
      </c>
      <c r="V57" s="14">
        <f t="shared" si="2"/>
        <v>45</v>
      </c>
      <c r="W57" s="292">
        <v>3513</v>
      </c>
      <c r="X57" s="286" t="str">
        <f t="shared" si="18"/>
        <v>MA</v>
      </c>
      <c r="Y57" s="302">
        <v>11698</v>
      </c>
      <c r="Z57" s="302"/>
      <c r="AA57" s="302">
        <v>6192</v>
      </c>
      <c r="AB57" s="302">
        <v>8183</v>
      </c>
      <c r="AC57" s="302"/>
      <c r="AD57" s="302"/>
      <c r="AE57" s="292"/>
      <c r="AF57" s="292"/>
      <c r="AG57" s="292"/>
      <c r="AH57" s="292"/>
      <c r="AI57" s="292"/>
      <c r="AJ57" s="292"/>
      <c r="AK57" s="282">
        <f>IF(ISERROR(VLOOKUP(G57,'Planning and Target Times'!$B$106:$D$110,MATCH(F57,INDEX('Planning and Target Times'!$B$106:$D$110,1,0),0),0)),"",(VLOOKUP(G57,'Planning and Target Times'!$B$106:$D$110,MATCH(F57,INDEX('Planning and Target Times'!$B$106:$D$110,1,0),0),0)))</f>
        <v>740</v>
      </c>
      <c r="AL57" s="282" t="str">
        <f>VLOOKUP(G57,'Planning and Target Times'!$I$2:$J$7,2,0)</f>
        <v>Carbonate</v>
      </c>
      <c r="AM57" s="14">
        <f t="shared" si="19"/>
        <v>-16</v>
      </c>
      <c r="AN57" s="292">
        <v>2.6851851851851851</v>
      </c>
      <c r="AO57" s="14" t="s">
        <v>91</v>
      </c>
      <c r="AP57" s="283">
        <f>VLOOKUP(G57,'Planning and Target Times'!$A$43:$L$47,MATCH(F57&amp;"-"&amp;K57&amp;"-"&amp;L57&amp;"-"&amp;J57,INDEX('Planning and Target Times'!$A$43:$L$47,1,0),0),0)</f>
        <v>20</v>
      </c>
      <c r="AQ57" s="384" t="s">
        <v>88</v>
      </c>
      <c r="AR57" s="292" t="s">
        <v>91</v>
      </c>
      <c r="AS57" s="292" t="s">
        <v>91</v>
      </c>
      <c r="AT57" s="292" t="s">
        <v>91</v>
      </c>
      <c r="AU57" s="292">
        <v>0.95</v>
      </c>
      <c r="AV57" s="292"/>
      <c r="AW57" s="292"/>
      <c r="AX57" s="384"/>
      <c r="AY57" s="384"/>
      <c r="AZ57" s="283" t="s">
        <v>299</v>
      </c>
      <c r="BA57" s="292">
        <v>0</v>
      </c>
      <c r="BB57" s="292">
        <v>0</v>
      </c>
      <c r="BC57" s="292"/>
      <c r="BD57" s="292" t="s">
        <v>412</v>
      </c>
      <c r="BE57" s="292" t="s">
        <v>412</v>
      </c>
      <c r="BF57" s="282" t="s">
        <v>91</v>
      </c>
      <c r="BG57" s="282"/>
      <c r="BH57" s="282" t="s">
        <v>320</v>
      </c>
      <c r="BI57" s="283">
        <v>288026</v>
      </c>
      <c r="BJ57" s="292"/>
      <c r="BK57" s="302">
        <f>COUNT(P$2:P57)</f>
        <v>56</v>
      </c>
      <c r="BL57" s="302">
        <f>SUMPRODUCT(--(YEAR(P$2:P57)=YEAR(P57)))</f>
        <v>25</v>
      </c>
      <c r="BM57" s="302">
        <f t="shared" si="20"/>
        <v>5</v>
      </c>
      <c r="BN57" s="15">
        <f t="shared" si="24"/>
        <v>48.133333333333574</v>
      </c>
      <c r="BO57" s="292"/>
      <c r="BP57" s="292"/>
      <c r="BQ57" s="467">
        <v>983.75999999999988</v>
      </c>
      <c r="BR57" s="467">
        <v>902.0866666666667</v>
      </c>
      <c r="BS57" s="467">
        <v>874.05666666666684</v>
      </c>
      <c r="BT57" s="467"/>
      <c r="BU57" s="467"/>
      <c r="BV57" s="467"/>
      <c r="BW57" s="467" t="s">
        <v>1877</v>
      </c>
      <c r="BX57" s="469">
        <v>41487</v>
      </c>
      <c r="BY57" s="472">
        <f t="shared" si="21"/>
        <v>28.514782608695647</v>
      </c>
    </row>
    <row r="58" spans="1:77" ht="15" customHeight="1" x14ac:dyDescent="0.25">
      <c r="A58" s="384" t="s">
        <v>229</v>
      </c>
      <c r="B58" s="384" t="s">
        <v>439</v>
      </c>
      <c r="C58" s="302" t="s">
        <v>439</v>
      </c>
      <c r="D58" s="529" t="s">
        <v>2060</v>
      </c>
      <c r="E58" s="384">
        <v>2</v>
      </c>
      <c r="F58" s="384" t="s">
        <v>42</v>
      </c>
      <c r="G58" s="384" t="s">
        <v>17</v>
      </c>
      <c r="H58" s="384" t="s">
        <v>31</v>
      </c>
      <c r="I58" s="384" t="s">
        <v>16</v>
      </c>
      <c r="J58" s="384" t="s">
        <v>298</v>
      </c>
      <c r="K58" s="384" t="s">
        <v>18</v>
      </c>
      <c r="L58" s="384" t="s">
        <v>1410</v>
      </c>
      <c r="M58" s="384" t="s">
        <v>74</v>
      </c>
      <c r="N58" s="281">
        <v>1</v>
      </c>
      <c r="O58" s="13">
        <f t="shared" si="16"/>
        <v>41352.75</v>
      </c>
      <c r="P58" s="284">
        <v>41392.708333333336</v>
      </c>
      <c r="Q58" s="15">
        <v>39.958333333335759</v>
      </c>
      <c r="R58" s="334">
        <f>IF(ISERROR(VLOOKUP(G58,'Planning and Target Times'!$L$1:$AJ$6,MATCH(K58&amp;"_"&amp;L58&amp;"_"&amp;J58,INDEX('Planning and Target Times'!$L$1:$AJ$6,1,0),0),0)+5),"",(VLOOKUP(G58,'Planning and Target Times'!$L$1:$AJ$6,MATCH(K58&amp;"_"&amp;L58&amp;"_"&amp;J58,INDEX('Planning and Target Times'!$L$1:$AJ$6,1,0),0),0)+5))</f>
        <v>61</v>
      </c>
      <c r="S58" s="420">
        <f t="shared" si="17"/>
        <v>56</v>
      </c>
      <c r="T58" s="392">
        <f>VLOOKUP(G58,'Planning and Target Times'!$A$7:$G$12,MATCH(K58&amp;"-"&amp;L58&amp;"-"&amp;J58,INDEX('Planning and Target Times'!$A$7:$G$12,1,0),0),0)</f>
        <v>27</v>
      </c>
      <c r="U58" s="292">
        <v>3.1875</v>
      </c>
      <c r="V58" s="14">
        <f t="shared" si="2"/>
        <v>43.145833333335759</v>
      </c>
      <c r="W58" s="282">
        <v>3125</v>
      </c>
      <c r="X58" s="286" t="str">
        <f t="shared" si="18"/>
        <v>MA</v>
      </c>
      <c r="Y58" s="302">
        <v>11704</v>
      </c>
      <c r="Z58" s="302">
        <v>6009</v>
      </c>
      <c r="AA58" s="302">
        <v>8757</v>
      </c>
      <c r="AB58" s="302">
        <v>8502</v>
      </c>
      <c r="AC58" s="302"/>
      <c r="AD58" s="302">
        <v>11675</v>
      </c>
      <c r="AE58" s="292"/>
      <c r="AF58" s="292"/>
      <c r="AG58" s="292"/>
      <c r="AH58" s="292"/>
      <c r="AI58" s="292"/>
      <c r="AJ58" s="292"/>
      <c r="AK58" s="282">
        <f>IF(ISERROR(VLOOKUP(G58,'Planning and Target Times'!$B$106:$D$110,MATCH(F58,INDEX('Planning and Target Times'!$B$106:$D$110,1,0),0),0)),"",(VLOOKUP(G58,'Planning and Target Times'!$B$106:$D$110,MATCH(F58,INDEX('Planning and Target Times'!$B$106:$D$110,1,0),0),0)))</f>
        <v>650</v>
      </c>
      <c r="AL58" s="282" t="str">
        <f>VLOOKUP(G58,'Planning and Target Times'!$I$2:$J$7,2,0)</f>
        <v>Carbonate</v>
      </c>
      <c r="AM58" s="14">
        <f t="shared" si="19"/>
        <v>-17.854166666664241</v>
      </c>
      <c r="AN58" s="292">
        <v>2.4142926122646067</v>
      </c>
      <c r="AO58" s="14">
        <f>BF58/Q58</f>
        <v>19.009801876954008</v>
      </c>
      <c r="AP58" s="283">
        <f>VLOOKUP(G58,'Planning and Target Times'!$A$43:$L$47,MATCH(F58&amp;"-"&amp;K58&amp;"-"&amp;L58&amp;"-"&amp;J58,INDEX('Planning and Target Times'!$A$43:$L$47,1,0),0),0)</f>
        <v>20</v>
      </c>
      <c r="AQ58" s="385" t="s">
        <v>83</v>
      </c>
      <c r="AR58" s="292">
        <v>1</v>
      </c>
      <c r="AS58" s="384" t="s">
        <v>10</v>
      </c>
      <c r="AT58" s="282" t="s">
        <v>39</v>
      </c>
      <c r="AU58" s="292">
        <v>0.99</v>
      </c>
      <c r="AV58" s="292"/>
      <c r="AW58" s="292"/>
      <c r="AX58" s="384"/>
      <c r="AY58" s="384"/>
      <c r="AZ58" s="283" t="s">
        <v>299</v>
      </c>
      <c r="BA58" s="282">
        <v>18</v>
      </c>
      <c r="BB58" s="282">
        <v>18</v>
      </c>
      <c r="BC58" s="282">
        <v>2000</v>
      </c>
      <c r="BD58" s="282">
        <v>2110</v>
      </c>
      <c r="BE58" s="282">
        <v>64</v>
      </c>
      <c r="BF58" s="282">
        <f>(1-BE58/100)*BD58</f>
        <v>759.6</v>
      </c>
      <c r="BG58" s="282"/>
      <c r="BH58" s="282" t="s">
        <v>331</v>
      </c>
      <c r="BI58" s="283">
        <v>287417</v>
      </c>
      <c r="BJ58" s="292"/>
      <c r="BK58" s="302">
        <f>COUNT(P$2:P58)</f>
        <v>57</v>
      </c>
      <c r="BL58" s="302">
        <f>SUMPRODUCT(--(YEAR(P$2:P58)=YEAR(P58)))</f>
        <v>26</v>
      </c>
      <c r="BM58" s="302">
        <f t="shared" si="20"/>
        <v>6</v>
      </c>
      <c r="BN58" s="15">
        <f t="shared" si="24"/>
        <v>47.950000000000728</v>
      </c>
      <c r="BO58" s="292"/>
      <c r="BP58" s="292"/>
      <c r="BQ58" s="467">
        <v>1903.8766666666668</v>
      </c>
      <c r="BR58" s="467">
        <v>1515.9833333333333</v>
      </c>
      <c r="BS58" s="467">
        <v>1333.3191666666664</v>
      </c>
      <c r="BT58" s="467"/>
      <c r="BU58" s="467"/>
      <c r="BV58" s="467"/>
      <c r="BW58" s="467" t="s">
        <v>1877</v>
      </c>
      <c r="BX58" s="469">
        <v>41395</v>
      </c>
      <c r="BY58" s="472">
        <f t="shared" si="21"/>
        <v>47.64654848800545</v>
      </c>
    </row>
    <row r="59" spans="1:77" ht="15" customHeight="1" x14ac:dyDescent="0.25">
      <c r="A59" s="384" t="s">
        <v>230</v>
      </c>
      <c r="B59" s="384" t="s">
        <v>440</v>
      </c>
      <c r="C59" s="302" t="s">
        <v>440</v>
      </c>
      <c r="D59" s="529" t="s">
        <v>2061</v>
      </c>
      <c r="E59" s="384">
        <v>2</v>
      </c>
      <c r="F59" s="384" t="s">
        <v>42</v>
      </c>
      <c r="G59" s="384" t="s">
        <v>17</v>
      </c>
      <c r="H59" s="384" t="s">
        <v>21</v>
      </c>
      <c r="I59" s="384" t="s">
        <v>20</v>
      </c>
      <c r="J59" s="384" t="s">
        <v>298</v>
      </c>
      <c r="K59" s="384" t="s">
        <v>18</v>
      </c>
      <c r="L59" s="384" t="s">
        <v>1410</v>
      </c>
      <c r="M59" s="384" t="s">
        <v>74</v>
      </c>
      <c r="N59" s="281">
        <v>1</v>
      </c>
      <c r="O59" s="13">
        <f t="shared" si="16"/>
        <v>41364.583333333336</v>
      </c>
      <c r="P59" s="284">
        <v>41404.833333333336</v>
      </c>
      <c r="Q59" s="15">
        <v>40.25</v>
      </c>
      <c r="R59" s="334">
        <f>IF(ISERROR(VLOOKUP(G59,'Planning and Target Times'!$L$1:$AJ$6,MATCH(K59&amp;"_"&amp;L59&amp;"_"&amp;J59,INDEX('Planning and Target Times'!$L$1:$AJ$6,1,0),0),0)+5),"",(VLOOKUP(G59,'Planning and Target Times'!$L$1:$AJ$6,MATCH(K59&amp;"_"&amp;L59&amp;"_"&amp;J59,INDEX('Planning and Target Times'!$L$1:$AJ$6,1,0),0),0)+5))</f>
        <v>61</v>
      </c>
      <c r="S59" s="420">
        <f t="shared" si="17"/>
        <v>56</v>
      </c>
      <c r="T59" s="392">
        <f>VLOOKUP(G59,'Planning and Target Times'!$A$7:$G$12,MATCH(K59&amp;"-"&amp;L59&amp;"-"&amp;J59,INDEX('Planning and Target Times'!$A$7:$G$12,1,0),0),0)</f>
        <v>27</v>
      </c>
      <c r="U59" s="292">
        <v>6.6041666666715173</v>
      </c>
      <c r="V59" s="14">
        <f t="shared" si="2"/>
        <v>46.854166666671517</v>
      </c>
      <c r="W59" s="282">
        <v>4923</v>
      </c>
      <c r="X59" s="286" t="str">
        <f t="shared" si="18"/>
        <v>MA</v>
      </c>
      <c r="Y59" s="302">
        <v>13561</v>
      </c>
      <c r="Z59" s="302">
        <v>6088</v>
      </c>
      <c r="AA59" s="302">
        <v>6169</v>
      </c>
      <c r="AB59" s="302">
        <v>8638</v>
      </c>
      <c r="AC59" s="302"/>
      <c r="AD59" s="302">
        <v>13418</v>
      </c>
      <c r="AE59" s="292"/>
      <c r="AF59" s="292"/>
      <c r="AG59" s="292"/>
      <c r="AH59" s="292"/>
      <c r="AI59" s="292"/>
      <c r="AJ59" s="292"/>
      <c r="AK59" s="282">
        <f>IF(ISERROR(VLOOKUP(G59,'Planning and Target Times'!$B$106:$D$110,MATCH(F59,INDEX('Planning and Target Times'!$B$106:$D$110,1,0),0),0)),"",(VLOOKUP(G59,'Planning and Target Times'!$B$106:$D$110,MATCH(F59,INDEX('Planning and Target Times'!$B$106:$D$110,1,0),0),0)))</f>
        <v>650</v>
      </c>
      <c r="AL59" s="282" t="str">
        <f>VLOOKUP(G59,'Planning and Target Times'!$I$2:$J$7,2,0)</f>
        <v>Carbonate</v>
      </c>
      <c r="AM59" s="14">
        <f t="shared" si="19"/>
        <v>-14.145833333328483</v>
      </c>
      <c r="AN59" s="292">
        <v>6.7585593597154299</v>
      </c>
      <c r="AO59" s="14">
        <f>BF59/Q59</f>
        <v>47.269565217391303</v>
      </c>
      <c r="AP59" s="283">
        <f>VLOOKUP(G59,'Planning and Target Times'!$A$43:$L$47,MATCH(F59&amp;"-"&amp;K59&amp;"-"&amp;L59&amp;"-"&amp;J59,INDEX('Planning and Target Times'!$A$43:$L$47,1,0),0),0)</f>
        <v>20</v>
      </c>
      <c r="AQ59" s="385" t="s">
        <v>83</v>
      </c>
      <c r="AR59" s="292">
        <v>1</v>
      </c>
      <c r="AS59" s="384" t="s">
        <v>10</v>
      </c>
      <c r="AT59" s="282" t="s">
        <v>39</v>
      </c>
      <c r="AU59" s="292">
        <v>1</v>
      </c>
      <c r="AV59" s="292"/>
      <c r="AW59" s="292"/>
      <c r="AX59" s="384"/>
      <c r="AY59" s="384"/>
      <c r="AZ59" s="283" t="s">
        <v>299</v>
      </c>
      <c r="BA59" s="282">
        <v>20</v>
      </c>
      <c r="BB59" s="282">
        <v>20</v>
      </c>
      <c r="BC59" s="282">
        <v>2000</v>
      </c>
      <c r="BD59" s="282">
        <v>2265</v>
      </c>
      <c r="BE59" s="282">
        <v>16</v>
      </c>
      <c r="BF59" s="282">
        <f>(1-BE59/100)*BD59</f>
        <v>1902.6</v>
      </c>
      <c r="BG59" s="282"/>
      <c r="BH59" s="282" t="s">
        <v>330</v>
      </c>
      <c r="BI59" s="283">
        <v>287703</v>
      </c>
      <c r="BJ59" s="292"/>
      <c r="BK59" s="302">
        <f>COUNT(P$2:P59)</f>
        <v>58</v>
      </c>
      <c r="BL59" s="302">
        <f>SUMPRODUCT(--(YEAR(P$2:P59)=YEAR(P59)))</f>
        <v>27</v>
      </c>
      <c r="BM59" s="302">
        <f t="shared" si="20"/>
        <v>7</v>
      </c>
      <c r="BN59" s="15">
        <f t="shared" si="24"/>
        <v>47.229166666667155</v>
      </c>
      <c r="BO59" s="292"/>
      <c r="BP59" s="292"/>
      <c r="BQ59" s="467">
        <v>1141.7033333333331</v>
      </c>
      <c r="BR59" s="467">
        <v>932.625</v>
      </c>
      <c r="BS59" s="467">
        <v>739.4174999999999</v>
      </c>
      <c r="BT59" s="467"/>
      <c r="BU59" s="467"/>
      <c r="BV59" s="467"/>
      <c r="BW59" s="467" t="s">
        <v>1877</v>
      </c>
      <c r="BX59" s="469">
        <v>41426</v>
      </c>
      <c r="BY59" s="472">
        <f t="shared" si="21"/>
        <v>28.365300207039333</v>
      </c>
    </row>
    <row r="60" spans="1:77" ht="15" customHeight="1" x14ac:dyDescent="0.25">
      <c r="A60" s="384" t="s">
        <v>43</v>
      </c>
      <c r="B60" s="384" t="s">
        <v>43</v>
      </c>
      <c r="C60" s="302" t="s">
        <v>43</v>
      </c>
      <c r="D60" s="529" t="s">
        <v>2062</v>
      </c>
      <c r="E60" s="384">
        <v>5</v>
      </c>
      <c r="F60" s="384" t="s">
        <v>11</v>
      </c>
      <c r="G60" s="384" t="s">
        <v>44</v>
      </c>
      <c r="H60" s="384" t="s">
        <v>19</v>
      </c>
      <c r="I60" s="384" t="s">
        <v>41</v>
      </c>
      <c r="J60" s="384" t="s">
        <v>298</v>
      </c>
      <c r="K60" s="384" t="s">
        <v>14</v>
      </c>
      <c r="L60" s="384" t="s">
        <v>1410</v>
      </c>
      <c r="M60" s="384" t="s">
        <v>61</v>
      </c>
      <c r="N60" s="292">
        <v>3</v>
      </c>
      <c r="O60" s="13">
        <f t="shared" si="16"/>
        <v>41298.229166666664</v>
      </c>
      <c r="P60" s="284">
        <v>41411.25</v>
      </c>
      <c r="Q60" s="15">
        <v>113.02083333333576</v>
      </c>
      <c r="R60" s="334">
        <f>IF(ISERROR(VLOOKUP(G60,'Planning and Target Times'!$L$1:$AJ$6,MATCH(K60&amp;"_"&amp;L60&amp;"_"&amp;J60,INDEX('Planning and Target Times'!$L$1:$AJ$6,1,0),0),0)+5),"",(VLOOKUP(G60,'Planning and Target Times'!$L$1:$AJ$6,MATCH(K60&amp;"_"&amp;L60&amp;"_"&amp;J60,INDEX('Planning and Target Times'!$L$1:$AJ$6,1,0),0),0)+5))</f>
        <v>103</v>
      </c>
      <c r="S60" s="420">
        <f t="shared" si="17"/>
        <v>98</v>
      </c>
      <c r="T60" s="392">
        <f>VLOOKUP(G60,'Planning and Target Times'!$A$7:$G$12,MATCH(K60&amp;"-"&amp;L60&amp;"-"&amp;J60,INDEX('Planning and Target Times'!$A$7:$G$12,1,0),0),0)</f>
        <v>75</v>
      </c>
      <c r="U60" s="292">
        <v>1.75</v>
      </c>
      <c r="V60" s="14">
        <f t="shared" si="2"/>
        <v>114.77083333333576</v>
      </c>
      <c r="W60" s="292">
        <v>746</v>
      </c>
      <c r="X60" s="286" t="str">
        <f t="shared" si="18"/>
        <v>ZU/RT</v>
      </c>
      <c r="Y60" s="302">
        <v>11310</v>
      </c>
      <c r="Z60" s="302">
        <v>6040</v>
      </c>
      <c r="AA60" s="302">
        <v>9169</v>
      </c>
      <c r="AB60" s="302"/>
      <c r="AC60" s="302"/>
      <c r="AD60" s="302"/>
      <c r="AE60" s="292"/>
      <c r="AF60" s="292"/>
      <c r="AG60" s="292"/>
      <c r="AH60" s="292"/>
      <c r="AI60" s="292"/>
      <c r="AJ60" s="292"/>
      <c r="AK60" s="282">
        <f>IF(ISERROR(VLOOKUP(G60,'Planning and Target Times'!$B$106:$D$110,MATCH(F60,INDEX('Planning and Target Times'!$B$106:$D$110,1,0),0),0)),"",(VLOOKUP(G60,'Planning and Target Times'!$B$106:$D$110,MATCH(F60,INDEX('Planning and Target Times'!$B$106:$D$110,1,0),0),0)))</f>
        <v>920</v>
      </c>
      <c r="AL60" s="282" t="str">
        <f>VLOOKUP(G60,'Planning and Target Times'!$I$2:$J$7,2,0)</f>
        <v>Sandstone</v>
      </c>
      <c r="AM60" s="14">
        <f t="shared" si="19"/>
        <v>11.770833333335759</v>
      </c>
      <c r="AN60" s="292">
        <v>21.250686687419886</v>
      </c>
      <c r="AO60" s="14">
        <f>BF60/Q60</f>
        <v>24.703410138248319</v>
      </c>
      <c r="AP60" s="283">
        <f>VLOOKUP(G60,'Planning and Target Times'!$A$43:$L$47,MATCH(F60&amp;"-"&amp;K60&amp;"-"&amp;L60&amp;"-"&amp;J60,INDEX('Planning and Target Times'!$A$43:$L$47,1,0),0),0)</f>
        <v>18</v>
      </c>
      <c r="AQ60" s="420" t="s">
        <v>415</v>
      </c>
      <c r="AR60" s="292" t="s">
        <v>91</v>
      </c>
      <c r="AS60" s="292" t="s">
        <v>91</v>
      </c>
      <c r="AT60" s="292" t="s">
        <v>91</v>
      </c>
      <c r="AU60" s="292">
        <v>1</v>
      </c>
      <c r="AV60" s="292"/>
      <c r="AW60" s="292"/>
      <c r="AX60" s="384"/>
      <c r="AY60" s="384"/>
      <c r="AZ60" s="292" t="s">
        <v>10</v>
      </c>
      <c r="BA60" s="292">
        <v>0</v>
      </c>
      <c r="BB60" s="292">
        <v>0</v>
      </c>
      <c r="BC60" s="292"/>
      <c r="BD60" s="292">
        <v>2792</v>
      </c>
      <c r="BE60" s="292">
        <v>0</v>
      </c>
      <c r="BF60" s="282">
        <f>(1-BE60/100)*BD60</f>
        <v>2792</v>
      </c>
      <c r="BG60" s="282"/>
      <c r="BH60" s="282" t="s">
        <v>389</v>
      </c>
      <c r="BI60" s="283">
        <v>287401</v>
      </c>
      <c r="BJ60" s="292"/>
      <c r="BK60" s="302">
        <f>COUNT(P$2:P60)</f>
        <v>59</v>
      </c>
      <c r="BL60" s="302">
        <f>SUMPRODUCT(--(YEAR(P$2:P60)=YEAR(P60)))</f>
        <v>28</v>
      </c>
      <c r="BM60" s="302">
        <f t="shared" si="20"/>
        <v>8</v>
      </c>
      <c r="BN60" s="15">
        <f t="shared" si="24"/>
        <v>52.100000000000726</v>
      </c>
      <c r="BO60" s="292"/>
      <c r="BP60" s="292"/>
      <c r="BQ60" s="467">
        <v>2396.42</v>
      </c>
      <c r="BR60" s="467">
        <v>2695.3233333333333</v>
      </c>
      <c r="BS60" s="467">
        <v>2873.2383333333332</v>
      </c>
      <c r="BT60" s="467"/>
      <c r="BU60" s="467"/>
      <c r="BV60" s="467"/>
      <c r="BW60" s="467" t="s">
        <v>1877</v>
      </c>
      <c r="BX60" s="469">
        <v>41395</v>
      </c>
      <c r="BY60" s="472">
        <f t="shared" si="21"/>
        <v>21.203347465437332</v>
      </c>
    </row>
    <row r="61" spans="1:77" ht="15" customHeight="1" x14ac:dyDescent="0.25">
      <c r="A61" s="384" t="s">
        <v>231</v>
      </c>
      <c r="B61" s="384" t="s">
        <v>165</v>
      </c>
      <c r="C61" s="302" t="s">
        <v>539</v>
      </c>
      <c r="D61" s="529" t="s">
        <v>2063</v>
      </c>
      <c r="E61" s="384">
        <v>5</v>
      </c>
      <c r="F61" s="384" t="s">
        <v>42</v>
      </c>
      <c r="G61" s="384" t="s">
        <v>22</v>
      </c>
      <c r="H61" s="384" t="s">
        <v>25</v>
      </c>
      <c r="I61" s="384" t="s">
        <v>16</v>
      </c>
      <c r="J61" s="384" t="s">
        <v>298</v>
      </c>
      <c r="K61" s="384" t="s">
        <v>14</v>
      </c>
      <c r="L61" s="384" t="s">
        <v>1416</v>
      </c>
      <c r="M61" s="384" t="s">
        <v>74</v>
      </c>
      <c r="N61" s="281">
        <v>2</v>
      </c>
      <c r="O61" s="13">
        <f t="shared" si="16"/>
        <v>41337.833333333336</v>
      </c>
      <c r="P61" s="284">
        <v>41417.354166666664</v>
      </c>
      <c r="Q61" s="15">
        <v>79.520833333328483</v>
      </c>
      <c r="R61" s="334">
        <f>IF(ISERROR(VLOOKUP(G61,'Planning and Target Times'!$L$1:$AJ$6,MATCH(K61&amp;"_"&amp;L61&amp;"_"&amp;J61,INDEX('Planning and Target Times'!$L$1:$AJ$6,1,0),0),0)+5),"",(VLOOKUP(G61,'Planning and Target Times'!$L$1:$AJ$6,MATCH(K61&amp;"_"&amp;L61&amp;"_"&amp;J61,INDEX('Planning and Target Times'!$L$1:$AJ$6,1,0),0),0)+5))</f>
        <v>75</v>
      </c>
      <c r="S61" s="420">
        <f t="shared" si="17"/>
        <v>70</v>
      </c>
      <c r="T61" s="392">
        <f>VLOOKUP(G61,'Planning and Target Times'!$A$7:$G$12,MATCH(K61&amp;"-"&amp;L61&amp;"-"&amp;J61,INDEX('Planning and Target Times'!$A$7:$G$12,1,0),0),0)</f>
        <v>33</v>
      </c>
      <c r="U61" s="292">
        <v>1.7916666666715173</v>
      </c>
      <c r="V61" s="14">
        <f t="shared" si="2"/>
        <v>81.3125</v>
      </c>
      <c r="W61" s="282">
        <v>120</v>
      </c>
      <c r="X61" s="286" t="str">
        <f t="shared" si="18"/>
        <v>LB</v>
      </c>
      <c r="Y61" s="302">
        <v>9792</v>
      </c>
      <c r="Z61" s="302">
        <v>5927</v>
      </c>
      <c r="AA61" s="302">
        <v>8113</v>
      </c>
      <c r="AB61" s="302">
        <v>9670</v>
      </c>
      <c r="AC61" s="302"/>
      <c r="AD61" s="302"/>
      <c r="AE61" s="292"/>
      <c r="AF61" s="292"/>
      <c r="AG61" s="292"/>
      <c r="AH61" s="292"/>
      <c r="AI61" s="292"/>
      <c r="AJ61" s="292"/>
      <c r="AK61" s="282">
        <f>IF(ISERROR(VLOOKUP(G61,'Planning and Target Times'!$B$106:$D$110,MATCH(F61,INDEX('Planning and Target Times'!$B$106:$D$110,1,0),0),0)),"",(VLOOKUP(G61,'Planning and Target Times'!$B$106:$D$110,MATCH(F61,INDEX('Planning and Target Times'!$B$106:$D$110,1,0),0),0)))</f>
        <v>900</v>
      </c>
      <c r="AL61" s="282" t="str">
        <f>VLOOKUP(G61,'Planning and Target Times'!$I$2:$J$7,2,0)</f>
        <v>Sandstone</v>
      </c>
      <c r="AM61" s="14">
        <f t="shared" si="19"/>
        <v>6.3125</v>
      </c>
      <c r="AN61" s="292">
        <v>27.696643607481423</v>
      </c>
      <c r="AO61" s="14">
        <f>BF61/Q61</f>
        <v>42.756091171079369</v>
      </c>
      <c r="AP61" s="283">
        <f>VLOOKUP(G61,'Planning and Target Times'!$A$43:$L$47,MATCH(F61&amp;"-"&amp;K61&amp;"-"&amp;L61&amp;"-"&amp;J61,INDEX('Planning and Target Times'!$A$43:$L$47,1,0),0),0)</f>
        <v>34</v>
      </c>
      <c r="AQ61" s="385" t="s">
        <v>84</v>
      </c>
      <c r="AR61" s="292">
        <v>1</v>
      </c>
      <c r="AS61" s="384" t="s">
        <v>33</v>
      </c>
      <c r="AT61" s="282" t="s">
        <v>39</v>
      </c>
      <c r="AU61" s="292">
        <v>0.7</v>
      </c>
      <c r="AV61" s="292"/>
      <c r="AW61" s="292"/>
      <c r="AX61" s="384"/>
      <c r="AY61" s="384"/>
      <c r="AZ61" s="292" t="s">
        <v>10</v>
      </c>
      <c r="BA61" s="282">
        <v>2</v>
      </c>
      <c r="BB61" s="282">
        <v>0</v>
      </c>
      <c r="BC61" s="282">
        <v>2000</v>
      </c>
      <c r="BD61" s="282">
        <v>3400</v>
      </c>
      <c r="BE61" s="282">
        <v>0</v>
      </c>
      <c r="BF61" s="282">
        <f>(1-BE61/100)*BD61</f>
        <v>3400</v>
      </c>
      <c r="BG61" s="282"/>
      <c r="BH61" s="282" t="s">
        <v>348</v>
      </c>
      <c r="BI61" s="283">
        <v>287518</v>
      </c>
      <c r="BJ61" s="292"/>
      <c r="BK61" s="302">
        <f>COUNT(P$2:P61)</f>
        <v>60</v>
      </c>
      <c r="BL61" s="302">
        <f>SUMPRODUCT(--(YEAR(P$2:P61)=YEAR(P61)))</f>
        <v>29</v>
      </c>
      <c r="BM61" s="302">
        <f t="shared" si="20"/>
        <v>9</v>
      </c>
      <c r="BN61" s="15">
        <f t="shared" si="24"/>
        <v>56.872916666667152</v>
      </c>
      <c r="BO61" s="292"/>
      <c r="BP61" s="292"/>
      <c r="BQ61" s="467">
        <v>2476.7399999999998</v>
      </c>
      <c r="BR61" s="467">
        <v>2163.5300000000002</v>
      </c>
      <c r="BS61" s="467">
        <v>1459.6041666666663</v>
      </c>
      <c r="BT61" s="467"/>
      <c r="BU61" s="467"/>
      <c r="BV61" s="467"/>
      <c r="BW61" s="467" t="s">
        <v>1877</v>
      </c>
      <c r="BX61" s="469">
        <v>41426</v>
      </c>
      <c r="BY61" s="472">
        <f t="shared" si="21"/>
        <v>31.14580036678209</v>
      </c>
    </row>
    <row r="62" spans="1:77" ht="15" customHeight="1" x14ac:dyDescent="0.25">
      <c r="A62" s="384" t="s">
        <v>232</v>
      </c>
      <c r="B62" s="384" t="s">
        <v>130</v>
      </c>
      <c r="C62" s="302" t="s">
        <v>546</v>
      </c>
      <c r="D62" s="529" t="s">
        <v>2064</v>
      </c>
      <c r="E62" s="384">
        <v>5</v>
      </c>
      <c r="F62" s="384" t="s">
        <v>11</v>
      </c>
      <c r="G62" s="384" t="s">
        <v>17</v>
      </c>
      <c r="H62" s="384" t="s">
        <v>12</v>
      </c>
      <c r="I62" s="384" t="s">
        <v>24</v>
      </c>
      <c r="J62" s="384" t="s">
        <v>298</v>
      </c>
      <c r="K62" s="281" t="s">
        <v>18</v>
      </c>
      <c r="L62" s="384" t="s">
        <v>1410</v>
      </c>
      <c r="M62" s="384" t="s">
        <v>74</v>
      </c>
      <c r="N62" s="292">
        <v>2</v>
      </c>
      <c r="O62" s="13">
        <f t="shared" si="16"/>
        <v>41352.854166666664</v>
      </c>
      <c r="P62" s="284">
        <v>41418.958333333336</v>
      </c>
      <c r="Q62" s="15">
        <v>66.104166666671517</v>
      </c>
      <c r="R62" s="334">
        <f>IF(ISERROR(VLOOKUP(G62,'Planning and Target Times'!$L$1:$AJ$6,MATCH(K62&amp;"_"&amp;L62&amp;"_"&amp;J62,INDEX('Planning and Target Times'!$L$1:$AJ$6,1,0),0),0)+5),"",(VLOOKUP(G62,'Planning and Target Times'!$L$1:$AJ$6,MATCH(K62&amp;"_"&amp;L62&amp;"_"&amp;J62,INDEX('Planning and Target Times'!$L$1:$AJ$6,1,0),0),0)+5))</f>
        <v>61</v>
      </c>
      <c r="S62" s="420">
        <f t="shared" si="17"/>
        <v>56</v>
      </c>
      <c r="T62" s="392">
        <f>VLOOKUP(G62,'Planning and Target Times'!$A$7:$G$12,MATCH(K62&amp;"-"&amp;L62&amp;"-"&amp;J62,INDEX('Planning and Target Times'!$A$7:$G$12,1,0),0),0)</f>
        <v>27</v>
      </c>
      <c r="U62" s="292">
        <v>5.9791666666642413</v>
      </c>
      <c r="V62" s="14">
        <f t="shared" si="2"/>
        <v>72.083333333335759</v>
      </c>
      <c r="W62" s="292">
        <v>3136</v>
      </c>
      <c r="X62" s="286" t="str">
        <f t="shared" si="18"/>
        <v>MA</v>
      </c>
      <c r="Y62" s="302">
        <v>12082</v>
      </c>
      <c r="Z62" s="302"/>
      <c r="AA62" s="302">
        <v>6266</v>
      </c>
      <c r="AB62" s="302">
        <v>8946</v>
      </c>
      <c r="AC62" s="302"/>
      <c r="AD62" s="302"/>
      <c r="AE62" s="292"/>
      <c r="AF62" s="292"/>
      <c r="AG62" s="292"/>
      <c r="AH62" s="292"/>
      <c r="AI62" s="292"/>
      <c r="AJ62" s="292"/>
      <c r="AK62" s="282">
        <f>IF(ISERROR(VLOOKUP(G62,'Planning and Target Times'!$B$106:$D$110,MATCH(F62,INDEX('Planning and Target Times'!$B$106:$D$110,1,0),0),0)),"",(VLOOKUP(G62,'Planning and Target Times'!$B$106:$D$110,MATCH(F62,INDEX('Planning and Target Times'!$B$106:$D$110,1,0),0),0)))</f>
        <v>740</v>
      </c>
      <c r="AL62" s="282" t="str">
        <f>VLOOKUP(G62,'Planning and Target Times'!$I$2:$J$7,2,0)</f>
        <v>Carbonate</v>
      </c>
      <c r="AM62" s="14">
        <f t="shared" si="19"/>
        <v>11.083333333335759</v>
      </c>
      <c r="AN62" s="292">
        <v>32.687861271676304</v>
      </c>
      <c r="AO62" s="14" t="s">
        <v>91</v>
      </c>
      <c r="AP62" s="283">
        <f>VLOOKUP(G62,'Planning and Target Times'!$A$43:$L$47,MATCH(F62&amp;"-"&amp;K62&amp;"-"&amp;L62&amp;"-"&amp;J62,INDEX('Planning and Target Times'!$A$43:$L$47,1,0),0),0)</f>
        <v>20</v>
      </c>
      <c r="AQ62" s="385" t="s">
        <v>83</v>
      </c>
      <c r="AR62" s="292">
        <v>1</v>
      </c>
      <c r="AS62" s="384" t="s">
        <v>10</v>
      </c>
      <c r="AT62" s="20" t="s">
        <v>24</v>
      </c>
      <c r="AU62" s="292">
        <v>0.83</v>
      </c>
      <c r="AV62" s="292"/>
      <c r="AW62" s="292"/>
      <c r="AX62" s="281"/>
      <c r="AY62" s="281"/>
      <c r="AZ62" s="283" t="s">
        <v>299</v>
      </c>
      <c r="BA62" s="292">
        <v>15</v>
      </c>
      <c r="BB62" s="292">
        <v>15</v>
      </c>
      <c r="BC62" s="292">
        <v>1600</v>
      </c>
      <c r="BD62" s="292" t="s">
        <v>412</v>
      </c>
      <c r="BE62" s="292"/>
      <c r="BF62" s="282" t="s">
        <v>91</v>
      </c>
      <c r="BG62" s="282"/>
      <c r="BH62" s="292" t="s">
        <v>320</v>
      </c>
      <c r="BI62" s="283">
        <v>287618</v>
      </c>
      <c r="BJ62" s="292"/>
      <c r="BK62" s="302">
        <f>COUNT(P$2:P62)</f>
        <v>61</v>
      </c>
      <c r="BL62" s="302">
        <f>SUMPRODUCT(--(YEAR(P$2:P62)=YEAR(P62)))</f>
        <v>30</v>
      </c>
      <c r="BM62" s="302">
        <f t="shared" si="20"/>
        <v>10</v>
      </c>
      <c r="BN62" s="15">
        <f t="shared" si="24"/>
        <v>58.333333333334302</v>
      </c>
      <c r="BO62" s="292"/>
      <c r="BP62" s="292"/>
      <c r="BQ62" s="467">
        <v>679.69666666666672</v>
      </c>
      <c r="BR62" s="467">
        <v>679.53666666666675</v>
      </c>
      <c r="BS62" s="467">
        <v>650.20333333333338</v>
      </c>
      <c r="BT62" s="467"/>
      <c r="BU62" s="467"/>
      <c r="BV62" s="467"/>
      <c r="BW62" s="467" t="s">
        <v>1877</v>
      </c>
      <c r="BX62" s="469">
        <v>41456</v>
      </c>
      <c r="BY62" s="472">
        <f t="shared" si="21"/>
        <v>10.282206114086861</v>
      </c>
    </row>
    <row r="63" spans="1:77" ht="15" customHeight="1" x14ac:dyDescent="0.25">
      <c r="A63" s="384" t="s">
        <v>233</v>
      </c>
      <c r="B63" s="384" t="s">
        <v>131</v>
      </c>
      <c r="C63" s="302" t="s">
        <v>524</v>
      </c>
      <c r="D63" s="529" t="s">
        <v>2065</v>
      </c>
      <c r="E63" s="384">
        <v>5</v>
      </c>
      <c r="F63" s="384" t="s">
        <v>42</v>
      </c>
      <c r="G63" s="384" t="s">
        <v>17</v>
      </c>
      <c r="H63" s="384" t="s">
        <v>23</v>
      </c>
      <c r="I63" s="384" t="s">
        <v>16</v>
      </c>
      <c r="J63" s="384" t="s">
        <v>298</v>
      </c>
      <c r="K63" s="281" t="s">
        <v>18</v>
      </c>
      <c r="L63" s="384" t="s">
        <v>1410</v>
      </c>
      <c r="M63" s="384" t="s">
        <v>61</v>
      </c>
      <c r="N63" s="281">
        <v>1</v>
      </c>
      <c r="O63" s="13">
        <f t="shared" si="16"/>
        <v>41389.291666666664</v>
      </c>
      <c r="P63" s="284">
        <v>41427.5</v>
      </c>
      <c r="Q63" s="15">
        <v>38.208333333335759</v>
      </c>
      <c r="R63" s="334">
        <f>IF(ISERROR(VLOOKUP(G63,'Planning and Target Times'!$L$1:$AJ$6,MATCH(K63&amp;"_"&amp;L63&amp;"_"&amp;J63,INDEX('Planning and Target Times'!$L$1:$AJ$6,1,0),0),0)+5),"",(VLOOKUP(G63,'Planning and Target Times'!$L$1:$AJ$6,MATCH(K63&amp;"_"&amp;L63&amp;"_"&amp;J63,INDEX('Planning and Target Times'!$L$1:$AJ$6,1,0),0),0)+5))</f>
        <v>61</v>
      </c>
      <c r="S63" s="420">
        <f t="shared" si="17"/>
        <v>56</v>
      </c>
      <c r="T63" s="392">
        <f>VLOOKUP(G63,'Planning and Target Times'!$A$7:$G$12,MATCH(K63&amp;"-"&amp;L63&amp;"-"&amp;J63,INDEX('Planning and Target Times'!$A$7:$G$12,1,0),0),0)</f>
        <v>27</v>
      </c>
      <c r="U63" s="292">
        <v>3.4583333333284827</v>
      </c>
      <c r="V63" s="14">
        <f t="shared" si="2"/>
        <v>41.666666666664241</v>
      </c>
      <c r="W63" s="282">
        <v>3347</v>
      </c>
      <c r="X63" s="286" t="str">
        <f t="shared" si="18"/>
        <v>MA</v>
      </c>
      <c r="Y63" s="302">
        <v>11665</v>
      </c>
      <c r="Z63" s="302"/>
      <c r="AA63" s="302"/>
      <c r="AB63" s="302">
        <v>8318</v>
      </c>
      <c r="AC63" s="302"/>
      <c r="AD63" s="302"/>
      <c r="AE63" s="292"/>
      <c r="AF63" s="292"/>
      <c r="AG63" s="292"/>
      <c r="AH63" s="292"/>
      <c r="AI63" s="292"/>
      <c r="AJ63" s="292"/>
      <c r="AK63" s="282">
        <f>IF(ISERROR(VLOOKUP(G63,'Planning and Target Times'!$B$106:$D$110,MATCH(F63,INDEX('Planning and Target Times'!$B$106:$D$110,1,0),0),0)),"",(VLOOKUP(G63,'Planning and Target Times'!$B$106:$D$110,MATCH(F63,INDEX('Planning and Target Times'!$B$106:$D$110,1,0),0),0)))</f>
        <v>650</v>
      </c>
      <c r="AL63" s="282" t="str">
        <f>VLOOKUP(G63,'Planning and Target Times'!$I$2:$J$7,2,0)</f>
        <v>Carbonate</v>
      </c>
      <c r="AM63" s="14">
        <f t="shared" si="19"/>
        <v>-19.333333333335759</v>
      </c>
      <c r="AN63" s="292">
        <v>1.95</v>
      </c>
      <c r="AO63" s="14">
        <f>BF63/Q63</f>
        <v>41.56998909487195</v>
      </c>
      <c r="AP63" s="283">
        <f>VLOOKUP(G63,'Planning and Target Times'!$A$43:$L$47,MATCH(F63&amp;"-"&amp;K63&amp;"-"&amp;L63&amp;"-"&amp;J63,INDEX('Planning and Target Times'!$A$43:$L$47,1,0),0),0)</f>
        <v>20</v>
      </c>
      <c r="AQ63" s="385" t="s">
        <v>83</v>
      </c>
      <c r="AR63" s="292">
        <v>1</v>
      </c>
      <c r="AS63" s="384" t="s">
        <v>10</v>
      </c>
      <c r="AT63" s="282" t="s">
        <v>39</v>
      </c>
      <c r="AU63" s="292">
        <v>0.94</v>
      </c>
      <c r="AV63" s="292"/>
      <c r="AW63" s="292"/>
      <c r="AX63" s="281"/>
      <c r="AY63" s="281"/>
      <c r="AZ63" s="283" t="s">
        <v>299</v>
      </c>
      <c r="BA63" s="282">
        <v>14</v>
      </c>
      <c r="BB63" s="282">
        <v>14</v>
      </c>
      <c r="BC63" s="282">
        <v>1400</v>
      </c>
      <c r="BD63" s="282">
        <v>2206</v>
      </c>
      <c r="BE63" s="282">
        <v>28</v>
      </c>
      <c r="BF63" s="282">
        <f t="shared" ref="BF63:BF70" si="27">(1-BE63/100)*BD63</f>
        <v>1588.32</v>
      </c>
      <c r="BG63" s="282"/>
      <c r="BH63" s="292" t="s">
        <v>318</v>
      </c>
      <c r="BI63" s="283">
        <v>287600</v>
      </c>
      <c r="BJ63" s="292"/>
      <c r="BK63" s="302">
        <f>COUNT(P$2:P63)</f>
        <v>62</v>
      </c>
      <c r="BL63" s="302">
        <f>SUMPRODUCT(--(YEAR(P$2:P63)=YEAR(P63)))</f>
        <v>31</v>
      </c>
      <c r="BM63" s="302">
        <f t="shared" si="20"/>
        <v>11</v>
      </c>
      <c r="BN63" s="15">
        <f t="shared" si="24"/>
        <v>59.041666666667879</v>
      </c>
      <c r="BO63" s="292"/>
      <c r="BP63" s="292"/>
      <c r="BQ63" s="467">
        <v>1506.2733333333333</v>
      </c>
      <c r="BR63" s="467">
        <v>1324.75</v>
      </c>
      <c r="BS63" s="467">
        <v>1142.6216666666667</v>
      </c>
      <c r="BT63" s="467"/>
      <c r="BU63" s="467"/>
      <c r="BV63" s="467"/>
      <c r="BW63" s="467" t="s">
        <v>1877</v>
      </c>
      <c r="BX63" s="469">
        <v>41426</v>
      </c>
      <c r="BY63" s="472">
        <f t="shared" si="21"/>
        <v>39.422639040346461</v>
      </c>
    </row>
    <row r="64" spans="1:77" ht="15" customHeight="1" x14ac:dyDescent="0.25">
      <c r="A64" s="384" t="s">
        <v>234</v>
      </c>
      <c r="B64" s="384" t="s">
        <v>132</v>
      </c>
      <c r="C64" s="302" t="s">
        <v>528</v>
      </c>
      <c r="D64" s="529" t="s">
        <v>2066</v>
      </c>
      <c r="E64" s="384">
        <v>2</v>
      </c>
      <c r="F64" s="384" t="s">
        <v>42</v>
      </c>
      <c r="G64" s="384" t="s">
        <v>29</v>
      </c>
      <c r="H64" s="384" t="s">
        <v>31</v>
      </c>
      <c r="I64" s="384" t="s">
        <v>16</v>
      </c>
      <c r="J64" s="384" t="s">
        <v>298</v>
      </c>
      <c r="K64" s="281" t="s">
        <v>18</v>
      </c>
      <c r="L64" s="384" t="s">
        <v>1410</v>
      </c>
      <c r="M64" s="384" t="s">
        <v>74</v>
      </c>
      <c r="N64" s="281">
        <v>2</v>
      </c>
      <c r="O64" s="13">
        <f t="shared" si="16"/>
        <v>41395.729166666664</v>
      </c>
      <c r="P64" s="284">
        <v>41434.854166666664</v>
      </c>
      <c r="Q64" s="15">
        <v>39.125</v>
      </c>
      <c r="R64" s="334">
        <f>IF(ISERROR(VLOOKUP(G64,'Planning and Target Times'!$L$1:$AJ$6,MATCH(K64&amp;"_"&amp;L64&amp;"_"&amp;J64,INDEX('Planning and Target Times'!$L$1:$AJ$6,1,0),0),0)+5),"",(VLOOKUP(G64,'Planning and Target Times'!$L$1:$AJ$6,MATCH(K64&amp;"_"&amp;L64&amp;"_"&amp;J64,INDEX('Planning and Target Times'!$L$1:$AJ$6,1,0),0),0)+5))</f>
        <v>61</v>
      </c>
      <c r="S64" s="420">
        <f t="shared" si="17"/>
        <v>56</v>
      </c>
      <c r="T64" s="392">
        <f>VLOOKUP(G64,'Planning and Target Times'!$A$7:$G$12,MATCH(K64&amp;"-"&amp;L64&amp;"-"&amp;J64,INDEX('Planning and Target Times'!$A$7:$G$12,1,0),0),0)</f>
        <v>33</v>
      </c>
      <c r="U64" s="292">
        <v>3.0208333333284827</v>
      </c>
      <c r="V64" s="14">
        <f t="shared" si="2"/>
        <v>42.145833333328483</v>
      </c>
      <c r="W64" s="292">
        <v>1490</v>
      </c>
      <c r="X64" s="286" t="str">
        <f t="shared" si="18"/>
        <v>UB</v>
      </c>
      <c r="Y64" s="302">
        <v>10280</v>
      </c>
      <c r="Z64" s="302"/>
      <c r="AA64" s="302">
        <v>5982</v>
      </c>
      <c r="AB64" s="302">
        <v>8790</v>
      </c>
      <c r="AC64" s="302"/>
      <c r="AD64" s="302">
        <v>10265</v>
      </c>
      <c r="AE64" s="292"/>
      <c r="AF64" s="292"/>
      <c r="AG64" s="292"/>
      <c r="AH64" s="292"/>
      <c r="AI64" s="292"/>
      <c r="AJ64" s="292"/>
      <c r="AK64" s="282">
        <f>IF(ISERROR(VLOOKUP(G64,'Planning and Target Times'!$B$106:$D$110,MATCH(F64,INDEX('Planning and Target Times'!$B$106:$D$110,1,0),0),0)),"",(VLOOKUP(G64,'Planning and Target Times'!$B$106:$D$110,MATCH(F64,INDEX('Planning and Target Times'!$B$106:$D$110,1,0),0),0)))</f>
        <v>940</v>
      </c>
      <c r="AL64" s="282" t="str">
        <f>VLOOKUP(G64,'Planning and Target Times'!$I$2:$J$7,2,0)</f>
        <v>Sandstone</v>
      </c>
      <c r="AM64" s="14">
        <f t="shared" si="19"/>
        <v>-18.854166666671517</v>
      </c>
      <c r="AN64" s="292">
        <v>2.3095823095823094</v>
      </c>
      <c r="AO64" s="14">
        <f>BF64/Q64</f>
        <v>0</v>
      </c>
      <c r="AP64" s="283">
        <f>VLOOKUP(G64,'Planning and Target Times'!$A$43:$L$47,MATCH(F64&amp;"-"&amp;K64&amp;"-"&amp;L64&amp;"-"&amp;J64,INDEX('Planning and Target Times'!$A$43:$L$47,1,0),0),0)</f>
        <v>18</v>
      </c>
      <c r="AQ64" s="385" t="s">
        <v>83</v>
      </c>
      <c r="AR64" s="292">
        <v>1</v>
      </c>
      <c r="AS64" s="384" t="s">
        <v>10</v>
      </c>
      <c r="AT64" s="282" t="s">
        <v>39</v>
      </c>
      <c r="AU64" s="292">
        <v>1</v>
      </c>
      <c r="AV64" s="292"/>
      <c r="AW64" s="292"/>
      <c r="AX64" s="281"/>
      <c r="AY64" s="281"/>
      <c r="AZ64" s="292" t="s">
        <v>10</v>
      </c>
      <c r="BA64" s="292">
        <v>34</v>
      </c>
      <c r="BB64" s="292">
        <v>17</v>
      </c>
      <c r="BC64" s="292">
        <v>2700</v>
      </c>
      <c r="BD64" s="292">
        <v>3400</v>
      </c>
      <c r="BE64" s="282">
        <v>100</v>
      </c>
      <c r="BF64" s="282">
        <f t="shared" si="27"/>
        <v>0</v>
      </c>
      <c r="BG64" s="282"/>
      <c r="BH64" s="292" t="s">
        <v>324</v>
      </c>
      <c r="BI64" s="283">
        <v>287641</v>
      </c>
      <c r="BJ64" s="292"/>
      <c r="BK64" s="302">
        <f>COUNT(P$2:P64)</f>
        <v>63</v>
      </c>
      <c r="BL64" s="302">
        <f>SUMPRODUCT(--(YEAR(P$2:P64)=YEAR(P64)))</f>
        <v>32</v>
      </c>
      <c r="BM64" s="302">
        <f t="shared" si="20"/>
        <v>12</v>
      </c>
      <c r="BN64" s="15">
        <f t="shared" si="24"/>
        <v>59.041666666667879</v>
      </c>
      <c r="BO64" s="292"/>
      <c r="BP64" s="292"/>
      <c r="BQ64" s="467">
        <v>1487.9366666666665</v>
      </c>
      <c r="BR64" s="467">
        <v>1550.4766666666665</v>
      </c>
      <c r="BS64" s="467">
        <v>1888.6075000000001</v>
      </c>
      <c r="BT64" s="467"/>
      <c r="BU64" s="467"/>
      <c r="BV64" s="467"/>
      <c r="BW64" s="467" t="s">
        <v>1877</v>
      </c>
      <c r="BX64" s="469">
        <v>41456</v>
      </c>
      <c r="BY64" s="472">
        <f t="shared" si="21"/>
        <v>38.030330138445152</v>
      </c>
    </row>
    <row r="65" spans="1:77" ht="15" customHeight="1" x14ac:dyDescent="0.25">
      <c r="A65" s="384" t="s">
        <v>235</v>
      </c>
      <c r="B65" s="384" t="s">
        <v>133</v>
      </c>
      <c r="C65" s="302" t="s">
        <v>133</v>
      </c>
      <c r="D65" s="529" t="s">
        <v>2067</v>
      </c>
      <c r="E65" s="384">
        <v>1</v>
      </c>
      <c r="F65" s="384" t="s">
        <v>42</v>
      </c>
      <c r="G65" s="384" t="s">
        <v>29</v>
      </c>
      <c r="H65" s="384" t="s">
        <v>36</v>
      </c>
      <c r="I65" s="384" t="s">
        <v>24</v>
      </c>
      <c r="J65" s="384" t="s">
        <v>298</v>
      </c>
      <c r="K65" s="384" t="s">
        <v>14</v>
      </c>
      <c r="L65" s="384" t="s">
        <v>1410</v>
      </c>
      <c r="M65" s="384" t="s">
        <v>60</v>
      </c>
      <c r="N65" s="281">
        <v>1</v>
      </c>
      <c r="O65" s="13">
        <f t="shared" si="16"/>
        <v>41385.5</v>
      </c>
      <c r="P65" s="284">
        <v>41435.666666666664</v>
      </c>
      <c r="Q65" s="15">
        <v>50.166666666664241</v>
      </c>
      <c r="R65" s="334">
        <f>IF(ISERROR(VLOOKUP(G65,'Planning and Target Times'!$L$1:$AJ$6,MATCH(K65&amp;"_"&amp;L65&amp;"_"&amp;J65,INDEX('Planning and Target Times'!$L$1:$AJ$6,1,0),0),0)+5),"",(VLOOKUP(G65,'Planning and Target Times'!$L$1:$AJ$6,MATCH(K65&amp;"_"&amp;L65&amp;"_"&amp;J65,INDEX('Planning and Target Times'!$L$1:$AJ$6,1,0),0),0)+5))</f>
        <v>75</v>
      </c>
      <c r="S65" s="420">
        <f t="shared" si="17"/>
        <v>70</v>
      </c>
      <c r="T65" s="392">
        <f>VLOOKUP(G65,'Planning and Target Times'!$A$7:$G$12,MATCH(K65&amp;"-"&amp;L65&amp;"-"&amp;J65,INDEX('Planning and Target Times'!$A$7:$G$12,1,0),0),0)</f>
        <v>35</v>
      </c>
      <c r="U65" s="292">
        <v>2.7083333333357587</v>
      </c>
      <c r="V65" s="14">
        <f t="shared" si="2"/>
        <v>52.875</v>
      </c>
      <c r="W65" s="292">
        <v>985</v>
      </c>
      <c r="X65" s="286" t="str">
        <f t="shared" si="18"/>
        <v>UB</v>
      </c>
      <c r="Y65" s="302">
        <v>10400</v>
      </c>
      <c r="Z65" s="302">
        <v>5960</v>
      </c>
      <c r="AA65" s="302">
        <v>8076</v>
      </c>
      <c r="AB65" s="302">
        <v>9415</v>
      </c>
      <c r="AC65" s="302"/>
      <c r="AD65" s="302"/>
      <c r="AE65" s="292"/>
      <c r="AF65" s="292"/>
      <c r="AG65" s="292"/>
      <c r="AH65" s="292"/>
      <c r="AI65" s="292"/>
      <c r="AJ65" s="292"/>
      <c r="AK65" s="282">
        <f>IF(ISERROR(VLOOKUP(G65,'Planning and Target Times'!$B$106:$D$110,MATCH(F65,INDEX('Planning and Target Times'!$B$106:$D$110,1,0),0),0)),"",(VLOOKUP(G65,'Planning and Target Times'!$B$106:$D$110,MATCH(F65,INDEX('Planning and Target Times'!$B$106:$D$110,1,0),0),0)))</f>
        <v>940</v>
      </c>
      <c r="AL65" s="282" t="str">
        <f>VLOOKUP(G65,'Planning and Target Times'!$I$2:$J$7,2,0)</f>
        <v>Sandstone</v>
      </c>
      <c r="AM65" s="14">
        <f t="shared" si="19"/>
        <v>-22.125</v>
      </c>
      <c r="AN65" s="292">
        <v>13.790386130811664</v>
      </c>
      <c r="AO65" s="14">
        <f>BF65/Q65</f>
        <v>48.661395348839555</v>
      </c>
      <c r="AP65" s="283">
        <f>VLOOKUP(G65,'Planning and Target Times'!$A$43:$L$47,MATCH(F65&amp;"-"&amp;K65&amp;"-"&amp;L65&amp;"-"&amp;J65,INDEX('Planning and Target Times'!$A$43:$L$47,1,0),0),0)</f>
        <v>24</v>
      </c>
      <c r="AQ65" s="385" t="s">
        <v>83</v>
      </c>
      <c r="AR65" s="292">
        <v>1</v>
      </c>
      <c r="AS65" s="384" t="s">
        <v>10</v>
      </c>
      <c r="AT65" s="282" t="s">
        <v>39</v>
      </c>
      <c r="AU65" s="292">
        <v>1</v>
      </c>
      <c r="AV65" s="292"/>
      <c r="AW65" s="292"/>
      <c r="AX65" s="384"/>
      <c r="AY65" s="384"/>
      <c r="AZ65" s="292" t="s">
        <v>10</v>
      </c>
      <c r="BA65" s="292">
        <v>22</v>
      </c>
      <c r="BB65" s="292">
        <v>11</v>
      </c>
      <c r="BC65" s="292">
        <v>2400</v>
      </c>
      <c r="BD65" s="292">
        <v>2491</v>
      </c>
      <c r="BE65" s="282">
        <v>2</v>
      </c>
      <c r="BF65" s="282">
        <f t="shared" si="27"/>
        <v>2441.1799999999998</v>
      </c>
      <c r="BG65" s="282"/>
      <c r="BH65" s="292" t="s">
        <v>360</v>
      </c>
      <c r="BI65" s="283">
        <v>287655</v>
      </c>
      <c r="BJ65" s="292"/>
      <c r="BK65" s="302">
        <f>COUNT(P$2:P65)</f>
        <v>64</v>
      </c>
      <c r="BL65" s="302">
        <f>SUMPRODUCT(--(YEAR(P$2:P65)=YEAR(P65)))</f>
        <v>33</v>
      </c>
      <c r="BM65" s="302">
        <f t="shared" si="20"/>
        <v>13</v>
      </c>
      <c r="BN65" s="15">
        <f t="shared" si="24"/>
        <v>57.468750000000725</v>
      </c>
      <c r="BO65" s="292"/>
      <c r="BP65" s="292"/>
      <c r="BQ65" s="467">
        <v>2787.15</v>
      </c>
      <c r="BR65" s="467">
        <v>2419.6516666666666</v>
      </c>
      <c r="BS65" s="467">
        <v>1851.2991666666667</v>
      </c>
      <c r="BT65" s="467"/>
      <c r="BU65" s="467"/>
      <c r="BV65" s="467"/>
      <c r="BW65" s="467" t="s">
        <v>1877</v>
      </c>
      <c r="BX65" s="469">
        <v>41456</v>
      </c>
      <c r="BY65" s="472">
        <f t="shared" si="21"/>
        <v>55.557807308972791</v>
      </c>
    </row>
    <row r="66" spans="1:77" ht="15" customHeight="1" x14ac:dyDescent="0.25">
      <c r="A66" s="384" t="s">
        <v>237</v>
      </c>
      <c r="B66" s="384" t="s">
        <v>164</v>
      </c>
      <c r="C66" s="302" t="s">
        <v>533</v>
      </c>
      <c r="D66" s="529" t="s">
        <v>2068</v>
      </c>
      <c r="E66" s="384">
        <v>2</v>
      </c>
      <c r="F66" s="384" t="s">
        <v>42</v>
      </c>
      <c r="G66" s="384" t="s">
        <v>29</v>
      </c>
      <c r="H66" s="384" t="s">
        <v>21</v>
      </c>
      <c r="I66" s="384" t="s">
        <v>16</v>
      </c>
      <c r="J66" s="384" t="s">
        <v>298</v>
      </c>
      <c r="K66" s="281" t="s">
        <v>18</v>
      </c>
      <c r="L66" s="384" t="s">
        <v>1416</v>
      </c>
      <c r="M66" s="384" t="s">
        <v>74</v>
      </c>
      <c r="N66" s="281">
        <v>1</v>
      </c>
      <c r="O66" s="13">
        <f t="shared" ref="O66:O97" si="28">P66-Q66</f>
        <v>41415.25</v>
      </c>
      <c r="P66" s="284">
        <v>41442.479166666664</v>
      </c>
      <c r="Q66" s="15">
        <v>27.229166666664241</v>
      </c>
      <c r="R66" s="334">
        <f>IF(ISERROR(VLOOKUP(G66,'Planning and Target Times'!$L$1:$AJ$6,MATCH(K66&amp;"_"&amp;L66&amp;"_"&amp;J66,INDEX('Planning and Target Times'!$L$1:$AJ$6,1,0),0),0)+5),"",(VLOOKUP(G66,'Planning and Target Times'!$L$1:$AJ$6,MATCH(K66&amp;"_"&amp;L66&amp;"_"&amp;J66,INDEX('Planning and Target Times'!$L$1:$AJ$6,1,0),0),0)+5))</f>
        <v>61</v>
      </c>
      <c r="S66" s="420">
        <f t="shared" ref="S66:S97" si="29">IF(ISERROR(R66-5),"",R66-5)</f>
        <v>56</v>
      </c>
      <c r="T66" s="392" t="e">
        <f>VLOOKUP(G66,'Planning and Target Times'!$A$7:$G$12,MATCH(K66&amp;"-"&amp;L66&amp;"-"&amp;J66,INDEX('Planning and Target Times'!$A$7:$G$12,1,0),0),0)</f>
        <v>#N/A</v>
      </c>
      <c r="U66" s="292">
        <v>10.416666666664241</v>
      </c>
      <c r="V66" s="14">
        <f t="shared" ref="V66:V129" si="30">Q66+U66</f>
        <v>37.645833333328483</v>
      </c>
      <c r="W66" s="292">
        <v>3338</v>
      </c>
      <c r="X66" s="286" t="str">
        <f t="shared" ref="X66:X97" si="31">IF(OR(G66="ZU",G66="RT"),"ZU/RT",G66)</f>
        <v>UB</v>
      </c>
      <c r="Y66" s="302">
        <v>9507</v>
      </c>
      <c r="Z66" s="302"/>
      <c r="AA66" s="302">
        <v>6169</v>
      </c>
      <c r="AB66" s="302"/>
      <c r="AC66" s="302"/>
      <c r="AD66" s="302"/>
      <c r="AE66" s="292"/>
      <c r="AF66" s="292"/>
      <c r="AG66" s="292"/>
      <c r="AH66" s="292"/>
      <c r="AI66" s="292"/>
      <c r="AJ66" s="292"/>
      <c r="AK66" s="282">
        <f>IF(ISERROR(VLOOKUP(G66,'Planning and Target Times'!$B$106:$D$110,MATCH(F66,INDEX('Planning and Target Times'!$B$106:$D$110,1,0),0),0)),"",(VLOOKUP(G66,'Planning and Target Times'!$B$106:$D$110,MATCH(F66,INDEX('Planning and Target Times'!$B$106:$D$110,1,0),0),0)))</f>
        <v>940</v>
      </c>
      <c r="AL66" s="282" t="str">
        <f>VLOOKUP(G66,'Planning and Target Times'!$I$2:$J$7,2,0)</f>
        <v>Sandstone</v>
      </c>
      <c r="AM66" s="14">
        <f t="shared" ref="AM66:AM97" si="32">V66-R66</f>
        <v>-23.354166666671517</v>
      </c>
      <c r="AN66" s="292">
        <v>17.285318559556785</v>
      </c>
      <c r="AO66" s="14" t="s">
        <v>91</v>
      </c>
      <c r="AP66" s="283" t="e">
        <f>VLOOKUP(G66,'Planning and Target Times'!$A$43:$L$47,MATCH(F66&amp;"-"&amp;K66&amp;"-"&amp;L66&amp;"-"&amp;J66,INDEX('Planning and Target Times'!$A$43:$L$47,1,0),0),0)</f>
        <v>#N/A</v>
      </c>
      <c r="AQ66" s="384" t="s">
        <v>416</v>
      </c>
      <c r="AR66" s="292" t="s">
        <v>91</v>
      </c>
      <c r="AS66" s="292" t="s">
        <v>91</v>
      </c>
      <c r="AT66" s="292" t="s">
        <v>91</v>
      </c>
      <c r="AU66" s="292">
        <v>0.32</v>
      </c>
      <c r="AV66" s="292"/>
      <c r="AW66" s="292"/>
      <c r="AX66" s="281"/>
      <c r="AY66" s="281"/>
      <c r="AZ66" s="292" t="s">
        <v>10</v>
      </c>
      <c r="BA66" s="292">
        <v>0</v>
      </c>
      <c r="BB66" s="292">
        <v>0</v>
      </c>
      <c r="BC66" s="292"/>
      <c r="BD66" s="292">
        <v>2142</v>
      </c>
      <c r="BE66" s="282">
        <v>100</v>
      </c>
      <c r="BF66" s="282">
        <f t="shared" si="27"/>
        <v>0</v>
      </c>
      <c r="BG66" s="282"/>
      <c r="BH66" s="282" t="s">
        <v>328</v>
      </c>
      <c r="BI66" s="283">
        <v>287643</v>
      </c>
      <c r="BJ66" s="292"/>
      <c r="BK66" s="302">
        <f>COUNT(P$2:P66)</f>
        <v>65</v>
      </c>
      <c r="BL66" s="302">
        <f>SUMPRODUCT(--(YEAR(P$2:P66)=YEAR(P66)))</f>
        <v>34</v>
      </c>
      <c r="BM66" s="302">
        <f t="shared" si="20"/>
        <v>14</v>
      </c>
      <c r="BN66" s="15">
        <f t="shared" si="24"/>
        <v>52.808333333333579</v>
      </c>
      <c r="BO66" s="292"/>
      <c r="BP66" s="292"/>
      <c r="BQ66" s="467">
        <v>600.35333333333335</v>
      </c>
      <c r="BR66" s="467">
        <v>592.88666666666666</v>
      </c>
      <c r="BS66" s="467">
        <v>489.06916666666672</v>
      </c>
      <c r="BT66" s="467"/>
      <c r="BU66" s="467"/>
      <c r="BV66" s="467"/>
      <c r="BW66" s="467" t="s">
        <v>1877</v>
      </c>
      <c r="BX66" s="469">
        <v>41518</v>
      </c>
      <c r="BY66" s="472">
        <f t="shared" si="21"/>
        <v>22.048171384852768</v>
      </c>
    </row>
    <row r="67" spans="1:77" ht="15" customHeight="1" x14ac:dyDescent="0.25">
      <c r="A67" s="384" t="s">
        <v>236</v>
      </c>
      <c r="B67" s="384" t="s">
        <v>134</v>
      </c>
      <c r="C67" s="302" t="s">
        <v>134</v>
      </c>
      <c r="D67" s="529" t="s">
        <v>2069</v>
      </c>
      <c r="E67" s="384">
        <v>1</v>
      </c>
      <c r="F67" s="384" t="s">
        <v>11</v>
      </c>
      <c r="G67" s="384" t="s">
        <v>17</v>
      </c>
      <c r="H67" s="384" t="s">
        <v>38</v>
      </c>
      <c r="I67" s="384" t="s">
        <v>24</v>
      </c>
      <c r="J67" s="384" t="s">
        <v>298</v>
      </c>
      <c r="K67" s="281" t="s">
        <v>18</v>
      </c>
      <c r="L67" s="384" t="s">
        <v>1410</v>
      </c>
      <c r="M67" s="384" t="s">
        <v>59</v>
      </c>
      <c r="N67" s="292">
        <v>0</v>
      </c>
      <c r="O67" s="13">
        <f t="shared" si="28"/>
        <v>41410.416666666664</v>
      </c>
      <c r="P67" s="284">
        <v>41444.541666666664</v>
      </c>
      <c r="Q67" s="15">
        <v>34.125</v>
      </c>
      <c r="R67" s="334">
        <f>IF(ISERROR(VLOOKUP(G67,'Planning and Target Times'!$L$1:$AJ$6,MATCH(K67&amp;"_"&amp;L67&amp;"_"&amp;J67,INDEX('Planning and Target Times'!$L$1:$AJ$6,1,0),0),0)+5),"",(VLOOKUP(G67,'Planning and Target Times'!$L$1:$AJ$6,MATCH(K67&amp;"_"&amp;L67&amp;"_"&amp;J67,INDEX('Planning and Target Times'!$L$1:$AJ$6,1,0),0),0)+5))</f>
        <v>61</v>
      </c>
      <c r="S67" s="420">
        <f t="shared" si="29"/>
        <v>56</v>
      </c>
      <c r="T67" s="392">
        <f>VLOOKUP(G67,'Planning and Target Times'!$A$7:$G$12,MATCH(K67&amp;"-"&amp;L67&amp;"-"&amp;J67,INDEX('Planning and Target Times'!$A$7:$G$12,1,0),0),0)</f>
        <v>27</v>
      </c>
      <c r="U67" s="292">
        <v>23.666666666664241</v>
      </c>
      <c r="V67" s="14">
        <f t="shared" si="30"/>
        <v>57.791666666664241</v>
      </c>
      <c r="W67" s="292">
        <v>3000</v>
      </c>
      <c r="X67" s="286" t="str">
        <f t="shared" si="31"/>
        <v>MA</v>
      </c>
      <c r="Y67" s="302">
        <v>12003</v>
      </c>
      <c r="Z67" s="302"/>
      <c r="AA67" s="302"/>
      <c r="AB67" s="302">
        <v>9002.2999999999993</v>
      </c>
      <c r="AC67" s="302"/>
      <c r="AD67" s="302">
        <v>12003</v>
      </c>
      <c r="AE67" s="292"/>
      <c r="AF67" s="292"/>
      <c r="AG67" s="292"/>
      <c r="AH67" s="292"/>
      <c r="AI67" s="292"/>
      <c r="AJ67" s="292"/>
      <c r="AK67" s="282">
        <f>IF(ISERROR(VLOOKUP(G67,'Planning and Target Times'!$B$106:$D$110,MATCH(F67,INDEX('Planning and Target Times'!$B$106:$D$110,1,0),0),0)),"",(VLOOKUP(G67,'Planning and Target Times'!$B$106:$D$110,MATCH(F67,INDEX('Planning and Target Times'!$B$106:$D$110,1,0),0),0)))</f>
        <v>740</v>
      </c>
      <c r="AL67" s="282" t="str">
        <f>VLOOKUP(G67,'Planning and Target Times'!$I$2:$J$7,2,0)</f>
        <v>Carbonate</v>
      </c>
      <c r="AM67" s="14">
        <f t="shared" si="32"/>
        <v>-3.2083333333357587</v>
      </c>
      <c r="AN67" s="292">
        <v>1.3338139870223504</v>
      </c>
      <c r="AO67" s="14">
        <f>BF67/Q67</f>
        <v>39.83472527472528</v>
      </c>
      <c r="AP67" s="283">
        <f>VLOOKUP(G67,'Planning and Target Times'!$A$43:$L$47,MATCH(F67&amp;"-"&amp;K67&amp;"-"&amp;L67&amp;"-"&amp;J67,INDEX('Planning and Target Times'!$A$43:$L$47,1,0),0),0)</f>
        <v>20</v>
      </c>
      <c r="AQ67" s="384" t="s">
        <v>88</v>
      </c>
      <c r="AR67" s="292" t="s">
        <v>91</v>
      </c>
      <c r="AS67" s="292" t="s">
        <v>91</v>
      </c>
      <c r="AT67" s="292" t="s">
        <v>91</v>
      </c>
      <c r="AU67" s="292">
        <v>1</v>
      </c>
      <c r="AV67" s="292"/>
      <c r="AW67" s="292"/>
      <c r="AX67" s="281"/>
      <c r="AY67" s="281"/>
      <c r="AZ67" s="283" t="s">
        <v>299</v>
      </c>
      <c r="BA67" s="292">
        <v>0</v>
      </c>
      <c r="BB67" s="292">
        <v>0</v>
      </c>
      <c r="BC67" s="292"/>
      <c r="BD67" s="292">
        <v>2124</v>
      </c>
      <c r="BE67" s="292">
        <v>36</v>
      </c>
      <c r="BF67" s="282">
        <f t="shared" si="27"/>
        <v>1359.3600000000001</v>
      </c>
      <c r="BG67" s="282"/>
      <c r="BH67" s="282" t="s">
        <v>376</v>
      </c>
      <c r="BI67" s="283">
        <v>287662</v>
      </c>
      <c r="BJ67" s="292"/>
      <c r="BK67" s="302">
        <f>COUNT(P$2:P67)</f>
        <v>66</v>
      </c>
      <c r="BL67" s="302">
        <f>SUMPRODUCT(--(YEAR(P$2:P67)=YEAR(P67)))</f>
        <v>35</v>
      </c>
      <c r="BM67" s="302">
        <f t="shared" ref="BM67:BM98" si="33">IF(AND(MONTH(P66)&lt;&gt;4,MONTH(P67)=4),1,BM66+1)</f>
        <v>15</v>
      </c>
      <c r="BN67" s="15">
        <f t="shared" si="24"/>
        <v>52.770833333333577</v>
      </c>
      <c r="BO67" s="292"/>
      <c r="BP67" s="292"/>
      <c r="BQ67" s="467">
        <v>1390.8733333333332</v>
      </c>
      <c r="BR67" s="467">
        <v>965.88833333333332</v>
      </c>
      <c r="BS67" s="467">
        <v>854.79083333333335</v>
      </c>
      <c r="BT67" s="467"/>
      <c r="BU67" s="467"/>
      <c r="BV67" s="467"/>
      <c r="BW67" s="467" t="s">
        <v>1877</v>
      </c>
      <c r="BX67" s="469">
        <v>41456</v>
      </c>
      <c r="BY67" s="472">
        <f t="shared" si="21"/>
        <v>40.758192918192918</v>
      </c>
    </row>
    <row r="68" spans="1:77" ht="15" customHeight="1" x14ac:dyDescent="0.25">
      <c r="A68" s="384" t="s">
        <v>238</v>
      </c>
      <c r="B68" s="384" t="s">
        <v>420</v>
      </c>
      <c r="C68" s="302" t="s">
        <v>238</v>
      </c>
      <c r="D68" s="529" t="s">
        <v>2070</v>
      </c>
      <c r="E68" s="384">
        <v>2</v>
      </c>
      <c r="F68" s="384" t="s">
        <v>42</v>
      </c>
      <c r="G68" s="384" t="s">
        <v>29</v>
      </c>
      <c r="H68" s="384" t="s">
        <v>37</v>
      </c>
      <c r="I68" s="384" t="s">
        <v>45</v>
      </c>
      <c r="J68" s="384" t="s">
        <v>298</v>
      </c>
      <c r="K68" s="384" t="s">
        <v>14</v>
      </c>
      <c r="L68" s="384" t="s">
        <v>1439</v>
      </c>
      <c r="M68" s="384" t="s">
        <v>74</v>
      </c>
      <c r="N68" s="281">
        <v>2</v>
      </c>
      <c r="O68" s="13">
        <f t="shared" si="28"/>
        <v>41375.354166666664</v>
      </c>
      <c r="P68" s="284">
        <v>41447.25</v>
      </c>
      <c r="Q68" s="15">
        <v>71.895833333335759</v>
      </c>
      <c r="R68" s="334" t="str">
        <f>IF(ISERROR(VLOOKUP(G68,'Planning and Target Times'!$L$1:$AJ$6,MATCH(K68&amp;"_"&amp;L68&amp;"_"&amp;J68,INDEX('Planning and Target Times'!$L$1:$AJ$6,1,0),0),0)+5),"",(VLOOKUP(G68,'Planning and Target Times'!$L$1:$AJ$6,MATCH(K68&amp;"_"&amp;L68&amp;"_"&amp;J68,INDEX('Planning and Target Times'!$L$1:$AJ$6,1,0),0),0)+5))</f>
        <v/>
      </c>
      <c r="S68" s="420" t="str">
        <f t="shared" si="29"/>
        <v/>
      </c>
      <c r="T68" s="392" t="e">
        <f>VLOOKUP(G68,'Planning and Target Times'!$A$7:$G$12,MATCH(K68&amp;"-"&amp;L68&amp;"-"&amp;J68,INDEX('Planning and Target Times'!$A$7:$G$12,1,0),0),0)</f>
        <v>#N/A</v>
      </c>
      <c r="U68" s="292">
        <v>3.1458333333284827</v>
      </c>
      <c r="V68" s="14">
        <f t="shared" si="30"/>
        <v>75.041666666664241</v>
      </c>
      <c r="W68" s="292">
        <v>2145</v>
      </c>
      <c r="X68" s="286" t="str">
        <f t="shared" si="31"/>
        <v>UB</v>
      </c>
      <c r="Y68" s="302">
        <v>10780</v>
      </c>
      <c r="Z68" s="302">
        <v>6045</v>
      </c>
      <c r="AA68" s="302">
        <v>8855</v>
      </c>
      <c r="AB68" s="302">
        <v>9023</v>
      </c>
      <c r="AC68" s="302"/>
      <c r="AD68" s="302">
        <v>10765</v>
      </c>
      <c r="AE68" s="292"/>
      <c r="AF68" s="292"/>
      <c r="AG68" s="292"/>
      <c r="AH68" s="292"/>
      <c r="AI68" s="292"/>
      <c r="AJ68" s="292"/>
      <c r="AK68" s="282">
        <f>IF(ISERROR(VLOOKUP(G68,'Planning and Target Times'!$B$106:$D$110,MATCH(F68,INDEX('Planning and Target Times'!$B$106:$D$110,1,0),0),0)),"",(VLOOKUP(G68,'Planning and Target Times'!$B$106:$D$110,MATCH(F68,INDEX('Planning and Target Times'!$B$106:$D$110,1,0),0),0)))</f>
        <v>940</v>
      </c>
      <c r="AL68" s="282" t="str">
        <f>VLOOKUP(G68,'Planning and Target Times'!$I$2:$J$7,2,0)</f>
        <v>Sandstone</v>
      </c>
      <c r="AM68" s="14" t="e">
        <f t="shared" si="32"/>
        <v>#VALUE!</v>
      </c>
      <c r="AN68" s="292">
        <v>9.5224875069405872</v>
      </c>
      <c r="AO68" s="14">
        <f>BF68/Q68</f>
        <v>0</v>
      </c>
      <c r="AP68" s="283" t="e">
        <f>VLOOKUP(G68,'Planning and Target Times'!$A$43:$L$47,MATCH(F68&amp;"-"&amp;K68&amp;"-"&amp;L68&amp;"-"&amp;J68,INDEX('Planning and Target Times'!$A$43:$L$47,1,0),0),0)</f>
        <v>#N/A</v>
      </c>
      <c r="AQ68" s="384" t="s">
        <v>82</v>
      </c>
      <c r="AR68" s="292">
        <v>1</v>
      </c>
      <c r="AS68" s="384" t="s">
        <v>10</v>
      </c>
      <c r="AT68" s="282" t="s">
        <v>39</v>
      </c>
      <c r="AU68" s="384">
        <v>1.1000000000000001</v>
      </c>
      <c r="AV68" s="384"/>
      <c r="AW68" s="384"/>
      <c r="AX68" s="384"/>
      <c r="AY68" s="384"/>
      <c r="AZ68" s="292" t="s">
        <v>10</v>
      </c>
      <c r="BA68" s="292">
        <v>47</v>
      </c>
      <c r="BB68" s="292">
        <v>25</v>
      </c>
      <c r="BC68" s="292">
        <v>3000</v>
      </c>
      <c r="BD68" s="292"/>
      <c r="BE68" s="292"/>
      <c r="BF68" s="282">
        <f t="shared" si="27"/>
        <v>0</v>
      </c>
      <c r="BG68" s="282"/>
      <c r="BH68" s="292" t="s">
        <v>354</v>
      </c>
      <c r="BI68" s="283">
        <v>287806</v>
      </c>
      <c r="BJ68" s="292"/>
      <c r="BK68" s="302">
        <f>COUNT(P$2:P68)</f>
        <v>67</v>
      </c>
      <c r="BL68" s="302">
        <f>SUMPRODUCT(--(YEAR(P$2:P68)=YEAR(P68)))</f>
        <v>36</v>
      </c>
      <c r="BM68" s="302">
        <f t="shared" si="33"/>
        <v>16</v>
      </c>
      <c r="BN68" s="15">
        <f t="shared" si="24"/>
        <v>55.964583333333579</v>
      </c>
      <c r="BO68" s="292"/>
      <c r="BP68" s="292"/>
      <c r="BQ68" s="467">
        <v>3129.8033333333333</v>
      </c>
      <c r="BR68" s="467">
        <v>3329.2333333333336</v>
      </c>
      <c r="BS68" s="467">
        <v>2602.7591666666667</v>
      </c>
      <c r="BT68" s="467"/>
      <c r="BU68" s="467"/>
      <c r="BV68" s="467"/>
      <c r="BW68" s="467" t="s">
        <v>1877</v>
      </c>
      <c r="BX68" s="469">
        <v>41456</v>
      </c>
      <c r="BY68" s="472">
        <f t="shared" si="21"/>
        <v>43.532471747318148</v>
      </c>
    </row>
    <row r="69" spans="1:77" ht="15" customHeight="1" x14ac:dyDescent="0.25">
      <c r="A69" s="32"/>
      <c r="B69" s="384" t="s">
        <v>419</v>
      </c>
      <c r="C69" s="555" t="s">
        <v>2399</v>
      </c>
      <c r="D69" s="556" t="s">
        <v>2400</v>
      </c>
      <c r="E69" s="384">
        <v>2</v>
      </c>
      <c r="F69" s="384" t="s">
        <v>42</v>
      </c>
      <c r="G69" s="384" t="s">
        <v>29</v>
      </c>
      <c r="H69" s="384" t="s">
        <v>37</v>
      </c>
      <c r="I69" s="384" t="s">
        <v>45</v>
      </c>
      <c r="J69" s="384" t="s">
        <v>298</v>
      </c>
      <c r="K69" s="384" t="s">
        <v>14</v>
      </c>
      <c r="L69" s="384"/>
      <c r="M69" s="384" t="s">
        <v>74</v>
      </c>
      <c r="N69" s="281"/>
      <c r="O69" s="13" t="e">
        <f t="shared" si="28"/>
        <v>#VALUE!</v>
      </c>
      <c r="P69" s="284">
        <v>41447.25</v>
      </c>
      <c r="Q69" s="15" t="s">
        <v>91</v>
      </c>
      <c r="R69" s="334">
        <f>IF(ISERROR(VLOOKUP(G69,'Planning and Target Times'!$L$1:$AJ$6,MATCH(K69&amp;"_"&amp;L69&amp;"_"&amp;J69,INDEX('Planning and Target Times'!$L$1:$AJ$6,1,0),0),0)+5),"",(VLOOKUP(G69,'Planning and Target Times'!$L$1:$AJ$6,MATCH(K69&amp;"_"&amp;L69&amp;"_"&amp;J69,INDEX('Planning and Target Times'!$L$1:$AJ$6,1,0),0),0)+5))</f>
        <v>75</v>
      </c>
      <c r="S69" s="420">
        <f t="shared" si="29"/>
        <v>70</v>
      </c>
      <c r="T69" s="392" t="e">
        <f>VLOOKUP(G69,'Planning and Target Times'!$A$7:$G$12,MATCH(K69&amp;"-"&amp;L69&amp;"-"&amp;J69,INDEX('Planning and Target Times'!$A$7:$G$12,1,0),0),0)</f>
        <v>#N/A</v>
      </c>
      <c r="U69" s="292"/>
      <c r="V69" s="14" t="e">
        <f t="shared" si="30"/>
        <v>#VALUE!</v>
      </c>
      <c r="W69" s="282">
        <v>1757</v>
      </c>
      <c r="X69" s="286" t="str">
        <f t="shared" si="31"/>
        <v>UB</v>
      </c>
      <c r="Y69" s="302"/>
      <c r="Z69" s="302"/>
      <c r="AA69" s="302"/>
      <c r="AB69" s="302"/>
      <c r="AC69" s="302"/>
      <c r="AD69" s="302"/>
      <c r="AE69" s="292"/>
      <c r="AF69" s="292"/>
      <c r="AG69" s="292"/>
      <c r="AH69" s="292"/>
      <c r="AI69" s="292"/>
      <c r="AJ69" s="292"/>
      <c r="AK69" s="282">
        <f>IF(ISERROR(VLOOKUP(G69,'Planning and Target Times'!$B$106:$D$110,MATCH(F69,INDEX('Planning and Target Times'!$B$106:$D$110,1,0),0),0)),"",(VLOOKUP(G69,'Planning and Target Times'!$B$106:$D$110,MATCH(F69,INDEX('Planning and Target Times'!$B$106:$D$110,1,0),0),0)))</f>
        <v>940</v>
      </c>
      <c r="AL69" s="282" t="str">
        <f>VLOOKUP(G69,'Planning and Target Times'!$I$2:$J$7,2,0)</f>
        <v>Sandstone</v>
      </c>
      <c r="AM69" s="14" t="e">
        <f t="shared" si="32"/>
        <v>#VALUE!</v>
      </c>
      <c r="AN69" s="292"/>
      <c r="AO69" s="14" t="s">
        <v>91</v>
      </c>
      <c r="AP69" s="283" t="e">
        <f>VLOOKUP(G69,'Planning and Target Times'!$A$43:$L$47,MATCH(F69&amp;"-"&amp;K69&amp;"-"&amp;L69&amp;"-"&amp;J69,INDEX('Planning and Target Times'!$A$43:$L$47,1,0),0),0)</f>
        <v>#N/A</v>
      </c>
      <c r="AQ69" s="384"/>
      <c r="AR69" s="292"/>
      <c r="AS69" s="384"/>
      <c r="AT69" s="282" t="s">
        <v>39</v>
      </c>
      <c r="AU69" s="384"/>
      <c r="AV69" s="384"/>
      <c r="AW69" s="384"/>
      <c r="AX69" s="384"/>
      <c r="AY69" s="384"/>
      <c r="AZ69" s="292" t="s">
        <v>10</v>
      </c>
      <c r="BA69" s="292">
        <v>32</v>
      </c>
      <c r="BB69" s="292">
        <v>20</v>
      </c>
      <c r="BC69" s="292">
        <v>3000</v>
      </c>
      <c r="BD69" s="292">
        <v>5322</v>
      </c>
      <c r="BE69" s="282">
        <v>50</v>
      </c>
      <c r="BF69" s="282">
        <f t="shared" si="27"/>
        <v>2661</v>
      </c>
      <c r="BG69" s="282"/>
      <c r="BH69" s="292" t="s">
        <v>355</v>
      </c>
      <c r="BI69" s="283">
        <v>287806</v>
      </c>
      <c r="BJ69" s="292"/>
      <c r="BK69" s="302">
        <f>COUNT(P$2:P69)</f>
        <v>68</v>
      </c>
      <c r="BL69" s="302">
        <f>SUMPRODUCT(--(YEAR(P$2:P69)=YEAR(P69)))</f>
        <v>37</v>
      </c>
      <c r="BM69" s="302">
        <f t="shared" si="33"/>
        <v>17</v>
      </c>
      <c r="BN69" s="15">
        <f t="shared" si="24"/>
        <v>57.710648148148415</v>
      </c>
      <c r="BO69" s="292"/>
      <c r="BP69" s="292"/>
      <c r="BQ69" s="467">
        <v>3129.8033333333333</v>
      </c>
      <c r="BR69" s="467">
        <v>3329.2333333333336</v>
      </c>
      <c r="BS69" s="467">
        <v>2602.7591666666667</v>
      </c>
      <c r="BT69" s="467"/>
      <c r="BU69" s="467"/>
      <c r="BV69" s="467"/>
      <c r="BW69" s="467" t="s">
        <v>1877</v>
      </c>
      <c r="BX69" s="469">
        <v>41456</v>
      </c>
    </row>
    <row r="70" spans="1:77" ht="15" customHeight="1" x14ac:dyDescent="0.25">
      <c r="A70" s="384" t="s">
        <v>240</v>
      </c>
      <c r="B70" s="384" t="s">
        <v>136</v>
      </c>
      <c r="C70" s="302" t="s">
        <v>563</v>
      </c>
      <c r="D70" s="529" t="s">
        <v>2071</v>
      </c>
      <c r="E70" s="384">
        <v>1</v>
      </c>
      <c r="F70" s="384" t="s">
        <v>42</v>
      </c>
      <c r="G70" s="384" t="s">
        <v>17</v>
      </c>
      <c r="H70" s="384" t="s">
        <v>28</v>
      </c>
      <c r="I70" s="384" t="s">
        <v>20</v>
      </c>
      <c r="J70" s="384" t="s">
        <v>298</v>
      </c>
      <c r="K70" s="281" t="s">
        <v>14</v>
      </c>
      <c r="L70" s="384" t="s">
        <v>1410</v>
      </c>
      <c r="M70" s="384" t="s">
        <v>60</v>
      </c>
      <c r="N70" s="281">
        <v>0</v>
      </c>
      <c r="O70" s="13">
        <f t="shared" si="28"/>
        <v>41410.583333333336</v>
      </c>
      <c r="P70" s="284">
        <v>41456.791666666664</v>
      </c>
      <c r="Q70" s="15">
        <v>46.208333333328483</v>
      </c>
      <c r="R70" s="334">
        <f>IF(ISERROR(VLOOKUP(G70,'Planning and Target Times'!$L$1:$AJ$6,MATCH(K70&amp;"_"&amp;L70&amp;"_"&amp;J70,INDEX('Planning and Target Times'!$L$1:$AJ$6,1,0),0),0)+5),"",(VLOOKUP(G70,'Planning and Target Times'!$L$1:$AJ$6,MATCH(K70&amp;"_"&amp;L70&amp;"_"&amp;J70,INDEX('Planning and Target Times'!$L$1:$AJ$6,1,0),0),0)+5))</f>
        <v>75</v>
      </c>
      <c r="S70" s="420">
        <f t="shared" si="29"/>
        <v>70</v>
      </c>
      <c r="T70" s="392">
        <f>VLOOKUP(G70,'Planning and Target Times'!$A$7:$G$12,MATCH(K70&amp;"-"&amp;L70&amp;"-"&amp;J70,INDEX('Planning and Target Times'!$A$7:$G$12,1,0),0),0)</f>
        <v>35</v>
      </c>
      <c r="U70" s="292">
        <v>23.333333333335759</v>
      </c>
      <c r="V70" s="14">
        <f t="shared" si="30"/>
        <v>69.541666666664241</v>
      </c>
      <c r="W70" s="282">
        <v>3248</v>
      </c>
      <c r="X70" s="286" t="str">
        <f t="shared" si="31"/>
        <v>MA</v>
      </c>
      <c r="Y70" s="302">
        <v>11971</v>
      </c>
      <c r="Z70" s="302">
        <v>6052</v>
      </c>
      <c r="AA70" s="302">
        <v>7503</v>
      </c>
      <c r="AB70" s="302">
        <v>8721.9</v>
      </c>
      <c r="AC70" s="302"/>
      <c r="AD70" s="302"/>
      <c r="AE70" s="292"/>
      <c r="AF70" s="292"/>
      <c r="AG70" s="292"/>
      <c r="AH70" s="292"/>
      <c r="AI70" s="292"/>
      <c r="AJ70" s="292"/>
      <c r="AK70" s="282">
        <f>IF(ISERROR(VLOOKUP(G70,'Planning and Target Times'!$B$106:$D$110,MATCH(F70,INDEX('Planning and Target Times'!$B$106:$D$110,1,0),0),0)),"",(VLOOKUP(G70,'Planning and Target Times'!$B$106:$D$110,MATCH(F70,INDEX('Planning and Target Times'!$B$106:$D$110,1,0),0),0)))</f>
        <v>650</v>
      </c>
      <c r="AL70" s="282" t="str">
        <f>VLOOKUP(G70,'Planning and Target Times'!$I$2:$J$7,2,0)</f>
        <v>Carbonate</v>
      </c>
      <c r="AM70" s="14">
        <f t="shared" si="32"/>
        <v>-5.4583333333357587</v>
      </c>
      <c r="AN70" s="292">
        <v>10.155781905332534</v>
      </c>
      <c r="AO70" s="14">
        <f>BF70/Q70</f>
        <v>32.761406672681524</v>
      </c>
      <c r="AP70" s="283">
        <f>VLOOKUP(G70,'Planning and Target Times'!$A$43:$L$47,MATCH(F70&amp;"-"&amp;K70&amp;"-"&amp;L70&amp;"-"&amp;J70,INDEX('Planning and Target Times'!$A$43:$L$47,1,0),0),0)</f>
        <v>16</v>
      </c>
      <c r="AQ70" s="385" t="s">
        <v>83</v>
      </c>
      <c r="AR70" s="292">
        <v>1</v>
      </c>
      <c r="AS70" s="384" t="s">
        <v>10</v>
      </c>
      <c r="AT70" s="282" t="s">
        <v>39</v>
      </c>
      <c r="AU70" s="292">
        <v>1</v>
      </c>
      <c r="AV70" s="292"/>
      <c r="AW70" s="292"/>
      <c r="AX70" s="281"/>
      <c r="AY70" s="281"/>
      <c r="AZ70" s="283" t="s">
        <v>299</v>
      </c>
      <c r="BA70" s="282">
        <v>16</v>
      </c>
      <c r="BB70" s="282">
        <v>16</v>
      </c>
      <c r="BC70" s="282">
        <v>1600</v>
      </c>
      <c r="BD70" s="282">
        <v>1781</v>
      </c>
      <c r="BE70" s="282">
        <v>15</v>
      </c>
      <c r="BF70" s="282">
        <f t="shared" si="27"/>
        <v>1513.85</v>
      </c>
      <c r="BG70" s="282"/>
      <c r="BH70" s="292" t="s">
        <v>359</v>
      </c>
      <c r="BI70" s="283">
        <v>287847</v>
      </c>
      <c r="BJ70" s="292"/>
      <c r="BK70" s="302">
        <f>COUNT(P$2:P70)</f>
        <v>69</v>
      </c>
      <c r="BL70" s="302">
        <f>SUMPRODUCT(--(YEAR(P$2:P70)=YEAR(P70)))</f>
        <v>38</v>
      </c>
      <c r="BM70" s="302">
        <f t="shared" si="33"/>
        <v>18</v>
      </c>
      <c r="BN70" s="15">
        <f t="shared" si="24"/>
        <v>50.287037037036498</v>
      </c>
      <c r="BO70" s="292"/>
      <c r="BP70" s="292"/>
      <c r="BQ70" s="467">
        <v>1149.8933333333334</v>
      </c>
      <c r="BR70" s="467">
        <v>1315.0966666666666</v>
      </c>
      <c r="BS70" s="467">
        <v>1308.3816666666669</v>
      </c>
      <c r="BT70" s="467"/>
      <c r="BU70" s="467"/>
      <c r="BV70" s="467"/>
      <c r="BW70" s="467" t="s">
        <v>1877</v>
      </c>
      <c r="BX70" s="469">
        <v>41456</v>
      </c>
      <c r="BY70" s="472">
        <f t="shared" ref="BY70:BY108" si="34">BQ70/Q70</f>
        <v>24.884977457171235</v>
      </c>
    </row>
    <row r="71" spans="1:77" ht="15" customHeight="1" x14ac:dyDescent="0.25">
      <c r="A71" s="384" t="s">
        <v>1586</v>
      </c>
      <c r="B71" s="384" t="s">
        <v>1586</v>
      </c>
      <c r="C71" s="385" t="s">
        <v>86</v>
      </c>
      <c r="D71" s="529" t="s">
        <v>2072</v>
      </c>
      <c r="E71" s="384">
        <v>5</v>
      </c>
      <c r="F71" s="384" t="str">
        <f>LEFT(B71,2)</f>
        <v>RA</v>
      </c>
      <c r="G71" s="384" t="s">
        <v>17</v>
      </c>
      <c r="H71" s="384" t="s">
        <v>25</v>
      </c>
      <c r="I71" s="384" t="s">
        <v>20</v>
      </c>
      <c r="J71" s="281" t="s">
        <v>298</v>
      </c>
      <c r="K71" s="384" t="s">
        <v>18</v>
      </c>
      <c r="L71" s="384" t="s">
        <v>1416</v>
      </c>
      <c r="M71" s="384" t="s">
        <v>74</v>
      </c>
      <c r="N71" s="281">
        <v>2</v>
      </c>
      <c r="O71" s="13">
        <f t="shared" si="28"/>
        <v>41418.666666666664</v>
      </c>
      <c r="P71" s="284">
        <v>41461.395833333336</v>
      </c>
      <c r="Q71" s="15">
        <v>42.729166666671517</v>
      </c>
      <c r="R71" s="334">
        <f>IF(ISERROR(VLOOKUP(G71,'Planning and Target Times'!$L$1:$AJ$6,MATCH(K71&amp;"_"&amp;L71&amp;"_"&amp;J71,INDEX('Planning and Target Times'!$L$1:$AJ$6,1,0),0),0)+5),"",(VLOOKUP(G71,'Planning and Target Times'!$L$1:$AJ$6,MATCH(K71&amp;"_"&amp;L71&amp;"_"&amp;J71,INDEX('Planning and Target Times'!$L$1:$AJ$6,1,0),0),0)+5))</f>
        <v>61</v>
      </c>
      <c r="S71" s="420">
        <f t="shared" si="29"/>
        <v>56</v>
      </c>
      <c r="T71" s="392" t="e">
        <f>VLOOKUP(G71,'Planning and Target Times'!$A$7:$G$12,MATCH(K71&amp;"-"&amp;L71&amp;"-"&amp;J71,INDEX('Planning and Target Times'!$A$7:$G$12,1,0),0),0)</f>
        <v>#N/A</v>
      </c>
      <c r="U71" s="292">
        <v>1.3125</v>
      </c>
      <c r="V71" s="14">
        <f t="shared" si="30"/>
        <v>44.041666666671517</v>
      </c>
      <c r="W71" s="352">
        <v>40</v>
      </c>
      <c r="X71" s="286" t="str">
        <f t="shared" si="31"/>
        <v>MA</v>
      </c>
      <c r="Y71" s="302">
        <v>9352</v>
      </c>
      <c r="Z71" s="302"/>
      <c r="AA71" s="302"/>
      <c r="AB71" s="302"/>
      <c r="AC71" s="302"/>
      <c r="AD71" s="302"/>
      <c r="AE71" s="292"/>
      <c r="AF71" s="292"/>
      <c r="AG71" s="292"/>
      <c r="AH71" s="292"/>
      <c r="AI71" s="292"/>
      <c r="AJ71" s="292"/>
      <c r="AK71" s="282">
        <f>IF(ISERROR(VLOOKUP(G71,'Planning and Target Times'!$B$106:$D$110,MATCH(F71,INDEX('Planning and Target Times'!$B$106:$D$110,1,0),0),0)),"",(VLOOKUP(G71,'Planning and Target Times'!$B$106:$D$110,MATCH(F71,INDEX('Planning and Target Times'!$B$106:$D$110,1,0),0),0)))</f>
        <v>650</v>
      </c>
      <c r="AL71" s="282" t="str">
        <f>VLOOKUP(G71,'Planning and Target Times'!$I$2:$J$7,2,0)</f>
        <v>Carbonate</v>
      </c>
      <c r="AM71" s="14">
        <f t="shared" si="32"/>
        <v>-16.958333333328483</v>
      </c>
      <c r="AN71" s="292">
        <v>56.859035004730373</v>
      </c>
      <c r="AO71" s="14" t="e">
        <f>BF71/Q71</f>
        <v>#VALUE!</v>
      </c>
      <c r="AP71" s="283" t="e">
        <f>VLOOKUP(G71,'Planning and Target Times'!$A$43:$L$47,MATCH(F71&amp;"-"&amp;K71&amp;"-"&amp;L71&amp;"-"&amp;J71,INDEX('Planning and Target Times'!$A$43:$L$47,1,0),0),0)</f>
        <v>#N/A</v>
      </c>
      <c r="AQ71" s="292" t="s">
        <v>91</v>
      </c>
      <c r="AR71" s="292" t="s">
        <v>91</v>
      </c>
      <c r="AS71" s="292" t="s">
        <v>91</v>
      </c>
      <c r="AT71" s="292" t="s">
        <v>91</v>
      </c>
      <c r="AU71" s="292">
        <v>1</v>
      </c>
      <c r="AV71" s="292"/>
      <c r="AW71" s="292"/>
      <c r="AX71" s="384"/>
      <c r="AY71" s="284"/>
      <c r="AZ71" s="292" t="s">
        <v>299</v>
      </c>
      <c r="BA71" s="292"/>
      <c r="BB71" s="292"/>
      <c r="BC71" s="292"/>
      <c r="BD71" s="292" t="s">
        <v>412</v>
      </c>
      <c r="BE71" s="292" t="s">
        <v>412</v>
      </c>
      <c r="BF71" s="282" t="s">
        <v>91</v>
      </c>
      <c r="BG71" s="282"/>
      <c r="BH71" s="292" t="s">
        <v>412</v>
      </c>
      <c r="BI71" s="283">
        <v>287757</v>
      </c>
      <c r="BJ71" s="292"/>
      <c r="BK71" s="302">
        <f>COUNT(P$2:P71)</f>
        <v>70</v>
      </c>
      <c r="BL71" s="302">
        <f>SUMPRODUCT(--(YEAR(P$2:P71)=YEAR(P71)))</f>
        <v>39</v>
      </c>
      <c r="BM71" s="302">
        <f t="shared" si="33"/>
        <v>19</v>
      </c>
      <c r="BN71" s="15">
        <f t="shared" si="24"/>
        <v>46.199074074074616</v>
      </c>
      <c r="BO71" s="292"/>
      <c r="BP71" s="292"/>
      <c r="BQ71" s="467">
        <v>372.3533333333333</v>
      </c>
      <c r="BR71" s="467">
        <v>359.17666666666668</v>
      </c>
      <c r="BS71" s="467">
        <v>326.67250000000001</v>
      </c>
      <c r="BT71" s="467"/>
      <c r="BU71" s="467"/>
      <c r="BV71" s="467"/>
      <c r="BW71" s="467" t="s">
        <v>1877</v>
      </c>
      <c r="BX71" s="469">
        <v>41456</v>
      </c>
      <c r="BY71" s="472">
        <f t="shared" si="34"/>
        <v>8.7142662116031051</v>
      </c>
    </row>
    <row r="72" spans="1:77" ht="15" customHeight="1" x14ac:dyDescent="0.25">
      <c r="A72" s="384" t="s">
        <v>239</v>
      </c>
      <c r="B72" s="384" t="s">
        <v>135</v>
      </c>
      <c r="C72" s="302" t="s">
        <v>534</v>
      </c>
      <c r="D72" s="529" t="s">
        <v>2073</v>
      </c>
      <c r="E72" s="384">
        <v>5</v>
      </c>
      <c r="F72" s="384" t="s">
        <v>42</v>
      </c>
      <c r="G72" s="384" t="s">
        <v>29</v>
      </c>
      <c r="H72" s="384" t="s">
        <v>12</v>
      </c>
      <c r="I72" s="384" t="s">
        <v>40</v>
      </c>
      <c r="J72" s="384" t="s">
        <v>298</v>
      </c>
      <c r="K72" s="281" t="s">
        <v>18</v>
      </c>
      <c r="L72" s="384" t="s">
        <v>1410</v>
      </c>
      <c r="M72" s="384" t="s">
        <v>74</v>
      </c>
      <c r="N72" s="281">
        <v>2</v>
      </c>
      <c r="O72" s="13">
        <f t="shared" si="28"/>
        <v>41431.5</v>
      </c>
      <c r="P72" s="284">
        <v>41464.125</v>
      </c>
      <c r="Q72" s="15">
        <v>32.625</v>
      </c>
      <c r="R72" s="334">
        <f>IF(ISERROR(VLOOKUP(G72,'Planning and Target Times'!$L$1:$AJ$6,MATCH(K72&amp;"_"&amp;L72&amp;"_"&amp;J72,INDEX('Planning and Target Times'!$L$1:$AJ$6,1,0),0),0)+5),"",(VLOOKUP(G72,'Planning and Target Times'!$L$1:$AJ$6,MATCH(K72&amp;"_"&amp;L72&amp;"_"&amp;J72,INDEX('Planning and Target Times'!$L$1:$AJ$6,1,0),0),0)+5))</f>
        <v>61</v>
      </c>
      <c r="S72" s="420">
        <f t="shared" si="29"/>
        <v>56</v>
      </c>
      <c r="T72" s="392">
        <f>VLOOKUP(G72,'Planning and Target Times'!$A$7:$G$12,MATCH(K72&amp;"-"&amp;L72&amp;"-"&amp;J72,INDEX('Planning and Target Times'!$A$7:$G$12,1,0),0),0)</f>
        <v>33</v>
      </c>
      <c r="U72" s="292">
        <v>12.541666666664241</v>
      </c>
      <c r="V72" s="14">
        <f t="shared" si="30"/>
        <v>45.166666666664241</v>
      </c>
      <c r="W72" s="292">
        <v>593</v>
      </c>
      <c r="X72" s="286" t="str">
        <f t="shared" si="31"/>
        <v>UB</v>
      </c>
      <c r="Y72" s="302">
        <v>9218</v>
      </c>
      <c r="Z72" s="302"/>
      <c r="AA72" s="302">
        <v>6466</v>
      </c>
      <c r="AB72" s="302">
        <v>8625</v>
      </c>
      <c r="AC72" s="302"/>
      <c r="AD72" s="302">
        <v>9118</v>
      </c>
      <c r="AE72" s="292"/>
      <c r="AF72" s="292"/>
      <c r="AG72" s="292"/>
      <c r="AH72" s="292"/>
      <c r="AI72" s="292"/>
      <c r="AJ72" s="292"/>
      <c r="AK72" s="282">
        <f>IF(ISERROR(VLOOKUP(G72,'Planning and Target Times'!$B$106:$D$110,MATCH(F72,INDEX('Planning and Target Times'!$B$106:$D$110,1,0),0),0)),"",(VLOOKUP(G72,'Planning and Target Times'!$B$106:$D$110,MATCH(F72,INDEX('Planning and Target Times'!$B$106:$D$110,1,0),0),0)))</f>
        <v>940</v>
      </c>
      <c r="AL72" s="282" t="str">
        <f>VLOOKUP(G72,'Planning and Target Times'!$I$2:$J$7,2,0)</f>
        <v>Sandstone</v>
      </c>
      <c r="AM72" s="14">
        <f t="shared" si="32"/>
        <v>-15.833333333335759</v>
      </c>
      <c r="AN72" s="292">
        <v>10.424354243542435</v>
      </c>
      <c r="AO72" s="14">
        <f>BF72/Q72</f>
        <v>52.792643678160914</v>
      </c>
      <c r="AP72" s="283">
        <f>VLOOKUP(G72,'Planning and Target Times'!$A$43:$L$47,MATCH(F72&amp;"-"&amp;K72&amp;"-"&amp;L72&amp;"-"&amp;J72,INDEX('Planning and Target Times'!$A$43:$L$47,1,0),0),0)</f>
        <v>18</v>
      </c>
      <c r="AQ72" s="385" t="s">
        <v>83</v>
      </c>
      <c r="AR72" s="292">
        <v>1</v>
      </c>
      <c r="AS72" s="384" t="s">
        <v>10</v>
      </c>
      <c r="AT72" s="282" t="s">
        <v>39</v>
      </c>
      <c r="AU72" s="292">
        <v>0.93</v>
      </c>
      <c r="AV72" s="292"/>
      <c r="AW72" s="292"/>
      <c r="AX72" s="281"/>
      <c r="AY72" s="281"/>
      <c r="AZ72" s="292" t="s">
        <v>10</v>
      </c>
      <c r="BA72" s="292">
        <v>12</v>
      </c>
      <c r="BB72" s="292">
        <v>6</v>
      </c>
      <c r="BC72" s="292">
        <v>2000</v>
      </c>
      <c r="BD72" s="282">
        <v>1852</v>
      </c>
      <c r="BE72" s="282">
        <v>7</v>
      </c>
      <c r="BF72" s="282">
        <f>(1-BE72/100)*BD72</f>
        <v>1722.36</v>
      </c>
      <c r="BG72" s="282"/>
      <c r="BH72" s="292" t="s">
        <v>329</v>
      </c>
      <c r="BI72" s="283">
        <v>287827</v>
      </c>
      <c r="BJ72" s="292"/>
      <c r="BK72" s="302">
        <f>COUNT(P$2:P72)</f>
        <v>71</v>
      </c>
      <c r="BL72" s="302">
        <f>SUMPRODUCT(--(YEAR(P$2:P72)=YEAR(P72)))</f>
        <v>40</v>
      </c>
      <c r="BM72" s="302">
        <f t="shared" si="33"/>
        <v>20</v>
      </c>
      <c r="BN72" s="15">
        <f t="shared" si="24"/>
        <v>42.479166666666664</v>
      </c>
      <c r="BO72" s="292"/>
      <c r="BP72" s="292"/>
      <c r="BQ72" s="467">
        <v>1868.9366666666665</v>
      </c>
      <c r="BR72" s="467">
        <v>1847.5066666666669</v>
      </c>
      <c r="BS72" s="467">
        <v>1666.1099999999997</v>
      </c>
      <c r="BT72" s="467"/>
      <c r="BU72" s="467"/>
      <c r="BV72" s="467"/>
      <c r="BW72" s="467" t="s">
        <v>1877</v>
      </c>
      <c r="BX72" s="469">
        <v>41456</v>
      </c>
      <c r="BY72" s="472">
        <f t="shared" si="34"/>
        <v>57.285415070242649</v>
      </c>
    </row>
    <row r="73" spans="1:77" ht="15" customHeight="1" x14ac:dyDescent="0.25">
      <c r="A73" s="384" t="s">
        <v>241</v>
      </c>
      <c r="B73" s="384" t="s">
        <v>137</v>
      </c>
      <c r="C73" s="302" t="s">
        <v>521</v>
      </c>
      <c r="D73" s="529" t="s">
        <v>2074</v>
      </c>
      <c r="E73" s="384">
        <v>2</v>
      </c>
      <c r="F73" s="384" t="s">
        <v>42</v>
      </c>
      <c r="G73" s="384" t="s">
        <v>29</v>
      </c>
      <c r="H73" s="384" t="s">
        <v>37</v>
      </c>
      <c r="I73" s="384" t="s">
        <v>16</v>
      </c>
      <c r="J73" s="384" t="s">
        <v>298</v>
      </c>
      <c r="K73" s="384" t="s">
        <v>18</v>
      </c>
      <c r="L73" s="384" t="s">
        <v>1410</v>
      </c>
      <c r="M73" s="384" t="s">
        <v>74</v>
      </c>
      <c r="N73" s="281">
        <v>2</v>
      </c>
      <c r="O73" s="13">
        <f t="shared" si="28"/>
        <v>41450.854166666664</v>
      </c>
      <c r="P73" s="284">
        <v>41489.583333333336</v>
      </c>
      <c r="Q73" s="15">
        <v>38.729166666671517</v>
      </c>
      <c r="R73" s="334">
        <f>IF(ISERROR(VLOOKUP(G73,'Planning and Target Times'!$L$1:$AJ$6,MATCH(K73&amp;"_"&amp;L73&amp;"_"&amp;J73,INDEX('Planning and Target Times'!$L$1:$AJ$6,1,0),0),0)+5),"",(VLOOKUP(G73,'Planning and Target Times'!$L$1:$AJ$6,MATCH(K73&amp;"_"&amp;L73&amp;"_"&amp;J73,INDEX('Planning and Target Times'!$L$1:$AJ$6,1,0),0),0)+5))</f>
        <v>61</v>
      </c>
      <c r="S73" s="420">
        <f t="shared" si="29"/>
        <v>56</v>
      </c>
      <c r="T73" s="392">
        <f>VLOOKUP(G73,'Planning and Target Times'!$A$7:$G$12,MATCH(K73&amp;"-"&amp;L73&amp;"-"&amp;J73,INDEX('Planning and Target Times'!$A$7:$G$12,1,0),0),0)</f>
        <v>33</v>
      </c>
      <c r="U73" s="292">
        <v>3.6041666666642413</v>
      </c>
      <c r="V73" s="14">
        <f t="shared" si="30"/>
        <v>42.333333333335759</v>
      </c>
      <c r="W73" s="292">
        <v>376</v>
      </c>
      <c r="X73" s="286" t="str">
        <f t="shared" si="31"/>
        <v>UB</v>
      </c>
      <c r="Y73" s="302">
        <v>9377</v>
      </c>
      <c r="Z73" s="302"/>
      <c r="AA73" s="302">
        <v>6137</v>
      </c>
      <c r="AB73" s="302">
        <v>8935</v>
      </c>
      <c r="AC73" s="302"/>
      <c r="AD73" s="302">
        <v>9311</v>
      </c>
      <c r="AE73" s="292"/>
      <c r="AF73" s="292"/>
      <c r="AG73" s="292"/>
      <c r="AH73" s="292"/>
      <c r="AI73" s="292"/>
      <c r="AJ73" s="292"/>
      <c r="AK73" s="282">
        <f>IF(ISERROR(VLOOKUP(G73,'Planning and Target Times'!$B$106:$D$110,MATCH(F73,INDEX('Planning and Target Times'!$B$106:$D$110,1,0),0),0)),"",(VLOOKUP(G73,'Planning and Target Times'!$B$106:$D$110,MATCH(F73,INDEX('Planning and Target Times'!$B$106:$D$110,1,0),0),0)))</f>
        <v>940</v>
      </c>
      <c r="AL73" s="282" t="str">
        <f>VLOOKUP(G73,'Planning and Target Times'!$I$2:$J$7,2,0)</f>
        <v>Sandstone</v>
      </c>
      <c r="AM73" s="14">
        <f t="shared" si="32"/>
        <v>-18.666666666664241</v>
      </c>
      <c r="AN73" s="292">
        <v>7.0374015748031482</v>
      </c>
      <c r="AO73" s="14">
        <f>BF73/Q73</f>
        <v>55.339688004296448</v>
      </c>
      <c r="AP73" s="283">
        <f>VLOOKUP(G73,'Planning and Target Times'!$A$43:$L$47,MATCH(F73&amp;"-"&amp;K73&amp;"-"&amp;L73&amp;"-"&amp;J73,INDEX('Planning and Target Times'!$A$43:$L$47,1,0),0),0)</f>
        <v>18</v>
      </c>
      <c r="AQ73" s="385" t="s">
        <v>83</v>
      </c>
      <c r="AR73" s="292">
        <v>1</v>
      </c>
      <c r="AS73" s="384" t="s">
        <v>10</v>
      </c>
      <c r="AT73" s="282" t="s">
        <v>39</v>
      </c>
      <c r="AU73" s="292">
        <v>0.78</v>
      </c>
      <c r="AV73" s="292"/>
      <c r="AW73" s="292"/>
      <c r="AX73" s="384"/>
      <c r="AY73" s="384"/>
      <c r="AZ73" s="292" t="s">
        <v>10</v>
      </c>
      <c r="BA73" s="282">
        <v>8</v>
      </c>
      <c r="BB73" s="282">
        <v>8</v>
      </c>
      <c r="BC73" s="282">
        <v>1500</v>
      </c>
      <c r="BD73" s="282">
        <v>2187</v>
      </c>
      <c r="BE73" s="283">
        <v>2</v>
      </c>
      <c r="BF73" s="282">
        <f>(1-BE73/100)*BD73</f>
        <v>2143.2599999999998</v>
      </c>
      <c r="BG73" s="282"/>
      <c r="BH73" s="292" t="s">
        <v>315</v>
      </c>
      <c r="BI73" s="283">
        <v>288013</v>
      </c>
      <c r="BJ73" s="292"/>
      <c r="BK73" s="302">
        <f>COUNT(P$2:P73)</f>
        <v>72</v>
      </c>
      <c r="BL73" s="302">
        <f>SUMPRODUCT(--(YEAR(P$2:P73)=YEAR(P73)))</f>
        <v>41</v>
      </c>
      <c r="BM73" s="302">
        <f t="shared" si="33"/>
        <v>21</v>
      </c>
      <c r="BN73" s="15">
        <f t="shared" si="24"/>
        <v>42.537037037037308</v>
      </c>
      <c r="BO73" s="292"/>
      <c r="BP73" s="292"/>
      <c r="BQ73" s="467">
        <v>2237.626666666667</v>
      </c>
      <c r="BR73" s="467">
        <v>2015.4833333333333</v>
      </c>
      <c r="BS73" s="467">
        <v>1785.9358333333332</v>
      </c>
      <c r="BT73" s="467"/>
      <c r="BU73" s="467"/>
      <c r="BV73" s="467"/>
      <c r="BW73" s="467" t="s">
        <v>1877</v>
      </c>
      <c r="BX73" s="469">
        <v>41518</v>
      </c>
      <c r="BY73" s="472">
        <f t="shared" si="34"/>
        <v>57.776266810105739</v>
      </c>
    </row>
    <row r="74" spans="1:77" ht="15" customHeight="1" x14ac:dyDescent="0.25">
      <c r="A74" s="384" t="s">
        <v>244</v>
      </c>
      <c r="B74" s="384" t="s">
        <v>162</v>
      </c>
      <c r="C74" s="302" t="s">
        <v>543</v>
      </c>
      <c r="D74" s="529" t="s">
        <v>2075</v>
      </c>
      <c r="E74" s="384">
        <v>5</v>
      </c>
      <c r="F74" s="384" t="s">
        <v>42</v>
      </c>
      <c r="G74" s="384" t="s">
        <v>22</v>
      </c>
      <c r="H74" s="384" t="s">
        <v>23</v>
      </c>
      <c r="I74" s="384" t="s">
        <v>24</v>
      </c>
      <c r="J74" s="384" t="s">
        <v>298</v>
      </c>
      <c r="K74" s="384" t="s">
        <v>14</v>
      </c>
      <c r="L74" s="384" t="s">
        <v>1416</v>
      </c>
      <c r="M74" s="384" t="s">
        <v>61</v>
      </c>
      <c r="N74" s="281">
        <v>1</v>
      </c>
      <c r="O74" s="13">
        <f t="shared" si="28"/>
        <v>41430.645833333336</v>
      </c>
      <c r="P74" s="284">
        <v>41500.166666666664</v>
      </c>
      <c r="Q74" s="15">
        <v>69.520833333328483</v>
      </c>
      <c r="R74" s="334">
        <f>IF(ISERROR(VLOOKUP(G74,'Planning and Target Times'!$L$1:$AJ$6,MATCH(K74&amp;"_"&amp;L74&amp;"_"&amp;J74,INDEX('Planning and Target Times'!$L$1:$AJ$6,1,0),0),0)+5),"",(VLOOKUP(G74,'Planning and Target Times'!$L$1:$AJ$6,MATCH(K74&amp;"_"&amp;L74&amp;"_"&amp;J74,INDEX('Planning and Target Times'!$L$1:$AJ$6,1,0),0),0)+5))</f>
        <v>75</v>
      </c>
      <c r="S74" s="420">
        <f t="shared" si="29"/>
        <v>70</v>
      </c>
      <c r="T74" s="392">
        <f>VLOOKUP(G74,'Planning and Target Times'!$A$7:$G$12,MATCH(K74&amp;"-"&amp;L74&amp;"-"&amp;J74,INDEX('Planning and Target Times'!$A$7:$G$12,1,0),0),0)</f>
        <v>33</v>
      </c>
      <c r="U74" s="292">
        <v>3.1458333333357587</v>
      </c>
      <c r="V74" s="14">
        <f t="shared" si="30"/>
        <v>72.666666666664241</v>
      </c>
      <c r="W74" s="292">
        <v>2125</v>
      </c>
      <c r="X74" s="286" t="str">
        <f t="shared" si="31"/>
        <v>LB</v>
      </c>
      <c r="Y74" s="302">
        <v>10326</v>
      </c>
      <c r="Z74" s="302">
        <v>6066</v>
      </c>
      <c r="AA74" s="302">
        <v>8715</v>
      </c>
      <c r="AB74" s="302">
        <v>10324</v>
      </c>
      <c r="AC74" s="302"/>
      <c r="AD74" s="302"/>
      <c r="AE74" s="292"/>
      <c r="AF74" s="292"/>
      <c r="AG74" s="292"/>
      <c r="AH74" s="292"/>
      <c r="AI74" s="292"/>
      <c r="AJ74" s="292"/>
      <c r="AK74" s="282">
        <f>IF(ISERROR(VLOOKUP(G74,'Planning and Target Times'!$B$106:$D$110,MATCH(F74,INDEX('Planning and Target Times'!$B$106:$D$110,1,0),0),0)),"",(VLOOKUP(G74,'Planning and Target Times'!$B$106:$D$110,MATCH(F74,INDEX('Planning and Target Times'!$B$106:$D$110,1,0),0),0)))</f>
        <v>900</v>
      </c>
      <c r="AL74" s="282" t="str">
        <f>VLOOKUP(G74,'Planning and Target Times'!$I$2:$J$7,2,0)</f>
        <v>Sandstone</v>
      </c>
      <c r="AM74" s="14">
        <f t="shared" si="32"/>
        <v>-2.3333333333357587</v>
      </c>
      <c r="AN74" s="292">
        <v>19.036697247706421</v>
      </c>
      <c r="AO74" s="14" t="s">
        <v>91</v>
      </c>
      <c r="AP74" s="283">
        <f>VLOOKUP(G74,'Planning and Target Times'!$A$43:$L$47,MATCH(F74&amp;"-"&amp;K74&amp;"-"&amp;L74&amp;"-"&amp;J74,INDEX('Planning and Target Times'!$A$43:$L$47,1,0),0),0)</f>
        <v>34</v>
      </c>
      <c r="AQ74" s="384" t="s">
        <v>416</v>
      </c>
      <c r="AR74" s="292" t="s">
        <v>91</v>
      </c>
      <c r="AS74" s="292" t="s">
        <v>91</v>
      </c>
      <c r="AT74" s="292" t="s">
        <v>91</v>
      </c>
      <c r="AU74" s="292">
        <v>0.76</v>
      </c>
      <c r="AV74" s="292"/>
      <c r="AW74" s="292"/>
      <c r="AX74" s="384"/>
      <c r="AY74" s="384"/>
      <c r="AZ74" s="292" t="s">
        <v>10</v>
      </c>
      <c r="BA74" s="292">
        <v>0</v>
      </c>
      <c r="BB74" s="292">
        <v>0</v>
      </c>
      <c r="BC74" s="292"/>
      <c r="BD74" s="292" t="s">
        <v>412</v>
      </c>
      <c r="BE74" s="292" t="s">
        <v>412</v>
      </c>
      <c r="BF74" s="282" t="s">
        <v>91</v>
      </c>
      <c r="BG74" s="282"/>
      <c r="BH74" s="282" t="s">
        <v>320</v>
      </c>
      <c r="BI74" s="283">
        <v>287963</v>
      </c>
      <c r="BJ74" s="292"/>
      <c r="BK74" s="302">
        <f>COUNT(P$2:P74)</f>
        <v>73</v>
      </c>
      <c r="BL74" s="302">
        <f>SUMPRODUCT(--(YEAR(P$2:P74)=YEAR(P74)))</f>
        <v>42</v>
      </c>
      <c r="BM74" s="302">
        <f t="shared" si="33"/>
        <v>22</v>
      </c>
      <c r="BN74" s="15">
        <f t="shared" si="24"/>
        <v>45.914351851851585</v>
      </c>
      <c r="BO74" s="292"/>
      <c r="BP74" s="292"/>
      <c r="BQ74" s="467">
        <v>1231.25</v>
      </c>
      <c r="BR74" s="467">
        <v>901.03666666666675</v>
      </c>
      <c r="BS74" s="467">
        <v>686.57916666666677</v>
      </c>
      <c r="BT74" s="467"/>
      <c r="BU74" s="467"/>
      <c r="BV74" s="467"/>
      <c r="BW74" s="467" t="s">
        <v>1877</v>
      </c>
      <c r="BX74" s="469">
        <v>41518</v>
      </c>
      <c r="BY74" s="472">
        <f t="shared" si="34"/>
        <v>17.710518429728534</v>
      </c>
    </row>
    <row r="75" spans="1:77" ht="15" customHeight="1" x14ac:dyDescent="0.25">
      <c r="A75" s="384" t="s">
        <v>245</v>
      </c>
      <c r="B75" s="384" t="s">
        <v>161</v>
      </c>
      <c r="C75" s="302" t="s">
        <v>245</v>
      </c>
      <c r="D75" s="529" t="s">
        <v>2076</v>
      </c>
      <c r="E75" s="384">
        <v>2</v>
      </c>
      <c r="F75" s="384" t="s">
        <v>11</v>
      </c>
      <c r="G75" s="384" t="s">
        <v>22</v>
      </c>
      <c r="H75" s="384" t="s">
        <v>21</v>
      </c>
      <c r="I75" s="384" t="s">
        <v>20</v>
      </c>
      <c r="J75" s="384" t="s">
        <v>298</v>
      </c>
      <c r="K75" s="384" t="s">
        <v>14</v>
      </c>
      <c r="L75" s="384" t="s">
        <v>1416</v>
      </c>
      <c r="M75" s="384" t="s">
        <v>74</v>
      </c>
      <c r="N75" s="292">
        <v>0</v>
      </c>
      <c r="O75" s="13">
        <f t="shared" si="28"/>
        <v>41454.791666666664</v>
      </c>
      <c r="P75" s="284">
        <v>41504.375</v>
      </c>
      <c r="Q75" s="15">
        <v>49.583333333335759</v>
      </c>
      <c r="R75" s="334">
        <f>IF(ISERROR(VLOOKUP(G75,'Planning and Target Times'!$L$1:$AJ$6,MATCH(K75&amp;"_"&amp;L75&amp;"_"&amp;J75,INDEX('Planning and Target Times'!$L$1:$AJ$6,1,0),0),0)+5),"",(VLOOKUP(G75,'Planning and Target Times'!$L$1:$AJ$6,MATCH(K75&amp;"_"&amp;L75&amp;"_"&amp;J75,INDEX('Planning and Target Times'!$L$1:$AJ$6,1,0),0),0)+5))</f>
        <v>75</v>
      </c>
      <c r="S75" s="420">
        <f t="shared" si="29"/>
        <v>70</v>
      </c>
      <c r="T75" s="392">
        <f>VLOOKUP(G75,'Planning and Target Times'!$A$7:$G$12,MATCH(K75&amp;"-"&amp;L75&amp;"-"&amp;J75,INDEX('Planning and Target Times'!$A$7:$G$12,1,0),0),0)</f>
        <v>33</v>
      </c>
      <c r="U75" s="292">
        <v>12.3125</v>
      </c>
      <c r="V75" s="14">
        <f t="shared" si="30"/>
        <v>61.895833333335759</v>
      </c>
      <c r="W75" s="292">
        <v>933</v>
      </c>
      <c r="X75" s="286" t="str">
        <f t="shared" si="31"/>
        <v>LB</v>
      </c>
      <c r="Y75" s="302">
        <v>9910</v>
      </c>
      <c r="Z75" s="302">
        <v>5969</v>
      </c>
      <c r="AA75" s="302">
        <v>8962</v>
      </c>
      <c r="AB75" s="302">
        <v>9883</v>
      </c>
      <c r="AC75" s="302"/>
      <c r="AD75" s="302"/>
      <c r="AE75" s="292"/>
      <c r="AF75" s="292"/>
      <c r="AG75" s="292"/>
      <c r="AH75" s="292"/>
      <c r="AI75" s="292"/>
      <c r="AJ75" s="292"/>
      <c r="AK75" s="282">
        <f>IF(ISERROR(VLOOKUP(G75,'Planning and Target Times'!$B$106:$D$110,MATCH(F75,INDEX('Planning and Target Times'!$B$106:$D$110,1,0),0),0)),"",(VLOOKUP(G75,'Planning and Target Times'!$B$106:$D$110,MATCH(F75,INDEX('Planning and Target Times'!$B$106:$D$110,1,0),0),0)))</f>
        <v>550</v>
      </c>
      <c r="AL75" s="282" t="str">
        <f>VLOOKUP(G75,'Planning and Target Times'!$I$2:$J$7,2,0)</f>
        <v>Sandstone</v>
      </c>
      <c r="AM75" s="14">
        <f t="shared" si="32"/>
        <v>-13.104166666664241</v>
      </c>
      <c r="AN75" s="292">
        <v>11.84786267250084</v>
      </c>
      <c r="AO75" s="14" t="s">
        <v>91</v>
      </c>
      <c r="AP75" s="283">
        <f>VLOOKUP(G75,'Planning and Target Times'!$A$43:$L$47,MATCH(F75&amp;"-"&amp;K75&amp;"-"&amp;L75&amp;"-"&amp;J75,INDEX('Planning and Target Times'!$A$43:$L$47,1,0),0),0)</f>
        <v>28</v>
      </c>
      <c r="AQ75" s="384" t="s">
        <v>416</v>
      </c>
      <c r="AR75" s="292" t="s">
        <v>91</v>
      </c>
      <c r="AS75" s="292" t="s">
        <v>91</v>
      </c>
      <c r="AT75" s="292" t="s">
        <v>91</v>
      </c>
      <c r="AU75" s="292">
        <v>0.52</v>
      </c>
      <c r="AV75" s="292"/>
      <c r="AW75" s="292"/>
      <c r="AX75" s="384"/>
      <c r="AY75" s="384"/>
      <c r="AZ75" s="283" t="s">
        <v>299</v>
      </c>
      <c r="BA75" s="292">
        <v>0</v>
      </c>
      <c r="BB75" s="292">
        <v>0</v>
      </c>
      <c r="BC75" s="292"/>
      <c r="BD75" s="292" t="s">
        <v>412</v>
      </c>
      <c r="BE75" s="292" t="s">
        <v>412</v>
      </c>
      <c r="BF75" s="282" t="s">
        <v>91</v>
      </c>
      <c r="BG75" s="282"/>
      <c r="BH75" s="282" t="s">
        <v>320</v>
      </c>
      <c r="BI75" s="283">
        <v>289117</v>
      </c>
      <c r="BJ75" s="292"/>
      <c r="BK75" s="302">
        <f>COUNT(P$2:P75)</f>
        <v>74</v>
      </c>
      <c r="BL75" s="302">
        <f>SUMPRODUCT(--(YEAR(P$2:P75)=YEAR(P75)))</f>
        <v>43</v>
      </c>
      <c r="BM75" s="302">
        <f t="shared" si="33"/>
        <v>23</v>
      </c>
      <c r="BN75" s="15">
        <f t="shared" ref="BN75:BN106" si="35">AVERAGE(Q66:Q75)</f>
        <v>45.849537037037308</v>
      </c>
      <c r="BO75" s="292"/>
      <c r="BP75" s="292"/>
      <c r="BQ75" s="467">
        <v>427.1366666666666</v>
      </c>
      <c r="BR75" s="467">
        <v>882.61999999999989</v>
      </c>
      <c r="BS75" s="467">
        <v>1019.3225000000001</v>
      </c>
      <c r="BT75" s="467"/>
      <c r="BU75" s="467"/>
      <c r="BV75" s="467"/>
      <c r="BW75" s="467" t="s">
        <v>1877</v>
      </c>
      <c r="BX75" s="469">
        <v>41640</v>
      </c>
      <c r="BY75" s="472">
        <f t="shared" si="34"/>
        <v>8.6145210084029387</v>
      </c>
    </row>
    <row r="76" spans="1:77" ht="15" customHeight="1" x14ac:dyDescent="0.25">
      <c r="A76" s="384" t="s">
        <v>242</v>
      </c>
      <c r="B76" s="384" t="s">
        <v>138</v>
      </c>
      <c r="C76" s="302" t="s">
        <v>554</v>
      </c>
      <c r="D76" s="529" t="s">
        <v>2077</v>
      </c>
      <c r="E76" s="384">
        <v>2</v>
      </c>
      <c r="F76" s="384" t="s">
        <v>11</v>
      </c>
      <c r="G76" s="384" t="s">
        <v>22</v>
      </c>
      <c r="H76" s="384" t="s">
        <v>31</v>
      </c>
      <c r="I76" s="384" t="s">
        <v>20</v>
      </c>
      <c r="J76" s="384" t="s">
        <v>298</v>
      </c>
      <c r="K76" s="384" t="s">
        <v>14</v>
      </c>
      <c r="L76" s="384" t="s">
        <v>1410</v>
      </c>
      <c r="M76" s="384" t="s">
        <v>74</v>
      </c>
      <c r="N76" s="292">
        <v>1</v>
      </c>
      <c r="O76" s="13">
        <f t="shared" si="28"/>
        <v>41438.854166666664</v>
      </c>
      <c r="P76" s="284">
        <v>41507.833333333336</v>
      </c>
      <c r="Q76" s="15">
        <v>68.979166666671517</v>
      </c>
      <c r="R76" s="334">
        <f>IF(ISERROR(VLOOKUP(G76,'Planning and Target Times'!$L$1:$AJ$6,MATCH(K76&amp;"_"&amp;L76&amp;"_"&amp;J76,INDEX('Planning and Target Times'!$L$1:$AJ$6,1,0),0),0)+5),"",(VLOOKUP(G76,'Planning and Target Times'!$L$1:$AJ$6,MATCH(K76&amp;"_"&amp;L76&amp;"_"&amp;J76,INDEX('Planning and Target Times'!$L$1:$AJ$6,1,0),0),0)+5))</f>
        <v>75</v>
      </c>
      <c r="S76" s="420">
        <f t="shared" si="29"/>
        <v>70</v>
      </c>
      <c r="T76" s="392">
        <f>VLOOKUP(G76,'Planning and Target Times'!$A$7:$G$12,MATCH(K76&amp;"-"&amp;L76&amp;"-"&amp;J76,INDEX('Planning and Target Times'!$A$7:$G$12,1,0),0),0)</f>
        <v>35</v>
      </c>
      <c r="U76" s="292">
        <v>4</v>
      </c>
      <c r="V76" s="14">
        <f t="shared" si="30"/>
        <v>72.979166666671517</v>
      </c>
      <c r="W76" s="292">
        <v>1107</v>
      </c>
      <c r="X76" s="286" t="str">
        <f t="shared" si="31"/>
        <v>LB</v>
      </c>
      <c r="Y76" s="302">
        <v>10502</v>
      </c>
      <c r="Z76" s="302">
        <v>5984</v>
      </c>
      <c r="AA76" s="302">
        <v>7336</v>
      </c>
      <c r="AB76" s="302">
        <v>9446</v>
      </c>
      <c r="AC76" s="302"/>
      <c r="AD76" s="302">
        <v>10178</v>
      </c>
      <c r="AE76" s="292"/>
      <c r="AF76" s="292"/>
      <c r="AG76" s="292"/>
      <c r="AH76" s="292"/>
      <c r="AI76" s="292"/>
      <c r="AJ76" s="292"/>
      <c r="AK76" s="282">
        <f>IF(ISERROR(VLOOKUP(G76,'Planning and Target Times'!$B$106:$D$110,MATCH(F76,INDEX('Planning and Target Times'!$B$106:$D$110,1,0),0),0)),"",(VLOOKUP(G76,'Planning and Target Times'!$B$106:$D$110,MATCH(F76,INDEX('Planning and Target Times'!$B$106:$D$110,1,0),0),0)))</f>
        <v>550</v>
      </c>
      <c r="AL76" s="282" t="str">
        <f>VLOOKUP(G76,'Planning and Target Times'!$I$2:$J$7,2,0)</f>
        <v>Sandstone</v>
      </c>
      <c r="AM76" s="14">
        <f t="shared" si="32"/>
        <v>-2.0208333333284827</v>
      </c>
      <c r="AN76" s="292">
        <v>15.601239087580963</v>
      </c>
      <c r="AO76" s="14" t="s">
        <v>91</v>
      </c>
      <c r="AP76" s="283">
        <f>VLOOKUP(G76,'Planning and Target Times'!$A$43:$L$47,MATCH(F76&amp;"-"&amp;K76&amp;"-"&amp;L76&amp;"-"&amp;J76,INDEX('Planning and Target Times'!$A$43:$L$47,1,0),0),0)</f>
        <v>24</v>
      </c>
      <c r="AQ76" s="385" t="s">
        <v>83</v>
      </c>
      <c r="AR76" s="282">
        <v>2</v>
      </c>
      <c r="AS76" s="384" t="s">
        <v>10</v>
      </c>
      <c r="AT76" s="282" t="s">
        <v>39</v>
      </c>
      <c r="AU76" s="292">
        <v>0.72</v>
      </c>
      <c r="AV76" s="292"/>
      <c r="AW76" s="292"/>
      <c r="AX76" s="384"/>
      <c r="AY76" s="384"/>
      <c r="AZ76" s="292" t="s">
        <v>10</v>
      </c>
      <c r="BA76" s="282">
        <v>12</v>
      </c>
      <c r="BB76" s="282">
        <v>6</v>
      </c>
      <c r="BC76" s="292">
        <v>1600</v>
      </c>
      <c r="BD76" s="292" t="s">
        <v>412</v>
      </c>
      <c r="BE76" s="292"/>
      <c r="BF76" s="282" t="s">
        <v>91</v>
      </c>
      <c r="BG76" s="282"/>
      <c r="BH76" s="292" t="s">
        <v>400</v>
      </c>
      <c r="BI76" s="283">
        <v>288004</v>
      </c>
      <c r="BJ76" s="292"/>
      <c r="BK76" s="302">
        <f>COUNT(P$2:P76)</f>
        <v>75</v>
      </c>
      <c r="BL76" s="302">
        <f>SUMPRODUCT(--(YEAR(P$2:P76)=YEAR(P76)))</f>
        <v>44</v>
      </c>
      <c r="BM76" s="302">
        <f t="shared" si="33"/>
        <v>24</v>
      </c>
      <c r="BN76" s="15">
        <f t="shared" si="35"/>
        <v>50.488425925927004</v>
      </c>
      <c r="BO76" s="292"/>
      <c r="BP76" s="292"/>
      <c r="BQ76" s="467">
        <v>1594.0433333333333</v>
      </c>
      <c r="BR76" s="467">
        <v>1579.3566666666668</v>
      </c>
      <c r="BS76" s="467">
        <v>1364.4183333333335</v>
      </c>
      <c r="BT76" s="467"/>
      <c r="BU76" s="467"/>
      <c r="BV76" s="467"/>
      <c r="BW76" s="467" t="s">
        <v>1877</v>
      </c>
      <c r="BX76" s="469">
        <v>41518</v>
      </c>
      <c r="BY76" s="472">
        <f t="shared" si="34"/>
        <v>23.109054666262342</v>
      </c>
    </row>
    <row r="77" spans="1:77" ht="15" customHeight="1" x14ac:dyDescent="0.25">
      <c r="A77" s="384" t="s">
        <v>243</v>
      </c>
      <c r="B77" s="384" t="s">
        <v>163</v>
      </c>
      <c r="C77" s="302" t="s">
        <v>243</v>
      </c>
      <c r="D77" s="529" t="s">
        <v>2078</v>
      </c>
      <c r="E77" s="384">
        <v>5</v>
      </c>
      <c r="F77" s="384" t="s">
        <v>11</v>
      </c>
      <c r="G77" s="384" t="s">
        <v>22</v>
      </c>
      <c r="H77" s="384" t="s">
        <v>12</v>
      </c>
      <c r="I77" s="384" t="s">
        <v>16</v>
      </c>
      <c r="J77" s="384" t="s">
        <v>298</v>
      </c>
      <c r="K77" s="384" t="s">
        <v>14</v>
      </c>
      <c r="L77" s="384" t="s">
        <v>1416</v>
      </c>
      <c r="M77" s="384" t="s">
        <v>60</v>
      </c>
      <c r="N77" s="292">
        <v>0</v>
      </c>
      <c r="O77" s="13">
        <f t="shared" si="28"/>
        <v>41471.145833333336</v>
      </c>
      <c r="P77" s="284">
        <v>41511.25</v>
      </c>
      <c r="Q77" s="15">
        <v>40.104166666664241</v>
      </c>
      <c r="R77" s="334">
        <f>IF(ISERROR(VLOOKUP(G77,'Planning and Target Times'!$L$1:$AJ$6,MATCH(K77&amp;"_"&amp;L77&amp;"_"&amp;J77,INDEX('Planning and Target Times'!$L$1:$AJ$6,1,0),0),0)+5),"",(VLOOKUP(G77,'Planning and Target Times'!$L$1:$AJ$6,MATCH(K77&amp;"_"&amp;L77&amp;"_"&amp;J77,INDEX('Planning and Target Times'!$L$1:$AJ$6,1,0),0),0)+5))</f>
        <v>75</v>
      </c>
      <c r="S77" s="420">
        <f t="shared" si="29"/>
        <v>70</v>
      </c>
      <c r="T77" s="392">
        <f>VLOOKUP(G77,'Planning and Target Times'!$A$7:$G$12,MATCH(K77&amp;"-"&amp;L77&amp;"-"&amp;J77,INDEX('Planning and Target Times'!$A$7:$G$12,1,0),0),0)</f>
        <v>33</v>
      </c>
      <c r="U77" s="292">
        <v>7.0208333333357587</v>
      </c>
      <c r="V77" s="14">
        <f t="shared" si="30"/>
        <v>47.125</v>
      </c>
      <c r="W77" s="292">
        <v>1490</v>
      </c>
      <c r="X77" s="286" t="str">
        <f t="shared" si="31"/>
        <v>LB</v>
      </c>
      <c r="Y77" s="302">
        <v>9571</v>
      </c>
      <c r="Z77" s="302">
        <v>5840</v>
      </c>
      <c r="AA77" s="302">
        <v>8078</v>
      </c>
      <c r="AB77" s="302">
        <v>9568</v>
      </c>
      <c r="AC77" s="302"/>
      <c r="AD77" s="302"/>
      <c r="AE77" s="292"/>
      <c r="AF77" s="292"/>
      <c r="AG77" s="292"/>
      <c r="AH77" s="292"/>
      <c r="AI77" s="292"/>
      <c r="AJ77" s="292"/>
      <c r="AK77" s="282">
        <f>IF(ISERROR(VLOOKUP(G77,'Planning and Target Times'!$B$106:$D$110,MATCH(F77,INDEX('Planning and Target Times'!$B$106:$D$110,1,0),0),0)),"",(VLOOKUP(G77,'Planning and Target Times'!$B$106:$D$110,MATCH(F77,INDEX('Planning and Target Times'!$B$106:$D$110,1,0),0),0)))</f>
        <v>550</v>
      </c>
      <c r="AL77" s="282" t="str">
        <f>VLOOKUP(G77,'Planning and Target Times'!$I$2:$J$7,2,0)</f>
        <v>Sandstone</v>
      </c>
      <c r="AM77" s="14">
        <f t="shared" si="32"/>
        <v>-27.875</v>
      </c>
      <c r="AN77" s="292">
        <v>6.5428824049513707</v>
      </c>
      <c r="AO77" s="14">
        <f>BF77/Q77</f>
        <v>62.088311688315443</v>
      </c>
      <c r="AP77" s="283">
        <f>VLOOKUP(G77,'Planning and Target Times'!$A$43:$L$47,MATCH(F77&amp;"-"&amp;K77&amp;"-"&amp;L77&amp;"-"&amp;J77,INDEX('Planning and Target Times'!$A$43:$L$47,1,0),0),0)</f>
        <v>28</v>
      </c>
      <c r="AQ77" s="384" t="s">
        <v>416</v>
      </c>
      <c r="AR77" s="292" t="s">
        <v>91</v>
      </c>
      <c r="AS77" s="292" t="s">
        <v>91</v>
      </c>
      <c r="AT77" s="292" t="s">
        <v>91</v>
      </c>
      <c r="AU77" s="292">
        <v>0.62</v>
      </c>
      <c r="AV77" s="292"/>
      <c r="AW77" s="292"/>
      <c r="AX77" s="384"/>
      <c r="AY77" s="384"/>
      <c r="AZ77" s="283" t="s">
        <v>299</v>
      </c>
      <c r="BA77" s="292">
        <v>0</v>
      </c>
      <c r="BB77" s="292">
        <v>0</v>
      </c>
      <c r="BC77" s="292"/>
      <c r="BD77" s="292">
        <v>2490</v>
      </c>
      <c r="BE77" s="292">
        <v>0</v>
      </c>
      <c r="BF77" s="282">
        <f>(1-BE77/100)*BD77</f>
        <v>2490</v>
      </c>
      <c r="BG77" s="282"/>
      <c r="BH77" s="282" t="s">
        <v>399</v>
      </c>
      <c r="BI77" s="283">
        <v>288006</v>
      </c>
      <c r="BJ77" s="292"/>
      <c r="BK77" s="302">
        <f>COUNT(P$2:P77)</f>
        <v>76</v>
      </c>
      <c r="BL77" s="302">
        <f>SUMPRODUCT(--(YEAR(P$2:P77)=YEAR(P77)))</f>
        <v>45</v>
      </c>
      <c r="BM77" s="302">
        <f t="shared" si="33"/>
        <v>25</v>
      </c>
      <c r="BN77" s="15">
        <f t="shared" si="35"/>
        <v>51.152777777778589</v>
      </c>
      <c r="BO77" s="292"/>
      <c r="BP77" s="292"/>
      <c r="BQ77" s="467">
        <v>1824.3733333333332</v>
      </c>
      <c r="BR77" s="467">
        <v>1604.9083333333335</v>
      </c>
      <c r="BS77" s="467">
        <v>1342.3374999999999</v>
      </c>
      <c r="BT77" s="467"/>
      <c r="BU77" s="467"/>
      <c r="BV77" s="467"/>
      <c r="BW77" s="467" t="s">
        <v>1877</v>
      </c>
      <c r="BX77" s="469">
        <v>41518</v>
      </c>
      <c r="BY77" s="472">
        <f t="shared" si="34"/>
        <v>45.490867532470283</v>
      </c>
    </row>
    <row r="78" spans="1:77" ht="15" customHeight="1" x14ac:dyDescent="0.25">
      <c r="A78" s="384" t="s">
        <v>246</v>
      </c>
      <c r="B78" s="384" t="s">
        <v>160</v>
      </c>
      <c r="C78" s="302" t="s">
        <v>160</v>
      </c>
      <c r="D78" s="529" t="s">
        <v>2079</v>
      </c>
      <c r="E78" s="384">
        <v>1</v>
      </c>
      <c r="F78" s="384" t="s">
        <v>42</v>
      </c>
      <c r="G78" s="384" t="s">
        <v>22</v>
      </c>
      <c r="H78" s="384" t="s">
        <v>28</v>
      </c>
      <c r="I78" s="384" t="s">
        <v>16</v>
      </c>
      <c r="J78" s="384" t="s">
        <v>298</v>
      </c>
      <c r="K78" s="384" t="s">
        <v>14</v>
      </c>
      <c r="L78" s="384" t="s">
        <v>1416</v>
      </c>
      <c r="M78" s="384" t="s">
        <v>60</v>
      </c>
      <c r="N78" s="281">
        <v>1</v>
      </c>
      <c r="O78" s="13">
        <f t="shared" si="28"/>
        <v>41466.125</v>
      </c>
      <c r="P78" s="284">
        <v>41516.916666666664</v>
      </c>
      <c r="Q78" s="15">
        <v>50.791666666664241</v>
      </c>
      <c r="R78" s="334">
        <f>IF(ISERROR(VLOOKUP(G78,'Planning and Target Times'!$L$1:$AJ$6,MATCH(K78&amp;"_"&amp;L78&amp;"_"&amp;J78,INDEX('Planning and Target Times'!$L$1:$AJ$6,1,0),0),0)+5),"",(VLOOKUP(G78,'Planning and Target Times'!$L$1:$AJ$6,MATCH(K78&amp;"_"&amp;L78&amp;"_"&amp;J78,INDEX('Planning and Target Times'!$L$1:$AJ$6,1,0),0),0)+5))</f>
        <v>75</v>
      </c>
      <c r="S78" s="420">
        <f t="shared" si="29"/>
        <v>70</v>
      </c>
      <c r="T78" s="392">
        <f>VLOOKUP(G78,'Planning and Target Times'!$A$7:$G$12,MATCH(K78&amp;"-"&amp;L78&amp;"-"&amp;J78,INDEX('Planning and Target Times'!$A$7:$G$12,1,0),0),0)</f>
        <v>33</v>
      </c>
      <c r="U78" s="292">
        <v>9.3333333333357587</v>
      </c>
      <c r="V78" s="14">
        <f t="shared" si="30"/>
        <v>60.125</v>
      </c>
      <c r="W78" s="292">
        <v>2520</v>
      </c>
      <c r="X78" s="286" t="str">
        <f t="shared" si="31"/>
        <v>LB</v>
      </c>
      <c r="Y78" s="302">
        <v>10927</v>
      </c>
      <c r="Z78" s="302">
        <v>6042</v>
      </c>
      <c r="AA78" s="302">
        <v>8410</v>
      </c>
      <c r="AB78" s="302">
        <v>10925</v>
      </c>
      <c r="AC78" s="302"/>
      <c r="AD78" s="302"/>
      <c r="AE78" s="292"/>
      <c r="AF78" s="292"/>
      <c r="AG78" s="292"/>
      <c r="AH78" s="292"/>
      <c r="AI78" s="292"/>
      <c r="AJ78" s="292"/>
      <c r="AK78" s="282">
        <f>IF(ISERROR(VLOOKUP(G78,'Planning and Target Times'!$B$106:$D$110,MATCH(F78,INDEX('Planning and Target Times'!$B$106:$D$110,1,0),0),0)),"",(VLOOKUP(G78,'Planning and Target Times'!$B$106:$D$110,MATCH(F78,INDEX('Planning and Target Times'!$B$106:$D$110,1,0),0),0)))</f>
        <v>900</v>
      </c>
      <c r="AL78" s="282" t="str">
        <f>VLOOKUP(G78,'Planning and Target Times'!$I$2:$J$7,2,0)</f>
        <v>Sandstone</v>
      </c>
      <c r="AM78" s="14">
        <f t="shared" si="32"/>
        <v>-14.875</v>
      </c>
      <c r="AN78" s="292">
        <v>7.8974714236231387</v>
      </c>
      <c r="AO78" s="14">
        <f>BF78/Q78</f>
        <v>38.96859721083041</v>
      </c>
      <c r="AP78" s="283">
        <f>VLOOKUP(G78,'Planning and Target Times'!$A$43:$L$47,MATCH(F78&amp;"-"&amp;K78&amp;"-"&amp;L78&amp;"-"&amp;J78,INDEX('Planning and Target Times'!$A$43:$L$47,1,0),0),0)</f>
        <v>34</v>
      </c>
      <c r="AQ78" s="384" t="s">
        <v>416</v>
      </c>
      <c r="AR78" s="292" t="s">
        <v>91</v>
      </c>
      <c r="AS78" s="292" t="s">
        <v>91</v>
      </c>
      <c r="AT78" s="292" t="s">
        <v>91</v>
      </c>
      <c r="AU78" s="292">
        <v>0.71</v>
      </c>
      <c r="AV78" s="292"/>
      <c r="AW78" s="292"/>
      <c r="AX78" s="384"/>
      <c r="AY78" s="384"/>
      <c r="AZ78" s="292" t="s">
        <v>10</v>
      </c>
      <c r="BA78" s="292">
        <v>0</v>
      </c>
      <c r="BB78" s="292">
        <v>0</v>
      </c>
      <c r="BC78" s="292"/>
      <c r="BD78" s="292">
        <v>2749</v>
      </c>
      <c r="BE78" s="282">
        <v>28</v>
      </c>
      <c r="BF78" s="282">
        <f>(1-BE78/100)*BD78</f>
        <v>1979.28</v>
      </c>
      <c r="BG78" s="282"/>
      <c r="BH78" s="282" t="s">
        <v>361</v>
      </c>
      <c r="BI78" s="283">
        <v>288197</v>
      </c>
      <c r="BJ78" s="292"/>
      <c r="BK78" s="302">
        <f>COUNT(P$2:P78)</f>
        <v>77</v>
      </c>
      <c r="BL78" s="302">
        <f>SUMPRODUCT(--(YEAR(P$2:P78)=YEAR(P78)))</f>
        <v>46</v>
      </c>
      <c r="BM78" s="302">
        <f t="shared" si="33"/>
        <v>26</v>
      </c>
      <c r="BN78" s="15">
        <f t="shared" si="35"/>
        <v>48.807870370370637</v>
      </c>
      <c r="BO78" s="292"/>
      <c r="BP78" s="292"/>
      <c r="BQ78" s="467">
        <v>1675.78</v>
      </c>
      <c r="BR78" s="467">
        <v>1166.4466666666667</v>
      </c>
      <c r="BS78" s="467">
        <v>761.71416666666664</v>
      </c>
      <c r="BT78" s="467"/>
      <c r="BU78" s="467"/>
      <c r="BV78" s="467"/>
      <c r="BW78" s="467" t="s">
        <v>1877</v>
      </c>
      <c r="BX78" s="469">
        <v>41518</v>
      </c>
      <c r="BY78" s="472">
        <f t="shared" si="34"/>
        <v>32.993207547171387</v>
      </c>
    </row>
    <row r="79" spans="1:77" x14ac:dyDescent="0.25">
      <c r="A79" s="384" t="s">
        <v>248</v>
      </c>
      <c r="B79" s="384" t="s">
        <v>140</v>
      </c>
      <c r="C79" s="302" t="s">
        <v>140</v>
      </c>
      <c r="D79" s="529" t="s">
        <v>2080</v>
      </c>
      <c r="E79" s="384">
        <v>1</v>
      </c>
      <c r="F79" s="384" t="s">
        <v>42</v>
      </c>
      <c r="G79" s="384" t="s">
        <v>44</v>
      </c>
      <c r="H79" s="384" t="s">
        <v>36</v>
      </c>
      <c r="I79" s="384" t="s">
        <v>16</v>
      </c>
      <c r="J79" s="384" t="s">
        <v>298</v>
      </c>
      <c r="K79" s="384" t="s">
        <v>14</v>
      </c>
      <c r="L79" s="384" t="s">
        <v>1410</v>
      </c>
      <c r="M79" s="384" t="s">
        <v>60</v>
      </c>
      <c r="N79" s="281">
        <v>2</v>
      </c>
      <c r="O79" s="13">
        <f t="shared" si="28"/>
        <v>41438.583333333336</v>
      </c>
      <c r="P79" s="284">
        <v>41525.916666666664</v>
      </c>
      <c r="Q79" s="15">
        <v>87.333333333328483</v>
      </c>
      <c r="R79" s="334">
        <f>IF(ISERROR(VLOOKUP(G79,'Planning and Target Times'!$L$1:$AJ$6,MATCH(K79&amp;"_"&amp;L79&amp;"_"&amp;J79,INDEX('Planning and Target Times'!$L$1:$AJ$6,1,0),0),0)+5),"",(VLOOKUP(G79,'Planning and Target Times'!$L$1:$AJ$6,MATCH(K79&amp;"_"&amp;L79&amp;"_"&amp;J79,INDEX('Planning and Target Times'!$L$1:$AJ$6,1,0),0),0)+5))</f>
        <v>103</v>
      </c>
      <c r="S79" s="420">
        <f t="shared" si="29"/>
        <v>98</v>
      </c>
      <c r="T79" s="392">
        <f>VLOOKUP(G79,'Planning and Target Times'!$A$7:$G$12,MATCH(K79&amp;"-"&amp;L79&amp;"-"&amp;J79,INDEX('Planning and Target Times'!$A$7:$G$12,1,0),0),0)</f>
        <v>75</v>
      </c>
      <c r="U79" s="292">
        <v>2.9166666666715173</v>
      </c>
      <c r="V79" s="14">
        <f t="shared" si="30"/>
        <v>90.25</v>
      </c>
      <c r="W79" s="292">
        <v>492</v>
      </c>
      <c r="X79" s="286" t="str">
        <f t="shared" si="31"/>
        <v>ZU/RT</v>
      </c>
      <c r="Y79" s="302">
        <v>11379</v>
      </c>
      <c r="Z79" s="302">
        <v>6013</v>
      </c>
      <c r="AA79" s="302">
        <v>9179</v>
      </c>
      <c r="AB79" s="302">
        <v>10193</v>
      </c>
      <c r="AC79" s="302"/>
      <c r="AD79" s="302">
        <v>11353</v>
      </c>
      <c r="AE79" s="292"/>
      <c r="AF79" s="292"/>
      <c r="AG79" s="292"/>
      <c r="AH79" s="292"/>
      <c r="AI79" s="292"/>
      <c r="AJ79" s="292"/>
      <c r="AK79" s="282">
        <f>IF(ISERROR(VLOOKUP(G79,'Planning and Target Times'!$B$106:$D$110,MATCH(F79,INDEX('Planning and Target Times'!$B$106:$D$110,1,0),0),0)),"",(VLOOKUP(G79,'Planning and Target Times'!$B$106:$D$110,MATCH(F79,INDEX('Planning and Target Times'!$B$106:$D$110,1,0),0),0)))</f>
        <v>1560</v>
      </c>
      <c r="AL79" s="282" t="str">
        <f>VLOOKUP(G79,'Planning and Target Times'!$I$2:$J$7,2,0)</f>
        <v>Sandstone</v>
      </c>
      <c r="AM79" s="14">
        <f t="shared" si="32"/>
        <v>-12.75</v>
      </c>
      <c r="AN79" s="292">
        <v>35.510390500114184</v>
      </c>
      <c r="AO79" s="14" t="s">
        <v>91</v>
      </c>
      <c r="AP79" s="283">
        <f>VLOOKUP(G79,'Planning and Target Times'!$A$43:$L$47,MATCH(F79&amp;"-"&amp;K79&amp;"-"&amp;L79&amp;"-"&amp;J79,INDEX('Planning and Target Times'!$A$43:$L$47,1,0),0),0)</f>
        <v>27</v>
      </c>
      <c r="AQ79" s="385" t="s">
        <v>83</v>
      </c>
      <c r="AR79" s="292">
        <v>1</v>
      </c>
      <c r="AS79" s="384" t="s">
        <v>10</v>
      </c>
      <c r="AT79" s="282" t="s">
        <v>39</v>
      </c>
      <c r="AU79" s="292">
        <v>1</v>
      </c>
      <c r="AV79" s="292"/>
      <c r="AW79" s="292"/>
      <c r="AX79" s="384"/>
      <c r="AY79" s="384"/>
      <c r="AZ79" s="292" t="s">
        <v>10</v>
      </c>
      <c r="BA79" s="292">
        <v>6</v>
      </c>
      <c r="BB79" s="292">
        <v>3</v>
      </c>
      <c r="BC79" s="292">
        <v>4000</v>
      </c>
      <c r="BD79" s="292" t="s">
        <v>412</v>
      </c>
      <c r="BE79" s="281"/>
      <c r="BF79" s="282" t="s">
        <v>91</v>
      </c>
      <c r="BG79" s="282"/>
      <c r="BH79" s="292" t="s">
        <v>356</v>
      </c>
      <c r="BI79" s="283">
        <v>288250</v>
      </c>
      <c r="BJ79" s="292"/>
      <c r="BK79" s="302">
        <f>COUNT(P$2:P79)</f>
        <v>78</v>
      </c>
      <c r="BL79" s="302">
        <f>SUMPRODUCT(--(YEAR(P$2:P79)=YEAR(P79)))</f>
        <v>47</v>
      </c>
      <c r="BM79" s="302">
        <f t="shared" si="33"/>
        <v>27</v>
      </c>
      <c r="BN79" s="15">
        <f t="shared" si="35"/>
        <v>52.660416666666421</v>
      </c>
      <c r="BO79" s="292"/>
      <c r="BP79" s="292"/>
      <c r="BQ79" s="467">
        <v>1892.1766666666665</v>
      </c>
      <c r="BR79" s="467">
        <v>1835.585</v>
      </c>
      <c r="BS79" s="467">
        <v>1827.2425000000001</v>
      </c>
      <c r="BT79" s="467"/>
      <c r="BU79" s="467"/>
      <c r="BV79" s="467"/>
      <c r="BW79" s="467" t="s">
        <v>1877</v>
      </c>
      <c r="BX79" s="469">
        <v>41518</v>
      </c>
      <c r="BY79" s="472">
        <f t="shared" si="34"/>
        <v>21.666145038169141</v>
      </c>
    </row>
    <row r="80" spans="1:77" ht="15" customHeight="1" x14ac:dyDescent="0.25">
      <c r="A80" s="384" t="s">
        <v>247</v>
      </c>
      <c r="B80" s="384" t="s">
        <v>139</v>
      </c>
      <c r="C80" s="302" t="s">
        <v>139</v>
      </c>
      <c r="D80" s="529" t="s">
        <v>2081</v>
      </c>
      <c r="E80" s="384">
        <v>2</v>
      </c>
      <c r="F80" s="384" t="s">
        <v>11</v>
      </c>
      <c r="G80" s="384" t="s">
        <v>44</v>
      </c>
      <c r="H80" s="384" t="s">
        <v>46</v>
      </c>
      <c r="I80" s="384" t="s">
        <v>16</v>
      </c>
      <c r="J80" s="384" t="s">
        <v>298</v>
      </c>
      <c r="K80" s="384" t="s">
        <v>14</v>
      </c>
      <c r="L80" s="384" t="s">
        <v>1410</v>
      </c>
      <c r="M80" s="384" t="s">
        <v>60</v>
      </c>
      <c r="N80" s="292">
        <v>1</v>
      </c>
      <c r="O80" s="13">
        <f t="shared" si="28"/>
        <v>41417.416666666664</v>
      </c>
      <c r="P80" s="284">
        <v>41527.25</v>
      </c>
      <c r="Q80" s="15">
        <v>109.83333333333576</v>
      </c>
      <c r="R80" s="334">
        <f>IF(ISERROR(VLOOKUP(G80,'Planning and Target Times'!$L$1:$AJ$6,MATCH(K80&amp;"_"&amp;L80&amp;"_"&amp;J80,INDEX('Planning and Target Times'!$L$1:$AJ$6,1,0),0),0)+5),"",(VLOOKUP(G80,'Planning and Target Times'!$L$1:$AJ$6,MATCH(K80&amp;"_"&amp;L80&amp;"_"&amp;J80,INDEX('Planning and Target Times'!$L$1:$AJ$6,1,0),0),0)+5))</f>
        <v>103</v>
      </c>
      <c r="S80" s="420">
        <f t="shared" si="29"/>
        <v>98</v>
      </c>
      <c r="T80" s="392">
        <f>VLOOKUP(G80,'Planning and Target Times'!$A$7:$G$12,MATCH(K80&amp;"-"&amp;L80&amp;"-"&amp;J80,INDEX('Planning and Target Times'!$A$7:$G$12,1,0),0),0)</f>
        <v>75</v>
      </c>
      <c r="U80" s="292">
        <v>5</v>
      </c>
      <c r="V80" s="14">
        <f t="shared" si="30"/>
        <v>114.83333333333576</v>
      </c>
      <c r="W80" s="292">
        <v>2130</v>
      </c>
      <c r="X80" s="286" t="str">
        <f t="shared" si="31"/>
        <v>ZU/RT</v>
      </c>
      <c r="Y80" s="302">
        <v>14001</v>
      </c>
      <c r="Z80" s="302">
        <v>5993</v>
      </c>
      <c r="AA80" s="302">
        <v>9202</v>
      </c>
      <c r="AB80" s="302">
        <v>11871</v>
      </c>
      <c r="AC80" s="302"/>
      <c r="AD80" s="302"/>
      <c r="AE80" s="292"/>
      <c r="AF80" s="292"/>
      <c r="AG80" s="292"/>
      <c r="AH80" s="292"/>
      <c r="AI80" s="292"/>
      <c r="AJ80" s="292"/>
      <c r="AK80" s="282">
        <f>IF(ISERROR(VLOOKUP(G80,'Planning and Target Times'!$B$106:$D$110,MATCH(F80,INDEX('Planning and Target Times'!$B$106:$D$110,1,0),0),0)),"",(VLOOKUP(G80,'Planning and Target Times'!$B$106:$D$110,MATCH(F80,INDEX('Planning and Target Times'!$B$106:$D$110,1,0),0),0)))</f>
        <v>920</v>
      </c>
      <c r="AL80" s="282" t="str">
        <f>VLOOKUP(G80,'Planning and Target Times'!$I$2:$J$7,2,0)</f>
        <v>Sandstone</v>
      </c>
      <c r="AM80" s="14">
        <f t="shared" si="32"/>
        <v>11.833333333335759</v>
      </c>
      <c r="AN80" s="292">
        <v>28.991291727140784</v>
      </c>
      <c r="AO80" s="14">
        <f>BF80/Q80</f>
        <v>25.260091047040415</v>
      </c>
      <c r="AP80" s="283">
        <f>VLOOKUP(G80,'Planning and Target Times'!$A$43:$L$47,MATCH(F80&amp;"-"&amp;K80&amp;"-"&amp;L80&amp;"-"&amp;J80,INDEX('Planning and Target Times'!$A$43:$L$47,1,0),0),0)</f>
        <v>18</v>
      </c>
      <c r="AQ80" s="385" t="s">
        <v>83</v>
      </c>
      <c r="AR80" s="292">
        <v>2</v>
      </c>
      <c r="AS80" s="384" t="s">
        <v>10</v>
      </c>
      <c r="AT80" s="282" t="s">
        <v>39</v>
      </c>
      <c r="AU80" s="292">
        <v>0.99</v>
      </c>
      <c r="AV80" s="292"/>
      <c r="AW80" s="292"/>
      <c r="AX80" s="384"/>
      <c r="AY80" s="384"/>
      <c r="AZ80" s="292" t="s">
        <v>10</v>
      </c>
      <c r="BA80" s="292">
        <v>51</v>
      </c>
      <c r="BB80" s="292">
        <v>17</v>
      </c>
      <c r="BC80" s="292">
        <v>4000</v>
      </c>
      <c r="BD80" s="282">
        <v>3468</v>
      </c>
      <c r="BE80" s="282">
        <v>20</v>
      </c>
      <c r="BF80" s="282">
        <f>(1-BE80/100)*BD80</f>
        <v>2774.4</v>
      </c>
      <c r="BG80" s="282"/>
      <c r="BH80" s="292" t="s">
        <v>391</v>
      </c>
      <c r="BI80" s="283">
        <v>288133</v>
      </c>
      <c r="BJ80" s="292"/>
      <c r="BK80" s="302">
        <f>COUNT(P$2:P80)</f>
        <v>79</v>
      </c>
      <c r="BL80" s="302">
        <f>SUMPRODUCT(--(YEAR(P$2:P80)=YEAR(P80)))</f>
        <v>48</v>
      </c>
      <c r="BM80" s="302">
        <f t="shared" si="33"/>
        <v>28</v>
      </c>
      <c r="BN80" s="15">
        <f t="shared" si="35"/>
        <v>59.02291666666715</v>
      </c>
      <c r="BO80" s="292"/>
      <c r="BP80" s="292"/>
      <c r="BQ80" s="467">
        <v>2591.9233333333336</v>
      </c>
      <c r="BR80" s="467">
        <v>2425.8150000000001</v>
      </c>
      <c r="BS80" s="467">
        <v>1975.9525000000001</v>
      </c>
      <c r="BT80" s="467"/>
      <c r="BU80" s="467"/>
      <c r="BV80" s="467"/>
      <c r="BW80" s="467" t="s">
        <v>1877</v>
      </c>
      <c r="BX80" s="469">
        <v>41518</v>
      </c>
      <c r="BY80" s="472">
        <f t="shared" si="34"/>
        <v>23.598694992412227</v>
      </c>
    </row>
    <row r="81" spans="1:77" ht="15" customHeight="1" x14ac:dyDescent="0.25">
      <c r="A81" s="384" t="s">
        <v>249</v>
      </c>
      <c r="B81" s="384" t="s">
        <v>141</v>
      </c>
      <c r="C81" s="302" t="s">
        <v>141</v>
      </c>
      <c r="D81" s="529" t="s">
        <v>2082</v>
      </c>
      <c r="E81" s="384">
        <v>5</v>
      </c>
      <c r="F81" s="384" t="s">
        <v>42</v>
      </c>
      <c r="G81" s="384" t="s">
        <v>44</v>
      </c>
      <c r="H81" s="384" t="s">
        <v>25</v>
      </c>
      <c r="I81" s="384" t="s">
        <v>16</v>
      </c>
      <c r="J81" s="384" t="s">
        <v>298</v>
      </c>
      <c r="K81" s="384" t="s">
        <v>14</v>
      </c>
      <c r="L81" s="384" t="s">
        <v>1410</v>
      </c>
      <c r="M81" s="384" t="s">
        <v>60</v>
      </c>
      <c r="N81" s="281">
        <v>1</v>
      </c>
      <c r="O81" s="13">
        <f t="shared" si="28"/>
        <v>41463.333333333336</v>
      </c>
      <c r="P81" s="284">
        <v>41528.375</v>
      </c>
      <c r="Q81" s="15">
        <v>65.041666666664241</v>
      </c>
      <c r="R81" s="334">
        <f>IF(ISERROR(VLOOKUP(G81,'Planning and Target Times'!$L$1:$AJ$6,MATCH(K81&amp;"_"&amp;L81&amp;"_"&amp;J81,INDEX('Planning and Target Times'!$L$1:$AJ$6,1,0),0),0)+5),"",(VLOOKUP(G81,'Planning and Target Times'!$L$1:$AJ$6,MATCH(K81&amp;"_"&amp;L81&amp;"_"&amp;J81,INDEX('Planning and Target Times'!$L$1:$AJ$6,1,0),0),0)+5))</f>
        <v>103</v>
      </c>
      <c r="S81" s="420">
        <f t="shared" si="29"/>
        <v>98</v>
      </c>
      <c r="T81" s="392">
        <f>VLOOKUP(G81,'Planning and Target Times'!$A$7:$G$12,MATCH(K81&amp;"-"&amp;L81&amp;"-"&amp;J81,INDEX('Planning and Target Times'!$A$7:$G$12,1,0),0),0)</f>
        <v>75</v>
      </c>
      <c r="U81" s="292">
        <v>1.9375</v>
      </c>
      <c r="V81" s="14">
        <f t="shared" si="30"/>
        <v>66.979166666664241</v>
      </c>
      <c r="W81" s="292">
        <v>1052</v>
      </c>
      <c r="X81" s="286" t="str">
        <f t="shared" si="31"/>
        <v>ZU/RT</v>
      </c>
      <c r="Y81" s="302">
        <v>11209</v>
      </c>
      <c r="Z81" s="302">
        <v>6006</v>
      </c>
      <c r="AA81" s="302">
        <v>9315</v>
      </c>
      <c r="AB81" s="302">
        <v>10158</v>
      </c>
      <c r="AC81" s="302"/>
      <c r="AD81" s="302"/>
      <c r="AE81" s="292"/>
      <c r="AF81" s="292"/>
      <c r="AG81" s="292"/>
      <c r="AH81" s="292"/>
      <c r="AI81" s="292"/>
      <c r="AJ81" s="292"/>
      <c r="AK81" s="282">
        <f>IF(ISERROR(VLOOKUP(G81,'Planning and Target Times'!$B$106:$D$110,MATCH(F81,INDEX('Planning and Target Times'!$B$106:$D$110,1,0),0),0)),"",(VLOOKUP(G81,'Planning and Target Times'!$B$106:$D$110,MATCH(F81,INDEX('Planning and Target Times'!$B$106:$D$110,1,0),0),0)))</f>
        <v>1560</v>
      </c>
      <c r="AL81" s="282" t="str">
        <f>VLOOKUP(G81,'Planning and Target Times'!$I$2:$J$7,2,0)</f>
        <v>Sandstone</v>
      </c>
      <c r="AM81" s="14">
        <f t="shared" si="32"/>
        <v>-36.020833333335759</v>
      </c>
      <c r="AN81" s="292">
        <v>21.181959564541213</v>
      </c>
      <c r="AO81" s="14">
        <f>BF81/Q81</f>
        <v>43.950826393339241</v>
      </c>
      <c r="AP81" s="283">
        <f>VLOOKUP(G81,'Planning and Target Times'!$A$43:$L$47,MATCH(F81&amp;"-"&amp;K81&amp;"-"&amp;L81&amp;"-"&amp;J81,INDEX('Planning and Target Times'!$A$43:$L$47,1,0),0),0)</f>
        <v>27</v>
      </c>
      <c r="AQ81" s="385" t="s">
        <v>83</v>
      </c>
      <c r="AR81" s="292">
        <v>1</v>
      </c>
      <c r="AS81" s="384" t="s">
        <v>10</v>
      </c>
      <c r="AT81" s="282" t="s">
        <v>39</v>
      </c>
      <c r="AU81" s="292">
        <v>1</v>
      </c>
      <c r="AV81" s="292"/>
      <c r="AW81" s="292"/>
      <c r="AX81" s="384"/>
      <c r="AY81" s="384"/>
      <c r="AZ81" s="283" t="s">
        <v>299</v>
      </c>
      <c r="BA81" s="292">
        <v>23</v>
      </c>
      <c r="BB81" s="292">
        <v>12</v>
      </c>
      <c r="BC81" s="292">
        <v>4000</v>
      </c>
      <c r="BD81" s="292">
        <v>2873</v>
      </c>
      <c r="BE81" s="282">
        <v>0.5</v>
      </c>
      <c r="BF81" s="282">
        <f>(1-BE81/100)*BD81</f>
        <v>2858.6349999999998</v>
      </c>
      <c r="BG81" s="282"/>
      <c r="BH81" s="23" t="s">
        <v>333</v>
      </c>
      <c r="BI81" s="283">
        <v>288245</v>
      </c>
      <c r="BJ81" s="292"/>
      <c r="BK81" s="302">
        <f>COUNT(P$2:P81)</f>
        <v>80</v>
      </c>
      <c r="BL81" s="302">
        <f>SUMPRODUCT(--(YEAR(P$2:P81)=YEAR(P81)))</f>
        <v>49</v>
      </c>
      <c r="BM81" s="302">
        <f t="shared" si="33"/>
        <v>29</v>
      </c>
      <c r="BN81" s="15">
        <f t="shared" si="35"/>
        <v>61.254166666666421</v>
      </c>
      <c r="BO81" s="292"/>
      <c r="BP81" s="292"/>
      <c r="BQ81" s="467">
        <v>2436.4599999999996</v>
      </c>
      <c r="BR81" s="467">
        <v>2780.5033333333336</v>
      </c>
      <c r="BS81" s="467">
        <v>3102.0025000000005</v>
      </c>
      <c r="BT81" s="467"/>
      <c r="BU81" s="467"/>
      <c r="BV81" s="467"/>
      <c r="BW81" s="467" t="s">
        <v>1877</v>
      </c>
      <c r="BX81" s="469">
        <v>41518</v>
      </c>
      <c r="BY81" s="472">
        <f t="shared" si="34"/>
        <v>37.459987187701586</v>
      </c>
    </row>
    <row r="82" spans="1:77" ht="15" customHeight="1" x14ac:dyDescent="0.25">
      <c r="A82" s="384" t="s">
        <v>250</v>
      </c>
      <c r="B82" s="384" t="s">
        <v>142</v>
      </c>
      <c r="C82" s="302" t="s">
        <v>142</v>
      </c>
      <c r="D82" s="529" t="s">
        <v>2083</v>
      </c>
      <c r="E82" s="384">
        <v>2</v>
      </c>
      <c r="F82" s="384" t="s">
        <v>42</v>
      </c>
      <c r="G82" s="384" t="s">
        <v>29</v>
      </c>
      <c r="H82" s="384" t="s">
        <v>37</v>
      </c>
      <c r="I82" s="384" t="s">
        <v>16</v>
      </c>
      <c r="J82" s="384" t="s">
        <v>298</v>
      </c>
      <c r="K82" s="384" t="s">
        <v>14</v>
      </c>
      <c r="L82" s="384" t="s">
        <v>1410</v>
      </c>
      <c r="M82" s="384" t="s">
        <v>74</v>
      </c>
      <c r="N82" s="281">
        <v>1</v>
      </c>
      <c r="O82" s="13">
        <f t="shared" si="28"/>
        <v>41492.479166666664</v>
      </c>
      <c r="P82" s="284">
        <v>41539.25</v>
      </c>
      <c r="Q82" s="15">
        <v>46.770833333335759</v>
      </c>
      <c r="R82" s="334">
        <f>IF(ISERROR(VLOOKUP(G82,'Planning and Target Times'!$L$1:$AJ$6,MATCH(K82&amp;"_"&amp;L82&amp;"_"&amp;J82,INDEX('Planning and Target Times'!$L$1:$AJ$6,1,0),0),0)+5),"",(VLOOKUP(G82,'Planning and Target Times'!$L$1:$AJ$6,MATCH(K82&amp;"_"&amp;L82&amp;"_"&amp;J82,INDEX('Planning and Target Times'!$L$1:$AJ$6,1,0),0),0)+5))</f>
        <v>75</v>
      </c>
      <c r="S82" s="420">
        <f t="shared" si="29"/>
        <v>70</v>
      </c>
      <c r="T82" s="392">
        <f>VLOOKUP(G82,'Planning and Target Times'!$A$7:$G$12,MATCH(K82&amp;"-"&amp;L82&amp;"-"&amp;J82,INDEX('Planning and Target Times'!$A$7:$G$12,1,0),0),0)</f>
        <v>35</v>
      </c>
      <c r="U82" s="292">
        <v>2.8958333333284827</v>
      </c>
      <c r="V82" s="14">
        <f t="shared" si="30"/>
        <v>49.666666666664241</v>
      </c>
      <c r="W82" s="282">
        <v>190</v>
      </c>
      <c r="X82" s="286" t="str">
        <f t="shared" si="31"/>
        <v>UB</v>
      </c>
      <c r="Y82" s="302">
        <v>8947</v>
      </c>
      <c r="Z82" s="302">
        <v>6033</v>
      </c>
      <c r="AA82" s="302">
        <v>7762</v>
      </c>
      <c r="AB82" s="302">
        <v>8744</v>
      </c>
      <c r="AC82" s="302"/>
      <c r="AD82" s="302">
        <v>8910</v>
      </c>
      <c r="AE82" s="292"/>
      <c r="AF82" s="292"/>
      <c r="AG82" s="292"/>
      <c r="AH82" s="292"/>
      <c r="AI82" s="292"/>
      <c r="AJ82" s="292"/>
      <c r="AK82" s="282">
        <f>IF(ISERROR(VLOOKUP(G82,'Planning and Target Times'!$B$106:$D$110,MATCH(F82,INDEX('Planning and Target Times'!$B$106:$D$110,1,0),0),0)),"",(VLOOKUP(G82,'Planning and Target Times'!$B$106:$D$110,MATCH(F82,INDEX('Planning and Target Times'!$B$106:$D$110,1,0),0),0)))</f>
        <v>940</v>
      </c>
      <c r="AL82" s="282" t="str">
        <f>VLOOKUP(G82,'Planning and Target Times'!$I$2:$J$7,2,0)</f>
        <v>Sandstone</v>
      </c>
      <c r="AM82" s="14">
        <f t="shared" si="32"/>
        <v>-25.333333333335759</v>
      </c>
      <c r="AN82" s="292">
        <v>2.6426174496644297</v>
      </c>
      <c r="AO82" s="14">
        <f>BF82/Q82</f>
        <v>39.753835189307516</v>
      </c>
      <c r="AP82" s="283">
        <f>VLOOKUP(G82,'Planning and Target Times'!$A$43:$L$47,MATCH(F82&amp;"-"&amp;K82&amp;"-"&amp;L82&amp;"-"&amp;J82,INDEX('Planning and Target Times'!$A$43:$L$47,1,0),0),0)</f>
        <v>24</v>
      </c>
      <c r="AQ82" s="385" t="s">
        <v>83</v>
      </c>
      <c r="AR82" s="292">
        <v>1</v>
      </c>
      <c r="AS82" s="384" t="s">
        <v>10</v>
      </c>
      <c r="AT82" s="282" t="s">
        <v>39</v>
      </c>
      <c r="AU82" s="292">
        <v>1</v>
      </c>
      <c r="AV82" s="292"/>
      <c r="AW82" s="292"/>
      <c r="AX82" s="384"/>
      <c r="AY82" s="384"/>
      <c r="AZ82" s="292" t="s">
        <v>10</v>
      </c>
      <c r="BA82" s="282">
        <v>4</v>
      </c>
      <c r="BB82" s="282">
        <v>4</v>
      </c>
      <c r="BC82" s="282">
        <v>1500</v>
      </c>
      <c r="BD82" s="282">
        <v>2021</v>
      </c>
      <c r="BE82" s="282">
        <v>8</v>
      </c>
      <c r="BF82" s="282">
        <f>(1-BE82/100)*BD82</f>
        <v>1859.3200000000002</v>
      </c>
      <c r="BG82" s="282"/>
      <c r="BH82" s="292" t="s">
        <v>363</v>
      </c>
      <c r="BI82" s="283">
        <v>288320</v>
      </c>
      <c r="BJ82" s="292"/>
      <c r="BK82" s="302">
        <f>COUNT(P$2:P82)</f>
        <v>81</v>
      </c>
      <c r="BL82" s="302">
        <f>SUMPRODUCT(--(YEAR(P$2:P82)=YEAR(P82)))</f>
        <v>50</v>
      </c>
      <c r="BM82" s="302">
        <f t="shared" si="33"/>
        <v>30</v>
      </c>
      <c r="BN82" s="15">
        <f t="shared" si="35"/>
        <v>62.668750000000003</v>
      </c>
      <c r="BO82" s="292"/>
      <c r="BP82" s="292"/>
      <c r="BQ82" s="467">
        <v>1990.2933333333331</v>
      </c>
      <c r="BR82" s="467">
        <v>1791.5883333333331</v>
      </c>
      <c r="BS82" s="467">
        <v>1542.4016666666669</v>
      </c>
      <c r="BT82" s="467"/>
      <c r="BU82" s="467"/>
      <c r="BV82" s="467"/>
      <c r="BW82" s="467" t="s">
        <v>1877</v>
      </c>
      <c r="BX82" s="469">
        <v>41548</v>
      </c>
      <c r="BY82" s="472">
        <f t="shared" si="34"/>
        <v>42.554155902002243</v>
      </c>
    </row>
    <row r="83" spans="1:77" ht="15" customHeight="1" x14ac:dyDescent="0.25">
      <c r="A83" s="384" t="s">
        <v>47</v>
      </c>
      <c r="B83" s="384" t="s">
        <v>47</v>
      </c>
      <c r="C83" s="302" t="s">
        <v>47</v>
      </c>
      <c r="D83" s="529" t="s">
        <v>2084</v>
      </c>
      <c r="E83" s="384">
        <v>5</v>
      </c>
      <c r="F83" s="384" t="s">
        <v>42</v>
      </c>
      <c r="G83" s="384" t="s">
        <v>22</v>
      </c>
      <c r="H83" s="384" t="s">
        <v>23</v>
      </c>
      <c r="I83" s="384" t="s">
        <v>39</v>
      </c>
      <c r="J83" s="384" t="s">
        <v>298</v>
      </c>
      <c r="K83" s="384" t="s">
        <v>14</v>
      </c>
      <c r="L83" s="384" t="s">
        <v>1416</v>
      </c>
      <c r="M83" s="384" t="s">
        <v>59</v>
      </c>
      <c r="N83" s="281">
        <v>0</v>
      </c>
      <c r="O83" s="13">
        <f t="shared" si="28"/>
        <v>41503.875</v>
      </c>
      <c r="P83" s="284">
        <v>41552.020833333336</v>
      </c>
      <c r="Q83" s="15">
        <v>48.145833333335759</v>
      </c>
      <c r="R83" s="334">
        <f>IF(ISERROR(VLOOKUP(G83,'Planning and Target Times'!$L$1:$AJ$6,MATCH(K83&amp;"_"&amp;L83&amp;"_"&amp;J83,INDEX('Planning and Target Times'!$L$1:$AJ$6,1,0),0),0)+5),"",(VLOOKUP(G83,'Planning and Target Times'!$L$1:$AJ$6,MATCH(K83&amp;"_"&amp;L83&amp;"_"&amp;J83,INDEX('Planning and Target Times'!$L$1:$AJ$6,1,0),0),0)+5))</f>
        <v>75</v>
      </c>
      <c r="S83" s="420">
        <f t="shared" si="29"/>
        <v>70</v>
      </c>
      <c r="T83" s="392">
        <f>VLOOKUP(G83,'Planning and Target Times'!$A$7:$G$12,MATCH(K83&amp;"-"&amp;L83&amp;"-"&amp;J83,INDEX('Planning and Target Times'!$A$7:$G$12,1,0),0),0)</f>
        <v>33</v>
      </c>
      <c r="U83" s="292">
        <v>3.7083333333357587</v>
      </c>
      <c r="V83" s="14">
        <f t="shared" si="30"/>
        <v>51.854166666671517</v>
      </c>
      <c r="W83" s="292">
        <v>2125</v>
      </c>
      <c r="X83" s="286" t="str">
        <f t="shared" si="31"/>
        <v>LB</v>
      </c>
      <c r="Y83" s="302">
        <v>10472</v>
      </c>
      <c r="Z83" s="302">
        <v>6100</v>
      </c>
      <c r="AA83" s="302">
        <v>8347</v>
      </c>
      <c r="AB83" s="302">
        <v>10470</v>
      </c>
      <c r="AC83" s="302"/>
      <c r="AD83" s="302"/>
      <c r="AE83" s="292"/>
      <c r="AF83" s="292"/>
      <c r="AG83" s="292"/>
      <c r="AH83" s="292"/>
      <c r="AI83" s="292"/>
      <c r="AJ83" s="292"/>
      <c r="AK83" s="282">
        <f>IF(ISERROR(VLOOKUP(G83,'Planning and Target Times'!$B$106:$D$110,MATCH(F83,INDEX('Planning and Target Times'!$B$106:$D$110,1,0),0),0)),"",(VLOOKUP(G83,'Planning and Target Times'!$B$106:$D$110,MATCH(F83,INDEX('Planning and Target Times'!$B$106:$D$110,1,0),0),0)))</f>
        <v>900</v>
      </c>
      <c r="AL83" s="282" t="str">
        <f>VLOOKUP(G83,'Planning and Target Times'!$I$2:$J$7,2,0)</f>
        <v>Sandstone</v>
      </c>
      <c r="AM83" s="14">
        <f t="shared" si="32"/>
        <v>-23.145833333328483</v>
      </c>
      <c r="AN83" s="292">
        <v>3.8971474487746085</v>
      </c>
      <c r="AO83" s="14">
        <f>BF83/Q83</f>
        <v>0</v>
      </c>
      <c r="AP83" s="283">
        <f>VLOOKUP(G83,'Planning and Target Times'!$A$43:$L$47,MATCH(F83&amp;"-"&amp;K83&amp;"-"&amp;L83&amp;"-"&amp;J83,INDEX('Planning and Target Times'!$A$43:$L$47,1,0),0),0)</f>
        <v>34</v>
      </c>
      <c r="AQ83" s="384" t="s">
        <v>416</v>
      </c>
      <c r="AR83" s="292" t="s">
        <v>91</v>
      </c>
      <c r="AS83" s="292" t="s">
        <v>91</v>
      </c>
      <c r="AT83" s="292" t="s">
        <v>91</v>
      </c>
      <c r="AU83" s="292"/>
      <c r="AV83" s="292"/>
      <c r="AW83" s="292"/>
      <c r="AX83" s="384"/>
      <c r="AY83" s="384"/>
      <c r="AZ83" s="283" t="s">
        <v>299</v>
      </c>
      <c r="BA83" s="292">
        <v>0</v>
      </c>
      <c r="BB83" s="292">
        <v>0</v>
      </c>
      <c r="BC83" s="292"/>
      <c r="BD83" s="292">
        <v>0</v>
      </c>
      <c r="BE83" s="282"/>
      <c r="BF83" s="282">
        <f>(1-BE83/100)*BD83</f>
        <v>0</v>
      </c>
      <c r="BG83" s="282"/>
      <c r="BH83" s="19" t="s">
        <v>365</v>
      </c>
      <c r="BI83" s="283">
        <v>288433</v>
      </c>
      <c r="BJ83" s="292"/>
      <c r="BK83" s="302">
        <f>COUNT(P$2:P83)</f>
        <v>82</v>
      </c>
      <c r="BL83" s="302">
        <f>SUMPRODUCT(--(YEAR(P$2:P83)=YEAR(P83)))</f>
        <v>51</v>
      </c>
      <c r="BM83" s="302">
        <f t="shared" si="33"/>
        <v>31</v>
      </c>
      <c r="BN83" s="15">
        <f t="shared" si="35"/>
        <v>63.610416666666424</v>
      </c>
      <c r="BO83" s="292"/>
      <c r="BP83" s="292"/>
      <c r="BQ83" s="467">
        <v>253.0633333333333</v>
      </c>
      <c r="BR83" s="467">
        <v>477.75833333333338</v>
      </c>
      <c r="BS83" s="467">
        <v>1043.0016666666668</v>
      </c>
      <c r="BT83" s="467"/>
      <c r="BU83" s="467"/>
      <c r="BV83" s="467"/>
      <c r="BW83" s="467" t="s">
        <v>1877</v>
      </c>
      <c r="BX83" s="469">
        <v>41548</v>
      </c>
      <c r="BY83" s="472">
        <f t="shared" si="34"/>
        <v>5.2561834703588861</v>
      </c>
    </row>
    <row r="84" spans="1:77" ht="15" customHeight="1" x14ac:dyDescent="0.25">
      <c r="A84" s="384" t="s">
        <v>251</v>
      </c>
      <c r="B84" s="384" t="s">
        <v>159</v>
      </c>
      <c r="C84" s="302" t="s">
        <v>251</v>
      </c>
      <c r="D84" s="529" t="s">
        <v>2085</v>
      </c>
      <c r="E84" s="384">
        <v>2</v>
      </c>
      <c r="F84" s="384" t="s">
        <v>42</v>
      </c>
      <c r="G84" s="384" t="s">
        <v>22</v>
      </c>
      <c r="H84" s="384" t="s">
        <v>12</v>
      </c>
      <c r="I84" s="384" t="s">
        <v>20</v>
      </c>
      <c r="J84" s="384" t="s">
        <v>298</v>
      </c>
      <c r="K84" s="384" t="s">
        <v>14</v>
      </c>
      <c r="L84" s="384" t="s">
        <v>1416</v>
      </c>
      <c r="M84" s="384" t="s">
        <v>60</v>
      </c>
      <c r="N84" s="281">
        <v>0</v>
      </c>
      <c r="O84" s="13">
        <f t="shared" si="28"/>
        <v>41513.041666666664</v>
      </c>
      <c r="P84" s="284">
        <v>41557.916666666664</v>
      </c>
      <c r="Q84" s="15">
        <v>44.875</v>
      </c>
      <c r="R84" s="334">
        <f>IF(ISERROR(VLOOKUP(G84,'Planning and Target Times'!$L$1:$AJ$6,MATCH(K84&amp;"_"&amp;L84&amp;"_"&amp;J84,INDEX('Planning and Target Times'!$L$1:$AJ$6,1,0),0),0)+5),"",(VLOOKUP(G84,'Planning and Target Times'!$L$1:$AJ$6,MATCH(K84&amp;"_"&amp;L84&amp;"_"&amp;J84,INDEX('Planning and Target Times'!$L$1:$AJ$6,1,0),0),0)+5))</f>
        <v>75</v>
      </c>
      <c r="S84" s="420">
        <f t="shared" si="29"/>
        <v>70</v>
      </c>
      <c r="T84" s="392">
        <f>VLOOKUP(G84,'Planning and Target Times'!$A$7:$G$12,MATCH(K84&amp;"-"&amp;L84&amp;"-"&amp;J84,INDEX('Planning and Target Times'!$A$7:$G$12,1,0),0),0)</f>
        <v>33</v>
      </c>
      <c r="U84" s="292">
        <v>5.2083333333284827</v>
      </c>
      <c r="V84" s="14">
        <f t="shared" si="30"/>
        <v>50.083333333328483</v>
      </c>
      <c r="W84" s="292">
        <v>1132</v>
      </c>
      <c r="X84" s="286" t="str">
        <f t="shared" si="31"/>
        <v>LB</v>
      </c>
      <c r="Y84" s="302">
        <v>10203</v>
      </c>
      <c r="Z84" s="302">
        <v>6135</v>
      </c>
      <c r="AA84" s="302">
        <v>9069</v>
      </c>
      <c r="AB84" s="302">
        <v>10203</v>
      </c>
      <c r="AC84" s="302"/>
      <c r="AD84" s="302"/>
      <c r="AE84" s="292"/>
      <c r="AF84" s="292"/>
      <c r="AG84" s="292"/>
      <c r="AH84" s="292"/>
      <c r="AI84" s="292"/>
      <c r="AJ84" s="292"/>
      <c r="AK84" s="282">
        <f>IF(ISERROR(VLOOKUP(G84,'Planning and Target Times'!$B$106:$D$110,MATCH(F84,INDEX('Planning and Target Times'!$B$106:$D$110,1,0),0),0)),"",(VLOOKUP(G84,'Planning and Target Times'!$B$106:$D$110,MATCH(F84,INDEX('Planning and Target Times'!$B$106:$D$110,1,0),0),0)))</f>
        <v>900</v>
      </c>
      <c r="AL84" s="282" t="str">
        <f>VLOOKUP(G84,'Planning and Target Times'!$I$2:$J$7,2,0)</f>
        <v>Sandstone</v>
      </c>
      <c r="AM84" s="14">
        <f t="shared" si="32"/>
        <v>-24.916666666671517</v>
      </c>
      <c r="AN84" s="292">
        <v>6.738768718801996</v>
      </c>
      <c r="AO84" s="14">
        <f>BF84/Q84</f>
        <v>67.030640668523674</v>
      </c>
      <c r="AP84" s="283">
        <f>VLOOKUP(G84,'Planning and Target Times'!$A$43:$L$47,MATCH(F84&amp;"-"&amp;K84&amp;"-"&amp;L84&amp;"-"&amp;J84,INDEX('Planning and Target Times'!$A$43:$L$47,1,0),0),0)</f>
        <v>34</v>
      </c>
      <c r="AQ84" s="384" t="s">
        <v>416</v>
      </c>
      <c r="AR84" s="292" t="s">
        <v>91</v>
      </c>
      <c r="AS84" s="292" t="s">
        <v>91</v>
      </c>
      <c r="AT84" s="292" t="s">
        <v>91</v>
      </c>
      <c r="AU84" s="292">
        <v>0.63</v>
      </c>
      <c r="AV84" s="292"/>
      <c r="AW84" s="292"/>
      <c r="AX84" s="384"/>
      <c r="AY84" s="384"/>
      <c r="AZ84" s="283" t="s">
        <v>299</v>
      </c>
      <c r="BA84" s="292">
        <v>0</v>
      </c>
      <c r="BB84" s="292">
        <v>0</v>
      </c>
      <c r="BC84" s="292"/>
      <c r="BD84" s="292">
        <v>3008</v>
      </c>
      <c r="BE84" s="282">
        <v>0</v>
      </c>
      <c r="BF84" s="282">
        <f>(1-BE84/100)*BD84</f>
        <v>3008</v>
      </c>
      <c r="BG84" s="282"/>
      <c r="BH84" s="282" t="s">
        <v>364</v>
      </c>
      <c r="BI84" s="283">
        <v>288532</v>
      </c>
      <c r="BJ84" s="292"/>
      <c r="BK84" s="302">
        <f>COUNT(P$2:P84)</f>
        <v>83</v>
      </c>
      <c r="BL84" s="302">
        <f>SUMPRODUCT(--(YEAR(P$2:P84)=YEAR(P84)))</f>
        <v>52</v>
      </c>
      <c r="BM84" s="302">
        <f t="shared" si="33"/>
        <v>32</v>
      </c>
      <c r="BN84" s="15">
        <f t="shared" si="35"/>
        <v>61.145833333333577</v>
      </c>
      <c r="BO84" s="292"/>
      <c r="BP84" s="292"/>
      <c r="BQ84" s="467">
        <v>1478.153333333333</v>
      </c>
      <c r="BR84" s="467">
        <v>1593.2150000000001</v>
      </c>
      <c r="BS84" s="467">
        <v>1285.835</v>
      </c>
      <c r="BT84" s="467"/>
      <c r="BU84" s="467"/>
      <c r="BV84" s="467"/>
      <c r="BW84" s="467" t="s">
        <v>1877</v>
      </c>
      <c r="BX84" s="469">
        <v>41548</v>
      </c>
      <c r="BY84" s="472">
        <f t="shared" si="34"/>
        <v>32.939350046425247</v>
      </c>
    </row>
    <row r="85" spans="1:77" x14ac:dyDescent="0.25">
      <c r="A85" s="384" t="s">
        <v>253</v>
      </c>
      <c r="B85" s="384" t="s">
        <v>157</v>
      </c>
      <c r="C85" s="302" t="s">
        <v>544</v>
      </c>
      <c r="D85" s="529" t="s">
        <v>2086</v>
      </c>
      <c r="E85" s="384">
        <v>1</v>
      </c>
      <c r="F85" s="384" t="s">
        <v>42</v>
      </c>
      <c r="G85" s="384" t="s">
        <v>29</v>
      </c>
      <c r="H85" s="384" t="s">
        <v>28</v>
      </c>
      <c r="I85" s="384" t="s">
        <v>24</v>
      </c>
      <c r="J85" s="384" t="s">
        <v>298</v>
      </c>
      <c r="K85" s="384" t="s">
        <v>14</v>
      </c>
      <c r="L85" s="384" t="s">
        <v>1416</v>
      </c>
      <c r="M85" s="384" t="s">
        <v>60</v>
      </c>
      <c r="N85" s="281">
        <v>0</v>
      </c>
      <c r="O85" s="13">
        <f t="shared" si="28"/>
        <v>41524.333333333336</v>
      </c>
      <c r="P85" s="284">
        <v>41558.708333333336</v>
      </c>
      <c r="Q85" s="15">
        <v>34.375</v>
      </c>
      <c r="R85" s="334">
        <f>IF(ISERROR(VLOOKUP(G85,'Planning and Target Times'!$L$1:$AJ$6,MATCH(K85&amp;"_"&amp;L85&amp;"_"&amp;J85,INDEX('Planning and Target Times'!$L$1:$AJ$6,1,0),0),0)+5),"",(VLOOKUP(G85,'Planning and Target Times'!$L$1:$AJ$6,MATCH(K85&amp;"_"&amp;L85&amp;"_"&amp;J85,INDEX('Planning and Target Times'!$L$1:$AJ$6,1,0),0),0)+5))</f>
        <v>75</v>
      </c>
      <c r="S85" s="420">
        <f t="shared" si="29"/>
        <v>70</v>
      </c>
      <c r="T85" s="392">
        <f>VLOOKUP(G85,'Planning and Target Times'!$A$7:$G$12,MATCH(K85&amp;"-"&amp;L85&amp;"-"&amp;J85,INDEX('Planning and Target Times'!$A$7:$G$12,1,0),0),0)</f>
        <v>33</v>
      </c>
      <c r="U85" s="292">
        <v>7.4166666666715173</v>
      </c>
      <c r="V85" s="14">
        <f t="shared" si="30"/>
        <v>41.791666666671517</v>
      </c>
      <c r="W85" s="292">
        <v>1572</v>
      </c>
      <c r="X85" s="286" t="str">
        <f t="shared" si="31"/>
        <v>UB</v>
      </c>
      <c r="Y85" s="302">
        <v>9533</v>
      </c>
      <c r="Z85" s="302">
        <v>5935</v>
      </c>
      <c r="AA85" s="302">
        <v>7960</v>
      </c>
      <c r="AB85" s="302"/>
      <c r="AC85" s="302"/>
      <c r="AD85" s="302"/>
      <c r="AE85" s="292"/>
      <c r="AF85" s="292"/>
      <c r="AG85" s="292"/>
      <c r="AH85" s="292"/>
      <c r="AI85" s="292"/>
      <c r="AJ85" s="292"/>
      <c r="AK85" s="282">
        <f>IF(ISERROR(VLOOKUP(G85,'Planning and Target Times'!$B$106:$D$110,MATCH(F85,INDEX('Planning and Target Times'!$B$106:$D$110,1,0),0),0)),"",(VLOOKUP(G85,'Planning and Target Times'!$B$106:$D$110,MATCH(F85,INDEX('Planning and Target Times'!$B$106:$D$110,1,0),0),0)))</f>
        <v>940</v>
      </c>
      <c r="AL85" s="282" t="str">
        <f>VLOOKUP(G85,'Planning and Target Times'!$I$2:$J$7,2,0)</f>
        <v>Sandstone</v>
      </c>
      <c r="AM85" s="14">
        <f t="shared" si="32"/>
        <v>-33.208333333328483</v>
      </c>
      <c r="AN85" s="292">
        <v>11.758844045839561</v>
      </c>
      <c r="AO85" s="14" t="s">
        <v>91</v>
      </c>
      <c r="AP85" s="283">
        <f>VLOOKUP(G85,'Planning and Target Times'!$A$43:$L$47,MATCH(F85&amp;"-"&amp;K85&amp;"-"&amp;L85&amp;"-"&amp;J85,INDEX('Planning and Target Times'!$A$43:$L$47,1,0),0),0)</f>
        <v>24</v>
      </c>
      <c r="AQ85" s="384" t="s">
        <v>416</v>
      </c>
      <c r="AR85" s="292" t="s">
        <v>91</v>
      </c>
      <c r="AS85" s="292" t="s">
        <v>91</v>
      </c>
      <c r="AT85" s="292" t="s">
        <v>91</v>
      </c>
      <c r="AU85" s="292">
        <v>0.67</v>
      </c>
      <c r="AV85" s="292"/>
      <c r="AW85" s="292"/>
      <c r="AX85" s="384"/>
      <c r="AY85" s="384"/>
      <c r="AZ85" s="283" t="s">
        <v>299</v>
      </c>
      <c r="BA85" s="292">
        <v>0</v>
      </c>
      <c r="BB85" s="292">
        <v>0</v>
      </c>
      <c r="BC85" s="292"/>
      <c r="BD85" s="292" t="s">
        <v>412</v>
      </c>
      <c r="BE85" s="292" t="s">
        <v>412</v>
      </c>
      <c r="BF85" s="282" t="s">
        <v>91</v>
      </c>
      <c r="BG85" s="282"/>
      <c r="BH85" s="282" t="s">
        <v>320</v>
      </c>
      <c r="BI85" s="283">
        <v>288856</v>
      </c>
      <c r="BJ85" s="292"/>
      <c r="BK85" s="302">
        <f>COUNT(P$2:P85)</f>
        <v>84</v>
      </c>
      <c r="BL85" s="302">
        <f>SUMPRODUCT(--(YEAR(P$2:P85)=YEAR(P85)))</f>
        <v>53</v>
      </c>
      <c r="BM85" s="302">
        <f t="shared" si="33"/>
        <v>33</v>
      </c>
      <c r="BN85" s="15">
        <f t="shared" si="35"/>
        <v>59.625</v>
      </c>
      <c r="BO85" s="292"/>
      <c r="BP85" s="292"/>
      <c r="BQ85" s="467">
        <v>1328.0000000000002</v>
      </c>
      <c r="BR85" s="467">
        <v>1202.8566666666668</v>
      </c>
      <c r="BS85" s="467">
        <v>877.96666666666658</v>
      </c>
      <c r="BT85" s="467"/>
      <c r="BU85" s="467"/>
      <c r="BV85" s="467"/>
      <c r="BW85" s="467" t="s">
        <v>1877</v>
      </c>
      <c r="BX85" s="469">
        <v>41609</v>
      </c>
      <c r="BY85" s="472">
        <f t="shared" si="34"/>
        <v>38.63272727272728</v>
      </c>
    </row>
    <row r="86" spans="1:77" x14ac:dyDescent="0.25">
      <c r="A86" s="384" t="s">
        <v>252</v>
      </c>
      <c r="B86" s="384" t="s">
        <v>158</v>
      </c>
      <c r="C86" s="302" t="s">
        <v>252</v>
      </c>
      <c r="D86" s="529" t="s">
        <v>2087</v>
      </c>
      <c r="E86" s="384">
        <v>2</v>
      </c>
      <c r="F86" s="384" t="s">
        <v>42</v>
      </c>
      <c r="G86" s="384" t="s">
        <v>22</v>
      </c>
      <c r="H86" s="384" t="s">
        <v>21</v>
      </c>
      <c r="I86" s="384" t="s">
        <v>24</v>
      </c>
      <c r="J86" s="384" t="s">
        <v>298</v>
      </c>
      <c r="K86" s="384" t="s">
        <v>14</v>
      </c>
      <c r="L86" s="384" t="s">
        <v>1416</v>
      </c>
      <c r="M86" s="384" t="s">
        <v>60</v>
      </c>
      <c r="N86" s="281">
        <v>0</v>
      </c>
      <c r="O86" s="13">
        <f t="shared" si="28"/>
        <v>41513.479166666664</v>
      </c>
      <c r="P86" s="284">
        <v>41563.583333333336</v>
      </c>
      <c r="Q86" s="15">
        <v>50.104166666671517</v>
      </c>
      <c r="R86" s="334">
        <f>IF(ISERROR(VLOOKUP(G86,'Planning and Target Times'!$L$1:$AJ$6,MATCH(K86&amp;"_"&amp;L86&amp;"_"&amp;J86,INDEX('Planning and Target Times'!$L$1:$AJ$6,1,0),0),0)+5),"",(VLOOKUP(G86,'Planning and Target Times'!$L$1:$AJ$6,MATCH(K86&amp;"_"&amp;L86&amp;"_"&amp;J86,INDEX('Planning and Target Times'!$L$1:$AJ$6,1,0),0),0)+5))</f>
        <v>75</v>
      </c>
      <c r="S86" s="420">
        <f t="shared" si="29"/>
        <v>70</v>
      </c>
      <c r="T86" s="392">
        <f>VLOOKUP(G86,'Planning and Target Times'!$A$7:$G$12,MATCH(K86&amp;"-"&amp;L86&amp;"-"&amp;J86,INDEX('Planning and Target Times'!$A$7:$G$12,1,0),0),0)</f>
        <v>33</v>
      </c>
      <c r="U86" s="292">
        <v>9.1041666666642413</v>
      </c>
      <c r="V86" s="14">
        <f t="shared" si="30"/>
        <v>59.208333333335759</v>
      </c>
      <c r="W86" s="292">
        <v>1518</v>
      </c>
      <c r="X86" s="286" t="str">
        <f t="shared" si="31"/>
        <v>LB</v>
      </c>
      <c r="Y86" s="302">
        <v>9940</v>
      </c>
      <c r="Z86" s="302">
        <v>6068</v>
      </c>
      <c r="AA86" s="302">
        <v>8422</v>
      </c>
      <c r="AB86" s="302"/>
      <c r="AC86" s="302"/>
      <c r="AD86" s="302"/>
      <c r="AE86" s="292"/>
      <c r="AF86" s="292"/>
      <c r="AG86" s="292"/>
      <c r="AH86" s="292"/>
      <c r="AI86" s="292"/>
      <c r="AJ86" s="292"/>
      <c r="AK86" s="282">
        <f>IF(ISERROR(VLOOKUP(G86,'Planning and Target Times'!$B$106:$D$110,MATCH(F86,INDEX('Planning and Target Times'!$B$106:$D$110,1,0),0),0)),"",(VLOOKUP(G86,'Planning and Target Times'!$B$106:$D$110,MATCH(F86,INDEX('Planning and Target Times'!$B$106:$D$110,1,0),0),0)))</f>
        <v>900</v>
      </c>
      <c r="AL86" s="282" t="str">
        <f>VLOOKUP(G86,'Planning and Target Times'!$I$2:$J$7,2,0)</f>
        <v>Sandstone</v>
      </c>
      <c r="AM86" s="14">
        <f t="shared" si="32"/>
        <v>-15.791666666664241</v>
      </c>
      <c r="AN86" s="292">
        <v>16.684266103484688</v>
      </c>
      <c r="AO86" s="14">
        <f t="shared" ref="AO86:AO102" si="36">BF86/Q86</f>
        <v>21.923925155923033</v>
      </c>
      <c r="AP86" s="283">
        <f>VLOOKUP(G86,'Planning and Target Times'!$A$43:$L$47,MATCH(F86&amp;"-"&amp;K86&amp;"-"&amp;L86&amp;"-"&amp;J86,INDEX('Planning and Target Times'!$A$43:$L$47,1,0),0),0)</f>
        <v>34</v>
      </c>
      <c r="AQ86" s="384" t="s">
        <v>416</v>
      </c>
      <c r="AR86" s="292" t="s">
        <v>91</v>
      </c>
      <c r="AS86" s="292" t="s">
        <v>91</v>
      </c>
      <c r="AT86" s="292" t="s">
        <v>91</v>
      </c>
      <c r="AU86" s="292">
        <v>0.65</v>
      </c>
      <c r="AV86" s="292"/>
      <c r="AW86" s="292"/>
      <c r="AX86" s="384"/>
      <c r="AY86" s="384"/>
      <c r="AZ86" s="283" t="s">
        <v>299</v>
      </c>
      <c r="BA86" s="292">
        <v>0</v>
      </c>
      <c r="BB86" s="292">
        <v>0</v>
      </c>
      <c r="BC86" s="292"/>
      <c r="BD86" s="292">
        <v>2388</v>
      </c>
      <c r="BE86" s="282">
        <v>54</v>
      </c>
      <c r="BF86" s="282">
        <f t="shared" ref="BF86:BF102" si="37">(1-BE86/100)*BD86</f>
        <v>1098.48</v>
      </c>
      <c r="BG86" s="282"/>
      <c r="BH86" s="19" t="s">
        <v>366</v>
      </c>
      <c r="BI86" s="283">
        <v>290931</v>
      </c>
      <c r="BJ86" s="292"/>
      <c r="BK86" s="302">
        <f>COUNT(P$2:P86)</f>
        <v>85</v>
      </c>
      <c r="BL86" s="302">
        <f>SUMPRODUCT(--(YEAR(P$2:P86)=YEAR(P86)))</f>
        <v>54</v>
      </c>
      <c r="BM86" s="302">
        <f t="shared" si="33"/>
        <v>34</v>
      </c>
      <c r="BN86" s="15">
        <f t="shared" si="35"/>
        <v>57.737499999999997</v>
      </c>
      <c r="BO86" s="292"/>
      <c r="BP86" s="292"/>
      <c r="BQ86" s="467">
        <v>176.65333333333334</v>
      </c>
      <c r="BR86" s="467">
        <v>527.05666666666673</v>
      </c>
      <c r="BS86" s="467">
        <v>499.42750000000007</v>
      </c>
      <c r="BT86" s="467"/>
      <c r="BU86" s="467"/>
      <c r="BV86" s="467"/>
      <c r="BW86" s="467" t="s">
        <v>1877</v>
      </c>
      <c r="BX86" s="469">
        <v>41671</v>
      </c>
      <c r="BY86" s="472">
        <f t="shared" si="34"/>
        <v>3.5257214137210724</v>
      </c>
    </row>
    <row r="87" spans="1:77" ht="15" customHeight="1" x14ac:dyDescent="0.25">
      <c r="A87" s="384" t="s">
        <v>255</v>
      </c>
      <c r="B87" s="384" t="s">
        <v>156</v>
      </c>
      <c r="C87" s="302" t="s">
        <v>255</v>
      </c>
      <c r="D87" s="529" t="s">
        <v>2088</v>
      </c>
      <c r="E87" s="384">
        <v>5</v>
      </c>
      <c r="F87" s="384" t="s">
        <v>11</v>
      </c>
      <c r="G87" s="384" t="s">
        <v>22</v>
      </c>
      <c r="H87" s="384" t="s">
        <v>25</v>
      </c>
      <c r="I87" s="384" t="s">
        <v>20</v>
      </c>
      <c r="J87" s="384" t="s">
        <v>298</v>
      </c>
      <c r="K87" s="384" t="s">
        <v>14</v>
      </c>
      <c r="L87" s="384" t="s">
        <v>1416</v>
      </c>
      <c r="M87" s="384" t="s">
        <v>60</v>
      </c>
      <c r="N87" s="292">
        <v>0</v>
      </c>
      <c r="O87" s="13">
        <f t="shared" si="28"/>
        <v>41532.4375</v>
      </c>
      <c r="P87" s="284">
        <v>41586</v>
      </c>
      <c r="Q87" s="15">
        <v>53.5625</v>
      </c>
      <c r="R87" s="334">
        <f>IF(ISERROR(VLOOKUP(G87,'Planning and Target Times'!$L$1:$AJ$6,MATCH(K87&amp;"_"&amp;L87&amp;"_"&amp;J87,INDEX('Planning and Target Times'!$L$1:$AJ$6,1,0),0),0)+5),"",(VLOOKUP(G87,'Planning and Target Times'!$L$1:$AJ$6,MATCH(K87&amp;"_"&amp;L87&amp;"_"&amp;J87,INDEX('Planning and Target Times'!$L$1:$AJ$6,1,0),0),0)+5))</f>
        <v>75</v>
      </c>
      <c r="S87" s="420">
        <f t="shared" si="29"/>
        <v>70</v>
      </c>
      <c r="T87" s="392">
        <f>VLOOKUP(G87,'Planning and Target Times'!$A$7:$G$12,MATCH(K87&amp;"-"&amp;L87&amp;"-"&amp;J87,INDEX('Planning and Target Times'!$A$7:$G$12,1,0),0),0)</f>
        <v>33</v>
      </c>
      <c r="U87" s="292">
        <v>4.1875</v>
      </c>
      <c r="V87" s="14">
        <f t="shared" si="30"/>
        <v>57.75</v>
      </c>
      <c r="W87" s="292">
        <v>1734</v>
      </c>
      <c r="X87" s="286" t="str">
        <f t="shared" si="31"/>
        <v>LB</v>
      </c>
      <c r="Y87" s="302">
        <v>9790</v>
      </c>
      <c r="Z87" s="302">
        <v>5943</v>
      </c>
      <c r="AA87" s="302">
        <v>8028</v>
      </c>
      <c r="AB87" s="302">
        <v>9790</v>
      </c>
      <c r="AC87" s="302"/>
      <c r="AD87" s="302"/>
      <c r="AE87" s="292"/>
      <c r="AF87" s="292"/>
      <c r="AG87" s="292"/>
      <c r="AH87" s="292"/>
      <c r="AI87" s="292"/>
      <c r="AJ87" s="292"/>
      <c r="AK87" s="282">
        <f>IF(ISERROR(VLOOKUP(G87,'Planning and Target Times'!$B$106:$D$110,MATCH(F87,INDEX('Planning and Target Times'!$B$106:$D$110,1,0),0),0)),"",(VLOOKUP(G87,'Planning and Target Times'!$B$106:$D$110,MATCH(F87,INDEX('Planning and Target Times'!$B$106:$D$110,1,0),0),0)))</f>
        <v>550</v>
      </c>
      <c r="AL87" s="282" t="str">
        <f>VLOOKUP(G87,'Planning and Target Times'!$I$2:$J$7,2,0)</f>
        <v>Sandstone</v>
      </c>
      <c r="AM87" s="14">
        <f t="shared" si="32"/>
        <v>-17.25</v>
      </c>
      <c r="AN87" s="292">
        <v>14.506059493206022</v>
      </c>
      <c r="AO87" s="14">
        <f t="shared" si="36"/>
        <v>41.925974329054839</v>
      </c>
      <c r="AP87" s="283">
        <f>VLOOKUP(G87,'Planning and Target Times'!$A$43:$L$47,MATCH(F87&amp;"-"&amp;K87&amp;"-"&amp;L87&amp;"-"&amp;J87,INDEX('Planning and Target Times'!$A$43:$L$47,1,0),0),0)</f>
        <v>28</v>
      </c>
      <c r="AQ87" s="384" t="s">
        <v>416</v>
      </c>
      <c r="AR87" s="292" t="s">
        <v>91</v>
      </c>
      <c r="AS87" s="292" t="s">
        <v>91</v>
      </c>
      <c r="AT87" s="292" t="s">
        <v>91</v>
      </c>
      <c r="AU87" s="292">
        <v>0.47</v>
      </c>
      <c r="AV87" s="292"/>
      <c r="AW87" s="292"/>
      <c r="AX87" s="384"/>
      <c r="AY87" s="384"/>
      <c r="AZ87" s="283" t="s">
        <v>299</v>
      </c>
      <c r="BA87" s="292">
        <v>0</v>
      </c>
      <c r="BB87" s="292">
        <v>0</v>
      </c>
      <c r="BC87" s="292"/>
      <c r="BD87" s="292">
        <v>2389</v>
      </c>
      <c r="BE87" s="282">
        <v>6</v>
      </c>
      <c r="BF87" s="282">
        <f t="shared" si="37"/>
        <v>2245.66</v>
      </c>
      <c r="BG87" s="282"/>
      <c r="BH87" s="282" t="s">
        <v>407</v>
      </c>
      <c r="BI87" s="283">
        <v>288540</v>
      </c>
      <c r="BJ87" s="292"/>
      <c r="BK87" s="302">
        <f>COUNT(P$2:P87)</f>
        <v>86</v>
      </c>
      <c r="BL87" s="302">
        <f>SUMPRODUCT(--(YEAR(P$2:P87)=YEAR(P87)))</f>
        <v>55</v>
      </c>
      <c r="BM87" s="302">
        <f t="shared" si="33"/>
        <v>35</v>
      </c>
      <c r="BN87" s="15">
        <f t="shared" si="35"/>
        <v>59.083333333333577</v>
      </c>
      <c r="BO87" s="292"/>
      <c r="BP87" s="292"/>
      <c r="BQ87" s="467">
        <v>1966.6666666666667</v>
      </c>
      <c r="BR87" s="467">
        <v>1739.95</v>
      </c>
      <c r="BS87" s="467">
        <v>1424.3983333333333</v>
      </c>
      <c r="BT87" s="467"/>
      <c r="BU87" s="467"/>
      <c r="BV87" s="467"/>
      <c r="BW87" s="467" t="s">
        <v>1877</v>
      </c>
      <c r="BX87" s="469">
        <v>41579</v>
      </c>
      <c r="BY87" s="472">
        <f t="shared" si="34"/>
        <v>36.717230649552704</v>
      </c>
    </row>
    <row r="88" spans="1:77" ht="15" customHeight="1" x14ac:dyDescent="0.25">
      <c r="A88" s="384" t="s">
        <v>254</v>
      </c>
      <c r="B88" s="384" t="s">
        <v>143</v>
      </c>
      <c r="C88" s="302" t="s">
        <v>143</v>
      </c>
      <c r="D88" s="529" t="s">
        <v>2089</v>
      </c>
      <c r="E88" s="384">
        <v>5</v>
      </c>
      <c r="F88" s="384" t="s">
        <v>42</v>
      </c>
      <c r="G88" s="384" t="s">
        <v>22</v>
      </c>
      <c r="H88" s="384" t="s">
        <v>12</v>
      </c>
      <c r="I88" s="384" t="s">
        <v>20</v>
      </c>
      <c r="J88" s="384" t="s">
        <v>298</v>
      </c>
      <c r="K88" s="384" t="s">
        <v>14</v>
      </c>
      <c r="L88" s="384" t="s">
        <v>1410</v>
      </c>
      <c r="M88" s="384" t="s">
        <v>60</v>
      </c>
      <c r="N88" s="281">
        <v>1</v>
      </c>
      <c r="O88" s="13">
        <f t="shared" si="28"/>
        <v>41519</v>
      </c>
      <c r="P88" s="284">
        <v>41590.083333333336</v>
      </c>
      <c r="Q88" s="15">
        <v>71.083333333335759</v>
      </c>
      <c r="R88" s="334">
        <f>IF(ISERROR(VLOOKUP(G88,'Planning and Target Times'!$L$1:$AJ$6,MATCH(K88&amp;"_"&amp;L88&amp;"_"&amp;J88,INDEX('Planning and Target Times'!$L$1:$AJ$6,1,0),0),0)+5),"",(VLOOKUP(G88,'Planning and Target Times'!$L$1:$AJ$6,MATCH(K88&amp;"_"&amp;L88&amp;"_"&amp;J88,INDEX('Planning and Target Times'!$L$1:$AJ$6,1,0),0),0)+5))</f>
        <v>75</v>
      </c>
      <c r="S88" s="420">
        <f t="shared" si="29"/>
        <v>70</v>
      </c>
      <c r="T88" s="392">
        <f>VLOOKUP(G88,'Planning and Target Times'!$A$7:$G$12,MATCH(K88&amp;"-"&amp;L88&amp;"-"&amp;J88,INDEX('Planning and Target Times'!$A$7:$G$12,1,0),0),0)</f>
        <v>35</v>
      </c>
      <c r="U88" s="292">
        <v>7.75</v>
      </c>
      <c r="V88" s="14">
        <f t="shared" si="30"/>
        <v>78.833333333335759</v>
      </c>
      <c r="W88" s="282">
        <v>1750</v>
      </c>
      <c r="X88" s="286" t="str">
        <f t="shared" si="31"/>
        <v>LB</v>
      </c>
      <c r="Y88" s="302">
        <v>11563</v>
      </c>
      <c r="Z88" s="302">
        <v>6097</v>
      </c>
      <c r="AA88" s="302">
        <v>8792</v>
      </c>
      <c r="AB88" s="302">
        <v>9811</v>
      </c>
      <c r="AC88" s="302"/>
      <c r="AD88" s="302">
        <v>11563</v>
      </c>
      <c r="AE88" s="292"/>
      <c r="AF88" s="292"/>
      <c r="AG88" s="292"/>
      <c r="AH88" s="292"/>
      <c r="AI88" s="292"/>
      <c r="AJ88" s="292"/>
      <c r="AK88" s="282">
        <f>IF(ISERROR(VLOOKUP(G88,'Planning and Target Times'!$B$106:$D$110,MATCH(F88,INDEX('Planning and Target Times'!$B$106:$D$110,1,0),0),0)),"",(VLOOKUP(G88,'Planning and Target Times'!$B$106:$D$110,MATCH(F88,INDEX('Planning and Target Times'!$B$106:$D$110,1,0),0),0)))</f>
        <v>900</v>
      </c>
      <c r="AL88" s="282" t="str">
        <f>VLOOKUP(G88,'Planning and Target Times'!$I$2:$J$7,2,0)</f>
        <v>Sandstone</v>
      </c>
      <c r="AM88" s="14">
        <f t="shared" si="32"/>
        <v>3.8333333333357587</v>
      </c>
      <c r="AN88" s="292">
        <v>22.515856236786473</v>
      </c>
      <c r="AO88" s="14">
        <f t="shared" si="36"/>
        <v>30.609144196950894</v>
      </c>
      <c r="AP88" s="283">
        <f>VLOOKUP(G88,'Planning and Target Times'!$A$43:$L$47,MATCH(F88&amp;"-"&amp;K88&amp;"-"&amp;L88&amp;"-"&amp;J88,INDEX('Planning and Target Times'!$A$43:$L$47,1,0),0),0)</f>
        <v>29</v>
      </c>
      <c r="AQ88" s="385" t="s">
        <v>83</v>
      </c>
      <c r="AR88" s="292">
        <v>1</v>
      </c>
      <c r="AS88" s="384" t="s">
        <v>10</v>
      </c>
      <c r="AT88" s="282" t="s">
        <v>39</v>
      </c>
      <c r="AU88" s="292">
        <v>1</v>
      </c>
      <c r="AV88" s="292"/>
      <c r="AW88" s="292"/>
      <c r="AX88" s="384"/>
      <c r="AY88" s="384"/>
      <c r="AZ88" s="292" t="s">
        <v>10</v>
      </c>
      <c r="BA88" s="282">
        <v>41</v>
      </c>
      <c r="BB88" s="282">
        <v>20</v>
      </c>
      <c r="BC88" s="282">
        <v>2000</v>
      </c>
      <c r="BD88" s="282">
        <v>2530</v>
      </c>
      <c r="BE88" s="282">
        <v>14</v>
      </c>
      <c r="BF88" s="282">
        <f t="shared" si="37"/>
        <v>2175.8000000000002</v>
      </c>
      <c r="BG88" s="282"/>
      <c r="BH88" s="292" t="s">
        <v>367</v>
      </c>
      <c r="BI88" s="283">
        <v>288656</v>
      </c>
      <c r="BJ88" s="292"/>
      <c r="BK88" s="302">
        <f>COUNT(P$2:P88)</f>
        <v>87</v>
      </c>
      <c r="BL88" s="302">
        <f>SUMPRODUCT(--(YEAR(P$2:P88)=YEAR(P88)))</f>
        <v>56</v>
      </c>
      <c r="BM88" s="302">
        <f t="shared" si="33"/>
        <v>36</v>
      </c>
      <c r="BN88" s="15">
        <f t="shared" si="35"/>
        <v>61.112500000000729</v>
      </c>
      <c r="BO88" s="292"/>
      <c r="BP88" s="292"/>
      <c r="BQ88" s="467">
        <v>1905.57</v>
      </c>
      <c r="BR88" s="467">
        <v>2155.1733333333336</v>
      </c>
      <c r="BS88" s="467">
        <v>2226</v>
      </c>
      <c r="BT88" s="467"/>
      <c r="BU88" s="467"/>
      <c r="BV88" s="467"/>
      <c r="BW88" s="467" t="s">
        <v>1877</v>
      </c>
      <c r="BX88" s="469">
        <v>41579</v>
      </c>
      <c r="BY88" s="472">
        <f t="shared" si="34"/>
        <v>26.807549824149142</v>
      </c>
    </row>
    <row r="89" spans="1:77" ht="15" customHeight="1" x14ac:dyDescent="0.25">
      <c r="A89" s="384" t="s">
        <v>258</v>
      </c>
      <c r="B89" s="384" t="s">
        <v>154</v>
      </c>
      <c r="C89" s="302" t="s">
        <v>258</v>
      </c>
      <c r="D89" s="529" t="s">
        <v>2090</v>
      </c>
      <c r="E89" s="384">
        <v>1</v>
      </c>
      <c r="F89" s="384" t="s">
        <v>11</v>
      </c>
      <c r="G89" s="384" t="s">
        <v>22</v>
      </c>
      <c r="H89" s="384" t="s">
        <v>28</v>
      </c>
      <c r="I89" s="384" t="s">
        <v>24</v>
      </c>
      <c r="J89" s="384" t="s">
        <v>298</v>
      </c>
      <c r="K89" s="384" t="s">
        <v>14</v>
      </c>
      <c r="L89" s="384" t="s">
        <v>1416</v>
      </c>
      <c r="M89" s="384" t="s">
        <v>59</v>
      </c>
      <c r="N89" s="292">
        <v>0</v>
      </c>
      <c r="O89" s="13">
        <f t="shared" si="28"/>
        <v>41564.416666666664</v>
      </c>
      <c r="P89" s="284">
        <v>41597.75</v>
      </c>
      <c r="Q89" s="15">
        <v>33.333333333335759</v>
      </c>
      <c r="R89" s="334">
        <f>IF(ISERROR(VLOOKUP(G89,'Planning and Target Times'!$L$1:$AJ$6,MATCH(K89&amp;"_"&amp;L89&amp;"_"&amp;J89,INDEX('Planning and Target Times'!$L$1:$AJ$6,1,0),0),0)+5),"",(VLOOKUP(G89,'Planning and Target Times'!$L$1:$AJ$6,MATCH(K89&amp;"_"&amp;L89&amp;"_"&amp;J89,INDEX('Planning and Target Times'!$L$1:$AJ$6,1,0),0),0)+5))</f>
        <v>75</v>
      </c>
      <c r="S89" s="420">
        <f t="shared" si="29"/>
        <v>70</v>
      </c>
      <c r="T89" s="392">
        <f>VLOOKUP(G89,'Planning and Target Times'!$A$7:$G$12,MATCH(K89&amp;"-"&amp;L89&amp;"-"&amp;J89,INDEX('Planning and Target Times'!$A$7:$G$12,1,0),0),0)</f>
        <v>33</v>
      </c>
      <c r="U89" s="292">
        <v>6.1666666666642413</v>
      </c>
      <c r="V89" s="14">
        <f t="shared" si="30"/>
        <v>39.5</v>
      </c>
      <c r="W89" s="292">
        <v>2298</v>
      </c>
      <c r="X89" s="286" t="str">
        <f t="shared" si="31"/>
        <v>LB</v>
      </c>
      <c r="Y89" s="302">
        <v>10496</v>
      </c>
      <c r="Z89" s="302">
        <v>5941</v>
      </c>
      <c r="AA89" s="302">
        <v>8195</v>
      </c>
      <c r="AB89" s="302">
        <v>10496</v>
      </c>
      <c r="AC89" s="302"/>
      <c r="AD89" s="302"/>
      <c r="AE89" s="292"/>
      <c r="AF89" s="292"/>
      <c r="AG89" s="292"/>
      <c r="AH89" s="292"/>
      <c r="AI89" s="292"/>
      <c r="AJ89" s="292"/>
      <c r="AK89" s="282">
        <f>IF(ISERROR(VLOOKUP(G89,'Planning and Target Times'!$B$106:$D$110,MATCH(F89,INDEX('Planning and Target Times'!$B$106:$D$110,1,0),0),0)),"",(VLOOKUP(G89,'Planning and Target Times'!$B$106:$D$110,MATCH(F89,INDEX('Planning and Target Times'!$B$106:$D$110,1,0),0),0)))</f>
        <v>550</v>
      </c>
      <c r="AL89" s="282" t="str">
        <f>VLOOKUP(G89,'Planning and Target Times'!$I$2:$J$7,2,0)</f>
        <v>Sandstone</v>
      </c>
      <c r="AM89" s="14">
        <f t="shared" si="32"/>
        <v>-35.5</v>
      </c>
      <c r="AN89" s="292">
        <v>6.1246040126715942</v>
      </c>
      <c r="AO89" s="14">
        <f t="shared" si="36"/>
        <v>82.829999999993973</v>
      </c>
      <c r="AP89" s="283">
        <f>VLOOKUP(G89,'Planning and Target Times'!$A$43:$L$47,MATCH(F89&amp;"-"&amp;K89&amp;"-"&amp;L89&amp;"-"&amp;J89,INDEX('Planning and Target Times'!$A$43:$L$47,1,0),0),0)</f>
        <v>28</v>
      </c>
      <c r="AQ89" s="384" t="s">
        <v>416</v>
      </c>
      <c r="AR89" s="292" t="s">
        <v>91</v>
      </c>
      <c r="AS89" s="292" t="s">
        <v>91</v>
      </c>
      <c r="AT89" s="292" t="s">
        <v>91</v>
      </c>
      <c r="AU89" s="292">
        <v>0.67</v>
      </c>
      <c r="AV89" s="292"/>
      <c r="AW89" s="292"/>
      <c r="AX89" s="384"/>
      <c r="AY89" s="384"/>
      <c r="AZ89" s="283" t="s">
        <v>299</v>
      </c>
      <c r="BA89" s="292">
        <v>0</v>
      </c>
      <c r="BB89" s="292">
        <v>0</v>
      </c>
      <c r="BC89" s="292"/>
      <c r="BD89" s="292">
        <v>2761</v>
      </c>
      <c r="BE89" s="292">
        <v>0</v>
      </c>
      <c r="BF89" s="282">
        <f t="shared" si="37"/>
        <v>2761</v>
      </c>
      <c r="BG89" s="282"/>
      <c r="BH89" s="292" t="s">
        <v>401</v>
      </c>
      <c r="BI89" s="283">
        <v>288691</v>
      </c>
      <c r="BJ89" s="292"/>
      <c r="BK89" s="302">
        <f>COUNT(P$2:P89)</f>
        <v>88</v>
      </c>
      <c r="BL89" s="302">
        <f>SUMPRODUCT(--(YEAR(P$2:P89)=YEAR(P89)))</f>
        <v>57</v>
      </c>
      <c r="BM89" s="302">
        <f t="shared" si="33"/>
        <v>37</v>
      </c>
      <c r="BN89" s="15">
        <f t="shared" si="35"/>
        <v>55.712500000001455</v>
      </c>
      <c r="BO89" s="292"/>
      <c r="BP89" s="292"/>
      <c r="BQ89" s="467">
        <v>2512.89</v>
      </c>
      <c r="BR89" s="467">
        <v>2307.0783333333334</v>
      </c>
      <c r="BS89" s="467">
        <v>2128.8341666666665</v>
      </c>
      <c r="BT89" s="467"/>
      <c r="BU89" s="467"/>
      <c r="BV89" s="467"/>
      <c r="BW89" s="467" t="s">
        <v>1877</v>
      </c>
      <c r="BX89" s="469">
        <v>41609</v>
      </c>
      <c r="BY89" s="472">
        <f t="shared" si="34"/>
        <v>75.386699999994505</v>
      </c>
    </row>
    <row r="90" spans="1:77" ht="15" customHeight="1" x14ac:dyDescent="0.25">
      <c r="A90" s="384" t="s">
        <v>257</v>
      </c>
      <c r="B90" s="384" t="s">
        <v>155</v>
      </c>
      <c r="C90" s="302" t="s">
        <v>257</v>
      </c>
      <c r="D90" s="529" t="s">
        <v>2091</v>
      </c>
      <c r="E90" s="384">
        <v>5</v>
      </c>
      <c r="F90" s="384" t="s">
        <v>11</v>
      </c>
      <c r="G90" s="384" t="s">
        <v>22</v>
      </c>
      <c r="H90" s="384" t="s">
        <v>23</v>
      </c>
      <c r="I90" s="384" t="s">
        <v>39</v>
      </c>
      <c r="J90" s="384" t="s">
        <v>298</v>
      </c>
      <c r="K90" s="384" t="s">
        <v>14</v>
      </c>
      <c r="L90" s="384" t="s">
        <v>1416</v>
      </c>
      <c r="M90" s="384" t="s">
        <v>59</v>
      </c>
      <c r="N90" s="292">
        <v>0</v>
      </c>
      <c r="O90" s="13">
        <f t="shared" si="28"/>
        <v>41555.5</v>
      </c>
      <c r="P90" s="284">
        <v>41601.25</v>
      </c>
      <c r="Q90" s="15">
        <v>45.75</v>
      </c>
      <c r="R90" s="334">
        <f>IF(ISERROR(VLOOKUP(G90,'Planning and Target Times'!$L$1:$AJ$6,MATCH(K90&amp;"_"&amp;L90&amp;"_"&amp;J90,INDEX('Planning and Target Times'!$L$1:$AJ$6,1,0),0),0)+5),"",(VLOOKUP(G90,'Planning and Target Times'!$L$1:$AJ$6,MATCH(K90&amp;"_"&amp;L90&amp;"_"&amp;J90,INDEX('Planning and Target Times'!$L$1:$AJ$6,1,0),0),0)+5))</f>
        <v>75</v>
      </c>
      <c r="S90" s="420">
        <f t="shared" si="29"/>
        <v>70</v>
      </c>
      <c r="T90" s="392">
        <f>VLOOKUP(G90,'Planning and Target Times'!$A$7:$G$12,MATCH(K90&amp;"-"&amp;L90&amp;"-"&amp;J90,INDEX('Planning and Target Times'!$A$7:$G$12,1,0),0),0)</f>
        <v>33</v>
      </c>
      <c r="U90" s="292">
        <v>3.4791666666642413</v>
      </c>
      <c r="V90" s="14">
        <f t="shared" si="30"/>
        <v>49.229166666664241</v>
      </c>
      <c r="W90" s="292">
        <v>1225</v>
      </c>
      <c r="X90" s="286" t="str">
        <f t="shared" si="31"/>
        <v>LB</v>
      </c>
      <c r="Y90" s="302">
        <v>9330</v>
      </c>
      <c r="Z90" s="302">
        <v>6030</v>
      </c>
      <c r="AA90" s="302">
        <v>8103</v>
      </c>
      <c r="AB90" s="302">
        <v>9330</v>
      </c>
      <c r="AC90" s="302"/>
      <c r="AD90" s="302"/>
      <c r="AE90" s="292"/>
      <c r="AF90" s="292"/>
      <c r="AG90" s="292"/>
      <c r="AH90" s="292"/>
      <c r="AI90" s="292"/>
      <c r="AJ90" s="292"/>
      <c r="AK90" s="282">
        <f>IF(ISERROR(VLOOKUP(G90,'Planning and Target Times'!$B$106:$D$110,MATCH(F90,INDEX('Planning and Target Times'!$B$106:$D$110,1,0),0),0)),"",(VLOOKUP(G90,'Planning and Target Times'!$B$106:$D$110,MATCH(F90,INDEX('Planning and Target Times'!$B$106:$D$110,1,0),0),0)))</f>
        <v>550</v>
      </c>
      <c r="AL90" s="282" t="str">
        <f>VLOOKUP(G90,'Planning and Target Times'!$I$2:$J$7,2,0)</f>
        <v>Sandstone</v>
      </c>
      <c r="AM90" s="14">
        <f t="shared" si="32"/>
        <v>-25.770833333335759</v>
      </c>
      <c r="AN90" s="292">
        <v>17.943292424883627</v>
      </c>
      <c r="AO90" s="14">
        <f t="shared" si="36"/>
        <v>14.754098360655737</v>
      </c>
      <c r="AP90" s="283">
        <f>VLOOKUP(G90,'Planning and Target Times'!$A$43:$L$47,MATCH(F90&amp;"-"&amp;K90&amp;"-"&amp;L90&amp;"-"&amp;J90,INDEX('Planning and Target Times'!$A$43:$L$47,1,0),0),0)</f>
        <v>28</v>
      </c>
      <c r="AQ90" s="384" t="s">
        <v>416</v>
      </c>
      <c r="AR90" s="292" t="s">
        <v>91</v>
      </c>
      <c r="AS90" s="292" t="s">
        <v>91</v>
      </c>
      <c r="AT90" s="292" t="s">
        <v>91</v>
      </c>
      <c r="AU90" s="292">
        <v>0.75</v>
      </c>
      <c r="AV90" s="292"/>
      <c r="AW90" s="292"/>
      <c r="AX90" s="384"/>
      <c r="AY90" s="384"/>
      <c r="AZ90" s="283" t="s">
        <v>299</v>
      </c>
      <c r="BA90" s="292">
        <v>0</v>
      </c>
      <c r="BB90" s="292">
        <v>0</v>
      </c>
      <c r="BC90" s="292"/>
      <c r="BD90" s="292">
        <v>675</v>
      </c>
      <c r="BE90" s="292">
        <v>0</v>
      </c>
      <c r="BF90" s="282">
        <f t="shared" si="37"/>
        <v>675</v>
      </c>
      <c r="BG90" s="282"/>
      <c r="BH90" s="282" t="s">
        <v>402</v>
      </c>
      <c r="BI90" s="283">
        <v>288658</v>
      </c>
      <c r="BJ90" s="292"/>
      <c r="BK90" s="302">
        <f>COUNT(P$2:P90)</f>
        <v>89</v>
      </c>
      <c r="BL90" s="302">
        <f>SUMPRODUCT(--(YEAR(P$2:P90)=YEAR(P90)))</f>
        <v>58</v>
      </c>
      <c r="BM90" s="302">
        <f t="shared" si="33"/>
        <v>38</v>
      </c>
      <c r="BN90" s="15">
        <f t="shared" si="35"/>
        <v>49.304166666667882</v>
      </c>
      <c r="BO90" s="292"/>
      <c r="BP90" s="292"/>
      <c r="BQ90" s="467">
        <v>897.47000000000014</v>
      </c>
      <c r="BR90" s="467">
        <v>663.31500000000005</v>
      </c>
      <c r="BS90" s="467">
        <v>426.77000000000004</v>
      </c>
      <c r="BT90" s="467"/>
      <c r="BU90" s="467"/>
      <c r="BV90" s="467"/>
      <c r="BW90" s="467" t="s">
        <v>1877</v>
      </c>
      <c r="BX90" s="469">
        <v>41609</v>
      </c>
      <c r="BY90" s="472">
        <f t="shared" si="34"/>
        <v>19.6168306010929</v>
      </c>
    </row>
    <row r="91" spans="1:77" ht="15" customHeight="1" x14ac:dyDescent="0.25">
      <c r="A91" s="384" t="s">
        <v>256</v>
      </c>
      <c r="B91" s="384" t="s">
        <v>144</v>
      </c>
      <c r="C91" s="302" t="s">
        <v>144</v>
      </c>
      <c r="D91" s="529" t="s">
        <v>2092</v>
      </c>
      <c r="E91" s="384">
        <v>5</v>
      </c>
      <c r="F91" s="384" t="s">
        <v>11</v>
      </c>
      <c r="G91" s="384" t="s">
        <v>29</v>
      </c>
      <c r="H91" s="384" t="s">
        <v>19</v>
      </c>
      <c r="I91" s="384" t="s">
        <v>20</v>
      </c>
      <c r="J91" s="384" t="s">
        <v>298</v>
      </c>
      <c r="K91" s="384" t="s">
        <v>14</v>
      </c>
      <c r="L91" s="384" t="s">
        <v>1410</v>
      </c>
      <c r="M91" s="384" t="s">
        <v>59</v>
      </c>
      <c r="N91" s="292">
        <v>1</v>
      </c>
      <c r="O91" s="13">
        <f t="shared" si="28"/>
        <v>41547.604166666664</v>
      </c>
      <c r="P91" s="284">
        <v>41601.75</v>
      </c>
      <c r="Q91" s="15">
        <v>54.145833333335759</v>
      </c>
      <c r="R91" s="334">
        <f>IF(ISERROR(VLOOKUP(G91,'Planning and Target Times'!$L$1:$AJ$6,MATCH(K91&amp;"_"&amp;L91&amp;"_"&amp;J91,INDEX('Planning and Target Times'!$L$1:$AJ$6,1,0),0),0)+5),"",(VLOOKUP(G91,'Planning and Target Times'!$L$1:$AJ$6,MATCH(K91&amp;"_"&amp;L91&amp;"_"&amp;J91,INDEX('Planning and Target Times'!$L$1:$AJ$6,1,0),0),0)+5))</f>
        <v>75</v>
      </c>
      <c r="S91" s="420">
        <f t="shared" si="29"/>
        <v>70</v>
      </c>
      <c r="T91" s="392">
        <f>VLOOKUP(G91,'Planning and Target Times'!$A$7:$G$12,MATCH(K91&amp;"-"&amp;L91&amp;"-"&amp;J91,INDEX('Planning and Target Times'!$A$7:$G$12,1,0),0),0)</f>
        <v>35</v>
      </c>
      <c r="U91" s="292">
        <v>3.3125</v>
      </c>
      <c r="V91" s="14">
        <f t="shared" si="30"/>
        <v>57.458333333335759</v>
      </c>
      <c r="W91" s="282">
        <v>671</v>
      </c>
      <c r="X91" s="286" t="str">
        <f t="shared" si="31"/>
        <v>UB</v>
      </c>
      <c r="Y91" s="302">
        <v>9280</v>
      </c>
      <c r="Z91" s="302">
        <v>5957</v>
      </c>
      <c r="AA91" s="302">
        <v>7675</v>
      </c>
      <c r="AB91" s="302">
        <v>8609</v>
      </c>
      <c r="AC91" s="302"/>
      <c r="AD91" s="302">
        <v>9275</v>
      </c>
      <c r="AE91" s="292"/>
      <c r="AF91" s="292"/>
      <c r="AG91" s="292"/>
      <c r="AH91" s="292"/>
      <c r="AI91" s="292"/>
      <c r="AJ91" s="292"/>
      <c r="AK91" s="282">
        <f>IF(ISERROR(VLOOKUP(G91,'Planning and Target Times'!$B$106:$D$110,MATCH(F91,INDEX('Planning and Target Times'!$B$106:$D$110,1,0),0),0)),"",(VLOOKUP(G91,'Planning and Target Times'!$B$106:$D$110,MATCH(F91,INDEX('Planning and Target Times'!$B$106:$D$110,1,0),0),0)))</f>
        <v>630</v>
      </c>
      <c r="AL91" s="282" t="str">
        <f>VLOOKUP(G91,'Planning and Target Times'!$I$2:$J$7,2,0)</f>
        <v>Sandstone</v>
      </c>
      <c r="AM91" s="14">
        <f t="shared" si="32"/>
        <v>-17.541666666664241</v>
      </c>
      <c r="AN91" s="292">
        <v>9.5721537345902838</v>
      </c>
      <c r="AO91" s="14">
        <f t="shared" si="36"/>
        <v>3.2301654482491817</v>
      </c>
      <c r="AP91" s="283">
        <f>VLOOKUP(G91,'Planning and Target Times'!$A$43:$L$47,MATCH(F91&amp;"-"&amp;K91&amp;"-"&amp;L91&amp;"-"&amp;J91,INDEX('Planning and Target Times'!$A$43:$L$47,1,0),0),0)</f>
        <v>20</v>
      </c>
      <c r="AQ91" s="385" t="s">
        <v>83</v>
      </c>
      <c r="AR91" s="292">
        <v>1</v>
      </c>
      <c r="AS91" s="384" t="s">
        <v>10</v>
      </c>
      <c r="AT91" s="282" t="s">
        <v>39</v>
      </c>
      <c r="AU91" s="292">
        <v>1</v>
      </c>
      <c r="AV91" s="292"/>
      <c r="AW91" s="292"/>
      <c r="AX91" s="384"/>
      <c r="AY91" s="384"/>
      <c r="AZ91" s="292" t="s">
        <v>10</v>
      </c>
      <c r="BA91" s="282">
        <v>10</v>
      </c>
      <c r="BB91" s="282">
        <v>5</v>
      </c>
      <c r="BC91" s="282">
        <v>1500</v>
      </c>
      <c r="BD91" s="282">
        <v>795</v>
      </c>
      <c r="BE91" s="282">
        <v>78</v>
      </c>
      <c r="BF91" s="282">
        <f t="shared" si="37"/>
        <v>174.89999999999998</v>
      </c>
      <c r="BG91" s="282"/>
      <c r="BH91" s="292" t="s">
        <v>406</v>
      </c>
      <c r="BI91" s="283">
        <v>288660</v>
      </c>
      <c r="BJ91" s="292"/>
      <c r="BK91" s="302">
        <f>COUNT(P$2:P91)</f>
        <v>90</v>
      </c>
      <c r="BL91" s="302">
        <f>SUMPRODUCT(--(YEAR(P$2:P91)=YEAR(P91)))</f>
        <v>59</v>
      </c>
      <c r="BM91" s="302">
        <f t="shared" si="33"/>
        <v>39</v>
      </c>
      <c r="BN91" s="15">
        <f t="shared" si="35"/>
        <v>48.214583333335028</v>
      </c>
      <c r="BO91" s="292"/>
      <c r="BP91" s="292"/>
      <c r="BQ91" s="467">
        <v>513.35333333333335</v>
      </c>
      <c r="BR91" s="467">
        <v>438.82999999999993</v>
      </c>
      <c r="BS91" s="467">
        <v>380.44666666666654</v>
      </c>
      <c r="BT91" s="467"/>
      <c r="BU91" s="467"/>
      <c r="BV91" s="467"/>
      <c r="BW91" s="467" t="s">
        <v>1877</v>
      </c>
      <c r="BX91" s="469">
        <v>41609</v>
      </c>
      <c r="BY91" s="472">
        <f t="shared" si="34"/>
        <v>9.4809388226236617</v>
      </c>
    </row>
    <row r="92" spans="1:77" ht="15" customHeight="1" x14ac:dyDescent="0.25">
      <c r="A92" s="384" t="s">
        <v>259</v>
      </c>
      <c r="B92" s="384" t="s">
        <v>153</v>
      </c>
      <c r="C92" s="302" t="s">
        <v>259</v>
      </c>
      <c r="D92" s="529" t="s">
        <v>2093</v>
      </c>
      <c r="E92" s="384">
        <v>1</v>
      </c>
      <c r="F92" s="384" t="s">
        <v>42</v>
      </c>
      <c r="G92" s="384" t="s">
        <v>22</v>
      </c>
      <c r="H92" s="384" t="s">
        <v>38</v>
      </c>
      <c r="I92" s="384" t="s">
        <v>16</v>
      </c>
      <c r="J92" s="384" t="s">
        <v>298</v>
      </c>
      <c r="K92" s="384" t="s">
        <v>14</v>
      </c>
      <c r="L92" s="384" t="s">
        <v>1416</v>
      </c>
      <c r="M92" s="384" t="s">
        <v>59</v>
      </c>
      <c r="N92" s="281">
        <v>0</v>
      </c>
      <c r="O92" s="13">
        <f t="shared" si="28"/>
        <v>41537.729166666664</v>
      </c>
      <c r="P92" s="284">
        <v>41608.25</v>
      </c>
      <c r="Q92" s="15">
        <v>70.520833333335759</v>
      </c>
      <c r="R92" s="334">
        <f>IF(ISERROR(VLOOKUP(G92,'Planning and Target Times'!$L$1:$AJ$6,MATCH(K92&amp;"_"&amp;L92&amp;"_"&amp;J92,INDEX('Planning and Target Times'!$L$1:$AJ$6,1,0),0),0)+5),"",(VLOOKUP(G92,'Planning and Target Times'!$L$1:$AJ$6,MATCH(K92&amp;"_"&amp;L92&amp;"_"&amp;J92,INDEX('Planning and Target Times'!$L$1:$AJ$6,1,0),0),0)+5))</f>
        <v>75</v>
      </c>
      <c r="S92" s="420">
        <f t="shared" si="29"/>
        <v>70</v>
      </c>
      <c r="T92" s="392">
        <f>VLOOKUP(G92,'Planning and Target Times'!$A$7:$G$12,MATCH(K92&amp;"-"&amp;L92&amp;"-"&amp;J92,INDEX('Planning and Target Times'!$A$7:$G$12,1,0),0),0)</f>
        <v>33</v>
      </c>
      <c r="U92" s="292">
        <v>17.3125</v>
      </c>
      <c r="V92" s="14">
        <f t="shared" si="30"/>
        <v>87.833333333335759</v>
      </c>
      <c r="W92" s="292">
        <v>2471</v>
      </c>
      <c r="X92" s="286" t="str">
        <f t="shared" si="31"/>
        <v>LB</v>
      </c>
      <c r="Y92" s="302">
        <v>11675</v>
      </c>
      <c r="Z92" s="302">
        <v>6275</v>
      </c>
      <c r="AA92" s="302">
        <v>9204</v>
      </c>
      <c r="AB92" s="302">
        <v>11675</v>
      </c>
      <c r="AC92" s="302"/>
      <c r="AD92" s="302"/>
      <c r="AE92" s="292"/>
      <c r="AF92" s="292"/>
      <c r="AG92" s="292"/>
      <c r="AH92" s="292"/>
      <c r="AI92" s="292"/>
      <c r="AJ92" s="292"/>
      <c r="AK92" s="282">
        <f>IF(ISERROR(VLOOKUP(G92,'Planning and Target Times'!$B$106:$D$110,MATCH(F92,INDEX('Planning and Target Times'!$B$106:$D$110,1,0),0),0)),"",(VLOOKUP(G92,'Planning and Target Times'!$B$106:$D$110,MATCH(F92,INDEX('Planning and Target Times'!$B$106:$D$110,1,0),0),0)))</f>
        <v>900</v>
      </c>
      <c r="AL92" s="282" t="str">
        <f>VLOOKUP(G92,'Planning and Target Times'!$I$2:$J$7,2,0)</f>
        <v>Sandstone</v>
      </c>
      <c r="AM92" s="14">
        <f t="shared" si="32"/>
        <v>12.833333333335759</v>
      </c>
      <c r="AN92" s="292">
        <v>13.496204933586336</v>
      </c>
      <c r="AO92" s="14">
        <f t="shared" si="36"/>
        <v>48.583515509599515</v>
      </c>
      <c r="AP92" s="283">
        <f>VLOOKUP(G92,'Planning and Target Times'!$A$43:$L$47,MATCH(F92&amp;"-"&amp;K92&amp;"-"&amp;L92&amp;"-"&amp;J92,INDEX('Planning and Target Times'!$A$43:$L$47,1,0),0),0)</f>
        <v>34</v>
      </c>
      <c r="AQ92" s="384" t="s">
        <v>416</v>
      </c>
      <c r="AR92" s="292" t="s">
        <v>91</v>
      </c>
      <c r="AS92" s="292" t="s">
        <v>91</v>
      </c>
      <c r="AT92" s="292" t="s">
        <v>91</v>
      </c>
      <c r="AU92" s="292">
        <v>0.31</v>
      </c>
      <c r="AV92" s="292"/>
      <c r="AW92" s="292"/>
      <c r="AX92" s="384"/>
      <c r="AY92" s="384"/>
      <c r="AZ92" s="283" t="s">
        <v>299</v>
      </c>
      <c r="BA92" s="292">
        <v>0</v>
      </c>
      <c r="BB92" s="292">
        <v>0</v>
      </c>
      <c r="BC92" s="292"/>
      <c r="BD92" s="292">
        <v>3765</v>
      </c>
      <c r="BE92" s="292">
        <v>9</v>
      </c>
      <c r="BF92" s="282">
        <f t="shared" si="37"/>
        <v>3426.15</v>
      </c>
      <c r="BG92" s="282"/>
      <c r="BH92" s="282" t="s">
        <v>362</v>
      </c>
      <c r="BI92" s="283">
        <v>288684</v>
      </c>
      <c r="BJ92" s="292"/>
      <c r="BK92" s="302">
        <f>COUNT(P$2:P92)</f>
        <v>91</v>
      </c>
      <c r="BL92" s="302">
        <f>SUMPRODUCT(--(YEAR(P$2:P92)=YEAR(P92)))</f>
        <v>60</v>
      </c>
      <c r="BM92" s="302">
        <f t="shared" si="33"/>
        <v>40</v>
      </c>
      <c r="BN92" s="15">
        <f t="shared" si="35"/>
        <v>50.589583333335028</v>
      </c>
      <c r="BO92" s="292"/>
      <c r="BP92" s="292"/>
      <c r="BQ92" s="467">
        <v>1987.76</v>
      </c>
      <c r="BR92" s="467">
        <v>1775.9966666666667</v>
      </c>
      <c r="BS92" s="467">
        <v>1585.0874999999999</v>
      </c>
      <c r="BT92" s="467"/>
      <c r="BU92" s="467"/>
      <c r="BV92" s="467"/>
      <c r="BW92" s="467" t="s">
        <v>1877</v>
      </c>
      <c r="BX92" s="469">
        <v>41609</v>
      </c>
      <c r="BY92" s="472">
        <f t="shared" si="34"/>
        <v>28.186847858196963</v>
      </c>
    </row>
    <row r="93" spans="1:77" ht="15" customHeight="1" x14ac:dyDescent="0.25">
      <c r="A93" s="384" t="s">
        <v>260</v>
      </c>
      <c r="B93" s="384" t="s">
        <v>145</v>
      </c>
      <c r="C93" s="302" t="s">
        <v>145</v>
      </c>
      <c r="D93" s="529" t="s">
        <v>2094</v>
      </c>
      <c r="E93" s="384">
        <v>2</v>
      </c>
      <c r="F93" s="384" t="s">
        <v>11</v>
      </c>
      <c r="G93" s="384" t="s">
        <v>29</v>
      </c>
      <c r="H93" s="384" t="s">
        <v>31</v>
      </c>
      <c r="I93" s="384" t="s">
        <v>16</v>
      </c>
      <c r="J93" s="384" t="s">
        <v>298</v>
      </c>
      <c r="K93" s="384" t="s">
        <v>14</v>
      </c>
      <c r="L93" s="384" t="s">
        <v>1410</v>
      </c>
      <c r="M93" s="384" t="s">
        <v>59</v>
      </c>
      <c r="N93" s="292">
        <v>1</v>
      </c>
      <c r="O93" s="13">
        <f t="shared" si="28"/>
        <v>41561.666666666664</v>
      </c>
      <c r="P93" s="284">
        <v>41613.145833333336</v>
      </c>
      <c r="Q93" s="15">
        <v>51.479166666671517</v>
      </c>
      <c r="R93" s="334">
        <f>IF(ISERROR(VLOOKUP(G93,'Planning and Target Times'!$L$1:$AJ$6,MATCH(K93&amp;"_"&amp;L93&amp;"_"&amp;J93,INDEX('Planning and Target Times'!$L$1:$AJ$6,1,0),0),0)+5),"",(VLOOKUP(G93,'Planning and Target Times'!$L$1:$AJ$6,MATCH(K93&amp;"_"&amp;L93&amp;"_"&amp;J93,INDEX('Planning and Target Times'!$L$1:$AJ$6,1,0),0),0)+5))</f>
        <v>75</v>
      </c>
      <c r="S93" s="420">
        <f t="shared" si="29"/>
        <v>70</v>
      </c>
      <c r="T93" s="392">
        <f>VLOOKUP(G93,'Planning and Target Times'!$A$7:$G$12,MATCH(K93&amp;"-"&amp;L93&amp;"-"&amp;J93,INDEX('Planning and Target Times'!$A$7:$G$12,1,0),0),0)</f>
        <v>35</v>
      </c>
      <c r="U93" s="292">
        <v>3.75</v>
      </c>
      <c r="V93" s="14">
        <f t="shared" si="30"/>
        <v>55.229166666671517</v>
      </c>
      <c r="W93" s="282">
        <v>942</v>
      </c>
      <c r="X93" s="286" t="str">
        <f t="shared" si="31"/>
        <v>UB</v>
      </c>
      <c r="Y93" s="302">
        <v>9874</v>
      </c>
      <c r="Z93" s="302">
        <v>5934</v>
      </c>
      <c r="AA93" s="302">
        <v>7764</v>
      </c>
      <c r="AB93" s="302">
        <v>8932</v>
      </c>
      <c r="AC93" s="302"/>
      <c r="AD93" s="302">
        <v>10096</v>
      </c>
      <c r="AE93" s="292"/>
      <c r="AF93" s="292"/>
      <c r="AG93" s="292"/>
      <c r="AH93" s="292"/>
      <c r="AI93" s="292"/>
      <c r="AJ93" s="292"/>
      <c r="AK93" s="282">
        <f>IF(ISERROR(VLOOKUP(G93,'Planning and Target Times'!$B$106:$D$110,MATCH(F93,INDEX('Planning and Target Times'!$B$106:$D$110,1,0),0),0)),"",(VLOOKUP(G93,'Planning and Target Times'!$B$106:$D$110,MATCH(F93,INDEX('Planning and Target Times'!$B$106:$D$110,1,0),0),0)))</f>
        <v>630</v>
      </c>
      <c r="AL93" s="282" t="str">
        <f>VLOOKUP(G93,'Planning and Target Times'!$I$2:$J$7,2,0)</f>
        <v>Sandstone</v>
      </c>
      <c r="AM93" s="14">
        <f t="shared" si="32"/>
        <v>-19.770833333328483</v>
      </c>
      <c r="AN93" s="292">
        <v>3.812270225792084</v>
      </c>
      <c r="AO93" s="14">
        <f t="shared" si="36"/>
        <v>26.034609469847812</v>
      </c>
      <c r="AP93" s="283">
        <f>VLOOKUP(G93,'Planning and Target Times'!$A$43:$L$47,MATCH(F93&amp;"-"&amp;K93&amp;"-"&amp;L93&amp;"-"&amp;J93,INDEX('Planning and Target Times'!$A$43:$L$47,1,0),0),0)</f>
        <v>20</v>
      </c>
      <c r="AQ93" s="385" t="s">
        <v>83</v>
      </c>
      <c r="AR93" s="292">
        <v>1</v>
      </c>
      <c r="AS93" s="384" t="s">
        <v>10</v>
      </c>
      <c r="AT93" s="282" t="s">
        <v>39</v>
      </c>
      <c r="AU93" s="292">
        <v>0.84</v>
      </c>
      <c r="AV93" s="292"/>
      <c r="AW93" s="292"/>
      <c r="AX93" s="384"/>
      <c r="AY93" s="384"/>
      <c r="AZ93" s="292" t="s">
        <v>10</v>
      </c>
      <c r="BA93" s="282">
        <v>20</v>
      </c>
      <c r="BB93" s="282">
        <v>8</v>
      </c>
      <c r="BC93" s="282">
        <v>1500</v>
      </c>
      <c r="BD93" s="282">
        <v>1523</v>
      </c>
      <c r="BE93" s="282">
        <v>12</v>
      </c>
      <c r="BF93" s="282">
        <f t="shared" si="37"/>
        <v>1340.24</v>
      </c>
      <c r="BG93" s="282"/>
      <c r="BH93" s="292" t="s">
        <v>403</v>
      </c>
      <c r="BI93" s="283">
        <v>288736</v>
      </c>
      <c r="BJ93" s="292"/>
      <c r="BK93" s="302">
        <f>COUNT(P$2:P93)</f>
        <v>92</v>
      </c>
      <c r="BL93" s="302">
        <f>SUMPRODUCT(--(YEAR(P$2:P93)=YEAR(P93)))</f>
        <v>61</v>
      </c>
      <c r="BM93" s="302">
        <f t="shared" si="33"/>
        <v>41</v>
      </c>
      <c r="BN93" s="15">
        <f t="shared" si="35"/>
        <v>50.922916666668606</v>
      </c>
      <c r="BO93" s="292"/>
      <c r="BP93" s="292"/>
      <c r="BQ93" s="467">
        <v>1453.1633333333332</v>
      </c>
      <c r="BR93" s="467">
        <v>1485.0249999999999</v>
      </c>
      <c r="BS93" s="467">
        <v>1363.0316666666665</v>
      </c>
      <c r="BT93" s="467"/>
      <c r="BU93" s="467"/>
      <c r="BV93" s="467"/>
      <c r="BW93" s="467" t="s">
        <v>1877</v>
      </c>
      <c r="BX93" s="469">
        <v>41609</v>
      </c>
      <c r="BY93" s="472">
        <f t="shared" si="34"/>
        <v>28.228182921891307</v>
      </c>
    </row>
    <row r="94" spans="1:77" ht="15" customHeight="1" x14ac:dyDescent="0.25">
      <c r="A94" s="384" t="s">
        <v>261</v>
      </c>
      <c r="B94" s="384" t="s">
        <v>152</v>
      </c>
      <c r="C94" s="302" t="s">
        <v>557</v>
      </c>
      <c r="D94" s="529" t="s">
        <v>2095</v>
      </c>
      <c r="E94" s="384">
        <v>5</v>
      </c>
      <c r="F94" s="384" t="s">
        <v>11</v>
      </c>
      <c r="G94" s="384" t="s">
        <v>22</v>
      </c>
      <c r="H94" s="384" t="s">
        <v>25</v>
      </c>
      <c r="I94" s="384" t="s">
        <v>39</v>
      </c>
      <c r="J94" s="384" t="s">
        <v>298</v>
      </c>
      <c r="K94" s="384" t="s">
        <v>14</v>
      </c>
      <c r="L94" s="384" t="s">
        <v>1416</v>
      </c>
      <c r="M94" s="384" t="s">
        <v>60</v>
      </c>
      <c r="N94" s="292">
        <v>0</v>
      </c>
      <c r="O94" s="13">
        <f t="shared" si="28"/>
        <v>41587.833333333336</v>
      </c>
      <c r="P94" s="284">
        <v>41634.020833333336</v>
      </c>
      <c r="Q94" s="15">
        <v>46.1875</v>
      </c>
      <c r="R94" s="334">
        <f>IF(ISERROR(VLOOKUP(G94,'Planning and Target Times'!$L$1:$AJ$6,MATCH(K94&amp;"_"&amp;L94&amp;"_"&amp;J94,INDEX('Planning and Target Times'!$L$1:$AJ$6,1,0),0),0)+5),"",(VLOOKUP(G94,'Planning and Target Times'!$L$1:$AJ$6,MATCH(K94&amp;"_"&amp;L94&amp;"_"&amp;J94,INDEX('Planning and Target Times'!$L$1:$AJ$6,1,0),0),0)+5))</f>
        <v>75</v>
      </c>
      <c r="S94" s="420">
        <f t="shared" si="29"/>
        <v>70</v>
      </c>
      <c r="T94" s="392">
        <f>VLOOKUP(G94,'Planning and Target Times'!$A$7:$G$12,MATCH(K94&amp;"-"&amp;L94&amp;"-"&amp;J94,INDEX('Planning and Target Times'!$A$7:$G$12,1,0),0),0)</f>
        <v>33</v>
      </c>
      <c r="U94" s="292">
        <v>1.8333333333357587</v>
      </c>
      <c r="V94" s="14">
        <f t="shared" si="30"/>
        <v>48.020833333335759</v>
      </c>
      <c r="W94" s="292">
        <v>1235</v>
      </c>
      <c r="X94" s="286" t="str">
        <f t="shared" si="31"/>
        <v>LB</v>
      </c>
      <c r="Y94" s="302">
        <v>9441</v>
      </c>
      <c r="Z94" s="302">
        <v>5925</v>
      </c>
      <c r="AA94" s="302">
        <v>7875</v>
      </c>
      <c r="AB94" s="302">
        <v>9441</v>
      </c>
      <c r="AC94" s="302"/>
      <c r="AD94" s="302"/>
      <c r="AE94" s="292"/>
      <c r="AF94" s="292"/>
      <c r="AG94" s="292"/>
      <c r="AH94" s="292"/>
      <c r="AI94" s="292"/>
      <c r="AJ94" s="292"/>
      <c r="AK94" s="282">
        <f>IF(ISERROR(VLOOKUP(G94,'Planning and Target Times'!$B$106:$D$110,MATCH(F94,INDEX('Planning and Target Times'!$B$106:$D$110,1,0),0),0)),"",(VLOOKUP(G94,'Planning and Target Times'!$B$106:$D$110,MATCH(F94,INDEX('Planning and Target Times'!$B$106:$D$110,1,0),0),0)))</f>
        <v>550</v>
      </c>
      <c r="AL94" s="282" t="str">
        <f>VLOOKUP(G94,'Planning and Target Times'!$I$2:$J$7,2,0)</f>
        <v>Sandstone</v>
      </c>
      <c r="AM94" s="14">
        <f t="shared" si="32"/>
        <v>-26.979166666664241</v>
      </c>
      <c r="AN94" s="292">
        <v>12.754880694143168</v>
      </c>
      <c r="AO94" s="14">
        <f t="shared" si="36"/>
        <v>53.889039242219212</v>
      </c>
      <c r="AP94" s="283">
        <f>VLOOKUP(G94,'Planning and Target Times'!$A$43:$L$47,MATCH(F94&amp;"-"&amp;K94&amp;"-"&amp;L94&amp;"-"&amp;J94,INDEX('Planning and Target Times'!$A$43:$L$47,1,0),0),0)</f>
        <v>28</v>
      </c>
      <c r="AQ94" s="384" t="s">
        <v>416</v>
      </c>
      <c r="AR94" s="292" t="s">
        <v>91</v>
      </c>
      <c r="AS94" s="292" t="s">
        <v>91</v>
      </c>
      <c r="AT94" s="292" t="s">
        <v>91</v>
      </c>
      <c r="AU94" s="292">
        <v>0.61</v>
      </c>
      <c r="AV94" s="292"/>
      <c r="AW94" s="292"/>
      <c r="AX94" s="384"/>
      <c r="AY94" s="384"/>
      <c r="AZ94" s="292" t="s">
        <v>10</v>
      </c>
      <c r="BA94" s="292">
        <v>0</v>
      </c>
      <c r="BB94" s="292">
        <v>0</v>
      </c>
      <c r="BC94" s="292"/>
      <c r="BD94" s="292">
        <v>2620</v>
      </c>
      <c r="BE94" s="282">
        <v>5</v>
      </c>
      <c r="BF94" s="282">
        <f t="shared" si="37"/>
        <v>2489</v>
      </c>
      <c r="BG94" s="282"/>
      <c r="BH94" s="282" t="s">
        <v>410</v>
      </c>
      <c r="BI94" s="283">
        <v>289123</v>
      </c>
      <c r="BJ94" s="292"/>
      <c r="BK94" s="302">
        <f>COUNT(P$2:P94)</f>
        <v>93</v>
      </c>
      <c r="BL94" s="302">
        <f>SUMPRODUCT(--(YEAR(P$2:P94)=YEAR(P94)))</f>
        <v>62</v>
      </c>
      <c r="BM94" s="302">
        <f t="shared" si="33"/>
        <v>42</v>
      </c>
      <c r="BN94" s="15">
        <f t="shared" si="35"/>
        <v>51.054166666668607</v>
      </c>
      <c r="BO94" s="292"/>
      <c r="BP94" s="292"/>
      <c r="BQ94" s="467">
        <v>1710.4066666666665</v>
      </c>
      <c r="BR94" s="467">
        <v>1313.1433333333332</v>
      </c>
      <c r="BS94" s="467">
        <v>969.60333333333347</v>
      </c>
      <c r="BT94" s="467"/>
      <c r="BU94" s="467"/>
      <c r="BV94" s="467"/>
      <c r="BW94" s="467" t="s">
        <v>1877</v>
      </c>
      <c r="BX94" s="469">
        <v>41640</v>
      </c>
      <c r="BY94" s="472">
        <f t="shared" si="34"/>
        <v>37.031808750563819</v>
      </c>
    </row>
    <row r="95" spans="1:77" ht="15" customHeight="1" x14ac:dyDescent="0.25">
      <c r="A95" s="384" t="s">
        <v>262</v>
      </c>
      <c r="B95" s="384" t="s">
        <v>151</v>
      </c>
      <c r="C95" s="302" t="s">
        <v>558</v>
      </c>
      <c r="D95" s="529" t="s">
        <v>2096</v>
      </c>
      <c r="E95" s="384">
        <v>5</v>
      </c>
      <c r="F95" s="384" t="s">
        <v>11</v>
      </c>
      <c r="G95" s="384" t="s">
        <v>29</v>
      </c>
      <c r="H95" s="384" t="s">
        <v>23</v>
      </c>
      <c r="I95" s="384" t="s">
        <v>20</v>
      </c>
      <c r="J95" s="384" t="s">
        <v>298</v>
      </c>
      <c r="K95" s="384" t="s">
        <v>14</v>
      </c>
      <c r="L95" s="384" t="s">
        <v>1416</v>
      </c>
      <c r="M95" s="384" t="s">
        <v>59</v>
      </c>
      <c r="N95" s="292">
        <v>0</v>
      </c>
      <c r="O95" s="13">
        <f t="shared" si="28"/>
        <v>41604.833333333336</v>
      </c>
      <c r="P95" s="284">
        <v>41639.958333333336</v>
      </c>
      <c r="Q95" s="15">
        <v>35.125</v>
      </c>
      <c r="R95" s="334">
        <f>IF(ISERROR(VLOOKUP(G95,'Planning and Target Times'!$L$1:$AJ$6,MATCH(K95&amp;"_"&amp;L95&amp;"_"&amp;J95,INDEX('Planning and Target Times'!$L$1:$AJ$6,1,0),0),0)+5),"",(VLOOKUP(G95,'Planning and Target Times'!$L$1:$AJ$6,MATCH(K95&amp;"_"&amp;L95&amp;"_"&amp;J95,INDEX('Planning and Target Times'!$L$1:$AJ$6,1,0),0),0)+5))</f>
        <v>75</v>
      </c>
      <c r="S95" s="420">
        <f t="shared" si="29"/>
        <v>70</v>
      </c>
      <c r="T95" s="392">
        <f>VLOOKUP(G95,'Planning and Target Times'!$A$7:$G$12,MATCH(K95&amp;"-"&amp;L95&amp;"-"&amp;J95,INDEX('Planning and Target Times'!$A$7:$G$12,1,0),0),0)</f>
        <v>33</v>
      </c>
      <c r="U95" s="292">
        <v>3.5833333333357587</v>
      </c>
      <c r="V95" s="14">
        <f t="shared" si="30"/>
        <v>38.708333333335759</v>
      </c>
      <c r="W95" s="292">
        <v>1269</v>
      </c>
      <c r="X95" s="286" t="str">
        <f t="shared" si="31"/>
        <v>UB</v>
      </c>
      <c r="Y95" s="302">
        <v>8814</v>
      </c>
      <c r="Z95" s="302">
        <v>5943</v>
      </c>
      <c r="AA95" s="302">
        <v>7602</v>
      </c>
      <c r="AB95" s="302">
        <v>8814</v>
      </c>
      <c r="AC95" s="302"/>
      <c r="AD95" s="302"/>
      <c r="AE95" s="292"/>
      <c r="AF95" s="292"/>
      <c r="AG95" s="292"/>
      <c r="AH95" s="292"/>
      <c r="AI95" s="292"/>
      <c r="AJ95" s="292"/>
      <c r="AK95" s="282">
        <f>IF(ISERROR(VLOOKUP(G95,'Planning and Target Times'!$B$106:$D$110,MATCH(F95,INDEX('Planning and Target Times'!$B$106:$D$110,1,0),0),0)),"",(VLOOKUP(G95,'Planning and Target Times'!$B$106:$D$110,MATCH(F95,INDEX('Planning and Target Times'!$B$106:$D$110,1,0),0),0)))</f>
        <v>630</v>
      </c>
      <c r="AL95" s="282" t="str">
        <f>VLOOKUP(G95,'Planning and Target Times'!$I$2:$J$7,2,0)</f>
        <v>Sandstone</v>
      </c>
      <c r="AM95" s="14">
        <f t="shared" si="32"/>
        <v>-36.291666666664241</v>
      </c>
      <c r="AN95" s="292">
        <v>2.3681377825618943</v>
      </c>
      <c r="AO95" s="14">
        <f t="shared" si="36"/>
        <v>0.3607117437722423</v>
      </c>
      <c r="AP95" s="283">
        <f>VLOOKUP(G95,'Planning and Target Times'!$A$43:$L$47,MATCH(F95&amp;"-"&amp;K95&amp;"-"&amp;L95&amp;"-"&amp;J95,INDEX('Planning and Target Times'!$A$43:$L$47,1,0),0),0)</f>
        <v>20</v>
      </c>
      <c r="AQ95" s="384" t="s">
        <v>416</v>
      </c>
      <c r="AR95" s="292" t="s">
        <v>91</v>
      </c>
      <c r="AS95" s="292" t="s">
        <v>91</v>
      </c>
      <c r="AT95" s="292" t="s">
        <v>91</v>
      </c>
      <c r="AU95" s="292">
        <v>0.37</v>
      </c>
      <c r="AV95" s="292"/>
      <c r="AW95" s="292"/>
      <c r="AX95" s="384"/>
      <c r="AY95" s="384"/>
      <c r="AZ95" s="292" t="s">
        <v>10</v>
      </c>
      <c r="BA95" s="292">
        <v>0</v>
      </c>
      <c r="BB95" s="292">
        <v>0</v>
      </c>
      <c r="BC95" s="292"/>
      <c r="BD95" s="292">
        <v>1267</v>
      </c>
      <c r="BE95" s="282">
        <v>99</v>
      </c>
      <c r="BF95" s="282">
        <f t="shared" si="37"/>
        <v>12.670000000000011</v>
      </c>
      <c r="BG95" s="282"/>
      <c r="BH95" s="282" t="s">
        <v>411</v>
      </c>
      <c r="BI95" s="283">
        <v>289127</v>
      </c>
      <c r="BJ95" s="292"/>
      <c r="BK95" s="302">
        <f>COUNT(P$2:P95)</f>
        <v>94</v>
      </c>
      <c r="BL95" s="302">
        <f>SUMPRODUCT(--(YEAR(P$2:P95)=YEAR(P95)))</f>
        <v>63</v>
      </c>
      <c r="BM95" s="302">
        <f t="shared" si="33"/>
        <v>43</v>
      </c>
      <c r="BN95" s="15">
        <f t="shared" si="35"/>
        <v>51.12916666666861</v>
      </c>
      <c r="BO95" s="292"/>
      <c r="BP95" s="292"/>
      <c r="BQ95" s="467">
        <v>263.44333333333333</v>
      </c>
      <c r="BR95" s="467">
        <v>240.13333333333335</v>
      </c>
      <c r="BS95" s="467">
        <v>198.17916666666667</v>
      </c>
      <c r="BT95" s="467"/>
      <c r="BU95" s="467"/>
      <c r="BV95" s="467"/>
      <c r="BW95" s="467" t="s">
        <v>1877</v>
      </c>
      <c r="BX95" s="469">
        <v>41640</v>
      </c>
      <c r="BY95" s="472">
        <f t="shared" si="34"/>
        <v>7.5001660735468567</v>
      </c>
    </row>
    <row r="96" spans="1:77" ht="15" customHeight="1" x14ac:dyDescent="0.25">
      <c r="A96" s="384" t="s">
        <v>263</v>
      </c>
      <c r="B96" s="384" t="s">
        <v>150</v>
      </c>
      <c r="C96" s="302" t="s">
        <v>263</v>
      </c>
      <c r="D96" s="529" t="s">
        <v>2097</v>
      </c>
      <c r="E96" s="384">
        <v>1</v>
      </c>
      <c r="F96" s="384" t="s">
        <v>11</v>
      </c>
      <c r="G96" s="384" t="s">
        <v>22</v>
      </c>
      <c r="H96" s="384" t="s">
        <v>28</v>
      </c>
      <c r="I96" s="384" t="s">
        <v>20</v>
      </c>
      <c r="J96" s="384" t="s">
        <v>298</v>
      </c>
      <c r="K96" s="384" t="s">
        <v>14</v>
      </c>
      <c r="L96" s="384" t="s">
        <v>1416</v>
      </c>
      <c r="M96" s="384" t="s">
        <v>60</v>
      </c>
      <c r="N96" s="292">
        <v>0</v>
      </c>
      <c r="O96" s="13">
        <f t="shared" si="28"/>
        <v>41606.875</v>
      </c>
      <c r="P96" s="284">
        <v>41645</v>
      </c>
      <c r="Q96" s="15">
        <v>38.125</v>
      </c>
      <c r="R96" s="334">
        <f>IF(ISERROR(VLOOKUP(G96,'Planning and Target Times'!$L$1:$AJ$6,MATCH(K96&amp;"_"&amp;L96&amp;"_"&amp;J96,INDEX('Planning and Target Times'!$L$1:$AJ$6,1,0),0),0)+5),"",(VLOOKUP(G96,'Planning and Target Times'!$L$1:$AJ$6,MATCH(K96&amp;"_"&amp;L96&amp;"_"&amp;J96,INDEX('Planning and Target Times'!$L$1:$AJ$6,1,0),0),0)+5))</f>
        <v>75</v>
      </c>
      <c r="S96" s="420">
        <f t="shared" si="29"/>
        <v>70</v>
      </c>
      <c r="T96" s="392">
        <f>VLOOKUP(G96,'Planning and Target Times'!$A$7:$G$12,MATCH(K96&amp;"-"&amp;L96&amp;"-"&amp;J96,INDEX('Planning and Target Times'!$A$7:$G$12,1,0),0),0)</f>
        <v>33</v>
      </c>
      <c r="U96" s="292">
        <v>8.125</v>
      </c>
      <c r="V96" s="14">
        <f t="shared" si="30"/>
        <v>46.25</v>
      </c>
      <c r="W96" s="292">
        <v>1708</v>
      </c>
      <c r="X96" s="286" t="str">
        <f t="shared" si="31"/>
        <v>LB</v>
      </c>
      <c r="Y96" s="302">
        <v>9800</v>
      </c>
      <c r="Z96" s="302"/>
      <c r="AA96" s="302">
        <v>8089</v>
      </c>
      <c r="AB96" s="302">
        <v>9796</v>
      </c>
      <c r="AC96" s="302"/>
      <c r="AD96" s="302"/>
      <c r="AE96" s="292"/>
      <c r="AF96" s="292"/>
      <c r="AG96" s="292"/>
      <c r="AH96" s="292"/>
      <c r="AI96" s="292"/>
      <c r="AJ96" s="292"/>
      <c r="AK96" s="282">
        <f>IF(ISERROR(VLOOKUP(G96,'Planning and Target Times'!$B$106:$D$110,MATCH(F96,INDEX('Planning and Target Times'!$B$106:$D$110,1,0),0),0)),"",(VLOOKUP(G96,'Planning and Target Times'!$B$106:$D$110,MATCH(F96,INDEX('Planning and Target Times'!$B$106:$D$110,1,0),0),0)))</f>
        <v>550</v>
      </c>
      <c r="AL96" s="282" t="str">
        <f>VLOOKUP(G96,'Planning and Target Times'!$I$2:$J$7,2,0)</f>
        <v>Sandstone</v>
      </c>
      <c r="AM96" s="14">
        <f t="shared" si="32"/>
        <v>-28.75</v>
      </c>
      <c r="AN96" s="292">
        <v>12.654320987654321</v>
      </c>
      <c r="AO96" s="14">
        <f t="shared" si="36"/>
        <v>22.032786885245901</v>
      </c>
      <c r="AP96" s="283">
        <f>VLOOKUP(G96,'Planning and Target Times'!$A$43:$L$47,MATCH(F96&amp;"-"&amp;K96&amp;"-"&amp;L96&amp;"-"&amp;J96,INDEX('Planning and Target Times'!$A$43:$L$47,1,0),0),0)</f>
        <v>28</v>
      </c>
      <c r="AQ96" s="384" t="s">
        <v>416</v>
      </c>
      <c r="AR96" s="292" t="s">
        <v>91</v>
      </c>
      <c r="AS96" s="292" t="s">
        <v>91</v>
      </c>
      <c r="AT96" s="292" t="s">
        <v>91</v>
      </c>
      <c r="AU96" s="292">
        <v>0.51</v>
      </c>
      <c r="AV96" s="292"/>
      <c r="AW96" s="292"/>
      <c r="AX96" s="384"/>
      <c r="AY96" s="384"/>
      <c r="AZ96" s="283" t="s">
        <v>299</v>
      </c>
      <c r="BA96" s="292">
        <v>0</v>
      </c>
      <c r="BB96" s="292">
        <v>0</v>
      </c>
      <c r="BC96" s="292"/>
      <c r="BD96" s="292">
        <v>1400</v>
      </c>
      <c r="BE96" s="282">
        <v>40</v>
      </c>
      <c r="BF96" s="282">
        <f t="shared" si="37"/>
        <v>840</v>
      </c>
      <c r="BG96" s="282"/>
      <c r="BH96" s="282" t="s">
        <v>340</v>
      </c>
      <c r="BI96" s="283">
        <v>290930</v>
      </c>
      <c r="BJ96" s="292"/>
      <c r="BK96" s="302">
        <f>COUNT(P$2:P96)</f>
        <v>95</v>
      </c>
      <c r="BL96" s="302">
        <f>SUMPRODUCT(--(YEAR(P$2:P96)=YEAR(P96)))</f>
        <v>1</v>
      </c>
      <c r="BM96" s="302">
        <f t="shared" si="33"/>
        <v>44</v>
      </c>
      <c r="BN96" s="15">
        <f t="shared" si="35"/>
        <v>49.931250000001455</v>
      </c>
      <c r="BO96" s="292"/>
      <c r="BP96" s="292"/>
      <c r="BQ96" s="467">
        <v>520.1966666666666</v>
      </c>
      <c r="BR96" s="467">
        <v>469.80833333333334</v>
      </c>
      <c r="BS96" s="467">
        <v>354.42083333333335</v>
      </c>
      <c r="BT96" s="467"/>
      <c r="BU96" s="467"/>
      <c r="BV96" s="467"/>
      <c r="BW96" s="467" t="s">
        <v>1877</v>
      </c>
      <c r="BX96" s="469">
        <v>41640</v>
      </c>
      <c r="BY96" s="472">
        <f t="shared" si="34"/>
        <v>13.644502732240435</v>
      </c>
    </row>
    <row r="97" spans="1:78" ht="15" customHeight="1" x14ac:dyDescent="0.25">
      <c r="A97" s="384" t="s">
        <v>264</v>
      </c>
      <c r="B97" s="384" t="s">
        <v>149</v>
      </c>
      <c r="C97" s="302" t="s">
        <v>264</v>
      </c>
      <c r="D97" s="529" t="s">
        <v>2098</v>
      </c>
      <c r="E97" s="384">
        <v>5</v>
      </c>
      <c r="F97" s="384" t="s">
        <v>42</v>
      </c>
      <c r="G97" s="384" t="s">
        <v>22</v>
      </c>
      <c r="H97" s="384" t="s">
        <v>19</v>
      </c>
      <c r="I97" s="384" t="s">
        <v>16</v>
      </c>
      <c r="J97" s="384" t="s">
        <v>298</v>
      </c>
      <c r="K97" s="384" t="s">
        <v>14</v>
      </c>
      <c r="L97" s="384" t="s">
        <v>1416</v>
      </c>
      <c r="M97" s="384" t="s">
        <v>59</v>
      </c>
      <c r="N97" s="281">
        <v>0</v>
      </c>
      <c r="O97" s="13">
        <f t="shared" si="28"/>
        <v>41603.6875</v>
      </c>
      <c r="P97" s="284">
        <v>41647.083333333336</v>
      </c>
      <c r="Q97" s="15">
        <v>43.395833333335759</v>
      </c>
      <c r="R97" s="334">
        <f>IF(ISERROR(VLOOKUP(G97,'Planning and Target Times'!$L$1:$AJ$6,MATCH(K97&amp;"_"&amp;L97&amp;"_"&amp;J97,INDEX('Planning and Target Times'!$L$1:$AJ$6,1,0),0),0)+5),"",(VLOOKUP(G97,'Planning and Target Times'!$L$1:$AJ$6,MATCH(K97&amp;"_"&amp;L97&amp;"_"&amp;J97,INDEX('Planning and Target Times'!$L$1:$AJ$6,1,0),0),0)+5))</f>
        <v>75</v>
      </c>
      <c r="S97" s="420">
        <f t="shared" si="29"/>
        <v>70</v>
      </c>
      <c r="T97" s="392">
        <f>VLOOKUP(G97,'Planning and Target Times'!$A$7:$G$12,MATCH(K97&amp;"-"&amp;L97&amp;"-"&amp;J97,INDEX('Planning and Target Times'!$A$7:$G$12,1,0),0),0)</f>
        <v>33</v>
      </c>
      <c r="U97" s="292">
        <v>1.9375</v>
      </c>
      <c r="V97" s="14">
        <f t="shared" si="30"/>
        <v>45.333333333335759</v>
      </c>
      <c r="W97" s="282">
        <v>529</v>
      </c>
      <c r="X97" s="286" t="str">
        <f t="shared" si="31"/>
        <v>LB</v>
      </c>
      <c r="Y97" s="302">
        <v>10132</v>
      </c>
      <c r="Z97" s="302"/>
      <c r="AA97" s="302">
        <v>8289</v>
      </c>
      <c r="AB97" s="302">
        <v>9601</v>
      </c>
      <c r="AC97" s="302"/>
      <c r="AD97" s="302">
        <v>10051</v>
      </c>
      <c r="AE97" s="292"/>
      <c r="AF97" s="292"/>
      <c r="AG97" s="292"/>
      <c r="AH97" s="292"/>
      <c r="AI97" s="292"/>
      <c r="AJ97" s="292"/>
      <c r="AK97" s="282">
        <f>IF(ISERROR(VLOOKUP(G97,'Planning and Target Times'!$B$106:$D$110,MATCH(F97,INDEX('Planning and Target Times'!$B$106:$D$110,1,0),0),0)),"",(VLOOKUP(G97,'Planning and Target Times'!$B$106:$D$110,MATCH(F97,INDEX('Planning and Target Times'!$B$106:$D$110,1,0),0),0)))</f>
        <v>900</v>
      </c>
      <c r="AL97" s="282" t="str">
        <f>VLOOKUP(G97,'Planning and Target Times'!$I$2:$J$7,2,0)</f>
        <v>Sandstone</v>
      </c>
      <c r="AM97" s="14">
        <f t="shared" si="32"/>
        <v>-29.666666666664241</v>
      </c>
      <c r="AN97" s="292">
        <v>5.4227941176470589</v>
      </c>
      <c r="AO97" s="14">
        <f t="shared" si="36"/>
        <v>32.856610657703399</v>
      </c>
      <c r="AP97" s="283">
        <f>VLOOKUP(G97,'Planning and Target Times'!$A$43:$L$47,MATCH(F97&amp;"-"&amp;K97&amp;"-"&amp;L97&amp;"-"&amp;J97,INDEX('Planning and Target Times'!$A$43:$L$47,1,0),0),0)</f>
        <v>34</v>
      </c>
      <c r="AQ97" s="385" t="s">
        <v>83</v>
      </c>
      <c r="AR97" s="292">
        <v>1</v>
      </c>
      <c r="AS97" s="384" t="s">
        <v>10</v>
      </c>
      <c r="AT97" s="282" t="s">
        <v>39</v>
      </c>
      <c r="AU97" s="292">
        <v>0.5</v>
      </c>
      <c r="AV97" s="292"/>
      <c r="AW97" s="292"/>
      <c r="AX97" s="384"/>
      <c r="AY97" s="384"/>
      <c r="AZ97" s="283" t="s">
        <v>299</v>
      </c>
      <c r="BA97" s="282">
        <v>5</v>
      </c>
      <c r="BB97" s="282">
        <v>6</v>
      </c>
      <c r="BC97" s="282">
        <v>1700</v>
      </c>
      <c r="BD97" s="282">
        <v>1828</v>
      </c>
      <c r="BE97" s="282">
        <v>22</v>
      </c>
      <c r="BF97" s="282">
        <f t="shared" si="37"/>
        <v>1425.8400000000001</v>
      </c>
      <c r="BG97" s="282"/>
      <c r="BH97" s="282" t="s">
        <v>368</v>
      </c>
      <c r="BI97" s="283">
        <v>289216</v>
      </c>
      <c r="BJ97" s="292"/>
      <c r="BK97" s="302">
        <f>COUNT(P$2:P97)</f>
        <v>96</v>
      </c>
      <c r="BL97" s="302">
        <f>SUMPRODUCT(--(YEAR(P$2:P97)=YEAR(P97)))</f>
        <v>2</v>
      </c>
      <c r="BM97" s="302">
        <f t="shared" si="33"/>
        <v>45</v>
      </c>
      <c r="BN97" s="15">
        <f t="shared" si="35"/>
        <v>48.914583333335031</v>
      </c>
      <c r="BO97" s="292"/>
      <c r="BP97" s="292"/>
      <c r="BQ97" s="467">
        <v>1324.3733333333332</v>
      </c>
      <c r="BR97" s="467">
        <v>1257.5899999999999</v>
      </c>
      <c r="BS97" s="467">
        <v>1278.6641666666667</v>
      </c>
      <c r="BT97" s="467"/>
      <c r="BU97" s="467"/>
      <c r="BV97" s="467"/>
      <c r="BW97" s="467" t="s">
        <v>1877</v>
      </c>
      <c r="BX97" s="469">
        <v>41671</v>
      </c>
      <c r="BY97" s="472">
        <f t="shared" si="34"/>
        <v>30.518444551126471</v>
      </c>
    </row>
    <row r="98" spans="1:78" ht="15" customHeight="1" x14ac:dyDescent="0.25">
      <c r="A98" s="384" t="s">
        <v>265</v>
      </c>
      <c r="B98" s="384" t="s">
        <v>146</v>
      </c>
      <c r="C98" s="302" t="s">
        <v>538</v>
      </c>
      <c r="D98" s="529" t="s">
        <v>2099</v>
      </c>
      <c r="E98" s="384">
        <v>1</v>
      </c>
      <c r="F98" s="384" t="s">
        <v>42</v>
      </c>
      <c r="G98" s="384" t="s">
        <v>44</v>
      </c>
      <c r="H98" s="384" t="s">
        <v>48</v>
      </c>
      <c r="I98" s="384" t="s">
        <v>16</v>
      </c>
      <c r="J98" s="384" t="s">
        <v>298</v>
      </c>
      <c r="K98" s="384" t="s">
        <v>14</v>
      </c>
      <c r="L98" s="384" t="s">
        <v>1410</v>
      </c>
      <c r="M98" s="384" t="s">
        <v>59</v>
      </c>
      <c r="N98" s="281">
        <v>1</v>
      </c>
      <c r="O98" s="13">
        <f t="shared" ref="O98:O129" si="38">P98-Q98</f>
        <v>41582.833333333336</v>
      </c>
      <c r="P98" s="284">
        <v>41654.833333333336</v>
      </c>
      <c r="Q98" s="15">
        <v>72</v>
      </c>
      <c r="R98" s="334">
        <f>IF(ISERROR(VLOOKUP(G98,'Planning and Target Times'!$L$1:$AJ$6,MATCH(K98&amp;"_"&amp;L98&amp;"_"&amp;J98,INDEX('Planning and Target Times'!$L$1:$AJ$6,1,0),0),0)+5),"",(VLOOKUP(G98,'Planning and Target Times'!$L$1:$AJ$6,MATCH(K98&amp;"_"&amp;L98&amp;"_"&amp;J98,INDEX('Planning and Target Times'!$L$1:$AJ$6,1,0),0),0)+5))</f>
        <v>103</v>
      </c>
      <c r="S98" s="420">
        <f t="shared" ref="S98:S129" si="39">IF(ISERROR(R98-5),"",R98-5)</f>
        <v>98</v>
      </c>
      <c r="T98" s="392">
        <f>VLOOKUP(G98,'Planning and Target Times'!$A$7:$G$12,MATCH(K98&amp;"-"&amp;L98&amp;"-"&amp;J98,INDEX('Planning and Target Times'!$A$7:$G$12,1,0),0),0)</f>
        <v>75</v>
      </c>
      <c r="U98" s="292">
        <v>1.9583333333357587</v>
      </c>
      <c r="V98" s="14">
        <f t="shared" si="30"/>
        <v>73.958333333335759</v>
      </c>
      <c r="W98" s="292">
        <v>1770</v>
      </c>
      <c r="X98" s="286" t="str">
        <f t="shared" ref="X98:X129" si="40">IF(OR(G98="ZU",G98="RT"),"ZU/RT",G98)</f>
        <v>ZU/RT</v>
      </c>
      <c r="Y98" s="302">
        <v>11764</v>
      </c>
      <c r="Z98" s="302">
        <v>5966</v>
      </c>
      <c r="AA98" s="302">
        <v>9237</v>
      </c>
      <c r="AB98" s="302">
        <v>9994</v>
      </c>
      <c r="AC98" s="302"/>
      <c r="AD98" s="302"/>
      <c r="AE98" s="292"/>
      <c r="AF98" s="292"/>
      <c r="AG98" s="292"/>
      <c r="AH98" s="292"/>
      <c r="AI98" s="292"/>
      <c r="AJ98" s="292"/>
      <c r="AK98" s="282">
        <f>IF(ISERROR(VLOOKUP(G98,'Planning and Target Times'!$B$106:$D$110,MATCH(F98,INDEX('Planning and Target Times'!$B$106:$D$110,1,0),0),0)),"",(VLOOKUP(G98,'Planning and Target Times'!$B$106:$D$110,MATCH(F98,INDEX('Planning and Target Times'!$B$106:$D$110,1,0),0),0)))</f>
        <v>1560</v>
      </c>
      <c r="AL98" s="282" t="str">
        <f>VLOOKUP(G98,'Planning and Target Times'!$I$2:$J$7,2,0)</f>
        <v>Sandstone</v>
      </c>
      <c r="AM98" s="14">
        <f t="shared" ref="AM98:AM134" si="41">V98-R98</f>
        <v>-29.041666666664241</v>
      </c>
      <c r="AN98" s="292">
        <v>7.4375955170657146</v>
      </c>
      <c r="AO98" s="14">
        <f t="shared" si="36"/>
        <v>25.993611111111111</v>
      </c>
      <c r="AP98" s="283">
        <f>VLOOKUP(G98,'Planning and Target Times'!$A$43:$L$47,MATCH(F98&amp;"-"&amp;K98&amp;"-"&amp;L98&amp;"-"&amp;J98,INDEX('Planning and Target Times'!$A$43:$L$47,1,0),0),0)</f>
        <v>27</v>
      </c>
      <c r="AQ98" s="385" t="s">
        <v>83</v>
      </c>
      <c r="AR98" s="292">
        <v>1</v>
      </c>
      <c r="AS98" s="384" t="s">
        <v>10</v>
      </c>
      <c r="AT98" s="282" t="s">
        <v>39</v>
      </c>
      <c r="AU98" s="292">
        <v>1</v>
      </c>
      <c r="AV98" s="292"/>
      <c r="AW98" s="292"/>
      <c r="AX98" s="384"/>
      <c r="AY98" s="384"/>
      <c r="AZ98" s="292" t="s">
        <v>10</v>
      </c>
      <c r="BA98" s="292">
        <v>15</v>
      </c>
      <c r="BB98" s="292">
        <v>8</v>
      </c>
      <c r="BC98" s="292">
        <v>3000</v>
      </c>
      <c r="BD98" s="292">
        <v>1991</v>
      </c>
      <c r="BE98" s="282">
        <v>6</v>
      </c>
      <c r="BF98" s="282">
        <f t="shared" si="37"/>
        <v>1871.54</v>
      </c>
      <c r="BG98" s="282"/>
      <c r="BH98" s="292" t="s">
        <v>345</v>
      </c>
      <c r="BI98" s="283">
        <v>289212</v>
      </c>
      <c r="BJ98" s="292"/>
      <c r="BK98" s="302">
        <f>COUNT(P$2:P98)</f>
        <v>97</v>
      </c>
      <c r="BL98" s="302">
        <f>SUMPRODUCT(--(YEAR(P$2:P98)=YEAR(P98)))</f>
        <v>3</v>
      </c>
      <c r="BM98" s="302">
        <f t="shared" si="33"/>
        <v>46</v>
      </c>
      <c r="BN98" s="15">
        <f t="shared" si="35"/>
        <v>49.006250000001458</v>
      </c>
      <c r="BO98" s="292"/>
      <c r="BP98" s="292"/>
      <c r="BQ98" s="467">
        <v>2190.0866666666666</v>
      </c>
      <c r="BR98" s="467">
        <v>2190.7066666666669</v>
      </c>
      <c r="BS98" s="467">
        <v>2168.13</v>
      </c>
      <c r="BT98" s="467"/>
      <c r="BU98" s="467"/>
      <c r="BV98" s="467"/>
      <c r="BW98" s="467" t="s">
        <v>1877</v>
      </c>
      <c r="BX98" s="469">
        <v>41640</v>
      </c>
      <c r="BY98" s="472">
        <f t="shared" si="34"/>
        <v>30.41787037037037</v>
      </c>
    </row>
    <row r="99" spans="1:78" ht="15" customHeight="1" x14ac:dyDescent="0.25">
      <c r="A99" s="384" t="s">
        <v>266</v>
      </c>
      <c r="B99" s="384" t="s">
        <v>148</v>
      </c>
      <c r="C99" s="302" t="s">
        <v>555</v>
      </c>
      <c r="D99" s="529" t="s">
        <v>2100</v>
      </c>
      <c r="E99" s="384">
        <v>2</v>
      </c>
      <c r="F99" s="384" t="s">
        <v>11</v>
      </c>
      <c r="G99" s="384" t="s">
        <v>29</v>
      </c>
      <c r="H99" s="384" t="s">
        <v>31</v>
      </c>
      <c r="I99" s="384" t="s">
        <v>16</v>
      </c>
      <c r="J99" s="384" t="s">
        <v>298</v>
      </c>
      <c r="K99" s="384" t="s">
        <v>14</v>
      </c>
      <c r="L99" s="384" t="s">
        <v>1416</v>
      </c>
      <c r="M99" s="384" t="s">
        <v>59</v>
      </c>
      <c r="N99" s="292">
        <v>0</v>
      </c>
      <c r="O99" s="13">
        <f t="shared" si="38"/>
        <v>41615.854166666664</v>
      </c>
      <c r="P99" s="284">
        <v>41661.25</v>
      </c>
      <c r="Q99" s="15">
        <v>45.395833333335759</v>
      </c>
      <c r="R99" s="334">
        <f>IF(ISERROR(VLOOKUP(G99,'Planning and Target Times'!$L$1:$AJ$6,MATCH(K99&amp;"_"&amp;L99&amp;"_"&amp;J99,INDEX('Planning and Target Times'!$L$1:$AJ$6,1,0),0),0)+5),"",(VLOOKUP(G99,'Planning and Target Times'!$L$1:$AJ$6,MATCH(K99&amp;"_"&amp;L99&amp;"_"&amp;J99,INDEX('Planning and Target Times'!$L$1:$AJ$6,1,0),0),0)+5))</f>
        <v>75</v>
      </c>
      <c r="S99" s="420">
        <f t="shared" si="39"/>
        <v>70</v>
      </c>
      <c r="T99" s="392">
        <f>VLOOKUP(G99,'Planning and Target Times'!$A$7:$G$12,MATCH(K99&amp;"-"&amp;L99&amp;"-"&amp;J99,INDEX('Planning and Target Times'!$A$7:$G$12,1,0),0),0)</f>
        <v>33</v>
      </c>
      <c r="U99" s="292">
        <v>2.7083333333284827</v>
      </c>
      <c r="V99" s="14">
        <f t="shared" si="30"/>
        <v>48.104166666664241</v>
      </c>
      <c r="W99" s="292">
        <v>1331</v>
      </c>
      <c r="X99" s="286" t="str">
        <f t="shared" si="40"/>
        <v>UB</v>
      </c>
      <c r="Y99" s="302">
        <v>9023</v>
      </c>
      <c r="Z99" s="302">
        <v>5968</v>
      </c>
      <c r="AA99" s="302">
        <v>7688</v>
      </c>
      <c r="AB99" s="302">
        <v>9020</v>
      </c>
      <c r="AC99" s="302"/>
      <c r="AD99" s="302"/>
      <c r="AE99" s="292"/>
      <c r="AF99" s="292"/>
      <c r="AG99" s="292"/>
      <c r="AH99" s="292"/>
      <c r="AI99" s="292"/>
      <c r="AJ99" s="292"/>
      <c r="AK99" s="282">
        <f>IF(ISERROR(VLOOKUP(G99,'Planning and Target Times'!$B$106:$D$110,MATCH(F99,INDEX('Planning and Target Times'!$B$106:$D$110,1,0),0),0)),"",(VLOOKUP(G99,'Planning and Target Times'!$B$106:$D$110,MATCH(F99,INDEX('Planning and Target Times'!$B$106:$D$110,1,0),0),0)))</f>
        <v>630</v>
      </c>
      <c r="AL99" s="282" t="str">
        <f>VLOOKUP(G99,'Planning and Target Times'!$I$2:$J$7,2,0)</f>
        <v>Sandstone</v>
      </c>
      <c r="AM99" s="14">
        <f t="shared" si="41"/>
        <v>-26.895833333335759</v>
      </c>
      <c r="AN99" s="292">
        <v>3.6395147313691507</v>
      </c>
      <c r="AO99" s="14">
        <f t="shared" si="36"/>
        <v>12.644332262505062</v>
      </c>
      <c r="AP99" s="283">
        <f>VLOOKUP(G99,'Planning and Target Times'!$A$43:$L$47,MATCH(F99&amp;"-"&amp;K99&amp;"-"&amp;L99&amp;"-"&amp;J99,INDEX('Planning and Target Times'!$A$43:$L$47,1,0),0),0)</f>
        <v>20</v>
      </c>
      <c r="AQ99" s="384" t="s">
        <v>416</v>
      </c>
      <c r="AR99" s="292" t="s">
        <v>91</v>
      </c>
      <c r="AS99" s="292" t="s">
        <v>91</v>
      </c>
      <c r="AT99" s="292" t="s">
        <v>91</v>
      </c>
      <c r="AU99" s="292">
        <v>0.47</v>
      </c>
      <c r="AV99" s="292"/>
      <c r="AW99" s="292"/>
      <c r="AX99" s="384"/>
      <c r="AY99" s="384"/>
      <c r="AZ99" s="292" t="s">
        <v>10</v>
      </c>
      <c r="BA99" s="292">
        <v>0</v>
      </c>
      <c r="BB99" s="292">
        <v>0</v>
      </c>
      <c r="BC99" s="292"/>
      <c r="BD99" s="292">
        <v>1025</v>
      </c>
      <c r="BE99" s="282">
        <v>44</v>
      </c>
      <c r="BF99" s="282">
        <f t="shared" si="37"/>
        <v>574</v>
      </c>
      <c r="BG99" s="282"/>
      <c r="BH99" s="282" t="s">
        <v>404</v>
      </c>
      <c r="BI99" s="283">
        <v>289135</v>
      </c>
      <c r="BJ99" s="292"/>
      <c r="BK99" s="302">
        <f>COUNT(P$2:P99)</f>
        <v>98</v>
      </c>
      <c r="BL99" s="302">
        <f>SUMPRODUCT(--(YEAR(P$2:P99)=YEAR(P99)))</f>
        <v>4</v>
      </c>
      <c r="BM99" s="302">
        <f t="shared" ref="BM99:BM130" si="42">IF(AND(MONTH(P98)&lt;&gt;4,MONTH(P99)=4),1,BM98+1)</f>
        <v>47</v>
      </c>
      <c r="BN99" s="15">
        <f t="shared" si="35"/>
        <v>50.212500000001455</v>
      </c>
      <c r="BO99" s="292"/>
      <c r="BP99" s="292"/>
      <c r="BQ99" s="467">
        <v>1159.8500000000001</v>
      </c>
      <c r="BR99" s="467">
        <v>945.05166666666673</v>
      </c>
      <c r="BS99" s="467">
        <v>742.31666666666661</v>
      </c>
      <c r="BT99" s="467"/>
      <c r="BU99" s="467"/>
      <c r="BV99" s="467"/>
      <c r="BW99" s="467" t="s">
        <v>1877</v>
      </c>
      <c r="BX99" s="469">
        <v>41671</v>
      </c>
      <c r="BY99" s="472">
        <f t="shared" si="34"/>
        <v>25.549701698025256</v>
      </c>
    </row>
    <row r="100" spans="1:78" ht="15" customHeight="1" x14ac:dyDescent="0.25">
      <c r="A100" s="384" t="s">
        <v>267</v>
      </c>
      <c r="B100" s="384" t="s">
        <v>147</v>
      </c>
      <c r="C100" s="302" t="s">
        <v>147</v>
      </c>
      <c r="D100" s="529" t="s">
        <v>2101</v>
      </c>
      <c r="E100" s="384">
        <v>2</v>
      </c>
      <c r="F100" s="384" t="s">
        <v>11</v>
      </c>
      <c r="G100" s="384" t="s">
        <v>44</v>
      </c>
      <c r="H100" s="384" t="s">
        <v>37</v>
      </c>
      <c r="I100" s="384" t="s">
        <v>24</v>
      </c>
      <c r="J100" s="384" t="s">
        <v>298</v>
      </c>
      <c r="K100" s="384" t="s">
        <v>14</v>
      </c>
      <c r="L100" s="384" t="s">
        <v>1410</v>
      </c>
      <c r="M100" s="384" t="s">
        <v>60</v>
      </c>
      <c r="N100" s="292">
        <v>2</v>
      </c>
      <c r="O100" s="13">
        <f t="shared" si="38"/>
        <v>41542.625</v>
      </c>
      <c r="P100" s="284">
        <v>41666.125</v>
      </c>
      <c r="Q100" s="15">
        <v>123.5</v>
      </c>
      <c r="R100" s="334">
        <f>IF(ISERROR(VLOOKUP(G100,'Planning and Target Times'!$L$1:$AJ$6,MATCH(K100&amp;"_"&amp;L100&amp;"_"&amp;J100,INDEX('Planning and Target Times'!$L$1:$AJ$6,1,0),0),0)+5),"",(VLOOKUP(G100,'Planning and Target Times'!$L$1:$AJ$6,MATCH(K100&amp;"_"&amp;L100&amp;"_"&amp;J100,INDEX('Planning and Target Times'!$L$1:$AJ$6,1,0),0),0)+5))</f>
        <v>103</v>
      </c>
      <c r="S100" s="420">
        <f t="shared" si="39"/>
        <v>98</v>
      </c>
      <c r="T100" s="392">
        <f>VLOOKUP(G100,'Planning and Target Times'!$A$7:$G$12,MATCH(K100&amp;"-"&amp;L100&amp;"-"&amp;J100,INDEX('Planning and Target Times'!$A$7:$G$12,1,0),0),0)</f>
        <v>75</v>
      </c>
      <c r="U100" s="292">
        <v>3.375</v>
      </c>
      <c r="V100" s="14">
        <f t="shared" si="30"/>
        <v>126.875</v>
      </c>
      <c r="W100" s="292">
        <v>1628</v>
      </c>
      <c r="X100" s="286" t="str">
        <f t="shared" si="40"/>
        <v>ZU/RT</v>
      </c>
      <c r="Y100" s="302">
        <v>13231</v>
      </c>
      <c r="Z100" s="302">
        <v>5938</v>
      </c>
      <c r="AA100" s="302">
        <v>8994</v>
      </c>
      <c r="AB100" s="302">
        <v>11522</v>
      </c>
      <c r="AC100" s="302"/>
      <c r="AD100" s="302"/>
      <c r="AE100" s="292"/>
      <c r="AF100" s="292"/>
      <c r="AG100" s="292"/>
      <c r="AH100" s="292"/>
      <c r="AI100" s="292"/>
      <c r="AJ100" s="292"/>
      <c r="AK100" s="282">
        <f>IF(ISERROR(VLOOKUP(G100,'Planning and Target Times'!$B$106:$D$110,MATCH(F100,INDEX('Planning and Target Times'!$B$106:$D$110,1,0),0),0)),"",(VLOOKUP(G100,'Planning and Target Times'!$B$106:$D$110,MATCH(F100,INDEX('Planning and Target Times'!$B$106:$D$110,1,0),0),0)))</f>
        <v>920</v>
      </c>
      <c r="AL100" s="282" t="str">
        <f>VLOOKUP(G100,'Planning and Target Times'!$I$2:$J$7,2,0)</f>
        <v>Sandstone</v>
      </c>
      <c r="AM100" s="14">
        <f t="shared" si="41"/>
        <v>23.875</v>
      </c>
      <c r="AN100" s="292">
        <v>29.885057471264364</v>
      </c>
      <c r="AO100" s="14">
        <f t="shared" si="36"/>
        <v>14.923076923076923</v>
      </c>
      <c r="AP100" s="283">
        <f>VLOOKUP(G100,'Planning and Target Times'!$A$43:$L$47,MATCH(F100&amp;"-"&amp;K100&amp;"-"&amp;L100&amp;"-"&amp;J100,INDEX('Planning and Target Times'!$A$43:$L$47,1,0),0),0)</f>
        <v>18</v>
      </c>
      <c r="AQ100" s="385" t="s">
        <v>83</v>
      </c>
      <c r="AR100" s="292">
        <v>1</v>
      </c>
      <c r="AS100" s="384" t="s">
        <v>10</v>
      </c>
      <c r="AT100" s="282" t="s">
        <v>39</v>
      </c>
      <c r="AU100" s="292">
        <v>0.95</v>
      </c>
      <c r="AV100" s="292"/>
      <c r="AW100" s="292"/>
      <c r="AX100" s="384"/>
      <c r="AY100" s="384"/>
      <c r="AZ100" s="292" t="s">
        <v>10</v>
      </c>
      <c r="BA100" s="292">
        <v>36</v>
      </c>
      <c r="BB100" s="292">
        <v>17</v>
      </c>
      <c r="BC100" s="292">
        <v>2000</v>
      </c>
      <c r="BD100" s="282">
        <v>1900</v>
      </c>
      <c r="BE100" s="282">
        <v>3</v>
      </c>
      <c r="BF100" s="282">
        <f t="shared" si="37"/>
        <v>1843</v>
      </c>
      <c r="BG100" s="282"/>
      <c r="BH100" s="282" t="s">
        <v>392</v>
      </c>
      <c r="BI100" s="283">
        <v>289196</v>
      </c>
      <c r="BJ100" s="292"/>
      <c r="BK100" s="302">
        <f>COUNT(P$2:P100)</f>
        <v>99</v>
      </c>
      <c r="BL100" s="302">
        <f>SUMPRODUCT(--(YEAR(P$2:P100)=YEAR(P100)))</f>
        <v>5</v>
      </c>
      <c r="BM100" s="302">
        <f t="shared" si="42"/>
        <v>48</v>
      </c>
      <c r="BN100" s="15">
        <f t="shared" si="35"/>
        <v>57.987500000001454</v>
      </c>
      <c r="BO100" s="292"/>
      <c r="BP100" s="292"/>
      <c r="BQ100" s="467">
        <v>2470.5899999999997</v>
      </c>
      <c r="BR100" s="467">
        <v>1898.1183333333336</v>
      </c>
      <c r="BS100" s="467">
        <v>1452.9008333333334</v>
      </c>
      <c r="BT100" s="467"/>
      <c r="BU100" s="467"/>
      <c r="BV100" s="467"/>
      <c r="BW100" s="467" t="s">
        <v>1877</v>
      </c>
      <c r="BX100" s="469">
        <v>41671</v>
      </c>
      <c r="BY100" s="472">
        <f t="shared" si="34"/>
        <v>20.004777327935219</v>
      </c>
    </row>
    <row r="101" spans="1:78" ht="15.75" customHeight="1" x14ac:dyDescent="0.25">
      <c r="A101" s="384" t="s">
        <v>49</v>
      </c>
      <c r="B101" s="384" t="s">
        <v>49</v>
      </c>
      <c r="C101" s="302" t="s">
        <v>564</v>
      </c>
      <c r="D101" s="529" t="s">
        <v>2102</v>
      </c>
      <c r="E101" s="384">
        <v>3</v>
      </c>
      <c r="F101" s="384" t="s">
        <v>11</v>
      </c>
      <c r="G101" s="384" t="s">
        <v>44</v>
      </c>
      <c r="H101" s="384" t="s">
        <v>50</v>
      </c>
      <c r="I101" s="384" t="s">
        <v>16</v>
      </c>
      <c r="J101" s="384" t="s">
        <v>298</v>
      </c>
      <c r="K101" s="384" t="s">
        <v>14</v>
      </c>
      <c r="L101" s="384" t="s">
        <v>1410</v>
      </c>
      <c r="M101" s="384" t="s">
        <v>61</v>
      </c>
      <c r="N101" s="292">
        <v>1</v>
      </c>
      <c r="O101" s="13">
        <f t="shared" si="38"/>
        <v>41559.708333333336</v>
      </c>
      <c r="P101" s="284">
        <v>41669.895833333336</v>
      </c>
      <c r="Q101" s="15">
        <v>110.1875</v>
      </c>
      <c r="R101" s="334">
        <f>IF(ISERROR(VLOOKUP(G101,'Planning and Target Times'!$L$1:$AJ$6,MATCH(K101&amp;"_"&amp;L101&amp;"_"&amp;J101,INDEX('Planning and Target Times'!$L$1:$AJ$6,1,0),0),0)+5),"",(VLOOKUP(G101,'Planning and Target Times'!$L$1:$AJ$6,MATCH(K101&amp;"_"&amp;L101&amp;"_"&amp;J101,INDEX('Planning and Target Times'!$L$1:$AJ$6,1,0),0),0)+5))</f>
        <v>103</v>
      </c>
      <c r="S101" s="420">
        <f t="shared" si="39"/>
        <v>98</v>
      </c>
      <c r="T101" s="392">
        <f>VLOOKUP(G101,'Planning and Target Times'!$A$7:$G$12,MATCH(K101&amp;"-"&amp;L101&amp;"-"&amp;J101,INDEX('Planning and Target Times'!$A$7:$G$12,1,0),0),0)</f>
        <v>75</v>
      </c>
      <c r="U101" s="292">
        <v>7.0833333333357587</v>
      </c>
      <c r="V101" s="14">
        <f t="shared" si="30"/>
        <v>117.27083333333576</v>
      </c>
      <c r="W101" s="292">
        <v>1087</v>
      </c>
      <c r="X101" s="286" t="str">
        <f t="shared" si="40"/>
        <v>ZU/RT</v>
      </c>
      <c r="Y101" s="302">
        <v>12817</v>
      </c>
      <c r="Z101" s="302">
        <v>6013</v>
      </c>
      <c r="AA101" s="302">
        <v>9179</v>
      </c>
      <c r="AB101" s="302">
        <v>11730</v>
      </c>
      <c r="AC101" s="302"/>
      <c r="AD101" s="302"/>
      <c r="AE101" s="292"/>
      <c r="AF101" s="292"/>
      <c r="AG101" s="292"/>
      <c r="AH101" s="292"/>
      <c r="AI101" s="292"/>
      <c r="AJ101" s="292"/>
      <c r="AK101" s="282">
        <f>IF(ISERROR(VLOOKUP(G101,'Planning and Target Times'!$B$106:$D$110,MATCH(F101,INDEX('Planning and Target Times'!$B$106:$D$110,1,0),0),0)),"",(VLOOKUP(G101,'Planning and Target Times'!$B$106:$D$110,MATCH(F101,INDEX('Planning and Target Times'!$B$106:$D$110,1,0),0),0)))</f>
        <v>920</v>
      </c>
      <c r="AL101" s="282" t="str">
        <f>VLOOKUP(G101,'Planning and Target Times'!$I$2:$J$7,2,0)</f>
        <v>Sandstone</v>
      </c>
      <c r="AM101" s="14">
        <f t="shared" si="41"/>
        <v>14.270833333335759</v>
      </c>
      <c r="AN101" s="292">
        <v>12.882995878874754</v>
      </c>
      <c r="AO101" s="14">
        <f t="shared" si="36"/>
        <v>15.925581395348839</v>
      </c>
      <c r="AP101" s="283">
        <f>VLOOKUP(G101,'Planning and Target Times'!$A$43:$L$47,MATCH(F101&amp;"-"&amp;K101&amp;"-"&amp;L101&amp;"-"&amp;J101,INDEX('Planning and Target Times'!$A$43:$L$47,1,0),0),0)</f>
        <v>18</v>
      </c>
      <c r="AQ101" s="420" t="s">
        <v>415</v>
      </c>
      <c r="AR101" s="292" t="s">
        <v>91</v>
      </c>
      <c r="AS101" s="292" t="s">
        <v>91</v>
      </c>
      <c r="AT101" s="292" t="s">
        <v>91</v>
      </c>
      <c r="AU101" s="292">
        <v>0.78</v>
      </c>
      <c r="AV101" s="292">
        <v>0.78</v>
      </c>
      <c r="AW101" s="292"/>
      <c r="AX101" s="384"/>
      <c r="AY101" s="384"/>
      <c r="AZ101" s="292" t="s">
        <v>10</v>
      </c>
      <c r="BA101" s="292">
        <v>0</v>
      </c>
      <c r="BB101" s="292">
        <v>0</v>
      </c>
      <c r="BC101" s="292"/>
      <c r="BD101" s="292">
        <v>2140</v>
      </c>
      <c r="BE101" s="292">
        <v>18</v>
      </c>
      <c r="BF101" s="282">
        <f t="shared" si="37"/>
        <v>1754.8000000000002</v>
      </c>
      <c r="BG101" s="282"/>
      <c r="BH101" s="19" t="s">
        <v>390</v>
      </c>
      <c r="BI101" s="283">
        <v>289258</v>
      </c>
      <c r="BJ101" s="292"/>
      <c r="BK101" s="302">
        <f>COUNT(P$2:P101)</f>
        <v>100</v>
      </c>
      <c r="BL101" s="302">
        <f>SUMPRODUCT(--(YEAR(P$2:P101)=YEAR(P101)))</f>
        <v>6</v>
      </c>
      <c r="BM101" s="302">
        <f t="shared" si="42"/>
        <v>49</v>
      </c>
      <c r="BN101" s="15">
        <f t="shared" si="35"/>
        <v>63.591666666667876</v>
      </c>
      <c r="BO101" s="292"/>
      <c r="BP101" s="292"/>
      <c r="BQ101" s="467">
        <v>647.17999999999995</v>
      </c>
      <c r="BR101" s="467">
        <v>529.72833333333335</v>
      </c>
      <c r="BS101" s="467">
        <v>657.505</v>
      </c>
      <c r="BT101" s="467"/>
      <c r="BU101" s="467"/>
      <c r="BV101" s="467"/>
      <c r="BW101" s="467" t="s">
        <v>1877</v>
      </c>
      <c r="BX101" s="469">
        <v>41671</v>
      </c>
      <c r="BY101" s="472">
        <f t="shared" si="34"/>
        <v>5.8734429948950648</v>
      </c>
    </row>
    <row r="102" spans="1:78" ht="34.5" customHeight="1" x14ac:dyDescent="0.25">
      <c r="A102" s="384" t="s">
        <v>53</v>
      </c>
      <c r="B102" s="384" t="s">
        <v>53</v>
      </c>
      <c r="C102" s="302" t="s">
        <v>556</v>
      </c>
      <c r="D102" s="529" t="s">
        <v>2103</v>
      </c>
      <c r="E102" s="384">
        <v>5</v>
      </c>
      <c r="F102" s="384" t="s">
        <v>11</v>
      </c>
      <c r="G102" s="384" t="s">
        <v>22</v>
      </c>
      <c r="H102" s="384" t="s">
        <v>23</v>
      </c>
      <c r="I102" s="384" t="s">
        <v>20</v>
      </c>
      <c r="J102" s="384" t="s">
        <v>298</v>
      </c>
      <c r="K102" s="384" t="s">
        <v>14</v>
      </c>
      <c r="L102" s="384" t="s">
        <v>1416</v>
      </c>
      <c r="M102" s="384" t="s">
        <v>59</v>
      </c>
      <c r="N102" s="292">
        <v>0</v>
      </c>
      <c r="O102" s="13">
        <f t="shared" si="38"/>
        <v>41644.25</v>
      </c>
      <c r="P102" s="284">
        <v>41691.458333333336</v>
      </c>
      <c r="Q102" s="15">
        <v>47.208333333335759</v>
      </c>
      <c r="R102" s="334">
        <f>IF(ISERROR(VLOOKUP(G102,'Planning and Target Times'!$L$1:$AJ$6,MATCH(K102&amp;"_"&amp;L102&amp;"_"&amp;J102,INDEX('Planning and Target Times'!$L$1:$AJ$6,1,0),0),0)+5),"",(VLOOKUP(G102,'Planning and Target Times'!$L$1:$AJ$6,MATCH(K102&amp;"_"&amp;L102&amp;"_"&amp;J102,INDEX('Planning and Target Times'!$L$1:$AJ$6,1,0),0),0)+5))</f>
        <v>75</v>
      </c>
      <c r="S102" s="420">
        <f t="shared" si="39"/>
        <v>70</v>
      </c>
      <c r="T102" s="392">
        <f>VLOOKUP(G102,'Planning and Target Times'!$A$7:$G$12,MATCH(K102&amp;"-"&amp;L102&amp;"-"&amp;J102,INDEX('Planning and Target Times'!$A$7:$G$12,1,0),0),0)</f>
        <v>33</v>
      </c>
      <c r="U102" s="292">
        <v>4.2916666666642413</v>
      </c>
      <c r="V102" s="14">
        <f t="shared" si="30"/>
        <v>51.5</v>
      </c>
      <c r="W102" s="292">
        <v>1943</v>
      </c>
      <c r="X102" s="286" t="str">
        <f t="shared" si="40"/>
        <v>LB</v>
      </c>
      <c r="Y102" s="302">
        <v>9500</v>
      </c>
      <c r="Z102" s="302">
        <v>6043</v>
      </c>
      <c r="AA102" s="302">
        <v>7735</v>
      </c>
      <c r="AB102" s="302">
        <v>9500</v>
      </c>
      <c r="AC102" s="302"/>
      <c r="AD102" s="302"/>
      <c r="AE102" s="292"/>
      <c r="AF102" s="292"/>
      <c r="AG102" s="292"/>
      <c r="AH102" s="292"/>
      <c r="AI102" s="292"/>
      <c r="AJ102" s="292"/>
      <c r="AK102" s="282">
        <f>IF(ISERROR(VLOOKUP(G102,'Planning and Target Times'!$B$106:$D$110,MATCH(F102,INDEX('Planning and Target Times'!$B$106:$D$110,1,0),0),0)),"",(VLOOKUP(G102,'Planning and Target Times'!$B$106:$D$110,MATCH(F102,INDEX('Planning and Target Times'!$B$106:$D$110,1,0),0),0)))</f>
        <v>550</v>
      </c>
      <c r="AL102" s="282" t="str">
        <f>VLOOKUP(G102,'Planning and Target Times'!$I$2:$J$7,2,0)</f>
        <v>Sandstone</v>
      </c>
      <c r="AM102" s="14">
        <f t="shared" si="41"/>
        <v>-23.5</v>
      </c>
      <c r="AN102" s="292">
        <v>10.720064724919093</v>
      </c>
      <c r="AO102" s="14">
        <f t="shared" si="36"/>
        <v>0</v>
      </c>
      <c r="AP102" s="283">
        <f>VLOOKUP(G102,'Planning and Target Times'!$A$43:$L$47,MATCH(F102&amp;"-"&amp;K102&amp;"-"&amp;L102&amp;"-"&amp;J102,INDEX('Planning and Target Times'!$A$43:$L$47,1,0),0),0)</f>
        <v>28</v>
      </c>
      <c r="AQ102" s="384" t="s">
        <v>416</v>
      </c>
      <c r="AR102" s="384" t="s">
        <v>91</v>
      </c>
      <c r="AS102" s="292" t="s">
        <v>91</v>
      </c>
      <c r="AT102" s="292" t="s">
        <v>91</v>
      </c>
      <c r="AU102" s="292">
        <v>0.66</v>
      </c>
      <c r="AV102" s="292">
        <v>0.27</v>
      </c>
      <c r="AW102" s="292"/>
      <c r="AX102" s="384"/>
      <c r="AY102" s="384"/>
      <c r="AZ102" s="292" t="s">
        <v>10</v>
      </c>
      <c r="BA102" s="292">
        <v>0</v>
      </c>
      <c r="BB102" s="292">
        <v>0</v>
      </c>
      <c r="BC102" s="292"/>
      <c r="BD102" s="292">
        <v>0</v>
      </c>
      <c r="BE102" s="292"/>
      <c r="BF102" s="282">
        <f t="shared" si="37"/>
        <v>0</v>
      </c>
      <c r="BG102" s="282"/>
      <c r="BH102" s="22" t="s">
        <v>405</v>
      </c>
      <c r="BI102" s="283">
        <v>293651</v>
      </c>
      <c r="BJ102" s="292"/>
      <c r="BK102" s="302">
        <f>COUNT(P$2:P102)</f>
        <v>101</v>
      </c>
      <c r="BL102" s="302">
        <f>SUMPRODUCT(--(YEAR(P$2:P102)=YEAR(P102)))</f>
        <v>7</v>
      </c>
      <c r="BM102" s="302">
        <f t="shared" si="42"/>
        <v>50</v>
      </c>
      <c r="BN102" s="15">
        <f t="shared" si="35"/>
        <v>61.260416666667879</v>
      </c>
      <c r="BO102" s="292"/>
      <c r="BP102" s="292"/>
      <c r="BQ102" s="467">
        <v>137.48666666666668</v>
      </c>
      <c r="BR102" s="467">
        <v>156.285</v>
      </c>
      <c r="BS102" s="467">
        <v>111.85300000000002</v>
      </c>
      <c r="BT102" s="467"/>
      <c r="BU102" s="467"/>
      <c r="BV102" s="467"/>
      <c r="BW102" s="467" t="s">
        <v>1877</v>
      </c>
      <c r="BX102" s="469">
        <v>41974</v>
      </c>
      <c r="BY102" s="472">
        <f t="shared" si="34"/>
        <v>2.9123389232125603</v>
      </c>
    </row>
    <row r="103" spans="1:78" ht="15" customHeight="1" x14ac:dyDescent="0.25">
      <c r="A103" s="384" t="s">
        <v>55</v>
      </c>
      <c r="B103" s="384" t="s">
        <v>55</v>
      </c>
      <c r="C103" s="302" t="s">
        <v>522</v>
      </c>
      <c r="D103" s="529" t="s">
        <v>2104</v>
      </c>
      <c r="E103" s="384">
        <v>2</v>
      </c>
      <c r="F103" s="281" t="s">
        <v>42</v>
      </c>
      <c r="G103" s="281" t="s">
        <v>44</v>
      </c>
      <c r="H103" s="384" t="s">
        <v>31</v>
      </c>
      <c r="I103" s="281" t="s">
        <v>20</v>
      </c>
      <c r="J103" s="384" t="s">
        <v>298</v>
      </c>
      <c r="K103" s="281" t="s">
        <v>18</v>
      </c>
      <c r="L103" s="384" t="s">
        <v>1511</v>
      </c>
      <c r="M103" s="8" t="s">
        <v>59</v>
      </c>
      <c r="N103" s="281">
        <v>1</v>
      </c>
      <c r="O103" s="13">
        <f t="shared" si="38"/>
        <v>41664.5625</v>
      </c>
      <c r="P103" s="284">
        <v>41707.166666666664</v>
      </c>
      <c r="Q103" s="15">
        <v>42.604166666664241</v>
      </c>
      <c r="R103" s="334" t="str">
        <f>IF(ISERROR(VLOOKUP(G103,'Planning and Target Times'!$L$1:$AJ$6,MATCH(K103&amp;"_"&amp;L103&amp;"_"&amp;J103,INDEX('Planning and Target Times'!$L$1:$AJ$6,1,0),0),0)+5),"",(VLOOKUP(G103,'Planning and Target Times'!$L$1:$AJ$6,MATCH(K103&amp;"_"&amp;L103&amp;"_"&amp;J103,INDEX('Planning and Target Times'!$L$1:$AJ$6,1,0),0),0)+5))</f>
        <v/>
      </c>
      <c r="S103" s="420" t="str">
        <f t="shared" si="39"/>
        <v/>
      </c>
      <c r="T103" s="392" t="e">
        <f>VLOOKUP(G103,'Planning and Target Times'!$A$7:$G$12,MATCH(K103&amp;"-"&amp;L103&amp;"-"&amp;J103,INDEX('Planning and Target Times'!$A$7:$G$12,1,0),0),0)</f>
        <v>#N/A</v>
      </c>
      <c r="U103" s="292">
        <v>3.3125</v>
      </c>
      <c r="V103" s="14">
        <f t="shared" si="30"/>
        <v>45.916666666664241</v>
      </c>
      <c r="W103" s="292">
        <v>1434</v>
      </c>
      <c r="X103" s="286" t="str">
        <f t="shared" si="40"/>
        <v>ZU/RT</v>
      </c>
      <c r="Y103" s="302">
        <v>10454</v>
      </c>
      <c r="Z103" s="302"/>
      <c r="AA103" s="302"/>
      <c r="AB103" s="302">
        <v>9059</v>
      </c>
      <c r="AC103" s="302">
        <v>10493</v>
      </c>
      <c r="AD103" s="302"/>
      <c r="AE103" s="292"/>
      <c r="AF103" s="292"/>
      <c r="AG103" s="292"/>
      <c r="AH103" s="292"/>
      <c r="AI103" s="292"/>
      <c r="AJ103" s="292"/>
      <c r="AK103" s="282">
        <f>IF(ISERROR(VLOOKUP(G103,'Planning and Target Times'!$B$106:$D$110,MATCH(F103,INDEX('Planning and Target Times'!$B$106:$D$110,1,0),0),0)),"",(VLOOKUP(G103,'Planning and Target Times'!$B$106:$D$110,MATCH(F103,INDEX('Planning and Target Times'!$B$106:$D$110,1,0),0),0)))</f>
        <v>1560</v>
      </c>
      <c r="AL103" s="282" t="str">
        <f>VLOOKUP(G103,'Planning and Target Times'!$I$2:$J$7,2,0)</f>
        <v>Sandstone</v>
      </c>
      <c r="AM103" s="14" t="e">
        <f t="shared" si="41"/>
        <v>#VALUE!</v>
      </c>
      <c r="AN103" s="292">
        <v>16.107078039927405</v>
      </c>
      <c r="AO103" s="14" t="s">
        <v>91</v>
      </c>
      <c r="AP103" s="283" t="e">
        <f>VLOOKUP(G103,'Planning and Target Times'!$A$43:$L$47,MATCH(F103&amp;"-"&amp;K103&amp;"-"&amp;L103&amp;"-"&amp;J103,INDEX('Planning and Target Times'!$A$43:$L$47,1,0),0),0)</f>
        <v>#N/A</v>
      </c>
      <c r="AQ103" s="420" t="s">
        <v>415</v>
      </c>
      <c r="AR103" s="384" t="s">
        <v>91</v>
      </c>
      <c r="AS103" s="292" t="s">
        <v>91</v>
      </c>
      <c r="AT103" s="292" t="s">
        <v>91</v>
      </c>
      <c r="AU103" s="292">
        <v>0.5</v>
      </c>
      <c r="AV103" s="292">
        <v>0.16</v>
      </c>
      <c r="AW103" s="292"/>
      <c r="AX103" s="281"/>
      <c r="AY103" s="281"/>
      <c r="AZ103" s="283" t="s">
        <v>299</v>
      </c>
      <c r="BA103" s="292">
        <v>0</v>
      </c>
      <c r="BB103" s="292">
        <v>0</v>
      </c>
      <c r="BC103" s="292"/>
      <c r="BD103" s="292" t="s">
        <v>412</v>
      </c>
      <c r="BE103" s="292" t="s">
        <v>412</v>
      </c>
      <c r="BF103" s="282" t="s">
        <v>91</v>
      </c>
      <c r="BG103" s="282"/>
      <c r="BH103" s="19" t="s">
        <v>316</v>
      </c>
      <c r="BI103" s="283">
        <v>289474</v>
      </c>
      <c r="BJ103" s="292"/>
      <c r="BK103" s="302">
        <f>COUNT(P$2:P103)</f>
        <v>102</v>
      </c>
      <c r="BL103" s="302">
        <f>SUMPRODUCT(--(YEAR(P$2:P103)=YEAR(P103)))</f>
        <v>8</v>
      </c>
      <c r="BM103" s="302">
        <f t="shared" si="42"/>
        <v>51</v>
      </c>
      <c r="BN103" s="15">
        <f t="shared" si="35"/>
        <v>60.372916666667152</v>
      </c>
      <c r="BO103" s="292"/>
      <c r="BP103" s="292"/>
      <c r="BQ103" s="467">
        <v>2964.4266666666667</v>
      </c>
      <c r="BR103" s="467">
        <v>2451.25</v>
      </c>
      <c r="BS103" s="467">
        <v>2451.25</v>
      </c>
      <c r="BT103" s="467"/>
      <c r="BU103" s="467"/>
      <c r="BV103" s="467"/>
      <c r="BW103" s="467" t="s">
        <v>1877</v>
      </c>
      <c r="BX103" s="469">
        <v>41974</v>
      </c>
      <c r="BY103" s="472">
        <f t="shared" si="34"/>
        <v>69.58067481662988</v>
      </c>
    </row>
    <row r="104" spans="1:78" ht="15" customHeight="1" x14ac:dyDescent="0.25">
      <c r="A104" s="384" t="s">
        <v>51</v>
      </c>
      <c r="B104" s="384" t="s">
        <v>51</v>
      </c>
      <c r="C104" s="302" t="s">
        <v>565</v>
      </c>
      <c r="D104" s="529" t="s">
        <v>2105</v>
      </c>
      <c r="E104" s="384">
        <v>5</v>
      </c>
      <c r="F104" s="384" t="s">
        <v>42</v>
      </c>
      <c r="G104" s="384" t="s">
        <v>22</v>
      </c>
      <c r="H104" s="384" t="s">
        <v>12</v>
      </c>
      <c r="I104" s="384" t="s">
        <v>16</v>
      </c>
      <c r="J104" s="384" t="s">
        <v>298</v>
      </c>
      <c r="K104" s="384" t="s">
        <v>14</v>
      </c>
      <c r="L104" s="384" t="s">
        <v>1410</v>
      </c>
      <c r="M104" s="384" t="s">
        <v>60</v>
      </c>
      <c r="N104" s="281">
        <v>3</v>
      </c>
      <c r="O104" s="13">
        <f t="shared" si="38"/>
        <v>41598.5625</v>
      </c>
      <c r="P104" s="284">
        <v>41709.041666666664</v>
      </c>
      <c r="Q104" s="15">
        <v>110.47916666666424</v>
      </c>
      <c r="R104" s="334">
        <f>IF(ISERROR(VLOOKUP(G104,'Planning and Target Times'!$L$1:$AJ$6,MATCH(K104&amp;"_"&amp;L104&amp;"_"&amp;J104,INDEX('Planning and Target Times'!$L$1:$AJ$6,1,0),0),0)+5),"",(VLOOKUP(G104,'Planning and Target Times'!$L$1:$AJ$6,MATCH(K104&amp;"_"&amp;L104&amp;"_"&amp;J104,INDEX('Planning and Target Times'!$L$1:$AJ$6,1,0),0),0)+5))</f>
        <v>75</v>
      </c>
      <c r="S104" s="420">
        <f t="shared" si="39"/>
        <v>70</v>
      </c>
      <c r="T104" s="392">
        <f>VLOOKUP(G104,'Planning and Target Times'!$A$7:$G$12,MATCH(K104&amp;"-"&amp;L104&amp;"-"&amp;J104,INDEX('Planning and Target Times'!$A$7:$G$12,1,0),0),0)</f>
        <v>35</v>
      </c>
      <c r="U104" s="292">
        <v>8.4791666666642413</v>
      </c>
      <c r="V104" s="14">
        <f t="shared" si="30"/>
        <v>118.95833333332848</v>
      </c>
      <c r="W104" s="292">
        <v>956</v>
      </c>
      <c r="X104" s="286" t="str">
        <f t="shared" si="40"/>
        <v>LB</v>
      </c>
      <c r="Y104" s="302">
        <v>11211</v>
      </c>
      <c r="Z104" s="302"/>
      <c r="AA104" s="302">
        <v>8850</v>
      </c>
      <c r="AB104" s="302">
        <v>10255</v>
      </c>
      <c r="AC104" s="302"/>
      <c r="AD104" s="302"/>
      <c r="AE104" s="292"/>
      <c r="AF104" s="292"/>
      <c r="AG104" s="292"/>
      <c r="AH104" s="292"/>
      <c r="AI104" s="292"/>
      <c r="AJ104" s="292"/>
      <c r="AK104" s="282">
        <f>IF(ISERROR(VLOOKUP(G104,'Planning and Target Times'!$B$106:$D$110,MATCH(F104,INDEX('Planning and Target Times'!$B$106:$D$110,1,0),0),0)),"",(VLOOKUP(G104,'Planning and Target Times'!$B$106:$D$110,MATCH(F104,INDEX('Planning and Target Times'!$B$106:$D$110,1,0),0),0)))</f>
        <v>900</v>
      </c>
      <c r="AL104" s="282" t="str">
        <f>VLOOKUP(G104,'Planning and Target Times'!$I$2:$J$7,2,0)</f>
        <v>Sandstone</v>
      </c>
      <c r="AM104" s="14">
        <f t="shared" si="41"/>
        <v>43.958333333328483</v>
      </c>
      <c r="AN104" s="292">
        <v>34.7460595446585</v>
      </c>
      <c r="AO104" s="14">
        <f>BF104/Q104</f>
        <v>51.910601546295688</v>
      </c>
      <c r="AP104" s="283">
        <f>VLOOKUP(G104,'Planning and Target Times'!$A$43:$L$47,MATCH(F104&amp;"-"&amp;K104&amp;"-"&amp;L104&amp;"-"&amp;J104,INDEX('Planning and Target Times'!$A$43:$L$47,1,0),0),0)</f>
        <v>29</v>
      </c>
      <c r="AQ104" s="385" t="s">
        <v>83</v>
      </c>
      <c r="AR104" s="384">
        <v>1</v>
      </c>
      <c r="AS104" s="292" t="s">
        <v>10</v>
      </c>
      <c r="AT104" s="282" t="s">
        <v>39</v>
      </c>
      <c r="AU104" s="292">
        <v>1</v>
      </c>
      <c r="AV104" s="292">
        <v>1</v>
      </c>
      <c r="AW104" s="292"/>
      <c r="AX104" s="384"/>
      <c r="AY104" s="384"/>
      <c r="AZ104" s="292" t="s">
        <v>10</v>
      </c>
      <c r="BA104" s="282">
        <v>23</v>
      </c>
      <c r="BB104" s="282">
        <v>11</v>
      </c>
      <c r="BC104" s="282">
        <v>2500</v>
      </c>
      <c r="BD104" s="282">
        <v>5974</v>
      </c>
      <c r="BE104" s="282">
        <v>4</v>
      </c>
      <c r="BF104" s="282">
        <f>(1-BE104/100)*BD104</f>
        <v>5735.04</v>
      </c>
      <c r="BG104" s="282"/>
      <c r="BH104" s="292" t="s">
        <v>370</v>
      </c>
      <c r="BI104" s="283">
        <v>289642</v>
      </c>
      <c r="BJ104" s="292"/>
      <c r="BK104" s="302">
        <f>COUNT(P$2:P104)</f>
        <v>103</v>
      </c>
      <c r="BL104" s="302">
        <f>SUMPRODUCT(--(YEAR(P$2:P104)=YEAR(P104)))</f>
        <v>9</v>
      </c>
      <c r="BM104" s="302">
        <f t="shared" si="42"/>
        <v>52</v>
      </c>
      <c r="BN104" s="15">
        <f t="shared" si="35"/>
        <v>66.80208333333357</v>
      </c>
      <c r="BO104" s="292"/>
      <c r="BP104" s="292"/>
      <c r="BQ104" s="467">
        <v>2896.7766666666666</v>
      </c>
      <c r="BR104" s="467">
        <v>2601.4700000000003</v>
      </c>
      <c r="BS104" s="467">
        <v>2111.8208333333337</v>
      </c>
      <c r="BT104" s="467"/>
      <c r="BU104" s="467"/>
      <c r="BV104" s="467"/>
      <c r="BW104" s="467" t="s">
        <v>1877</v>
      </c>
      <c r="BX104" s="469">
        <v>41699</v>
      </c>
      <c r="BY104" s="472">
        <f t="shared" si="34"/>
        <v>26.220116914954374</v>
      </c>
    </row>
    <row r="105" spans="1:78" ht="15" customHeight="1" x14ac:dyDescent="0.25">
      <c r="A105" s="384" t="s">
        <v>285</v>
      </c>
      <c r="B105" s="384" t="s">
        <v>305</v>
      </c>
      <c r="C105" s="302" t="s">
        <v>530</v>
      </c>
      <c r="D105" s="529" t="s">
        <v>2106</v>
      </c>
      <c r="E105" s="384">
        <v>3</v>
      </c>
      <c r="F105" s="281" t="s">
        <v>42</v>
      </c>
      <c r="G105" s="281" t="s">
        <v>44</v>
      </c>
      <c r="H105" s="384" t="s">
        <v>50</v>
      </c>
      <c r="I105" s="281" t="s">
        <v>39</v>
      </c>
      <c r="J105" s="384" t="s">
        <v>298</v>
      </c>
      <c r="K105" s="281" t="s">
        <v>18</v>
      </c>
      <c r="L105" s="384" t="s">
        <v>1511</v>
      </c>
      <c r="M105" s="8" t="s">
        <v>61</v>
      </c>
      <c r="N105" s="281">
        <v>1</v>
      </c>
      <c r="O105" s="13">
        <f t="shared" si="38"/>
        <v>41673.791666666664</v>
      </c>
      <c r="P105" s="284">
        <v>41710.666666666664</v>
      </c>
      <c r="Q105" s="15">
        <v>36.875</v>
      </c>
      <c r="R105" s="334" t="str">
        <f>IF(ISERROR(VLOOKUP(G105,'Planning and Target Times'!$L$1:$AJ$6,MATCH(K105&amp;"_"&amp;L105&amp;"_"&amp;J105,INDEX('Planning and Target Times'!$L$1:$AJ$6,1,0),0),0)+5),"",(VLOOKUP(G105,'Planning and Target Times'!$L$1:$AJ$6,MATCH(K105&amp;"_"&amp;L105&amp;"_"&amp;J105,INDEX('Planning and Target Times'!$L$1:$AJ$6,1,0),0),0)+5))</f>
        <v/>
      </c>
      <c r="S105" s="420" t="str">
        <f t="shared" si="39"/>
        <v/>
      </c>
      <c r="T105" s="392" t="e">
        <f>VLOOKUP(G105,'Planning and Target Times'!$A$7:$G$12,MATCH(K105&amp;"-"&amp;L105&amp;"-"&amp;J105,INDEX('Planning and Target Times'!$A$7:$G$12,1,0),0),0)</f>
        <v>#N/A</v>
      </c>
      <c r="U105" s="292">
        <v>3.8958333333284827</v>
      </c>
      <c r="V105" s="14">
        <f t="shared" si="30"/>
        <v>40.770833333328483</v>
      </c>
      <c r="W105" s="292">
        <v>1396</v>
      </c>
      <c r="X105" s="286" t="str">
        <f t="shared" si="40"/>
        <v>ZU/RT</v>
      </c>
      <c r="Y105" s="302">
        <v>10395</v>
      </c>
      <c r="Z105" s="302"/>
      <c r="AA105" s="302">
        <v>5959</v>
      </c>
      <c r="AB105" s="302">
        <v>8970</v>
      </c>
      <c r="AC105" s="302">
        <v>10373</v>
      </c>
      <c r="AD105" s="302"/>
      <c r="AE105" s="292"/>
      <c r="AF105" s="292"/>
      <c r="AG105" s="292"/>
      <c r="AH105" s="292"/>
      <c r="AI105" s="292"/>
      <c r="AJ105" s="292"/>
      <c r="AK105" s="282">
        <f>IF(ISERROR(VLOOKUP(G105,'Planning and Target Times'!$B$106:$D$110,MATCH(F105,INDEX('Planning and Target Times'!$B$106:$D$110,1,0),0),0)),"",(VLOOKUP(G105,'Planning and Target Times'!$B$106:$D$110,MATCH(F105,INDEX('Planning and Target Times'!$B$106:$D$110,1,0),0),0)))</f>
        <v>1560</v>
      </c>
      <c r="AL105" s="282" t="str">
        <f>VLOOKUP(G105,'Planning and Target Times'!$I$2:$J$7,2,0)</f>
        <v>Sandstone</v>
      </c>
      <c r="AM105" s="14" t="e">
        <f t="shared" si="41"/>
        <v>#VALUE!</v>
      </c>
      <c r="AN105" s="292">
        <v>0.91977516607051613</v>
      </c>
      <c r="AO105" s="14">
        <f>BF105/Q105</f>
        <v>58.088135593220336</v>
      </c>
      <c r="AP105" s="283" t="e">
        <f>VLOOKUP(G105,'Planning and Target Times'!$A$43:$L$47,MATCH(F105&amp;"-"&amp;K105&amp;"-"&amp;L105&amp;"-"&amp;J105,INDEX('Planning and Target Times'!$A$43:$L$47,1,0),0),0)</f>
        <v>#N/A</v>
      </c>
      <c r="AQ105" s="420" t="s">
        <v>415</v>
      </c>
      <c r="AR105" s="384" t="s">
        <v>91</v>
      </c>
      <c r="AS105" s="292" t="s">
        <v>91</v>
      </c>
      <c r="AT105" s="292" t="s">
        <v>91</v>
      </c>
      <c r="AU105" s="292">
        <v>0.42</v>
      </c>
      <c r="AV105" s="292">
        <v>0.37</v>
      </c>
      <c r="AW105" s="292"/>
      <c r="AX105" s="281"/>
      <c r="AY105" s="281"/>
      <c r="AZ105" s="283" t="s">
        <v>299</v>
      </c>
      <c r="BA105" s="292">
        <v>0</v>
      </c>
      <c r="BB105" s="292">
        <v>0</v>
      </c>
      <c r="BC105" s="292"/>
      <c r="BD105" s="292">
        <v>2380</v>
      </c>
      <c r="BE105" s="282">
        <v>10</v>
      </c>
      <c r="BF105" s="282">
        <f>(1-BE105/100)*BD105</f>
        <v>2142</v>
      </c>
      <c r="BG105" s="282"/>
      <c r="BH105" s="282" t="s">
        <v>326</v>
      </c>
      <c r="BI105" s="283">
        <v>289986</v>
      </c>
      <c r="BJ105" s="292"/>
      <c r="BK105" s="302">
        <f>COUNT(P$2:P105)</f>
        <v>104</v>
      </c>
      <c r="BL105" s="302">
        <f>SUMPRODUCT(--(YEAR(P$2:P105)=YEAR(P105)))</f>
        <v>10</v>
      </c>
      <c r="BM105" s="302">
        <f t="shared" si="42"/>
        <v>53</v>
      </c>
      <c r="BN105" s="15">
        <f t="shared" si="35"/>
        <v>66.977083333333582</v>
      </c>
      <c r="BO105" s="292"/>
      <c r="BP105" s="292"/>
      <c r="BQ105" s="467">
        <v>1991.9466666666667</v>
      </c>
      <c r="BR105" s="467">
        <v>2141.0933333333332</v>
      </c>
      <c r="BS105" s="467">
        <v>2381.8449999999998</v>
      </c>
      <c r="BT105" s="467"/>
      <c r="BU105" s="467"/>
      <c r="BV105" s="467"/>
      <c r="BW105" s="467" t="s">
        <v>1877</v>
      </c>
      <c r="BX105" s="469">
        <v>41730</v>
      </c>
      <c r="BY105" s="472">
        <f t="shared" si="34"/>
        <v>54.018892655367232</v>
      </c>
    </row>
    <row r="106" spans="1:78" ht="15" customHeight="1" x14ac:dyDescent="0.25">
      <c r="A106" s="384" t="s">
        <v>57</v>
      </c>
      <c r="B106" s="384" t="s">
        <v>57</v>
      </c>
      <c r="C106" s="302" t="s">
        <v>57</v>
      </c>
      <c r="D106" s="529" t="s">
        <v>2107</v>
      </c>
      <c r="E106" s="384">
        <v>2</v>
      </c>
      <c r="F106" s="281" t="s">
        <v>11</v>
      </c>
      <c r="G106" s="281" t="s">
        <v>22</v>
      </c>
      <c r="H106" s="384" t="s">
        <v>37</v>
      </c>
      <c r="I106" s="384" t="s">
        <v>20</v>
      </c>
      <c r="J106" s="384" t="s">
        <v>298</v>
      </c>
      <c r="K106" s="281" t="s">
        <v>14</v>
      </c>
      <c r="L106" s="384" t="s">
        <v>1416</v>
      </c>
      <c r="M106" s="8" t="s">
        <v>60</v>
      </c>
      <c r="N106" s="292">
        <v>0</v>
      </c>
      <c r="O106" s="13">
        <f t="shared" si="38"/>
        <v>41671.041666666664</v>
      </c>
      <c r="P106" s="284">
        <v>41712.25</v>
      </c>
      <c r="Q106" s="15">
        <v>41.208333333335759</v>
      </c>
      <c r="R106" s="334">
        <f>IF(ISERROR(VLOOKUP(G106,'Planning and Target Times'!$L$1:$AJ$6,MATCH(K106&amp;"_"&amp;L106&amp;"_"&amp;J106,INDEX('Planning and Target Times'!$L$1:$AJ$6,1,0),0),0)+5),"",(VLOOKUP(G106,'Planning and Target Times'!$L$1:$AJ$6,MATCH(K106&amp;"_"&amp;L106&amp;"_"&amp;J106,INDEX('Planning and Target Times'!$L$1:$AJ$6,1,0),0),0)+5))</f>
        <v>75</v>
      </c>
      <c r="S106" s="420">
        <f t="shared" si="39"/>
        <v>70</v>
      </c>
      <c r="T106" s="392">
        <f>VLOOKUP(G106,'Planning and Target Times'!$A$7:$G$12,MATCH(K106&amp;"-"&amp;L106&amp;"-"&amp;J106,INDEX('Planning and Target Times'!$A$7:$G$12,1,0),0),0)</f>
        <v>33</v>
      </c>
      <c r="U106" s="292">
        <v>4.9166666666642413</v>
      </c>
      <c r="V106" s="14">
        <f t="shared" si="30"/>
        <v>46.125</v>
      </c>
      <c r="W106" s="292">
        <v>973</v>
      </c>
      <c r="X106" s="286" t="str">
        <f t="shared" si="40"/>
        <v>LB</v>
      </c>
      <c r="Y106" s="302">
        <v>9608</v>
      </c>
      <c r="Z106" s="302"/>
      <c r="AA106" s="302">
        <v>8635</v>
      </c>
      <c r="AB106" s="302">
        <v>9607</v>
      </c>
      <c r="AC106" s="302"/>
      <c r="AD106" s="302"/>
      <c r="AE106" s="292"/>
      <c r="AF106" s="292"/>
      <c r="AG106" s="292"/>
      <c r="AH106" s="292"/>
      <c r="AI106" s="292"/>
      <c r="AJ106" s="292"/>
      <c r="AK106" s="282">
        <f>IF(ISERROR(VLOOKUP(G106,'Planning and Target Times'!$B$106:$D$110,MATCH(F106,INDEX('Planning and Target Times'!$B$106:$D$110,1,0),0),0)),"",(VLOOKUP(G106,'Planning and Target Times'!$B$106:$D$110,MATCH(F106,INDEX('Planning and Target Times'!$B$106:$D$110,1,0),0),0)))</f>
        <v>550</v>
      </c>
      <c r="AL106" s="282" t="str">
        <f>VLOOKUP(G106,'Planning and Target Times'!$I$2:$J$7,2,0)</f>
        <v>Sandstone</v>
      </c>
      <c r="AM106" s="14">
        <f t="shared" si="41"/>
        <v>-28.875</v>
      </c>
      <c r="AN106" s="292">
        <v>6.5040650406504072</v>
      </c>
      <c r="AO106" s="14">
        <f>BF106/Q106</f>
        <v>9.6825075834170242</v>
      </c>
      <c r="AP106" s="283">
        <f>VLOOKUP(G106,'Planning and Target Times'!$A$43:$L$47,MATCH(F106&amp;"-"&amp;K106&amp;"-"&amp;L106&amp;"-"&amp;J106,INDEX('Planning and Target Times'!$A$43:$L$47,1,0),0),0)</f>
        <v>28</v>
      </c>
      <c r="AQ106" s="384" t="s">
        <v>416</v>
      </c>
      <c r="AR106" s="384" t="s">
        <v>91</v>
      </c>
      <c r="AS106" s="292" t="s">
        <v>91</v>
      </c>
      <c r="AT106" s="292" t="s">
        <v>91</v>
      </c>
      <c r="AU106" s="292">
        <v>0.43</v>
      </c>
      <c r="AV106" s="292">
        <v>7.0000000000000007E-2</v>
      </c>
      <c r="AW106" s="292"/>
      <c r="AX106" s="281"/>
      <c r="AY106" s="281"/>
      <c r="AZ106" s="283" t="s">
        <v>299</v>
      </c>
      <c r="BA106" s="292">
        <v>0</v>
      </c>
      <c r="BB106" s="292">
        <v>0</v>
      </c>
      <c r="BC106" s="292"/>
      <c r="BD106" s="292">
        <v>700</v>
      </c>
      <c r="BE106" s="282">
        <v>43</v>
      </c>
      <c r="BF106" s="282">
        <f>(1-BE106/100)*BD106</f>
        <v>399.00000000000006</v>
      </c>
      <c r="BG106" s="282"/>
      <c r="BH106" s="282" t="s">
        <v>408</v>
      </c>
      <c r="BI106" s="283">
        <v>289871</v>
      </c>
      <c r="BJ106" s="292"/>
      <c r="BK106" s="302">
        <f>COUNT(P$2:P106)</f>
        <v>105</v>
      </c>
      <c r="BL106" s="302">
        <f>SUMPRODUCT(--(YEAR(P$2:P106)=YEAR(P106)))</f>
        <v>11</v>
      </c>
      <c r="BM106" s="302">
        <f t="shared" si="42"/>
        <v>54</v>
      </c>
      <c r="BN106" s="15">
        <f t="shared" si="35"/>
        <v>67.285416666667146</v>
      </c>
      <c r="BO106" s="292"/>
      <c r="BP106" s="292"/>
      <c r="BQ106" s="467">
        <v>200.90333333333334</v>
      </c>
      <c r="BR106" s="467">
        <v>170.49833333333333</v>
      </c>
      <c r="BS106" s="467">
        <v>123.325</v>
      </c>
      <c r="BT106" s="467"/>
      <c r="BU106" s="467"/>
      <c r="BV106" s="467"/>
      <c r="BW106" s="467" t="s">
        <v>1877</v>
      </c>
      <c r="BX106" s="469">
        <v>41760</v>
      </c>
      <c r="BY106" s="472">
        <f t="shared" si="34"/>
        <v>4.8753083923151834</v>
      </c>
    </row>
    <row r="107" spans="1:78" ht="15" customHeight="1" x14ac:dyDescent="0.25">
      <c r="A107" s="384" t="s">
        <v>54</v>
      </c>
      <c r="B107" s="384" t="s">
        <v>54</v>
      </c>
      <c r="C107" s="302" t="s">
        <v>54</v>
      </c>
      <c r="D107" s="529" t="s">
        <v>2108</v>
      </c>
      <c r="E107" s="384">
        <v>5</v>
      </c>
      <c r="F107" s="384" t="s">
        <v>42</v>
      </c>
      <c r="G107" s="282" t="s">
        <v>22</v>
      </c>
      <c r="H107" s="384" t="s">
        <v>19</v>
      </c>
      <c r="I107" s="384" t="s">
        <v>16</v>
      </c>
      <c r="J107" s="384" t="s">
        <v>298</v>
      </c>
      <c r="K107" s="292" t="s">
        <v>14</v>
      </c>
      <c r="L107" s="384" t="s">
        <v>1416</v>
      </c>
      <c r="M107" s="384" t="s">
        <v>59</v>
      </c>
      <c r="N107" s="281">
        <v>0</v>
      </c>
      <c r="O107" s="13">
        <f t="shared" si="38"/>
        <v>41656.229166666664</v>
      </c>
      <c r="P107" s="284">
        <v>41721.625</v>
      </c>
      <c r="Q107" s="15">
        <v>65.395833333335759</v>
      </c>
      <c r="R107" s="334">
        <f>IF(ISERROR(VLOOKUP(G107,'Planning and Target Times'!$L$1:$AJ$6,MATCH(K107&amp;"_"&amp;L107&amp;"_"&amp;J107,INDEX('Planning and Target Times'!$L$1:$AJ$6,1,0),0),0)+5),"",(VLOOKUP(G107,'Planning and Target Times'!$L$1:$AJ$6,MATCH(K107&amp;"_"&amp;L107&amp;"_"&amp;J107,INDEX('Planning and Target Times'!$L$1:$AJ$6,1,0),0),0)+5))</f>
        <v>75</v>
      </c>
      <c r="S107" s="420">
        <f t="shared" si="39"/>
        <v>70</v>
      </c>
      <c r="T107" s="392">
        <f>VLOOKUP(G107,'Planning and Target Times'!$A$7:$G$12,MATCH(K107&amp;"-"&amp;L107&amp;"-"&amp;J107,INDEX('Planning and Target Times'!$A$7:$G$12,1,0),0),0)</f>
        <v>33</v>
      </c>
      <c r="U107" s="292">
        <v>9.1458333333284827</v>
      </c>
      <c r="V107" s="14">
        <f t="shared" si="30"/>
        <v>74.541666666664241</v>
      </c>
      <c r="W107" s="292">
        <v>685</v>
      </c>
      <c r="X107" s="286" t="str">
        <f t="shared" si="40"/>
        <v>LB</v>
      </c>
      <c r="Y107" s="302">
        <v>9800</v>
      </c>
      <c r="Z107" s="302"/>
      <c r="AA107" s="302">
        <v>8345</v>
      </c>
      <c r="AB107" s="302">
        <v>9113</v>
      </c>
      <c r="AC107" s="302"/>
      <c r="AD107" s="302"/>
      <c r="AE107" s="292"/>
      <c r="AF107" s="292"/>
      <c r="AG107" s="292"/>
      <c r="AH107" s="292"/>
      <c r="AI107" s="292"/>
      <c r="AJ107" s="292"/>
      <c r="AK107" s="282">
        <f>IF(ISERROR(VLOOKUP(G107,'Planning and Target Times'!$B$106:$D$110,MATCH(F107,INDEX('Planning and Target Times'!$B$106:$D$110,1,0),0),0)),"",(VLOOKUP(G107,'Planning and Target Times'!$B$106:$D$110,MATCH(F107,INDEX('Planning and Target Times'!$B$106:$D$110,1,0),0),0)))</f>
        <v>900</v>
      </c>
      <c r="AL107" s="282" t="str">
        <f>VLOOKUP(G107,'Planning and Target Times'!$I$2:$J$7,2,0)</f>
        <v>Sandstone</v>
      </c>
      <c r="AM107" s="14">
        <f t="shared" si="41"/>
        <v>-0.45833333333575865</v>
      </c>
      <c r="AN107" s="292">
        <v>30.380100614868638</v>
      </c>
      <c r="AO107" s="14">
        <f>BF107/Q107</f>
        <v>75.692895826693587</v>
      </c>
      <c r="AP107" s="283">
        <f>VLOOKUP(G107,'Planning and Target Times'!$A$43:$L$47,MATCH(F107&amp;"-"&amp;K107&amp;"-"&amp;L107&amp;"-"&amp;J107,INDEX('Planning and Target Times'!$A$43:$L$47,1,0),0),0)</f>
        <v>34</v>
      </c>
      <c r="AQ107" s="420" t="s">
        <v>415</v>
      </c>
      <c r="AR107" s="384" t="s">
        <v>91</v>
      </c>
      <c r="AS107" s="292" t="s">
        <v>91</v>
      </c>
      <c r="AT107" s="292" t="s">
        <v>91</v>
      </c>
      <c r="AU107" s="292">
        <v>0.65</v>
      </c>
      <c r="AV107" s="292">
        <v>0.54</v>
      </c>
      <c r="AW107" s="292"/>
      <c r="AX107" s="292"/>
      <c r="AY107" s="292"/>
      <c r="AZ107" s="283" t="s">
        <v>299</v>
      </c>
      <c r="BA107" s="292">
        <v>0</v>
      </c>
      <c r="BB107" s="292">
        <v>0</v>
      </c>
      <c r="BC107" s="292"/>
      <c r="BD107" s="292">
        <v>4950</v>
      </c>
      <c r="BE107" s="282">
        <v>0</v>
      </c>
      <c r="BF107" s="282">
        <f>(1-BE107/100)*BD107</f>
        <v>4950</v>
      </c>
      <c r="BG107" s="282"/>
      <c r="BH107" s="282" t="s">
        <v>369</v>
      </c>
      <c r="BI107" s="283">
        <v>289678</v>
      </c>
      <c r="BJ107" s="292"/>
      <c r="BK107" s="302">
        <f>COUNT(P$2:P107)</f>
        <v>106</v>
      </c>
      <c r="BL107" s="302">
        <f>SUMPRODUCT(--(YEAR(P$2:P107)=YEAR(P107)))</f>
        <v>12</v>
      </c>
      <c r="BM107" s="302">
        <f t="shared" si="42"/>
        <v>55</v>
      </c>
      <c r="BN107" s="15">
        <f t="shared" ref="BN107:BN138" si="43">AVERAGE(Q98:Q107)</f>
        <v>69.485416666667149</v>
      </c>
      <c r="BO107" s="292"/>
      <c r="BP107" s="292"/>
      <c r="BQ107" s="467">
        <v>2001.8966666666665</v>
      </c>
      <c r="BR107" s="467">
        <v>1673.0566666666666</v>
      </c>
      <c r="BS107" s="467">
        <v>1335.4533333333334</v>
      </c>
      <c r="BT107" s="467"/>
      <c r="BU107" s="467"/>
      <c r="BV107" s="467"/>
      <c r="BW107" s="467" t="s">
        <v>1877</v>
      </c>
      <c r="BX107" s="469">
        <v>41730</v>
      </c>
      <c r="BY107" s="472">
        <f t="shared" si="34"/>
        <v>30.611991079960635</v>
      </c>
    </row>
    <row r="108" spans="1:78" ht="15" customHeight="1" x14ac:dyDescent="0.25">
      <c r="A108" s="384" t="s">
        <v>56</v>
      </c>
      <c r="B108" s="384" t="s">
        <v>56</v>
      </c>
      <c r="C108" s="302" t="s">
        <v>56</v>
      </c>
      <c r="D108" s="529" t="s">
        <v>2109</v>
      </c>
      <c r="E108" s="384">
        <v>1</v>
      </c>
      <c r="F108" s="281" t="s">
        <v>11</v>
      </c>
      <c r="G108" s="281" t="s">
        <v>22</v>
      </c>
      <c r="H108" s="384" t="s">
        <v>38</v>
      </c>
      <c r="I108" s="281" t="s">
        <v>16</v>
      </c>
      <c r="J108" s="384" t="s">
        <v>298</v>
      </c>
      <c r="K108" s="281" t="s">
        <v>14</v>
      </c>
      <c r="L108" s="384" t="s">
        <v>1416</v>
      </c>
      <c r="M108" s="8" t="s">
        <v>59</v>
      </c>
      <c r="N108" s="292">
        <v>0</v>
      </c>
      <c r="O108" s="13">
        <f t="shared" si="38"/>
        <v>41667.958333333336</v>
      </c>
      <c r="P108" s="284">
        <v>41721.916666666664</v>
      </c>
      <c r="Q108" s="15">
        <v>53.958333333328483</v>
      </c>
      <c r="R108" s="334">
        <f>IF(ISERROR(VLOOKUP(G108,'Planning and Target Times'!$L$1:$AJ$6,MATCH(K108&amp;"_"&amp;L108&amp;"_"&amp;J108,INDEX('Planning and Target Times'!$L$1:$AJ$6,1,0),0),0)+5),"",(VLOOKUP(G108,'Planning and Target Times'!$L$1:$AJ$6,MATCH(K108&amp;"_"&amp;L108&amp;"_"&amp;J108,INDEX('Planning and Target Times'!$L$1:$AJ$6,1,0),0),0)+5))</f>
        <v>75</v>
      </c>
      <c r="S108" s="420">
        <f t="shared" si="39"/>
        <v>70</v>
      </c>
      <c r="T108" s="392">
        <f>VLOOKUP(G108,'Planning and Target Times'!$A$7:$G$12,MATCH(K108&amp;"-"&amp;L108&amp;"-"&amp;J108,INDEX('Planning and Target Times'!$A$7:$G$12,1,0),0),0)</f>
        <v>33</v>
      </c>
      <c r="U108" s="292">
        <v>13.125</v>
      </c>
      <c r="V108" s="14">
        <f t="shared" si="30"/>
        <v>67.083333333328483</v>
      </c>
      <c r="W108" s="292">
        <v>1350</v>
      </c>
      <c r="X108" s="286" t="str">
        <f t="shared" si="40"/>
        <v>LB</v>
      </c>
      <c r="Y108" s="302">
        <v>9367</v>
      </c>
      <c r="Z108" s="302"/>
      <c r="AA108" s="302">
        <v>8019</v>
      </c>
      <c r="AB108" s="302">
        <v>9370</v>
      </c>
      <c r="AC108" s="302"/>
      <c r="AD108" s="302"/>
      <c r="AE108" s="292"/>
      <c r="AF108" s="292"/>
      <c r="AG108" s="292"/>
      <c r="AH108" s="292"/>
      <c r="AI108" s="292"/>
      <c r="AJ108" s="292"/>
      <c r="AK108" s="282">
        <f>IF(ISERROR(VLOOKUP(G108,'Planning and Target Times'!$B$106:$D$110,MATCH(F108,INDEX('Planning and Target Times'!$B$106:$D$110,1,0),0),0)),"",(VLOOKUP(G108,'Planning and Target Times'!$B$106:$D$110,MATCH(F108,INDEX('Planning and Target Times'!$B$106:$D$110,1,0),0),0)))</f>
        <v>550</v>
      </c>
      <c r="AL108" s="282" t="str">
        <f>VLOOKUP(G108,'Planning and Target Times'!$I$2:$J$7,2,0)</f>
        <v>Sandstone</v>
      </c>
      <c r="AM108" s="14">
        <f t="shared" si="41"/>
        <v>-7.9166666666715173</v>
      </c>
      <c r="AN108" s="292">
        <v>11.770186335403727</v>
      </c>
      <c r="AO108" s="14">
        <f>BF108/Q108</f>
        <v>44.219305019308997</v>
      </c>
      <c r="AP108" s="283">
        <f>VLOOKUP(G108,'Planning and Target Times'!$A$43:$L$47,MATCH(F108&amp;"-"&amp;K108&amp;"-"&amp;L108&amp;"-"&amp;J108,INDEX('Planning and Target Times'!$A$43:$L$47,1,0),0),0)</f>
        <v>28</v>
      </c>
      <c r="AQ108" s="384" t="s">
        <v>416</v>
      </c>
      <c r="AR108" s="384" t="s">
        <v>91</v>
      </c>
      <c r="AS108" s="292" t="s">
        <v>91</v>
      </c>
      <c r="AT108" s="292" t="s">
        <v>91</v>
      </c>
      <c r="AU108" s="292">
        <v>0.69</v>
      </c>
      <c r="AV108" s="292">
        <v>0.32</v>
      </c>
      <c r="AW108" s="292"/>
      <c r="AX108" s="281"/>
      <c r="AY108" s="281"/>
      <c r="AZ108" s="283" t="s">
        <v>299</v>
      </c>
      <c r="BA108" s="292">
        <v>0</v>
      </c>
      <c r="BB108" s="292">
        <v>0</v>
      </c>
      <c r="BC108" s="292"/>
      <c r="BD108" s="292">
        <v>2386</v>
      </c>
      <c r="BE108" s="282">
        <v>0</v>
      </c>
      <c r="BF108" s="282">
        <f>(1-BE108/100)*BD108</f>
        <v>2386</v>
      </c>
      <c r="BG108" s="282"/>
      <c r="BH108" s="282" t="s">
        <v>409</v>
      </c>
      <c r="BI108" s="283">
        <v>289877</v>
      </c>
      <c r="BJ108" s="292"/>
      <c r="BK108" s="302">
        <f>COUNT(P$2:P108)</f>
        <v>107</v>
      </c>
      <c r="BL108" s="302">
        <f>SUMPRODUCT(--(YEAR(P$2:P108)=YEAR(P108)))</f>
        <v>13</v>
      </c>
      <c r="BM108" s="302">
        <f t="shared" si="42"/>
        <v>56</v>
      </c>
      <c r="BN108" s="15">
        <f t="shared" si="43"/>
        <v>67.681250000000006</v>
      </c>
      <c r="BO108" s="292"/>
      <c r="BP108" s="292"/>
      <c r="BQ108" s="467">
        <v>1345.3633333333332</v>
      </c>
      <c r="BR108" s="467">
        <v>931.38499999999988</v>
      </c>
      <c r="BS108" s="467">
        <v>796.27833333333319</v>
      </c>
      <c r="BT108" s="467"/>
      <c r="BU108" s="467"/>
      <c r="BV108" s="467"/>
      <c r="BW108" s="467" t="s">
        <v>1877</v>
      </c>
      <c r="BX108" s="469">
        <v>41730</v>
      </c>
      <c r="BY108" s="472">
        <f t="shared" si="34"/>
        <v>24.933374517376755</v>
      </c>
    </row>
    <row r="109" spans="1:78" ht="21.75" customHeight="1" x14ac:dyDescent="0.25">
      <c r="A109" s="384" t="s">
        <v>286</v>
      </c>
      <c r="B109" s="384" t="s">
        <v>300</v>
      </c>
      <c r="C109" s="302" t="s">
        <v>523</v>
      </c>
      <c r="D109" s="529" t="s">
        <v>2110</v>
      </c>
      <c r="E109" s="384">
        <v>5</v>
      </c>
      <c r="F109" s="281" t="s">
        <v>42</v>
      </c>
      <c r="G109" s="281" t="s">
        <v>44</v>
      </c>
      <c r="H109" s="281" t="s">
        <v>23</v>
      </c>
      <c r="I109" s="281" t="s">
        <v>39</v>
      </c>
      <c r="J109" s="384" t="s">
        <v>34</v>
      </c>
      <c r="K109" s="281" t="s">
        <v>18</v>
      </c>
      <c r="L109" s="384" t="s">
        <v>1511</v>
      </c>
      <c r="M109" s="8" t="s">
        <v>59</v>
      </c>
      <c r="N109" s="281">
        <v>1</v>
      </c>
      <c r="O109" s="13">
        <f t="shared" si="38"/>
        <v>41695.6875</v>
      </c>
      <c r="P109" s="284">
        <v>41731.6875</v>
      </c>
      <c r="Q109" s="15">
        <v>36</v>
      </c>
      <c r="R109" s="334" t="str">
        <f>IF(ISERROR(VLOOKUP(G109,'Planning and Target Times'!$L$1:$AJ$6,MATCH(K109&amp;"_"&amp;L109&amp;"_"&amp;J109,INDEX('Planning and Target Times'!$L$1:$AJ$6,1,0),0),0)+5),"",(VLOOKUP(G109,'Planning and Target Times'!$L$1:$AJ$6,MATCH(K109&amp;"_"&amp;L109&amp;"_"&amp;J109,INDEX('Planning and Target Times'!$L$1:$AJ$6,1,0),0),0)+5))</f>
        <v/>
      </c>
      <c r="S109" s="420" t="str">
        <f t="shared" si="39"/>
        <v/>
      </c>
      <c r="T109" s="392" t="e">
        <f>VLOOKUP(G109,'Planning and Target Times'!$A$7:$G$12,MATCH(K109&amp;"-"&amp;L109&amp;"-"&amp;J109,INDEX('Planning and Target Times'!$A$7:$G$12,1,0),0),0)</f>
        <v>#N/A</v>
      </c>
      <c r="U109" s="292">
        <v>4</v>
      </c>
      <c r="V109" s="14">
        <f t="shared" si="30"/>
        <v>40</v>
      </c>
      <c r="W109" s="292">
        <v>1478</v>
      </c>
      <c r="X109" s="286" t="str">
        <f t="shared" si="40"/>
        <v>ZU/RT</v>
      </c>
      <c r="Y109" s="302">
        <v>10410</v>
      </c>
      <c r="Z109" s="302"/>
      <c r="AA109" s="302">
        <v>5957</v>
      </c>
      <c r="AB109" s="302">
        <v>8978</v>
      </c>
      <c r="AC109" s="302">
        <v>10455</v>
      </c>
      <c r="AD109" s="302"/>
      <c r="AE109" s="292"/>
      <c r="AF109" s="292"/>
      <c r="AG109" s="292"/>
      <c r="AH109" s="292"/>
      <c r="AI109" s="292"/>
      <c r="AJ109" s="292"/>
      <c r="AK109" s="282">
        <f>IF(ISERROR(VLOOKUP(G109,'Planning and Target Times'!$B$106:$D$110,MATCH(F109,INDEX('Planning and Target Times'!$B$106:$D$110,1,0),0),0)),"",(VLOOKUP(G109,'Planning and Target Times'!$B$106:$D$110,MATCH(F109,INDEX('Planning and Target Times'!$B$106:$D$110,1,0),0),0)))</f>
        <v>1560</v>
      </c>
      <c r="AL109" s="282" t="str">
        <f>VLOOKUP(G109,'Planning and Target Times'!$I$2:$J$7,2,0)</f>
        <v>Sandstone</v>
      </c>
      <c r="AM109" s="14" t="e">
        <f t="shared" si="41"/>
        <v>#VALUE!</v>
      </c>
      <c r="AN109" s="292">
        <v>9.962794543199669</v>
      </c>
      <c r="AO109" s="14" t="s">
        <v>91</v>
      </c>
      <c r="AP109" s="283" t="e">
        <f>VLOOKUP(G109,'Planning and Target Times'!$A$43:$L$47,MATCH(F109&amp;"-"&amp;K109&amp;"-"&amp;L109&amp;"-"&amp;J109,INDEX('Planning and Target Times'!$A$43:$L$47,1,0),0),0)</f>
        <v>#N/A</v>
      </c>
      <c r="AQ109" s="420" t="s">
        <v>415</v>
      </c>
      <c r="AR109" s="281" t="s">
        <v>91</v>
      </c>
      <c r="AS109" s="292" t="s">
        <v>91</v>
      </c>
      <c r="AT109" s="292" t="s">
        <v>91</v>
      </c>
      <c r="AU109" s="292"/>
      <c r="AV109" s="292"/>
      <c r="AW109" s="292"/>
      <c r="AX109" s="281"/>
      <c r="AY109" s="281"/>
      <c r="AZ109" s="283" t="s">
        <v>299</v>
      </c>
      <c r="BA109" s="292">
        <v>0</v>
      </c>
      <c r="BB109" s="292">
        <v>0</v>
      </c>
      <c r="BC109" s="292"/>
      <c r="BD109" s="292" t="s">
        <v>34</v>
      </c>
      <c r="BE109" s="292" t="s">
        <v>34</v>
      </c>
      <c r="BF109" s="282" t="s">
        <v>91</v>
      </c>
      <c r="BG109" s="282"/>
      <c r="BH109" s="282" t="s">
        <v>317</v>
      </c>
      <c r="BI109" s="283">
        <v>289990</v>
      </c>
      <c r="BJ109" s="292"/>
      <c r="BK109" s="302">
        <f>COUNT(P$2:P109)</f>
        <v>108</v>
      </c>
      <c r="BL109" s="302">
        <f>SUMPRODUCT(--(YEAR(P$2:P109)=YEAR(P109)))</f>
        <v>14</v>
      </c>
      <c r="BM109" s="302">
        <f t="shared" si="42"/>
        <v>1</v>
      </c>
      <c r="BN109" s="15">
        <f t="shared" si="43"/>
        <v>66.741666666666418</v>
      </c>
      <c r="BO109" s="292"/>
      <c r="BP109" s="292"/>
      <c r="BQ109" s="464"/>
      <c r="BR109" s="464"/>
      <c r="BS109" s="464"/>
      <c r="BT109" s="464">
        <v>2098.1204301075268</v>
      </c>
      <c r="BU109" s="464">
        <v>3490.7252688172034</v>
      </c>
      <c r="BV109" s="464">
        <v>2898.752553763441</v>
      </c>
      <c r="BW109" s="464" t="s">
        <v>1879</v>
      </c>
      <c r="BX109" s="469">
        <v>41791</v>
      </c>
      <c r="BZ109" s="472">
        <f>BT109/Q109</f>
        <v>58.281123058542413</v>
      </c>
    </row>
    <row r="110" spans="1:78" ht="15" customHeight="1" x14ac:dyDescent="0.25">
      <c r="A110" s="384" t="s">
        <v>287</v>
      </c>
      <c r="B110" s="384" t="s">
        <v>441</v>
      </c>
      <c r="C110" s="302" t="s">
        <v>527</v>
      </c>
      <c r="D110" s="529" t="s">
        <v>2111</v>
      </c>
      <c r="E110" s="384">
        <v>2</v>
      </c>
      <c r="F110" s="281" t="s">
        <v>42</v>
      </c>
      <c r="G110" s="281" t="s">
        <v>17</v>
      </c>
      <c r="H110" s="281" t="s">
        <v>31</v>
      </c>
      <c r="I110" s="281" t="s">
        <v>16</v>
      </c>
      <c r="J110" s="281" t="s">
        <v>34</v>
      </c>
      <c r="K110" s="281" t="s">
        <v>18</v>
      </c>
      <c r="L110" s="384" t="s">
        <v>1410</v>
      </c>
      <c r="M110" s="8" t="s">
        <v>59</v>
      </c>
      <c r="N110" s="281">
        <v>1</v>
      </c>
      <c r="O110" s="13">
        <f t="shared" si="38"/>
        <v>41709.729166666664</v>
      </c>
      <c r="P110" s="284">
        <v>41747.25</v>
      </c>
      <c r="Q110" s="15">
        <v>37.520833333335759</v>
      </c>
      <c r="R110" s="334">
        <f>IF(ISERROR(VLOOKUP(G110,'Planning and Target Times'!$L$1:$AJ$6,MATCH(K110&amp;"_"&amp;L110&amp;"_"&amp;J110,INDEX('Planning and Target Times'!$L$1:$AJ$6,1,0),0),0)+5),"",(VLOOKUP(G110,'Planning and Target Times'!$L$1:$AJ$6,MATCH(K110&amp;"_"&amp;L110&amp;"_"&amp;J110,INDEX('Planning and Target Times'!$L$1:$AJ$6,1,0),0),0)+5))</f>
        <v>54</v>
      </c>
      <c r="S110" s="420">
        <f t="shared" si="39"/>
        <v>49</v>
      </c>
      <c r="T110" s="392">
        <f>VLOOKUP(G110,'Planning and Target Times'!$A$7:$G$12,MATCH(K110&amp;"-"&amp;L110&amp;"-"&amp;J110,INDEX('Planning and Target Times'!$A$7:$G$12,1,0),0),0)</f>
        <v>25</v>
      </c>
      <c r="U110" s="292">
        <v>2.5625</v>
      </c>
      <c r="V110" s="14">
        <f t="shared" si="30"/>
        <v>40.083333333335759</v>
      </c>
      <c r="W110" s="292">
        <v>4198</v>
      </c>
      <c r="X110" s="286" t="str">
        <f t="shared" si="40"/>
        <v>MA</v>
      </c>
      <c r="Y110" s="302">
        <v>12462</v>
      </c>
      <c r="Z110" s="302"/>
      <c r="AA110" s="302">
        <v>8176.5</v>
      </c>
      <c r="AB110" s="302">
        <v>8267</v>
      </c>
      <c r="AC110" s="302"/>
      <c r="AD110" s="302"/>
      <c r="AE110" s="292"/>
      <c r="AF110" s="292"/>
      <c r="AG110" s="292"/>
      <c r="AH110" s="292"/>
      <c r="AI110" s="292"/>
      <c r="AJ110" s="292"/>
      <c r="AK110" s="282"/>
      <c r="AL110" s="282" t="str">
        <f>VLOOKUP(G110,'Planning and Target Times'!$I$2:$J$7,2,0)</f>
        <v>Carbonate</v>
      </c>
      <c r="AM110" s="14">
        <f t="shared" si="41"/>
        <v>-13.916666666664241</v>
      </c>
      <c r="AN110" s="292">
        <v>2.8066528066528065</v>
      </c>
      <c r="AO110" s="14">
        <f>BD110/Q110</f>
        <v>306.49639089392798</v>
      </c>
      <c r="AP110" s="283">
        <f>VLOOKUP(G110,'Planning and Target Times'!$A$43:$L$47,MATCH(F110&amp;"-"&amp;K110&amp;"-"&amp;L110&amp;"-"&amp;J110,INDEX('Planning and Target Times'!$A$43:$L$47,1,0),0),0)</f>
        <v>300</v>
      </c>
      <c r="AQ110" s="384" t="s">
        <v>88</v>
      </c>
      <c r="AR110" s="281" t="s">
        <v>91</v>
      </c>
      <c r="AS110" s="292" t="s">
        <v>91</v>
      </c>
      <c r="AT110" s="292" t="s">
        <v>91</v>
      </c>
      <c r="AU110" s="292" t="s">
        <v>91</v>
      </c>
      <c r="AV110" s="292"/>
      <c r="AW110" s="292"/>
      <c r="AX110" s="281"/>
      <c r="AY110" s="281"/>
      <c r="AZ110" s="283" t="s">
        <v>299</v>
      </c>
      <c r="BA110" s="292">
        <v>0</v>
      </c>
      <c r="BB110" s="292">
        <v>0</v>
      </c>
      <c r="BC110" s="292"/>
      <c r="BD110" s="292">
        <v>11500</v>
      </c>
      <c r="BE110" s="292" t="s">
        <v>34</v>
      </c>
      <c r="BF110" s="282" t="s">
        <v>91</v>
      </c>
      <c r="BG110" s="282"/>
      <c r="BH110" s="282" t="s">
        <v>323</v>
      </c>
      <c r="BI110" s="283">
        <v>291581</v>
      </c>
      <c r="BJ110" s="292"/>
      <c r="BK110" s="302">
        <f>COUNT(P$2:P110)</f>
        <v>109</v>
      </c>
      <c r="BL110" s="302">
        <f>SUMPRODUCT(--(YEAR(P$2:P110)=YEAR(P110)))</f>
        <v>15</v>
      </c>
      <c r="BM110" s="302">
        <f t="shared" si="42"/>
        <v>2</v>
      </c>
      <c r="BN110" s="15">
        <f t="shared" si="43"/>
        <v>58.143749999999997</v>
      </c>
      <c r="BO110" s="292"/>
      <c r="BP110" s="292"/>
      <c r="BQ110" s="464"/>
      <c r="BR110" s="464"/>
      <c r="BS110" s="464"/>
      <c r="BT110" s="464">
        <v>6016.9193548387093</v>
      </c>
      <c r="BU110" s="464">
        <v>8768.358602150538</v>
      </c>
      <c r="BV110" s="464">
        <v>10410.209607014853</v>
      </c>
      <c r="BW110" s="464" t="s">
        <v>1879</v>
      </c>
      <c r="BX110" s="469">
        <v>41730</v>
      </c>
      <c r="BZ110" s="472">
        <f>BT110/Q110</f>
        <v>160.36209274416402</v>
      </c>
    </row>
    <row r="111" spans="1:78" ht="15" customHeight="1" x14ac:dyDescent="0.25">
      <c r="A111" s="384" t="s">
        <v>288</v>
      </c>
      <c r="B111" s="384" t="s">
        <v>301</v>
      </c>
      <c r="C111" s="302" t="s">
        <v>288</v>
      </c>
      <c r="D111" s="529" t="s">
        <v>2112</v>
      </c>
      <c r="E111" s="384">
        <v>3</v>
      </c>
      <c r="F111" s="281" t="s">
        <v>11</v>
      </c>
      <c r="G111" s="281" t="s">
        <v>22</v>
      </c>
      <c r="H111" s="281" t="s">
        <v>50</v>
      </c>
      <c r="I111" s="384" t="s">
        <v>24</v>
      </c>
      <c r="J111" s="281" t="s">
        <v>298</v>
      </c>
      <c r="K111" s="281" t="s">
        <v>14</v>
      </c>
      <c r="L111" s="384" t="s">
        <v>1416</v>
      </c>
      <c r="M111" s="8" t="s">
        <v>61</v>
      </c>
      <c r="N111" s="292">
        <v>0</v>
      </c>
      <c r="O111" s="13">
        <f t="shared" si="38"/>
        <v>41714.25</v>
      </c>
      <c r="P111" s="284">
        <v>41762.375</v>
      </c>
      <c r="Q111" s="15">
        <v>48.125</v>
      </c>
      <c r="R111" s="334">
        <f>IF(ISERROR(VLOOKUP(G111,'Planning and Target Times'!$L$1:$AJ$6,MATCH(K111&amp;"_"&amp;L111&amp;"_"&amp;J111,INDEX('Planning and Target Times'!$L$1:$AJ$6,1,0),0),0)+5),"",(VLOOKUP(G111,'Planning and Target Times'!$L$1:$AJ$6,MATCH(K111&amp;"_"&amp;L111&amp;"_"&amp;J111,INDEX('Planning and Target Times'!$L$1:$AJ$6,1,0),0),0)+5))</f>
        <v>75</v>
      </c>
      <c r="S111" s="420">
        <f t="shared" si="39"/>
        <v>70</v>
      </c>
      <c r="T111" s="392">
        <f>VLOOKUP(G111,'Planning and Target Times'!$A$7:$G$12,MATCH(K111&amp;"-"&amp;L111&amp;"-"&amp;J111,INDEX('Planning and Target Times'!$A$7:$G$12,1,0),0),0)</f>
        <v>33</v>
      </c>
      <c r="U111" s="292">
        <v>3.5833333333357587</v>
      </c>
      <c r="V111" s="14">
        <f t="shared" si="30"/>
        <v>51.708333333335759</v>
      </c>
      <c r="W111" s="292">
        <v>1258</v>
      </c>
      <c r="X111" s="286" t="str">
        <f t="shared" si="40"/>
        <v>LB</v>
      </c>
      <c r="Y111" s="302">
        <v>10028</v>
      </c>
      <c r="Z111" s="302"/>
      <c r="AA111" s="302">
        <v>8776</v>
      </c>
      <c r="AB111" s="302">
        <v>10026</v>
      </c>
      <c r="AC111" s="302"/>
      <c r="AD111" s="302"/>
      <c r="AE111" s="292"/>
      <c r="AF111" s="292"/>
      <c r="AG111" s="292"/>
      <c r="AH111" s="292"/>
      <c r="AI111" s="292"/>
      <c r="AJ111" s="292"/>
      <c r="AK111" s="282">
        <f>IF(ISERROR(VLOOKUP(G111,'Planning and Target Times'!$B$106:$D$110,MATCH(F111,INDEX('Planning and Target Times'!$B$106:$D$110,1,0),0),0)),"",(VLOOKUP(G111,'Planning and Target Times'!$B$106:$D$110,MATCH(F111,INDEX('Planning and Target Times'!$B$106:$D$110,1,0),0),0)))</f>
        <v>550</v>
      </c>
      <c r="AL111" s="282" t="str">
        <f>VLOOKUP(G111,'Planning and Target Times'!$I$2:$J$7,2,0)</f>
        <v>Sandstone</v>
      </c>
      <c r="AM111" s="14">
        <f t="shared" si="41"/>
        <v>-23.291666666664241</v>
      </c>
      <c r="AN111" s="292">
        <v>5.8184639255236617</v>
      </c>
      <c r="AO111" s="14">
        <f>BF111/Q111</f>
        <v>19.843324675324677</v>
      </c>
      <c r="AP111" s="283">
        <f>VLOOKUP(G111,'Planning and Target Times'!$A$43:$L$47,MATCH(F111&amp;"-"&amp;K111&amp;"-"&amp;L111&amp;"-"&amp;J111,INDEX('Planning and Target Times'!$A$43:$L$47,1,0),0),0)</f>
        <v>28</v>
      </c>
      <c r="AQ111" s="384" t="s">
        <v>416</v>
      </c>
      <c r="AR111" s="281" t="s">
        <v>91</v>
      </c>
      <c r="AS111" s="292" t="s">
        <v>91</v>
      </c>
      <c r="AT111" s="292" t="s">
        <v>91</v>
      </c>
      <c r="AU111" s="292">
        <v>0.37</v>
      </c>
      <c r="AV111" s="292">
        <v>0.25</v>
      </c>
      <c r="AW111" s="292"/>
      <c r="AX111" s="281"/>
      <c r="AY111" s="281"/>
      <c r="AZ111" s="283" t="s">
        <v>299</v>
      </c>
      <c r="BA111" s="292">
        <v>0</v>
      </c>
      <c r="BB111" s="292">
        <v>0</v>
      </c>
      <c r="BC111" s="292"/>
      <c r="BD111" s="292">
        <v>1038</v>
      </c>
      <c r="BE111" s="292">
        <v>8</v>
      </c>
      <c r="BF111" s="282">
        <f>(1-BE111/100)*BD111</f>
        <v>954.96</v>
      </c>
      <c r="BG111" s="282"/>
      <c r="BH111" s="292"/>
      <c r="BI111" s="283">
        <v>290410</v>
      </c>
      <c r="BJ111" s="292"/>
      <c r="BK111" s="302">
        <f>COUNT(P$2:P111)</f>
        <v>110</v>
      </c>
      <c r="BL111" s="302">
        <f>SUMPRODUCT(--(YEAR(P$2:P111)=YEAR(P111)))</f>
        <v>16</v>
      </c>
      <c r="BM111" s="302">
        <f t="shared" si="42"/>
        <v>3</v>
      </c>
      <c r="BN111" s="15">
        <f t="shared" si="43"/>
        <v>51.9375</v>
      </c>
      <c r="BO111" s="292"/>
      <c r="BP111" s="292"/>
      <c r="BQ111" s="467">
        <v>760.43</v>
      </c>
      <c r="BR111" s="467">
        <v>694.93833333333316</v>
      </c>
      <c r="BS111" s="467">
        <v>624.29083333333324</v>
      </c>
      <c r="BT111" s="467"/>
      <c r="BU111" s="467"/>
      <c r="BV111" s="467"/>
      <c r="BW111" s="467" t="s">
        <v>1877</v>
      </c>
      <c r="BX111" s="469">
        <v>41760</v>
      </c>
      <c r="BY111" s="472">
        <f>BQ111/Q111</f>
        <v>15.801142857142857</v>
      </c>
    </row>
    <row r="112" spans="1:78" ht="15" customHeight="1" x14ac:dyDescent="0.25">
      <c r="A112" s="384" t="s">
        <v>289</v>
      </c>
      <c r="B112" s="384" t="s">
        <v>442</v>
      </c>
      <c r="C112" s="302" t="s">
        <v>531</v>
      </c>
      <c r="D112" s="529" t="s">
        <v>2113</v>
      </c>
      <c r="E112" s="384">
        <v>2</v>
      </c>
      <c r="F112" s="281" t="s">
        <v>42</v>
      </c>
      <c r="G112" s="281" t="s">
        <v>17</v>
      </c>
      <c r="H112" s="281" t="s">
        <v>37</v>
      </c>
      <c r="I112" s="281" t="s">
        <v>20</v>
      </c>
      <c r="J112" s="281" t="s">
        <v>34</v>
      </c>
      <c r="K112" s="281" t="s">
        <v>18</v>
      </c>
      <c r="L112" s="384" t="s">
        <v>1410</v>
      </c>
      <c r="M112" s="384" t="s">
        <v>60</v>
      </c>
      <c r="N112" s="281">
        <v>1</v>
      </c>
      <c r="O112" s="13">
        <f t="shared" si="38"/>
        <v>41714.583333333336</v>
      </c>
      <c r="P112" s="284">
        <v>41765</v>
      </c>
      <c r="Q112" s="15">
        <v>50.416666666664241</v>
      </c>
      <c r="R112" s="334">
        <f>IF(ISERROR(VLOOKUP(G112,'Planning and Target Times'!$L$1:$AJ$6,MATCH(K112&amp;"_"&amp;L112&amp;"_"&amp;J112,INDEX('Planning and Target Times'!$L$1:$AJ$6,1,0),0),0)+5),"",(VLOOKUP(G112,'Planning and Target Times'!$L$1:$AJ$6,MATCH(K112&amp;"_"&amp;L112&amp;"_"&amp;J112,INDEX('Planning and Target Times'!$L$1:$AJ$6,1,0),0),0)+5))</f>
        <v>54</v>
      </c>
      <c r="S112" s="420">
        <f t="shared" si="39"/>
        <v>49</v>
      </c>
      <c r="T112" s="392">
        <f>VLOOKUP(G112,'Planning and Target Times'!$A$7:$G$12,MATCH(K112&amp;"-"&amp;L112&amp;"-"&amp;J112,INDEX('Planning and Target Times'!$A$7:$G$12,1,0),0),0)</f>
        <v>25</v>
      </c>
      <c r="U112" s="292">
        <v>2.3333333333357587</v>
      </c>
      <c r="V112" s="14">
        <f t="shared" si="30"/>
        <v>52.75</v>
      </c>
      <c r="W112" s="292">
        <v>3625</v>
      </c>
      <c r="X112" s="286" t="str">
        <f t="shared" si="40"/>
        <v>MA</v>
      </c>
      <c r="Y112" s="302">
        <v>12431</v>
      </c>
      <c r="Z112" s="302"/>
      <c r="AA112" s="302">
        <v>6386</v>
      </c>
      <c r="AB112" s="302">
        <v>8414</v>
      </c>
      <c r="AC112" s="302"/>
      <c r="AD112" s="302"/>
      <c r="AE112" s="292"/>
      <c r="AF112" s="292"/>
      <c r="AG112" s="292"/>
      <c r="AH112" s="292"/>
      <c r="AI112" s="292"/>
      <c r="AJ112" s="292"/>
      <c r="AK112" s="282"/>
      <c r="AL112" s="282" t="str">
        <f>VLOOKUP(G112,'Planning and Target Times'!$I$2:$J$7,2,0)</f>
        <v>Carbonate</v>
      </c>
      <c r="AM112" s="14">
        <f t="shared" si="41"/>
        <v>-1.25</v>
      </c>
      <c r="AN112" s="292">
        <v>18.325434439178515</v>
      </c>
      <c r="AO112" s="14" t="e">
        <f>BD112/Q112</f>
        <v>#VALUE!</v>
      </c>
      <c r="AP112" s="283">
        <f>VLOOKUP(G112,'Planning and Target Times'!$A$43:$L$47,MATCH(F112&amp;"-"&amp;K112&amp;"-"&amp;L112&amp;"-"&amp;J112,INDEX('Planning and Target Times'!$A$43:$L$47,1,0),0),0)</f>
        <v>300</v>
      </c>
      <c r="AQ112" s="384" t="s">
        <v>88</v>
      </c>
      <c r="AR112" s="281" t="s">
        <v>91</v>
      </c>
      <c r="AS112" s="292" t="s">
        <v>91</v>
      </c>
      <c r="AT112" s="292" t="s">
        <v>91</v>
      </c>
      <c r="AU112" s="292" t="s">
        <v>91</v>
      </c>
      <c r="AV112" s="292"/>
      <c r="AW112" s="292"/>
      <c r="AX112" s="281"/>
      <c r="AY112" s="281"/>
      <c r="AZ112" s="283" t="s">
        <v>299</v>
      </c>
      <c r="BA112" s="292">
        <v>0</v>
      </c>
      <c r="BB112" s="292">
        <v>0</v>
      </c>
      <c r="BC112" s="292"/>
      <c r="BD112" s="282" t="s">
        <v>34</v>
      </c>
      <c r="BE112" s="292" t="s">
        <v>34</v>
      </c>
      <c r="BF112" s="282" t="s">
        <v>91</v>
      </c>
      <c r="BG112" s="282"/>
      <c r="BH112" s="292"/>
      <c r="BI112" s="283">
        <v>291605</v>
      </c>
      <c r="BJ112" s="292"/>
      <c r="BK112" s="302">
        <f>COUNT(P$2:P112)</f>
        <v>111</v>
      </c>
      <c r="BL112" s="302">
        <f>SUMPRODUCT(--(YEAR(P$2:P112)=YEAR(P112)))</f>
        <v>17</v>
      </c>
      <c r="BM112" s="302">
        <f t="shared" si="42"/>
        <v>4</v>
      </c>
      <c r="BN112" s="15">
        <f t="shared" si="43"/>
        <v>52.25833333333285</v>
      </c>
      <c r="BO112" s="292"/>
      <c r="BP112" s="292"/>
      <c r="BQ112" s="464"/>
      <c r="BR112" s="464"/>
      <c r="BS112" s="464"/>
      <c r="BT112" s="464">
        <v>4447.6530465949827</v>
      </c>
      <c r="BU112" s="464">
        <v>7103.9995263696846</v>
      </c>
      <c r="BV112" s="464">
        <v>7374.0198233486926</v>
      </c>
      <c r="BW112" s="464" t="s">
        <v>1879</v>
      </c>
      <c r="BX112" s="469">
        <v>41883</v>
      </c>
      <c r="BZ112" s="472">
        <f>BT112/Q112</f>
        <v>88.217911668003907</v>
      </c>
    </row>
    <row r="113" spans="1:78" ht="15" customHeight="1" x14ac:dyDescent="0.25">
      <c r="A113" s="384" t="s">
        <v>290</v>
      </c>
      <c r="B113" s="384" t="s">
        <v>302</v>
      </c>
      <c r="C113" s="302" t="s">
        <v>290</v>
      </c>
      <c r="D113" s="529" t="s">
        <v>2114</v>
      </c>
      <c r="E113" s="384">
        <v>5</v>
      </c>
      <c r="F113" s="281" t="s">
        <v>42</v>
      </c>
      <c r="G113" s="281" t="s">
        <v>22</v>
      </c>
      <c r="H113" s="281" t="s">
        <v>12</v>
      </c>
      <c r="I113" s="384" t="s">
        <v>24</v>
      </c>
      <c r="J113" s="281" t="s">
        <v>298</v>
      </c>
      <c r="K113" s="281" t="s">
        <v>14</v>
      </c>
      <c r="L113" s="384" t="s">
        <v>1416</v>
      </c>
      <c r="M113" s="384" t="s">
        <v>60</v>
      </c>
      <c r="N113" s="281">
        <v>0</v>
      </c>
      <c r="O113" s="13">
        <f t="shared" si="38"/>
        <v>41716.479166666664</v>
      </c>
      <c r="P113" s="284">
        <v>41771.708333333336</v>
      </c>
      <c r="Q113" s="15">
        <v>55.229166666671517</v>
      </c>
      <c r="R113" s="334">
        <f>IF(ISERROR(VLOOKUP(G113,'Planning and Target Times'!$L$1:$AJ$6,MATCH(K113&amp;"_"&amp;L113&amp;"_"&amp;J113,INDEX('Planning and Target Times'!$L$1:$AJ$6,1,0),0),0)+5),"",(VLOOKUP(G113,'Planning and Target Times'!$L$1:$AJ$6,MATCH(K113&amp;"_"&amp;L113&amp;"_"&amp;J113,INDEX('Planning and Target Times'!$L$1:$AJ$6,1,0),0),0)+5))</f>
        <v>75</v>
      </c>
      <c r="S113" s="420">
        <f t="shared" si="39"/>
        <v>70</v>
      </c>
      <c r="T113" s="392">
        <f>VLOOKUP(G113,'Planning and Target Times'!$A$7:$G$12,MATCH(K113&amp;"-"&amp;L113&amp;"-"&amp;J113,INDEX('Planning and Target Times'!$A$7:$G$12,1,0),0),0)</f>
        <v>33</v>
      </c>
      <c r="U113" s="292">
        <v>7.4375</v>
      </c>
      <c r="V113" s="14">
        <f t="shared" si="30"/>
        <v>62.666666666671517</v>
      </c>
      <c r="W113" s="292">
        <v>403</v>
      </c>
      <c r="X113" s="286" t="str">
        <f t="shared" si="40"/>
        <v>LB</v>
      </c>
      <c r="Y113" s="302">
        <v>10408</v>
      </c>
      <c r="Z113" s="302"/>
      <c r="AA113" s="302">
        <v>9097</v>
      </c>
      <c r="AB113" s="302">
        <v>10004</v>
      </c>
      <c r="AC113" s="302"/>
      <c r="AD113" s="302"/>
      <c r="AE113" s="292"/>
      <c r="AF113" s="292"/>
      <c r="AG113" s="292"/>
      <c r="AH113" s="292"/>
      <c r="AI113" s="292"/>
      <c r="AJ113" s="292"/>
      <c r="AK113" s="282">
        <f>IF(ISERROR(VLOOKUP(G113,'Planning and Target Times'!$B$106:$D$110,MATCH(F113,INDEX('Planning and Target Times'!$B$106:$D$110,1,0),0),0)),"",(VLOOKUP(G113,'Planning and Target Times'!$B$106:$D$110,MATCH(F113,INDEX('Planning and Target Times'!$B$106:$D$110,1,0),0),0)))</f>
        <v>900</v>
      </c>
      <c r="AL113" s="282" t="str">
        <f>VLOOKUP(G113,'Planning and Target Times'!$I$2:$J$7,2,0)</f>
        <v>Sandstone</v>
      </c>
      <c r="AM113" s="14">
        <f t="shared" si="41"/>
        <v>-12.333333333328483</v>
      </c>
      <c r="AN113" s="292">
        <v>11.602393617021276</v>
      </c>
      <c r="AO113" s="14">
        <f>BF113/Q113</f>
        <v>32.591474915123506</v>
      </c>
      <c r="AP113" s="283">
        <f>VLOOKUP(G113,'Planning and Target Times'!$A$43:$L$47,MATCH(F113&amp;"-"&amp;K113&amp;"-"&amp;L113&amp;"-"&amp;J113,INDEX('Planning and Target Times'!$A$43:$L$47,1,0),0),0)</f>
        <v>34</v>
      </c>
      <c r="AQ113" s="384" t="s">
        <v>83</v>
      </c>
      <c r="AR113" s="281">
        <v>1</v>
      </c>
      <c r="AS113" s="292" t="s">
        <v>10</v>
      </c>
      <c r="AT113" s="292" t="s">
        <v>39</v>
      </c>
      <c r="AU113" s="292">
        <v>0.64</v>
      </c>
      <c r="AV113" s="292">
        <v>0.64</v>
      </c>
      <c r="AW113" s="292"/>
      <c r="AX113" s="281"/>
      <c r="AY113" s="281"/>
      <c r="AZ113" s="283" t="s">
        <v>299</v>
      </c>
      <c r="BA113" s="292"/>
      <c r="BB113" s="292"/>
      <c r="BC113" s="292"/>
      <c r="BD113" s="292">
        <v>2000</v>
      </c>
      <c r="BE113" s="292">
        <v>10</v>
      </c>
      <c r="BF113" s="282">
        <f>(1-BE113/100)*BD113</f>
        <v>1800</v>
      </c>
      <c r="BG113" s="282"/>
      <c r="BH113" s="292"/>
      <c r="BI113" s="283">
        <v>290551</v>
      </c>
      <c r="BJ113" s="292"/>
      <c r="BK113" s="302">
        <f>COUNT(P$2:P113)</f>
        <v>112</v>
      </c>
      <c r="BL113" s="302">
        <f>SUMPRODUCT(--(YEAR(P$2:P113)=YEAR(P113)))</f>
        <v>18</v>
      </c>
      <c r="BM113" s="302">
        <f t="shared" si="42"/>
        <v>5</v>
      </c>
      <c r="BN113" s="15">
        <f t="shared" si="43"/>
        <v>53.520833333333577</v>
      </c>
      <c r="BO113" s="292"/>
      <c r="BP113" s="292"/>
      <c r="BQ113" s="467">
        <v>1976.8266666666666</v>
      </c>
      <c r="BR113" s="467">
        <v>2150.415</v>
      </c>
      <c r="BS113" s="467">
        <v>2108.6508333333336</v>
      </c>
      <c r="BT113" s="467"/>
      <c r="BU113" s="467"/>
      <c r="BV113" s="467"/>
      <c r="BW113" s="467" t="s">
        <v>1877</v>
      </c>
      <c r="BX113" s="469">
        <v>41791</v>
      </c>
      <c r="BY113" s="472">
        <f>BQ113/Q113</f>
        <v>35.793164843452153</v>
      </c>
    </row>
    <row r="114" spans="1:78" ht="15" customHeight="1" x14ac:dyDescent="0.25">
      <c r="A114" s="281" t="s">
        <v>293</v>
      </c>
      <c r="B114" s="281" t="s">
        <v>443</v>
      </c>
      <c r="C114" s="302" t="s">
        <v>566</v>
      </c>
      <c r="D114" s="529" t="s">
        <v>2115</v>
      </c>
      <c r="E114" s="281">
        <v>5</v>
      </c>
      <c r="F114" s="281" t="s">
        <v>11</v>
      </c>
      <c r="G114" s="281" t="s">
        <v>17</v>
      </c>
      <c r="H114" s="281" t="s">
        <v>23</v>
      </c>
      <c r="I114" s="281" t="s">
        <v>20</v>
      </c>
      <c r="J114" s="281" t="s">
        <v>34</v>
      </c>
      <c r="K114" s="281" t="s">
        <v>18</v>
      </c>
      <c r="L114" s="384" t="s">
        <v>1410</v>
      </c>
      <c r="M114" s="8" t="s">
        <v>59</v>
      </c>
      <c r="N114" s="292">
        <v>0</v>
      </c>
      <c r="O114" s="13">
        <f t="shared" si="38"/>
        <v>41733.625</v>
      </c>
      <c r="P114" s="284">
        <v>41777</v>
      </c>
      <c r="Q114" s="292">
        <v>43.375</v>
      </c>
      <c r="R114" s="334">
        <f>IF(ISERROR(VLOOKUP(G114,'Planning and Target Times'!$L$1:$AJ$6,MATCH(K114&amp;"_"&amp;L114&amp;"_"&amp;J114,INDEX('Planning and Target Times'!$L$1:$AJ$6,1,0),0),0)+5),"",(VLOOKUP(G114,'Planning and Target Times'!$L$1:$AJ$6,MATCH(K114&amp;"_"&amp;L114&amp;"_"&amp;J114,INDEX('Planning and Target Times'!$L$1:$AJ$6,1,0),0),0)+5))</f>
        <v>54</v>
      </c>
      <c r="S114" s="420">
        <f t="shared" si="39"/>
        <v>49</v>
      </c>
      <c r="T114" s="392">
        <f>VLOOKUP(G114,'Planning and Target Times'!$A$7:$G$12,MATCH(K114&amp;"-"&amp;L114&amp;"-"&amp;J114,INDEX('Planning and Target Times'!$A$7:$G$12,1,0),0),0)</f>
        <v>25</v>
      </c>
      <c r="U114" s="292">
        <v>4.21</v>
      </c>
      <c r="V114" s="14">
        <f t="shared" si="30"/>
        <v>47.585000000000001</v>
      </c>
      <c r="W114" s="292">
        <v>3663</v>
      </c>
      <c r="X114" s="286" t="str">
        <f t="shared" si="40"/>
        <v>MA</v>
      </c>
      <c r="Y114" s="302">
        <v>11880</v>
      </c>
      <c r="Z114" s="302"/>
      <c r="AA114" s="302">
        <v>6212</v>
      </c>
      <c r="AB114" s="302">
        <v>8223</v>
      </c>
      <c r="AC114" s="302"/>
      <c r="AD114" s="302"/>
      <c r="AE114" s="292"/>
      <c r="AF114" s="292"/>
      <c r="AG114" s="292"/>
      <c r="AH114" s="292"/>
      <c r="AI114" s="292"/>
      <c r="AJ114" s="292"/>
      <c r="AK114" s="282"/>
      <c r="AL114" s="282" t="str">
        <f>VLOOKUP(G114,'Planning and Target Times'!$I$2:$J$7,2,0)</f>
        <v>Carbonate</v>
      </c>
      <c r="AM114" s="14">
        <f t="shared" si="41"/>
        <v>-6.4149999999999991</v>
      </c>
      <c r="AN114" s="292">
        <v>5</v>
      </c>
      <c r="AO114" s="14">
        <f>BD114/Q114</f>
        <v>320.46109510086455</v>
      </c>
      <c r="AP114" s="283">
        <f>VLOOKUP(G114,'Planning and Target Times'!$A$43:$L$47,MATCH(F114&amp;"-"&amp;K114&amp;"-"&amp;L114&amp;"-"&amp;J114,INDEX('Planning and Target Times'!$A$43:$L$47,1,0),0),0)</f>
        <v>300</v>
      </c>
      <c r="AQ114" s="281" t="s">
        <v>88</v>
      </c>
      <c r="AR114" s="281" t="s">
        <v>91</v>
      </c>
      <c r="AS114" s="292" t="s">
        <v>91</v>
      </c>
      <c r="AT114" s="282" t="s">
        <v>91</v>
      </c>
      <c r="AU114" s="292" t="s">
        <v>91</v>
      </c>
      <c r="AV114" s="292"/>
      <c r="AW114" s="292"/>
      <c r="AX114" s="281"/>
      <c r="AY114" s="281"/>
      <c r="AZ114" s="283" t="s">
        <v>299</v>
      </c>
      <c r="BA114" s="292">
        <v>0</v>
      </c>
      <c r="BB114" s="292">
        <v>0</v>
      </c>
      <c r="BC114" s="292"/>
      <c r="BD114" s="282">
        <v>13900</v>
      </c>
      <c r="BE114" s="292" t="s">
        <v>34</v>
      </c>
      <c r="BF114" s="282" t="s">
        <v>91</v>
      </c>
      <c r="BG114" s="282"/>
      <c r="BH114" s="292"/>
      <c r="BI114" s="283">
        <v>291851</v>
      </c>
      <c r="BJ114" s="292"/>
      <c r="BK114" s="302">
        <f>COUNT(P$2:P114)</f>
        <v>113</v>
      </c>
      <c r="BL114" s="302">
        <f>SUMPRODUCT(--(YEAR(P$2:P114)=YEAR(P114)))</f>
        <v>19</v>
      </c>
      <c r="BM114" s="302">
        <f t="shared" si="42"/>
        <v>6</v>
      </c>
      <c r="BN114" s="15">
        <f t="shared" si="43"/>
        <v>46.810416666667152</v>
      </c>
      <c r="BO114" s="292"/>
      <c r="BP114" s="292"/>
      <c r="BQ114" s="464"/>
      <c r="BR114" s="464"/>
      <c r="BS114" s="464"/>
      <c r="BT114" s="464">
        <v>8945.4684587813608</v>
      </c>
      <c r="BU114" s="464">
        <v>11025.386559139779</v>
      </c>
      <c r="BV114" s="464">
        <v>13661.071908602149</v>
      </c>
      <c r="BW114" s="464" t="s">
        <v>1879</v>
      </c>
      <c r="BX114" s="469">
        <v>41760</v>
      </c>
      <c r="BZ114" s="472">
        <f>BT114/Q114</f>
        <v>206.2355840641236</v>
      </c>
    </row>
    <row r="115" spans="1:78" ht="15" customHeight="1" x14ac:dyDescent="0.25">
      <c r="A115" s="281" t="s">
        <v>292</v>
      </c>
      <c r="B115" s="281" t="s">
        <v>304</v>
      </c>
      <c r="C115" s="302" t="s">
        <v>542</v>
      </c>
      <c r="D115" s="529" t="s">
        <v>2116</v>
      </c>
      <c r="E115" s="281">
        <v>5</v>
      </c>
      <c r="F115" s="281" t="s">
        <v>42</v>
      </c>
      <c r="G115" s="281" t="s">
        <v>44</v>
      </c>
      <c r="H115" s="281" t="s">
        <v>19</v>
      </c>
      <c r="I115" s="281" t="s">
        <v>20</v>
      </c>
      <c r="J115" s="281" t="s">
        <v>298</v>
      </c>
      <c r="K115" s="281" t="s">
        <v>14</v>
      </c>
      <c r="L115" s="384" t="s">
        <v>1410</v>
      </c>
      <c r="M115" s="8" t="s">
        <v>59</v>
      </c>
      <c r="N115" s="281">
        <v>0</v>
      </c>
      <c r="O115" s="13">
        <f t="shared" si="38"/>
        <v>41725.625</v>
      </c>
      <c r="P115" s="284">
        <v>41779</v>
      </c>
      <c r="Q115" s="292">
        <v>53.375</v>
      </c>
      <c r="R115" s="334">
        <f>IF(ISERROR(VLOOKUP(G115,'Planning and Target Times'!$L$1:$AJ$6,MATCH(K115&amp;"_"&amp;L115&amp;"_"&amp;J115,INDEX('Planning and Target Times'!$L$1:$AJ$6,1,0),0),0)+5),"",(VLOOKUP(G115,'Planning and Target Times'!$L$1:$AJ$6,MATCH(K115&amp;"_"&amp;L115&amp;"_"&amp;J115,INDEX('Planning and Target Times'!$L$1:$AJ$6,1,0),0),0)+5))</f>
        <v>103</v>
      </c>
      <c r="S115" s="420">
        <f t="shared" si="39"/>
        <v>98</v>
      </c>
      <c r="T115" s="392">
        <f>VLOOKUP(G115,'Planning and Target Times'!$A$7:$G$12,MATCH(K115&amp;"-"&amp;L115&amp;"-"&amp;J115,INDEX('Planning and Target Times'!$A$7:$G$12,1,0),0),0)</f>
        <v>75</v>
      </c>
      <c r="U115" s="292">
        <v>4.21</v>
      </c>
      <c r="V115" s="14">
        <f t="shared" si="30"/>
        <v>57.585000000000001</v>
      </c>
      <c r="W115" s="292">
        <v>819</v>
      </c>
      <c r="X115" s="286" t="str">
        <f t="shared" si="40"/>
        <v>ZU/RT</v>
      </c>
      <c r="Y115" s="302">
        <v>11215</v>
      </c>
      <c r="Z115" s="302"/>
      <c r="AA115" s="302">
        <v>9540</v>
      </c>
      <c r="AB115" s="302">
        <v>10394</v>
      </c>
      <c r="AC115" s="302"/>
      <c r="AD115" s="302"/>
      <c r="AE115" s="292"/>
      <c r="AF115" s="292"/>
      <c r="AG115" s="292"/>
      <c r="AH115" s="292"/>
      <c r="AI115" s="292"/>
      <c r="AJ115" s="292"/>
      <c r="AK115" s="282">
        <f>IF(ISERROR(VLOOKUP(G115,'Planning and Target Times'!$B$106:$D$110,MATCH(F115,INDEX('Planning and Target Times'!$B$106:$D$110,1,0),0),0)),"",(VLOOKUP(G115,'Planning and Target Times'!$B$106:$D$110,MATCH(F115,INDEX('Planning and Target Times'!$B$106:$D$110,1,0),0),0)))</f>
        <v>1560</v>
      </c>
      <c r="AL115" s="282" t="str">
        <f>VLOOKUP(G115,'Planning and Target Times'!$I$2:$J$7,2,0)</f>
        <v>Sandstone</v>
      </c>
      <c r="AM115" s="14">
        <f t="shared" si="41"/>
        <v>-45.414999999999999</v>
      </c>
      <c r="AN115" s="292">
        <v>8</v>
      </c>
      <c r="AO115" s="14">
        <f>BF115/Q115</f>
        <v>58.079625292740047</v>
      </c>
      <c r="AP115" s="283">
        <f>VLOOKUP(G115,'Planning and Target Times'!$A$43:$L$47,MATCH(F115&amp;"-"&amp;K115&amp;"-"&amp;L115&amp;"-"&amp;J115,INDEX('Planning and Target Times'!$A$43:$L$47,1,0),0),0)</f>
        <v>27</v>
      </c>
      <c r="AQ115" s="281" t="s">
        <v>83</v>
      </c>
      <c r="AR115" s="281">
        <v>1</v>
      </c>
      <c r="AS115" s="292" t="s">
        <v>10</v>
      </c>
      <c r="AT115" s="292" t="s">
        <v>39</v>
      </c>
      <c r="AU115" s="292"/>
      <c r="AV115" s="292"/>
      <c r="AW115" s="292"/>
      <c r="AX115" s="281"/>
      <c r="AY115" s="281"/>
      <c r="AZ115" s="283" t="s">
        <v>299</v>
      </c>
      <c r="BA115" s="292"/>
      <c r="BB115" s="292"/>
      <c r="BC115" s="292"/>
      <c r="BD115" s="292">
        <v>3100</v>
      </c>
      <c r="BE115" s="292">
        <v>0</v>
      </c>
      <c r="BF115" s="282">
        <f>(1-BE115/100)*BD115</f>
        <v>3100</v>
      </c>
      <c r="BG115" s="282"/>
      <c r="BH115" s="292"/>
      <c r="BI115" s="283">
        <v>290942</v>
      </c>
      <c r="BJ115" s="292"/>
      <c r="BK115" s="302">
        <f>COUNT(P$2:P115)</f>
        <v>114</v>
      </c>
      <c r="BL115" s="302">
        <f>SUMPRODUCT(--(YEAR(P$2:P115)=YEAR(P115)))</f>
        <v>20</v>
      </c>
      <c r="BM115" s="302">
        <f t="shared" si="42"/>
        <v>7</v>
      </c>
      <c r="BN115" s="15">
        <f t="shared" si="43"/>
        <v>48.46041666666715</v>
      </c>
      <c r="BO115" s="292"/>
      <c r="BP115" s="292"/>
      <c r="BQ115" s="467">
        <v>1527.2633333333333</v>
      </c>
      <c r="BR115" s="467">
        <v>1694.9933333333336</v>
      </c>
      <c r="BS115" s="467">
        <v>1778.7775000000001</v>
      </c>
      <c r="BT115" s="467"/>
      <c r="BU115" s="467"/>
      <c r="BV115" s="467"/>
      <c r="BW115" s="467" t="s">
        <v>1877</v>
      </c>
      <c r="BX115" s="469">
        <v>41791</v>
      </c>
      <c r="BY115" s="472">
        <f>BQ115/Q115</f>
        <v>28.613832943013271</v>
      </c>
    </row>
    <row r="116" spans="1:78" ht="15" customHeight="1" x14ac:dyDescent="0.25">
      <c r="A116" s="281" t="s">
        <v>294</v>
      </c>
      <c r="B116" s="281" t="s">
        <v>445</v>
      </c>
      <c r="C116" s="302" t="s">
        <v>525</v>
      </c>
      <c r="D116" s="529" t="s">
        <v>2117</v>
      </c>
      <c r="E116" s="281">
        <v>2</v>
      </c>
      <c r="F116" s="281" t="s">
        <v>42</v>
      </c>
      <c r="G116" s="281" t="s">
        <v>17</v>
      </c>
      <c r="H116" s="281" t="s">
        <v>31</v>
      </c>
      <c r="I116" s="281" t="s">
        <v>20</v>
      </c>
      <c r="J116" s="281" t="s">
        <v>34</v>
      </c>
      <c r="K116" s="281" t="s">
        <v>18</v>
      </c>
      <c r="L116" s="384" t="s">
        <v>1410</v>
      </c>
      <c r="M116" s="8" t="s">
        <v>59</v>
      </c>
      <c r="N116" s="281">
        <v>0</v>
      </c>
      <c r="O116" s="13">
        <f t="shared" si="38"/>
        <v>41750</v>
      </c>
      <c r="P116" s="284">
        <v>41786</v>
      </c>
      <c r="Q116" s="292">
        <v>36</v>
      </c>
      <c r="R116" s="334">
        <f>IF(ISERROR(VLOOKUP(G116,'Planning and Target Times'!$L$1:$AJ$6,MATCH(K116&amp;"_"&amp;L116&amp;"_"&amp;J116,INDEX('Planning and Target Times'!$L$1:$AJ$6,1,0),0),0)+5),"",(VLOOKUP(G116,'Planning and Target Times'!$L$1:$AJ$6,MATCH(K116&amp;"_"&amp;L116&amp;"_"&amp;J116,INDEX('Planning and Target Times'!$L$1:$AJ$6,1,0),0),0)+5))</f>
        <v>54</v>
      </c>
      <c r="S116" s="420">
        <f t="shared" si="39"/>
        <v>49</v>
      </c>
      <c r="T116" s="392">
        <f>VLOOKUP(G116,'Planning and Target Times'!$A$7:$G$12,MATCH(K116&amp;"-"&amp;L116&amp;"-"&amp;J116,INDEX('Planning and Target Times'!$A$7:$G$12,1,0),0),0)</f>
        <v>25</v>
      </c>
      <c r="U116" s="292">
        <v>3</v>
      </c>
      <c r="V116" s="14">
        <f t="shared" si="30"/>
        <v>39</v>
      </c>
      <c r="W116" s="292">
        <f>11550-8544</f>
        <v>3006</v>
      </c>
      <c r="X116" s="286" t="str">
        <f t="shared" si="40"/>
        <v>MA</v>
      </c>
      <c r="Y116" s="302">
        <v>11550</v>
      </c>
      <c r="Z116" s="302"/>
      <c r="AA116" s="302"/>
      <c r="AB116" s="302">
        <v>8542</v>
      </c>
      <c r="AC116" s="302"/>
      <c r="AD116" s="302"/>
      <c r="AE116" s="292"/>
      <c r="AF116" s="292"/>
      <c r="AG116" s="292"/>
      <c r="AH116" s="292"/>
      <c r="AI116" s="292"/>
      <c r="AJ116" s="292"/>
      <c r="AK116" s="282"/>
      <c r="AL116" s="282" t="str">
        <f>VLOOKUP(G116,'Planning and Target Times'!$I$2:$J$7,2,0)</f>
        <v>Carbonate</v>
      </c>
      <c r="AM116" s="14">
        <f t="shared" si="41"/>
        <v>-15</v>
      </c>
      <c r="AN116" s="292">
        <f>53.5/24/V116*100</f>
        <v>5.7158119658119659</v>
      </c>
      <c r="AO116" s="14">
        <f>BD116/Q116</f>
        <v>383.33333333333331</v>
      </c>
      <c r="AP116" s="283">
        <f>VLOOKUP(G116,'Planning and Target Times'!$A$43:$L$47,MATCH(F116&amp;"-"&amp;K116&amp;"-"&amp;L116&amp;"-"&amp;J116,INDEX('Planning and Target Times'!$A$43:$L$47,1,0),0),0)</f>
        <v>300</v>
      </c>
      <c r="AQ116" s="281" t="s">
        <v>88</v>
      </c>
      <c r="AR116" s="281" t="s">
        <v>91</v>
      </c>
      <c r="AS116" s="292" t="s">
        <v>91</v>
      </c>
      <c r="AT116" s="282" t="s">
        <v>91</v>
      </c>
      <c r="AU116" s="292" t="s">
        <v>91</v>
      </c>
      <c r="AV116" s="292"/>
      <c r="AW116" s="292"/>
      <c r="AX116" s="281"/>
      <c r="AY116" s="281"/>
      <c r="AZ116" s="283" t="s">
        <v>299</v>
      </c>
      <c r="BA116" s="292"/>
      <c r="BB116" s="292"/>
      <c r="BC116" s="292"/>
      <c r="BD116" s="282">
        <v>13800</v>
      </c>
      <c r="BE116" s="292" t="s">
        <v>34</v>
      </c>
      <c r="BF116" s="282" t="s">
        <v>91</v>
      </c>
      <c r="BG116" s="282"/>
      <c r="BH116" s="292"/>
      <c r="BI116" s="283">
        <v>291561</v>
      </c>
      <c r="BJ116" s="292"/>
      <c r="BK116" s="302">
        <f>COUNT(P$2:P116)</f>
        <v>115</v>
      </c>
      <c r="BL116" s="302">
        <f>SUMPRODUCT(--(YEAR(P$2:P116)=YEAR(P116)))</f>
        <v>21</v>
      </c>
      <c r="BM116" s="302">
        <f t="shared" si="42"/>
        <v>8</v>
      </c>
      <c r="BN116" s="15">
        <f t="shared" si="43"/>
        <v>47.939583333333573</v>
      </c>
      <c r="BO116" s="292"/>
      <c r="BP116" s="292"/>
      <c r="BQ116" s="464"/>
      <c r="BR116" s="464"/>
      <c r="BS116" s="464"/>
      <c r="BT116" s="464">
        <v>7984.5512544802996</v>
      </c>
      <c r="BU116" s="464">
        <v>9451.2847670250903</v>
      </c>
      <c r="BV116" s="464">
        <v>10275.993068356374</v>
      </c>
      <c r="BW116" s="464" t="s">
        <v>1879</v>
      </c>
      <c r="BX116" s="469">
        <v>41760</v>
      </c>
      <c r="BZ116" s="472">
        <f>BT116/Q116</f>
        <v>221.79309040223055</v>
      </c>
    </row>
    <row r="117" spans="1:78" ht="15" customHeight="1" x14ac:dyDescent="0.25">
      <c r="A117" s="384" t="s">
        <v>52</v>
      </c>
      <c r="B117" s="384" t="s">
        <v>52</v>
      </c>
      <c r="C117" s="302" t="s">
        <v>740</v>
      </c>
      <c r="D117" s="529" t="s">
        <v>2118</v>
      </c>
      <c r="E117" s="384">
        <v>5</v>
      </c>
      <c r="F117" s="384" t="s">
        <v>11</v>
      </c>
      <c r="G117" s="384" t="s">
        <v>44</v>
      </c>
      <c r="H117" s="384" t="s">
        <v>25</v>
      </c>
      <c r="I117" s="384" t="s">
        <v>24</v>
      </c>
      <c r="J117" s="384" t="s">
        <v>298</v>
      </c>
      <c r="K117" s="384" t="s">
        <v>14</v>
      </c>
      <c r="L117" s="384" t="s">
        <v>1416</v>
      </c>
      <c r="M117" s="384" t="s">
        <v>60</v>
      </c>
      <c r="N117" s="292">
        <v>3</v>
      </c>
      <c r="O117" s="13">
        <f t="shared" si="38"/>
        <v>41635.458299999998</v>
      </c>
      <c r="P117" s="284">
        <v>41802</v>
      </c>
      <c r="Q117" s="292">
        <v>166.54169999999999</v>
      </c>
      <c r="R117" s="334">
        <f>IF(ISERROR(VLOOKUP(G117,'Planning and Target Times'!$L$1:$AJ$6,MATCH(K117&amp;"_"&amp;L117&amp;"_"&amp;J117,INDEX('Planning and Target Times'!$L$1:$AJ$6,1,0),0),0)+5),"",(VLOOKUP(G117,'Planning and Target Times'!$L$1:$AJ$6,MATCH(K117&amp;"_"&amp;L117&amp;"_"&amp;J117,INDEX('Planning and Target Times'!$L$1:$AJ$6,1,0),0),0)+5))</f>
        <v>103</v>
      </c>
      <c r="S117" s="420">
        <f t="shared" si="39"/>
        <v>98</v>
      </c>
      <c r="T117" s="392">
        <f>VLOOKUP(G117,'Planning and Target Times'!$A$7:$G$12,MATCH(K117&amp;"-"&amp;L117&amp;"-"&amp;J117,INDEX('Planning and Target Times'!$A$7:$G$12,1,0),0),0)</f>
        <v>75</v>
      </c>
      <c r="U117" s="292">
        <v>2.1041669999999999</v>
      </c>
      <c r="V117" s="14">
        <f t="shared" si="30"/>
        <v>168.64586699999998</v>
      </c>
      <c r="W117" s="292">
        <v>962</v>
      </c>
      <c r="X117" s="286" t="str">
        <f t="shared" si="40"/>
        <v>ZU/RT</v>
      </c>
      <c r="Y117" s="302">
        <v>11148</v>
      </c>
      <c r="Z117" s="302"/>
      <c r="AA117" s="302"/>
      <c r="AB117" s="302">
        <v>10186</v>
      </c>
      <c r="AC117" s="302">
        <v>11143</v>
      </c>
      <c r="AD117" s="302"/>
      <c r="AE117" s="292"/>
      <c r="AF117" s="292"/>
      <c r="AG117" s="292"/>
      <c r="AH117" s="292"/>
      <c r="AI117" s="292"/>
      <c r="AJ117" s="292"/>
      <c r="AK117" s="282">
        <f>IF(ISERROR(VLOOKUP(G117,'Planning and Target Times'!$B$106:$D$110,MATCH(F117,INDEX('Planning and Target Times'!$B$106:$D$110,1,0),0),0)),"",(VLOOKUP(G117,'Planning and Target Times'!$B$106:$D$110,MATCH(F117,INDEX('Planning and Target Times'!$B$106:$D$110,1,0),0),0)))</f>
        <v>920</v>
      </c>
      <c r="AL117" s="282" t="str">
        <f>VLOOKUP(G117,'Planning and Target Times'!$I$2:$J$7,2,0)</f>
        <v>Sandstone</v>
      </c>
      <c r="AM117" s="14">
        <f t="shared" si="41"/>
        <v>65.645866999999981</v>
      </c>
      <c r="AN117" s="292">
        <v>18.47</v>
      </c>
      <c r="AO117" s="14" t="s">
        <v>91</v>
      </c>
      <c r="AP117" s="283">
        <f>VLOOKUP(G117,'Planning and Target Times'!$A$43:$L$47,MATCH(F117&amp;"-"&amp;K117&amp;"-"&amp;L117&amp;"-"&amp;J117,INDEX('Planning and Target Times'!$A$43:$L$47,1,0),0),0)</f>
        <v>18</v>
      </c>
      <c r="AQ117" s="385" t="s">
        <v>415</v>
      </c>
      <c r="AR117" s="384" t="s">
        <v>91</v>
      </c>
      <c r="AS117" s="292" t="s">
        <v>91</v>
      </c>
      <c r="AT117" s="292" t="s">
        <v>91</v>
      </c>
      <c r="AU117" s="292" t="s">
        <v>91</v>
      </c>
      <c r="AV117" s="292"/>
      <c r="AW117" s="292"/>
      <c r="AX117" s="384"/>
      <c r="AY117" s="384"/>
      <c r="AZ117" s="292" t="s">
        <v>10</v>
      </c>
      <c r="BA117" s="292"/>
      <c r="BB117" s="292"/>
      <c r="BC117" s="292"/>
      <c r="BD117" s="292"/>
      <c r="BE117" s="292"/>
      <c r="BF117" s="282">
        <f>(1-BE117/100)*BD117</f>
        <v>0</v>
      </c>
      <c r="BG117" s="282"/>
      <c r="BH117" s="292"/>
      <c r="BI117" s="283">
        <v>291092</v>
      </c>
      <c r="BJ117" s="292"/>
      <c r="BK117" s="302">
        <f>COUNT(P$2:P117)</f>
        <v>116</v>
      </c>
      <c r="BL117" s="302">
        <f>SUMPRODUCT(--(YEAR(P$2:P117)=YEAR(P117)))</f>
        <v>22</v>
      </c>
      <c r="BM117" s="302">
        <f t="shared" si="42"/>
        <v>9</v>
      </c>
      <c r="BN117" s="15">
        <f t="shared" si="43"/>
        <v>58.054169999999999</v>
      </c>
      <c r="BO117" s="292"/>
      <c r="BP117" s="292"/>
      <c r="BQ117" s="467">
        <v>188.10333333333332</v>
      </c>
      <c r="BR117" s="467">
        <v>117.93499999999999</v>
      </c>
      <c r="BS117" s="467">
        <v>130.90555555555554</v>
      </c>
      <c r="BT117" s="467"/>
      <c r="BU117" s="467"/>
      <c r="BV117" s="467"/>
      <c r="BW117" s="467" t="s">
        <v>1877</v>
      </c>
      <c r="BX117" s="469">
        <v>41913</v>
      </c>
      <c r="BY117" s="472">
        <f>BQ117/Q117</f>
        <v>1.129466874262322</v>
      </c>
    </row>
    <row r="118" spans="1:78" x14ac:dyDescent="0.25">
      <c r="A118" s="292" t="s">
        <v>426</v>
      </c>
      <c r="B118" s="384" t="s">
        <v>449</v>
      </c>
      <c r="C118" s="302" t="s">
        <v>545</v>
      </c>
      <c r="D118" s="529" t="s">
        <v>2119</v>
      </c>
      <c r="E118" s="281">
        <v>5</v>
      </c>
      <c r="F118" s="281" t="s">
        <v>11</v>
      </c>
      <c r="G118" s="281" t="s">
        <v>17</v>
      </c>
      <c r="H118" s="281" t="s">
        <v>12</v>
      </c>
      <c r="I118" s="384" t="s">
        <v>24</v>
      </c>
      <c r="J118" s="281" t="s">
        <v>34</v>
      </c>
      <c r="K118" s="281" t="s">
        <v>18</v>
      </c>
      <c r="L118" s="281" t="s">
        <v>1410</v>
      </c>
      <c r="M118" s="384" t="s">
        <v>60</v>
      </c>
      <c r="N118" s="378">
        <v>0</v>
      </c>
      <c r="O118" s="13">
        <f t="shared" si="38"/>
        <v>41777.145834000003</v>
      </c>
      <c r="P118" s="284">
        <v>41803</v>
      </c>
      <c r="Q118" s="292">
        <v>25.854165999999999</v>
      </c>
      <c r="R118" s="334">
        <f>IF(ISERROR(VLOOKUP(G118,'Planning and Target Times'!$L$1:$AJ$6,MATCH(K118&amp;"_"&amp;L118&amp;"_"&amp;J118,INDEX('Planning and Target Times'!$L$1:$AJ$6,1,0),0),0)+5),"",(VLOOKUP(G118,'Planning and Target Times'!$L$1:$AJ$6,MATCH(K118&amp;"_"&amp;L118&amp;"_"&amp;J118,INDEX('Planning and Target Times'!$L$1:$AJ$6,1,0),0),0)+5))</f>
        <v>54</v>
      </c>
      <c r="S118" s="420">
        <f t="shared" si="39"/>
        <v>49</v>
      </c>
      <c r="T118" s="392">
        <f>VLOOKUP(G118,'Planning and Target Times'!$A$7:$G$12,MATCH(K118&amp;"-"&amp;L118&amp;"-"&amp;J118,INDEX('Planning and Target Times'!$A$7:$G$12,1,0),0),0)</f>
        <v>25</v>
      </c>
      <c r="U118" s="292">
        <v>6.35</v>
      </c>
      <c r="V118" s="292">
        <f t="shared" si="30"/>
        <v>32.204166000000001</v>
      </c>
      <c r="W118" s="292">
        <v>3896</v>
      </c>
      <c r="X118" s="286" t="str">
        <f t="shared" si="40"/>
        <v>MA</v>
      </c>
      <c r="Y118" s="302">
        <v>11866</v>
      </c>
      <c r="Z118" s="302"/>
      <c r="AA118" s="302">
        <v>8020</v>
      </c>
      <c r="AB118" s="302">
        <v>7960</v>
      </c>
      <c r="AC118" s="302"/>
      <c r="AD118" s="302"/>
      <c r="AE118" s="292"/>
      <c r="AF118" s="292"/>
      <c r="AG118" s="292"/>
      <c r="AH118" s="292"/>
      <c r="AI118" s="292"/>
      <c r="AJ118" s="292"/>
      <c r="AK118" s="282"/>
      <c r="AL118" s="282" t="str">
        <f>VLOOKUP(G118,'Planning and Target Times'!$I$2:$J$7,2,0)</f>
        <v>Carbonate</v>
      </c>
      <c r="AM118" s="14">
        <f t="shared" si="41"/>
        <v>-21.795833999999999</v>
      </c>
      <c r="AN118" s="292">
        <v>8.73</v>
      </c>
      <c r="AO118" s="292"/>
      <c r="AP118" s="283">
        <f>VLOOKUP(G118,'Planning and Target Times'!$A$43:$L$47,MATCH(F118&amp;"-"&amp;K118&amp;"-"&amp;L118&amp;"-"&amp;J118,INDEX('Planning and Target Times'!$A$43:$L$47,1,0),0),0)</f>
        <v>300</v>
      </c>
      <c r="AQ118" s="281" t="s">
        <v>88</v>
      </c>
      <c r="AR118" s="281" t="s">
        <v>91</v>
      </c>
      <c r="AS118" s="292" t="s">
        <v>91</v>
      </c>
      <c r="AT118" s="292" t="s">
        <v>91</v>
      </c>
      <c r="AU118" s="292"/>
      <c r="AV118" s="292"/>
      <c r="AW118" s="292"/>
      <c r="AX118" s="281"/>
      <c r="AY118" s="281"/>
      <c r="AZ118" s="281" t="s">
        <v>299</v>
      </c>
      <c r="BA118" s="292"/>
      <c r="BB118" s="292"/>
      <c r="BC118" s="292"/>
      <c r="BD118" s="292"/>
      <c r="BE118" s="292"/>
      <c r="BF118" s="292"/>
      <c r="BG118" s="292"/>
      <c r="BH118" s="292"/>
      <c r="BI118" s="283">
        <v>291849</v>
      </c>
      <c r="BJ118" s="292"/>
      <c r="BK118" s="302">
        <f>COUNT(P$2:P118)</f>
        <v>117</v>
      </c>
      <c r="BL118" s="302">
        <f>SUMPRODUCT(--(YEAR(P$2:P118)=YEAR(P118)))</f>
        <v>23</v>
      </c>
      <c r="BM118" s="302">
        <f t="shared" si="42"/>
        <v>10</v>
      </c>
      <c r="BN118" s="15">
        <f t="shared" si="43"/>
        <v>55.243753266667149</v>
      </c>
      <c r="BO118" s="292"/>
      <c r="BP118" s="292"/>
      <c r="BQ118" s="464"/>
      <c r="BR118" s="464"/>
      <c r="BS118" s="464"/>
      <c r="BT118" s="464">
        <v>10758.279211469524</v>
      </c>
      <c r="BU118" s="464">
        <v>8750.336917562714</v>
      </c>
      <c r="BV118" s="464">
        <v>11654.222478238609</v>
      </c>
      <c r="BW118" s="464" t="s">
        <v>1879</v>
      </c>
      <c r="BX118" s="469">
        <v>41791</v>
      </c>
      <c r="BZ118" s="472">
        <f>BT118/Q118</f>
        <v>416.11395283334701</v>
      </c>
    </row>
    <row r="119" spans="1:78" x14ac:dyDescent="0.25">
      <c r="A119" s="292" t="s">
        <v>450</v>
      </c>
      <c r="B119" s="281" t="s">
        <v>451</v>
      </c>
      <c r="C119" s="302" t="s">
        <v>567</v>
      </c>
      <c r="D119" s="529" t="s">
        <v>2120</v>
      </c>
      <c r="E119" s="281">
        <v>2</v>
      </c>
      <c r="F119" s="281" t="s">
        <v>11</v>
      </c>
      <c r="G119" s="281" t="s">
        <v>17</v>
      </c>
      <c r="H119" s="281" t="s">
        <v>31</v>
      </c>
      <c r="I119" s="281" t="s">
        <v>16</v>
      </c>
      <c r="J119" s="281" t="s">
        <v>34</v>
      </c>
      <c r="K119" s="281" t="s">
        <v>18</v>
      </c>
      <c r="L119" s="281" t="s">
        <v>1410</v>
      </c>
      <c r="M119" s="8" t="s">
        <v>59</v>
      </c>
      <c r="N119" s="281">
        <v>0</v>
      </c>
      <c r="O119" s="13">
        <f t="shared" si="38"/>
        <v>41787.375</v>
      </c>
      <c r="P119" s="284">
        <v>41813</v>
      </c>
      <c r="Q119" s="292">
        <v>25.625</v>
      </c>
      <c r="R119" s="334">
        <f>IF(ISERROR(VLOOKUP(G119,'Planning and Target Times'!$L$1:$AJ$6,MATCH(K119&amp;"_"&amp;L119&amp;"_"&amp;J119,INDEX('Planning and Target Times'!$L$1:$AJ$6,1,0),0),0)+5),"",(VLOOKUP(G119,'Planning and Target Times'!$L$1:$AJ$6,MATCH(K119&amp;"_"&amp;L119&amp;"_"&amp;J119,INDEX('Planning and Target Times'!$L$1:$AJ$6,1,0),0),0)+5))</f>
        <v>54</v>
      </c>
      <c r="S119" s="420">
        <f t="shared" si="39"/>
        <v>49</v>
      </c>
      <c r="T119" s="392">
        <f>VLOOKUP(G119,'Planning and Target Times'!$A$7:$G$12,MATCH(K119&amp;"-"&amp;L119&amp;"-"&amp;J119,INDEX('Planning and Target Times'!$A$7:$G$12,1,0),0),0)</f>
        <v>25</v>
      </c>
      <c r="U119" s="292">
        <v>2</v>
      </c>
      <c r="V119" s="292">
        <f t="shared" si="30"/>
        <v>27.625</v>
      </c>
      <c r="W119" s="292">
        <v>3722</v>
      </c>
      <c r="X119" s="286" t="str">
        <f t="shared" si="40"/>
        <v>MA</v>
      </c>
      <c r="Y119" s="302">
        <v>11955</v>
      </c>
      <c r="Z119" s="302"/>
      <c r="AA119" s="302">
        <v>7105</v>
      </c>
      <c r="AB119" s="302">
        <v>8220</v>
      </c>
      <c r="AC119" s="302"/>
      <c r="AD119" s="302"/>
      <c r="AE119" s="292"/>
      <c r="AF119" s="292"/>
      <c r="AG119" s="292"/>
      <c r="AH119" s="292"/>
      <c r="AI119" s="292"/>
      <c r="AJ119" s="292"/>
      <c r="AK119" s="282"/>
      <c r="AL119" s="282" t="str">
        <f>VLOOKUP(G119,'Planning and Target Times'!$I$2:$J$7,2,0)</f>
        <v>Carbonate</v>
      </c>
      <c r="AM119" s="14">
        <f t="shared" si="41"/>
        <v>-26.375</v>
      </c>
      <c r="AN119" s="292">
        <v>4.9800000000000004</v>
      </c>
      <c r="AO119" s="292"/>
      <c r="AP119" s="283">
        <f>VLOOKUP(G119,'Planning and Target Times'!$A$43:$L$47,MATCH(F119&amp;"-"&amp;K119&amp;"-"&amp;L119&amp;"-"&amp;J119,INDEX('Planning and Target Times'!$A$43:$L$47,1,0),0),0)</f>
        <v>300</v>
      </c>
      <c r="AQ119" s="281" t="s">
        <v>88</v>
      </c>
      <c r="AR119" s="281" t="s">
        <v>91</v>
      </c>
      <c r="AS119" s="292" t="s">
        <v>91</v>
      </c>
      <c r="AT119" s="292" t="s">
        <v>91</v>
      </c>
      <c r="AU119" s="292"/>
      <c r="AV119" s="292"/>
      <c r="AW119" s="292"/>
      <c r="AX119" s="281"/>
      <c r="AY119" s="281"/>
      <c r="AZ119" s="281" t="s">
        <v>299</v>
      </c>
      <c r="BA119" s="292"/>
      <c r="BB119" s="292"/>
      <c r="BC119" s="292"/>
      <c r="BD119" s="292"/>
      <c r="BE119" s="292"/>
      <c r="BF119" s="292"/>
      <c r="BG119" s="292"/>
      <c r="BH119" s="292"/>
      <c r="BI119" s="283">
        <v>291626</v>
      </c>
      <c r="BJ119" s="292"/>
      <c r="BK119" s="302">
        <f>COUNT(P$2:P119)</f>
        <v>118</v>
      </c>
      <c r="BL119" s="302">
        <f>SUMPRODUCT(--(YEAR(P$2:P119)=YEAR(P119)))</f>
        <v>24</v>
      </c>
      <c r="BM119" s="302">
        <f t="shared" si="42"/>
        <v>11</v>
      </c>
      <c r="BN119" s="15">
        <f t="shared" si="43"/>
        <v>54.206253266667147</v>
      </c>
      <c r="BO119" s="292"/>
      <c r="BP119" s="292"/>
      <c r="BQ119" s="464"/>
      <c r="BR119" s="464"/>
      <c r="BS119" s="464"/>
      <c r="BT119" s="464">
        <v>6622.4967741935507</v>
      </c>
      <c r="BU119" s="464">
        <v>8083.4607526881728</v>
      </c>
      <c r="BV119" s="464">
        <v>6426.5663454824735</v>
      </c>
      <c r="BW119" s="464" t="s">
        <v>1879</v>
      </c>
      <c r="BX119" s="469">
        <v>41852</v>
      </c>
      <c r="BZ119" s="472">
        <f>BT119/Q119</f>
        <v>258.4388985051142</v>
      </c>
    </row>
    <row r="120" spans="1:78" x14ac:dyDescent="0.25">
      <c r="A120" s="281" t="s">
        <v>428</v>
      </c>
      <c r="B120" s="384" t="s">
        <v>448</v>
      </c>
      <c r="C120" s="302" t="s">
        <v>568</v>
      </c>
      <c r="D120" s="529" t="s">
        <v>2121</v>
      </c>
      <c r="E120" s="281">
        <v>5</v>
      </c>
      <c r="F120" s="281" t="s">
        <v>11</v>
      </c>
      <c r="G120" s="281" t="s">
        <v>17</v>
      </c>
      <c r="H120" s="281" t="s">
        <v>19</v>
      </c>
      <c r="I120" s="281" t="s">
        <v>20</v>
      </c>
      <c r="J120" s="281" t="s">
        <v>34</v>
      </c>
      <c r="K120" s="281" t="s">
        <v>18</v>
      </c>
      <c r="L120" s="281" t="s">
        <v>1410</v>
      </c>
      <c r="M120" s="8" t="s">
        <v>59</v>
      </c>
      <c r="N120" s="281">
        <v>0</v>
      </c>
      <c r="O120" s="13">
        <f t="shared" si="38"/>
        <v>41785.625</v>
      </c>
      <c r="P120" s="284">
        <v>41817</v>
      </c>
      <c r="Q120" s="292">
        <v>31.375</v>
      </c>
      <c r="R120" s="334">
        <f>IF(ISERROR(VLOOKUP(G120,'Planning and Target Times'!$L$1:$AJ$6,MATCH(K120&amp;"_"&amp;L120&amp;"_"&amp;J120,INDEX('Planning and Target Times'!$L$1:$AJ$6,1,0),0),0)+5),"",(VLOOKUP(G120,'Planning and Target Times'!$L$1:$AJ$6,MATCH(K120&amp;"_"&amp;L120&amp;"_"&amp;J120,INDEX('Planning and Target Times'!$L$1:$AJ$6,1,0),0),0)+5))</f>
        <v>54</v>
      </c>
      <c r="S120" s="420">
        <f t="shared" si="39"/>
        <v>49</v>
      </c>
      <c r="T120" s="392">
        <f>VLOOKUP(G120,'Planning and Target Times'!$A$7:$G$12,MATCH(K120&amp;"-"&amp;L120&amp;"-"&amp;J120,INDEX('Planning and Target Times'!$A$7:$G$12,1,0),0),0)</f>
        <v>25</v>
      </c>
      <c r="U120" s="292">
        <v>6.6660000000000004</v>
      </c>
      <c r="V120" s="292">
        <f t="shared" si="30"/>
        <v>38.040999999999997</v>
      </c>
      <c r="W120" s="292">
        <v>3738</v>
      </c>
      <c r="X120" s="286" t="str">
        <f t="shared" si="40"/>
        <v>MA</v>
      </c>
      <c r="Y120" s="302">
        <v>11945</v>
      </c>
      <c r="Z120" s="302"/>
      <c r="AA120" s="302">
        <v>8086</v>
      </c>
      <c r="AB120" s="302">
        <v>8190</v>
      </c>
      <c r="AC120" s="302"/>
      <c r="AD120" s="302"/>
      <c r="AE120" s="292"/>
      <c r="AF120" s="292"/>
      <c r="AG120" s="292"/>
      <c r="AH120" s="292"/>
      <c r="AI120" s="292"/>
      <c r="AJ120" s="292"/>
      <c r="AK120" s="282"/>
      <c r="AL120" s="282" t="str">
        <f>VLOOKUP(G120,'Planning and Target Times'!$I$2:$J$7,2,0)</f>
        <v>Carbonate</v>
      </c>
      <c r="AM120" s="14">
        <f t="shared" si="41"/>
        <v>-15.959000000000003</v>
      </c>
      <c r="AN120" s="292">
        <v>15.72</v>
      </c>
      <c r="AO120" s="292"/>
      <c r="AP120" s="283">
        <f>VLOOKUP(G120,'Planning and Target Times'!$A$43:$L$47,MATCH(F120&amp;"-"&amp;K120&amp;"-"&amp;L120&amp;"-"&amp;J120,INDEX('Planning and Target Times'!$A$43:$L$47,1,0),0),0)</f>
        <v>300</v>
      </c>
      <c r="AQ120" s="281" t="s">
        <v>88</v>
      </c>
      <c r="AR120" s="281" t="s">
        <v>91</v>
      </c>
      <c r="AS120" s="292" t="s">
        <v>91</v>
      </c>
      <c r="AT120" s="292" t="s">
        <v>91</v>
      </c>
      <c r="AU120" s="292"/>
      <c r="AV120" s="292"/>
      <c r="AW120" s="292"/>
      <c r="AX120" s="281"/>
      <c r="AY120" s="281"/>
      <c r="AZ120" s="281" t="s">
        <v>299</v>
      </c>
      <c r="BA120" s="292"/>
      <c r="BB120" s="292"/>
      <c r="BC120" s="292"/>
      <c r="BD120" s="292"/>
      <c r="BE120" s="292"/>
      <c r="BF120" s="292"/>
      <c r="BG120" s="292"/>
      <c r="BH120" s="292"/>
      <c r="BI120" s="283">
        <v>291464</v>
      </c>
      <c r="BJ120" s="292"/>
      <c r="BK120" s="302">
        <f>COUNT(P$2:P120)</f>
        <v>119</v>
      </c>
      <c r="BL120" s="302">
        <f>SUMPRODUCT(--(YEAR(P$2:P120)=YEAR(P120)))</f>
        <v>25</v>
      </c>
      <c r="BM120" s="302">
        <f t="shared" si="42"/>
        <v>12</v>
      </c>
      <c r="BN120" s="15">
        <f t="shared" si="43"/>
        <v>53.591669933333584</v>
      </c>
      <c r="BO120" s="292"/>
      <c r="BP120" s="292"/>
      <c r="BQ120" s="464"/>
      <c r="BR120" s="464"/>
      <c r="BS120" s="464"/>
      <c r="BT120" s="464">
        <v>4973.7333333333336</v>
      </c>
      <c r="BU120" s="464">
        <v>7569.0982078853049</v>
      </c>
      <c r="BV120" s="464">
        <v>5367.0741231438806</v>
      </c>
      <c r="BW120" s="464" t="s">
        <v>1879</v>
      </c>
      <c r="BX120" s="469">
        <v>41821</v>
      </c>
      <c r="BZ120" s="472">
        <f>BT120/Q120</f>
        <v>158.52536520584331</v>
      </c>
    </row>
    <row r="121" spans="1:78" x14ac:dyDescent="0.25">
      <c r="A121" s="281" t="s">
        <v>427</v>
      </c>
      <c r="B121" s="384" t="s">
        <v>444</v>
      </c>
      <c r="C121" s="302" t="s">
        <v>526</v>
      </c>
      <c r="D121" s="529" t="s">
        <v>2122</v>
      </c>
      <c r="E121" s="281">
        <v>5</v>
      </c>
      <c r="F121" s="281" t="s">
        <v>42</v>
      </c>
      <c r="G121" s="281" t="s">
        <v>17</v>
      </c>
      <c r="H121" s="281" t="s">
        <v>23</v>
      </c>
      <c r="I121" s="281" t="s">
        <v>39</v>
      </c>
      <c r="J121" s="281" t="s">
        <v>34</v>
      </c>
      <c r="K121" s="281" t="s">
        <v>18</v>
      </c>
      <c r="L121" s="281" t="s">
        <v>1410</v>
      </c>
      <c r="M121" s="8" t="s">
        <v>59</v>
      </c>
      <c r="N121" s="281">
        <v>0</v>
      </c>
      <c r="O121" s="13">
        <f t="shared" si="38"/>
        <v>41780.125</v>
      </c>
      <c r="P121" s="284">
        <v>41819</v>
      </c>
      <c r="Q121" s="292">
        <v>38.875</v>
      </c>
      <c r="R121" s="334">
        <f>IF(ISERROR(VLOOKUP(G121,'Planning and Target Times'!$L$1:$AJ$6,MATCH(K121&amp;"_"&amp;L121&amp;"_"&amp;J121,INDEX('Planning and Target Times'!$L$1:$AJ$6,1,0),0),0)+5),"",(VLOOKUP(G121,'Planning and Target Times'!$L$1:$AJ$6,MATCH(K121&amp;"_"&amp;L121&amp;"_"&amp;J121,INDEX('Planning and Target Times'!$L$1:$AJ$6,1,0),0),0)+5))</f>
        <v>54</v>
      </c>
      <c r="S121" s="420">
        <f t="shared" si="39"/>
        <v>49</v>
      </c>
      <c r="T121" s="392">
        <f>VLOOKUP(G121,'Planning and Target Times'!$A$7:$G$12,MATCH(K121&amp;"-"&amp;L121&amp;"-"&amp;J121,INDEX('Planning and Target Times'!$A$7:$G$12,1,0),0),0)</f>
        <v>25</v>
      </c>
      <c r="U121" s="292">
        <v>3.4159999999999999</v>
      </c>
      <c r="V121" s="292">
        <f t="shared" si="30"/>
        <v>42.290999999999997</v>
      </c>
      <c r="W121" s="292">
        <v>4162</v>
      </c>
      <c r="X121" s="286" t="str">
        <f t="shared" si="40"/>
        <v>MA</v>
      </c>
      <c r="Y121" s="302">
        <v>12582</v>
      </c>
      <c r="Z121" s="302"/>
      <c r="AA121" s="302">
        <v>6378</v>
      </c>
      <c r="AB121" s="302">
        <v>8400</v>
      </c>
      <c r="AC121" s="302"/>
      <c r="AD121" s="302"/>
      <c r="AE121" s="292"/>
      <c r="AF121" s="292"/>
      <c r="AG121" s="292"/>
      <c r="AH121" s="292"/>
      <c r="AI121" s="292"/>
      <c r="AJ121" s="292"/>
      <c r="AK121" s="282"/>
      <c r="AL121" s="282" t="str">
        <f>VLOOKUP(G121,'Planning and Target Times'!$I$2:$J$7,2,0)</f>
        <v>Carbonate</v>
      </c>
      <c r="AM121" s="14">
        <f t="shared" si="41"/>
        <v>-11.709000000000003</v>
      </c>
      <c r="AN121" s="292">
        <v>12.91</v>
      </c>
      <c r="AO121" s="292"/>
      <c r="AP121" s="283">
        <f>VLOOKUP(G121,'Planning and Target Times'!$A$43:$L$47,MATCH(F121&amp;"-"&amp;K121&amp;"-"&amp;L121&amp;"-"&amp;J121,INDEX('Planning and Target Times'!$A$43:$L$47,1,0),0),0)</f>
        <v>300</v>
      </c>
      <c r="AQ121" s="281" t="s">
        <v>88</v>
      </c>
      <c r="AR121" s="281" t="s">
        <v>91</v>
      </c>
      <c r="AS121" s="292" t="s">
        <v>91</v>
      </c>
      <c r="AT121" s="292" t="s">
        <v>91</v>
      </c>
      <c r="AU121" s="292"/>
      <c r="AV121" s="292"/>
      <c r="AW121" s="292"/>
      <c r="AX121" s="281"/>
      <c r="AY121" s="281"/>
      <c r="AZ121" s="281" t="s">
        <v>299</v>
      </c>
      <c r="BA121" s="292"/>
      <c r="BB121" s="292"/>
      <c r="BC121" s="292"/>
      <c r="BD121" s="292"/>
      <c r="BE121" s="292"/>
      <c r="BF121" s="292"/>
      <c r="BG121" s="292"/>
      <c r="BH121" s="292"/>
      <c r="BI121" s="283">
        <v>291579</v>
      </c>
      <c r="BJ121" s="292"/>
      <c r="BK121" s="302">
        <f>COUNT(P$2:P121)</f>
        <v>120</v>
      </c>
      <c r="BL121" s="302">
        <f>SUMPRODUCT(--(YEAR(P$2:P121)=YEAR(P121)))</f>
        <v>26</v>
      </c>
      <c r="BM121" s="302">
        <f t="shared" si="42"/>
        <v>13</v>
      </c>
      <c r="BN121" s="15">
        <f t="shared" si="43"/>
        <v>52.66666993333358</v>
      </c>
      <c r="BO121" s="292"/>
      <c r="BP121" s="292"/>
      <c r="BQ121" s="464"/>
      <c r="BR121" s="464"/>
      <c r="BS121" s="464"/>
      <c r="BT121" s="464">
        <v>6188.3720430107533</v>
      </c>
      <c r="BU121" s="464">
        <v>6653.6605734767036</v>
      </c>
      <c r="BV121" s="464">
        <v>7833.3625640040946</v>
      </c>
      <c r="BW121" s="464" t="s">
        <v>1879</v>
      </c>
      <c r="BX121" s="469">
        <v>41821</v>
      </c>
      <c r="BZ121" s="472">
        <f>BT121/Q121</f>
        <v>159.18641911281679</v>
      </c>
    </row>
    <row r="122" spans="1:78" ht="15" customHeight="1" x14ac:dyDescent="0.25">
      <c r="A122" s="281" t="s">
        <v>295</v>
      </c>
      <c r="B122" s="281" t="s">
        <v>447</v>
      </c>
      <c r="C122" s="302" t="s">
        <v>548</v>
      </c>
      <c r="D122" s="529" t="s">
        <v>2123</v>
      </c>
      <c r="E122" s="281">
        <v>2</v>
      </c>
      <c r="F122" s="281" t="s">
        <v>11</v>
      </c>
      <c r="G122" s="281" t="s">
        <v>17</v>
      </c>
      <c r="H122" s="281" t="s">
        <v>37</v>
      </c>
      <c r="I122" s="281" t="s">
        <v>16</v>
      </c>
      <c r="J122" s="281" t="s">
        <v>298</v>
      </c>
      <c r="K122" s="281" t="s">
        <v>18</v>
      </c>
      <c r="L122" s="384" t="s">
        <v>1410</v>
      </c>
      <c r="M122" s="384" t="s">
        <v>60</v>
      </c>
      <c r="N122" s="292">
        <v>0</v>
      </c>
      <c r="O122" s="13">
        <f t="shared" si="38"/>
        <v>41766.354169999999</v>
      </c>
      <c r="P122" s="284">
        <v>41820</v>
      </c>
      <c r="Q122" s="292">
        <v>53.645829999999997</v>
      </c>
      <c r="R122" s="334">
        <f>IF(ISERROR(VLOOKUP(G122,'Planning and Target Times'!$L$1:$AJ$6,MATCH(K122&amp;"_"&amp;L122&amp;"_"&amp;J122,INDEX('Planning and Target Times'!$L$1:$AJ$6,1,0),0),0)+5),"",(VLOOKUP(G122,'Planning and Target Times'!$L$1:$AJ$6,MATCH(K122&amp;"_"&amp;L122&amp;"_"&amp;J122,INDEX('Planning and Target Times'!$L$1:$AJ$6,1,0),0),0)+5))</f>
        <v>61</v>
      </c>
      <c r="S122" s="420">
        <f t="shared" si="39"/>
        <v>56</v>
      </c>
      <c r="T122" s="392">
        <f>VLOOKUP(G122,'Planning and Target Times'!$A$7:$G$12,MATCH(K122&amp;"-"&amp;L122&amp;"-"&amp;J122,INDEX('Planning and Target Times'!$A$7:$G$12,1,0),0),0)</f>
        <v>27</v>
      </c>
      <c r="U122" s="292">
        <f>44.5/24</f>
        <v>1.8541666666666667</v>
      </c>
      <c r="V122" s="14">
        <f t="shared" si="30"/>
        <v>55.499996666666661</v>
      </c>
      <c r="W122" s="292">
        <v>6371</v>
      </c>
      <c r="X122" s="286" t="str">
        <f t="shared" si="40"/>
        <v>MA</v>
      </c>
      <c r="Y122" s="302">
        <v>14541</v>
      </c>
      <c r="Z122" s="302"/>
      <c r="AA122" s="302">
        <v>6045</v>
      </c>
      <c r="AB122" s="302">
        <v>8170</v>
      </c>
      <c r="AC122" s="302"/>
      <c r="AD122" s="302">
        <v>14521</v>
      </c>
      <c r="AE122" s="292"/>
      <c r="AF122" s="292"/>
      <c r="AG122" s="292"/>
      <c r="AH122" s="292"/>
      <c r="AI122" s="292"/>
      <c r="AJ122" s="292"/>
      <c r="AK122" s="282">
        <f>IF(ISERROR(VLOOKUP(G122,'Planning and Target Times'!$B$106:$D$110,MATCH(F122,INDEX('Planning and Target Times'!$B$106:$D$110,1,0),0),0)),"",(VLOOKUP(G122,'Planning and Target Times'!$B$106:$D$110,MATCH(F122,INDEX('Planning and Target Times'!$B$106:$D$110,1,0),0),0)))</f>
        <v>740</v>
      </c>
      <c r="AL122" s="282" t="str">
        <f>VLOOKUP(G122,'Planning and Target Times'!$I$2:$J$7,2,0)</f>
        <v>Carbonate</v>
      </c>
      <c r="AM122" s="14">
        <f t="shared" si="41"/>
        <v>-5.5000033333333391</v>
      </c>
      <c r="AN122" s="292">
        <v>13.33</v>
      </c>
      <c r="AO122" s="14" t="s">
        <v>91</v>
      </c>
      <c r="AP122" s="283">
        <f>VLOOKUP(G122,'Planning and Target Times'!$A$43:$L$47,MATCH(F122&amp;"-"&amp;K122&amp;"-"&amp;L122&amp;"-"&amp;J122,INDEX('Planning and Target Times'!$A$43:$L$47,1,0),0),0)</f>
        <v>20</v>
      </c>
      <c r="AQ122" s="281" t="s">
        <v>83</v>
      </c>
      <c r="AR122" s="281">
        <v>1</v>
      </c>
      <c r="AS122" s="292" t="s">
        <v>10</v>
      </c>
      <c r="AT122" s="292" t="s">
        <v>39</v>
      </c>
      <c r="AU122" s="292"/>
      <c r="AV122" s="292"/>
      <c r="AW122" s="292"/>
      <c r="AX122" s="281"/>
      <c r="AY122" s="281"/>
      <c r="AZ122" s="292" t="s">
        <v>299</v>
      </c>
      <c r="BA122" s="292"/>
      <c r="BB122" s="292"/>
      <c r="BC122" s="292"/>
      <c r="BD122" s="292"/>
      <c r="BE122" s="292"/>
      <c r="BF122" s="282">
        <f>(1-BE122/100)*BD122</f>
        <v>0</v>
      </c>
      <c r="BG122" s="282"/>
      <c r="BH122" s="292"/>
      <c r="BI122" s="283">
        <v>291345</v>
      </c>
      <c r="BJ122" s="292"/>
      <c r="BK122" s="302">
        <f>COUNT(P$2:P122)</f>
        <v>121</v>
      </c>
      <c r="BL122" s="302">
        <f>SUMPRODUCT(--(YEAR(P$2:P122)=YEAR(P122)))</f>
        <v>27</v>
      </c>
      <c r="BM122" s="302">
        <f t="shared" si="42"/>
        <v>14</v>
      </c>
      <c r="BN122" s="15">
        <f t="shared" si="43"/>
        <v>52.989586266667153</v>
      </c>
      <c r="BO122" s="292"/>
      <c r="BP122" s="292"/>
      <c r="BQ122" s="467">
        <v>1629.8700000000001</v>
      </c>
      <c r="BR122" s="467">
        <v>1626.9483333333335</v>
      </c>
      <c r="BS122" s="467">
        <v>1652.0181818181818</v>
      </c>
      <c r="BT122" s="467"/>
      <c r="BU122" s="467"/>
      <c r="BV122" s="467"/>
      <c r="BW122" s="467" t="s">
        <v>1877</v>
      </c>
      <c r="BX122" s="469">
        <v>41821</v>
      </c>
      <c r="BY122" s="472">
        <f>BQ122/Q122</f>
        <v>30.382044606262969</v>
      </c>
    </row>
    <row r="123" spans="1:78" ht="15" customHeight="1" x14ac:dyDescent="0.25">
      <c r="A123" s="384" t="s">
        <v>291</v>
      </c>
      <c r="B123" s="384" t="s">
        <v>303</v>
      </c>
      <c r="C123" s="302" t="s">
        <v>559</v>
      </c>
      <c r="D123" s="529" t="s">
        <v>2124</v>
      </c>
      <c r="E123" s="384">
        <v>1</v>
      </c>
      <c r="F123" s="281" t="s">
        <v>11</v>
      </c>
      <c r="G123" s="281" t="s">
        <v>744</v>
      </c>
      <c r="H123" s="281" t="s">
        <v>38</v>
      </c>
      <c r="I123" s="281" t="s">
        <v>20</v>
      </c>
      <c r="J123" s="281" t="s">
        <v>298</v>
      </c>
      <c r="K123" s="281" t="s">
        <v>14</v>
      </c>
      <c r="L123" s="384" t="s">
        <v>1410</v>
      </c>
      <c r="M123" s="8" t="s">
        <v>59</v>
      </c>
      <c r="N123" s="292">
        <v>0</v>
      </c>
      <c r="O123" s="13">
        <f t="shared" si="38"/>
        <v>41743.5625</v>
      </c>
      <c r="P123" s="284">
        <v>41823</v>
      </c>
      <c r="Q123" s="292">
        <v>79.4375</v>
      </c>
      <c r="R123" s="334">
        <f>IF(ISERROR(VLOOKUP(G123,'Planning and Target Times'!$L$1:$AJ$6,MATCH(K123&amp;"_"&amp;L123&amp;"_"&amp;J123,INDEX('Planning and Target Times'!$L$1:$AJ$6,1,0),0),0)+5),"",(VLOOKUP(G123,'Planning and Target Times'!$L$1:$AJ$6,MATCH(K123&amp;"_"&amp;L123&amp;"_"&amp;J123,INDEX('Planning and Target Times'!$L$1:$AJ$6,1,0),0),0)+5))</f>
        <v>103</v>
      </c>
      <c r="S123" s="420">
        <f t="shared" si="39"/>
        <v>98</v>
      </c>
      <c r="T123" s="392">
        <f>VLOOKUP(G123,'Planning and Target Times'!$A$7:$G$12,MATCH(K123&amp;"-"&amp;L123&amp;"-"&amp;J123,INDEX('Planning and Target Times'!$A$7:$G$12,1,0),0),0)</f>
        <v>75</v>
      </c>
      <c r="U123" s="292">
        <v>22.332999999999998</v>
      </c>
      <c r="V123" s="14">
        <f t="shared" si="30"/>
        <v>101.7705</v>
      </c>
      <c r="W123" s="292">
        <v>2375</v>
      </c>
      <c r="X123" s="286" t="str">
        <f t="shared" si="40"/>
        <v>ZU/RT</v>
      </c>
      <c r="Y123" s="302">
        <v>13765</v>
      </c>
      <c r="Z123" s="302"/>
      <c r="AA123" s="302">
        <v>9047</v>
      </c>
      <c r="AB123" s="302">
        <v>11380</v>
      </c>
      <c r="AC123" s="302"/>
      <c r="AD123" s="302"/>
      <c r="AE123" s="292"/>
      <c r="AF123" s="292"/>
      <c r="AG123" s="292"/>
      <c r="AH123" s="292"/>
      <c r="AI123" s="292"/>
      <c r="AJ123" s="292"/>
      <c r="AK123" s="282" t="str">
        <f>IF(ISERROR(VLOOKUP(G123,'Planning and Target Times'!$B$106:$D$110,MATCH(F123,INDEX('Planning and Target Times'!$B$106:$D$110,1,0),0),0)),"",(VLOOKUP(G123,'Planning and Target Times'!$B$106:$D$110,MATCH(F123,INDEX('Planning and Target Times'!$B$106:$D$110,1,0),0),0)))</f>
        <v/>
      </c>
      <c r="AL123" s="282" t="str">
        <f>VLOOKUP(G123,'Planning and Target Times'!$I$2:$J$7,2,0)</f>
        <v>Sandstone</v>
      </c>
      <c r="AM123" s="14">
        <f t="shared" si="41"/>
        <v>-1.2295000000000016</v>
      </c>
      <c r="AN123" s="292">
        <v>15.52</v>
      </c>
      <c r="AO123" s="14" t="s">
        <v>91</v>
      </c>
      <c r="AP123" s="283" t="e">
        <f>VLOOKUP(G123,'Planning and Target Times'!$A$43:$L$47,MATCH(F123&amp;"-"&amp;K123&amp;"-"&amp;L123&amp;"-"&amp;J123,INDEX('Planning and Target Times'!$A$43:$L$47,1,0),0),0)</f>
        <v>#N/A</v>
      </c>
      <c r="AQ123" s="281" t="s">
        <v>83</v>
      </c>
      <c r="AR123" s="281">
        <v>1</v>
      </c>
      <c r="AS123" s="292" t="s">
        <v>10</v>
      </c>
      <c r="AT123" s="292"/>
      <c r="AU123" s="292"/>
      <c r="AV123" s="292"/>
      <c r="AW123" s="292"/>
      <c r="AX123" s="281"/>
      <c r="AY123" s="281"/>
      <c r="AZ123" s="292" t="s">
        <v>299</v>
      </c>
      <c r="BA123" s="292"/>
      <c r="BB123" s="292"/>
      <c r="BC123" s="292"/>
      <c r="BD123" s="292"/>
      <c r="BE123" s="292"/>
      <c r="BF123" s="282">
        <f>(1-BE123/100)*BD123</f>
        <v>0</v>
      </c>
      <c r="BG123" s="282"/>
      <c r="BH123" s="292"/>
      <c r="BI123" s="283">
        <v>291368</v>
      </c>
      <c r="BJ123" s="292"/>
      <c r="BK123" s="302">
        <f>COUNT(P$2:P123)</f>
        <v>122</v>
      </c>
      <c r="BL123" s="302">
        <f>SUMPRODUCT(--(YEAR(P$2:P123)=YEAR(P123)))</f>
        <v>28</v>
      </c>
      <c r="BM123" s="302">
        <f t="shared" si="42"/>
        <v>15</v>
      </c>
      <c r="BN123" s="15">
        <f t="shared" si="43"/>
        <v>55.410419599999997</v>
      </c>
      <c r="BO123" s="292"/>
      <c r="BP123" s="292"/>
      <c r="BQ123" s="467">
        <v>938.06</v>
      </c>
      <c r="BR123" s="467">
        <v>883.15666666666675</v>
      </c>
      <c r="BS123" s="467">
        <v>905.64200000000005</v>
      </c>
      <c r="BT123" s="467"/>
      <c r="BU123" s="467"/>
      <c r="BV123" s="467"/>
      <c r="BW123" s="467" t="s">
        <v>1877</v>
      </c>
      <c r="BX123" s="469">
        <v>41852</v>
      </c>
      <c r="BY123" s="472">
        <f>BQ123/Q123</f>
        <v>11.808780487804878</v>
      </c>
    </row>
    <row r="124" spans="1:78" ht="15" customHeight="1" x14ac:dyDescent="0.25">
      <c r="A124" s="31" t="s">
        <v>296</v>
      </c>
      <c r="B124" s="281" t="s">
        <v>446</v>
      </c>
      <c r="C124" s="302" t="s">
        <v>569</v>
      </c>
      <c r="D124" s="529" t="s">
        <v>2125</v>
      </c>
      <c r="E124" s="281">
        <v>3</v>
      </c>
      <c r="F124" s="281" t="s">
        <v>11</v>
      </c>
      <c r="G124" s="281" t="s">
        <v>17</v>
      </c>
      <c r="H124" s="281" t="s">
        <v>79</v>
      </c>
      <c r="I124" s="281" t="s">
        <v>16</v>
      </c>
      <c r="J124" s="281" t="s">
        <v>298</v>
      </c>
      <c r="K124" s="281" t="s">
        <v>18</v>
      </c>
      <c r="L124" s="384" t="s">
        <v>1410</v>
      </c>
      <c r="M124" s="384" t="s">
        <v>61</v>
      </c>
      <c r="N124" s="292">
        <v>0</v>
      </c>
      <c r="O124" s="13">
        <f t="shared" si="38"/>
        <v>41779.1</v>
      </c>
      <c r="P124" s="284">
        <v>41825</v>
      </c>
      <c r="Q124" s="292">
        <v>45.9</v>
      </c>
      <c r="R124" s="334">
        <f>IF(ISERROR(VLOOKUP(G124,'Planning and Target Times'!$L$1:$AJ$6,MATCH(K124&amp;"_"&amp;L124&amp;"_"&amp;J124,INDEX('Planning and Target Times'!$L$1:$AJ$6,1,0),0),0)+5),"",(VLOOKUP(G124,'Planning and Target Times'!$L$1:$AJ$6,MATCH(K124&amp;"_"&amp;L124&amp;"_"&amp;J124,INDEX('Planning and Target Times'!$L$1:$AJ$6,1,0),0),0)+5))</f>
        <v>61</v>
      </c>
      <c r="S124" s="420">
        <f t="shared" si="39"/>
        <v>56</v>
      </c>
      <c r="T124" s="392">
        <f>VLOOKUP(G124,'Planning and Target Times'!$A$7:$G$12,MATCH(K124&amp;"-"&amp;L124&amp;"-"&amp;J124,INDEX('Planning and Target Times'!$A$7:$G$12,1,0),0),0)</f>
        <v>27</v>
      </c>
      <c r="U124" s="292">
        <v>16.707999999999998</v>
      </c>
      <c r="V124" s="14">
        <f t="shared" si="30"/>
        <v>62.607999999999997</v>
      </c>
      <c r="W124" s="19">
        <f t="shared" ref="W124:W155" si="44">IF(AB124="",0,Y124-AB124)</f>
        <v>4327</v>
      </c>
      <c r="X124" s="286" t="str">
        <f t="shared" si="40"/>
        <v>MA</v>
      </c>
      <c r="Y124" s="302">
        <v>12901</v>
      </c>
      <c r="Z124" s="302"/>
      <c r="AA124" s="302">
        <v>6140</v>
      </c>
      <c r="AB124" s="302">
        <v>8574</v>
      </c>
      <c r="AC124" s="302">
        <v>12901</v>
      </c>
      <c r="AD124" s="302"/>
      <c r="AE124" s="292"/>
      <c r="AF124" s="292"/>
      <c r="AG124" s="292"/>
      <c r="AH124" s="292"/>
      <c r="AI124" s="292"/>
      <c r="AJ124" s="292"/>
      <c r="AK124" s="282">
        <f>IF(ISERROR(VLOOKUP(G124,'Planning and Target Times'!$B$106:$D$110,MATCH(F124,INDEX('Planning and Target Times'!$B$106:$D$110,1,0),0),0)),"",(VLOOKUP(G124,'Planning and Target Times'!$B$106:$D$110,MATCH(F124,INDEX('Planning and Target Times'!$B$106:$D$110,1,0),0),0)))</f>
        <v>740</v>
      </c>
      <c r="AL124" s="282" t="str">
        <f>VLOOKUP(G124,'Planning and Target Times'!$I$2:$J$7,2,0)</f>
        <v>Carbonate</v>
      </c>
      <c r="AM124" s="14">
        <f t="shared" si="41"/>
        <v>1.607999999999997</v>
      </c>
      <c r="AN124" s="292">
        <v>8.4</v>
      </c>
      <c r="AO124" s="14" t="s">
        <v>91</v>
      </c>
      <c r="AP124" s="283">
        <f>VLOOKUP(G124,'Planning and Target Times'!$A$43:$L$47,MATCH(F124&amp;"-"&amp;K124&amp;"-"&amp;L124&amp;"-"&amp;J124,INDEX('Planning and Target Times'!$A$43:$L$47,1,0),0),0)</f>
        <v>20</v>
      </c>
      <c r="AQ124" s="281" t="s">
        <v>83</v>
      </c>
      <c r="AR124" s="281">
        <v>1</v>
      </c>
      <c r="AS124" s="292" t="s">
        <v>10</v>
      </c>
      <c r="AT124" s="292" t="s">
        <v>24</v>
      </c>
      <c r="AU124" s="292"/>
      <c r="AV124" s="292"/>
      <c r="AW124" s="292"/>
      <c r="AX124" s="281"/>
      <c r="AY124" s="281"/>
      <c r="AZ124" s="292" t="s">
        <v>299</v>
      </c>
      <c r="BA124" s="292"/>
      <c r="BB124" s="292"/>
      <c r="BC124" s="292"/>
      <c r="BD124" s="292"/>
      <c r="BE124" s="292"/>
      <c r="BF124" s="282">
        <f>(1-BE124/100)*BD124</f>
        <v>0</v>
      </c>
      <c r="BG124" s="282"/>
      <c r="BH124" s="292"/>
      <c r="BI124" s="283">
        <v>291343</v>
      </c>
      <c r="BJ124" s="292"/>
      <c r="BK124" s="302">
        <f>COUNT(P$2:P124)</f>
        <v>123</v>
      </c>
      <c r="BL124" s="302">
        <f>SUMPRODUCT(--(YEAR(P$2:P124)=YEAR(P124)))</f>
        <v>29</v>
      </c>
      <c r="BM124" s="302">
        <f t="shared" si="42"/>
        <v>16</v>
      </c>
      <c r="BN124" s="15">
        <f t="shared" si="43"/>
        <v>55.662919599999995</v>
      </c>
      <c r="BO124" s="292"/>
      <c r="BP124" s="292"/>
      <c r="BQ124" s="467">
        <v>1178.6500000000001</v>
      </c>
      <c r="BR124" s="467">
        <v>1073.7516666666668</v>
      </c>
      <c r="BS124" s="467">
        <v>1027.3781818181819</v>
      </c>
      <c r="BT124" s="467"/>
      <c r="BU124" s="467"/>
      <c r="BV124" s="467"/>
      <c r="BW124" s="467" t="s">
        <v>1877</v>
      </c>
      <c r="BX124" s="469">
        <v>41821</v>
      </c>
      <c r="BY124" s="472">
        <f>BQ124/Q124</f>
        <v>25.678649237472769</v>
      </c>
    </row>
    <row r="125" spans="1:78" x14ac:dyDescent="0.25">
      <c r="A125" s="292" t="s">
        <v>479</v>
      </c>
      <c r="B125" s="281" t="s">
        <v>480</v>
      </c>
      <c r="C125" s="302" t="s">
        <v>570</v>
      </c>
      <c r="D125" s="529" t="s">
        <v>2126</v>
      </c>
      <c r="E125" s="281">
        <v>2</v>
      </c>
      <c r="F125" s="281" t="s">
        <v>11</v>
      </c>
      <c r="G125" s="281" t="s">
        <v>17</v>
      </c>
      <c r="H125" s="281" t="s">
        <v>37</v>
      </c>
      <c r="I125" s="281" t="s">
        <v>20</v>
      </c>
      <c r="J125" s="281" t="s">
        <v>34</v>
      </c>
      <c r="K125" s="281" t="s">
        <v>18</v>
      </c>
      <c r="L125" s="384" t="s">
        <v>1410</v>
      </c>
      <c r="M125" s="384" t="s">
        <v>60</v>
      </c>
      <c r="N125" s="378">
        <v>0</v>
      </c>
      <c r="O125" s="13">
        <f t="shared" si="38"/>
        <v>41822.875</v>
      </c>
      <c r="P125" s="284">
        <v>41846</v>
      </c>
      <c r="Q125" s="292">
        <v>23.125</v>
      </c>
      <c r="R125" s="334">
        <f>IF(ISERROR(VLOOKUP(G125,'Planning and Target Times'!$L$1:$AJ$6,MATCH(K125&amp;"_"&amp;L125&amp;"_"&amp;J125,INDEX('Planning and Target Times'!$L$1:$AJ$6,1,0),0),0)+5),"",(VLOOKUP(G125,'Planning and Target Times'!$L$1:$AJ$6,MATCH(K125&amp;"_"&amp;L125&amp;"_"&amp;J125,INDEX('Planning and Target Times'!$L$1:$AJ$6,1,0),0),0)+5))</f>
        <v>54</v>
      </c>
      <c r="S125" s="420">
        <f t="shared" si="39"/>
        <v>49</v>
      </c>
      <c r="T125" s="392">
        <f>VLOOKUP(G125,'Planning and Target Times'!$A$7:$G$12,MATCH(K125&amp;"-"&amp;L125&amp;"-"&amp;J125,INDEX('Planning and Target Times'!$A$7:$G$12,1,0),0),0)</f>
        <v>25</v>
      </c>
      <c r="U125" s="292">
        <f>59/24</f>
        <v>2.4583333333333335</v>
      </c>
      <c r="V125" s="14">
        <f t="shared" si="30"/>
        <v>25.583333333333332</v>
      </c>
      <c r="W125" s="292">
        <f t="shared" si="44"/>
        <v>3514</v>
      </c>
      <c r="X125" s="286" t="str">
        <f t="shared" si="40"/>
        <v>MA</v>
      </c>
      <c r="Y125" s="302">
        <v>11911</v>
      </c>
      <c r="Z125" s="302">
        <v>6120</v>
      </c>
      <c r="AA125" s="302">
        <v>6361</v>
      </c>
      <c r="AB125" s="302">
        <v>8397</v>
      </c>
      <c r="AC125" s="302"/>
      <c r="AD125" s="302"/>
      <c r="AE125" s="292"/>
      <c r="AF125" s="292"/>
      <c r="AG125" s="292"/>
      <c r="AH125" s="292"/>
      <c r="AI125" s="292"/>
      <c r="AJ125" s="292"/>
      <c r="AK125" s="282"/>
      <c r="AL125" s="282" t="str">
        <f>VLOOKUP(G125,'Planning and Target Times'!$I$2:$J$7,2,0)</f>
        <v>Carbonate</v>
      </c>
      <c r="AM125" s="14">
        <f t="shared" si="41"/>
        <v>-28.416666666666668</v>
      </c>
      <c r="AN125" s="292">
        <v>0.57003300000000001</v>
      </c>
      <c r="AO125" s="292"/>
      <c r="AP125" s="283">
        <f>VLOOKUP(G125,'Planning and Target Times'!$A$43:$L$47,MATCH(F125&amp;"-"&amp;K125&amp;"-"&amp;L125&amp;"-"&amp;J125,INDEX('Planning and Target Times'!$A$43:$L$47,1,0),0),0)</f>
        <v>300</v>
      </c>
      <c r="AQ125" s="281"/>
      <c r="AR125" s="281"/>
      <c r="AS125" s="292"/>
      <c r="AT125" s="292"/>
      <c r="AU125" s="292"/>
      <c r="AV125" s="292"/>
      <c r="AW125" s="292"/>
      <c r="AX125" s="281"/>
      <c r="AY125" s="281"/>
      <c r="AZ125" s="281" t="s">
        <v>299</v>
      </c>
      <c r="BA125" s="292"/>
      <c r="BB125" s="292"/>
      <c r="BC125" s="292"/>
      <c r="BD125" s="292"/>
      <c r="BE125" s="292"/>
      <c r="BF125" s="292"/>
      <c r="BG125" s="292"/>
      <c r="BH125" s="292"/>
      <c r="BI125" s="283">
        <v>291466</v>
      </c>
      <c r="BJ125" s="292"/>
      <c r="BK125" s="302">
        <f>COUNT(P$2:P125)</f>
        <v>124</v>
      </c>
      <c r="BL125" s="302">
        <f>SUMPRODUCT(--(YEAR(P$2:P125)=YEAR(P125)))</f>
        <v>30</v>
      </c>
      <c r="BM125" s="302">
        <f t="shared" si="42"/>
        <v>17</v>
      </c>
      <c r="BN125" s="15">
        <f t="shared" si="43"/>
        <v>52.637919599999989</v>
      </c>
      <c r="BO125" s="292"/>
      <c r="BP125" s="292"/>
      <c r="BQ125" s="464"/>
      <c r="BR125" s="464"/>
      <c r="BS125" s="464"/>
      <c r="BT125" s="464">
        <v>3384.6272401433671</v>
      </c>
      <c r="BU125" s="464">
        <v>4330.1365847414218</v>
      </c>
      <c r="BV125" s="464">
        <v>3914.7881874039922</v>
      </c>
      <c r="BW125" s="464" t="s">
        <v>1879</v>
      </c>
      <c r="BX125" s="469">
        <v>41821</v>
      </c>
      <c r="BZ125" s="472">
        <f>BT125/Q125</f>
        <v>146.36225903322668</v>
      </c>
    </row>
    <row r="126" spans="1:78" x14ac:dyDescent="0.25">
      <c r="A126" s="292" t="s">
        <v>477</v>
      </c>
      <c r="B126" s="281" t="s">
        <v>478</v>
      </c>
      <c r="C126" s="302" t="s">
        <v>571</v>
      </c>
      <c r="D126" s="529" t="s">
        <v>2127</v>
      </c>
      <c r="E126" s="281">
        <v>2</v>
      </c>
      <c r="F126" s="281" t="s">
        <v>11</v>
      </c>
      <c r="G126" s="281" t="s">
        <v>17</v>
      </c>
      <c r="H126" s="281" t="s">
        <v>31</v>
      </c>
      <c r="I126" s="384" t="s">
        <v>24</v>
      </c>
      <c r="J126" s="281" t="s">
        <v>34</v>
      </c>
      <c r="K126" s="281" t="s">
        <v>18</v>
      </c>
      <c r="L126" s="384" t="s">
        <v>1410</v>
      </c>
      <c r="M126" s="8" t="s">
        <v>59</v>
      </c>
      <c r="N126" s="281"/>
      <c r="O126" s="13">
        <f t="shared" si="38"/>
        <v>41815.208334000003</v>
      </c>
      <c r="P126" s="284">
        <v>41848</v>
      </c>
      <c r="Q126" s="292">
        <v>32.791665999999999</v>
      </c>
      <c r="R126" s="334">
        <f>IF(ISERROR(VLOOKUP(G126,'Planning and Target Times'!$L$1:$AJ$6,MATCH(K126&amp;"_"&amp;L126&amp;"_"&amp;J126,INDEX('Planning and Target Times'!$L$1:$AJ$6,1,0),0),0)+5),"",(VLOOKUP(G126,'Planning and Target Times'!$L$1:$AJ$6,MATCH(K126&amp;"_"&amp;L126&amp;"_"&amp;J126,INDEX('Planning and Target Times'!$L$1:$AJ$6,1,0),0),0)+5))</f>
        <v>54</v>
      </c>
      <c r="S126" s="420">
        <f t="shared" si="39"/>
        <v>49</v>
      </c>
      <c r="T126" s="392">
        <f>VLOOKUP(G126,'Planning and Target Times'!$A$7:$G$12,MATCH(K126&amp;"-"&amp;L126&amp;"-"&amp;J126,INDEX('Planning and Target Times'!$A$7:$G$12,1,0),0),0)</f>
        <v>25</v>
      </c>
      <c r="U126" s="292">
        <v>2</v>
      </c>
      <c r="V126" s="14">
        <f t="shared" si="30"/>
        <v>34.791665999999999</v>
      </c>
      <c r="W126" s="292">
        <f t="shared" si="44"/>
        <v>6191</v>
      </c>
      <c r="X126" s="286" t="str">
        <f t="shared" si="40"/>
        <v>MA</v>
      </c>
      <c r="Y126" s="302">
        <v>14200</v>
      </c>
      <c r="Z126" s="302">
        <v>6141</v>
      </c>
      <c r="AA126" s="302">
        <v>7256</v>
      </c>
      <c r="AB126" s="302">
        <v>8009</v>
      </c>
      <c r="AC126" s="302"/>
      <c r="AD126" s="302"/>
      <c r="AE126" s="292"/>
      <c r="AF126" s="292"/>
      <c r="AG126" s="292"/>
      <c r="AH126" s="292"/>
      <c r="AI126" s="292"/>
      <c r="AJ126" s="292"/>
      <c r="AK126" s="282"/>
      <c r="AL126" s="282" t="str">
        <f>VLOOKUP(G126,'Planning and Target Times'!$I$2:$J$7,2,0)</f>
        <v>Carbonate</v>
      </c>
      <c r="AM126" s="14">
        <f t="shared" si="41"/>
        <v>-19.208334000000001</v>
      </c>
      <c r="AN126" s="292">
        <v>6.8903540000000003</v>
      </c>
      <c r="AO126" s="292"/>
      <c r="AP126" s="283">
        <f>VLOOKUP(G126,'Planning and Target Times'!$A$43:$L$47,MATCH(F126&amp;"-"&amp;K126&amp;"-"&amp;L126&amp;"-"&amp;J126,INDEX('Planning and Target Times'!$A$43:$L$47,1,0),0),0)</f>
        <v>300</v>
      </c>
      <c r="AQ126" s="281"/>
      <c r="AR126" s="281"/>
      <c r="AS126" s="292"/>
      <c r="AT126" s="292"/>
      <c r="AU126" s="292"/>
      <c r="AV126" s="292"/>
      <c r="AW126" s="292"/>
      <c r="AX126" s="281"/>
      <c r="AY126" s="281"/>
      <c r="AZ126" s="281" t="s">
        <v>299</v>
      </c>
      <c r="BA126" s="292"/>
      <c r="BB126" s="292"/>
      <c r="BC126" s="292"/>
      <c r="BD126" s="292"/>
      <c r="BE126" s="292"/>
      <c r="BF126" s="292"/>
      <c r="BG126" s="292"/>
      <c r="BH126" s="292"/>
      <c r="BI126" s="283">
        <v>291624</v>
      </c>
      <c r="BJ126" s="292"/>
      <c r="BK126" s="302">
        <f>COUNT(P$2:P126)</f>
        <v>125</v>
      </c>
      <c r="BL126" s="302">
        <f>SUMPRODUCT(--(YEAR(P$2:P126)=YEAR(P126)))</f>
        <v>31</v>
      </c>
      <c r="BM126" s="302">
        <f t="shared" si="42"/>
        <v>18</v>
      </c>
      <c r="BN126" s="15">
        <f t="shared" si="43"/>
        <v>52.317086199999991</v>
      </c>
      <c r="BO126" s="292"/>
      <c r="BP126" s="292"/>
      <c r="BQ126" s="464"/>
      <c r="BR126" s="464"/>
      <c r="BS126" s="464"/>
      <c r="BT126" s="464">
        <v>2945.8810035842266</v>
      </c>
      <c r="BU126" s="464">
        <v>3814.1803251408069</v>
      </c>
      <c r="BV126" s="464">
        <v>4070.7192703533015</v>
      </c>
      <c r="BW126" s="464" t="s">
        <v>1879</v>
      </c>
      <c r="BX126" s="469">
        <v>41883</v>
      </c>
      <c r="BZ126" s="472">
        <f>BT126/Q126</f>
        <v>89.836271313089938</v>
      </c>
    </row>
    <row r="127" spans="1:78" x14ac:dyDescent="0.25">
      <c r="A127" s="292" t="s">
        <v>471</v>
      </c>
      <c r="B127" s="281" t="s">
        <v>473</v>
      </c>
      <c r="C127" s="302" t="s">
        <v>547</v>
      </c>
      <c r="D127" s="529" t="s">
        <v>2128</v>
      </c>
      <c r="E127" s="281">
        <v>5</v>
      </c>
      <c r="F127" s="281" t="s">
        <v>11</v>
      </c>
      <c r="G127" s="281" t="s">
        <v>17</v>
      </c>
      <c r="H127" s="281" t="s">
        <v>25</v>
      </c>
      <c r="I127" s="281" t="s">
        <v>20</v>
      </c>
      <c r="J127" s="281" t="s">
        <v>34</v>
      </c>
      <c r="K127" s="281" t="s">
        <v>18</v>
      </c>
      <c r="L127" s="281" t="s">
        <v>1410</v>
      </c>
      <c r="M127" s="384" t="s">
        <v>60</v>
      </c>
      <c r="N127" s="281"/>
      <c r="O127" s="13">
        <f t="shared" si="38"/>
        <v>41815.729169999999</v>
      </c>
      <c r="P127" s="284">
        <v>41856</v>
      </c>
      <c r="Q127" s="292">
        <v>40.270829999999997</v>
      </c>
      <c r="R127" s="334">
        <f>IF(ISERROR(VLOOKUP(G127,'Planning and Target Times'!$L$1:$AJ$6,MATCH(K127&amp;"_"&amp;L127&amp;"_"&amp;J127,INDEX('Planning and Target Times'!$L$1:$AJ$6,1,0),0),0)+5),"",(VLOOKUP(G127,'Planning and Target Times'!$L$1:$AJ$6,MATCH(K127&amp;"_"&amp;L127&amp;"_"&amp;J127,INDEX('Planning and Target Times'!$L$1:$AJ$6,1,0),0),0)+5))</f>
        <v>54</v>
      </c>
      <c r="S127" s="420">
        <f t="shared" si="39"/>
        <v>49</v>
      </c>
      <c r="T127" s="392">
        <f>VLOOKUP(G127,'Planning and Target Times'!$A$7:$G$12,MATCH(K127&amp;"-"&amp;L127&amp;"-"&amp;J127,INDEX('Planning and Target Times'!$A$7:$G$12,1,0),0),0)</f>
        <v>25</v>
      </c>
      <c r="U127" s="292">
        <v>14.333</v>
      </c>
      <c r="V127" s="292">
        <f t="shared" si="30"/>
        <v>54.603829999999995</v>
      </c>
      <c r="W127" s="292">
        <f t="shared" si="44"/>
        <v>7000</v>
      </c>
      <c r="X127" s="286" t="str">
        <f t="shared" si="40"/>
        <v>MA</v>
      </c>
      <c r="Y127" s="302">
        <v>15023</v>
      </c>
      <c r="Z127" s="302"/>
      <c r="AA127" s="302"/>
      <c r="AB127" s="302">
        <v>8023</v>
      </c>
      <c r="AC127" s="302"/>
      <c r="AD127" s="302"/>
      <c r="AE127" s="292"/>
      <c r="AF127" s="292"/>
      <c r="AG127" s="292"/>
      <c r="AH127" s="292"/>
      <c r="AI127" s="292"/>
      <c r="AJ127" s="292"/>
      <c r="AK127" s="282"/>
      <c r="AL127" s="282" t="str">
        <f>VLOOKUP(G127,'Planning and Target Times'!$I$2:$J$7,2,0)</f>
        <v>Carbonate</v>
      </c>
      <c r="AM127" s="14">
        <f t="shared" si="41"/>
        <v>0.60382999999999498</v>
      </c>
      <c r="AN127" s="292">
        <v>15.86</v>
      </c>
      <c r="AO127" s="292"/>
      <c r="AP127" s="283">
        <f>VLOOKUP(G127,'Planning and Target Times'!$A$43:$L$47,MATCH(F127&amp;"-"&amp;K127&amp;"-"&amp;L127&amp;"-"&amp;J127,INDEX('Planning and Target Times'!$A$43:$L$47,1,0),0),0)</f>
        <v>300</v>
      </c>
      <c r="AQ127" s="281" t="s">
        <v>88</v>
      </c>
      <c r="AR127" s="281"/>
      <c r="AS127" s="292"/>
      <c r="AT127" s="292"/>
      <c r="AU127" s="292"/>
      <c r="AV127" s="292"/>
      <c r="AW127" s="292"/>
      <c r="AX127" s="281"/>
      <c r="AY127" s="281"/>
      <c r="AZ127" s="281" t="s">
        <v>299</v>
      </c>
      <c r="BA127" s="292"/>
      <c r="BB127" s="292"/>
      <c r="BC127" s="292"/>
      <c r="BD127" s="292"/>
      <c r="BE127" s="292"/>
      <c r="BF127" s="292"/>
      <c r="BG127" s="292"/>
      <c r="BH127" s="292"/>
      <c r="BI127" s="283">
        <v>292112</v>
      </c>
      <c r="BJ127" s="292"/>
      <c r="BK127" s="302">
        <f>COUNT(P$2:P127)</f>
        <v>126</v>
      </c>
      <c r="BL127" s="302">
        <f>SUMPRODUCT(--(YEAR(P$2:P127)=YEAR(P127)))</f>
        <v>32</v>
      </c>
      <c r="BM127" s="302">
        <f t="shared" si="42"/>
        <v>19</v>
      </c>
      <c r="BN127" s="15">
        <f t="shared" si="43"/>
        <v>39.689999200000003</v>
      </c>
      <c r="BO127" s="292"/>
      <c r="BP127" s="292"/>
      <c r="BQ127" s="464"/>
      <c r="BR127" s="464"/>
      <c r="BS127" s="464"/>
      <c r="BT127" s="464">
        <v>7244.1792114695236</v>
      </c>
      <c r="BU127" s="464">
        <v>11078.829813108045</v>
      </c>
      <c r="BV127" s="464">
        <v>12442.524231950858</v>
      </c>
      <c r="BW127" s="464" t="s">
        <v>1879</v>
      </c>
      <c r="BX127" s="469">
        <v>41883</v>
      </c>
      <c r="BZ127" s="472">
        <f>BT127/Q127</f>
        <v>179.88651367427798</v>
      </c>
    </row>
    <row r="128" spans="1:78" x14ac:dyDescent="0.25">
      <c r="A128" s="282" t="s">
        <v>484</v>
      </c>
      <c r="B128" s="281" t="s">
        <v>488</v>
      </c>
      <c r="C128" s="302" t="s">
        <v>484</v>
      </c>
      <c r="D128" s="529" t="s">
        <v>2129</v>
      </c>
      <c r="E128" s="281">
        <v>5</v>
      </c>
      <c r="F128" s="281" t="s">
        <v>42</v>
      </c>
      <c r="G128" s="281" t="s">
        <v>22</v>
      </c>
      <c r="H128" s="281" t="s">
        <v>19</v>
      </c>
      <c r="I128" s="281" t="s">
        <v>20</v>
      </c>
      <c r="J128" s="281" t="s">
        <v>298</v>
      </c>
      <c r="K128" s="281" t="s">
        <v>14</v>
      </c>
      <c r="L128" s="281" t="s">
        <v>1416</v>
      </c>
      <c r="M128" s="8" t="str">
        <f>VLOOKUP(H128,'Rig Mud Co'!$A$2:$B$17,2,0)</f>
        <v>MI</v>
      </c>
      <c r="N128" s="281"/>
      <c r="O128" s="13">
        <f t="shared" si="38"/>
        <v>41823.584000000003</v>
      </c>
      <c r="P128" s="284">
        <v>41867</v>
      </c>
      <c r="Q128" s="292">
        <v>43.415999999999997</v>
      </c>
      <c r="R128" s="334">
        <f>IF(ISERROR(VLOOKUP(G128,'Planning and Target Times'!$L$1:$AJ$6,MATCH(K128&amp;"_"&amp;L128&amp;"_"&amp;J128,INDEX('Planning and Target Times'!$L$1:$AJ$6,1,0),0),0)+5),"",(VLOOKUP(G128,'Planning and Target Times'!$L$1:$AJ$6,MATCH(K128&amp;"_"&amp;L128&amp;"_"&amp;J128,INDEX('Planning and Target Times'!$L$1:$AJ$6,1,0),0),0)+5))</f>
        <v>75</v>
      </c>
      <c r="S128" s="420">
        <f t="shared" si="39"/>
        <v>70</v>
      </c>
      <c r="T128" s="392">
        <f>VLOOKUP(G128,'Planning and Target Times'!$A$7:$G$12,MATCH(K128&amp;"-"&amp;L128&amp;"-"&amp;J128,INDEX('Planning and Target Times'!$A$7:$G$12,1,0),0),0)</f>
        <v>33</v>
      </c>
      <c r="U128" s="292">
        <v>6.75</v>
      </c>
      <c r="V128" s="292">
        <f t="shared" si="30"/>
        <v>50.165999999999997</v>
      </c>
      <c r="W128" s="292">
        <f t="shared" si="44"/>
        <v>627</v>
      </c>
      <c r="X128" s="286" t="str">
        <f t="shared" si="40"/>
        <v>LB</v>
      </c>
      <c r="Y128" s="302">
        <v>9587</v>
      </c>
      <c r="Z128" s="302"/>
      <c r="AA128" s="302">
        <v>8284</v>
      </c>
      <c r="AB128" s="302">
        <v>8960</v>
      </c>
      <c r="AC128" s="302">
        <v>9562</v>
      </c>
      <c r="AD128" s="302"/>
      <c r="AE128" s="292"/>
      <c r="AF128" s="292"/>
      <c r="AG128" s="292"/>
      <c r="AH128" s="292"/>
      <c r="AI128" s="292"/>
      <c r="AJ128" s="292"/>
      <c r="AK128" s="282">
        <f>IF(ISERROR(VLOOKUP(G128,'Planning and Target Times'!$B$106:$D$110,MATCH(F128,INDEX('Planning and Target Times'!$B$106:$D$110,1,0),0),0)),"",(VLOOKUP(G128,'Planning and Target Times'!$B$106:$D$110,MATCH(F128,INDEX('Planning and Target Times'!$B$106:$D$110,1,0),0),0)))</f>
        <v>900</v>
      </c>
      <c r="AL128" s="282" t="str">
        <f>VLOOKUP(G128,'Planning and Target Times'!$I$2:$J$7,2,0)</f>
        <v>Sandstone</v>
      </c>
      <c r="AM128" s="14">
        <f t="shared" si="41"/>
        <v>-24.834000000000003</v>
      </c>
      <c r="AN128" s="292">
        <v>21.84385</v>
      </c>
      <c r="AO128" s="292"/>
      <c r="AP128" s="283">
        <f>VLOOKUP(G128,'Planning and Target Times'!$A$43:$L$47,MATCH(F128&amp;"-"&amp;K128&amp;"-"&amp;L128&amp;"-"&amp;J128,INDEX('Planning and Target Times'!$A$43:$L$47,1,0),0),0)</f>
        <v>34</v>
      </c>
      <c r="AQ128" s="281"/>
      <c r="AR128" s="281"/>
      <c r="AS128" s="292"/>
      <c r="AT128" s="292"/>
      <c r="AU128" s="292"/>
      <c r="AV128" s="292"/>
      <c r="AW128" s="292"/>
      <c r="AX128" s="281"/>
      <c r="AY128" s="281"/>
      <c r="AZ128" s="281"/>
      <c r="BA128" s="292"/>
      <c r="BB128" s="292"/>
      <c r="BC128" s="292"/>
      <c r="BD128" s="292"/>
      <c r="BE128" s="292"/>
      <c r="BF128" s="292"/>
      <c r="BG128" s="292"/>
      <c r="BH128" s="292"/>
      <c r="BI128" s="283">
        <v>292021</v>
      </c>
      <c r="BJ128" s="292"/>
      <c r="BK128" s="302">
        <f>COUNT(P$2:P128)</f>
        <v>127</v>
      </c>
      <c r="BL128" s="302">
        <f>SUMPRODUCT(--(YEAR(P$2:P128)=YEAR(P128)))</f>
        <v>33</v>
      </c>
      <c r="BM128" s="302">
        <f t="shared" si="42"/>
        <v>20</v>
      </c>
      <c r="BN128" s="15">
        <f t="shared" si="43"/>
        <v>41.4461826</v>
      </c>
      <c r="BO128" s="292"/>
      <c r="BP128" s="292"/>
      <c r="BQ128" s="467">
        <v>855.90666666666675</v>
      </c>
      <c r="BR128" s="467">
        <v>837.4283333333334</v>
      </c>
      <c r="BS128" s="467">
        <v>699.33777777777789</v>
      </c>
      <c r="BT128" s="467"/>
      <c r="BU128" s="467"/>
      <c r="BV128" s="467"/>
      <c r="BW128" s="467" t="s">
        <v>1877</v>
      </c>
      <c r="BX128" s="469">
        <v>41883</v>
      </c>
      <c r="BY128" s="472">
        <f t="shared" ref="BY128:BY134" si="45">BQ128/Q128</f>
        <v>19.714083901480258</v>
      </c>
    </row>
    <row r="129" spans="1:78" x14ac:dyDescent="0.25">
      <c r="A129" s="282" t="s">
        <v>429</v>
      </c>
      <c r="B129" s="281" t="s">
        <v>474</v>
      </c>
      <c r="C129" s="302" t="s">
        <v>572</v>
      </c>
      <c r="D129" s="529" t="s">
        <v>2130</v>
      </c>
      <c r="E129" s="281">
        <v>5</v>
      </c>
      <c r="F129" s="281" t="s">
        <v>42</v>
      </c>
      <c r="G129" s="281" t="s">
        <v>17</v>
      </c>
      <c r="H129" s="281" t="s">
        <v>430</v>
      </c>
      <c r="I129" s="281" t="s">
        <v>20</v>
      </c>
      <c r="J129" s="281" t="s">
        <v>298</v>
      </c>
      <c r="K129" s="281" t="s">
        <v>14</v>
      </c>
      <c r="L129" s="281" t="s">
        <v>1410</v>
      </c>
      <c r="M129" s="8"/>
      <c r="N129" s="281"/>
      <c r="O129" s="13">
        <f t="shared" si="38"/>
        <v>41809.625</v>
      </c>
      <c r="P129" s="284">
        <v>41876</v>
      </c>
      <c r="Q129" s="292">
        <v>66.375</v>
      </c>
      <c r="R129" s="334">
        <f>IF(ISERROR(VLOOKUP(G129,'Planning and Target Times'!$L$1:$AJ$6,MATCH(K129&amp;"_"&amp;L129&amp;"_"&amp;J129,INDEX('Planning and Target Times'!$L$1:$AJ$6,1,0),0),0)+5),"",(VLOOKUP(G129,'Planning and Target Times'!$L$1:$AJ$6,MATCH(K129&amp;"_"&amp;L129&amp;"_"&amp;J129,INDEX('Planning and Target Times'!$L$1:$AJ$6,1,0),0),0)+5))</f>
        <v>75</v>
      </c>
      <c r="S129" s="420">
        <f t="shared" si="39"/>
        <v>70</v>
      </c>
      <c r="T129" s="392">
        <f>VLOOKUP(G129,'Planning and Target Times'!$A$7:$G$12,MATCH(K129&amp;"-"&amp;L129&amp;"-"&amp;J129,INDEX('Planning and Target Times'!$A$7:$G$12,1,0),0),0)</f>
        <v>35</v>
      </c>
      <c r="U129" s="292">
        <v>1.083</v>
      </c>
      <c r="V129" s="292">
        <f t="shared" si="30"/>
        <v>67.457999999999998</v>
      </c>
      <c r="W129" s="292">
        <f t="shared" si="44"/>
        <v>3158</v>
      </c>
      <c r="X129" s="286" t="str">
        <f t="shared" si="40"/>
        <v>MA</v>
      </c>
      <c r="Y129" s="302">
        <v>12048</v>
      </c>
      <c r="Z129" s="302">
        <v>6076</v>
      </c>
      <c r="AA129" s="302">
        <v>7696</v>
      </c>
      <c r="AB129" s="302">
        <v>8890</v>
      </c>
      <c r="AC129" s="302"/>
      <c r="AD129" s="302"/>
      <c r="AE129" s="292"/>
      <c r="AF129" s="292"/>
      <c r="AG129" s="292"/>
      <c r="AH129" s="292"/>
      <c r="AI129" s="292"/>
      <c r="AJ129" s="292"/>
      <c r="AK129" s="282">
        <f>IF(ISERROR(VLOOKUP(G129,'Planning and Target Times'!$B$106:$D$110,MATCH(F129,INDEX('Planning and Target Times'!$B$106:$D$110,1,0),0),0)),"",(VLOOKUP(G129,'Planning and Target Times'!$B$106:$D$110,MATCH(F129,INDEX('Planning and Target Times'!$B$106:$D$110,1,0),0),0)))</f>
        <v>650</v>
      </c>
      <c r="AL129" s="282" t="str">
        <f>VLOOKUP(G129,'Planning and Target Times'!$I$2:$J$7,2,0)</f>
        <v>Carbonate</v>
      </c>
      <c r="AM129" s="14">
        <f t="shared" si="41"/>
        <v>-7.5420000000000016</v>
      </c>
      <c r="AN129" s="292">
        <v>9.8856966326845797</v>
      </c>
      <c r="AO129" s="292"/>
      <c r="AP129" s="283">
        <f>VLOOKUP(G129,'Planning and Target Times'!$A$43:$L$47,MATCH(F129&amp;"-"&amp;K129&amp;"-"&amp;L129&amp;"-"&amp;J129,INDEX('Planning and Target Times'!$A$43:$L$47,1,0),0),0)</f>
        <v>16</v>
      </c>
      <c r="AQ129" s="281" t="s">
        <v>83</v>
      </c>
      <c r="AR129" s="281"/>
      <c r="AS129" s="292"/>
      <c r="AT129" s="292"/>
      <c r="AU129" s="292"/>
      <c r="AV129" s="292"/>
      <c r="AW129" s="292"/>
      <c r="AX129" s="281"/>
      <c r="AY129" s="281"/>
      <c r="AZ129" s="281" t="s">
        <v>299</v>
      </c>
      <c r="BA129" s="292"/>
      <c r="BB129" s="292"/>
      <c r="BC129" s="292"/>
      <c r="BD129" s="292"/>
      <c r="BE129" s="292"/>
      <c r="BF129" s="292"/>
      <c r="BG129" s="292"/>
      <c r="BH129" s="292"/>
      <c r="BI129" s="283">
        <v>292014</v>
      </c>
      <c r="BJ129" s="292"/>
      <c r="BK129" s="302">
        <f>COUNT(P$2:P129)</f>
        <v>128</v>
      </c>
      <c r="BL129" s="302">
        <f>SUMPRODUCT(--(YEAR(P$2:P129)=YEAR(P129)))</f>
        <v>34</v>
      </c>
      <c r="BM129" s="302">
        <f t="shared" si="42"/>
        <v>21</v>
      </c>
      <c r="BN129" s="15">
        <f t="shared" si="43"/>
        <v>45.521182600000003</v>
      </c>
      <c r="BO129" s="292"/>
      <c r="BP129" s="292"/>
      <c r="BQ129" s="467">
        <v>1254.6000000000001</v>
      </c>
      <c r="BR129" s="467">
        <v>1505.7016666666668</v>
      </c>
      <c r="BS129" s="467">
        <v>1610.0700000000002</v>
      </c>
      <c r="BT129" s="467"/>
      <c r="BU129" s="467"/>
      <c r="BV129" s="467"/>
      <c r="BW129" s="467" t="s">
        <v>1877</v>
      </c>
      <c r="BX129" s="469">
        <v>41883</v>
      </c>
      <c r="BY129" s="472">
        <f t="shared" si="45"/>
        <v>18.90169491525424</v>
      </c>
    </row>
    <row r="130" spans="1:78" x14ac:dyDescent="0.25">
      <c r="A130" s="282" t="s">
        <v>470</v>
      </c>
      <c r="B130" s="281" t="s">
        <v>472</v>
      </c>
      <c r="C130" s="302" t="s">
        <v>470</v>
      </c>
      <c r="D130" s="529" t="s">
        <v>2131</v>
      </c>
      <c r="E130" s="281">
        <v>5</v>
      </c>
      <c r="F130" s="281" t="s">
        <v>42</v>
      </c>
      <c r="G130" s="281" t="s">
        <v>29</v>
      </c>
      <c r="H130" s="281" t="s">
        <v>12</v>
      </c>
      <c r="I130" s="281" t="s">
        <v>20</v>
      </c>
      <c r="J130" s="281" t="s">
        <v>298</v>
      </c>
      <c r="K130" s="281" t="s">
        <v>14</v>
      </c>
      <c r="L130" s="281" t="s">
        <v>1416</v>
      </c>
      <c r="M130" s="8" t="str">
        <f>VLOOKUP(H130,'Rig Mud Co'!$A$2:$B$17,2,0)</f>
        <v>Baroid</v>
      </c>
      <c r="N130" s="281"/>
      <c r="O130" s="13">
        <f t="shared" ref="O130:O146" si="46">P130-Q130</f>
        <v>41819.791669999999</v>
      </c>
      <c r="P130" s="284">
        <v>41879</v>
      </c>
      <c r="Q130" s="292">
        <v>59.208329999999997</v>
      </c>
      <c r="R130" s="334">
        <f>IF(ISERROR(VLOOKUP(G130,'Planning and Target Times'!$L$1:$AJ$6,MATCH(K130&amp;"_"&amp;L130&amp;"_"&amp;J130,INDEX('Planning and Target Times'!$L$1:$AJ$6,1,0),0),0)+5),"",(VLOOKUP(G130,'Planning and Target Times'!$L$1:$AJ$6,MATCH(K130&amp;"_"&amp;L130&amp;"_"&amp;J130,INDEX('Planning and Target Times'!$L$1:$AJ$6,1,0),0),0)+5))</f>
        <v>75</v>
      </c>
      <c r="S130" s="420">
        <f t="shared" ref="S130:S161" si="47">IF(ISERROR(R130-5),"",R130-5)</f>
        <v>70</v>
      </c>
      <c r="T130" s="392">
        <f>VLOOKUP(G130,'Planning and Target Times'!$A$7:$G$12,MATCH(K130&amp;"-"&amp;L130&amp;"-"&amp;J130,INDEX('Planning and Target Times'!$A$7:$G$12,1,0),0),0)</f>
        <v>33</v>
      </c>
      <c r="U130" s="292">
        <v>15.9375</v>
      </c>
      <c r="V130" s="292">
        <f t="shared" ref="V130:V193" si="48">Q130+U130</f>
        <v>75.145829999999989</v>
      </c>
      <c r="W130" s="292">
        <f t="shared" si="44"/>
        <v>791</v>
      </c>
      <c r="X130" s="286" t="str">
        <f t="shared" ref="X130:X161" si="49">IF(OR(G130="ZU",G130="RT"),"ZU/RT",G130)</f>
        <v>UB</v>
      </c>
      <c r="Y130" s="302">
        <v>9858</v>
      </c>
      <c r="Z130" s="302"/>
      <c r="AA130" s="302">
        <v>8343</v>
      </c>
      <c r="AB130" s="302">
        <v>9067</v>
      </c>
      <c r="AC130" s="302"/>
      <c r="AD130" s="302"/>
      <c r="AE130" s="292"/>
      <c r="AF130" s="292"/>
      <c r="AG130" s="292"/>
      <c r="AH130" s="292"/>
      <c r="AI130" s="292"/>
      <c r="AJ130" s="292"/>
      <c r="AK130" s="282">
        <f>IF(ISERROR(VLOOKUP(G130,'Planning and Target Times'!$B$106:$D$110,MATCH(F130,INDEX('Planning and Target Times'!$B$106:$D$110,1,0),0),0)),"",(VLOOKUP(G130,'Planning and Target Times'!$B$106:$D$110,MATCH(F130,INDEX('Planning and Target Times'!$B$106:$D$110,1,0),0),0)))</f>
        <v>940</v>
      </c>
      <c r="AL130" s="282" t="str">
        <f>VLOOKUP(G130,'Planning and Target Times'!$I$2:$J$7,2,0)</f>
        <v>Sandstone</v>
      </c>
      <c r="AM130" s="14">
        <f t="shared" si="41"/>
        <v>0.14582999999998947</v>
      </c>
      <c r="AN130" s="292">
        <v>17.940000000000001</v>
      </c>
      <c r="AO130" s="292"/>
      <c r="AP130" s="283">
        <f>VLOOKUP(G130,'Planning and Target Times'!$A$43:$L$47,MATCH(F130&amp;"-"&amp;K130&amp;"-"&amp;L130&amp;"-"&amp;J130,INDEX('Planning and Target Times'!$A$43:$L$47,1,0),0),0)</f>
        <v>24</v>
      </c>
      <c r="AQ130" s="281" t="s">
        <v>85</v>
      </c>
      <c r="AR130" s="281"/>
      <c r="AS130" s="292"/>
      <c r="AT130" s="292"/>
      <c r="AU130" s="292"/>
      <c r="AV130" s="292"/>
      <c r="AW130" s="292"/>
      <c r="AX130" s="281"/>
      <c r="AY130" s="281"/>
      <c r="AZ130" s="281" t="s">
        <v>299</v>
      </c>
      <c r="BA130" s="292"/>
      <c r="BB130" s="292"/>
      <c r="BC130" s="292"/>
      <c r="BD130" s="292"/>
      <c r="BE130" s="292"/>
      <c r="BF130" s="292"/>
      <c r="BG130" s="292"/>
      <c r="BH130" s="292"/>
      <c r="BI130" s="283">
        <v>292018</v>
      </c>
      <c r="BJ130" s="292"/>
      <c r="BK130" s="302">
        <f>COUNT(P$2:P130)</f>
        <v>129</v>
      </c>
      <c r="BL130" s="302">
        <f>SUMPRODUCT(--(YEAR(P$2:P130)=YEAR(P130)))</f>
        <v>35</v>
      </c>
      <c r="BM130" s="302">
        <f t="shared" si="42"/>
        <v>22</v>
      </c>
      <c r="BN130" s="15">
        <f t="shared" si="43"/>
        <v>48.304515599999995</v>
      </c>
      <c r="BO130" s="292"/>
      <c r="BP130" s="292"/>
      <c r="BQ130" s="467">
        <v>2119.6066666666666</v>
      </c>
      <c r="BR130" s="467">
        <v>2015.6533333333334</v>
      </c>
      <c r="BS130" s="467">
        <v>1972.75875</v>
      </c>
      <c r="BT130" s="467"/>
      <c r="BU130" s="467"/>
      <c r="BV130" s="467"/>
      <c r="BW130" s="467" t="s">
        <v>1877</v>
      </c>
      <c r="BX130" s="469">
        <v>41913</v>
      </c>
      <c r="BY130" s="472">
        <f t="shared" si="45"/>
        <v>35.79912939052101</v>
      </c>
    </row>
    <row r="131" spans="1:78" x14ac:dyDescent="0.25">
      <c r="A131" s="282" t="s">
        <v>485</v>
      </c>
      <c r="B131" s="281" t="s">
        <v>489</v>
      </c>
      <c r="C131" s="302" t="s">
        <v>485</v>
      </c>
      <c r="D131" s="529" t="s">
        <v>2132</v>
      </c>
      <c r="E131" s="281">
        <v>5</v>
      </c>
      <c r="F131" s="281" t="s">
        <v>42</v>
      </c>
      <c r="G131" s="281" t="s">
        <v>22</v>
      </c>
      <c r="H131" s="281" t="s">
        <v>23</v>
      </c>
      <c r="I131" s="384" t="s">
        <v>24</v>
      </c>
      <c r="J131" s="281" t="s">
        <v>298</v>
      </c>
      <c r="K131" s="281" t="s">
        <v>14</v>
      </c>
      <c r="L131" s="281" t="s">
        <v>1416</v>
      </c>
      <c r="M131" s="8" t="str">
        <f>VLOOKUP(H131,'Rig Mud Co'!$A$2:$B$17,2,0)</f>
        <v>MI</v>
      </c>
      <c r="N131" s="281"/>
      <c r="O131" s="13">
        <f t="shared" si="46"/>
        <v>41821.333400000003</v>
      </c>
      <c r="P131" s="284">
        <v>41880</v>
      </c>
      <c r="Q131" s="292">
        <v>58.666600000000003</v>
      </c>
      <c r="R131" s="334">
        <f>IF(ISERROR(VLOOKUP(G131,'Planning and Target Times'!$L$1:$AJ$6,MATCH(K131&amp;"_"&amp;L131&amp;"_"&amp;J131,INDEX('Planning and Target Times'!$L$1:$AJ$6,1,0),0),0)+5),"",(VLOOKUP(G131,'Planning and Target Times'!$L$1:$AJ$6,MATCH(K131&amp;"_"&amp;L131&amp;"_"&amp;J131,INDEX('Planning and Target Times'!$L$1:$AJ$6,1,0),0),0)+5))</f>
        <v>75</v>
      </c>
      <c r="S131" s="420">
        <f t="shared" si="47"/>
        <v>70</v>
      </c>
      <c r="T131" s="392">
        <f>VLOOKUP(G131,'Planning and Target Times'!$A$7:$G$12,MATCH(K131&amp;"-"&amp;L131&amp;"-"&amp;J131,INDEX('Planning and Target Times'!$A$7:$G$12,1,0),0),0)</f>
        <v>33</v>
      </c>
      <c r="U131" s="292">
        <v>2.3330000000000002</v>
      </c>
      <c r="V131" s="292">
        <f t="shared" si="48"/>
        <v>60.999600000000001</v>
      </c>
      <c r="W131" s="292">
        <f t="shared" si="44"/>
        <v>649</v>
      </c>
      <c r="X131" s="286" t="str">
        <f t="shared" si="49"/>
        <v>LB</v>
      </c>
      <c r="Y131" s="302">
        <v>9877</v>
      </c>
      <c r="Z131" s="302"/>
      <c r="AA131" s="302">
        <v>8376</v>
      </c>
      <c r="AB131" s="302">
        <v>9228</v>
      </c>
      <c r="AC131" s="302"/>
      <c r="AD131" s="302"/>
      <c r="AE131" s="292"/>
      <c r="AF131" s="292"/>
      <c r="AG131" s="292"/>
      <c r="AH131" s="292"/>
      <c r="AI131" s="292"/>
      <c r="AJ131" s="292"/>
      <c r="AK131" s="282">
        <f>IF(ISERROR(VLOOKUP(G131,'Planning and Target Times'!$B$106:$D$110,MATCH(F131,INDEX('Planning and Target Times'!$B$106:$D$110,1,0),0),0)),"",(VLOOKUP(G131,'Planning and Target Times'!$B$106:$D$110,MATCH(F131,INDEX('Planning and Target Times'!$B$106:$D$110,1,0),0),0)))</f>
        <v>900</v>
      </c>
      <c r="AL131" s="282" t="str">
        <f>VLOOKUP(G131,'Planning and Target Times'!$I$2:$J$7,2,0)</f>
        <v>Sandstone</v>
      </c>
      <c r="AM131" s="14">
        <f t="shared" si="41"/>
        <v>-14.000399999999999</v>
      </c>
      <c r="AN131" s="292">
        <v>14.480869999999999</v>
      </c>
      <c r="AO131" s="292"/>
      <c r="AP131" s="283">
        <f>VLOOKUP(G131,'Planning and Target Times'!$A$43:$L$47,MATCH(F131&amp;"-"&amp;K131&amp;"-"&amp;L131&amp;"-"&amp;J131,INDEX('Planning and Target Times'!$A$43:$L$47,1,0),0),0)</f>
        <v>34</v>
      </c>
      <c r="AQ131" s="281"/>
      <c r="AR131" s="281"/>
      <c r="AS131" s="292"/>
      <c r="AT131" s="292"/>
      <c r="AU131" s="292"/>
      <c r="AV131" s="292"/>
      <c r="AW131" s="292"/>
      <c r="AX131" s="281"/>
      <c r="AY131" s="281"/>
      <c r="AZ131" s="281"/>
      <c r="BA131" s="292"/>
      <c r="BB131" s="292"/>
      <c r="BC131" s="292"/>
      <c r="BD131" s="292"/>
      <c r="BE131" s="292"/>
      <c r="BF131" s="292"/>
      <c r="BG131" s="292"/>
      <c r="BH131" s="292"/>
      <c r="BI131" s="283">
        <v>292016</v>
      </c>
      <c r="BJ131" s="292"/>
      <c r="BK131" s="302">
        <f>COUNT(P$2:P131)</f>
        <v>130</v>
      </c>
      <c r="BL131" s="302">
        <f>SUMPRODUCT(--(YEAR(P$2:P131)=YEAR(P131)))</f>
        <v>36</v>
      </c>
      <c r="BM131" s="302">
        <f t="shared" ref="BM131:BM162" si="50">IF(AND(MONTH(P130)&lt;&gt;4,MONTH(P131)=4),1,BM130+1)</f>
        <v>23</v>
      </c>
      <c r="BN131" s="15">
        <f t="shared" si="43"/>
        <v>50.283675599999995</v>
      </c>
      <c r="BO131" s="292"/>
      <c r="BP131" s="292"/>
      <c r="BQ131" s="467">
        <v>929.29</v>
      </c>
      <c r="BR131" s="467">
        <v>1720.6166666666668</v>
      </c>
      <c r="BS131" s="467">
        <v>1754.7514285714285</v>
      </c>
      <c r="BT131" s="467"/>
      <c r="BU131" s="467"/>
      <c r="BV131" s="467"/>
      <c r="BW131" s="467" t="s">
        <v>1877</v>
      </c>
      <c r="BX131" s="469">
        <v>41883</v>
      </c>
      <c r="BY131" s="472">
        <f t="shared" si="45"/>
        <v>15.840188454759607</v>
      </c>
    </row>
    <row r="132" spans="1:78" x14ac:dyDescent="0.25">
      <c r="A132" s="282" t="s">
        <v>482</v>
      </c>
      <c r="B132" s="281" t="s">
        <v>486</v>
      </c>
      <c r="C132" s="302" t="s">
        <v>573</v>
      </c>
      <c r="D132" s="529" t="s">
        <v>2133</v>
      </c>
      <c r="E132" s="281">
        <v>3</v>
      </c>
      <c r="F132" s="281" t="s">
        <v>11</v>
      </c>
      <c r="G132" s="281" t="s">
        <v>22</v>
      </c>
      <c r="H132" s="281" t="s">
        <v>79</v>
      </c>
      <c r="I132" s="384" t="s">
        <v>24</v>
      </c>
      <c r="J132" s="281" t="s">
        <v>298</v>
      </c>
      <c r="K132" s="281" t="s">
        <v>14</v>
      </c>
      <c r="L132" s="281" t="s">
        <v>1410</v>
      </c>
      <c r="M132" s="8" t="str">
        <f>VLOOKUP(H132,'Rig Mud Co'!$A$2:$B$17,2,0)</f>
        <v xml:space="preserve">Baker </v>
      </c>
      <c r="N132" s="281"/>
      <c r="O132" s="13">
        <f t="shared" si="46"/>
        <v>41827.604166700003</v>
      </c>
      <c r="P132" s="284">
        <v>41887</v>
      </c>
      <c r="Q132" s="292">
        <v>59.3958333</v>
      </c>
      <c r="R132" s="334">
        <f>IF(ISERROR(VLOOKUP(G132,'Planning and Target Times'!$L$1:$AJ$6,MATCH(K132&amp;"_"&amp;L132&amp;"_"&amp;J132,INDEX('Planning and Target Times'!$L$1:$AJ$6,1,0),0),0)+5),"",(VLOOKUP(G132,'Planning and Target Times'!$L$1:$AJ$6,MATCH(K132&amp;"_"&amp;L132&amp;"_"&amp;J132,INDEX('Planning and Target Times'!$L$1:$AJ$6,1,0),0),0)+5))</f>
        <v>75</v>
      </c>
      <c r="S132" s="420">
        <f t="shared" si="47"/>
        <v>70</v>
      </c>
      <c r="T132" s="392">
        <f>VLOOKUP(G132,'Planning and Target Times'!$A$7:$G$12,MATCH(K132&amp;"-"&amp;L132&amp;"-"&amp;J132,INDEX('Planning and Target Times'!$A$7:$G$12,1,0),0),0)</f>
        <v>35</v>
      </c>
      <c r="U132" s="292">
        <v>2.7291669999999999</v>
      </c>
      <c r="V132" s="292">
        <f t="shared" si="48"/>
        <v>62.125000299999996</v>
      </c>
      <c r="W132" s="292">
        <f t="shared" si="44"/>
        <v>1549</v>
      </c>
      <c r="X132" s="286" t="str">
        <f t="shared" si="49"/>
        <v>LB</v>
      </c>
      <c r="Y132" s="302">
        <v>10455</v>
      </c>
      <c r="Z132" s="302"/>
      <c r="AA132" s="302">
        <v>8068</v>
      </c>
      <c r="AB132" s="302">
        <v>8906</v>
      </c>
      <c r="AC132" s="302">
        <v>9665</v>
      </c>
      <c r="AD132" s="302"/>
      <c r="AE132" s="292"/>
      <c r="AF132" s="292"/>
      <c r="AG132" s="292"/>
      <c r="AH132" s="292"/>
      <c r="AI132" s="292"/>
      <c r="AJ132" s="292"/>
      <c r="AK132" s="282">
        <f>IF(ISERROR(VLOOKUP(G132,'Planning and Target Times'!$B$106:$D$110,MATCH(F132,INDEX('Planning and Target Times'!$B$106:$D$110,1,0),0),0)),"",(VLOOKUP(G132,'Planning and Target Times'!$B$106:$D$110,MATCH(F132,INDEX('Planning and Target Times'!$B$106:$D$110,1,0),0),0)))</f>
        <v>550</v>
      </c>
      <c r="AL132" s="282" t="str">
        <f>VLOOKUP(G132,'Planning and Target Times'!$I$2:$J$7,2,0)</f>
        <v>Sandstone</v>
      </c>
      <c r="AM132" s="14">
        <f t="shared" si="41"/>
        <v>-12.874999700000004</v>
      </c>
      <c r="AN132" s="292">
        <v>20.66</v>
      </c>
      <c r="AO132" s="292"/>
      <c r="AP132" s="283">
        <f>VLOOKUP(G132,'Planning and Target Times'!$A$43:$L$47,MATCH(F132&amp;"-"&amp;K132&amp;"-"&amp;L132&amp;"-"&amp;J132,INDEX('Planning and Target Times'!$A$43:$L$47,1,0),0),0)</f>
        <v>24</v>
      </c>
      <c r="AQ132" s="281"/>
      <c r="AR132" s="281"/>
      <c r="AS132" s="292"/>
      <c r="AT132" s="292"/>
      <c r="AU132" s="292"/>
      <c r="AV132" s="292"/>
      <c r="AW132" s="292"/>
      <c r="AX132" s="281"/>
      <c r="AY132" s="281"/>
      <c r="AZ132" s="281"/>
      <c r="BA132" s="292"/>
      <c r="BB132" s="292"/>
      <c r="BC132" s="292"/>
      <c r="BD132" s="292"/>
      <c r="BE132" s="292"/>
      <c r="BF132" s="292"/>
      <c r="BG132" s="292"/>
      <c r="BH132" s="292"/>
      <c r="BI132" s="283">
        <v>292147</v>
      </c>
      <c r="BJ132" s="292"/>
      <c r="BK132" s="302">
        <f>COUNT(P$2:P132)</f>
        <v>131</v>
      </c>
      <c r="BL132" s="302">
        <f>SUMPRODUCT(--(YEAR(P$2:P132)=YEAR(P132)))</f>
        <v>37</v>
      </c>
      <c r="BM132" s="302">
        <f t="shared" si="50"/>
        <v>24</v>
      </c>
      <c r="BN132" s="15">
        <f t="shared" si="43"/>
        <v>50.858675929999997</v>
      </c>
      <c r="BO132" s="292"/>
      <c r="BP132" s="292"/>
      <c r="BQ132" s="467">
        <v>1285.3400000000001</v>
      </c>
      <c r="BR132" s="467">
        <v>1366.7250000000001</v>
      </c>
      <c r="BS132" s="467">
        <v>1351.0387500000002</v>
      </c>
      <c r="BT132" s="467"/>
      <c r="BU132" s="467"/>
      <c r="BV132" s="467"/>
      <c r="BW132" s="467" t="s">
        <v>1877</v>
      </c>
      <c r="BX132" s="469">
        <v>41913</v>
      </c>
      <c r="BY132" s="472">
        <f t="shared" si="45"/>
        <v>21.640238524947172</v>
      </c>
    </row>
    <row r="133" spans="1:78" x14ac:dyDescent="0.25">
      <c r="A133" s="282" t="s">
        <v>490</v>
      </c>
      <c r="B133" s="281" t="s">
        <v>491</v>
      </c>
      <c r="C133" s="302" t="s">
        <v>491</v>
      </c>
      <c r="D133" s="529" t="s">
        <v>2134</v>
      </c>
      <c r="E133" s="281"/>
      <c r="F133" s="281" t="str">
        <f t="shared" ref="F133:F164" si="51">LEFT(B133,2)</f>
        <v>SA</v>
      </c>
      <c r="G133" s="384" t="s">
        <v>29</v>
      </c>
      <c r="H133" s="281" t="s">
        <v>37</v>
      </c>
      <c r="I133" s="384" t="s">
        <v>24</v>
      </c>
      <c r="J133" s="281" t="s">
        <v>298</v>
      </c>
      <c r="K133" s="281" t="s">
        <v>18</v>
      </c>
      <c r="L133" s="281" t="s">
        <v>1416</v>
      </c>
      <c r="M133" s="8" t="str">
        <f>VLOOKUP(H133,'Rig Mud Co'!$A$2:$B$17,2,0)</f>
        <v>Baroid</v>
      </c>
      <c r="N133" s="281"/>
      <c r="O133" s="13">
        <f t="shared" si="46"/>
        <v>41847.229169999999</v>
      </c>
      <c r="P133" s="284">
        <v>41888</v>
      </c>
      <c r="Q133" s="292">
        <v>40.770829999999997</v>
      </c>
      <c r="R133" s="334">
        <f>IF(ISERROR(VLOOKUP(G133,'Planning and Target Times'!$L$1:$AJ$6,MATCH(K133&amp;"_"&amp;L133&amp;"_"&amp;J133,INDEX('Planning and Target Times'!$L$1:$AJ$6,1,0),0),0)+5),"",(VLOOKUP(G133,'Planning and Target Times'!$L$1:$AJ$6,MATCH(K133&amp;"_"&amp;L133&amp;"_"&amp;J133,INDEX('Planning and Target Times'!$L$1:$AJ$6,1,0),0),0)+5))</f>
        <v>61</v>
      </c>
      <c r="S133" s="420">
        <f t="shared" si="47"/>
        <v>56</v>
      </c>
      <c r="T133" s="392" t="e">
        <f>VLOOKUP(G133,'Planning and Target Times'!$A$7:$G$12,MATCH(K133&amp;"-"&amp;L133&amp;"-"&amp;J133,INDEX('Planning and Target Times'!$A$7:$G$12,1,0),0),0)</f>
        <v>#N/A</v>
      </c>
      <c r="U133" s="292">
        <v>2.0830000000000002</v>
      </c>
      <c r="V133" s="292">
        <f t="shared" si="48"/>
        <v>42.853829999999995</v>
      </c>
      <c r="W133" s="292">
        <f t="shared" si="44"/>
        <v>2103</v>
      </c>
      <c r="X133" s="286" t="str">
        <f t="shared" si="49"/>
        <v>UB</v>
      </c>
      <c r="Y133" s="302">
        <v>9355</v>
      </c>
      <c r="Z133" s="302"/>
      <c r="AA133" s="302"/>
      <c r="AB133" s="302">
        <v>7252</v>
      </c>
      <c r="AC133" s="302">
        <v>8868</v>
      </c>
      <c r="AD133" s="302"/>
      <c r="AE133" s="292"/>
      <c r="AF133" s="292"/>
      <c r="AG133" s="292"/>
      <c r="AH133" s="292"/>
      <c r="AI133" s="292"/>
      <c r="AJ133" s="292"/>
      <c r="AK133" s="282">
        <f>IF(ISERROR(VLOOKUP(G133,'Planning and Target Times'!$B$106:$D$110,MATCH(F133,INDEX('Planning and Target Times'!$B$106:$D$110,1,0),0),0)),"",(VLOOKUP(G133,'Planning and Target Times'!$B$106:$D$110,MATCH(F133,INDEX('Planning and Target Times'!$B$106:$D$110,1,0),0),0)))</f>
        <v>630</v>
      </c>
      <c r="AL133" s="282" t="str">
        <f>VLOOKUP(G133,'Planning and Target Times'!$I$2:$J$7,2,0)</f>
        <v>Sandstone</v>
      </c>
      <c r="AM133" s="14">
        <f t="shared" si="41"/>
        <v>-18.146170000000005</v>
      </c>
      <c r="AN133" s="292">
        <v>11.861929999999999</v>
      </c>
      <c r="AO133" s="14">
        <f>BF133/Q133</f>
        <v>0</v>
      </c>
      <c r="AP133" s="283" t="e">
        <f>VLOOKUP(G133,'Planning and Target Times'!$A$43:$L$47,MATCH(F133&amp;"-"&amp;K133&amp;"-"&amp;L133&amp;"-"&amp;J133,INDEX('Planning and Target Times'!$A$43:$L$47,1,0),0),0)</f>
        <v>#N/A</v>
      </c>
      <c r="AQ133" s="281"/>
      <c r="AR133" s="281"/>
      <c r="AS133" s="292"/>
      <c r="AT133" s="292"/>
      <c r="AU133" s="292"/>
      <c r="AV133" s="292"/>
      <c r="AW133" s="292"/>
      <c r="AX133" s="281"/>
      <c r="AY133" s="281"/>
      <c r="AZ133" s="281"/>
      <c r="BA133" s="292"/>
      <c r="BB133" s="292"/>
      <c r="BC133" s="292"/>
      <c r="BD133" s="292"/>
      <c r="BE133" s="292"/>
      <c r="BF133" s="292"/>
      <c r="BG133" s="292"/>
      <c r="BH133" s="292"/>
      <c r="BI133" s="283">
        <v>292224</v>
      </c>
      <c r="BJ133" s="292"/>
      <c r="BK133" s="302">
        <f>COUNT(P$2:P133)</f>
        <v>132</v>
      </c>
      <c r="BL133" s="302">
        <f>SUMPRODUCT(--(YEAR(P$2:P133)=YEAR(P133)))</f>
        <v>38</v>
      </c>
      <c r="BM133" s="302">
        <f t="shared" si="50"/>
        <v>25</v>
      </c>
      <c r="BN133" s="15">
        <f t="shared" si="43"/>
        <v>46.992008929999997</v>
      </c>
      <c r="BO133" s="292"/>
      <c r="BP133" s="292"/>
      <c r="BQ133" s="467">
        <v>1049.3599999999999</v>
      </c>
      <c r="BR133" s="467">
        <v>958.26499999999987</v>
      </c>
      <c r="BS133" s="467">
        <v>897.43444444444435</v>
      </c>
      <c r="BT133" s="467"/>
      <c r="BU133" s="467"/>
      <c r="BV133" s="467"/>
      <c r="BW133" s="467" t="s">
        <v>1877</v>
      </c>
      <c r="BX133" s="469">
        <v>41883</v>
      </c>
      <c r="BY133" s="472">
        <f t="shared" si="45"/>
        <v>25.738009258089669</v>
      </c>
    </row>
    <row r="134" spans="1:78" x14ac:dyDescent="0.25">
      <c r="A134" s="282" t="s">
        <v>494</v>
      </c>
      <c r="B134" s="281" t="s">
        <v>504</v>
      </c>
      <c r="C134" s="292" t="s">
        <v>504</v>
      </c>
      <c r="D134" s="529" t="s">
        <v>2135</v>
      </c>
      <c r="E134" s="281"/>
      <c r="F134" s="281" t="str">
        <f t="shared" si="51"/>
        <v>SA</v>
      </c>
      <c r="G134" s="281" t="s">
        <v>17</v>
      </c>
      <c r="H134" s="281" t="s">
        <v>25</v>
      </c>
      <c r="I134" s="281" t="s">
        <v>20</v>
      </c>
      <c r="J134" s="281" t="s">
        <v>298</v>
      </c>
      <c r="K134" s="281" t="s">
        <v>18</v>
      </c>
      <c r="L134" s="281" t="s">
        <v>1410</v>
      </c>
      <c r="M134" s="8" t="str">
        <f>VLOOKUP(H134,'Rig Mud Co'!$A$2:$B$17,2,0)</f>
        <v>Baroid</v>
      </c>
      <c r="N134" s="281"/>
      <c r="O134" s="13">
        <f t="shared" si="46"/>
        <v>41871.5</v>
      </c>
      <c r="P134" s="284">
        <v>41912.333333333336</v>
      </c>
      <c r="Q134" s="292">
        <v>40.833333333335759</v>
      </c>
      <c r="R134" s="334">
        <f>IF(ISERROR(VLOOKUP(G134,'Planning and Target Times'!$L$1:$AJ$6,MATCH(K134&amp;"_"&amp;L134&amp;"_"&amp;J134,INDEX('Planning and Target Times'!$L$1:$AJ$6,1,0),0),0)+5),"",(VLOOKUP(G134,'Planning and Target Times'!$L$1:$AJ$6,MATCH(K134&amp;"_"&amp;L134&amp;"_"&amp;J134,INDEX('Planning and Target Times'!$L$1:$AJ$6,1,0),0),0)+5))</f>
        <v>61</v>
      </c>
      <c r="S134" s="420">
        <f t="shared" si="47"/>
        <v>56</v>
      </c>
      <c r="T134" s="392">
        <f>VLOOKUP(G134,'Planning and Target Times'!$A$7:$G$12,MATCH(K134&amp;"-"&amp;L134&amp;"-"&amp;J134,INDEX('Planning and Target Times'!$A$7:$G$12,1,0),0),0)</f>
        <v>27</v>
      </c>
      <c r="U134" s="292">
        <v>2.0416666666642413</v>
      </c>
      <c r="V134" s="292">
        <f t="shared" si="48"/>
        <v>42.875</v>
      </c>
      <c r="W134" s="292">
        <f t="shared" si="44"/>
        <v>2998</v>
      </c>
      <c r="X134" s="286" t="str">
        <f t="shared" si="49"/>
        <v>MA</v>
      </c>
      <c r="Y134" s="302">
        <v>11190</v>
      </c>
      <c r="Z134" s="302"/>
      <c r="AA134" s="302"/>
      <c r="AB134" s="302">
        <v>8192</v>
      </c>
      <c r="AC134" s="302"/>
      <c r="AD134" s="302"/>
      <c r="AE134" s="292"/>
      <c r="AF134" s="292"/>
      <c r="AG134" s="292"/>
      <c r="AH134" s="292"/>
      <c r="AI134" s="292"/>
      <c r="AJ134" s="292"/>
      <c r="AK134" s="282">
        <f>IF(ISERROR(VLOOKUP(G134,'Planning and Target Times'!$B$106:$D$110,MATCH(F134,INDEX('Planning and Target Times'!$B$106:$D$110,1,0),0),0)),"",(VLOOKUP(G134,'Planning and Target Times'!$B$106:$D$110,MATCH(F134,INDEX('Planning and Target Times'!$B$106:$D$110,1,0),0),0)))</f>
        <v>740</v>
      </c>
      <c r="AL134" s="282" t="str">
        <f>VLOOKUP(G134,'Planning and Target Times'!$I$2:$J$7,2,0)</f>
        <v>Carbonate</v>
      </c>
      <c r="AM134" s="14">
        <f t="shared" si="41"/>
        <v>-18.125</v>
      </c>
      <c r="AN134" s="292">
        <v>13.151658767772512</v>
      </c>
      <c r="AO134" s="292"/>
      <c r="AP134" s="283">
        <f>VLOOKUP(G134,'Planning and Target Times'!$A$43:$L$47,MATCH(F134&amp;"-"&amp;K134&amp;"-"&amp;L134&amp;"-"&amp;J134,INDEX('Planning and Target Times'!$A$43:$L$47,1,0),0),0)</f>
        <v>20</v>
      </c>
      <c r="AQ134" s="281"/>
      <c r="AR134" s="281"/>
      <c r="AS134" s="292"/>
      <c r="AT134" s="292"/>
      <c r="AU134" s="292"/>
      <c r="AV134" s="292"/>
      <c r="AW134" s="292"/>
      <c r="AX134" s="281"/>
      <c r="AY134" s="281"/>
      <c r="AZ134" s="281"/>
      <c r="BA134" s="292"/>
      <c r="BB134" s="292"/>
      <c r="BC134" s="292"/>
      <c r="BD134" s="292"/>
      <c r="BE134" s="292"/>
      <c r="BF134" s="292"/>
      <c r="BG134" s="292"/>
      <c r="BH134" s="292"/>
      <c r="BI134" s="283">
        <v>292553</v>
      </c>
      <c r="BJ134" s="292"/>
      <c r="BK134" s="302">
        <f>COUNT(P$2:P134)</f>
        <v>133</v>
      </c>
      <c r="BL134" s="302">
        <f>SUMPRODUCT(--(YEAR(P$2:P134)=YEAR(P134)))</f>
        <v>39</v>
      </c>
      <c r="BM134" s="302">
        <f t="shared" si="50"/>
        <v>26</v>
      </c>
      <c r="BN134" s="15">
        <f t="shared" si="43"/>
        <v>46.485342263333578</v>
      </c>
      <c r="BO134" s="292"/>
      <c r="BP134" s="292"/>
      <c r="BQ134" s="467">
        <v>1540.1233333333332</v>
      </c>
      <c r="BR134" s="467">
        <v>1675.5316666666668</v>
      </c>
      <c r="BS134" s="467">
        <v>1730.3600000000001</v>
      </c>
      <c r="BT134" s="467"/>
      <c r="BU134" s="467"/>
      <c r="BV134" s="467"/>
      <c r="BW134" s="467" t="s">
        <v>1877</v>
      </c>
      <c r="BX134" s="469">
        <v>41913</v>
      </c>
      <c r="BY134" s="472">
        <f t="shared" si="45"/>
        <v>37.717306122446736</v>
      </c>
    </row>
    <row r="135" spans="1:78" x14ac:dyDescent="0.25">
      <c r="A135" s="32" t="s">
        <v>500</v>
      </c>
      <c r="B135" s="281" t="s">
        <v>507</v>
      </c>
      <c r="C135" s="292" t="s">
        <v>725</v>
      </c>
      <c r="D135" s="529" t="s">
        <v>2136</v>
      </c>
      <c r="E135" s="281"/>
      <c r="F135" s="281" t="str">
        <f t="shared" si="51"/>
        <v>RA</v>
      </c>
      <c r="G135" s="281" t="s">
        <v>17</v>
      </c>
      <c r="H135" s="281" t="s">
        <v>430</v>
      </c>
      <c r="I135" s="281" t="s">
        <v>16</v>
      </c>
      <c r="J135" s="281" t="s">
        <v>34</v>
      </c>
      <c r="K135" s="281" t="s">
        <v>18</v>
      </c>
      <c r="L135" s="281" t="s">
        <v>1410</v>
      </c>
      <c r="M135" s="8" t="e">
        <f>VLOOKUP(H135,'Rig Mud Co'!$A$2:$B$17,2,0)</f>
        <v>#N/A</v>
      </c>
      <c r="N135" s="281"/>
      <c r="O135" s="13">
        <f t="shared" si="46"/>
        <v>41884.25</v>
      </c>
      <c r="P135" s="284">
        <v>41912.916666666664</v>
      </c>
      <c r="Q135" s="292">
        <v>28.666666666664241</v>
      </c>
      <c r="R135" s="334">
        <f>IF(ISERROR(VLOOKUP(G135,'Planning and Target Times'!$L$1:$AJ$6,MATCH(K135&amp;"_"&amp;L135&amp;"_"&amp;J135,INDEX('Planning and Target Times'!$L$1:$AJ$6,1,0),0),0)+5),"",(VLOOKUP(G135,'Planning and Target Times'!$L$1:$AJ$6,MATCH(K135&amp;"_"&amp;L135&amp;"_"&amp;J135,INDEX('Planning and Target Times'!$L$1:$AJ$6,1,0),0),0)+5))</f>
        <v>54</v>
      </c>
      <c r="S135" s="420">
        <f t="shared" si="47"/>
        <v>49</v>
      </c>
      <c r="T135" s="392">
        <f>VLOOKUP(G135,'Planning and Target Times'!$A$7:$G$12,MATCH(K135&amp;"-"&amp;L135&amp;"-"&amp;J135,INDEX('Planning and Target Times'!$A$7:$G$12,1,0),0),0)</f>
        <v>25</v>
      </c>
      <c r="U135" s="292">
        <v>7.5416666666642413</v>
      </c>
      <c r="V135" s="292">
        <f t="shared" si="48"/>
        <v>36.208333333328483</v>
      </c>
      <c r="W135" s="292">
        <f t="shared" si="44"/>
        <v>3251</v>
      </c>
      <c r="X135" s="286" t="str">
        <f t="shared" si="49"/>
        <v>MA</v>
      </c>
      <c r="Y135" s="302">
        <v>11815</v>
      </c>
      <c r="Z135" s="302">
        <v>5989</v>
      </c>
      <c r="AA135" s="302">
        <v>8171</v>
      </c>
      <c r="AB135" s="302">
        <v>8564</v>
      </c>
      <c r="AC135" s="302"/>
      <c r="AD135" s="302"/>
      <c r="AE135" s="292"/>
      <c r="AF135" s="292"/>
      <c r="AG135" s="292"/>
      <c r="AH135" s="292"/>
      <c r="AI135" s="292"/>
      <c r="AJ135" s="292"/>
      <c r="AK135" s="282"/>
      <c r="AL135" s="282" t="str">
        <f>VLOOKUP(G135,'Planning and Target Times'!$I$2:$J$7,2,0)</f>
        <v>Carbonate</v>
      </c>
      <c r="AM135" s="292"/>
      <c r="AN135" s="292">
        <v>2.0932069510268563</v>
      </c>
      <c r="AO135" s="292"/>
      <c r="AP135" s="283">
        <f>VLOOKUP(G135,'Planning and Target Times'!$A$43:$L$47,MATCH(F135&amp;"-"&amp;K135&amp;"-"&amp;L135&amp;"-"&amp;J135,INDEX('Planning and Target Times'!$A$43:$L$47,1,0),0),0)</f>
        <v>300</v>
      </c>
      <c r="AQ135" s="281"/>
      <c r="AR135" s="281"/>
      <c r="AS135" s="292"/>
      <c r="AT135" s="292"/>
      <c r="AU135" s="292"/>
      <c r="AV135" s="292"/>
      <c r="AW135" s="292"/>
      <c r="AX135" s="281"/>
      <c r="AY135" s="281"/>
      <c r="AZ135" s="281"/>
      <c r="BA135" s="292"/>
      <c r="BB135" s="292"/>
      <c r="BC135" s="292"/>
      <c r="BD135" s="292"/>
      <c r="BE135" s="292"/>
      <c r="BF135" s="292"/>
      <c r="BG135" s="292"/>
      <c r="BH135" s="292"/>
      <c r="BI135" s="283">
        <v>293013</v>
      </c>
      <c r="BJ135" s="292"/>
      <c r="BK135" s="302">
        <f>COUNT(P$2:P135)</f>
        <v>134</v>
      </c>
      <c r="BL135" s="302">
        <f>SUMPRODUCT(--(YEAR(P$2:P135)=YEAR(P135)))</f>
        <v>40</v>
      </c>
      <c r="BM135" s="302">
        <f t="shared" si="50"/>
        <v>27</v>
      </c>
      <c r="BN135" s="15">
        <f t="shared" si="43"/>
        <v>47.039508929999997</v>
      </c>
      <c r="BO135" s="292"/>
      <c r="BP135" s="292"/>
      <c r="BQ135" s="464"/>
      <c r="BR135" s="464"/>
      <c r="BS135" s="464"/>
      <c r="BT135" s="464">
        <v>8812.3909370199635</v>
      </c>
      <c r="BU135" s="464">
        <v>9585.0210957501349</v>
      </c>
      <c r="BV135" s="464">
        <v>9314.9323677858301</v>
      </c>
      <c r="BW135" s="464" t="s">
        <v>1879</v>
      </c>
      <c r="BX135" s="469">
        <v>41974</v>
      </c>
      <c r="BZ135" s="472">
        <f>BT135/Q135</f>
        <v>307.40898617514102</v>
      </c>
    </row>
    <row r="136" spans="1:78" x14ac:dyDescent="0.25">
      <c r="A136" s="282" t="s">
        <v>496</v>
      </c>
      <c r="B136" s="281" t="s">
        <v>506</v>
      </c>
      <c r="C136" s="292" t="s">
        <v>718</v>
      </c>
      <c r="D136" s="529" t="s">
        <v>2137</v>
      </c>
      <c r="E136" s="281"/>
      <c r="F136" s="281" t="str">
        <f t="shared" si="51"/>
        <v>RA</v>
      </c>
      <c r="G136" s="281" t="s">
        <v>17</v>
      </c>
      <c r="H136" s="281" t="s">
        <v>79</v>
      </c>
      <c r="I136" s="281" t="s">
        <v>16</v>
      </c>
      <c r="J136" s="281" t="s">
        <v>34</v>
      </c>
      <c r="K136" s="281" t="s">
        <v>18</v>
      </c>
      <c r="L136" s="281" t="s">
        <v>1410</v>
      </c>
      <c r="M136" s="8" t="str">
        <f>VLOOKUP(H136,'Rig Mud Co'!$A$2:$B$17,2,0)</f>
        <v xml:space="preserve">Baker </v>
      </c>
      <c r="N136" s="281"/>
      <c r="O136" s="13">
        <f t="shared" si="46"/>
        <v>41884.458333333336</v>
      </c>
      <c r="P136" s="284">
        <v>41915.25</v>
      </c>
      <c r="Q136" s="292">
        <v>30.791666666664199</v>
      </c>
      <c r="R136" s="334">
        <f>IF(ISERROR(VLOOKUP(G136,'Planning and Target Times'!$L$1:$AJ$6,MATCH(K136&amp;"_"&amp;L136&amp;"_"&amp;J136,INDEX('Planning and Target Times'!$L$1:$AJ$6,1,0),0),0)+5),"",(VLOOKUP(G136,'Planning and Target Times'!$L$1:$AJ$6,MATCH(K136&amp;"_"&amp;L136&amp;"_"&amp;J136,INDEX('Planning and Target Times'!$L$1:$AJ$6,1,0),0),0)+5))</f>
        <v>54</v>
      </c>
      <c r="S136" s="420">
        <f t="shared" si="47"/>
        <v>49</v>
      </c>
      <c r="T136" s="392">
        <f>VLOOKUP(G136,'Planning and Target Times'!$A$7:$G$12,MATCH(K136&amp;"-"&amp;L136&amp;"-"&amp;J136,INDEX('Planning and Target Times'!$A$7:$G$12,1,0),0),0)</f>
        <v>25</v>
      </c>
      <c r="U136" s="292">
        <v>3.5416666666715173</v>
      </c>
      <c r="V136" s="292">
        <f t="shared" si="48"/>
        <v>34.333333333335716</v>
      </c>
      <c r="W136" s="292">
        <f t="shared" si="44"/>
        <v>4114</v>
      </c>
      <c r="X136" s="286" t="str">
        <f t="shared" si="49"/>
        <v>MA</v>
      </c>
      <c r="Y136" s="302">
        <v>12465</v>
      </c>
      <c r="Z136" s="302"/>
      <c r="AA136" s="302">
        <v>6288</v>
      </c>
      <c r="AB136" s="302">
        <v>8351</v>
      </c>
      <c r="AC136" s="302"/>
      <c r="AD136" s="302"/>
      <c r="AE136" s="292"/>
      <c r="AF136" s="292"/>
      <c r="AG136" s="292"/>
      <c r="AH136" s="292"/>
      <c r="AI136" s="292"/>
      <c r="AJ136" s="292"/>
      <c r="AK136" s="282"/>
      <c r="AL136" s="282" t="str">
        <f>VLOOKUP(G136,'Planning and Target Times'!$I$2:$J$7,2,0)</f>
        <v>Carbonate</v>
      </c>
      <c r="AM136" s="14">
        <f>V136-R136</f>
        <v>-19.666666666664284</v>
      </c>
      <c r="AN136" s="292">
        <v>51.540284360189567</v>
      </c>
      <c r="AO136" s="292"/>
      <c r="AP136" s="283">
        <f>VLOOKUP(G136,'Planning and Target Times'!$A$43:$L$47,MATCH(F136&amp;"-"&amp;K136&amp;"-"&amp;L136&amp;"-"&amp;J136,INDEX('Planning and Target Times'!$A$43:$L$47,1,0),0),0)</f>
        <v>300</v>
      </c>
      <c r="AQ136" s="281"/>
      <c r="AR136" s="281"/>
      <c r="AS136" s="292"/>
      <c r="AT136" s="292"/>
      <c r="AU136" s="292"/>
      <c r="AV136" s="292"/>
      <c r="AW136" s="292"/>
      <c r="AX136" s="281"/>
      <c r="AY136" s="281"/>
      <c r="AZ136" s="281"/>
      <c r="BA136" s="292"/>
      <c r="BB136" s="292"/>
      <c r="BC136" s="292"/>
      <c r="BD136" s="292"/>
      <c r="BE136" s="292"/>
      <c r="BF136" s="292"/>
      <c r="BG136" s="292"/>
      <c r="BH136" s="292"/>
      <c r="BI136" s="283">
        <v>292889</v>
      </c>
      <c r="BJ136" s="292"/>
      <c r="BK136" s="302">
        <f>COUNT(P$2:P136)</f>
        <v>135</v>
      </c>
      <c r="BL136" s="302">
        <f>SUMPRODUCT(--(YEAR(P$2:P136)=YEAR(P136)))</f>
        <v>41</v>
      </c>
      <c r="BM136" s="302">
        <f t="shared" si="50"/>
        <v>28</v>
      </c>
      <c r="BN136" s="15">
        <f t="shared" si="43"/>
        <v>46.839508996666417</v>
      </c>
      <c r="BO136" s="292"/>
      <c r="BP136" s="292"/>
      <c r="BQ136" s="464"/>
      <c r="BR136" s="464"/>
      <c r="BS136" s="464"/>
      <c r="BT136" s="464">
        <v>10255.269969278024</v>
      </c>
      <c r="BU136" s="464">
        <v>9775.1217229902595</v>
      </c>
      <c r="BV136" s="464">
        <v>9775.1217229902595</v>
      </c>
      <c r="BW136" s="464" t="s">
        <v>1879</v>
      </c>
      <c r="BX136" s="469">
        <v>42005</v>
      </c>
      <c r="BZ136" s="472">
        <f>BT136/Q136</f>
        <v>333.05342254762155</v>
      </c>
    </row>
    <row r="137" spans="1:78" x14ac:dyDescent="0.25">
      <c r="A137" s="282" t="s">
        <v>483</v>
      </c>
      <c r="B137" s="281" t="s">
        <v>487</v>
      </c>
      <c r="C137" s="292" t="s">
        <v>483</v>
      </c>
      <c r="D137" s="529" t="s">
        <v>2138</v>
      </c>
      <c r="E137" s="281">
        <v>1</v>
      </c>
      <c r="F137" s="281" t="str">
        <f t="shared" si="51"/>
        <v>SA</v>
      </c>
      <c r="G137" s="281" t="s">
        <v>22</v>
      </c>
      <c r="H137" s="281" t="s">
        <v>38</v>
      </c>
      <c r="I137" s="384" t="s">
        <v>24</v>
      </c>
      <c r="J137" s="281" t="s">
        <v>298</v>
      </c>
      <c r="K137" s="281" t="s">
        <v>14</v>
      </c>
      <c r="L137" s="281" t="s">
        <v>1416</v>
      </c>
      <c r="M137" s="8" t="str">
        <f>VLOOKUP(H137,'Rig Mud Co'!$A$2:$B$17,2,0)</f>
        <v>MI</v>
      </c>
      <c r="N137" s="281"/>
      <c r="O137" s="13">
        <f t="shared" si="46"/>
        <v>41836.708333333336</v>
      </c>
      <c r="P137" s="284">
        <v>41915.583333333336</v>
      </c>
      <c r="Q137" s="292">
        <v>78.875</v>
      </c>
      <c r="R137" s="334">
        <f>IF(ISERROR(VLOOKUP(G137,'Planning and Target Times'!$L$1:$AJ$6,MATCH(K137&amp;"_"&amp;L137&amp;"_"&amp;J137,INDEX('Planning and Target Times'!$L$1:$AJ$6,1,0),0),0)+5),"",(VLOOKUP(G137,'Planning and Target Times'!$L$1:$AJ$6,MATCH(K137&amp;"_"&amp;L137&amp;"_"&amp;J137,INDEX('Planning and Target Times'!$L$1:$AJ$6,1,0),0),0)+5))</f>
        <v>75</v>
      </c>
      <c r="S137" s="420">
        <f t="shared" si="47"/>
        <v>70</v>
      </c>
      <c r="T137" s="392">
        <f>VLOOKUP(G137,'Planning and Target Times'!$A$7:$G$12,MATCH(K137&amp;"-"&amp;L137&amp;"-"&amp;J137,INDEX('Planning and Target Times'!$A$7:$G$12,1,0),0),0)</f>
        <v>33</v>
      </c>
      <c r="U137" s="292">
        <v>13.0208333333358</v>
      </c>
      <c r="V137" s="292">
        <f t="shared" si="48"/>
        <v>91.895833333335801</v>
      </c>
      <c r="W137" s="292">
        <f t="shared" si="44"/>
        <v>871</v>
      </c>
      <c r="X137" s="286" t="str">
        <f t="shared" si="49"/>
        <v>LB</v>
      </c>
      <c r="Y137" s="302">
        <v>9914</v>
      </c>
      <c r="Z137" s="302"/>
      <c r="AA137" s="302">
        <v>7853</v>
      </c>
      <c r="AB137" s="302">
        <v>9043</v>
      </c>
      <c r="AC137" s="302"/>
      <c r="AD137" s="302"/>
      <c r="AE137" s="292"/>
      <c r="AF137" s="292"/>
      <c r="AG137" s="292"/>
      <c r="AH137" s="292"/>
      <c r="AI137" s="292"/>
      <c r="AJ137" s="292"/>
      <c r="AK137" s="282">
        <f>IF(ISERROR(VLOOKUP(G137,'Planning and Target Times'!$B$106:$D$110,MATCH(F137,INDEX('Planning and Target Times'!$B$106:$D$110,1,0),0),0)),"",(VLOOKUP(G137,'Planning and Target Times'!$B$106:$D$110,MATCH(F137,INDEX('Planning and Target Times'!$B$106:$D$110,1,0),0),0)))</f>
        <v>550</v>
      </c>
      <c r="AL137" s="282" t="str">
        <f>VLOOKUP(G137,'Planning and Target Times'!$I$2:$J$7,2,0)</f>
        <v>Sandstone</v>
      </c>
      <c r="AM137" s="14">
        <f>V137-R137</f>
        <v>16.895833333335801</v>
      </c>
      <c r="AN137" s="292">
        <v>5.0157977883096363</v>
      </c>
      <c r="AO137" s="292"/>
      <c r="AP137" s="283">
        <f>VLOOKUP(G137,'Planning and Target Times'!$A$43:$L$47,MATCH(F137&amp;"-"&amp;K137&amp;"-"&amp;L137&amp;"-"&amp;J137,INDEX('Planning and Target Times'!$A$43:$L$47,1,0),0),0)</f>
        <v>28</v>
      </c>
      <c r="AQ137" s="281"/>
      <c r="AR137" s="281"/>
      <c r="AS137" s="292"/>
      <c r="AT137" s="292"/>
      <c r="AU137" s="292"/>
      <c r="AV137" s="292"/>
      <c r="AW137" s="292"/>
      <c r="AX137" s="281"/>
      <c r="AY137" s="281"/>
      <c r="AZ137" s="281"/>
      <c r="BA137" s="292"/>
      <c r="BB137" s="292"/>
      <c r="BC137" s="292"/>
      <c r="BD137" s="292"/>
      <c r="BE137" s="292"/>
      <c r="BF137" s="292"/>
      <c r="BG137" s="292"/>
      <c r="BH137" s="292"/>
      <c r="BI137" s="283">
        <v>292438</v>
      </c>
      <c r="BJ137" s="292"/>
      <c r="BK137" s="302">
        <f>COUNT(P$2:P137)</f>
        <v>136</v>
      </c>
      <c r="BL137" s="302">
        <f>SUMPRODUCT(--(YEAR(P$2:P137)=YEAR(P137)))</f>
        <v>42</v>
      </c>
      <c r="BM137" s="302">
        <f t="shared" si="50"/>
        <v>29</v>
      </c>
      <c r="BN137" s="15">
        <f t="shared" si="43"/>
        <v>50.699925996666416</v>
      </c>
      <c r="BO137" s="292"/>
      <c r="BP137" s="292"/>
      <c r="BQ137" s="467">
        <v>1095.6533333333334</v>
      </c>
      <c r="BR137" s="467">
        <v>1077.0066666666667</v>
      </c>
      <c r="BS137" s="467">
        <v>886.89</v>
      </c>
      <c r="BT137" s="467"/>
      <c r="BU137" s="467"/>
      <c r="BV137" s="467"/>
      <c r="BW137" s="467" t="s">
        <v>1877</v>
      </c>
      <c r="BX137" s="469">
        <v>41913</v>
      </c>
      <c r="BY137" s="472">
        <f>BQ137/Q137</f>
        <v>13.891008980454307</v>
      </c>
    </row>
    <row r="138" spans="1:78" x14ac:dyDescent="0.25">
      <c r="A138" s="282" t="s">
        <v>498</v>
      </c>
      <c r="B138" s="281" t="s">
        <v>499</v>
      </c>
      <c r="C138" s="292" t="s">
        <v>499</v>
      </c>
      <c r="D138" s="529" t="s">
        <v>2139</v>
      </c>
      <c r="E138" s="281"/>
      <c r="F138" s="281" t="str">
        <f t="shared" si="51"/>
        <v>SA</v>
      </c>
      <c r="G138" s="281" t="s">
        <v>17</v>
      </c>
      <c r="H138" s="281" t="s">
        <v>79</v>
      </c>
      <c r="I138" s="281" t="s">
        <v>16</v>
      </c>
      <c r="J138" s="281" t="s">
        <v>34</v>
      </c>
      <c r="K138" s="281" t="s">
        <v>18</v>
      </c>
      <c r="L138" s="281" t="s">
        <v>1410</v>
      </c>
      <c r="M138" s="8" t="str">
        <f>VLOOKUP(H138,'Rig Mud Co'!$A$2:$B$17,2,0)</f>
        <v xml:space="preserve">Baker </v>
      </c>
      <c r="N138" s="281"/>
      <c r="O138" s="13">
        <f t="shared" si="46"/>
        <v>41889.833333333336</v>
      </c>
      <c r="P138" s="284">
        <v>41927.833333333336</v>
      </c>
      <c r="Q138" s="292">
        <v>38</v>
      </c>
      <c r="R138" s="334">
        <f>IF(ISERROR(VLOOKUP(G138,'Planning and Target Times'!$L$1:$AJ$6,MATCH(K138&amp;"_"&amp;L138&amp;"_"&amp;J138,INDEX('Planning and Target Times'!$L$1:$AJ$6,1,0),0),0)+5),"",(VLOOKUP(G138,'Planning and Target Times'!$L$1:$AJ$6,MATCH(K138&amp;"_"&amp;L138&amp;"_"&amp;J138,INDEX('Planning and Target Times'!$L$1:$AJ$6,1,0),0),0)+5))</f>
        <v>54</v>
      </c>
      <c r="S138" s="420">
        <f t="shared" si="47"/>
        <v>49</v>
      </c>
      <c r="T138" s="392">
        <f>VLOOKUP(G138,'Planning and Target Times'!$A$7:$G$12,MATCH(K138&amp;"-"&amp;L138&amp;"-"&amp;J138,INDEX('Planning and Target Times'!$A$7:$G$12,1,0),0),0)</f>
        <v>25</v>
      </c>
      <c r="U138" s="292">
        <v>2.7080000000000002</v>
      </c>
      <c r="V138" s="292">
        <f t="shared" si="48"/>
        <v>40.707999999999998</v>
      </c>
      <c r="W138" s="292">
        <f t="shared" si="44"/>
        <v>4335</v>
      </c>
      <c r="X138" s="286" t="str">
        <f t="shared" si="49"/>
        <v>MA</v>
      </c>
      <c r="Y138" s="302">
        <v>12345</v>
      </c>
      <c r="Z138" s="302"/>
      <c r="AA138" s="302">
        <v>7207</v>
      </c>
      <c r="AB138" s="302">
        <v>8010</v>
      </c>
      <c r="AC138" s="302"/>
      <c r="AD138" s="302"/>
      <c r="AE138" s="292"/>
      <c r="AF138" s="292"/>
      <c r="AG138" s="292"/>
      <c r="AH138" s="292"/>
      <c r="AI138" s="292"/>
      <c r="AJ138" s="292"/>
      <c r="AK138" s="282"/>
      <c r="AL138" s="282" t="str">
        <f>VLOOKUP(G138,'Planning and Target Times'!$I$2:$J$7,2,0)</f>
        <v>Carbonate</v>
      </c>
      <c r="AM138" s="14">
        <f>V138-R138</f>
        <v>-13.292000000000002</v>
      </c>
      <c r="AN138" s="292">
        <v>12.717219999999999</v>
      </c>
      <c r="AO138" s="292"/>
      <c r="AP138" s="283">
        <f>VLOOKUP(G138,'Planning and Target Times'!$A$43:$L$47,MATCH(F138&amp;"-"&amp;K138&amp;"-"&amp;L138&amp;"-"&amp;J138,INDEX('Planning and Target Times'!$A$43:$L$47,1,0),0),0)</f>
        <v>300</v>
      </c>
      <c r="AQ138" s="281"/>
      <c r="AR138" s="281"/>
      <c r="AS138" s="292"/>
      <c r="AT138" s="292"/>
      <c r="AU138" s="292"/>
      <c r="AV138" s="292"/>
      <c r="AW138" s="292"/>
      <c r="AX138" s="281"/>
      <c r="AY138" s="281"/>
      <c r="AZ138" s="281"/>
      <c r="BA138" s="292"/>
      <c r="BB138" s="292"/>
      <c r="BC138" s="292"/>
      <c r="BD138" s="292"/>
      <c r="BE138" s="292"/>
      <c r="BF138" s="292"/>
      <c r="BG138" s="292"/>
      <c r="BH138" s="292"/>
      <c r="BI138" s="283">
        <v>292802</v>
      </c>
      <c r="BJ138" s="292"/>
      <c r="BK138" s="302">
        <f>COUNT(P$2:P138)</f>
        <v>137</v>
      </c>
      <c r="BL138" s="302">
        <f>SUMPRODUCT(--(YEAR(P$2:P138)=YEAR(P138)))</f>
        <v>43</v>
      </c>
      <c r="BM138" s="302">
        <f t="shared" si="50"/>
        <v>30</v>
      </c>
      <c r="BN138" s="15">
        <f t="shared" si="43"/>
        <v>50.15832599666642</v>
      </c>
      <c r="BO138" s="292"/>
      <c r="BP138" s="292"/>
      <c r="BQ138" s="464"/>
      <c r="BR138" s="464"/>
      <c r="BS138" s="464"/>
      <c r="BT138" s="464">
        <v>4752.7810035842267</v>
      </c>
      <c r="BU138" s="464">
        <v>5696.7230030721958</v>
      </c>
      <c r="BV138" s="464">
        <v>5428.5266609062974</v>
      </c>
      <c r="BW138" s="464" t="s">
        <v>1879</v>
      </c>
      <c r="BX138" s="469">
        <v>41944</v>
      </c>
      <c r="BZ138" s="472">
        <f>BT138/Q138</f>
        <v>125.07318430484807</v>
      </c>
    </row>
    <row r="139" spans="1:78" x14ac:dyDescent="0.25">
      <c r="A139" s="282" t="s">
        <v>492</v>
      </c>
      <c r="B139" s="281" t="s">
        <v>493</v>
      </c>
      <c r="C139" s="292" t="s">
        <v>493</v>
      </c>
      <c r="D139" s="529" t="s">
        <v>2140</v>
      </c>
      <c r="E139" s="281"/>
      <c r="F139" s="281" t="str">
        <f t="shared" si="51"/>
        <v>SA</v>
      </c>
      <c r="G139" s="281" t="s">
        <v>17</v>
      </c>
      <c r="H139" s="281" t="s">
        <v>37</v>
      </c>
      <c r="I139" s="384" t="s">
        <v>24</v>
      </c>
      <c r="J139" s="281" t="s">
        <v>298</v>
      </c>
      <c r="K139" s="281" t="s">
        <v>18</v>
      </c>
      <c r="L139" s="281" t="s">
        <v>1410</v>
      </c>
      <c r="M139" s="8" t="str">
        <f>VLOOKUP(H139,'Rig Mud Co'!$A$2:$B$17,2,0)</f>
        <v>Baroid</v>
      </c>
      <c r="N139" s="281"/>
      <c r="O139" s="13">
        <f t="shared" si="46"/>
        <v>41891.770833333336</v>
      </c>
      <c r="P139" s="284">
        <v>41934.479166666664</v>
      </c>
      <c r="Q139" s="292">
        <v>42.708333333328483</v>
      </c>
      <c r="R139" s="334">
        <f>IF(ISERROR(VLOOKUP(G139,'Planning and Target Times'!$L$1:$AJ$6,MATCH(K139&amp;"_"&amp;L139&amp;"_"&amp;J139,INDEX('Planning and Target Times'!$L$1:$AJ$6,1,0),0),0)+5),"",(VLOOKUP(G139,'Planning and Target Times'!$L$1:$AJ$6,MATCH(K139&amp;"_"&amp;L139&amp;"_"&amp;J139,INDEX('Planning and Target Times'!$L$1:$AJ$6,1,0),0),0)+5))</f>
        <v>61</v>
      </c>
      <c r="S139" s="420">
        <f t="shared" si="47"/>
        <v>56</v>
      </c>
      <c r="T139" s="392">
        <f>VLOOKUP(G139,'Planning and Target Times'!$A$7:$G$12,MATCH(K139&amp;"-"&amp;L139&amp;"-"&amp;J139,INDEX('Planning and Target Times'!$A$7:$G$12,1,0),0),0)</f>
        <v>27</v>
      </c>
      <c r="U139" s="292">
        <v>2.8333333333357587</v>
      </c>
      <c r="V139" s="292">
        <f t="shared" si="48"/>
        <v>45.541666666664241</v>
      </c>
      <c r="W139" s="292">
        <f t="shared" si="44"/>
        <v>5028</v>
      </c>
      <c r="X139" s="286" t="str">
        <f t="shared" si="49"/>
        <v>MA</v>
      </c>
      <c r="Y139" s="302">
        <v>12853</v>
      </c>
      <c r="Z139" s="302"/>
      <c r="AA139" s="302">
        <v>7055</v>
      </c>
      <c r="AB139" s="302">
        <v>7825</v>
      </c>
      <c r="AC139" s="302"/>
      <c r="AD139" s="302">
        <v>12833</v>
      </c>
      <c r="AE139" s="292"/>
      <c r="AF139" s="292"/>
      <c r="AG139" s="292"/>
      <c r="AH139" s="292"/>
      <c r="AI139" s="292"/>
      <c r="AJ139" s="292"/>
      <c r="AK139" s="282">
        <f>IF(ISERROR(VLOOKUP(G139,'Planning and Target Times'!$B$106:$D$110,MATCH(F139,INDEX('Planning and Target Times'!$B$106:$D$110,1,0),0),0)),"",(VLOOKUP(G139,'Planning and Target Times'!$B$106:$D$110,MATCH(F139,INDEX('Planning and Target Times'!$B$106:$D$110,1,0),0),0)))</f>
        <v>740</v>
      </c>
      <c r="AL139" s="282" t="str">
        <f>VLOOKUP(G139,'Planning and Target Times'!$I$2:$J$7,2,0)</f>
        <v>Carbonate</v>
      </c>
      <c r="AM139" s="292"/>
      <c r="AN139" s="292">
        <v>13.823064770932071</v>
      </c>
      <c r="AO139" s="292"/>
      <c r="AP139" s="283">
        <f>VLOOKUP(G139,'Planning and Target Times'!$A$43:$L$47,MATCH(F139&amp;"-"&amp;K139&amp;"-"&amp;L139&amp;"-"&amp;J139,INDEX('Planning and Target Times'!$A$43:$L$47,1,0),0),0)</f>
        <v>20</v>
      </c>
      <c r="AQ139" s="281"/>
      <c r="AR139" s="281"/>
      <c r="AS139" s="292"/>
      <c r="AT139" s="292"/>
      <c r="AU139" s="292"/>
      <c r="AV139" s="292"/>
      <c r="AW139" s="292"/>
      <c r="AX139" s="281"/>
      <c r="AY139" s="281"/>
      <c r="AZ139" s="281"/>
      <c r="BA139" s="292"/>
      <c r="BB139" s="292"/>
      <c r="BC139" s="292"/>
      <c r="BD139" s="292"/>
      <c r="BE139" s="292"/>
      <c r="BF139" s="292"/>
      <c r="BG139" s="292"/>
      <c r="BH139" s="292"/>
      <c r="BI139" s="283">
        <v>292657</v>
      </c>
      <c r="BJ139" s="292"/>
      <c r="BK139" s="302">
        <f>COUNT(P$2:P139)</f>
        <v>138</v>
      </c>
      <c r="BL139" s="302">
        <f>SUMPRODUCT(--(YEAR(P$2:P139)=YEAR(P139)))</f>
        <v>44</v>
      </c>
      <c r="BM139" s="302">
        <f t="shared" si="50"/>
        <v>31</v>
      </c>
      <c r="BN139" s="15">
        <f t="shared" ref="BN139:BN170" si="52">AVERAGE(Q130:Q139)</f>
        <v>47.791659329999263</v>
      </c>
      <c r="BO139" s="292"/>
      <c r="BP139" s="292"/>
      <c r="BQ139" s="467">
        <v>621.37</v>
      </c>
      <c r="BR139" s="467">
        <v>765.42500000000007</v>
      </c>
      <c r="BS139" s="467">
        <v>783.78000000000009</v>
      </c>
      <c r="BT139" s="467"/>
      <c r="BU139" s="467"/>
      <c r="BV139" s="467"/>
      <c r="BW139" s="467" t="s">
        <v>1877</v>
      </c>
      <c r="BX139" s="469">
        <v>41913</v>
      </c>
      <c r="BY139" s="472">
        <f>BQ139/Q139</f>
        <v>14.549151219513847</v>
      </c>
    </row>
    <row r="140" spans="1:78" x14ac:dyDescent="0.25">
      <c r="A140" s="19" t="s">
        <v>495</v>
      </c>
      <c r="B140" s="281" t="s">
        <v>505</v>
      </c>
      <c r="C140" s="292" t="s">
        <v>505</v>
      </c>
      <c r="D140" s="529" t="s">
        <v>2141</v>
      </c>
      <c r="E140" s="281"/>
      <c r="F140" s="281" t="str">
        <f t="shared" si="51"/>
        <v>RA</v>
      </c>
      <c r="G140" s="281" t="s">
        <v>17</v>
      </c>
      <c r="H140" s="281" t="s">
        <v>12</v>
      </c>
      <c r="I140" s="281" t="s">
        <v>20</v>
      </c>
      <c r="J140" s="281" t="s">
        <v>34</v>
      </c>
      <c r="K140" s="281" t="s">
        <v>18</v>
      </c>
      <c r="L140" s="281" t="s">
        <v>1410</v>
      </c>
      <c r="M140" s="8" t="str">
        <f>VLOOKUP(H140,'Rig Mud Co'!$A$2:$B$17,2,0)</f>
        <v>Baroid</v>
      </c>
      <c r="N140" s="281"/>
      <c r="O140" s="13">
        <f t="shared" si="46"/>
        <v>41913.375</v>
      </c>
      <c r="P140" s="284">
        <v>41944.5</v>
      </c>
      <c r="Q140" s="292">
        <v>31.125</v>
      </c>
      <c r="R140" s="334">
        <f>IF(ISERROR(VLOOKUP(G140,'Planning and Target Times'!$L$1:$AJ$6,MATCH(K140&amp;"_"&amp;L140&amp;"_"&amp;J140,INDEX('Planning and Target Times'!$L$1:$AJ$6,1,0),0),0)+5),"",(VLOOKUP(G140,'Planning and Target Times'!$L$1:$AJ$6,MATCH(K140&amp;"_"&amp;L140&amp;"_"&amp;J140,INDEX('Planning and Target Times'!$L$1:$AJ$6,1,0),0),0)+5))</f>
        <v>54</v>
      </c>
      <c r="S140" s="420">
        <f t="shared" si="47"/>
        <v>49</v>
      </c>
      <c r="T140" s="392">
        <f>VLOOKUP(G140,'Planning and Target Times'!$A$7:$G$12,MATCH(K140&amp;"-"&amp;L140&amp;"-"&amp;J140,INDEX('Planning and Target Times'!$A$7:$G$12,1,0),0),0)</f>
        <v>25</v>
      </c>
      <c r="U140" s="292">
        <v>34.3125</v>
      </c>
      <c r="V140" s="292">
        <f t="shared" si="48"/>
        <v>65.4375</v>
      </c>
      <c r="W140" s="292">
        <f t="shared" si="44"/>
        <v>4842</v>
      </c>
      <c r="X140" s="286" t="str">
        <f t="shared" si="49"/>
        <v>MA</v>
      </c>
      <c r="Y140" s="302">
        <v>13475</v>
      </c>
      <c r="Z140" s="302"/>
      <c r="AA140" s="302">
        <v>6395</v>
      </c>
      <c r="AB140" s="302">
        <v>8633</v>
      </c>
      <c r="AC140" s="302"/>
      <c r="AD140" s="302"/>
      <c r="AE140" s="292"/>
      <c r="AF140" s="292"/>
      <c r="AG140" s="292"/>
      <c r="AH140" s="292"/>
      <c r="AI140" s="292"/>
      <c r="AJ140" s="292"/>
      <c r="AK140" s="282"/>
      <c r="AL140" s="282" t="str">
        <f>VLOOKUP(G140,'Planning and Target Times'!$I$2:$J$7,2,0)</f>
        <v>Carbonate</v>
      </c>
      <c r="AM140" s="292"/>
      <c r="AN140" s="292">
        <v>6.2796208530805684</v>
      </c>
      <c r="AO140" s="292"/>
      <c r="AP140" s="283">
        <f>VLOOKUP(G140,'Planning and Target Times'!$A$43:$L$47,MATCH(F140&amp;"-"&amp;K140&amp;"-"&amp;L140&amp;"-"&amp;J140,INDEX('Planning and Target Times'!$A$43:$L$47,1,0),0),0)</f>
        <v>300</v>
      </c>
      <c r="AQ140" s="281"/>
      <c r="AR140" s="281"/>
      <c r="AS140" s="292"/>
      <c r="AT140" s="292"/>
      <c r="AU140" s="292"/>
      <c r="AV140" s="292"/>
      <c r="AW140" s="292"/>
      <c r="AX140" s="281"/>
      <c r="AY140" s="281"/>
      <c r="AZ140" s="281"/>
      <c r="BA140" s="292"/>
      <c r="BB140" s="292"/>
      <c r="BC140" s="292"/>
      <c r="BD140" s="292"/>
      <c r="BE140" s="292"/>
      <c r="BF140" s="292"/>
      <c r="BG140" s="292"/>
      <c r="BH140" s="292"/>
      <c r="BI140" s="283">
        <v>293048</v>
      </c>
      <c r="BJ140" s="292"/>
      <c r="BK140" s="302">
        <f>COUNT(P$2:P140)</f>
        <v>139</v>
      </c>
      <c r="BL140" s="302">
        <f>SUMPRODUCT(--(YEAR(P$2:P140)=YEAR(P140)))</f>
        <v>45</v>
      </c>
      <c r="BM140" s="302">
        <f t="shared" si="50"/>
        <v>32</v>
      </c>
      <c r="BN140" s="15">
        <f t="shared" si="52"/>
        <v>44.983326329999265</v>
      </c>
      <c r="BO140" s="292"/>
      <c r="BP140" s="292"/>
      <c r="BQ140" s="464"/>
      <c r="BR140" s="464"/>
      <c r="BS140" s="464"/>
      <c r="BT140" s="464">
        <v>4336.9732718894002</v>
      </c>
      <c r="BU140" s="464">
        <v>4173.7545007680474</v>
      </c>
      <c r="BV140" s="464">
        <v>4173.7545007680474</v>
      </c>
      <c r="BW140" s="464" t="s">
        <v>1879</v>
      </c>
      <c r="BX140" s="469">
        <v>42036</v>
      </c>
      <c r="BZ140" s="472">
        <f>BT140/Q140</f>
        <v>139.3405067273703</v>
      </c>
    </row>
    <row r="141" spans="1:78" x14ac:dyDescent="0.25">
      <c r="A141" s="282" t="s">
        <v>497</v>
      </c>
      <c r="B141" s="281" t="s">
        <v>810</v>
      </c>
      <c r="C141" s="292" t="s">
        <v>2204</v>
      </c>
      <c r="D141" s="556" t="s">
        <v>2205</v>
      </c>
      <c r="E141" s="281"/>
      <c r="F141" s="281" t="str">
        <f t="shared" si="51"/>
        <v>SA</v>
      </c>
      <c r="G141" s="281" t="s">
        <v>29</v>
      </c>
      <c r="H141" s="281" t="s">
        <v>46</v>
      </c>
      <c r="I141" s="384" t="s">
        <v>24</v>
      </c>
      <c r="J141" s="281" t="s">
        <v>298</v>
      </c>
      <c r="K141" s="32" t="s">
        <v>18</v>
      </c>
      <c r="L141" s="281" t="s">
        <v>1416</v>
      </c>
      <c r="M141" s="8" t="str">
        <f>VLOOKUP(H141,'Rig Mud Co'!$A$2:$B$17,2,0)</f>
        <v>Baroid</v>
      </c>
      <c r="N141" s="281">
        <v>1</v>
      </c>
      <c r="O141" s="13">
        <f t="shared" si="46"/>
        <v>41896.75</v>
      </c>
      <c r="P141" s="284">
        <v>41961.25</v>
      </c>
      <c r="Q141" s="292">
        <v>64.5</v>
      </c>
      <c r="R141" s="334">
        <f>IF(ISERROR(VLOOKUP(G141,'Planning and Target Times'!$L$1:$AJ$6,MATCH(K141&amp;"_"&amp;L141&amp;"_"&amp;J141,INDEX('Planning and Target Times'!$L$1:$AJ$6,1,0),0),0)+5),"",(VLOOKUP(G141,'Planning and Target Times'!$L$1:$AJ$6,MATCH(K141&amp;"_"&amp;L141&amp;"_"&amp;J141,INDEX('Planning and Target Times'!$L$1:$AJ$6,1,0),0),0)+5))</f>
        <v>61</v>
      </c>
      <c r="S141" s="420">
        <f t="shared" si="47"/>
        <v>56</v>
      </c>
      <c r="T141" s="392" t="e">
        <f>VLOOKUP(G141,'Planning and Target Times'!$A$7:$G$12,MATCH(K141&amp;"-"&amp;L141&amp;"-"&amp;J141,INDEX('Planning and Target Times'!$A$7:$G$12,1,0),0),0)</f>
        <v>#N/A</v>
      </c>
      <c r="U141" s="292">
        <v>33.333333333335759</v>
      </c>
      <c r="V141" s="292">
        <f t="shared" si="48"/>
        <v>97.833333333335759</v>
      </c>
      <c r="W141" s="292">
        <f t="shared" si="44"/>
        <v>0</v>
      </c>
      <c r="X141" s="286" t="str">
        <f t="shared" si="49"/>
        <v>UB</v>
      </c>
      <c r="Y141" s="302">
        <v>8290</v>
      </c>
      <c r="Z141" s="302"/>
      <c r="AA141" s="302">
        <v>5938</v>
      </c>
      <c r="AB141" s="302"/>
      <c r="AC141" s="302"/>
      <c r="AD141" s="302">
        <v>8290</v>
      </c>
      <c r="AE141" s="292"/>
      <c r="AF141" s="292"/>
      <c r="AG141" s="292"/>
      <c r="AH141" s="292"/>
      <c r="AI141" s="292"/>
      <c r="AJ141" s="292"/>
      <c r="AK141" s="282">
        <f>IF(ISERROR(VLOOKUP(G141,'Planning and Target Times'!$B$106:$D$110,MATCH(F141,INDEX('Planning and Target Times'!$B$106:$D$110,1,0),0),0)),"",(VLOOKUP(G141,'Planning and Target Times'!$B$106:$D$110,MATCH(F141,INDEX('Planning and Target Times'!$B$106:$D$110,1,0),0),0)))</f>
        <v>630</v>
      </c>
      <c r="AL141" s="282" t="str">
        <f>VLOOKUP(G141,'Planning and Target Times'!$I$2:$J$7,2,0)</f>
        <v>Sandstone</v>
      </c>
      <c r="AM141" s="292"/>
      <c r="AN141" s="292">
        <v>97.70932069510269</v>
      </c>
      <c r="AO141" s="292"/>
      <c r="AP141" s="283" t="e">
        <f>VLOOKUP(G141,'Planning and Target Times'!$A$43:$L$47,MATCH(F141&amp;"-"&amp;K141&amp;"-"&amp;L141&amp;"-"&amp;J141,INDEX('Planning and Target Times'!$A$43:$L$47,1,0),0),0)</f>
        <v>#N/A</v>
      </c>
      <c r="AQ141" s="281"/>
      <c r="AR141" s="281"/>
      <c r="AS141" s="292"/>
      <c r="AT141" s="292"/>
      <c r="AU141" s="292"/>
      <c r="AV141" s="292"/>
      <c r="AW141" s="292"/>
      <c r="AX141" s="281"/>
      <c r="AY141" s="281"/>
      <c r="AZ141" s="281"/>
      <c r="BA141" s="292"/>
      <c r="BB141" s="292"/>
      <c r="BC141" s="292"/>
      <c r="BD141" s="292"/>
      <c r="BE141" s="292"/>
      <c r="BF141" s="292"/>
      <c r="BG141" s="292"/>
      <c r="BH141" s="292"/>
      <c r="BI141" s="283">
        <v>292954</v>
      </c>
      <c r="BJ141" s="292"/>
      <c r="BK141" s="302">
        <f>COUNT(P$2:P141)</f>
        <v>140</v>
      </c>
      <c r="BL141" s="302">
        <f>SUMPRODUCT(--(YEAR(P$2:P141)=YEAR(P141)))</f>
        <v>46</v>
      </c>
      <c r="BM141" s="302">
        <f t="shared" si="50"/>
        <v>33</v>
      </c>
      <c r="BN141" s="15">
        <f t="shared" si="52"/>
        <v>45.566666329999265</v>
      </c>
      <c r="BO141" s="292"/>
      <c r="BP141" s="292"/>
      <c r="BQ141" s="467">
        <v>918.65333333333331</v>
      </c>
      <c r="BR141" s="467">
        <v>979.95999999999992</v>
      </c>
      <c r="BS141" s="467">
        <v>1010.0785714285713</v>
      </c>
      <c r="BT141" s="467"/>
      <c r="BU141" s="467"/>
      <c r="BV141" s="467"/>
      <c r="BW141" s="467" t="s">
        <v>1877</v>
      </c>
      <c r="BX141" s="469">
        <v>41944</v>
      </c>
      <c r="BY141" s="472">
        <f>BQ141/Q141</f>
        <v>14.242687338501291</v>
      </c>
    </row>
    <row r="142" spans="1:78" x14ac:dyDescent="0.25">
      <c r="A142" s="282" t="s">
        <v>719</v>
      </c>
      <c r="B142" s="281" t="s">
        <v>733</v>
      </c>
      <c r="C142" s="292" t="s">
        <v>804</v>
      </c>
      <c r="D142" s="529" t="s">
        <v>2142</v>
      </c>
      <c r="E142" s="281"/>
      <c r="F142" s="281" t="str">
        <f t="shared" si="51"/>
        <v>SA</v>
      </c>
      <c r="G142" s="281" t="s">
        <v>17</v>
      </c>
      <c r="H142" s="281" t="s">
        <v>25</v>
      </c>
      <c r="I142" s="281" t="s">
        <v>20</v>
      </c>
      <c r="J142" s="281" t="s">
        <v>34</v>
      </c>
      <c r="K142" s="281" t="s">
        <v>18</v>
      </c>
      <c r="L142" s="281" t="s">
        <v>1410</v>
      </c>
      <c r="M142" s="8" t="str">
        <f>VLOOKUP(H142,'Rig Mud Co'!$A$2:$B$17,2,0)</f>
        <v>Baroid</v>
      </c>
      <c r="N142" s="281"/>
      <c r="O142" s="13">
        <f t="shared" si="46"/>
        <v>41914.416666666664</v>
      </c>
      <c r="P142" s="284">
        <v>41962.25</v>
      </c>
      <c r="Q142" s="292">
        <v>47.833333333335759</v>
      </c>
      <c r="R142" s="334">
        <f>IF(ISERROR(VLOOKUP(G142,'Planning and Target Times'!$L$1:$AJ$6,MATCH(K142&amp;"_"&amp;L142&amp;"_"&amp;J142,INDEX('Planning and Target Times'!$L$1:$AJ$6,1,0),0),0)+5),"",(VLOOKUP(G142,'Planning and Target Times'!$L$1:$AJ$6,MATCH(K142&amp;"_"&amp;L142&amp;"_"&amp;J142,INDEX('Planning and Target Times'!$L$1:$AJ$6,1,0),0),0)+5))</f>
        <v>54</v>
      </c>
      <c r="S142" s="420">
        <f t="shared" si="47"/>
        <v>49</v>
      </c>
      <c r="T142" s="392">
        <f>VLOOKUP(G142,'Planning and Target Times'!$A$7:$G$12,MATCH(K142&amp;"-"&amp;L142&amp;"-"&amp;J142,INDEX('Planning and Target Times'!$A$7:$G$12,1,0),0),0)</f>
        <v>25</v>
      </c>
      <c r="U142" s="292">
        <v>2.0833333333284827</v>
      </c>
      <c r="V142" s="292">
        <f t="shared" si="48"/>
        <v>49.916666666664241</v>
      </c>
      <c r="W142" s="292">
        <f t="shared" si="44"/>
        <v>2547</v>
      </c>
      <c r="X142" s="286" t="str">
        <f t="shared" si="49"/>
        <v>MA</v>
      </c>
      <c r="Y142" s="302">
        <v>10897</v>
      </c>
      <c r="Z142" s="302"/>
      <c r="AA142" s="302"/>
      <c r="AB142" s="302">
        <v>8350</v>
      </c>
      <c r="AC142" s="302"/>
      <c r="AD142" s="302"/>
      <c r="AE142" s="292"/>
      <c r="AF142" s="292"/>
      <c r="AG142" s="292"/>
      <c r="AH142" s="292"/>
      <c r="AI142" s="292"/>
      <c r="AJ142" s="292"/>
      <c r="AK142" s="282"/>
      <c r="AL142" s="282" t="str">
        <f>VLOOKUP(G142,'Planning and Target Times'!$I$2:$J$7,2,0)</f>
        <v>Carbonate</v>
      </c>
      <c r="AM142" s="292"/>
      <c r="AN142" s="292"/>
      <c r="AO142" s="292"/>
      <c r="AP142" s="283">
        <f>VLOOKUP(G142,'Planning and Target Times'!$A$43:$L$47,MATCH(F142&amp;"-"&amp;K142&amp;"-"&amp;L142&amp;"-"&amp;J142,INDEX('Planning and Target Times'!$A$43:$L$47,1,0),0),0)</f>
        <v>300</v>
      </c>
      <c r="AQ142" s="281"/>
      <c r="AR142" s="281"/>
      <c r="AS142" s="292"/>
      <c r="AT142" s="292"/>
      <c r="AU142" s="292"/>
      <c r="AV142" s="292"/>
      <c r="AW142" s="292"/>
      <c r="AX142" s="281"/>
      <c r="AY142" s="281"/>
      <c r="AZ142" s="281"/>
      <c r="BA142" s="292"/>
      <c r="BB142" s="292"/>
      <c r="BC142" s="292"/>
      <c r="BD142" s="292"/>
      <c r="BE142" s="292"/>
      <c r="BF142" s="292"/>
      <c r="BG142" s="292"/>
      <c r="BH142" s="292"/>
      <c r="BI142" s="283">
        <v>293046</v>
      </c>
      <c r="BJ142" s="292"/>
      <c r="BK142" s="302">
        <f>COUNT(P$2:P142)</f>
        <v>141</v>
      </c>
      <c r="BL142" s="302">
        <f>SUMPRODUCT(--(YEAR(P$2:P142)=YEAR(P142)))</f>
        <v>47</v>
      </c>
      <c r="BM142" s="302">
        <f t="shared" si="50"/>
        <v>34</v>
      </c>
      <c r="BN142" s="15">
        <f t="shared" si="52"/>
        <v>44.41041633333284</v>
      </c>
      <c r="BO142" s="292"/>
      <c r="BP142" s="292"/>
      <c r="BQ142" s="464"/>
      <c r="BR142" s="464"/>
      <c r="BS142" s="464"/>
      <c r="BT142" s="464">
        <v>10453.792626728107</v>
      </c>
      <c r="BU142" s="464">
        <v>11857.655811571953</v>
      </c>
      <c r="BV142" s="464">
        <v>11350.543076585484</v>
      </c>
      <c r="BW142" s="464" t="s">
        <v>1879</v>
      </c>
      <c r="BX142" s="469">
        <v>41974</v>
      </c>
      <c r="BZ142" s="472">
        <f>BT142/Q142</f>
        <v>218.54618731834657</v>
      </c>
    </row>
    <row r="143" spans="1:78" x14ac:dyDescent="0.25">
      <c r="A143" s="282" t="s">
        <v>721</v>
      </c>
      <c r="B143" s="281" t="s">
        <v>732</v>
      </c>
      <c r="C143" s="292" t="s">
        <v>1634</v>
      </c>
      <c r="D143" s="529" t="s">
        <v>2143</v>
      </c>
      <c r="E143" s="281"/>
      <c r="F143" s="281" t="str">
        <f t="shared" si="51"/>
        <v>SA</v>
      </c>
      <c r="G143" s="281" t="s">
        <v>17</v>
      </c>
      <c r="H143" s="281" t="s">
        <v>79</v>
      </c>
      <c r="I143" s="281" t="s">
        <v>16</v>
      </c>
      <c r="J143" s="281" t="s">
        <v>34</v>
      </c>
      <c r="K143" s="281" t="s">
        <v>18</v>
      </c>
      <c r="L143" s="281" t="s">
        <v>1410</v>
      </c>
      <c r="M143" s="8" t="str">
        <f>VLOOKUP(H143,'Rig Mud Co'!$A$2:$B$17,2,0)</f>
        <v xml:space="preserve">Baker </v>
      </c>
      <c r="N143" s="281"/>
      <c r="O143" s="13">
        <f t="shared" si="46"/>
        <v>41930.333333333336</v>
      </c>
      <c r="P143" s="284">
        <v>41965.416666666664</v>
      </c>
      <c r="Q143" s="292">
        <v>35.083333333328483</v>
      </c>
      <c r="R143" s="334">
        <f>IF(ISERROR(VLOOKUP(G143,'Planning and Target Times'!$L$1:$AJ$6,MATCH(K143&amp;"_"&amp;L143&amp;"_"&amp;J143,INDEX('Planning and Target Times'!$L$1:$AJ$6,1,0),0),0)+5),"",(VLOOKUP(G143,'Planning and Target Times'!$L$1:$AJ$6,MATCH(K143&amp;"_"&amp;L143&amp;"_"&amp;J143,INDEX('Planning and Target Times'!$L$1:$AJ$6,1,0),0),0)+5))</f>
        <v>54</v>
      </c>
      <c r="S143" s="420">
        <f t="shared" si="47"/>
        <v>49</v>
      </c>
      <c r="T143" s="392">
        <f>VLOOKUP(G143,'Planning and Target Times'!$A$7:$G$12,MATCH(K143&amp;"-"&amp;L143&amp;"-"&amp;J143,INDEX('Planning and Target Times'!$A$7:$G$12,1,0),0),0)</f>
        <v>25</v>
      </c>
      <c r="U143" s="292">
        <v>2.5</v>
      </c>
      <c r="V143" s="292">
        <f t="shared" si="48"/>
        <v>37.583333333328483</v>
      </c>
      <c r="W143" s="292">
        <f t="shared" si="44"/>
        <v>3726</v>
      </c>
      <c r="X143" s="286" t="str">
        <f t="shared" si="49"/>
        <v>MA</v>
      </c>
      <c r="Y143" s="302">
        <v>11849</v>
      </c>
      <c r="Z143" s="302"/>
      <c r="AA143" s="302">
        <v>7082</v>
      </c>
      <c r="AB143" s="302">
        <v>8123</v>
      </c>
      <c r="AC143" s="302"/>
      <c r="AD143" s="302"/>
      <c r="AE143" s="292"/>
      <c r="AF143" s="292"/>
      <c r="AG143" s="292"/>
      <c r="AH143" s="292"/>
      <c r="AI143" s="292"/>
      <c r="AJ143" s="292"/>
      <c r="AK143" s="282"/>
      <c r="AL143" s="282" t="str">
        <f>VLOOKUP(G143,'Planning and Target Times'!$I$2:$J$7,2,0)</f>
        <v>Carbonate</v>
      </c>
      <c r="AM143" s="292"/>
      <c r="AN143" s="292"/>
      <c r="AO143" s="292"/>
      <c r="AP143" s="283">
        <f>VLOOKUP(G143,'Planning and Target Times'!$A$43:$L$47,MATCH(F143&amp;"-"&amp;K143&amp;"-"&amp;L143&amp;"-"&amp;J143,INDEX('Planning and Target Times'!$A$43:$L$47,1,0),0),0)</f>
        <v>300</v>
      </c>
      <c r="AQ143" s="281"/>
      <c r="AR143" s="281"/>
      <c r="AS143" s="292"/>
      <c r="AT143" s="292"/>
      <c r="AU143" s="292"/>
      <c r="AV143" s="292"/>
      <c r="AW143" s="292"/>
      <c r="AX143" s="281"/>
      <c r="AY143" s="281"/>
      <c r="AZ143" s="281"/>
      <c r="BA143" s="292"/>
      <c r="BB143" s="292"/>
      <c r="BC143" s="292"/>
      <c r="BD143" s="292"/>
      <c r="BE143" s="292"/>
      <c r="BF143" s="292"/>
      <c r="BG143" s="292"/>
      <c r="BH143" s="292"/>
      <c r="BI143" s="283"/>
      <c r="BJ143" s="292"/>
      <c r="BK143" s="302">
        <f>COUNT(P$2:P143)</f>
        <v>142</v>
      </c>
      <c r="BL143" s="302">
        <f>SUMPRODUCT(--(YEAR(P$2:P143)=YEAR(P143)))</f>
        <v>48</v>
      </c>
      <c r="BM143" s="302">
        <f t="shared" si="50"/>
        <v>35</v>
      </c>
      <c r="BN143" s="15">
        <f t="shared" si="52"/>
        <v>43.841666666665688</v>
      </c>
      <c r="BO143" s="292"/>
      <c r="BP143" s="292"/>
      <c r="BQ143" s="464"/>
      <c r="BR143" s="464"/>
      <c r="BS143" s="464"/>
      <c r="BT143" s="464">
        <v>6880.776113671277</v>
      </c>
      <c r="BU143" s="464">
        <v>8414.6647593445941</v>
      </c>
      <c r="BV143" s="464">
        <v>8414.6647593445941</v>
      </c>
      <c r="BW143" s="464" t="s">
        <v>1879</v>
      </c>
      <c r="BX143" s="469">
        <v>42005</v>
      </c>
      <c r="BZ143" s="472">
        <f>BT143/Q143</f>
        <v>196.12663506904215</v>
      </c>
    </row>
    <row r="144" spans="1:78" x14ac:dyDescent="0.25">
      <c r="A144" s="282" t="s">
        <v>727</v>
      </c>
      <c r="B144" s="281" t="s">
        <v>720</v>
      </c>
      <c r="C144" s="292" t="s">
        <v>720</v>
      </c>
      <c r="D144" s="529" t="s">
        <v>2144</v>
      </c>
      <c r="E144" s="281"/>
      <c r="F144" s="281" t="str">
        <f t="shared" si="51"/>
        <v>RA</v>
      </c>
      <c r="G144" s="281" t="s">
        <v>17</v>
      </c>
      <c r="H144" s="281" t="s">
        <v>430</v>
      </c>
      <c r="I144" s="281" t="s">
        <v>39</v>
      </c>
      <c r="J144" s="281" t="s">
        <v>298</v>
      </c>
      <c r="K144" s="281" t="s">
        <v>14</v>
      </c>
      <c r="L144" s="281" t="s">
        <v>1410</v>
      </c>
      <c r="M144" s="8" t="e">
        <f>VLOOKUP(H144,'Rig Mud Co'!$A$2:$B$17,2,0)</f>
        <v>#N/A</v>
      </c>
      <c r="N144" s="281"/>
      <c r="O144" s="13">
        <f t="shared" si="46"/>
        <v>41918.75</v>
      </c>
      <c r="P144" s="284">
        <v>41966.541666666664</v>
      </c>
      <c r="Q144" s="292">
        <v>47.791666666664241</v>
      </c>
      <c r="R144" s="334">
        <f>IF(ISERROR(VLOOKUP(G144,'Planning and Target Times'!$L$1:$AJ$6,MATCH(K144&amp;"_"&amp;L144&amp;"_"&amp;J144,INDEX('Planning and Target Times'!$L$1:$AJ$6,1,0),0),0)+5),"",(VLOOKUP(G144,'Planning and Target Times'!$L$1:$AJ$6,MATCH(K144&amp;"_"&amp;L144&amp;"_"&amp;J144,INDEX('Planning and Target Times'!$L$1:$AJ$6,1,0),0),0)+5))</f>
        <v>75</v>
      </c>
      <c r="S144" s="420">
        <f t="shared" si="47"/>
        <v>70</v>
      </c>
      <c r="T144" s="392">
        <f>VLOOKUP(G144,'Planning and Target Times'!$A$7:$G$12,MATCH(K144&amp;"-"&amp;L144&amp;"-"&amp;J144,INDEX('Planning and Target Times'!$A$7:$G$12,1,0),0),0)</f>
        <v>35</v>
      </c>
      <c r="U144" s="292">
        <v>5.8333333333357587</v>
      </c>
      <c r="V144" s="292">
        <f t="shared" si="48"/>
        <v>53.625</v>
      </c>
      <c r="W144" s="292">
        <f t="shared" si="44"/>
        <v>3111</v>
      </c>
      <c r="X144" s="286" t="str">
        <f t="shared" si="49"/>
        <v>MA</v>
      </c>
      <c r="Y144" s="302">
        <v>11650</v>
      </c>
      <c r="Z144" s="302">
        <v>6185</v>
      </c>
      <c r="AA144" s="302">
        <v>7448</v>
      </c>
      <c r="AB144" s="302">
        <v>8539</v>
      </c>
      <c r="AC144" s="302"/>
      <c r="AD144" s="302"/>
      <c r="AE144" s="292"/>
      <c r="AF144" s="292"/>
      <c r="AG144" s="292"/>
      <c r="AH144" s="292"/>
      <c r="AI144" s="292"/>
      <c r="AJ144" s="292"/>
      <c r="AK144" s="282">
        <f>IF(ISERROR(VLOOKUP(G144,'Planning and Target Times'!$B$106:$D$110,MATCH(F144,INDEX('Planning and Target Times'!$B$106:$D$110,1,0),0),0)),"",(VLOOKUP(G144,'Planning and Target Times'!$B$106:$D$110,MATCH(F144,INDEX('Planning and Target Times'!$B$106:$D$110,1,0),0),0)))</f>
        <v>650</v>
      </c>
      <c r="AL144" s="282" t="str">
        <f>VLOOKUP(G144,'Planning and Target Times'!$I$2:$J$7,2,0)</f>
        <v>Carbonate</v>
      </c>
      <c r="AM144" s="292"/>
      <c r="AN144" s="292"/>
      <c r="AO144" s="292"/>
      <c r="AP144" s="283">
        <f>VLOOKUP(G144,'Planning and Target Times'!$A$43:$L$47,MATCH(F144&amp;"-"&amp;K144&amp;"-"&amp;L144&amp;"-"&amp;J144,INDEX('Planning and Target Times'!$A$43:$L$47,1,0),0),0)</f>
        <v>16</v>
      </c>
      <c r="AQ144" s="281"/>
      <c r="AR144" s="281"/>
      <c r="AS144" s="292"/>
      <c r="AT144" s="292"/>
      <c r="AU144" s="292"/>
      <c r="AV144" s="292"/>
      <c r="AW144" s="292"/>
      <c r="AX144" s="281"/>
      <c r="AY144" s="281"/>
      <c r="AZ144" s="281"/>
      <c r="BA144" s="292"/>
      <c r="BB144" s="292"/>
      <c r="BC144" s="292"/>
      <c r="BD144" s="292"/>
      <c r="BE144" s="292"/>
      <c r="BF144" s="292"/>
      <c r="BG144" s="292"/>
      <c r="BH144" s="292"/>
      <c r="BI144" s="283">
        <v>293129</v>
      </c>
      <c r="BJ144" s="292"/>
      <c r="BK144" s="302">
        <f>COUNT(P$2:P144)</f>
        <v>143</v>
      </c>
      <c r="BL144" s="302">
        <f>SUMPRODUCT(--(YEAR(P$2:P144)=YEAR(P144)))</f>
        <v>49</v>
      </c>
      <c r="BM144" s="302">
        <f t="shared" si="50"/>
        <v>36</v>
      </c>
      <c r="BN144" s="15">
        <f t="shared" si="52"/>
        <v>44.537499999998538</v>
      </c>
      <c r="BO144" s="292"/>
      <c r="BP144" s="292"/>
      <c r="BQ144" s="467">
        <v>723.45666666666659</v>
      </c>
      <c r="BR144" s="467">
        <v>958.36166666666668</v>
      </c>
      <c r="BS144" s="467">
        <v>958.36166666666668</v>
      </c>
      <c r="BT144" s="467"/>
      <c r="BU144" s="467"/>
      <c r="BV144" s="467"/>
      <c r="BW144" s="467" t="s">
        <v>1877</v>
      </c>
      <c r="BX144" s="469">
        <v>41974</v>
      </c>
      <c r="BY144" s="472">
        <f>BQ144/Q144</f>
        <v>15.137715780297192</v>
      </c>
    </row>
    <row r="145" spans="1:78" x14ac:dyDescent="0.25">
      <c r="A145" s="282" t="s">
        <v>724</v>
      </c>
      <c r="B145" s="281" t="s">
        <v>729</v>
      </c>
      <c r="C145" s="292" t="s">
        <v>807</v>
      </c>
      <c r="D145" s="529" t="s">
        <v>2145</v>
      </c>
      <c r="E145" s="281"/>
      <c r="F145" s="281" t="str">
        <f t="shared" si="51"/>
        <v>SA</v>
      </c>
      <c r="G145" s="281" t="s">
        <v>17</v>
      </c>
      <c r="H145" s="281" t="s">
        <v>37</v>
      </c>
      <c r="I145" s="281" t="s">
        <v>16</v>
      </c>
      <c r="J145" s="281" t="s">
        <v>34</v>
      </c>
      <c r="K145" s="281" t="s">
        <v>18</v>
      </c>
      <c r="L145" s="281" t="s">
        <v>1410</v>
      </c>
      <c r="M145" s="8" t="str">
        <f>VLOOKUP(H145,'Rig Mud Co'!$A$2:$B$17,2,0)</f>
        <v>Baroid</v>
      </c>
      <c r="N145" s="281"/>
      <c r="O145" s="13">
        <f t="shared" si="46"/>
        <v>41936.604166666664</v>
      </c>
      <c r="P145" s="284">
        <v>41966.791666666664</v>
      </c>
      <c r="Q145" s="292">
        <v>30.1875</v>
      </c>
      <c r="R145" s="334">
        <f>IF(ISERROR(VLOOKUP(G145,'Planning and Target Times'!$L$1:$AJ$6,MATCH(K145&amp;"_"&amp;L145&amp;"_"&amp;J145,INDEX('Planning and Target Times'!$L$1:$AJ$6,1,0),0),0)+5),"",(VLOOKUP(G145,'Planning and Target Times'!$L$1:$AJ$6,MATCH(K145&amp;"_"&amp;L145&amp;"_"&amp;J145,INDEX('Planning and Target Times'!$L$1:$AJ$6,1,0),0),0)+5))</f>
        <v>54</v>
      </c>
      <c r="S145" s="420">
        <f t="shared" si="47"/>
        <v>49</v>
      </c>
      <c r="T145" s="392">
        <f>VLOOKUP(G145,'Planning and Target Times'!$A$7:$G$12,MATCH(K145&amp;"-"&amp;L145&amp;"-"&amp;J145,INDEX('Planning and Target Times'!$A$7:$G$12,1,0),0),0)</f>
        <v>25</v>
      </c>
      <c r="U145" s="292">
        <v>2.125</v>
      </c>
      <c r="V145" s="292">
        <f t="shared" si="48"/>
        <v>32.3125</v>
      </c>
      <c r="W145" s="292">
        <f t="shared" si="44"/>
        <v>5000</v>
      </c>
      <c r="X145" s="286" t="str">
        <f t="shared" si="49"/>
        <v>MA</v>
      </c>
      <c r="Y145" s="302">
        <v>13127</v>
      </c>
      <c r="Z145" s="302"/>
      <c r="AA145" s="302">
        <v>7070</v>
      </c>
      <c r="AB145" s="302">
        <v>8127</v>
      </c>
      <c r="AC145" s="302"/>
      <c r="AD145" s="302"/>
      <c r="AE145" s="292"/>
      <c r="AF145" s="292"/>
      <c r="AG145" s="292"/>
      <c r="AH145" s="292"/>
      <c r="AI145" s="292"/>
      <c r="AJ145" s="292"/>
      <c r="AK145" s="282"/>
      <c r="AL145" s="282" t="str">
        <f>VLOOKUP(G145,'Planning and Target Times'!$I$2:$J$7,2,0)</f>
        <v>Carbonate</v>
      </c>
      <c r="AM145" s="292"/>
      <c r="AN145" s="292"/>
      <c r="AO145" s="292"/>
      <c r="AP145" s="283">
        <f>VLOOKUP(G145,'Planning and Target Times'!$A$43:$L$47,MATCH(F145&amp;"-"&amp;K145&amp;"-"&amp;L145&amp;"-"&amp;J145,INDEX('Planning and Target Times'!$A$43:$L$47,1,0),0),0)</f>
        <v>300</v>
      </c>
      <c r="AQ145" s="281"/>
      <c r="AR145" s="281"/>
      <c r="AS145" s="292"/>
      <c r="AT145" s="292"/>
      <c r="AU145" s="292"/>
      <c r="AV145" s="292"/>
      <c r="AW145" s="292"/>
      <c r="AX145" s="281"/>
      <c r="AY145" s="281"/>
      <c r="AZ145" s="281"/>
      <c r="BA145" s="292"/>
      <c r="BB145" s="292"/>
      <c r="BC145" s="292"/>
      <c r="BD145" s="292"/>
      <c r="BE145" s="292"/>
      <c r="BF145" s="292"/>
      <c r="BG145" s="292"/>
      <c r="BH145" s="292"/>
      <c r="BI145" s="283">
        <v>293080</v>
      </c>
      <c r="BJ145" s="292"/>
      <c r="BK145" s="302">
        <f>COUNT(P$2:P145)</f>
        <v>144</v>
      </c>
      <c r="BL145" s="302">
        <f>SUMPRODUCT(--(YEAR(P$2:P145)=YEAR(P145)))</f>
        <v>50</v>
      </c>
      <c r="BM145" s="302">
        <f t="shared" si="50"/>
        <v>37</v>
      </c>
      <c r="BN145" s="15">
        <f t="shared" si="52"/>
        <v>44.689583333332116</v>
      </c>
      <c r="BO145" s="292"/>
      <c r="BP145" s="292"/>
      <c r="BQ145" s="464"/>
      <c r="BR145" s="464"/>
      <c r="BS145" s="464"/>
      <c r="BT145" s="464">
        <v>4758.0245775729636</v>
      </c>
      <c r="BU145" s="464">
        <v>4634.9785970302082</v>
      </c>
      <c r="BV145" s="464">
        <v>4512.9578450735116</v>
      </c>
      <c r="BW145" s="464" t="s">
        <v>1879</v>
      </c>
      <c r="BX145" s="469">
        <v>41974</v>
      </c>
      <c r="BZ145" s="472">
        <f>BT145/Q145</f>
        <v>157.61572099620582</v>
      </c>
    </row>
    <row r="146" spans="1:78" x14ac:dyDescent="0.25">
      <c r="A146" s="67" t="s">
        <v>722</v>
      </c>
      <c r="B146" s="281" t="s">
        <v>731</v>
      </c>
      <c r="C146" s="292" t="s">
        <v>805</v>
      </c>
      <c r="D146" s="529" t="s">
        <v>2146</v>
      </c>
      <c r="E146" s="281"/>
      <c r="F146" s="281" t="str">
        <f t="shared" si="51"/>
        <v>SA</v>
      </c>
      <c r="G146" s="281" t="s">
        <v>17</v>
      </c>
      <c r="H146" s="281" t="s">
        <v>23</v>
      </c>
      <c r="I146" s="384" t="s">
        <v>24</v>
      </c>
      <c r="J146" s="281" t="s">
        <v>298</v>
      </c>
      <c r="K146" s="281" t="s">
        <v>18</v>
      </c>
      <c r="L146" s="281" t="s">
        <v>1410</v>
      </c>
      <c r="M146" s="8" t="str">
        <f>VLOOKUP(H146,'Rig Mud Co'!$A$2:$B$17,2,0)</f>
        <v>MI</v>
      </c>
      <c r="N146" s="281"/>
      <c r="O146" s="13">
        <f t="shared" si="46"/>
        <v>41919.833333333336</v>
      </c>
      <c r="P146" s="284">
        <v>41971.916666666664</v>
      </c>
      <c r="Q146" s="292">
        <v>52.083333333328483</v>
      </c>
      <c r="R146" s="334">
        <f>IF(ISERROR(VLOOKUP(G146,'Planning and Target Times'!$L$1:$AJ$6,MATCH(K146&amp;"_"&amp;L146&amp;"_"&amp;J146,INDEX('Planning and Target Times'!$L$1:$AJ$6,1,0),0),0)+5),"",(VLOOKUP(G146,'Planning and Target Times'!$L$1:$AJ$6,MATCH(K146&amp;"_"&amp;L146&amp;"_"&amp;J146,INDEX('Planning and Target Times'!$L$1:$AJ$6,1,0),0),0)+5))</f>
        <v>61</v>
      </c>
      <c r="S146" s="420">
        <f t="shared" si="47"/>
        <v>56</v>
      </c>
      <c r="T146" s="392">
        <f>VLOOKUP(G146,'Planning and Target Times'!$A$7:$G$12,MATCH(K146&amp;"-"&amp;L146&amp;"-"&amp;J146,INDEX('Planning and Target Times'!$A$7:$G$12,1,0),0),0)</f>
        <v>27</v>
      </c>
      <c r="U146" s="292">
        <v>4.5833333333357587</v>
      </c>
      <c r="V146" s="292">
        <f t="shared" si="48"/>
        <v>56.666666666664241</v>
      </c>
      <c r="W146" s="292">
        <f t="shared" si="44"/>
        <v>5335</v>
      </c>
      <c r="X146" s="286" t="str">
        <f t="shared" si="49"/>
        <v>MA</v>
      </c>
      <c r="Y146" s="302">
        <v>13240</v>
      </c>
      <c r="Z146" s="302"/>
      <c r="AA146" s="302">
        <v>6930</v>
      </c>
      <c r="AB146" s="302">
        <v>7905</v>
      </c>
      <c r="AC146" s="302"/>
      <c r="AD146" s="302"/>
      <c r="AE146" s="292"/>
      <c r="AF146" s="292"/>
      <c r="AG146" s="292"/>
      <c r="AH146" s="292"/>
      <c r="AI146" s="292"/>
      <c r="AJ146" s="292"/>
      <c r="AK146" s="282">
        <f>IF(ISERROR(VLOOKUP(G146,'Planning and Target Times'!$B$106:$D$110,MATCH(F146,INDEX('Planning and Target Times'!$B$106:$D$110,1,0),0),0)),"",(VLOOKUP(G146,'Planning and Target Times'!$B$106:$D$110,MATCH(F146,INDEX('Planning and Target Times'!$B$106:$D$110,1,0),0),0)))</f>
        <v>740</v>
      </c>
      <c r="AL146" s="282" t="str">
        <f>VLOOKUP(G146,'Planning and Target Times'!$I$2:$J$7,2,0)</f>
        <v>Carbonate</v>
      </c>
      <c r="AM146" s="292"/>
      <c r="AN146" s="292"/>
      <c r="AO146" s="292"/>
      <c r="AP146" s="283">
        <f>VLOOKUP(G146,'Planning and Target Times'!$A$43:$L$47,MATCH(F146&amp;"-"&amp;K146&amp;"-"&amp;L146&amp;"-"&amp;J146,INDEX('Planning and Target Times'!$A$43:$L$47,1,0),0),0)</f>
        <v>20</v>
      </c>
      <c r="AQ146" s="281"/>
      <c r="AR146" s="281"/>
      <c r="AS146" s="292"/>
      <c r="AT146" s="292"/>
      <c r="AU146" s="292"/>
      <c r="AV146" s="292"/>
      <c r="AW146" s="292"/>
      <c r="AX146" s="281"/>
      <c r="AY146" s="281"/>
      <c r="AZ146" s="281"/>
      <c r="BA146" s="292"/>
      <c r="BB146" s="292"/>
      <c r="BC146" s="292"/>
      <c r="BD146" s="292"/>
      <c r="BE146" s="292"/>
      <c r="BF146" s="292"/>
      <c r="BG146" s="292"/>
      <c r="BH146" s="292"/>
      <c r="BI146" s="283">
        <v>293032</v>
      </c>
      <c r="BJ146" s="292"/>
      <c r="BK146" s="302">
        <f>COUNT(P$2:P146)</f>
        <v>145</v>
      </c>
      <c r="BL146" s="302">
        <f>SUMPRODUCT(--(YEAR(P$2:P146)=YEAR(P146)))</f>
        <v>51</v>
      </c>
      <c r="BM146" s="302">
        <f t="shared" si="50"/>
        <v>38</v>
      </c>
      <c r="BN146" s="15">
        <f t="shared" si="52"/>
        <v>46.818749999998545</v>
      </c>
      <c r="BO146" s="292"/>
      <c r="BP146" s="292"/>
      <c r="BQ146" s="467">
        <v>1055.5</v>
      </c>
      <c r="BR146" s="467">
        <v>1164.4939999999999</v>
      </c>
      <c r="BS146" s="467">
        <v>1164.4939999999999</v>
      </c>
      <c r="BT146" s="467"/>
      <c r="BU146" s="467"/>
      <c r="BV146" s="467"/>
      <c r="BW146" s="467" t="s">
        <v>1877</v>
      </c>
      <c r="BX146" s="469">
        <v>42005</v>
      </c>
      <c r="BY146" s="472">
        <f>BQ146/Q146</f>
        <v>20.265600000001886</v>
      </c>
    </row>
    <row r="147" spans="1:78" x14ac:dyDescent="0.25">
      <c r="A147" s="69" t="s">
        <v>752</v>
      </c>
      <c r="B147" s="281" t="s">
        <v>798</v>
      </c>
      <c r="C147" s="292" t="s">
        <v>799</v>
      </c>
      <c r="D147" s="529" t="s">
        <v>2147</v>
      </c>
      <c r="E147" s="281"/>
      <c r="F147" s="281" t="str">
        <f t="shared" si="51"/>
        <v>RA</v>
      </c>
      <c r="G147" s="281" t="s">
        <v>17</v>
      </c>
      <c r="H147" s="281" t="s">
        <v>79</v>
      </c>
      <c r="I147" s="281" t="s">
        <v>20</v>
      </c>
      <c r="J147" s="281" t="s">
        <v>34</v>
      </c>
      <c r="K147" s="281" t="s">
        <v>18</v>
      </c>
      <c r="L147" s="281" t="s">
        <v>1410</v>
      </c>
      <c r="M147" s="8"/>
      <c r="N147" s="281"/>
      <c r="O147" s="284">
        <v>41967</v>
      </c>
      <c r="P147" s="73">
        <v>41994</v>
      </c>
      <c r="Q147" s="292">
        <f t="shared" ref="Q147:Q178" si="53">P147-O147</f>
        <v>27</v>
      </c>
      <c r="R147" s="334">
        <f>IF(ISERROR(VLOOKUP(G147,'Planning and Target Times'!$L$1:$AJ$6,MATCH(K147&amp;"_"&amp;L147&amp;"_"&amp;J147,INDEX('Planning and Target Times'!$L$1:$AJ$6,1,0),0),0)+5),"",(VLOOKUP(G147,'Planning and Target Times'!$L$1:$AJ$6,MATCH(K147&amp;"_"&amp;L147&amp;"_"&amp;J147,INDEX('Planning and Target Times'!$L$1:$AJ$6,1,0),0),0)+5))</f>
        <v>54</v>
      </c>
      <c r="S147" s="420">
        <f t="shared" si="47"/>
        <v>49</v>
      </c>
      <c r="T147" s="392">
        <f>VLOOKUP(G147,'Planning and Target Times'!$A$7:$G$12,MATCH(K147&amp;"-"&amp;L147&amp;"-"&amp;J147,INDEX('Planning and Target Times'!$A$7:$G$12,1,0),0),0)</f>
        <v>25</v>
      </c>
      <c r="U147" s="292">
        <v>2</v>
      </c>
      <c r="V147" s="292">
        <f t="shared" si="48"/>
        <v>29</v>
      </c>
      <c r="W147" s="292">
        <f t="shared" si="44"/>
        <v>2194</v>
      </c>
      <c r="X147" s="286" t="str">
        <f t="shared" si="49"/>
        <v>MA</v>
      </c>
      <c r="Y147" s="302">
        <v>10490</v>
      </c>
      <c r="Z147" s="302"/>
      <c r="AA147" s="302">
        <v>6806</v>
      </c>
      <c r="AB147" s="302">
        <v>8296</v>
      </c>
      <c r="AC147" s="302"/>
      <c r="AD147" s="302"/>
      <c r="AE147" s="292"/>
      <c r="AF147" s="292"/>
      <c r="AG147" s="292"/>
      <c r="AH147" s="292"/>
      <c r="AI147" s="292"/>
      <c r="AJ147" s="292"/>
      <c r="AK147" s="282"/>
      <c r="AL147" s="282" t="str">
        <f>VLOOKUP(G147,'Planning and Target Times'!$I$2:$J$7,2,0)</f>
        <v>Carbonate</v>
      </c>
      <c r="AM147" s="292"/>
      <c r="AN147" s="292"/>
      <c r="AO147" s="292"/>
      <c r="AP147" s="283">
        <f>VLOOKUP(G147,'Planning and Target Times'!$A$43:$L$47,MATCH(F147&amp;"-"&amp;K147&amp;"-"&amp;L147&amp;"-"&amp;J147,INDEX('Planning and Target Times'!$A$43:$L$47,1,0),0),0)</f>
        <v>300</v>
      </c>
      <c r="AQ147" s="281"/>
      <c r="AR147" s="281"/>
      <c r="AS147" s="292"/>
      <c r="AT147" s="292"/>
      <c r="AU147" s="292"/>
      <c r="AV147" s="292"/>
      <c r="AW147" s="292"/>
      <c r="AX147" s="281"/>
      <c r="AY147" s="281"/>
      <c r="AZ147" s="281"/>
      <c r="BA147" s="292"/>
      <c r="BB147" s="292"/>
      <c r="BC147" s="292"/>
      <c r="BD147" s="292"/>
      <c r="BE147" s="292"/>
      <c r="BF147" s="292"/>
      <c r="BG147" s="292"/>
      <c r="BH147" s="292"/>
      <c r="BI147" s="283"/>
      <c r="BJ147" s="292"/>
      <c r="BK147" s="302">
        <f>COUNT(P$2:P147)</f>
        <v>146</v>
      </c>
      <c r="BL147" s="302">
        <f>SUMPRODUCT(--(YEAR(P$2:P147)=YEAR(P147)))</f>
        <v>52</v>
      </c>
      <c r="BM147" s="302">
        <f t="shared" si="50"/>
        <v>39</v>
      </c>
      <c r="BN147" s="15">
        <f t="shared" si="52"/>
        <v>41.631249999998545</v>
      </c>
      <c r="BO147" s="292"/>
      <c r="BP147" s="292"/>
      <c r="BQ147" s="464"/>
      <c r="BR147" s="464"/>
      <c r="BS147" s="464"/>
      <c r="BT147" s="464">
        <v>2218.6161290322593</v>
      </c>
      <c r="BU147" s="464">
        <v>3309.7454301075268</v>
      </c>
      <c r="BV147" s="464">
        <v>3309.7454301075268</v>
      </c>
      <c r="BW147" s="464" t="s">
        <v>1879</v>
      </c>
      <c r="BX147" s="469">
        <v>42005</v>
      </c>
      <c r="BZ147" s="472">
        <f>BT147/Q147</f>
        <v>82.170967741935527</v>
      </c>
    </row>
    <row r="148" spans="1:78" x14ac:dyDescent="0.25">
      <c r="A148" s="72" t="s">
        <v>726</v>
      </c>
      <c r="B148" s="292" t="s">
        <v>728</v>
      </c>
      <c r="C148" s="292" t="s">
        <v>726</v>
      </c>
      <c r="D148" s="529" t="s">
        <v>2148</v>
      </c>
      <c r="E148" s="292"/>
      <c r="F148" s="281" t="str">
        <f t="shared" si="51"/>
        <v>SA</v>
      </c>
      <c r="G148" s="292" t="s">
        <v>29</v>
      </c>
      <c r="H148" s="292" t="s">
        <v>735</v>
      </c>
      <c r="I148" s="281" t="s">
        <v>20</v>
      </c>
      <c r="J148" s="292" t="s">
        <v>298</v>
      </c>
      <c r="K148" s="292" t="s">
        <v>14</v>
      </c>
      <c r="L148" s="292" t="s">
        <v>1416</v>
      </c>
      <c r="M148" s="8" t="e">
        <f>VLOOKUP(H148,'Rig Mud Co'!$A$2:$B$17,2,0)</f>
        <v>#N/A</v>
      </c>
      <c r="N148" s="292"/>
      <c r="O148" s="284">
        <v>41953</v>
      </c>
      <c r="P148" s="73">
        <v>42001</v>
      </c>
      <c r="Q148" s="292">
        <f t="shared" si="53"/>
        <v>48</v>
      </c>
      <c r="R148" s="334">
        <f>IF(ISERROR(VLOOKUP(G148,'Planning and Target Times'!$L$1:$AJ$6,MATCH(K148&amp;"_"&amp;L148&amp;"_"&amp;J148,INDEX('Planning and Target Times'!$L$1:$AJ$6,1,0),0),0)+5),"",(VLOOKUP(G148,'Planning and Target Times'!$L$1:$AJ$6,MATCH(K148&amp;"_"&amp;L148&amp;"_"&amp;J148,INDEX('Planning and Target Times'!$L$1:$AJ$6,1,0),0),0)+5))</f>
        <v>75</v>
      </c>
      <c r="S148" s="420">
        <f t="shared" si="47"/>
        <v>70</v>
      </c>
      <c r="T148" s="392">
        <f>VLOOKUP(G148,'Planning and Target Times'!$A$7:$G$12,MATCH(K148&amp;"-"&amp;L148&amp;"-"&amp;J148,INDEX('Planning and Target Times'!$A$7:$G$12,1,0),0),0)</f>
        <v>33</v>
      </c>
      <c r="U148" s="292"/>
      <c r="V148" s="292">
        <f t="shared" si="48"/>
        <v>48</v>
      </c>
      <c r="W148" s="292">
        <f t="shared" si="44"/>
        <v>2</v>
      </c>
      <c r="X148" s="286" t="str">
        <f t="shared" si="49"/>
        <v>UB</v>
      </c>
      <c r="Y148" s="302">
        <v>10060</v>
      </c>
      <c r="Z148" s="302">
        <v>5953</v>
      </c>
      <c r="AA148" s="302">
        <v>8578</v>
      </c>
      <c r="AB148" s="302">
        <v>10058</v>
      </c>
      <c r="AC148" s="302"/>
      <c r="AD148" s="302"/>
      <c r="AE148" s="292"/>
      <c r="AF148" s="292"/>
      <c r="AG148" s="292"/>
      <c r="AH148" s="292"/>
      <c r="AI148" s="292"/>
      <c r="AJ148" s="292"/>
      <c r="AK148" s="282">
        <f>IF(ISERROR(VLOOKUP(G148,'Planning and Target Times'!$B$106:$D$110,MATCH(F148,INDEX('Planning and Target Times'!$B$106:$D$110,1,0),0),0)),"",(VLOOKUP(G148,'Planning and Target Times'!$B$106:$D$110,MATCH(F148,INDEX('Planning and Target Times'!$B$106:$D$110,1,0),0),0)))</f>
        <v>630</v>
      </c>
      <c r="AL148" s="282" t="str">
        <f>VLOOKUP(G148,'Planning and Target Times'!$I$2:$J$7,2,0)</f>
        <v>Sandstone</v>
      </c>
      <c r="AM148" s="292"/>
      <c r="AN148" s="292"/>
      <c r="AO148" s="292"/>
      <c r="AP148" s="283">
        <f>VLOOKUP(G148,'Planning and Target Times'!$A$43:$L$47,MATCH(F148&amp;"-"&amp;K148&amp;"-"&amp;L148&amp;"-"&amp;J148,INDEX('Planning and Target Times'!$A$43:$L$47,1,0),0),0)</f>
        <v>20</v>
      </c>
      <c r="AQ148" s="292"/>
      <c r="AR148" s="292"/>
      <c r="AS148" s="292"/>
      <c r="AT148" s="292"/>
      <c r="AU148" s="292"/>
      <c r="AV148" s="292"/>
      <c r="AW148" s="292"/>
      <c r="AX148" s="292"/>
      <c r="AY148" s="292"/>
      <c r="AZ148" s="292"/>
      <c r="BA148" s="292"/>
      <c r="BB148" s="292"/>
      <c r="BC148" s="292"/>
      <c r="BD148" s="292"/>
      <c r="BE148" s="292"/>
      <c r="BF148" s="292"/>
      <c r="BG148" s="292"/>
      <c r="BH148" s="292"/>
      <c r="BI148" s="283">
        <v>293359</v>
      </c>
      <c r="BJ148" s="292"/>
      <c r="BK148" s="302">
        <f>COUNT(P$2:P148)</f>
        <v>147</v>
      </c>
      <c r="BL148" s="302">
        <f>SUMPRODUCT(--(YEAR(P$2:P148)=YEAR(P148)))</f>
        <v>53</v>
      </c>
      <c r="BM148" s="302">
        <f t="shared" si="50"/>
        <v>40</v>
      </c>
      <c r="BN148" s="15">
        <f t="shared" si="52"/>
        <v>42.631249999998545</v>
      </c>
      <c r="BO148" s="292"/>
      <c r="BP148" s="292"/>
      <c r="BQ148" s="467">
        <v>247.91666666666666</v>
      </c>
      <c r="BR148" s="467">
        <v>148.75</v>
      </c>
      <c r="BS148" s="467">
        <v>148.75</v>
      </c>
      <c r="BT148" s="467"/>
      <c r="BU148" s="467"/>
      <c r="BV148" s="467"/>
      <c r="BW148" s="467" t="s">
        <v>1877</v>
      </c>
      <c r="BX148" s="469">
        <v>42005</v>
      </c>
      <c r="BY148" s="472">
        <f>BQ148/Q148</f>
        <v>5.1649305555555554</v>
      </c>
    </row>
    <row r="149" spans="1:78" x14ac:dyDescent="0.25">
      <c r="A149" s="72" t="s">
        <v>723</v>
      </c>
      <c r="B149" s="292" t="s">
        <v>730</v>
      </c>
      <c r="C149" s="292" t="s">
        <v>806</v>
      </c>
      <c r="D149" s="529" t="s">
        <v>2149</v>
      </c>
      <c r="E149" s="292"/>
      <c r="F149" s="281" t="str">
        <f t="shared" si="51"/>
        <v>SA</v>
      </c>
      <c r="G149" s="292" t="s">
        <v>17</v>
      </c>
      <c r="H149" s="292" t="s">
        <v>38</v>
      </c>
      <c r="I149" s="281" t="s">
        <v>16</v>
      </c>
      <c r="J149" s="292" t="s">
        <v>34</v>
      </c>
      <c r="K149" s="292" t="s">
        <v>18</v>
      </c>
      <c r="L149" s="281" t="s">
        <v>1410</v>
      </c>
      <c r="M149" s="8" t="str">
        <f>VLOOKUP(H149,'Rig Mud Co'!$A$2:$B$17,2,0)</f>
        <v>MI</v>
      </c>
      <c r="N149" s="292"/>
      <c r="O149" s="284">
        <v>41946</v>
      </c>
      <c r="P149" s="73">
        <v>42003</v>
      </c>
      <c r="Q149" s="292">
        <f t="shared" si="53"/>
        <v>57</v>
      </c>
      <c r="R149" s="334">
        <f>IF(ISERROR(VLOOKUP(G149,'Planning and Target Times'!$L$1:$AJ$6,MATCH(K149&amp;"_"&amp;L149&amp;"_"&amp;J149,INDEX('Planning and Target Times'!$L$1:$AJ$6,1,0),0),0)+5),"",(VLOOKUP(G149,'Planning and Target Times'!$L$1:$AJ$6,MATCH(K149&amp;"_"&amp;L149&amp;"_"&amp;J149,INDEX('Planning and Target Times'!$L$1:$AJ$6,1,0),0),0)+5))</f>
        <v>54</v>
      </c>
      <c r="S149" s="420">
        <f t="shared" si="47"/>
        <v>49</v>
      </c>
      <c r="T149" s="392">
        <f>VLOOKUP(G149,'Planning and Target Times'!$A$7:$G$12,MATCH(K149&amp;"-"&amp;L149&amp;"-"&amp;J149,INDEX('Planning and Target Times'!$A$7:$G$12,1,0),0),0)</f>
        <v>25</v>
      </c>
      <c r="U149" s="292">
        <v>2</v>
      </c>
      <c r="V149" s="292">
        <f t="shared" si="48"/>
        <v>59</v>
      </c>
      <c r="W149" s="292">
        <f t="shared" si="44"/>
        <v>7440</v>
      </c>
      <c r="X149" s="286" t="str">
        <f t="shared" si="49"/>
        <v>MA</v>
      </c>
      <c r="Y149" s="302">
        <v>16785</v>
      </c>
      <c r="Z149" s="302">
        <v>6078.5</v>
      </c>
      <c r="AA149" s="302">
        <v>8362</v>
      </c>
      <c r="AB149" s="302">
        <v>9345</v>
      </c>
      <c r="AC149" s="302"/>
      <c r="AD149" s="302"/>
      <c r="AE149" s="292"/>
      <c r="AF149" s="292"/>
      <c r="AG149" s="292"/>
      <c r="AH149" s="292"/>
      <c r="AI149" s="292"/>
      <c r="AJ149" s="292"/>
      <c r="AK149" s="282"/>
      <c r="AL149" s="282" t="str">
        <f>VLOOKUP(G149,'Planning and Target Times'!$I$2:$J$7,2,0)</f>
        <v>Carbonate</v>
      </c>
      <c r="AM149" s="292"/>
      <c r="AN149" s="292"/>
      <c r="AO149" s="292"/>
      <c r="AP149" s="283">
        <f>VLOOKUP(G149,'Planning and Target Times'!$A$43:$L$47,MATCH(F149&amp;"-"&amp;K149&amp;"-"&amp;L149&amp;"-"&amp;J149,INDEX('Planning and Target Times'!$A$43:$L$47,1,0),0),0)</f>
        <v>300</v>
      </c>
      <c r="AQ149" s="292"/>
      <c r="AR149" s="292"/>
      <c r="AS149" s="292"/>
      <c r="AT149" s="292"/>
      <c r="AU149" s="292"/>
      <c r="AV149" s="292"/>
      <c r="AW149" s="292"/>
      <c r="AX149" s="292"/>
      <c r="AY149" s="292"/>
      <c r="AZ149" s="292"/>
      <c r="BA149" s="292"/>
      <c r="BB149" s="292"/>
      <c r="BC149" s="292"/>
      <c r="BD149" s="292"/>
      <c r="BE149" s="292"/>
      <c r="BF149" s="292"/>
      <c r="BG149" s="292"/>
      <c r="BH149" s="292"/>
      <c r="BI149" s="283"/>
      <c r="BJ149" s="292"/>
      <c r="BK149" s="302">
        <f>COUNT(P$2:P149)</f>
        <v>148</v>
      </c>
      <c r="BL149" s="302">
        <f>SUMPRODUCT(--(YEAR(P$2:P149)=YEAR(P149)))</f>
        <v>54</v>
      </c>
      <c r="BM149" s="302">
        <f t="shared" si="50"/>
        <v>41</v>
      </c>
      <c r="BN149" s="15">
        <f t="shared" si="52"/>
        <v>44.060416666665695</v>
      </c>
      <c r="BO149" s="292"/>
      <c r="BP149" s="292"/>
      <c r="BQ149" s="464"/>
      <c r="BR149" s="464"/>
      <c r="BS149" s="464"/>
      <c r="BT149" s="464">
        <v>1252.0462365591416</v>
      </c>
      <c r="BU149" s="464">
        <v>1252.0462365591416</v>
      </c>
      <c r="BV149" s="464">
        <v>1252.0462365591416</v>
      </c>
      <c r="BW149" s="464" t="s">
        <v>1879</v>
      </c>
      <c r="BX149" s="469">
        <v>42125</v>
      </c>
      <c r="BZ149" s="472">
        <f>BT149/Q149</f>
        <v>21.965723448405992</v>
      </c>
    </row>
    <row r="150" spans="1:78" x14ac:dyDescent="0.25">
      <c r="A150" s="69" t="s">
        <v>765</v>
      </c>
      <c r="B150" s="281" t="s">
        <v>801</v>
      </c>
      <c r="C150" s="292" t="s">
        <v>765</v>
      </c>
      <c r="D150" s="529" t="s">
        <v>2150</v>
      </c>
      <c r="E150" s="281"/>
      <c r="F150" s="281" t="str">
        <f t="shared" si="51"/>
        <v>SA</v>
      </c>
      <c r="G150" s="281" t="s">
        <v>744</v>
      </c>
      <c r="H150" s="281" t="s">
        <v>31</v>
      </c>
      <c r="I150" s="384" t="s">
        <v>24</v>
      </c>
      <c r="J150" s="281" t="s">
        <v>298</v>
      </c>
      <c r="K150" s="281" t="s">
        <v>18</v>
      </c>
      <c r="L150" s="281" t="s">
        <v>1416</v>
      </c>
      <c r="M150" s="8"/>
      <c r="N150" s="281"/>
      <c r="O150" s="284">
        <v>41952</v>
      </c>
      <c r="P150" s="73">
        <v>42004</v>
      </c>
      <c r="Q150" s="292">
        <f t="shared" si="53"/>
        <v>52</v>
      </c>
      <c r="R150" s="334">
        <f>IF(ISERROR(VLOOKUP(G150,'Planning and Target Times'!$L$1:$AJ$6,MATCH(K150&amp;"_"&amp;L150&amp;"_"&amp;J150,INDEX('Planning and Target Times'!$L$1:$AJ$6,1,0),0),0)+5),"",(VLOOKUP(G150,'Planning and Target Times'!$L$1:$AJ$6,MATCH(K150&amp;"_"&amp;L150&amp;"_"&amp;J150,INDEX('Planning and Target Times'!$L$1:$AJ$6,1,0),0),0)+5))</f>
        <v>61</v>
      </c>
      <c r="S150" s="420">
        <f t="shared" si="47"/>
        <v>56</v>
      </c>
      <c r="T150" s="392" t="e">
        <f>VLOOKUP(G150,'Planning and Target Times'!$A$7:$G$12,MATCH(K150&amp;"-"&amp;L150&amp;"-"&amp;J150,INDEX('Planning and Target Times'!$A$7:$G$12,1,0),0),0)</f>
        <v>#N/A</v>
      </c>
      <c r="U150" s="292">
        <v>1</v>
      </c>
      <c r="V150" s="292">
        <f t="shared" si="48"/>
        <v>53</v>
      </c>
      <c r="W150" s="292">
        <f t="shared" si="44"/>
        <v>2057</v>
      </c>
      <c r="X150" s="286" t="str">
        <f t="shared" si="49"/>
        <v>ZU/RT</v>
      </c>
      <c r="Y150" s="302">
        <v>11515</v>
      </c>
      <c r="Z150" s="302">
        <v>6207</v>
      </c>
      <c r="AA150" s="302">
        <v>8387</v>
      </c>
      <c r="AB150" s="302">
        <v>9458</v>
      </c>
      <c r="AC150" s="302">
        <v>11512</v>
      </c>
      <c r="AD150" s="302"/>
      <c r="AE150" s="292"/>
      <c r="AF150" s="292"/>
      <c r="AG150" s="292"/>
      <c r="AH150" s="292"/>
      <c r="AI150" s="292"/>
      <c r="AJ150" s="292"/>
      <c r="AK150" s="282" t="str">
        <f>IF(ISERROR(VLOOKUP(G150,'Planning and Target Times'!$B$106:$D$110,MATCH(F150,INDEX('Planning and Target Times'!$B$106:$D$110,1,0),0),0)),"",(VLOOKUP(G150,'Planning and Target Times'!$B$106:$D$110,MATCH(F150,INDEX('Planning and Target Times'!$B$106:$D$110,1,0),0),0)))</f>
        <v/>
      </c>
      <c r="AL150" s="282" t="str">
        <f>VLOOKUP(G150,'Planning and Target Times'!$I$2:$J$7,2,0)</f>
        <v>Sandstone</v>
      </c>
      <c r="AM150" s="292"/>
      <c r="AN150" s="292"/>
      <c r="AO150" s="292"/>
      <c r="AP150" s="283" t="e">
        <f>VLOOKUP(G150,'Planning and Target Times'!$A$43:$L$47,MATCH(F150&amp;"-"&amp;K150&amp;"-"&amp;L150&amp;"-"&amp;J150,INDEX('Planning and Target Times'!$A$43:$L$47,1,0),0),0)</f>
        <v>#N/A</v>
      </c>
      <c r="AQ150" s="281"/>
      <c r="AR150" s="281"/>
      <c r="AS150" s="292"/>
      <c r="AT150" s="292"/>
      <c r="AU150" s="292"/>
      <c r="AV150" s="292"/>
      <c r="AW150" s="292"/>
      <c r="AX150" s="281"/>
      <c r="AY150" s="281"/>
      <c r="AZ150" s="281"/>
      <c r="BA150" s="292"/>
      <c r="BB150" s="292"/>
      <c r="BC150" s="292"/>
      <c r="BD150" s="292"/>
      <c r="BE150" s="292"/>
      <c r="BF150" s="292"/>
      <c r="BG150" s="292"/>
      <c r="BH150" s="292"/>
      <c r="BI150" s="283">
        <v>293369</v>
      </c>
      <c r="BJ150" s="292"/>
      <c r="BK150" s="302">
        <f>COUNT(P$2:P150)</f>
        <v>149</v>
      </c>
      <c r="BL150" s="302">
        <f>SUMPRODUCT(--(YEAR(P$2:P150)=YEAR(P150)))</f>
        <v>55</v>
      </c>
      <c r="BM150" s="302">
        <f t="shared" si="50"/>
        <v>42</v>
      </c>
      <c r="BN150" s="15">
        <f t="shared" si="52"/>
        <v>46.147916666665694</v>
      </c>
      <c r="BO150" s="292"/>
      <c r="BP150" s="292"/>
      <c r="BQ150" s="467">
        <v>438.62999999999994</v>
      </c>
      <c r="BR150" s="467">
        <v>348.42166666666662</v>
      </c>
      <c r="BS150" s="467">
        <v>290.27166666666659</v>
      </c>
      <c r="BT150" s="467"/>
      <c r="BU150" s="467"/>
      <c r="BV150" s="467"/>
      <c r="BW150" s="467" t="s">
        <v>1877</v>
      </c>
      <c r="BX150" s="469">
        <v>40422</v>
      </c>
      <c r="BY150" s="472">
        <f t="shared" ref="BY150:BY160" si="54">BQ150/Q150</f>
        <v>8.4351923076923061</v>
      </c>
    </row>
    <row r="151" spans="1:78" x14ac:dyDescent="0.25">
      <c r="A151" s="70" t="s">
        <v>737</v>
      </c>
      <c r="B151" s="292" t="s">
        <v>736</v>
      </c>
      <c r="C151" s="292" t="s">
        <v>737</v>
      </c>
      <c r="D151" s="529" t="s">
        <v>2151</v>
      </c>
      <c r="E151" s="292"/>
      <c r="F151" s="292" t="str">
        <f t="shared" si="51"/>
        <v>RA</v>
      </c>
      <c r="G151" s="292" t="s">
        <v>22</v>
      </c>
      <c r="H151" s="292" t="s">
        <v>12</v>
      </c>
      <c r="I151" s="384" t="s">
        <v>24</v>
      </c>
      <c r="J151" s="281" t="s">
        <v>298</v>
      </c>
      <c r="K151" s="292" t="s">
        <v>14</v>
      </c>
      <c r="L151" s="281" t="s">
        <v>1416</v>
      </c>
      <c r="M151" s="8" t="str">
        <f>VLOOKUP(H151,'Rig Mud Co'!$A$2:$B$17,2,0)</f>
        <v>Baroid</v>
      </c>
      <c r="N151" s="67">
        <v>1</v>
      </c>
      <c r="O151" s="284">
        <v>41963</v>
      </c>
      <c r="P151" s="284">
        <v>42010</v>
      </c>
      <c r="Q151" s="292">
        <f t="shared" si="53"/>
        <v>47</v>
      </c>
      <c r="R151" s="334">
        <f>IF(ISERROR(VLOOKUP(G151,'Planning and Target Times'!$L$1:$AJ$6,MATCH(K151&amp;"_"&amp;L151&amp;"_"&amp;J151,INDEX('Planning and Target Times'!$L$1:$AJ$6,1,0),0),0)+5),"",(VLOOKUP(G151,'Planning and Target Times'!$L$1:$AJ$6,MATCH(K151&amp;"_"&amp;L151&amp;"_"&amp;J151,INDEX('Planning and Target Times'!$L$1:$AJ$6,1,0),0),0)+5))</f>
        <v>75</v>
      </c>
      <c r="S151" s="420">
        <f t="shared" si="47"/>
        <v>70</v>
      </c>
      <c r="T151" s="392">
        <f>VLOOKUP(G151,'Planning and Target Times'!$A$7:$G$12,MATCH(K151&amp;"-"&amp;L151&amp;"-"&amp;J151,INDEX('Planning and Target Times'!$A$7:$G$12,1,0),0),0)</f>
        <v>33</v>
      </c>
      <c r="U151" s="292"/>
      <c r="V151" s="292">
        <f t="shared" si="48"/>
        <v>47</v>
      </c>
      <c r="W151" s="292">
        <f t="shared" si="44"/>
        <v>580</v>
      </c>
      <c r="X151" s="286" t="str">
        <f t="shared" si="49"/>
        <v>LB</v>
      </c>
      <c r="Y151" s="302">
        <v>10150</v>
      </c>
      <c r="Z151" s="302"/>
      <c r="AA151" s="302">
        <v>8279</v>
      </c>
      <c r="AB151" s="302">
        <v>9570</v>
      </c>
      <c r="AC151" s="302"/>
      <c r="AD151" s="302">
        <v>9942</v>
      </c>
      <c r="AE151" s="292"/>
      <c r="AF151" s="292"/>
      <c r="AG151" s="292"/>
      <c r="AH151" s="292"/>
      <c r="AI151" s="292"/>
      <c r="AJ151" s="292"/>
      <c r="AK151" s="282">
        <f>IF(ISERROR(VLOOKUP(G151,'Planning and Target Times'!$B$106:$D$110,MATCH(F151,INDEX('Planning and Target Times'!$B$106:$D$110,1,0),0),0)),"",(VLOOKUP(G151,'Planning and Target Times'!$B$106:$D$110,MATCH(F151,INDEX('Planning and Target Times'!$B$106:$D$110,1,0),0),0)))</f>
        <v>900</v>
      </c>
      <c r="AL151" s="282" t="str">
        <f>VLOOKUP(G151,'Planning and Target Times'!$I$2:$J$7,2,0)</f>
        <v>Sandstone</v>
      </c>
      <c r="AM151" s="292"/>
      <c r="AN151" s="292"/>
      <c r="AO151" s="292"/>
      <c r="AP151" s="283">
        <f>VLOOKUP(G151,'Planning and Target Times'!$A$43:$L$47,MATCH(F151&amp;"-"&amp;K151&amp;"-"&amp;L151&amp;"-"&amp;J151,INDEX('Planning and Target Times'!$A$43:$L$47,1,0),0),0)</f>
        <v>34</v>
      </c>
      <c r="AQ151" s="292"/>
      <c r="AR151" s="292"/>
      <c r="AS151" s="292"/>
      <c r="AT151" s="292"/>
      <c r="AU151" s="292"/>
      <c r="AV151" s="292"/>
      <c r="AW151" s="292"/>
      <c r="AX151" s="292"/>
      <c r="AY151" s="292"/>
      <c r="AZ151" s="292"/>
      <c r="BA151" s="292"/>
      <c r="BB151" s="292"/>
      <c r="BC151" s="292"/>
      <c r="BD151" s="292"/>
      <c r="BE151" s="292"/>
      <c r="BF151" s="292"/>
      <c r="BG151" s="292"/>
      <c r="BH151" s="292"/>
      <c r="BI151" s="283">
        <v>293399</v>
      </c>
      <c r="BJ151" s="292"/>
      <c r="BK151" s="302">
        <f>COUNT(P$2:P151)</f>
        <v>150</v>
      </c>
      <c r="BL151" s="302">
        <f>SUMPRODUCT(--(YEAR(P$2:P151)=YEAR(P151)))</f>
        <v>1</v>
      </c>
      <c r="BM151" s="302">
        <f t="shared" si="50"/>
        <v>43</v>
      </c>
      <c r="BN151" s="15">
        <f t="shared" si="52"/>
        <v>44.397916666665694</v>
      </c>
      <c r="BO151" s="292"/>
      <c r="BP151" s="292"/>
      <c r="BQ151" s="467">
        <v>1841.9233333333334</v>
      </c>
      <c r="BR151" s="467">
        <v>1352.078</v>
      </c>
      <c r="BS151" s="467">
        <v>1352.078</v>
      </c>
      <c r="BT151" s="467"/>
      <c r="BU151" s="467"/>
      <c r="BV151" s="467"/>
      <c r="BW151" s="467" t="s">
        <v>1877</v>
      </c>
      <c r="BX151" s="469">
        <v>42005</v>
      </c>
      <c r="BY151" s="472">
        <f t="shared" si="54"/>
        <v>39.189858156028372</v>
      </c>
    </row>
    <row r="152" spans="1:78" x14ac:dyDescent="0.25">
      <c r="A152" s="71" t="s">
        <v>502</v>
      </c>
      <c r="B152" s="281" t="s">
        <v>509</v>
      </c>
      <c r="C152" s="292" t="s">
        <v>502</v>
      </c>
      <c r="D152" s="529" t="s">
        <v>2152</v>
      </c>
      <c r="E152" s="281"/>
      <c r="F152" s="281" t="str">
        <f t="shared" si="51"/>
        <v>RA</v>
      </c>
      <c r="G152" s="281" t="s">
        <v>44</v>
      </c>
      <c r="H152" s="281" t="s">
        <v>512</v>
      </c>
      <c r="I152" s="281" t="s">
        <v>16</v>
      </c>
      <c r="J152" s="281" t="s">
        <v>298</v>
      </c>
      <c r="K152" s="281" t="s">
        <v>14</v>
      </c>
      <c r="L152" s="281" t="s">
        <v>1416</v>
      </c>
      <c r="M152" s="8" t="e">
        <f>VLOOKUP(H152,'Rig Mud Co'!$A$2:$B$17,2,0)</f>
        <v>#N/A</v>
      </c>
      <c r="N152" s="281"/>
      <c r="O152" s="284">
        <v>41914</v>
      </c>
      <c r="P152" s="284">
        <v>42011</v>
      </c>
      <c r="Q152" s="292">
        <f t="shared" si="53"/>
        <v>97</v>
      </c>
      <c r="R152" s="334">
        <f>IF(ISERROR(VLOOKUP(G152,'Planning and Target Times'!$L$1:$AJ$6,MATCH(K152&amp;"_"&amp;L152&amp;"_"&amp;J152,INDEX('Planning and Target Times'!$L$1:$AJ$6,1,0),0),0)+5),"",(VLOOKUP(G152,'Planning and Target Times'!$L$1:$AJ$6,MATCH(K152&amp;"_"&amp;L152&amp;"_"&amp;J152,INDEX('Planning and Target Times'!$L$1:$AJ$6,1,0),0),0)+5))</f>
        <v>103</v>
      </c>
      <c r="S152" s="420">
        <f t="shared" si="47"/>
        <v>98</v>
      </c>
      <c r="T152" s="392">
        <f>VLOOKUP(G152,'Planning and Target Times'!$A$7:$G$12,MATCH(K152&amp;"-"&amp;L152&amp;"-"&amp;J152,INDEX('Planning and Target Times'!$A$7:$G$12,1,0),0),0)</f>
        <v>75</v>
      </c>
      <c r="U152" s="292"/>
      <c r="V152" s="292">
        <f t="shared" si="48"/>
        <v>97</v>
      </c>
      <c r="W152" s="292">
        <f t="shared" si="44"/>
        <v>696</v>
      </c>
      <c r="X152" s="286" t="str">
        <f t="shared" si="49"/>
        <v>ZU/RT</v>
      </c>
      <c r="Y152" s="302">
        <v>11418</v>
      </c>
      <c r="Z152" s="302">
        <v>5984</v>
      </c>
      <c r="AA152" s="302">
        <v>9332</v>
      </c>
      <c r="AB152" s="302">
        <v>10722</v>
      </c>
      <c r="AC152" s="302"/>
      <c r="AD152" s="302"/>
      <c r="AE152" s="292"/>
      <c r="AF152" s="292"/>
      <c r="AG152" s="292"/>
      <c r="AH152" s="292"/>
      <c r="AI152" s="292"/>
      <c r="AJ152" s="292"/>
      <c r="AK152" s="282">
        <f>IF(ISERROR(VLOOKUP(G152,'Planning and Target Times'!$B$106:$D$110,MATCH(F152,INDEX('Planning and Target Times'!$B$106:$D$110,1,0),0),0)),"",(VLOOKUP(G152,'Planning and Target Times'!$B$106:$D$110,MATCH(F152,INDEX('Planning and Target Times'!$B$106:$D$110,1,0),0),0)))</f>
        <v>1560</v>
      </c>
      <c r="AL152" s="282" t="str">
        <f>VLOOKUP(G152,'Planning and Target Times'!$I$2:$J$7,2,0)</f>
        <v>Sandstone</v>
      </c>
      <c r="AM152" s="292"/>
      <c r="AN152" s="292"/>
      <c r="AO152" s="292"/>
      <c r="AP152" s="283">
        <f>VLOOKUP(G152,'Planning and Target Times'!$A$43:$L$47,MATCH(F152&amp;"-"&amp;K152&amp;"-"&amp;L152&amp;"-"&amp;J152,INDEX('Planning and Target Times'!$A$43:$L$47,1,0),0),0)</f>
        <v>27</v>
      </c>
      <c r="AQ152" s="281"/>
      <c r="AR152" s="281"/>
      <c r="AS152" s="292"/>
      <c r="AT152" s="292"/>
      <c r="AU152" s="292"/>
      <c r="AV152" s="292"/>
      <c r="AW152" s="292"/>
      <c r="AX152" s="281"/>
      <c r="AY152" s="281"/>
      <c r="AZ152" s="281"/>
      <c r="BA152" s="292"/>
      <c r="BB152" s="292"/>
      <c r="BC152" s="292"/>
      <c r="BD152" s="292"/>
      <c r="BE152" s="292"/>
      <c r="BF152" s="292"/>
      <c r="BG152" s="292"/>
      <c r="BH152" s="292"/>
      <c r="BI152" s="283">
        <v>293534</v>
      </c>
      <c r="BJ152" s="292"/>
      <c r="BK152" s="302">
        <f>COUNT(P$2:P152)</f>
        <v>151</v>
      </c>
      <c r="BL152" s="302">
        <f>SUMPRODUCT(--(YEAR(P$2:P152)=YEAR(P152)))</f>
        <v>2</v>
      </c>
      <c r="BM152" s="302">
        <f t="shared" si="50"/>
        <v>44</v>
      </c>
      <c r="BN152" s="15">
        <f t="shared" si="52"/>
        <v>49.314583333332124</v>
      </c>
      <c r="BO152" s="292"/>
      <c r="BP152" s="292"/>
      <c r="BQ152" s="467">
        <v>1269.2666666666667</v>
      </c>
      <c r="BR152" s="467">
        <v>1340.306</v>
      </c>
      <c r="BS152" s="467">
        <v>1340.306</v>
      </c>
      <c r="BT152" s="467"/>
      <c r="BU152" s="467"/>
      <c r="BV152" s="467"/>
      <c r="BW152" s="467" t="s">
        <v>1877</v>
      </c>
      <c r="BX152" s="469">
        <v>42005</v>
      </c>
      <c r="BY152" s="472">
        <f t="shared" si="54"/>
        <v>13.085223367697594</v>
      </c>
    </row>
    <row r="153" spans="1:78" x14ac:dyDescent="0.25">
      <c r="A153" s="68" t="s">
        <v>769</v>
      </c>
      <c r="B153" s="292" t="s">
        <v>802</v>
      </c>
      <c r="C153" s="292" t="s">
        <v>803</v>
      </c>
      <c r="D153" s="529" t="s">
        <v>2153</v>
      </c>
      <c r="E153" s="292"/>
      <c r="F153" s="292" t="str">
        <f t="shared" si="51"/>
        <v>SA</v>
      </c>
      <c r="G153" s="292" t="s">
        <v>17</v>
      </c>
      <c r="H153" s="292" t="s">
        <v>734</v>
      </c>
      <c r="I153" s="281" t="s">
        <v>20</v>
      </c>
      <c r="J153" s="292" t="s">
        <v>298</v>
      </c>
      <c r="K153" s="292" t="s">
        <v>18</v>
      </c>
      <c r="L153" s="281" t="s">
        <v>1410</v>
      </c>
      <c r="M153" s="292"/>
      <c r="N153" s="292"/>
      <c r="O153" s="284">
        <v>41960</v>
      </c>
      <c r="P153" s="284">
        <v>42016</v>
      </c>
      <c r="Q153" s="292">
        <f t="shared" si="53"/>
        <v>56</v>
      </c>
      <c r="R153" s="334">
        <f>IF(ISERROR(VLOOKUP(G153,'Planning and Target Times'!$L$1:$AJ$6,MATCH(K153&amp;"_"&amp;L153&amp;"_"&amp;J153,INDEX('Planning and Target Times'!$L$1:$AJ$6,1,0),0),0)+5),"",(VLOOKUP(G153,'Planning and Target Times'!$L$1:$AJ$6,MATCH(K153&amp;"_"&amp;L153&amp;"_"&amp;J153,INDEX('Planning and Target Times'!$L$1:$AJ$6,1,0),0),0)+5))</f>
        <v>61</v>
      </c>
      <c r="S153" s="420">
        <f t="shared" si="47"/>
        <v>56</v>
      </c>
      <c r="T153" s="392">
        <f>VLOOKUP(G153,'Planning and Target Times'!$A$7:$G$12,MATCH(K153&amp;"-"&amp;L153&amp;"-"&amp;J153,INDEX('Planning and Target Times'!$A$7:$G$12,1,0),0),0)</f>
        <v>27</v>
      </c>
      <c r="U153" s="292"/>
      <c r="V153" s="292">
        <f t="shared" si="48"/>
        <v>56</v>
      </c>
      <c r="W153" s="292">
        <f t="shared" si="44"/>
        <v>4849</v>
      </c>
      <c r="X153" s="286" t="str">
        <f t="shared" si="49"/>
        <v>MA</v>
      </c>
      <c r="Y153" s="302">
        <v>13062</v>
      </c>
      <c r="Z153" s="302"/>
      <c r="AA153" s="302">
        <v>6559</v>
      </c>
      <c r="AB153" s="302">
        <v>8213</v>
      </c>
      <c r="AC153" s="302"/>
      <c r="AD153" s="302"/>
      <c r="AE153" s="292"/>
      <c r="AF153" s="292"/>
      <c r="AG153" s="292"/>
      <c r="AH153" s="292"/>
      <c r="AI153" s="292"/>
      <c r="AJ153" s="292"/>
      <c r="AK153" s="282">
        <f>IF(ISERROR(VLOOKUP(G153,'Planning and Target Times'!$B$106:$D$110,MATCH(F153,INDEX('Planning and Target Times'!$B$106:$D$110,1,0),0),0)),"",(VLOOKUP(G153,'Planning and Target Times'!$B$106:$D$110,MATCH(F153,INDEX('Planning and Target Times'!$B$106:$D$110,1,0),0),0)))</f>
        <v>740</v>
      </c>
      <c r="AL153" s="282" t="str">
        <f>VLOOKUP(G153,'Planning and Target Times'!$I$2:$J$7,2,0)</f>
        <v>Carbonate</v>
      </c>
      <c r="AM153" s="292"/>
      <c r="AN153" s="292"/>
      <c r="AO153" s="292"/>
      <c r="AP153" s="283">
        <f>VLOOKUP(G153,'Planning and Target Times'!$A$43:$L$47,MATCH(F153&amp;"-"&amp;K153&amp;"-"&amp;L153&amp;"-"&amp;J153,INDEX('Planning and Target Times'!$A$43:$L$47,1,0),0),0)</f>
        <v>20</v>
      </c>
      <c r="AQ153" s="292"/>
      <c r="AR153" s="292"/>
      <c r="AS153" s="292"/>
      <c r="AT153" s="292"/>
      <c r="AU153" s="292"/>
      <c r="AV153" s="292"/>
      <c r="AW153" s="292"/>
      <c r="AX153" s="292"/>
      <c r="AY153" s="292"/>
      <c r="AZ153" s="292"/>
      <c r="BA153" s="292"/>
      <c r="BB153" s="292"/>
      <c r="BC153" s="292"/>
      <c r="BD153" s="292"/>
      <c r="BE153" s="292"/>
      <c r="BF153" s="292"/>
      <c r="BG153" s="292"/>
      <c r="BH153" s="292"/>
      <c r="BI153" s="283">
        <v>293504</v>
      </c>
      <c r="BJ153" s="292"/>
      <c r="BK153" s="302">
        <f>COUNT(P$2:P153)</f>
        <v>152</v>
      </c>
      <c r="BL153" s="302">
        <f>SUMPRODUCT(--(YEAR(P$2:P153)=YEAR(P153)))</f>
        <v>3</v>
      </c>
      <c r="BM153" s="302">
        <f t="shared" si="50"/>
        <v>45</v>
      </c>
      <c r="BN153" s="15">
        <f t="shared" si="52"/>
        <v>51.406249999999275</v>
      </c>
      <c r="BO153" s="292"/>
      <c r="BP153" s="292"/>
      <c r="BQ153" s="467">
        <v>498.59333333333342</v>
      </c>
      <c r="BR153" s="467">
        <v>722.32600000000002</v>
      </c>
      <c r="BS153" s="467">
        <v>722.32600000000002</v>
      </c>
      <c r="BT153" s="467"/>
      <c r="BU153" s="467"/>
      <c r="BV153" s="467"/>
      <c r="BW153" s="467" t="s">
        <v>1877</v>
      </c>
      <c r="BX153" s="469">
        <v>42005</v>
      </c>
      <c r="BY153" s="472">
        <f t="shared" si="54"/>
        <v>8.9034523809523822</v>
      </c>
    </row>
    <row r="154" spans="1:78" x14ac:dyDescent="0.25">
      <c r="A154" s="65" t="s">
        <v>761</v>
      </c>
      <c r="B154" s="281" t="s">
        <v>796</v>
      </c>
      <c r="C154" s="292" t="s">
        <v>797</v>
      </c>
      <c r="D154" s="529" t="s">
        <v>2154</v>
      </c>
      <c r="E154" s="281"/>
      <c r="F154" s="281" t="str">
        <f t="shared" si="51"/>
        <v>SA</v>
      </c>
      <c r="G154" s="281" t="s">
        <v>17</v>
      </c>
      <c r="H154" s="281" t="s">
        <v>23</v>
      </c>
      <c r="I154" s="384" t="s">
        <v>24</v>
      </c>
      <c r="J154" s="281" t="s">
        <v>298</v>
      </c>
      <c r="K154" s="281" t="s">
        <v>18</v>
      </c>
      <c r="L154" s="281" t="s">
        <v>1410</v>
      </c>
      <c r="M154" s="8"/>
      <c r="N154" s="281"/>
      <c r="O154" s="284">
        <v>41974</v>
      </c>
      <c r="P154" s="284">
        <v>42018</v>
      </c>
      <c r="Q154" s="292">
        <f t="shared" si="53"/>
        <v>44</v>
      </c>
      <c r="R154" s="334">
        <f>IF(ISERROR(VLOOKUP(G154,'Planning and Target Times'!$L$1:$AJ$6,MATCH(K154&amp;"_"&amp;L154&amp;"_"&amp;J154,INDEX('Planning and Target Times'!$L$1:$AJ$6,1,0),0),0)+5),"",(VLOOKUP(G154,'Planning and Target Times'!$L$1:$AJ$6,MATCH(K154&amp;"_"&amp;L154&amp;"_"&amp;J154,INDEX('Planning and Target Times'!$L$1:$AJ$6,1,0),0),0)+5))</f>
        <v>61</v>
      </c>
      <c r="S154" s="420">
        <f t="shared" si="47"/>
        <v>56</v>
      </c>
      <c r="T154" s="392">
        <f>VLOOKUP(G154,'Planning and Target Times'!$A$7:$G$12,MATCH(K154&amp;"-"&amp;L154&amp;"-"&amp;J154,INDEX('Planning and Target Times'!$A$7:$G$12,1,0),0),0)</f>
        <v>27</v>
      </c>
      <c r="U154" s="292"/>
      <c r="V154" s="292">
        <f t="shared" si="48"/>
        <v>44</v>
      </c>
      <c r="W154" s="292">
        <f t="shared" si="44"/>
        <v>4805</v>
      </c>
      <c r="X154" s="286" t="str">
        <f t="shared" si="49"/>
        <v>MA</v>
      </c>
      <c r="Y154" s="302">
        <v>12907</v>
      </c>
      <c r="Z154" s="302"/>
      <c r="AA154" s="302">
        <v>8330</v>
      </c>
      <c r="AB154" s="302">
        <v>8102</v>
      </c>
      <c r="AC154" s="302"/>
      <c r="AD154" s="302"/>
      <c r="AE154" s="292"/>
      <c r="AF154" s="292"/>
      <c r="AG154" s="292"/>
      <c r="AH154" s="292"/>
      <c r="AI154" s="292"/>
      <c r="AJ154" s="292"/>
      <c r="AK154" s="282">
        <f>IF(ISERROR(VLOOKUP(G154,'Planning and Target Times'!$B$106:$D$110,MATCH(F154,INDEX('Planning and Target Times'!$B$106:$D$110,1,0),0),0)),"",(VLOOKUP(G154,'Planning and Target Times'!$B$106:$D$110,MATCH(F154,INDEX('Planning and Target Times'!$B$106:$D$110,1,0),0),0)))</f>
        <v>740</v>
      </c>
      <c r="AL154" s="282" t="str">
        <f>VLOOKUP(G154,'Planning and Target Times'!$I$2:$J$7,2,0)</f>
        <v>Carbonate</v>
      </c>
      <c r="AM154" s="292"/>
      <c r="AN154" s="292"/>
      <c r="AO154" s="292"/>
      <c r="AP154" s="283">
        <f>VLOOKUP(G154,'Planning and Target Times'!$A$43:$L$47,MATCH(F154&amp;"-"&amp;K154&amp;"-"&amp;L154&amp;"-"&amp;J154,INDEX('Planning and Target Times'!$A$43:$L$47,1,0),0),0)</f>
        <v>20</v>
      </c>
      <c r="AQ154" s="281"/>
      <c r="AR154" s="281"/>
      <c r="AS154" s="292"/>
      <c r="AT154" s="292"/>
      <c r="AU154" s="292"/>
      <c r="AV154" s="292"/>
      <c r="AW154" s="292"/>
      <c r="AX154" s="281"/>
      <c r="AY154" s="281"/>
      <c r="AZ154" s="281"/>
      <c r="BA154" s="292"/>
      <c r="BB154" s="292"/>
      <c r="BC154" s="292"/>
      <c r="BD154" s="292"/>
      <c r="BE154" s="292"/>
      <c r="BF154" s="292"/>
      <c r="BG154" s="292"/>
      <c r="BH154" s="292"/>
      <c r="BI154" s="283">
        <v>293553</v>
      </c>
      <c r="BJ154" s="292"/>
      <c r="BK154" s="302">
        <f>COUNT(P$2:P154)</f>
        <v>153</v>
      </c>
      <c r="BL154" s="302">
        <f>SUMPRODUCT(--(YEAR(P$2:P154)=YEAR(P154)))</f>
        <v>4</v>
      </c>
      <c r="BM154" s="302">
        <f t="shared" si="50"/>
        <v>46</v>
      </c>
      <c r="BN154" s="15">
        <f t="shared" si="52"/>
        <v>51.027083333332847</v>
      </c>
      <c r="BO154" s="292"/>
      <c r="BP154" s="292"/>
      <c r="BQ154" s="467">
        <v>600.52333333333343</v>
      </c>
      <c r="BR154" s="467">
        <v>591.6825</v>
      </c>
      <c r="BS154" s="467">
        <v>591.6825</v>
      </c>
      <c r="BT154" s="467"/>
      <c r="BU154" s="467"/>
      <c r="BV154" s="467"/>
      <c r="BW154" s="467" t="s">
        <v>1877</v>
      </c>
      <c r="BX154" s="469">
        <v>42036</v>
      </c>
      <c r="BY154" s="472">
        <f t="shared" si="54"/>
        <v>13.648257575757578</v>
      </c>
    </row>
    <row r="155" spans="1:78" x14ac:dyDescent="0.25">
      <c r="A155" s="68" t="s">
        <v>766</v>
      </c>
      <c r="B155" s="292" t="s">
        <v>794</v>
      </c>
      <c r="C155" s="292" t="s">
        <v>1368</v>
      </c>
      <c r="D155" s="529" t="s">
        <v>2155</v>
      </c>
      <c r="E155" s="292"/>
      <c r="F155" s="292" t="str">
        <f t="shared" si="51"/>
        <v>SA</v>
      </c>
      <c r="G155" s="292" t="s">
        <v>17</v>
      </c>
      <c r="H155" s="292" t="s">
        <v>37</v>
      </c>
      <c r="I155" s="281" t="s">
        <v>20</v>
      </c>
      <c r="J155" s="292" t="s">
        <v>298</v>
      </c>
      <c r="K155" s="292" t="s">
        <v>18</v>
      </c>
      <c r="L155" s="292" t="s">
        <v>1410</v>
      </c>
      <c r="M155" s="292"/>
      <c r="N155" s="292">
        <v>2</v>
      </c>
      <c r="O155" s="284">
        <v>41969</v>
      </c>
      <c r="P155" s="284">
        <v>42033</v>
      </c>
      <c r="Q155" s="292">
        <f t="shared" si="53"/>
        <v>64</v>
      </c>
      <c r="R155" s="334">
        <f>IF(ISERROR(VLOOKUP(G155,'Planning and Target Times'!$L$1:$AJ$6,MATCH(K155&amp;"_"&amp;L155&amp;"_"&amp;J155,INDEX('Planning and Target Times'!$L$1:$AJ$6,1,0),0),0)+5),"",(VLOOKUP(G155,'Planning and Target Times'!$L$1:$AJ$6,MATCH(K155&amp;"_"&amp;L155&amp;"_"&amp;J155,INDEX('Planning and Target Times'!$L$1:$AJ$6,1,0),0),0)+5))</f>
        <v>61</v>
      </c>
      <c r="S155" s="420">
        <f t="shared" si="47"/>
        <v>56</v>
      </c>
      <c r="T155" s="392">
        <f>VLOOKUP(G155,'Planning and Target Times'!$A$7:$G$12,MATCH(K155&amp;"-"&amp;L155&amp;"-"&amp;J155,INDEX('Planning and Target Times'!$A$7:$G$12,1,0),0),0)</f>
        <v>27</v>
      </c>
      <c r="U155" s="292">
        <v>4</v>
      </c>
      <c r="V155" s="292">
        <f t="shared" si="48"/>
        <v>68</v>
      </c>
      <c r="W155" s="292">
        <f t="shared" si="44"/>
        <v>2866</v>
      </c>
      <c r="X155" s="286" t="str">
        <f t="shared" si="49"/>
        <v>MA</v>
      </c>
      <c r="Y155" s="302">
        <v>11281</v>
      </c>
      <c r="Z155" s="302">
        <v>6178</v>
      </c>
      <c r="AA155" s="302">
        <v>7829</v>
      </c>
      <c r="AB155" s="302">
        <v>8415</v>
      </c>
      <c r="AC155" s="302"/>
      <c r="AD155" s="302">
        <v>11281</v>
      </c>
      <c r="AE155" s="292"/>
      <c r="AF155" s="292"/>
      <c r="AG155" s="292"/>
      <c r="AH155" s="292"/>
      <c r="AI155" s="292"/>
      <c r="AJ155" s="292"/>
      <c r="AK155" s="282">
        <f>IF(ISERROR(VLOOKUP(G155,'Planning and Target Times'!$B$106:$D$110,MATCH(F155,INDEX('Planning and Target Times'!$B$106:$D$110,1,0),0),0)),"",(VLOOKUP(G155,'Planning and Target Times'!$B$106:$D$110,MATCH(F155,INDEX('Planning and Target Times'!$B$106:$D$110,1,0),0),0)))</f>
        <v>740</v>
      </c>
      <c r="AL155" s="282" t="str">
        <f>VLOOKUP(G155,'Planning and Target Times'!$I$2:$J$7,2,0)</f>
        <v>Carbonate</v>
      </c>
      <c r="AM155" s="292"/>
      <c r="AN155" s="292"/>
      <c r="AO155" s="292"/>
      <c r="AP155" s="283">
        <f>VLOOKUP(G155,'Planning and Target Times'!$A$43:$L$47,MATCH(F155&amp;"-"&amp;K155&amp;"-"&amp;L155&amp;"-"&amp;J155,INDEX('Planning and Target Times'!$A$43:$L$47,1,0),0),0)</f>
        <v>20</v>
      </c>
      <c r="AQ155" s="292"/>
      <c r="AR155" s="292"/>
      <c r="AS155" s="292"/>
      <c r="AT155" s="292"/>
      <c r="AU155" s="292"/>
      <c r="AV155" s="292"/>
      <c r="AW155" s="292"/>
      <c r="AX155" s="292"/>
      <c r="AY155" s="292"/>
      <c r="AZ155" s="292"/>
      <c r="BA155" s="292"/>
      <c r="BB155" s="292"/>
      <c r="BC155" s="292"/>
      <c r="BD155" s="292"/>
      <c r="BE155" s="292"/>
      <c r="BF155" s="292"/>
      <c r="BG155" s="292"/>
      <c r="BH155" s="292"/>
      <c r="BI155" s="283"/>
      <c r="BJ155" s="292"/>
      <c r="BK155" s="302">
        <f>COUNT(P$2:P155)</f>
        <v>154</v>
      </c>
      <c r="BL155" s="302">
        <f>SUMPRODUCT(--(YEAR(P$2:P155)=YEAR(P155)))</f>
        <v>5</v>
      </c>
      <c r="BM155" s="302">
        <f t="shared" si="50"/>
        <v>47</v>
      </c>
      <c r="BN155" s="15">
        <f t="shared" si="52"/>
        <v>54.408333333332848</v>
      </c>
      <c r="BO155" s="292"/>
      <c r="BP155" s="292"/>
      <c r="BQ155" s="467">
        <v>228.33666666666667</v>
      </c>
      <c r="BR155" s="467">
        <v>171.2525</v>
      </c>
      <c r="BS155" s="467">
        <v>171.2525</v>
      </c>
      <c r="BT155" s="467"/>
      <c r="BU155" s="467"/>
      <c r="BV155" s="467"/>
      <c r="BW155" s="467" t="s">
        <v>1877</v>
      </c>
      <c r="BX155" s="469">
        <v>42036</v>
      </c>
      <c r="BY155" s="472">
        <f t="shared" si="54"/>
        <v>3.5677604166666668</v>
      </c>
    </row>
    <row r="156" spans="1:78" x14ac:dyDescent="0.25">
      <c r="A156" s="65" t="s">
        <v>503</v>
      </c>
      <c r="B156" s="281" t="s">
        <v>510</v>
      </c>
      <c r="C156" s="292" t="s">
        <v>510</v>
      </c>
      <c r="D156" s="529" t="s">
        <v>2156</v>
      </c>
      <c r="E156" s="281"/>
      <c r="F156" s="281" t="str">
        <f t="shared" si="51"/>
        <v>SA</v>
      </c>
      <c r="G156" s="281" t="s">
        <v>22</v>
      </c>
      <c r="H156" s="281" t="s">
        <v>511</v>
      </c>
      <c r="I156" s="384" t="s">
        <v>24</v>
      </c>
      <c r="J156" s="281" t="s">
        <v>298</v>
      </c>
      <c r="K156" s="32" t="s">
        <v>14</v>
      </c>
      <c r="L156" s="281" t="s">
        <v>1410</v>
      </c>
      <c r="M156" s="8" t="e">
        <f>VLOOKUP(H156,'Rig Mud Co'!$A$2:$B$17,2,0)</f>
        <v>#N/A</v>
      </c>
      <c r="N156" s="281">
        <v>1</v>
      </c>
      <c r="O156" s="284">
        <v>41999</v>
      </c>
      <c r="P156" s="284">
        <v>42036.583333333336</v>
      </c>
      <c r="Q156" s="292">
        <f t="shared" si="53"/>
        <v>37.583333333335759</v>
      </c>
      <c r="R156" s="334">
        <f>IF(ISERROR(VLOOKUP(G156,'Planning and Target Times'!$L$1:$AJ$6,MATCH(K156&amp;"_"&amp;L156&amp;"_"&amp;J156,INDEX('Planning and Target Times'!$L$1:$AJ$6,1,0),0),0)+5),"",(VLOOKUP(G156,'Planning and Target Times'!$L$1:$AJ$6,MATCH(K156&amp;"_"&amp;L156&amp;"_"&amp;J156,INDEX('Planning and Target Times'!$L$1:$AJ$6,1,0),0),0)+5))</f>
        <v>75</v>
      </c>
      <c r="S156" s="420">
        <f t="shared" si="47"/>
        <v>70</v>
      </c>
      <c r="T156" s="392">
        <f>VLOOKUP(G156,'Planning and Target Times'!$A$7:$G$12,MATCH(K156&amp;"-"&amp;L156&amp;"-"&amp;J156,INDEX('Planning and Target Times'!$A$7:$G$12,1,0),0),0)</f>
        <v>35</v>
      </c>
      <c r="U156" s="292"/>
      <c r="V156" s="292">
        <f t="shared" si="48"/>
        <v>37.583333333335759</v>
      </c>
      <c r="W156" s="292">
        <f t="shared" ref="W156:W187" si="55">IF(AB156="",0,Y156-AB156)</f>
        <v>1390</v>
      </c>
      <c r="X156" s="286" t="str">
        <f t="shared" si="49"/>
        <v>LB</v>
      </c>
      <c r="Y156" s="302">
        <v>10450</v>
      </c>
      <c r="Z156" s="302">
        <v>6017</v>
      </c>
      <c r="AA156" s="302">
        <v>8170</v>
      </c>
      <c r="AB156" s="302">
        <v>9060</v>
      </c>
      <c r="AC156" s="302"/>
      <c r="AD156" s="302"/>
      <c r="AE156" s="292"/>
      <c r="AF156" s="292"/>
      <c r="AG156" s="292"/>
      <c r="AH156" s="292"/>
      <c r="AI156" s="292"/>
      <c r="AJ156" s="292"/>
      <c r="AK156" s="282">
        <f>IF(ISERROR(VLOOKUP(G156,'Planning and Target Times'!$B$106:$D$110,MATCH(F156,INDEX('Planning and Target Times'!$B$106:$D$110,1,0),0),0)),"",(VLOOKUP(G156,'Planning and Target Times'!$B$106:$D$110,MATCH(F156,INDEX('Planning and Target Times'!$B$106:$D$110,1,0),0),0)))</f>
        <v>550</v>
      </c>
      <c r="AL156" s="282" t="str">
        <f>VLOOKUP(G156,'Planning and Target Times'!$I$2:$J$7,2,0)</f>
        <v>Sandstone</v>
      </c>
      <c r="AM156" s="292"/>
      <c r="AN156" s="292"/>
      <c r="AO156" s="292"/>
      <c r="AP156" s="283">
        <f>VLOOKUP(G156,'Planning and Target Times'!$A$43:$L$47,MATCH(F156&amp;"-"&amp;K156&amp;"-"&amp;L156&amp;"-"&amp;J156,INDEX('Planning and Target Times'!$A$43:$L$47,1,0),0),0)</f>
        <v>24</v>
      </c>
      <c r="AQ156" s="281"/>
      <c r="AR156" s="281"/>
      <c r="AS156" s="292"/>
      <c r="AT156" s="292"/>
      <c r="AU156" s="292"/>
      <c r="AV156" s="292"/>
      <c r="AW156" s="292"/>
      <c r="AX156" s="281"/>
      <c r="AY156" s="281"/>
      <c r="AZ156" s="281"/>
      <c r="BA156" s="292"/>
      <c r="BB156" s="292"/>
      <c r="BC156" s="292"/>
      <c r="BD156" s="292"/>
      <c r="BE156" s="292"/>
      <c r="BF156" s="292"/>
      <c r="BG156" s="292"/>
      <c r="BH156" s="292"/>
      <c r="BI156" s="283">
        <v>293700</v>
      </c>
      <c r="BJ156" s="292"/>
      <c r="BK156" s="302">
        <f>COUNT(P$2:P156)</f>
        <v>155</v>
      </c>
      <c r="BL156" s="302">
        <f>SUMPRODUCT(--(YEAR(P$2:P156)=YEAR(P156)))</f>
        <v>6</v>
      </c>
      <c r="BM156" s="302">
        <f t="shared" si="50"/>
        <v>48</v>
      </c>
      <c r="BN156" s="15">
        <f t="shared" si="52"/>
        <v>52.958333333333577</v>
      </c>
      <c r="BO156" s="292"/>
      <c r="BP156" s="292"/>
      <c r="BQ156" s="467">
        <v>583.37333333333333</v>
      </c>
      <c r="BR156" s="467">
        <v>573.23750000000007</v>
      </c>
      <c r="BS156" s="467">
        <v>573.23750000000007</v>
      </c>
      <c r="BT156" s="467"/>
      <c r="BU156" s="467"/>
      <c r="BV156" s="467"/>
      <c r="BW156" s="467" t="s">
        <v>1877</v>
      </c>
      <c r="BX156" s="469">
        <v>42036</v>
      </c>
      <c r="BY156" s="472">
        <f t="shared" si="54"/>
        <v>15.52212860310321</v>
      </c>
    </row>
    <row r="157" spans="1:78" x14ac:dyDescent="0.25">
      <c r="A157" s="68" t="s">
        <v>832</v>
      </c>
      <c r="B157" s="292" t="s">
        <v>833</v>
      </c>
      <c r="C157" s="292" t="s">
        <v>832</v>
      </c>
      <c r="D157" s="529" t="s">
        <v>2157</v>
      </c>
      <c r="E157" s="292"/>
      <c r="F157" s="292" t="str">
        <f t="shared" si="51"/>
        <v>SA</v>
      </c>
      <c r="G157" s="292" t="s">
        <v>22</v>
      </c>
      <c r="H157" s="292" t="s">
        <v>839</v>
      </c>
      <c r="I157" s="384" t="s">
        <v>24</v>
      </c>
      <c r="J157" s="292" t="s">
        <v>298</v>
      </c>
      <c r="K157" s="292" t="s">
        <v>14</v>
      </c>
      <c r="L157" s="292" t="s">
        <v>1416</v>
      </c>
      <c r="M157" s="292"/>
      <c r="N157" s="292"/>
      <c r="O157" s="284">
        <v>41985</v>
      </c>
      <c r="P157" s="284">
        <v>42037</v>
      </c>
      <c r="Q157" s="292">
        <f t="shared" si="53"/>
        <v>52</v>
      </c>
      <c r="R157" s="334">
        <f>IF(ISERROR(VLOOKUP(G157,'Planning and Target Times'!$L$1:$AJ$6,MATCH(K157&amp;"_"&amp;L157&amp;"_"&amp;J157,INDEX('Planning and Target Times'!$L$1:$AJ$6,1,0),0),0)+5),"",(VLOOKUP(G157,'Planning and Target Times'!$L$1:$AJ$6,MATCH(K157&amp;"_"&amp;L157&amp;"_"&amp;J157,INDEX('Planning and Target Times'!$L$1:$AJ$6,1,0),0),0)+5))</f>
        <v>75</v>
      </c>
      <c r="S157" s="420">
        <f t="shared" si="47"/>
        <v>70</v>
      </c>
      <c r="T157" s="392">
        <f>VLOOKUP(G157,'Planning and Target Times'!$A$7:$G$12,MATCH(K157&amp;"-"&amp;L157&amp;"-"&amp;J157,INDEX('Planning and Target Times'!$A$7:$G$12,1,0),0),0)</f>
        <v>33</v>
      </c>
      <c r="U157" s="292"/>
      <c r="V157" s="292">
        <f t="shared" si="48"/>
        <v>52</v>
      </c>
      <c r="W157" s="292">
        <f t="shared" si="55"/>
        <v>608</v>
      </c>
      <c r="X157" s="286" t="str">
        <f t="shared" si="49"/>
        <v>LB</v>
      </c>
      <c r="Y157" s="302">
        <v>9995</v>
      </c>
      <c r="Z157" s="302"/>
      <c r="AA157" s="302">
        <v>8131</v>
      </c>
      <c r="AB157" s="302">
        <v>9387</v>
      </c>
      <c r="AC157" s="302"/>
      <c r="AD157" s="302">
        <v>9740</v>
      </c>
      <c r="AE157" s="292"/>
      <c r="AF157" s="292"/>
      <c r="AG157" s="292"/>
      <c r="AH157" s="292"/>
      <c r="AI157" s="292"/>
      <c r="AJ157" s="292"/>
      <c r="AK157" s="282">
        <f>IF(ISERROR(VLOOKUP(G157,'Planning and Target Times'!$B$106:$D$110,MATCH(F157,INDEX('Planning and Target Times'!$B$106:$D$110,1,0),0),0)),"",(VLOOKUP(G157,'Planning and Target Times'!$B$106:$D$110,MATCH(F157,INDEX('Planning and Target Times'!$B$106:$D$110,1,0),0),0)))</f>
        <v>550</v>
      </c>
      <c r="AL157" s="282" t="str">
        <f>VLOOKUP(G157,'Planning and Target Times'!$I$2:$J$7,2,0)</f>
        <v>Sandstone</v>
      </c>
      <c r="AM157" s="292"/>
      <c r="AN157" s="292"/>
      <c r="AO157" s="292"/>
      <c r="AP157" s="283">
        <f>VLOOKUP(G157,'Planning and Target Times'!$A$43:$L$47,MATCH(F157&amp;"-"&amp;K157&amp;"-"&amp;L157&amp;"-"&amp;J157,INDEX('Planning and Target Times'!$A$43:$L$47,1,0),0),0)</f>
        <v>28</v>
      </c>
      <c r="AQ157" s="292"/>
      <c r="AR157" s="292"/>
      <c r="AS157" s="292"/>
      <c r="AT157" s="292"/>
      <c r="AU157" s="292"/>
      <c r="AV157" s="292"/>
      <c r="AW157" s="292"/>
      <c r="AX157" s="292"/>
      <c r="AY157" s="292"/>
      <c r="AZ157" s="292"/>
      <c r="BA157" s="292"/>
      <c r="BB157" s="292"/>
      <c r="BC157" s="292"/>
      <c r="BD157" s="292"/>
      <c r="BE157" s="292"/>
      <c r="BF157" s="292"/>
      <c r="BG157" s="292"/>
      <c r="BH157" s="292"/>
      <c r="BI157" s="283">
        <v>293731</v>
      </c>
      <c r="BJ157" s="292"/>
      <c r="BK157" s="302">
        <f>COUNT(P$2:P157)</f>
        <v>156</v>
      </c>
      <c r="BL157" s="302">
        <f>SUMPRODUCT(--(YEAR(P$2:P157)=YEAR(P157)))</f>
        <v>7</v>
      </c>
      <c r="BM157" s="302">
        <f t="shared" si="50"/>
        <v>49</v>
      </c>
      <c r="BN157" s="15">
        <f t="shared" si="52"/>
        <v>55.458333333333577</v>
      </c>
      <c r="BO157" s="292"/>
      <c r="BP157" s="292"/>
      <c r="BQ157" s="467">
        <v>1565.2533333333333</v>
      </c>
      <c r="BR157" s="467">
        <v>1645.6750000000002</v>
      </c>
      <c r="BS157" s="467">
        <v>1645.6750000000002</v>
      </c>
      <c r="BT157" s="467"/>
      <c r="BU157" s="467"/>
      <c r="BV157" s="467"/>
      <c r="BW157" s="467" t="s">
        <v>1877</v>
      </c>
      <c r="BX157" s="469">
        <v>42036</v>
      </c>
      <c r="BY157" s="472">
        <f t="shared" si="54"/>
        <v>30.10102564102564</v>
      </c>
    </row>
    <row r="158" spans="1:78" x14ac:dyDescent="0.25">
      <c r="A158" s="65" t="s">
        <v>793</v>
      </c>
      <c r="B158" s="281" t="s">
        <v>800</v>
      </c>
      <c r="C158" s="292" t="s">
        <v>793</v>
      </c>
      <c r="D158" s="529" t="s">
        <v>2158</v>
      </c>
      <c r="E158" s="281"/>
      <c r="F158" s="281" t="str">
        <f t="shared" si="51"/>
        <v>RA</v>
      </c>
      <c r="G158" s="281" t="s">
        <v>22</v>
      </c>
      <c r="H158" s="281" t="s">
        <v>430</v>
      </c>
      <c r="I158" s="281" t="s">
        <v>16</v>
      </c>
      <c r="J158" s="281" t="s">
        <v>298</v>
      </c>
      <c r="K158" s="281" t="s">
        <v>14</v>
      </c>
      <c r="L158" s="281" t="s">
        <v>1416</v>
      </c>
      <c r="M158" s="8"/>
      <c r="N158" s="281"/>
      <c r="O158" s="284">
        <v>41973</v>
      </c>
      <c r="P158" s="284">
        <v>42039</v>
      </c>
      <c r="Q158" s="292">
        <f t="shared" si="53"/>
        <v>66</v>
      </c>
      <c r="R158" s="334">
        <f>IF(ISERROR(VLOOKUP(G158,'Planning and Target Times'!$L$1:$AJ$6,MATCH(K158&amp;"_"&amp;L158&amp;"_"&amp;J158,INDEX('Planning and Target Times'!$L$1:$AJ$6,1,0),0),0)+5),"",(VLOOKUP(G158,'Planning and Target Times'!$L$1:$AJ$6,MATCH(K158&amp;"_"&amp;L158&amp;"_"&amp;J158,INDEX('Planning and Target Times'!$L$1:$AJ$6,1,0),0),0)+5))</f>
        <v>75</v>
      </c>
      <c r="S158" s="420">
        <f t="shared" si="47"/>
        <v>70</v>
      </c>
      <c r="T158" s="392">
        <f>VLOOKUP(G158,'Planning and Target Times'!$A$7:$G$12,MATCH(K158&amp;"-"&amp;L158&amp;"-"&amp;J158,INDEX('Planning and Target Times'!$A$7:$G$12,1,0),0),0)</f>
        <v>33</v>
      </c>
      <c r="U158" s="292"/>
      <c r="V158" s="292">
        <f t="shared" si="48"/>
        <v>66</v>
      </c>
      <c r="W158" s="292">
        <f t="shared" si="55"/>
        <v>824</v>
      </c>
      <c r="X158" s="286" t="str">
        <f t="shared" si="49"/>
        <v>LB</v>
      </c>
      <c r="Y158" s="302">
        <v>10723</v>
      </c>
      <c r="Z158" s="302">
        <v>6060</v>
      </c>
      <c r="AA158" s="302">
        <v>8921</v>
      </c>
      <c r="AB158" s="302">
        <v>9899</v>
      </c>
      <c r="AC158" s="302"/>
      <c r="AD158" s="302"/>
      <c r="AE158" s="292"/>
      <c r="AF158" s="292"/>
      <c r="AG158" s="292"/>
      <c r="AH158" s="292"/>
      <c r="AI158" s="292"/>
      <c r="AJ158" s="292"/>
      <c r="AK158" s="282">
        <f>IF(ISERROR(VLOOKUP(G158,'Planning and Target Times'!$B$106:$D$110,MATCH(F158,INDEX('Planning and Target Times'!$B$106:$D$110,1,0),0),0)),"",(VLOOKUP(G158,'Planning and Target Times'!$B$106:$D$110,MATCH(F158,INDEX('Planning and Target Times'!$B$106:$D$110,1,0),0),0)))</f>
        <v>900</v>
      </c>
      <c r="AL158" s="282" t="str">
        <f>VLOOKUP(G158,'Planning and Target Times'!$I$2:$J$7,2,0)</f>
        <v>Sandstone</v>
      </c>
      <c r="AM158" s="292"/>
      <c r="AN158" s="292"/>
      <c r="AO158" s="292"/>
      <c r="AP158" s="283">
        <f>VLOOKUP(G158,'Planning and Target Times'!$A$43:$L$47,MATCH(F158&amp;"-"&amp;K158&amp;"-"&amp;L158&amp;"-"&amp;J158,INDEX('Planning and Target Times'!$A$43:$L$47,1,0),0),0)</f>
        <v>34</v>
      </c>
      <c r="AQ158" s="281"/>
      <c r="AR158" s="281"/>
      <c r="AS158" s="292"/>
      <c r="AT158" s="292"/>
      <c r="AU158" s="292"/>
      <c r="AV158" s="292"/>
      <c r="AW158" s="292"/>
      <c r="AX158" s="281"/>
      <c r="AY158" s="281"/>
      <c r="AZ158" s="281"/>
      <c r="BA158" s="292"/>
      <c r="BB158" s="292"/>
      <c r="BC158" s="292"/>
      <c r="BD158" s="292"/>
      <c r="BE158" s="292"/>
      <c r="BF158" s="292"/>
      <c r="BG158" s="292"/>
      <c r="BH158" s="292"/>
      <c r="BI158" s="283">
        <v>293812</v>
      </c>
      <c r="BJ158" s="292"/>
      <c r="BK158" s="302">
        <f>COUNT(P$2:P158)</f>
        <v>157</v>
      </c>
      <c r="BL158" s="302">
        <f>SUMPRODUCT(--(YEAR(P$2:P158)=YEAR(P158)))</f>
        <v>8</v>
      </c>
      <c r="BM158" s="302">
        <f t="shared" si="50"/>
        <v>50</v>
      </c>
      <c r="BN158" s="15">
        <f t="shared" si="52"/>
        <v>57.258333333333574</v>
      </c>
      <c r="BO158" s="292"/>
      <c r="BP158" s="292"/>
      <c r="BQ158" s="467">
        <v>376.53999999999996</v>
      </c>
      <c r="BR158" s="467">
        <v>379.72999999999996</v>
      </c>
      <c r="BS158" s="467">
        <v>379.72999999999996</v>
      </c>
      <c r="BT158" s="467"/>
      <c r="BU158" s="467"/>
      <c r="BV158" s="467"/>
      <c r="BW158" s="467" t="s">
        <v>1877</v>
      </c>
      <c r="BX158" s="469">
        <v>42036</v>
      </c>
      <c r="BY158" s="472">
        <f t="shared" si="54"/>
        <v>5.7051515151515142</v>
      </c>
    </row>
    <row r="159" spans="1:78" x14ac:dyDescent="0.25">
      <c r="A159" s="68" t="s">
        <v>501</v>
      </c>
      <c r="B159" s="281" t="s">
        <v>508</v>
      </c>
      <c r="C159" s="292" t="s">
        <v>508</v>
      </c>
      <c r="D159" s="529" t="s">
        <v>2159</v>
      </c>
      <c r="E159" s="281"/>
      <c r="F159" s="281" t="str">
        <f t="shared" si="51"/>
        <v>SA</v>
      </c>
      <c r="G159" s="281" t="s">
        <v>44</v>
      </c>
      <c r="H159" s="281" t="s">
        <v>513</v>
      </c>
      <c r="I159" s="281" t="s">
        <v>20</v>
      </c>
      <c r="J159" s="281" t="s">
        <v>298</v>
      </c>
      <c r="K159" s="281" t="s">
        <v>14</v>
      </c>
      <c r="L159" s="281" t="s">
        <v>1410</v>
      </c>
      <c r="M159" s="8" t="e">
        <f>VLOOKUP(H159,'Rig Mud Co'!$A$2:$B$17,2,0)</f>
        <v>#N/A</v>
      </c>
      <c r="N159" s="281"/>
      <c r="O159" s="284">
        <v>41883</v>
      </c>
      <c r="P159" s="284">
        <v>42042.479166666664</v>
      </c>
      <c r="Q159" s="292">
        <f t="shared" si="53"/>
        <v>159.47916666666424</v>
      </c>
      <c r="R159" s="334">
        <f>IF(ISERROR(VLOOKUP(G159,'Planning and Target Times'!$L$1:$AJ$6,MATCH(K159&amp;"_"&amp;L159&amp;"_"&amp;J159,INDEX('Planning and Target Times'!$L$1:$AJ$6,1,0),0),0)+5),"",(VLOOKUP(G159,'Planning and Target Times'!$L$1:$AJ$6,MATCH(K159&amp;"_"&amp;L159&amp;"_"&amp;J159,INDEX('Planning and Target Times'!$L$1:$AJ$6,1,0),0),0)+5))</f>
        <v>103</v>
      </c>
      <c r="S159" s="420">
        <f t="shared" si="47"/>
        <v>98</v>
      </c>
      <c r="T159" s="392">
        <f>VLOOKUP(G159,'Planning and Target Times'!$A$7:$G$12,MATCH(K159&amp;"-"&amp;L159&amp;"-"&amp;J159,INDEX('Planning and Target Times'!$A$7:$G$12,1,0),0),0)</f>
        <v>75</v>
      </c>
      <c r="U159" s="292"/>
      <c r="V159" s="292">
        <f t="shared" si="48"/>
        <v>159.47916666666424</v>
      </c>
      <c r="W159" s="292">
        <f t="shared" si="55"/>
        <v>33</v>
      </c>
      <c r="X159" s="286" t="str">
        <f t="shared" si="49"/>
        <v>ZU/RT</v>
      </c>
      <c r="Y159" s="302">
        <v>11415</v>
      </c>
      <c r="Z159" s="302">
        <v>5833</v>
      </c>
      <c r="AA159" s="302">
        <v>8936</v>
      </c>
      <c r="AB159" s="302">
        <v>11382</v>
      </c>
      <c r="AC159" s="302"/>
      <c r="AD159" s="302"/>
      <c r="AE159" s="292"/>
      <c r="AF159" s="292"/>
      <c r="AG159" s="292"/>
      <c r="AH159" s="292"/>
      <c r="AI159" s="292"/>
      <c r="AJ159" s="292"/>
      <c r="AK159" s="282">
        <f>IF(ISERROR(VLOOKUP(G159,'Planning and Target Times'!$B$106:$D$110,MATCH(F159,INDEX('Planning and Target Times'!$B$106:$D$110,1,0),0),0)),"",(VLOOKUP(G159,'Planning and Target Times'!$B$106:$D$110,MATCH(F159,INDEX('Planning and Target Times'!$B$106:$D$110,1,0),0),0)))</f>
        <v>920</v>
      </c>
      <c r="AL159" s="282" t="str">
        <f>VLOOKUP(G159,'Planning and Target Times'!$I$2:$J$7,2,0)</f>
        <v>Sandstone</v>
      </c>
      <c r="AM159" s="292"/>
      <c r="AN159" s="292"/>
      <c r="AO159" s="292"/>
      <c r="AP159" s="283">
        <f>VLOOKUP(G159,'Planning and Target Times'!$A$43:$L$47,MATCH(F159&amp;"-"&amp;K159&amp;"-"&amp;L159&amp;"-"&amp;J159,INDEX('Planning and Target Times'!$A$43:$L$47,1,0),0),0)</f>
        <v>18</v>
      </c>
      <c r="AQ159" s="281"/>
      <c r="AR159" s="281"/>
      <c r="AS159" s="292"/>
      <c r="AT159" s="292"/>
      <c r="AU159" s="292"/>
      <c r="AV159" s="292"/>
      <c r="AW159" s="292"/>
      <c r="AX159" s="281"/>
      <c r="AY159" s="281"/>
      <c r="AZ159" s="281" t="s">
        <v>10</v>
      </c>
      <c r="BA159" s="292"/>
      <c r="BB159" s="292"/>
      <c r="BC159" s="292"/>
      <c r="BD159" s="292"/>
      <c r="BE159" s="292"/>
      <c r="BF159" s="292"/>
      <c r="BG159" s="292"/>
      <c r="BH159" s="292"/>
      <c r="BI159" s="283">
        <v>293732</v>
      </c>
      <c r="BJ159" s="292"/>
      <c r="BK159" s="302">
        <f>COUNT(P$2:P159)</f>
        <v>158</v>
      </c>
      <c r="BL159" s="302">
        <f>SUMPRODUCT(--(YEAR(P$2:P159)=YEAR(P159)))</f>
        <v>9</v>
      </c>
      <c r="BM159" s="302">
        <f t="shared" si="50"/>
        <v>51</v>
      </c>
      <c r="BN159" s="15">
        <f t="shared" si="52"/>
        <v>67.506249999999994</v>
      </c>
      <c r="BO159" s="292"/>
      <c r="BP159" s="292"/>
      <c r="BQ159" s="467">
        <v>686.38</v>
      </c>
      <c r="BR159" s="467">
        <v>593.44999999999993</v>
      </c>
      <c r="BS159" s="467">
        <v>593.44999999999993</v>
      </c>
      <c r="BT159" s="467"/>
      <c r="BU159" s="467"/>
      <c r="BV159" s="467"/>
      <c r="BW159" s="467" t="s">
        <v>1877</v>
      </c>
      <c r="BX159" s="469">
        <v>42036</v>
      </c>
      <c r="BY159" s="472">
        <f t="shared" si="54"/>
        <v>4.3038850424559767</v>
      </c>
    </row>
    <row r="160" spans="1:78" x14ac:dyDescent="0.25">
      <c r="A160" s="72" t="s">
        <v>192</v>
      </c>
      <c r="B160" s="292" t="s">
        <v>795</v>
      </c>
      <c r="C160" s="292" t="s">
        <v>1590</v>
      </c>
      <c r="D160" s="529" t="s">
        <v>2160</v>
      </c>
      <c r="E160" s="292"/>
      <c r="F160" s="292" t="str">
        <f t="shared" si="51"/>
        <v>RA</v>
      </c>
      <c r="G160" s="292" t="s">
        <v>17</v>
      </c>
      <c r="H160" s="292" t="s">
        <v>25</v>
      </c>
      <c r="I160" s="384" t="s">
        <v>24</v>
      </c>
      <c r="J160" s="292" t="s">
        <v>298</v>
      </c>
      <c r="K160" s="292" t="s">
        <v>18</v>
      </c>
      <c r="L160" s="292" t="s">
        <v>1410</v>
      </c>
      <c r="M160" s="292"/>
      <c r="N160" s="292">
        <v>2</v>
      </c>
      <c r="O160" s="284">
        <v>41966</v>
      </c>
      <c r="P160" s="74">
        <v>42043</v>
      </c>
      <c r="Q160" s="292">
        <f t="shared" si="53"/>
        <v>77</v>
      </c>
      <c r="R160" s="334">
        <f>IF(ISERROR(VLOOKUP(G160,'Planning and Target Times'!$L$1:$AJ$6,MATCH(K160&amp;"_"&amp;L160&amp;"_"&amp;J160,INDEX('Planning and Target Times'!$L$1:$AJ$6,1,0),0),0)+5),"",(VLOOKUP(G160,'Planning and Target Times'!$L$1:$AJ$6,MATCH(K160&amp;"_"&amp;L160&amp;"_"&amp;J160,INDEX('Planning and Target Times'!$L$1:$AJ$6,1,0),0),0)+5))</f>
        <v>61</v>
      </c>
      <c r="S160" s="420">
        <f t="shared" si="47"/>
        <v>56</v>
      </c>
      <c r="T160" s="392">
        <f>VLOOKUP(G160,'Planning and Target Times'!$A$7:$G$12,MATCH(K160&amp;"-"&amp;L160&amp;"-"&amp;J160,INDEX('Planning and Target Times'!$A$7:$G$12,1,0),0),0)</f>
        <v>27</v>
      </c>
      <c r="U160" s="292"/>
      <c r="V160" s="292">
        <f t="shared" si="48"/>
        <v>77</v>
      </c>
      <c r="W160" s="292">
        <f t="shared" si="55"/>
        <v>2566</v>
      </c>
      <c r="X160" s="286" t="str">
        <f t="shared" si="49"/>
        <v>MA</v>
      </c>
      <c r="Y160" s="302">
        <v>11714</v>
      </c>
      <c r="Z160" s="302"/>
      <c r="AA160" s="302">
        <v>6890</v>
      </c>
      <c r="AB160" s="87">
        <v>9148</v>
      </c>
      <c r="AC160" s="302"/>
      <c r="AD160" s="302"/>
      <c r="AE160" s="292"/>
      <c r="AF160" s="292"/>
      <c r="AG160" s="292"/>
      <c r="AH160" s="292"/>
      <c r="AI160" s="292"/>
      <c r="AJ160" s="292"/>
      <c r="AK160" s="282">
        <f>IF(ISERROR(VLOOKUP(G160,'Planning and Target Times'!$B$106:$D$110,MATCH(F160,INDEX('Planning and Target Times'!$B$106:$D$110,1,0),0),0)),"",(VLOOKUP(G160,'Planning and Target Times'!$B$106:$D$110,MATCH(F160,INDEX('Planning and Target Times'!$B$106:$D$110,1,0),0),0)))</f>
        <v>650</v>
      </c>
      <c r="AL160" s="282" t="str">
        <f>VLOOKUP(G160,'Planning and Target Times'!$I$2:$J$7,2,0)</f>
        <v>Carbonate</v>
      </c>
      <c r="AM160" s="292"/>
      <c r="AN160" s="292"/>
      <c r="AO160" s="292"/>
      <c r="AP160" s="283">
        <f>VLOOKUP(G160,'Planning and Target Times'!$A$43:$L$47,MATCH(F160&amp;"-"&amp;K160&amp;"-"&amp;L160&amp;"-"&amp;J160,INDEX('Planning and Target Times'!$A$43:$L$47,1,0),0),0)</f>
        <v>20</v>
      </c>
      <c r="AQ160" s="292"/>
      <c r="AR160" s="292"/>
      <c r="AS160" s="292"/>
      <c r="AT160" s="292"/>
      <c r="AU160" s="292"/>
      <c r="AV160" s="292"/>
      <c r="AW160" s="292"/>
      <c r="AX160" s="292"/>
      <c r="AY160" s="292"/>
      <c r="AZ160" s="292"/>
      <c r="BA160" s="292"/>
      <c r="BB160" s="292"/>
      <c r="BC160" s="292"/>
      <c r="BD160" s="292"/>
      <c r="BE160" s="292"/>
      <c r="BF160" s="292"/>
      <c r="BG160" s="292"/>
      <c r="BH160" s="292"/>
      <c r="BI160" s="283"/>
      <c r="BJ160" s="292"/>
      <c r="BK160" s="302">
        <f>COUNT(P$2:P160)</f>
        <v>159</v>
      </c>
      <c r="BL160" s="302">
        <f>SUMPRODUCT(--(YEAR(P$2:P160)=YEAR(P160)))</f>
        <v>10</v>
      </c>
      <c r="BM160" s="302">
        <f t="shared" si="50"/>
        <v>52</v>
      </c>
      <c r="BN160" s="15">
        <f t="shared" si="52"/>
        <v>70.006249999999994</v>
      </c>
      <c r="BO160" s="292"/>
      <c r="BP160" s="292"/>
      <c r="BQ160" s="467">
        <v>394.05333333333328</v>
      </c>
      <c r="BR160" s="467">
        <v>418.48499999999996</v>
      </c>
      <c r="BS160" s="467">
        <v>418.48499999999996</v>
      </c>
      <c r="BT160" s="467"/>
      <c r="BU160" s="467"/>
      <c r="BV160" s="467"/>
      <c r="BW160" s="467" t="s">
        <v>1877</v>
      </c>
      <c r="BX160" s="469">
        <v>42036</v>
      </c>
      <c r="BY160" s="472">
        <f t="shared" si="54"/>
        <v>5.1175757575757572</v>
      </c>
    </row>
    <row r="161" spans="1:78" x14ac:dyDescent="0.25">
      <c r="A161" s="10" t="s">
        <v>763</v>
      </c>
      <c r="B161" s="292" t="s">
        <v>831</v>
      </c>
      <c r="C161" s="292" t="s">
        <v>1357</v>
      </c>
      <c r="D161" s="529" t="s">
        <v>2161</v>
      </c>
      <c r="E161" s="292"/>
      <c r="F161" s="292" t="str">
        <f t="shared" si="51"/>
        <v>SA</v>
      </c>
      <c r="G161" s="292" t="s">
        <v>17</v>
      </c>
      <c r="H161" s="292" t="s">
        <v>735</v>
      </c>
      <c r="I161" s="281" t="s">
        <v>16</v>
      </c>
      <c r="J161" s="292" t="s">
        <v>34</v>
      </c>
      <c r="K161" s="292" t="s">
        <v>18</v>
      </c>
      <c r="L161" s="292" t="s">
        <v>1410</v>
      </c>
      <c r="M161" s="292"/>
      <c r="N161" s="292"/>
      <c r="O161" s="284">
        <v>42008</v>
      </c>
      <c r="P161" s="284">
        <v>42047</v>
      </c>
      <c r="Q161" s="292">
        <f t="shared" si="53"/>
        <v>39</v>
      </c>
      <c r="R161" s="334">
        <f>IF(ISERROR(VLOOKUP(G161,'Planning and Target Times'!$L$1:$AJ$6,MATCH(K161&amp;"_"&amp;L161&amp;"_"&amp;J161,INDEX('Planning and Target Times'!$L$1:$AJ$6,1,0),0),0)+5),"",(VLOOKUP(G161,'Planning and Target Times'!$L$1:$AJ$6,MATCH(K161&amp;"_"&amp;L161&amp;"_"&amp;J161,INDEX('Planning and Target Times'!$L$1:$AJ$6,1,0),0),0)+5))</f>
        <v>54</v>
      </c>
      <c r="S161" s="420">
        <f t="shared" si="47"/>
        <v>49</v>
      </c>
      <c r="T161" s="392">
        <f>VLOOKUP(G161,'Planning and Target Times'!$A$7:$G$12,MATCH(K161&amp;"-"&amp;L161&amp;"-"&amp;J161,INDEX('Planning and Target Times'!$A$7:$G$12,1,0),0),0)</f>
        <v>25</v>
      </c>
      <c r="U161" s="292"/>
      <c r="V161" s="292">
        <f t="shared" si="48"/>
        <v>39</v>
      </c>
      <c r="W161" s="292">
        <f t="shared" si="55"/>
        <v>5224</v>
      </c>
      <c r="X161" s="286" t="str">
        <f t="shared" si="49"/>
        <v>MA</v>
      </c>
      <c r="Y161" s="302">
        <v>13580</v>
      </c>
      <c r="Z161" s="302"/>
      <c r="AA161" s="302">
        <v>7120</v>
      </c>
      <c r="AB161" s="302">
        <v>8356</v>
      </c>
      <c r="AC161" s="302"/>
      <c r="AD161" s="302"/>
      <c r="AE161" s="292"/>
      <c r="AF161" s="292"/>
      <c r="AG161" s="292"/>
      <c r="AH161" s="292"/>
      <c r="AI161" s="292"/>
      <c r="AJ161" s="292"/>
      <c r="AK161" s="282"/>
      <c r="AL161" s="282" t="str">
        <f>VLOOKUP(G161,'Planning and Target Times'!$I$2:$J$7,2,0)</f>
        <v>Carbonate</v>
      </c>
      <c r="AM161" s="292"/>
      <c r="AN161" s="292"/>
      <c r="AO161" s="292"/>
      <c r="AP161" s="283">
        <f>VLOOKUP(G161,'Planning and Target Times'!$A$43:$L$47,MATCH(F161&amp;"-"&amp;K161&amp;"-"&amp;L161&amp;"-"&amp;J161,INDEX('Planning and Target Times'!$A$43:$L$47,1,0),0),0)</f>
        <v>300</v>
      </c>
      <c r="AQ161" s="292"/>
      <c r="AR161" s="292"/>
      <c r="AS161" s="292"/>
      <c r="AT161" s="292"/>
      <c r="AU161" s="292"/>
      <c r="AV161" s="292"/>
      <c r="AW161" s="292"/>
      <c r="AX161" s="292"/>
      <c r="AY161" s="292"/>
      <c r="AZ161" s="292"/>
      <c r="BA161" s="292"/>
      <c r="BB161" s="292"/>
      <c r="BC161" s="292"/>
      <c r="BD161" s="292"/>
      <c r="BE161" s="292"/>
      <c r="BF161" s="292"/>
      <c r="BG161" s="292"/>
      <c r="BH161" s="292"/>
      <c r="BI161" s="283"/>
      <c r="BJ161" s="292"/>
      <c r="BK161" s="302">
        <f>COUNT(P$2:P161)</f>
        <v>160</v>
      </c>
      <c r="BL161" s="302">
        <f>SUMPRODUCT(--(YEAR(P$2:P161)=YEAR(P161)))</f>
        <v>11</v>
      </c>
      <c r="BM161" s="302">
        <f t="shared" si="50"/>
        <v>53</v>
      </c>
      <c r="BN161" s="15">
        <f t="shared" si="52"/>
        <v>69.206249999999997</v>
      </c>
      <c r="BO161" s="292"/>
      <c r="BP161" s="292"/>
      <c r="BQ161" s="464"/>
      <c r="BR161" s="464"/>
      <c r="BS161" s="464"/>
      <c r="BT161" s="464">
        <v>3322.5304659498202</v>
      </c>
      <c r="BU161" s="464">
        <v>3322.5304659498202</v>
      </c>
      <c r="BV161" s="464">
        <v>3322.5304659498202</v>
      </c>
      <c r="BW161" s="464" t="s">
        <v>1879</v>
      </c>
      <c r="BX161" s="469">
        <v>42095</v>
      </c>
      <c r="BZ161" s="472">
        <f>BT161/Q161</f>
        <v>85.193088870508205</v>
      </c>
    </row>
    <row r="162" spans="1:78" x14ac:dyDescent="0.25">
      <c r="A162" s="68" t="s">
        <v>828</v>
      </c>
      <c r="B162" s="292" t="s">
        <v>829</v>
      </c>
      <c r="C162" s="292" t="s">
        <v>829</v>
      </c>
      <c r="D162" s="529" t="s">
        <v>2162</v>
      </c>
      <c r="E162" s="292"/>
      <c r="F162" s="292" t="str">
        <f t="shared" si="51"/>
        <v>RA</v>
      </c>
      <c r="G162" s="292" t="s">
        <v>17</v>
      </c>
      <c r="H162" s="292" t="s">
        <v>79</v>
      </c>
      <c r="I162" s="281" t="s">
        <v>16</v>
      </c>
      <c r="J162" s="292" t="s">
        <v>298</v>
      </c>
      <c r="K162" s="292" t="s">
        <v>14</v>
      </c>
      <c r="L162" s="292" t="s">
        <v>1410</v>
      </c>
      <c r="M162" s="292"/>
      <c r="N162" s="292"/>
      <c r="O162" s="284">
        <v>41997</v>
      </c>
      <c r="P162" s="284">
        <v>42048</v>
      </c>
      <c r="Q162" s="292">
        <f t="shared" si="53"/>
        <v>51</v>
      </c>
      <c r="R162" s="334">
        <f>IF(ISERROR(VLOOKUP(G162,'Planning and Target Times'!$L$1:$AJ$6,MATCH(K162&amp;"_"&amp;L162&amp;"_"&amp;J162,INDEX('Planning and Target Times'!$L$1:$AJ$6,1,0),0),0)+5),"",(VLOOKUP(G162,'Planning and Target Times'!$L$1:$AJ$6,MATCH(K162&amp;"_"&amp;L162&amp;"_"&amp;J162,INDEX('Planning and Target Times'!$L$1:$AJ$6,1,0),0),0)+5))</f>
        <v>75</v>
      </c>
      <c r="S162" s="420">
        <f t="shared" ref="S162:S192" si="56">IF(ISERROR(R162-5),"",R162-5)</f>
        <v>70</v>
      </c>
      <c r="T162" s="392">
        <f>VLOOKUP(G162,'Planning and Target Times'!$A$7:$G$12,MATCH(K162&amp;"-"&amp;L162&amp;"-"&amp;J162,INDEX('Planning and Target Times'!$A$7:$G$12,1,0),0),0)</f>
        <v>35</v>
      </c>
      <c r="U162" s="292"/>
      <c r="V162" s="292">
        <f t="shared" si="48"/>
        <v>51</v>
      </c>
      <c r="W162" s="292">
        <f t="shared" si="55"/>
        <v>2458</v>
      </c>
      <c r="X162" s="286" t="str">
        <f t="shared" ref="X162:X192" si="57">IF(OR(G162="ZU",G162="RT"),"ZU/RT",G162)</f>
        <v>MA</v>
      </c>
      <c r="Y162" s="302">
        <v>10917</v>
      </c>
      <c r="Z162" s="302">
        <v>6085</v>
      </c>
      <c r="AA162" s="302">
        <v>7500</v>
      </c>
      <c r="AB162" s="302">
        <v>8459</v>
      </c>
      <c r="AC162" s="302">
        <v>10680</v>
      </c>
      <c r="AD162" s="302"/>
      <c r="AE162" s="292"/>
      <c r="AF162" s="292"/>
      <c r="AG162" s="292"/>
      <c r="AH162" s="292"/>
      <c r="AI162" s="292"/>
      <c r="AJ162" s="292"/>
      <c r="AK162" s="282">
        <f>IF(ISERROR(VLOOKUP(G162,'Planning and Target Times'!$B$106:$D$110,MATCH(F162,INDEX('Planning and Target Times'!$B$106:$D$110,1,0),0),0)),"",(VLOOKUP(G162,'Planning and Target Times'!$B$106:$D$110,MATCH(F162,INDEX('Planning and Target Times'!$B$106:$D$110,1,0),0),0)))</f>
        <v>650</v>
      </c>
      <c r="AL162" s="282" t="str">
        <f>VLOOKUP(G162,'Planning and Target Times'!$I$2:$J$7,2,0)</f>
        <v>Carbonate</v>
      </c>
      <c r="AM162" s="292"/>
      <c r="AN162" s="292"/>
      <c r="AO162" s="292"/>
      <c r="AP162" s="283">
        <f>VLOOKUP(G162,'Planning and Target Times'!$A$43:$L$47,MATCH(F162&amp;"-"&amp;K162&amp;"-"&amp;L162&amp;"-"&amp;J162,INDEX('Planning and Target Times'!$A$43:$L$47,1,0),0),0)</f>
        <v>16</v>
      </c>
      <c r="AQ162" s="292"/>
      <c r="AR162" s="292"/>
      <c r="AS162" s="292"/>
      <c r="AT162" s="292"/>
      <c r="AU162" s="292"/>
      <c r="AV162" s="292"/>
      <c r="AW162" s="292"/>
      <c r="AX162" s="292"/>
      <c r="AY162" s="292"/>
      <c r="AZ162" s="292"/>
      <c r="BA162" s="292"/>
      <c r="BB162" s="292"/>
      <c r="BC162" s="292"/>
      <c r="BD162" s="292"/>
      <c r="BE162" s="292"/>
      <c r="BF162" s="292"/>
      <c r="BG162" s="292"/>
      <c r="BH162" s="292"/>
      <c r="BI162" s="283">
        <v>293832</v>
      </c>
      <c r="BJ162" s="292"/>
      <c r="BK162" s="302">
        <f>COUNT(P$2:P162)</f>
        <v>161</v>
      </c>
      <c r="BL162" s="302">
        <f>SUMPRODUCT(--(YEAR(P$2:P162)=YEAR(P162)))</f>
        <v>12</v>
      </c>
      <c r="BM162" s="302">
        <f t="shared" si="50"/>
        <v>54</v>
      </c>
      <c r="BN162" s="15">
        <f t="shared" si="52"/>
        <v>64.606250000000003</v>
      </c>
      <c r="BO162" s="292"/>
      <c r="BP162" s="292"/>
      <c r="BQ162" s="467">
        <v>754.36999999999989</v>
      </c>
      <c r="BR162" s="467">
        <v>736.32499999999993</v>
      </c>
      <c r="BS162" s="467">
        <v>736.32499999999993</v>
      </c>
      <c r="BT162" s="467"/>
      <c r="BU162" s="467"/>
      <c r="BV162" s="467"/>
      <c r="BW162" s="467" t="s">
        <v>1877</v>
      </c>
      <c r="BX162" s="469">
        <v>42036</v>
      </c>
      <c r="BY162" s="472">
        <f>BQ162/Q162</f>
        <v>14.791568627450978</v>
      </c>
    </row>
    <row r="163" spans="1:78" x14ac:dyDescent="0.25">
      <c r="A163" s="292" t="s">
        <v>751</v>
      </c>
      <c r="B163" s="281" t="s">
        <v>1331</v>
      </c>
      <c r="C163" s="292" t="s">
        <v>1335</v>
      </c>
      <c r="D163" s="529" t="s">
        <v>2163</v>
      </c>
      <c r="E163" s="281"/>
      <c r="F163" s="281" t="str">
        <f t="shared" si="51"/>
        <v>RA</v>
      </c>
      <c r="G163" s="281" t="s">
        <v>17</v>
      </c>
      <c r="H163" s="281" t="s">
        <v>23</v>
      </c>
      <c r="I163" s="281" t="s">
        <v>39</v>
      </c>
      <c r="J163" s="281" t="s">
        <v>34</v>
      </c>
      <c r="K163" s="281" t="s">
        <v>18</v>
      </c>
      <c r="L163" s="281" t="s">
        <v>1410</v>
      </c>
      <c r="M163" s="8"/>
      <c r="N163" s="281"/>
      <c r="O163" s="284">
        <v>42021.416666666664</v>
      </c>
      <c r="P163" s="284">
        <v>42064.895833333336</v>
      </c>
      <c r="Q163" s="292">
        <f t="shared" si="53"/>
        <v>43.479166666671517</v>
      </c>
      <c r="R163" s="334">
        <f>IF(ISERROR(VLOOKUP(G163,'Planning and Target Times'!$L$1:$AJ$6,MATCH(K163&amp;"_"&amp;L163&amp;"_"&amp;J163,INDEX('Planning and Target Times'!$L$1:$AJ$6,1,0),0),0)+5),"",(VLOOKUP(G163,'Planning and Target Times'!$L$1:$AJ$6,MATCH(K163&amp;"_"&amp;L163&amp;"_"&amp;J163,INDEX('Planning and Target Times'!$L$1:$AJ$6,1,0),0),0)+5))</f>
        <v>54</v>
      </c>
      <c r="S163" s="420">
        <f t="shared" si="56"/>
        <v>49</v>
      </c>
      <c r="T163" s="392">
        <f>VLOOKUP(G163,'Planning and Target Times'!$A$7:$G$12,MATCH(K163&amp;"-"&amp;L163&amp;"-"&amp;J163,INDEX('Planning and Target Times'!$A$7:$G$12,1,0),0),0)</f>
        <v>25</v>
      </c>
      <c r="U163" s="292"/>
      <c r="V163" s="292">
        <f t="shared" si="48"/>
        <v>43.479166666671517</v>
      </c>
      <c r="W163" s="292">
        <f t="shared" si="55"/>
        <v>3958</v>
      </c>
      <c r="X163" s="286" t="str">
        <f t="shared" si="57"/>
        <v>MA</v>
      </c>
      <c r="Y163" s="302">
        <v>12315</v>
      </c>
      <c r="Z163" s="302"/>
      <c r="AA163" s="302">
        <v>6806</v>
      </c>
      <c r="AB163" s="302">
        <v>8357</v>
      </c>
      <c r="AC163" s="302"/>
      <c r="AD163" s="302"/>
      <c r="AE163" s="292"/>
      <c r="AF163" s="292"/>
      <c r="AG163" s="292"/>
      <c r="AH163" s="292"/>
      <c r="AI163" s="292"/>
      <c r="AJ163" s="292"/>
      <c r="AK163" s="282"/>
      <c r="AL163" s="282" t="str">
        <f>VLOOKUP(G163,'Planning and Target Times'!$I$2:$J$7,2,0)</f>
        <v>Carbonate</v>
      </c>
      <c r="AM163" s="292"/>
      <c r="AN163" s="292"/>
      <c r="AO163" s="292"/>
      <c r="AP163" s="283">
        <f>VLOOKUP(G163,'Planning and Target Times'!$A$43:$L$47,MATCH(F163&amp;"-"&amp;K163&amp;"-"&amp;L163&amp;"-"&amp;J163,INDEX('Planning and Target Times'!$A$43:$L$47,1,0),0),0)</f>
        <v>300</v>
      </c>
      <c r="AQ163" s="281"/>
      <c r="AR163" s="281"/>
      <c r="AS163" s="292"/>
      <c r="AT163" s="292"/>
      <c r="AU163" s="292"/>
      <c r="AV163" s="292"/>
      <c r="AW163" s="292"/>
      <c r="AX163" s="281"/>
      <c r="AY163" s="281"/>
      <c r="AZ163" s="281"/>
      <c r="BA163" s="292"/>
      <c r="BB163" s="292"/>
      <c r="BC163" s="292"/>
      <c r="BD163" s="292"/>
      <c r="BE163" s="292"/>
      <c r="BF163" s="292"/>
      <c r="BG163" s="292"/>
      <c r="BH163" s="292"/>
      <c r="BI163" s="283"/>
      <c r="BJ163" s="292"/>
      <c r="BK163" s="302">
        <f>COUNT(P$2:P163)</f>
        <v>162</v>
      </c>
      <c r="BL163" s="302">
        <f>SUMPRODUCT(--(YEAR(P$2:P163)=YEAR(P163)))</f>
        <v>13</v>
      </c>
      <c r="BM163" s="302">
        <f t="shared" ref="BM163:BM180" si="58">IF(AND(MONTH(P162)&lt;&gt;4,MONTH(P163)=4),1,BM162+1)</f>
        <v>55</v>
      </c>
      <c r="BN163" s="15">
        <f t="shared" si="52"/>
        <v>63.354166666667155</v>
      </c>
      <c r="BO163" s="292"/>
      <c r="BP163" s="292"/>
      <c r="BQ163" s="464"/>
      <c r="BR163" s="464"/>
      <c r="BS163" s="464"/>
      <c r="BT163" s="464">
        <v>5371.4853046595008</v>
      </c>
      <c r="BU163" s="464">
        <v>5371.4853046595008</v>
      </c>
      <c r="BV163" s="464">
        <v>5371.4853046595008</v>
      </c>
      <c r="BW163" s="464" t="s">
        <v>1879</v>
      </c>
      <c r="BX163" s="469">
        <v>42095</v>
      </c>
      <c r="BZ163" s="472">
        <f>BT163/Q163</f>
        <v>123.54158822406673</v>
      </c>
    </row>
    <row r="164" spans="1:78" x14ac:dyDescent="0.25">
      <c r="A164" s="19" t="s">
        <v>834</v>
      </c>
      <c r="B164" s="281" t="s">
        <v>835</v>
      </c>
      <c r="C164" s="292" t="s">
        <v>834</v>
      </c>
      <c r="D164" s="529" t="s">
        <v>2164</v>
      </c>
      <c r="E164" s="281"/>
      <c r="F164" s="281" t="str">
        <f t="shared" si="51"/>
        <v>RA</v>
      </c>
      <c r="G164" s="281" t="s">
        <v>22</v>
      </c>
      <c r="H164" s="281" t="s">
        <v>838</v>
      </c>
      <c r="I164" s="281" t="s">
        <v>16</v>
      </c>
      <c r="J164" s="281" t="s">
        <v>298</v>
      </c>
      <c r="K164" s="281" t="s">
        <v>14</v>
      </c>
      <c r="L164" s="281" t="s">
        <v>1416</v>
      </c>
      <c r="M164" s="8"/>
      <c r="N164" s="281"/>
      <c r="O164" s="284">
        <v>41999</v>
      </c>
      <c r="P164" s="284">
        <v>42066</v>
      </c>
      <c r="Q164" s="292">
        <f t="shared" si="53"/>
        <v>67</v>
      </c>
      <c r="R164" s="334">
        <f>IF(ISERROR(VLOOKUP(G164,'Planning and Target Times'!$L$1:$AJ$6,MATCH(K164&amp;"_"&amp;L164&amp;"_"&amp;J164,INDEX('Planning and Target Times'!$L$1:$AJ$6,1,0),0),0)+5),"",(VLOOKUP(G164,'Planning and Target Times'!$L$1:$AJ$6,MATCH(K164&amp;"_"&amp;L164&amp;"_"&amp;J164,INDEX('Planning and Target Times'!$L$1:$AJ$6,1,0),0),0)+5))</f>
        <v>75</v>
      </c>
      <c r="S164" s="420">
        <f t="shared" si="56"/>
        <v>70</v>
      </c>
      <c r="T164" s="392">
        <f>VLOOKUP(G164,'Planning and Target Times'!$A$7:$G$12,MATCH(K164&amp;"-"&amp;L164&amp;"-"&amp;J164,INDEX('Planning and Target Times'!$A$7:$G$12,1,0),0),0)</f>
        <v>33</v>
      </c>
      <c r="U164" s="292"/>
      <c r="V164" s="292">
        <f t="shared" si="48"/>
        <v>67</v>
      </c>
      <c r="W164" s="292">
        <f t="shared" si="55"/>
        <v>746</v>
      </c>
      <c r="X164" s="286" t="str">
        <f t="shared" si="57"/>
        <v>LB</v>
      </c>
      <c r="Y164" s="302">
        <v>10836</v>
      </c>
      <c r="Z164" s="302">
        <v>6059</v>
      </c>
      <c r="AA164" s="302">
        <v>8304</v>
      </c>
      <c r="AB164" s="302">
        <v>10090</v>
      </c>
      <c r="AC164" s="302">
        <v>10395</v>
      </c>
      <c r="AD164" s="302"/>
      <c r="AE164" s="292"/>
      <c r="AF164" s="292"/>
      <c r="AG164" s="292"/>
      <c r="AH164" s="292"/>
      <c r="AI164" s="292"/>
      <c r="AJ164" s="292"/>
      <c r="AK164" s="282">
        <f>IF(ISERROR(VLOOKUP(G164,'Planning and Target Times'!$B$106:$D$110,MATCH(F164,INDEX('Planning and Target Times'!$B$106:$D$110,1,0),0),0)),"",(VLOOKUP(G164,'Planning and Target Times'!$B$106:$D$110,MATCH(F164,INDEX('Planning and Target Times'!$B$106:$D$110,1,0),0),0)))</f>
        <v>900</v>
      </c>
      <c r="AL164" s="282" t="str">
        <f>VLOOKUP(G164,'Planning and Target Times'!$I$2:$J$7,2,0)</f>
        <v>Sandstone</v>
      </c>
      <c r="AM164" s="292"/>
      <c r="AN164" s="292"/>
      <c r="AO164" s="292"/>
      <c r="AP164" s="283">
        <f>VLOOKUP(G164,'Planning and Target Times'!$A$43:$L$47,MATCH(F164&amp;"-"&amp;K164&amp;"-"&amp;L164&amp;"-"&amp;J164,INDEX('Planning and Target Times'!$A$43:$L$47,1,0),0),0)</f>
        <v>34</v>
      </c>
      <c r="AQ164" s="281"/>
      <c r="AR164" s="281"/>
      <c r="AS164" s="292"/>
      <c r="AT164" s="292"/>
      <c r="AU164" s="292"/>
      <c r="AV164" s="292"/>
      <c r="AW164" s="292"/>
      <c r="AX164" s="281"/>
      <c r="AY164" s="281"/>
      <c r="AZ164" s="281"/>
      <c r="BA164" s="292"/>
      <c r="BB164" s="292"/>
      <c r="BC164" s="292"/>
      <c r="BD164" s="292"/>
      <c r="BE164" s="292"/>
      <c r="BF164" s="292"/>
      <c r="BG164" s="292"/>
      <c r="BH164" s="292"/>
      <c r="BI164" s="283"/>
      <c r="BJ164" s="292"/>
      <c r="BK164" s="302">
        <f>COUNT(P$2:P164)</f>
        <v>163</v>
      </c>
      <c r="BL164" s="302">
        <f>SUMPRODUCT(--(YEAR(P$2:P164)=YEAR(P164)))</f>
        <v>14</v>
      </c>
      <c r="BM164" s="302">
        <f t="shared" si="58"/>
        <v>56</v>
      </c>
      <c r="BN164" s="15">
        <f t="shared" si="52"/>
        <v>65.654166666667152</v>
      </c>
      <c r="BO164" s="292"/>
      <c r="BP164" s="292"/>
      <c r="BQ164" s="467">
        <v>2129.4499999999998</v>
      </c>
      <c r="BR164" s="467">
        <v>2129.4499999999998</v>
      </c>
      <c r="BS164" s="467">
        <v>2129.4499999999998</v>
      </c>
      <c r="BT164" s="467"/>
      <c r="BU164" s="467"/>
      <c r="BV164" s="467"/>
      <c r="BW164" s="467" t="s">
        <v>1877</v>
      </c>
      <c r="BX164" s="469">
        <v>42095</v>
      </c>
      <c r="BY164" s="472">
        <f>BQ164/Q164</f>
        <v>31.782835820895521</v>
      </c>
    </row>
    <row r="165" spans="1:78" x14ac:dyDescent="0.25">
      <c r="A165" s="384" t="s">
        <v>753</v>
      </c>
      <c r="B165" s="292" t="s">
        <v>855</v>
      </c>
      <c r="C165" s="292" t="s">
        <v>1369</v>
      </c>
      <c r="D165" s="529" t="s">
        <v>2165</v>
      </c>
      <c r="E165" s="292"/>
      <c r="F165" s="292" t="str">
        <f t="shared" ref="F165:F192" si="59">LEFT(B165,2)</f>
        <v>RA</v>
      </c>
      <c r="G165" s="292" t="s">
        <v>17</v>
      </c>
      <c r="H165" s="292" t="s">
        <v>12</v>
      </c>
      <c r="I165" s="281" t="s">
        <v>20</v>
      </c>
      <c r="J165" s="292" t="s">
        <v>298</v>
      </c>
      <c r="K165" s="292" t="s">
        <v>18</v>
      </c>
      <c r="L165" s="292" t="s">
        <v>1410</v>
      </c>
      <c r="M165" s="292"/>
      <c r="N165" s="292">
        <v>1</v>
      </c>
      <c r="O165" s="284">
        <v>42017</v>
      </c>
      <c r="P165" s="284">
        <v>42071</v>
      </c>
      <c r="Q165" s="292">
        <f t="shared" si="53"/>
        <v>54</v>
      </c>
      <c r="R165" s="334">
        <f>IF(ISERROR(VLOOKUP(G165,'Planning and Target Times'!$L$1:$AJ$6,MATCH(K165&amp;"_"&amp;L165&amp;"_"&amp;J165,INDEX('Planning and Target Times'!$L$1:$AJ$6,1,0),0),0)+5),"",(VLOOKUP(G165,'Planning and Target Times'!$L$1:$AJ$6,MATCH(K165&amp;"_"&amp;L165&amp;"_"&amp;J165,INDEX('Planning and Target Times'!$L$1:$AJ$6,1,0),0),0)+5))</f>
        <v>61</v>
      </c>
      <c r="S165" s="420">
        <f t="shared" si="56"/>
        <v>56</v>
      </c>
      <c r="T165" s="392">
        <f>VLOOKUP(G165,'Planning and Target Times'!$A$7:$G$12,MATCH(K165&amp;"-"&amp;L165&amp;"-"&amp;J165,INDEX('Planning and Target Times'!$A$7:$G$12,1,0),0),0)</f>
        <v>27</v>
      </c>
      <c r="U165" s="292"/>
      <c r="V165" s="292">
        <f t="shared" si="48"/>
        <v>54</v>
      </c>
      <c r="W165" s="292">
        <f t="shared" si="55"/>
        <v>1994</v>
      </c>
      <c r="X165" s="286" t="str">
        <f t="shared" si="57"/>
        <v>MA</v>
      </c>
      <c r="Y165" s="302">
        <v>10516</v>
      </c>
      <c r="Z165" s="302">
        <v>6129</v>
      </c>
      <c r="AA165" s="302">
        <v>8184</v>
      </c>
      <c r="AB165" s="302">
        <v>8522</v>
      </c>
      <c r="AC165" s="302"/>
      <c r="AD165" s="302"/>
      <c r="AE165" s="292"/>
      <c r="AF165" s="292"/>
      <c r="AG165" s="292"/>
      <c r="AH165" s="292"/>
      <c r="AI165" s="292"/>
      <c r="AJ165" s="292"/>
      <c r="AK165" s="282">
        <f>IF(ISERROR(VLOOKUP(G165,'Planning and Target Times'!$B$106:$D$110,MATCH(F165,INDEX('Planning and Target Times'!$B$106:$D$110,1,0),0),0)),"",(VLOOKUP(G165,'Planning and Target Times'!$B$106:$D$110,MATCH(F165,INDEX('Planning and Target Times'!$B$106:$D$110,1,0),0),0)))</f>
        <v>650</v>
      </c>
      <c r="AL165" s="282" t="str">
        <f>VLOOKUP(G165,'Planning and Target Times'!$I$2:$J$7,2,0)</f>
        <v>Carbonate</v>
      </c>
      <c r="AM165" s="292"/>
      <c r="AN165" s="292"/>
      <c r="AO165" s="292"/>
      <c r="AP165" s="283">
        <f>VLOOKUP(G165,'Planning and Target Times'!$A$43:$L$47,MATCH(F165&amp;"-"&amp;K165&amp;"-"&amp;L165&amp;"-"&amp;J165,INDEX('Planning and Target Times'!$A$43:$L$47,1,0),0),0)</f>
        <v>20</v>
      </c>
      <c r="AQ165" s="292"/>
      <c r="AR165" s="292"/>
      <c r="AS165" s="292"/>
      <c r="AT165" s="292"/>
      <c r="AU165" s="292"/>
      <c r="AV165" s="292"/>
      <c r="AW165" s="292"/>
      <c r="AX165" s="292"/>
      <c r="AY165" s="292"/>
      <c r="AZ165" s="292"/>
      <c r="BA165" s="292"/>
      <c r="BB165" s="292"/>
      <c r="BC165" s="292"/>
      <c r="BD165" s="292"/>
      <c r="BE165" s="292"/>
      <c r="BF165" s="292"/>
      <c r="BG165" s="292"/>
      <c r="BH165" s="292"/>
      <c r="BI165" s="283"/>
      <c r="BJ165" s="292"/>
      <c r="BK165" s="302">
        <f>COUNT(P$2:P165)</f>
        <v>164</v>
      </c>
      <c r="BL165" s="302">
        <f>SUMPRODUCT(--(YEAR(P$2:P165)=YEAR(P165)))</f>
        <v>15</v>
      </c>
      <c r="BM165" s="302">
        <f t="shared" si="58"/>
        <v>57</v>
      </c>
      <c r="BN165" s="15">
        <f t="shared" si="52"/>
        <v>64.654166666667152</v>
      </c>
      <c r="BO165" s="292"/>
      <c r="BP165" s="292"/>
      <c r="BQ165" s="467"/>
      <c r="BR165" s="467"/>
      <c r="BS165" s="467"/>
      <c r="BT165" s="467"/>
      <c r="BU165" s="467"/>
      <c r="BV165" s="467"/>
      <c r="BW165" s="467" t="s">
        <v>1878</v>
      </c>
    </row>
    <row r="166" spans="1:78" x14ac:dyDescent="0.25">
      <c r="A166" s="292" t="s">
        <v>758</v>
      </c>
      <c r="B166" s="281" t="s">
        <v>1353</v>
      </c>
      <c r="C166" s="292" t="s">
        <v>1354</v>
      </c>
      <c r="D166" s="529" t="s">
        <v>2166</v>
      </c>
      <c r="E166" s="281"/>
      <c r="F166" s="281" t="str">
        <f t="shared" si="59"/>
        <v>SA</v>
      </c>
      <c r="G166" s="281" t="s">
        <v>17</v>
      </c>
      <c r="H166" s="281" t="s">
        <v>511</v>
      </c>
      <c r="I166" s="281" t="s">
        <v>20</v>
      </c>
      <c r="J166" s="281" t="s">
        <v>34</v>
      </c>
      <c r="K166" s="281" t="s">
        <v>18</v>
      </c>
      <c r="L166" s="281" t="s">
        <v>1410</v>
      </c>
      <c r="M166" s="8"/>
      <c r="N166" s="281"/>
      <c r="O166" s="284">
        <v>42046</v>
      </c>
      <c r="P166" s="284">
        <v>42079</v>
      </c>
      <c r="Q166" s="292">
        <f t="shared" si="53"/>
        <v>33</v>
      </c>
      <c r="R166" s="334">
        <f>IF(ISERROR(VLOOKUP(G166,'Planning and Target Times'!$L$1:$AJ$6,MATCH(K166&amp;"_"&amp;L166&amp;"_"&amp;J166,INDEX('Planning and Target Times'!$L$1:$AJ$6,1,0),0),0)+5),"",(VLOOKUP(G166,'Planning and Target Times'!$L$1:$AJ$6,MATCH(K166&amp;"_"&amp;L166&amp;"_"&amp;J166,INDEX('Planning and Target Times'!$L$1:$AJ$6,1,0),0),0)+5))</f>
        <v>54</v>
      </c>
      <c r="S166" s="420">
        <f t="shared" si="56"/>
        <v>49</v>
      </c>
      <c r="T166" s="392">
        <f>VLOOKUP(G166,'Planning and Target Times'!$A$7:$G$12,MATCH(K166&amp;"-"&amp;L166&amp;"-"&amp;J166,INDEX('Planning and Target Times'!$A$7:$G$12,1,0),0),0)</f>
        <v>25</v>
      </c>
      <c r="U166" s="292"/>
      <c r="V166" s="292">
        <f t="shared" si="48"/>
        <v>33</v>
      </c>
      <c r="W166" s="292">
        <f t="shared" si="55"/>
        <v>3715</v>
      </c>
      <c r="X166" s="286" t="str">
        <f t="shared" si="57"/>
        <v>MA</v>
      </c>
      <c r="Y166" s="302">
        <v>11915</v>
      </c>
      <c r="Z166" s="302">
        <v>6119</v>
      </c>
      <c r="AA166" s="302">
        <v>8484</v>
      </c>
      <c r="AB166" s="302">
        <v>8200</v>
      </c>
      <c r="AC166" s="302"/>
      <c r="AD166" s="302"/>
      <c r="AE166" s="292"/>
      <c r="AF166" s="292"/>
      <c r="AG166" s="292"/>
      <c r="AH166" s="292"/>
      <c r="AI166" s="292"/>
      <c r="AJ166" s="292"/>
      <c r="AK166" s="282"/>
      <c r="AL166" s="282" t="str">
        <f>VLOOKUP(G166,'Planning and Target Times'!$I$2:$J$7,2,0)</f>
        <v>Carbonate</v>
      </c>
      <c r="AM166" s="292"/>
      <c r="AN166" s="292"/>
      <c r="AO166" s="292"/>
      <c r="AP166" s="283">
        <f>VLOOKUP(G166,'Planning and Target Times'!$A$43:$L$47,MATCH(F166&amp;"-"&amp;K166&amp;"-"&amp;L166&amp;"-"&amp;J166,INDEX('Planning and Target Times'!$A$43:$L$47,1,0),0),0)</f>
        <v>300</v>
      </c>
      <c r="AQ166" s="281"/>
      <c r="AR166" s="281"/>
      <c r="AS166" s="292"/>
      <c r="AT166" s="292"/>
      <c r="AU166" s="292"/>
      <c r="AV166" s="292"/>
      <c r="AW166" s="292"/>
      <c r="AX166" s="281"/>
      <c r="AY166" s="281"/>
      <c r="AZ166" s="281"/>
      <c r="BA166" s="292"/>
      <c r="BB166" s="292"/>
      <c r="BC166" s="292"/>
      <c r="BD166" s="292"/>
      <c r="BE166" s="292"/>
      <c r="BF166" s="292"/>
      <c r="BG166" s="292"/>
      <c r="BH166" s="292"/>
      <c r="BI166" s="283"/>
      <c r="BJ166" s="292"/>
      <c r="BK166" s="302">
        <f>COUNT(P$2:P166)</f>
        <v>165</v>
      </c>
      <c r="BL166" s="302">
        <f>SUMPRODUCT(--(YEAR(P$2:P166)=YEAR(P166)))</f>
        <v>16</v>
      </c>
      <c r="BM166" s="302">
        <f t="shared" si="58"/>
        <v>58</v>
      </c>
      <c r="BN166" s="15">
        <f t="shared" si="52"/>
        <v>64.195833333333582</v>
      </c>
      <c r="BO166" s="292"/>
      <c r="BP166" s="292"/>
      <c r="BQ166" s="464"/>
      <c r="BR166" s="464"/>
      <c r="BS166" s="464"/>
      <c r="BT166" s="464">
        <v>4123.3129032258048</v>
      </c>
      <c r="BU166" s="464">
        <v>4123.3129032258048</v>
      </c>
      <c r="BV166" s="464">
        <v>4123.3129032258048</v>
      </c>
      <c r="BW166" s="464" t="s">
        <v>1879</v>
      </c>
      <c r="BX166" s="469">
        <v>42125</v>
      </c>
      <c r="BZ166" s="472">
        <f>BT166/Q166</f>
        <v>124.94887585532742</v>
      </c>
    </row>
    <row r="167" spans="1:78" x14ac:dyDescent="0.25">
      <c r="A167" s="10" t="s">
        <v>764</v>
      </c>
      <c r="B167" s="292" t="s">
        <v>830</v>
      </c>
      <c r="C167" s="292" t="s">
        <v>1358</v>
      </c>
      <c r="D167" s="529" t="s">
        <v>2167</v>
      </c>
      <c r="E167" s="292"/>
      <c r="F167" s="292" t="str">
        <f t="shared" si="59"/>
        <v>SA</v>
      </c>
      <c r="G167" s="292" t="s">
        <v>17</v>
      </c>
      <c r="H167" s="292" t="s">
        <v>31</v>
      </c>
      <c r="I167" s="281" t="s">
        <v>16</v>
      </c>
      <c r="J167" s="292" t="s">
        <v>34</v>
      </c>
      <c r="K167" s="292" t="s">
        <v>18</v>
      </c>
      <c r="L167" s="292" t="s">
        <v>1410</v>
      </c>
      <c r="M167" s="292"/>
      <c r="N167" s="292"/>
      <c r="O167" s="284">
        <v>42009</v>
      </c>
      <c r="P167" s="284">
        <v>42083</v>
      </c>
      <c r="Q167" s="292">
        <f t="shared" si="53"/>
        <v>74</v>
      </c>
      <c r="R167" s="334">
        <f>IF(ISERROR(VLOOKUP(G167,'Planning and Target Times'!$L$1:$AJ$6,MATCH(K167&amp;"_"&amp;L167&amp;"_"&amp;J167,INDEX('Planning and Target Times'!$L$1:$AJ$6,1,0),0),0)+5),"",(VLOOKUP(G167,'Planning and Target Times'!$L$1:$AJ$6,MATCH(K167&amp;"_"&amp;L167&amp;"_"&amp;J167,INDEX('Planning and Target Times'!$L$1:$AJ$6,1,0),0),0)+5))</f>
        <v>54</v>
      </c>
      <c r="S167" s="420">
        <f t="shared" si="56"/>
        <v>49</v>
      </c>
      <c r="T167" s="392">
        <f>VLOOKUP(G167,'Planning and Target Times'!$A$7:$G$12,MATCH(K167&amp;"-"&amp;L167&amp;"-"&amp;J167,INDEX('Planning and Target Times'!$A$7:$G$12,1,0),0),0)</f>
        <v>25</v>
      </c>
      <c r="U167" s="292"/>
      <c r="V167" s="292">
        <f t="shared" si="48"/>
        <v>74</v>
      </c>
      <c r="W167" s="292">
        <f t="shared" si="55"/>
        <v>5390</v>
      </c>
      <c r="X167" s="286" t="str">
        <f t="shared" si="57"/>
        <v>MA</v>
      </c>
      <c r="Y167" s="302">
        <v>13479</v>
      </c>
      <c r="Z167" s="302">
        <v>6085</v>
      </c>
      <c r="AA167" s="302">
        <v>8798</v>
      </c>
      <c r="AB167" s="302">
        <v>8089</v>
      </c>
      <c r="AC167" s="302"/>
      <c r="AD167" s="302"/>
      <c r="AE167" s="292"/>
      <c r="AF167" s="292"/>
      <c r="AG167" s="292"/>
      <c r="AH167" s="292"/>
      <c r="AI167" s="292"/>
      <c r="AJ167" s="292"/>
      <c r="AK167" s="282"/>
      <c r="AL167" s="282" t="str">
        <f>VLOOKUP(G167,'Planning and Target Times'!$I$2:$J$7,2,0)</f>
        <v>Carbonate</v>
      </c>
      <c r="AM167" s="292"/>
      <c r="AN167" s="292"/>
      <c r="AO167" s="292"/>
      <c r="AP167" s="283">
        <f>VLOOKUP(G167,'Planning and Target Times'!$A$43:$L$47,MATCH(F167&amp;"-"&amp;K167&amp;"-"&amp;L167&amp;"-"&amp;J167,INDEX('Planning and Target Times'!$A$43:$L$47,1,0),0),0)</f>
        <v>300</v>
      </c>
      <c r="AQ167" s="292"/>
      <c r="AR167" s="292"/>
      <c r="AS167" s="292"/>
      <c r="AT167" s="292"/>
      <c r="AU167" s="292"/>
      <c r="AV167" s="292"/>
      <c r="AW167" s="292"/>
      <c r="AX167" s="292"/>
      <c r="AY167" s="292"/>
      <c r="AZ167" s="292"/>
      <c r="BA167" s="292"/>
      <c r="BB167" s="292"/>
      <c r="BC167" s="292"/>
      <c r="BD167" s="292"/>
      <c r="BE167" s="292"/>
      <c r="BF167" s="292"/>
      <c r="BG167" s="292"/>
      <c r="BH167" s="292"/>
      <c r="BI167" s="283"/>
      <c r="BJ167" s="292"/>
      <c r="BK167" s="302">
        <f>COUNT(P$2:P167)</f>
        <v>166</v>
      </c>
      <c r="BL167" s="302">
        <f>SUMPRODUCT(--(YEAR(P$2:P167)=YEAR(P167)))</f>
        <v>17</v>
      </c>
      <c r="BM167" s="302">
        <f t="shared" si="58"/>
        <v>59</v>
      </c>
      <c r="BN167" s="15">
        <f t="shared" si="52"/>
        <v>66.39583333333357</v>
      </c>
      <c r="BO167" s="292"/>
      <c r="BP167" s="292"/>
      <c r="BQ167" s="464"/>
      <c r="BR167" s="464"/>
      <c r="BS167" s="464"/>
      <c r="BT167" s="464"/>
      <c r="BU167" s="464"/>
      <c r="BV167" s="464"/>
      <c r="BW167" s="464" t="s">
        <v>1878</v>
      </c>
    </row>
    <row r="168" spans="1:78" x14ac:dyDescent="0.25">
      <c r="A168" s="292" t="s">
        <v>755</v>
      </c>
      <c r="B168" s="281" t="s">
        <v>1355</v>
      </c>
      <c r="C168" s="292" t="s">
        <v>1363</v>
      </c>
      <c r="D168" s="529" t="s">
        <v>2168</v>
      </c>
      <c r="E168" s="281"/>
      <c r="F168" s="281" t="str">
        <f t="shared" si="59"/>
        <v>RA</v>
      </c>
      <c r="G168" s="281" t="s">
        <v>17</v>
      </c>
      <c r="H168" s="281" t="s">
        <v>839</v>
      </c>
      <c r="I168" s="384" t="s">
        <v>24</v>
      </c>
      <c r="J168" s="281" t="s">
        <v>298</v>
      </c>
      <c r="K168" s="281" t="s">
        <v>18</v>
      </c>
      <c r="L168" s="281" t="s">
        <v>1410</v>
      </c>
      <c r="M168" s="8"/>
      <c r="N168" s="281">
        <v>1</v>
      </c>
      <c r="O168" s="284">
        <v>42045</v>
      </c>
      <c r="P168" s="284">
        <v>42087</v>
      </c>
      <c r="Q168" s="292">
        <f t="shared" si="53"/>
        <v>42</v>
      </c>
      <c r="R168" s="334">
        <f>IF(ISERROR(VLOOKUP(G168,'Planning and Target Times'!$L$1:$AJ$6,MATCH(K168&amp;"_"&amp;L168&amp;"_"&amp;J168,INDEX('Planning and Target Times'!$L$1:$AJ$6,1,0),0),0)+5),"",(VLOOKUP(G168,'Planning and Target Times'!$L$1:$AJ$6,MATCH(K168&amp;"_"&amp;L168&amp;"_"&amp;J168,INDEX('Planning and Target Times'!$L$1:$AJ$6,1,0),0),0)+5))</f>
        <v>61</v>
      </c>
      <c r="S168" s="420">
        <f t="shared" si="56"/>
        <v>56</v>
      </c>
      <c r="T168" s="392">
        <f>VLOOKUP(G168,'Planning and Target Times'!$A$7:$G$12,MATCH(K168&amp;"-"&amp;L168&amp;"-"&amp;J168,INDEX('Planning and Target Times'!$A$7:$G$12,1,0),0),0)</f>
        <v>27</v>
      </c>
      <c r="U168" s="292"/>
      <c r="V168" s="292">
        <f t="shared" si="48"/>
        <v>42</v>
      </c>
      <c r="W168" s="292">
        <f t="shared" si="55"/>
        <v>1837</v>
      </c>
      <c r="X168" s="286" t="str">
        <f t="shared" si="57"/>
        <v>MA</v>
      </c>
      <c r="Y168" s="302">
        <v>10129</v>
      </c>
      <c r="Z168" s="302">
        <v>6084.7</v>
      </c>
      <c r="AA168" s="302">
        <v>7341</v>
      </c>
      <c r="AB168" s="302">
        <v>8292</v>
      </c>
      <c r="AC168" s="302"/>
      <c r="AD168" s="302"/>
      <c r="AE168" s="292"/>
      <c r="AF168" s="292"/>
      <c r="AG168" s="292"/>
      <c r="AH168" s="292"/>
      <c r="AI168" s="292"/>
      <c r="AJ168" s="292"/>
      <c r="AK168" s="282">
        <f>IF(ISERROR(VLOOKUP(G168,'Planning and Target Times'!$B$106:$D$110,MATCH(F168,INDEX('Planning and Target Times'!$B$106:$D$110,1,0),0),0)),"",(VLOOKUP(G168,'Planning and Target Times'!$B$106:$D$110,MATCH(F168,INDEX('Planning and Target Times'!$B$106:$D$110,1,0),0),0)))</f>
        <v>650</v>
      </c>
      <c r="AL168" s="282" t="str">
        <f>VLOOKUP(G168,'Planning and Target Times'!$I$2:$J$7,2,0)</f>
        <v>Carbonate</v>
      </c>
      <c r="AM168" s="292"/>
      <c r="AN168" s="292"/>
      <c r="AO168" s="292"/>
      <c r="AP168" s="283">
        <f>VLOOKUP(G168,'Planning and Target Times'!$A$43:$L$47,MATCH(F168&amp;"-"&amp;K168&amp;"-"&amp;L168&amp;"-"&amp;J168,INDEX('Planning and Target Times'!$A$43:$L$47,1,0),0),0)</f>
        <v>20</v>
      </c>
      <c r="AQ168" s="281"/>
      <c r="AR168" s="281"/>
      <c r="AS168" s="292"/>
      <c r="AT168" s="292"/>
      <c r="AU168" s="292"/>
      <c r="AV168" s="292"/>
      <c r="AW168" s="292"/>
      <c r="AX168" s="281"/>
      <c r="AY168" s="281"/>
      <c r="AZ168" s="281"/>
      <c r="BA168" s="292"/>
      <c r="BB168" s="292"/>
      <c r="BC168" s="292"/>
      <c r="BD168" s="292"/>
      <c r="BE168" s="292"/>
      <c r="BF168" s="292"/>
      <c r="BG168" s="292"/>
      <c r="BH168" s="292"/>
      <c r="BI168" s="283"/>
      <c r="BJ168" s="292"/>
      <c r="BK168" s="302">
        <f>COUNT(P$2:P168)</f>
        <v>167</v>
      </c>
      <c r="BL168" s="302">
        <f>SUMPRODUCT(--(YEAR(P$2:P168)=YEAR(P168)))</f>
        <v>18</v>
      </c>
      <c r="BM168" s="302">
        <f t="shared" si="58"/>
        <v>60</v>
      </c>
      <c r="BN168" s="15">
        <f t="shared" si="52"/>
        <v>63.995833333333579</v>
      </c>
      <c r="BO168" s="292"/>
      <c r="BP168" s="292"/>
      <c r="BQ168" s="467"/>
      <c r="BR168" s="467"/>
      <c r="BS168" s="467"/>
      <c r="BT168" s="467"/>
      <c r="BU168" s="467"/>
      <c r="BV168" s="467"/>
      <c r="BW168" s="467" t="s">
        <v>1878</v>
      </c>
    </row>
    <row r="169" spans="1:78" s="266" customFormat="1" x14ac:dyDescent="0.25">
      <c r="A169" s="292" t="s">
        <v>1332</v>
      </c>
      <c r="B169" s="281" t="s">
        <v>1333</v>
      </c>
      <c r="C169" s="292" t="s">
        <v>1334</v>
      </c>
      <c r="D169" s="529" t="s">
        <v>2169</v>
      </c>
      <c r="E169" s="281"/>
      <c r="F169" s="281" t="str">
        <f t="shared" si="59"/>
        <v>SA</v>
      </c>
      <c r="G169" s="281" t="s">
        <v>17</v>
      </c>
      <c r="H169" s="281" t="s">
        <v>512</v>
      </c>
      <c r="I169" s="384" t="s">
        <v>24</v>
      </c>
      <c r="J169" s="281" t="s">
        <v>34</v>
      </c>
      <c r="K169" s="281" t="s">
        <v>18</v>
      </c>
      <c r="L169" s="281" t="s">
        <v>1410</v>
      </c>
      <c r="M169" s="8"/>
      <c r="N169" s="281"/>
      <c r="O169" s="284">
        <v>42021</v>
      </c>
      <c r="P169" s="284">
        <v>42088</v>
      </c>
      <c r="Q169" s="292">
        <f t="shared" si="53"/>
        <v>67</v>
      </c>
      <c r="R169" s="334">
        <f>IF(ISERROR(VLOOKUP(G169,'Planning and Target Times'!$L$1:$AJ$6,MATCH(K169&amp;"_"&amp;L169&amp;"_"&amp;J169,INDEX('Planning and Target Times'!$L$1:$AJ$6,1,0),0),0)+5),"",(VLOOKUP(G169,'Planning and Target Times'!$L$1:$AJ$6,MATCH(K169&amp;"_"&amp;L169&amp;"_"&amp;J169,INDEX('Planning and Target Times'!$L$1:$AJ$6,1,0),0),0)+5))</f>
        <v>54</v>
      </c>
      <c r="S169" s="420">
        <f t="shared" si="56"/>
        <v>49</v>
      </c>
      <c r="T169" s="392">
        <f>VLOOKUP(G169,'Planning and Target Times'!$A$7:$G$12,MATCH(K169&amp;"-"&amp;L169&amp;"-"&amp;J169,INDEX('Planning and Target Times'!$A$7:$G$12,1,0),0),0)</f>
        <v>25</v>
      </c>
      <c r="U169" s="292"/>
      <c r="V169" s="292">
        <f t="shared" si="48"/>
        <v>67</v>
      </c>
      <c r="W169" s="292">
        <f t="shared" si="55"/>
        <v>5002</v>
      </c>
      <c r="X169" s="286" t="str">
        <f t="shared" si="57"/>
        <v>MA</v>
      </c>
      <c r="Y169" s="302">
        <v>13712</v>
      </c>
      <c r="Z169" s="302"/>
      <c r="AA169" s="302">
        <v>6417</v>
      </c>
      <c r="AB169" s="302">
        <v>8710</v>
      </c>
      <c r="AC169" s="302"/>
      <c r="AD169" s="302"/>
      <c r="AE169" s="292"/>
      <c r="AF169" s="292"/>
      <c r="AG169" s="292"/>
      <c r="AH169" s="292"/>
      <c r="AI169" s="292"/>
      <c r="AJ169" s="292"/>
      <c r="AK169" s="282"/>
      <c r="AL169" s="282" t="str">
        <f>VLOOKUP(G169,'Planning and Target Times'!$I$2:$J$7,2,0)</f>
        <v>Carbonate</v>
      </c>
      <c r="AM169" s="292"/>
      <c r="AN169" s="292"/>
      <c r="AO169" s="292"/>
      <c r="AP169" s="283">
        <f>VLOOKUP(G169,'Planning and Target Times'!$A$43:$L$47,MATCH(F169&amp;"-"&amp;K169&amp;"-"&amp;L169&amp;"-"&amp;J169,INDEX('Planning and Target Times'!$A$43:$L$47,1,0),0),0)</f>
        <v>300</v>
      </c>
      <c r="AQ169" s="281"/>
      <c r="AR169" s="281"/>
      <c r="AS169" s="292"/>
      <c r="AT169" s="292"/>
      <c r="AU169" s="292"/>
      <c r="AV169" s="292"/>
      <c r="AW169" s="292"/>
      <c r="AX169" s="281"/>
      <c r="AY169" s="281"/>
      <c r="AZ169" s="281"/>
      <c r="BA169" s="292"/>
      <c r="BB169" s="292"/>
      <c r="BC169" s="292"/>
      <c r="BD169" s="292"/>
      <c r="BE169" s="292"/>
      <c r="BF169" s="292"/>
      <c r="BG169" s="292"/>
      <c r="BH169" s="292"/>
      <c r="BI169" s="283"/>
      <c r="BJ169" s="292"/>
      <c r="BK169" s="302">
        <f>COUNT(P$2:P169)</f>
        <v>168</v>
      </c>
      <c r="BL169" s="302">
        <f>SUMPRODUCT(--(YEAR(P$2:P169)=YEAR(P169)))</f>
        <v>19</v>
      </c>
      <c r="BM169" s="302">
        <f t="shared" si="58"/>
        <v>61</v>
      </c>
      <c r="BN169" s="15">
        <f t="shared" si="52"/>
        <v>54.747916666667152</v>
      </c>
      <c r="BO169" s="292"/>
      <c r="BP169" s="292"/>
      <c r="BQ169" s="464"/>
      <c r="BR169" s="464"/>
      <c r="BS169" s="464"/>
      <c r="BT169" s="464"/>
      <c r="BU169" s="464"/>
      <c r="BV169" s="464"/>
      <c r="BW169" s="464" t="s">
        <v>1878</v>
      </c>
      <c r="BX169" s="469"/>
      <c r="BY169" s="472"/>
      <c r="BZ169" s="472"/>
    </row>
    <row r="170" spans="1:78" s="268" customFormat="1" x14ac:dyDescent="0.25">
      <c r="A170" s="292" t="s">
        <v>762</v>
      </c>
      <c r="B170" s="281" t="s">
        <v>1350</v>
      </c>
      <c r="C170" s="292" t="s">
        <v>1351</v>
      </c>
      <c r="D170" s="529" t="s">
        <v>2170</v>
      </c>
      <c r="E170" s="281"/>
      <c r="F170" s="281" t="str">
        <f t="shared" si="59"/>
        <v>SA</v>
      </c>
      <c r="G170" s="281" t="s">
        <v>17</v>
      </c>
      <c r="H170" s="281" t="s">
        <v>513</v>
      </c>
      <c r="I170" s="281" t="s">
        <v>20</v>
      </c>
      <c r="J170" s="281" t="s">
        <v>298</v>
      </c>
      <c r="K170" s="281" t="s">
        <v>18</v>
      </c>
      <c r="L170" s="281" t="s">
        <v>1410</v>
      </c>
      <c r="M170" s="8"/>
      <c r="N170" s="281"/>
      <c r="O170" s="284">
        <v>42050.791666666664</v>
      </c>
      <c r="P170" s="287">
        <v>42095.916666666664</v>
      </c>
      <c r="Q170" s="292">
        <f t="shared" si="53"/>
        <v>45.125</v>
      </c>
      <c r="R170" s="334">
        <f>IF(ISERROR(VLOOKUP(G170,'Planning and Target Times'!$L$1:$AJ$6,MATCH(K170&amp;"_"&amp;L170&amp;"_"&amp;J170,INDEX('Planning and Target Times'!$L$1:$AJ$6,1,0),0),0)+5),"",(VLOOKUP(G170,'Planning and Target Times'!$L$1:$AJ$6,MATCH(K170&amp;"_"&amp;L170&amp;"_"&amp;J170,INDEX('Planning and Target Times'!$L$1:$AJ$6,1,0),0),0)+5))</f>
        <v>61</v>
      </c>
      <c r="S170" s="420">
        <f t="shared" si="56"/>
        <v>56</v>
      </c>
      <c r="T170" s="392">
        <f>VLOOKUP(G170,'Planning and Target Times'!$A$7:$G$12,MATCH(K170&amp;"-"&amp;L170&amp;"-"&amp;J170,INDEX('Planning and Target Times'!$A$7:$G$12,1,0),0),0)</f>
        <v>27</v>
      </c>
      <c r="U170" s="292"/>
      <c r="V170" s="292">
        <f t="shared" si="48"/>
        <v>45.125</v>
      </c>
      <c r="W170" s="292">
        <f t="shared" si="55"/>
        <v>3274</v>
      </c>
      <c r="X170" s="286" t="str">
        <f t="shared" si="57"/>
        <v>MA</v>
      </c>
      <c r="Y170" s="292">
        <v>11372</v>
      </c>
      <c r="Z170" s="292"/>
      <c r="AA170" s="292">
        <v>6681</v>
      </c>
      <c r="AB170" s="292">
        <v>8098</v>
      </c>
      <c r="AC170" s="292"/>
      <c r="AD170" s="292"/>
      <c r="AE170" s="292"/>
      <c r="AF170" s="292"/>
      <c r="AG170" s="292"/>
      <c r="AH170" s="292"/>
      <c r="AI170" s="292"/>
      <c r="AJ170" s="292"/>
      <c r="AK170" s="282">
        <f>IF(ISERROR(VLOOKUP(G170,'Planning and Target Times'!$B$106:$D$110,MATCH(F170,INDEX('Planning and Target Times'!$B$106:$D$110,1,0),0),0)),"",(VLOOKUP(G170,'Planning and Target Times'!$B$106:$D$110,MATCH(F170,INDEX('Planning and Target Times'!$B$106:$D$110,1,0),0),0)))</f>
        <v>740</v>
      </c>
      <c r="AL170" s="282" t="str">
        <f>VLOOKUP(G170,'Planning and Target Times'!$I$2:$J$7,2,0)</f>
        <v>Carbonate</v>
      </c>
      <c r="AM170" s="292"/>
      <c r="AN170" s="292"/>
      <c r="AO170" s="292"/>
      <c r="AP170" s="283">
        <f>VLOOKUP(G170,'Planning and Target Times'!$A$43:$L$47,MATCH(F170&amp;"-"&amp;K170&amp;"-"&amp;L170&amp;"-"&amp;J170,INDEX('Planning and Target Times'!$A$43:$L$47,1,0),0),0)</f>
        <v>20</v>
      </c>
      <c r="AQ170" s="281"/>
      <c r="AR170" s="281"/>
      <c r="AS170" s="292"/>
      <c r="AT170" s="292"/>
      <c r="AU170" s="292"/>
      <c r="AV170" s="292"/>
      <c r="AW170" s="292"/>
      <c r="AX170" s="281"/>
      <c r="AY170" s="281"/>
      <c r="AZ170" s="281"/>
      <c r="BA170" s="292"/>
      <c r="BB170" s="292"/>
      <c r="BC170" s="292"/>
      <c r="BD170" s="292"/>
      <c r="BE170" s="292"/>
      <c r="BF170" s="292"/>
      <c r="BG170" s="292"/>
      <c r="BH170" s="292"/>
      <c r="BI170" s="283"/>
      <c r="BJ170" s="292"/>
      <c r="BK170" s="302">
        <f>COUNT(P$2:P170)</f>
        <v>169</v>
      </c>
      <c r="BL170" s="302">
        <f>SUMPRODUCT(--(YEAR(P$2:P170)=YEAR(P170)))</f>
        <v>20</v>
      </c>
      <c r="BM170" s="302">
        <f t="shared" si="58"/>
        <v>1</v>
      </c>
      <c r="BN170" s="15">
        <f t="shared" si="52"/>
        <v>51.560416666667152</v>
      </c>
      <c r="BO170" s="292"/>
      <c r="BP170" s="292"/>
      <c r="BQ170" s="467">
        <v>809.91499999999996</v>
      </c>
      <c r="BR170" s="467">
        <v>809.91499999999996</v>
      </c>
      <c r="BS170" s="467">
        <v>809.91499999999996</v>
      </c>
      <c r="BT170" s="467"/>
      <c r="BU170" s="467"/>
      <c r="BV170" s="467"/>
      <c r="BW170" s="467" t="s">
        <v>1877</v>
      </c>
      <c r="BX170" s="469">
        <v>42095</v>
      </c>
      <c r="BY170" s="472">
        <f t="shared" ref="BY170:BY178" si="60">BQ170/Q170</f>
        <v>17.94825484764543</v>
      </c>
      <c r="BZ170" s="472"/>
    </row>
    <row r="171" spans="1:78" s="268" customFormat="1" x14ac:dyDescent="0.25">
      <c r="A171" s="292" t="s">
        <v>756</v>
      </c>
      <c r="B171" s="281" t="s">
        <v>1384</v>
      </c>
      <c r="C171" s="292" t="s">
        <v>1367</v>
      </c>
      <c r="D171" s="529" t="s">
        <v>2171</v>
      </c>
      <c r="E171" s="281"/>
      <c r="F171" s="281" t="str">
        <f t="shared" si="59"/>
        <v>RA</v>
      </c>
      <c r="G171" s="281" t="s">
        <v>17</v>
      </c>
      <c r="H171" s="281" t="s">
        <v>430</v>
      </c>
      <c r="I171" s="384" t="s">
        <v>24</v>
      </c>
      <c r="J171" s="281" t="s">
        <v>298</v>
      </c>
      <c r="K171" s="281" t="s">
        <v>18</v>
      </c>
      <c r="L171" s="281" t="s">
        <v>1410</v>
      </c>
      <c r="M171" s="8"/>
      <c r="N171" s="281"/>
      <c r="O171" s="284">
        <v>42044.458333333336</v>
      </c>
      <c r="P171" s="287">
        <v>42097.25</v>
      </c>
      <c r="Q171" s="292">
        <f t="shared" si="53"/>
        <v>52.791666666664241</v>
      </c>
      <c r="R171" s="334">
        <f>IF(ISERROR(VLOOKUP(G171,'Planning and Target Times'!$L$1:$AJ$6,MATCH(K171&amp;"_"&amp;L171&amp;"_"&amp;J171,INDEX('Planning and Target Times'!$L$1:$AJ$6,1,0),0),0)+5),"",(VLOOKUP(G171,'Planning and Target Times'!$L$1:$AJ$6,MATCH(K171&amp;"_"&amp;L171&amp;"_"&amp;J171,INDEX('Planning and Target Times'!$L$1:$AJ$6,1,0),0),0)+5))</f>
        <v>61</v>
      </c>
      <c r="S171" s="420">
        <f t="shared" si="56"/>
        <v>56</v>
      </c>
      <c r="T171" s="392">
        <f>VLOOKUP(G171,'Planning and Target Times'!$A$7:$G$12,MATCH(K171&amp;"-"&amp;L171&amp;"-"&amp;J171,INDEX('Planning and Target Times'!$A$7:$G$12,1,0),0),0)</f>
        <v>27</v>
      </c>
      <c r="U171" s="292"/>
      <c r="V171" s="292">
        <f t="shared" si="48"/>
        <v>52.791666666664241</v>
      </c>
      <c r="W171" s="292">
        <f t="shared" si="55"/>
        <v>4444</v>
      </c>
      <c r="X171" s="286" t="str">
        <f t="shared" si="57"/>
        <v>MA</v>
      </c>
      <c r="Y171" s="292">
        <v>12662</v>
      </c>
      <c r="Z171" s="292"/>
      <c r="AA171" s="292">
        <v>8446</v>
      </c>
      <c r="AB171" s="292">
        <v>8218</v>
      </c>
      <c r="AC171" s="292"/>
      <c r="AD171" s="292"/>
      <c r="AE171" s="292"/>
      <c r="AF171" s="292"/>
      <c r="AG171" s="292"/>
      <c r="AH171" s="292"/>
      <c r="AI171" s="292"/>
      <c r="AJ171" s="292"/>
      <c r="AK171" s="282">
        <f>IF(ISERROR(VLOOKUP(G171,'Planning and Target Times'!$B$106:$D$110,MATCH(F171,INDEX('Planning and Target Times'!$B$106:$D$110,1,0),0),0)),"",(VLOOKUP(G171,'Planning and Target Times'!$B$106:$D$110,MATCH(F171,INDEX('Planning and Target Times'!$B$106:$D$110,1,0),0),0)))</f>
        <v>650</v>
      </c>
      <c r="AL171" s="282" t="str">
        <f>VLOOKUP(G171,'Planning and Target Times'!$I$2:$J$7,2,0)</f>
        <v>Carbonate</v>
      </c>
      <c r="AM171" s="292"/>
      <c r="AN171" s="292"/>
      <c r="AO171" s="292"/>
      <c r="AP171" s="283">
        <f>VLOOKUP(G171,'Planning and Target Times'!$A$43:$L$47,MATCH(F171&amp;"-"&amp;K171&amp;"-"&amp;L171&amp;"-"&amp;J171,INDEX('Planning and Target Times'!$A$43:$L$47,1,0),0),0)</f>
        <v>20</v>
      </c>
      <c r="AQ171" s="281"/>
      <c r="AR171" s="281"/>
      <c r="AS171" s="292"/>
      <c r="AT171" s="292"/>
      <c r="AU171" s="292"/>
      <c r="AV171" s="292"/>
      <c r="AW171" s="292"/>
      <c r="AX171" s="281"/>
      <c r="AY171" s="281"/>
      <c r="AZ171" s="281"/>
      <c r="BA171" s="292"/>
      <c r="BB171" s="292"/>
      <c r="BC171" s="292"/>
      <c r="BD171" s="292"/>
      <c r="BE171" s="292"/>
      <c r="BF171" s="292"/>
      <c r="BG171" s="292"/>
      <c r="BH171" s="292"/>
      <c r="BI171" s="283"/>
      <c r="BJ171" s="292"/>
      <c r="BK171" s="302">
        <f>COUNT(P$2:P171)</f>
        <v>170</v>
      </c>
      <c r="BL171" s="302">
        <f>SUMPRODUCT(--(YEAR(P$2:P171)=YEAR(P171)))</f>
        <v>21</v>
      </c>
      <c r="BM171" s="302">
        <f t="shared" si="58"/>
        <v>2</v>
      </c>
      <c r="BN171" s="15">
        <f t="shared" ref="BN171:BN179" si="61">AVERAGE(Q162:Q171)</f>
        <v>52.939583333333573</v>
      </c>
      <c r="BO171" s="292"/>
      <c r="BP171" s="292"/>
      <c r="BQ171" s="467">
        <v>794.93000000000006</v>
      </c>
      <c r="BR171" s="467">
        <v>794.93000000000006</v>
      </c>
      <c r="BS171" s="467">
        <v>794.93000000000006</v>
      </c>
      <c r="BT171" s="467"/>
      <c r="BU171" s="467"/>
      <c r="BV171" s="467"/>
      <c r="BW171" s="467" t="s">
        <v>1877</v>
      </c>
      <c r="BX171" s="469">
        <v>42095</v>
      </c>
      <c r="BY171" s="472">
        <f t="shared" si="60"/>
        <v>15.057868981847575</v>
      </c>
      <c r="BZ171" s="472"/>
    </row>
    <row r="172" spans="1:78" s="269" customFormat="1" x14ac:dyDescent="0.25">
      <c r="A172" s="10" t="s">
        <v>826</v>
      </c>
      <c r="B172" s="292" t="s">
        <v>827</v>
      </c>
      <c r="C172" s="292" t="s">
        <v>826</v>
      </c>
      <c r="D172" s="529" t="s">
        <v>2172</v>
      </c>
      <c r="E172" s="292"/>
      <c r="F172" s="292" t="str">
        <f t="shared" si="59"/>
        <v>RA</v>
      </c>
      <c r="G172" s="292" t="s">
        <v>29</v>
      </c>
      <c r="H172" s="292" t="s">
        <v>38</v>
      </c>
      <c r="I172" s="384" t="s">
        <v>24</v>
      </c>
      <c r="J172" s="292" t="s">
        <v>298</v>
      </c>
      <c r="K172" s="292" t="s">
        <v>14</v>
      </c>
      <c r="L172" s="292" t="s">
        <v>1410</v>
      </c>
      <c r="M172" s="292"/>
      <c r="N172" s="292"/>
      <c r="O172" s="284">
        <v>42018</v>
      </c>
      <c r="P172" s="287">
        <v>42099.958333333336</v>
      </c>
      <c r="Q172" s="292">
        <f t="shared" si="53"/>
        <v>81.958333333335759</v>
      </c>
      <c r="R172" s="334">
        <f>IF(ISERROR(VLOOKUP(G172,'Planning and Target Times'!$L$1:$AJ$6,MATCH(K172&amp;"_"&amp;L172&amp;"_"&amp;J172,INDEX('Planning and Target Times'!$L$1:$AJ$6,1,0),0),0)+5),"",(VLOOKUP(G172,'Planning and Target Times'!$L$1:$AJ$6,MATCH(K172&amp;"_"&amp;L172&amp;"_"&amp;J172,INDEX('Planning and Target Times'!$L$1:$AJ$6,1,0),0),0)+5))</f>
        <v>75</v>
      </c>
      <c r="S172" s="420">
        <f t="shared" si="56"/>
        <v>70</v>
      </c>
      <c r="T172" s="392">
        <f>VLOOKUP(G172,'Planning and Target Times'!$A$7:$G$12,MATCH(K172&amp;"-"&amp;L172&amp;"-"&amp;J172,INDEX('Planning and Target Times'!$A$7:$G$12,1,0),0),0)</f>
        <v>35</v>
      </c>
      <c r="U172" s="292"/>
      <c r="V172" s="292">
        <f t="shared" si="48"/>
        <v>81.958333333335759</v>
      </c>
      <c r="W172" s="292">
        <f t="shared" si="55"/>
        <v>801</v>
      </c>
      <c r="X172" s="286" t="str">
        <f t="shared" si="57"/>
        <v>UB</v>
      </c>
      <c r="Y172" s="302">
        <v>9063</v>
      </c>
      <c r="Z172" s="302">
        <v>6015</v>
      </c>
      <c r="AA172" s="302">
        <v>7650</v>
      </c>
      <c r="AB172" s="302">
        <v>8262</v>
      </c>
      <c r="AC172" s="302"/>
      <c r="AD172" s="302"/>
      <c r="AE172" s="292"/>
      <c r="AF172" s="292"/>
      <c r="AG172" s="292"/>
      <c r="AH172" s="292"/>
      <c r="AI172" s="292"/>
      <c r="AJ172" s="292"/>
      <c r="AK172" s="282">
        <f>IF(ISERROR(VLOOKUP(G172,'Planning and Target Times'!$B$106:$D$110,MATCH(F172,INDEX('Planning and Target Times'!$B$106:$D$110,1,0),0),0)),"",(VLOOKUP(G172,'Planning and Target Times'!$B$106:$D$110,MATCH(F172,INDEX('Planning and Target Times'!$B$106:$D$110,1,0),0),0)))</f>
        <v>940</v>
      </c>
      <c r="AL172" s="282" t="str">
        <f>VLOOKUP(G172,'Planning and Target Times'!$I$2:$J$7,2,0)</f>
        <v>Sandstone</v>
      </c>
      <c r="AM172" s="292"/>
      <c r="AN172" s="292"/>
      <c r="AO172" s="292"/>
      <c r="AP172" s="283">
        <f>VLOOKUP(G172,'Planning and Target Times'!$A$43:$L$47,MATCH(F172&amp;"-"&amp;K172&amp;"-"&amp;L172&amp;"-"&amp;J172,INDEX('Planning and Target Times'!$A$43:$L$47,1,0),0),0)</f>
        <v>24</v>
      </c>
      <c r="AQ172" s="292"/>
      <c r="AR172" s="292"/>
      <c r="AS172" s="292"/>
      <c r="AT172" s="292"/>
      <c r="AU172" s="292"/>
      <c r="AV172" s="292"/>
      <c r="AW172" s="292"/>
      <c r="AX172" s="292"/>
      <c r="AY172" s="292"/>
      <c r="AZ172" s="292"/>
      <c r="BA172" s="292"/>
      <c r="BB172" s="292"/>
      <c r="BC172" s="292"/>
      <c r="BD172" s="292"/>
      <c r="BE172" s="292"/>
      <c r="BF172" s="292"/>
      <c r="BG172" s="292"/>
      <c r="BH172" s="292"/>
      <c r="BI172" s="283"/>
      <c r="BJ172" s="292"/>
      <c r="BK172" s="302">
        <f>COUNT(P$2:P172)</f>
        <v>171</v>
      </c>
      <c r="BL172" s="302">
        <f>SUMPRODUCT(--(YEAR(P$2:P172)=YEAR(P172)))</f>
        <v>22</v>
      </c>
      <c r="BM172" s="302">
        <f t="shared" si="58"/>
        <v>3</v>
      </c>
      <c r="BN172" s="15">
        <f t="shared" si="61"/>
        <v>56.035416666667153</v>
      </c>
      <c r="BO172" s="292"/>
      <c r="BP172" s="292"/>
      <c r="BQ172" s="467">
        <v>945.125</v>
      </c>
      <c r="BR172" s="467">
        <v>945.125</v>
      </c>
      <c r="BS172" s="467">
        <v>945.125</v>
      </c>
      <c r="BT172" s="467"/>
      <c r="BU172" s="467"/>
      <c r="BV172" s="467"/>
      <c r="BW172" s="467" t="s">
        <v>1877</v>
      </c>
      <c r="BX172" s="469">
        <v>42095</v>
      </c>
      <c r="BY172" s="472">
        <f t="shared" si="60"/>
        <v>11.531774275546177</v>
      </c>
      <c r="BZ172" s="472"/>
    </row>
    <row r="173" spans="1:78" s="269" customFormat="1" x14ac:dyDescent="0.25">
      <c r="A173" s="19" t="s">
        <v>836</v>
      </c>
      <c r="B173" s="281" t="s">
        <v>837</v>
      </c>
      <c r="C173" s="292" t="s">
        <v>837</v>
      </c>
      <c r="D173" s="529" t="s">
        <v>2173</v>
      </c>
      <c r="E173" s="281"/>
      <c r="F173" s="281" t="str">
        <f t="shared" si="59"/>
        <v>RA</v>
      </c>
      <c r="G173" s="281" t="s">
        <v>44</v>
      </c>
      <c r="H173" s="281" t="s">
        <v>35</v>
      </c>
      <c r="I173" s="281" t="s">
        <v>16</v>
      </c>
      <c r="J173" s="281" t="s">
        <v>298</v>
      </c>
      <c r="K173" s="281" t="s">
        <v>14</v>
      </c>
      <c r="L173" s="281" t="s">
        <v>1410</v>
      </c>
      <c r="M173" s="8"/>
      <c r="N173" s="281"/>
      <c r="O173" s="284">
        <v>42041</v>
      </c>
      <c r="P173" s="287">
        <v>42100.6875</v>
      </c>
      <c r="Q173" s="292">
        <f t="shared" si="53"/>
        <v>59.6875</v>
      </c>
      <c r="R173" s="334">
        <f>IF(ISERROR(VLOOKUP(G173,'Planning and Target Times'!$L$1:$AJ$6,MATCH(K173&amp;"_"&amp;L173&amp;"_"&amp;J173,INDEX('Planning and Target Times'!$L$1:$AJ$6,1,0),0),0)+5),"",(VLOOKUP(G173,'Planning and Target Times'!$L$1:$AJ$6,MATCH(K173&amp;"_"&amp;L173&amp;"_"&amp;J173,INDEX('Planning and Target Times'!$L$1:$AJ$6,1,0),0),0)+5))</f>
        <v>103</v>
      </c>
      <c r="S173" s="420">
        <f t="shared" si="56"/>
        <v>98</v>
      </c>
      <c r="T173" s="392">
        <f>VLOOKUP(G173,'Planning and Target Times'!$A$7:$G$12,MATCH(K173&amp;"-"&amp;L173&amp;"-"&amp;J173,INDEX('Planning and Target Times'!$A$7:$G$12,1,0),0),0)</f>
        <v>75</v>
      </c>
      <c r="U173" s="292"/>
      <c r="V173" s="292">
        <f t="shared" si="48"/>
        <v>59.6875</v>
      </c>
      <c r="W173" s="292">
        <f t="shared" si="55"/>
        <v>788</v>
      </c>
      <c r="X173" s="286" t="str">
        <f t="shared" si="57"/>
        <v>ZU/RT</v>
      </c>
      <c r="Y173" s="302">
        <v>10661</v>
      </c>
      <c r="Z173" s="302">
        <v>5950</v>
      </c>
      <c r="AA173" s="302">
        <v>9282</v>
      </c>
      <c r="AB173" s="302">
        <v>9873</v>
      </c>
      <c r="AC173" s="302"/>
      <c r="AD173" s="302"/>
      <c r="AE173" s="292"/>
      <c r="AF173" s="292"/>
      <c r="AG173" s="292"/>
      <c r="AH173" s="292"/>
      <c r="AI173" s="292"/>
      <c r="AJ173" s="292"/>
      <c r="AK173" s="282">
        <f>IF(ISERROR(VLOOKUP(G173,'Planning and Target Times'!$B$106:$D$110,MATCH(F173,INDEX('Planning and Target Times'!$B$106:$D$110,1,0),0),0)),"",(VLOOKUP(G173,'Planning and Target Times'!$B$106:$D$110,MATCH(F173,INDEX('Planning and Target Times'!$B$106:$D$110,1,0),0),0)))</f>
        <v>1560</v>
      </c>
      <c r="AL173" s="282" t="str">
        <f>VLOOKUP(G173,'Planning and Target Times'!$I$2:$J$7,2,0)</f>
        <v>Sandstone</v>
      </c>
      <c r="AM173" s="292"/>
      <c r="AN173" s="292"/>
      <c r="AO173" s="292"/>
      <c r="AP173" s="283">
        <f>VLOOKUP(G173,'Planning and Target Times'!$A$43:$L$47,MATCH(F173&amp;"-"&amp;K173&amp;"-"&amp;L173&amp;"-"&amp;J173,INDEX('Planning and Target Times'!$A$43:$L$47,1,0),0),0)</f>
        <v>27</v>
      </c>
      <c r="AQ173" s="281"/>
      <c r="AR173" s="281"/>
      <c r="AS173" s="292"/>
      <c r="AT173" s="292"/>
      <c r="AU173" s="292"/>
      <c r="AV173" s="292"/>
      <c r="AW173" s="292"/>
      <c r="AX173" s="281"/>
      <c r="AY173" s="281"/>
      <c r="AZ173" s="281"/>
      <c r="BA173" s="292"/>
      <c r="BB173" s="292"/>
      <c r="BC173" s="292"/>
      <c r="BD173" s="292"/>
      <c r="BE173" s="292"/>
      <c r="BF173" s="292"/>
      <c r="BG173" s="292"/>
      <c r="BH173" s="292"/>
      <c r="BI173" s="283"/>
      <c r="BJ173" s="292"/>
      <c r="BK173" s="302">
        <f>COUNT(P$2:P173)</f>
        <v>172</v>
      </c>
      <c r="BL173" s="302">
        <f>SUMPRODUCT(--(YEAR(P$2:P173)=YEAR(P173)))</f>
        <v>23</v>
      </c>
      <c r="BM173" s="302">
        <f t="shared" si="58"/>
        <v>4</v>
      </c>
      <c r="BN173" s="15">
        <f t="shared" si="61"/>
        <v>57.65625</v>
      </c>
      <c r="BO173" s="292"/>
      <c r="BP173" s="292"/>
      <c r="BQ173" s="467">
        <v>1756.5550000000001</v>
      </c>
      <c r="BR173" s="467">
        <v>1756.5550000000001</v>
      </c>
      <c r="BS173" s="467">
        <v>1756.5550000000001</v>
      </c>
      <c r="BT173" s="467"/>
      <c r="BU173" s="467"/>
      <c r="BV173" s="467"/>
      <c r="BW173" s="467" t="s">
        <v>1877</v>
      </c>
      <c r="BX173" s="469">
        <v>42095</v>
      </c>
      <c r="BY173" s="472">
        <f t="shared" si="60"/>
        <v>29.429193717277489</v>
      </c>
      <c r="BZ173" s="472"/>
    </row>
    <row r="174" spans="1:78" s="269" customFormat="1" x14ac:dyDescent="0.25">
      <c r="A174" s="292" t="s">
        <v>1361</v>
      </c>
      <c r="B174" s="281" t="s">
        <v>1362</v>
      </c>
      <c r="C174" s="292" t="s">
        <v>1361</v>
      </c>
      <c r="D174" s="529" t="s">
        <v>2174</v>
      </c>
      <c r="E174" s="281"/>
      <c r="F174" s="281" t="str">
        <f t="shared" si="59"/>
        <v>RA</v>
      </c>
      <c r="G174" s="281" t="s">
        <v>29</v>
      </c>
      <c r="H174" s="281" t="s">
        <v>735</v>
      </c>
      <c r="I174" s="281" t="s">
        <v>20</v>
      </c>
      <c r="J174" s="281" t="s">
        <v>298</v>
      </c>
      <c r="K174" s="281" t="s">
        <v>14</v>
      </c>
      <c r="L174" s="281" t="s">
        <v>1410</v>
      </c>
      <c r="M174" s="8"/>
      <c r="N174" s="281"/>
      <c r="O174" s="284">
        <v>42052</v>
      </c>
      <c r="P174" s="287">
        <v>42101.75</v>
      </c>
      <c r="Q174" s="292">
        <f t="shared" si="53"/>
        <v>49.75</v>
      </c>
      <c r="R174" s="334">
        <f>IF(ISERROR(VLOOKUP(G174,'Planning and Target Times'!$L$1:$AJ$6,MATCH(K174&amp;"_"&amp;L174&amp;"_"&amp;J174,INDEX('Planning and Target Times'!$L$1:$AJ$6,1,0),0),0)+5),"",(VLOOKUP(G174,'Planning and Target Times'!$L$1:$AJ$6,MATCH(K174&amp;"_"&amp;L174&amp;"_"&amp;J174,INDEX('Planning and Target Times'!$L$1:$AJ$6,1,0),0),0)+5))</f>
        <v>75</v>
      </c>
      <c r="S174" s="420">
        <f t="shared" si="56"/>
        <v>70</v>
      </c>
      <c r="T174" s="392">
        <f>VLOOKUP(G174,'Planning and Target Times'!$A$7:$G$12,MATCH(K174&amp;"-"&amp;L174&amp;"-"&amp;J174,INDEX('Planning and Target Times'!$A$7:$G$12,1,0),0),0)</f>
        <v>35</v>
      </c>
      <c r="U174" s="292"/>
      <c r="V174" s="292">
        <f t="shared" si="48"/>
        <v>49.75</v>
      </c>
      <c r="W174" s="292">
        <f t="shared" si="55"/>
        <v>680</v>
      </c>
      <c r="X174" s="286" t="str">
        <f t="shared" si="57"/>
        <v>UB</v>
      </c>
      <c r="Y174" s="292">
        <v>9400</v>
      </c>
      <c r="Z174" s="292">
        <v>6097</v>
      </c>
      <c r="AA174" s="292">
        <v>7883</v>
      </c>
      <c r="AB174" s="292">
        <v>8720</v>
      </c>
      <c r="AC174" s="292">
        <v>9389</v>
      </c>
      <c r="AD174" s="292"/>
      <c r="AE174" s="292"/>
      <c r="AF174" s="292"/>
      <c r="AG174" s="292"/>
      <c r="AH174" s="292"/>
      <c r="AI174" s="292"/>
      <c r="AJ174" s="292"/>
      <c r="AK174" s="282">
        <f>IF(ISERROR(VLOOKUP(G174,'Planning and Target Times'!$B$106:$D$110,MATCH(F174,INDEX('Planning and Target Times'!$B$106:$D$110,1,0),0),0)),"",(VLOOKUP(G174,'Planning and Target Times'!$B$106:$D$110,MATCH(F174,INDEX('Planning and Target Times'!$B$106:$D$110,1,0),0),0)))</f>
        <v>940</v>
      </c>
      <c r="AL174" s="282" t="str">
        <f>VLOOKUP(G174,'Planning and Target Times'!$I$2:$J$7,2,0)</f>
        <v>Sandstone</v>
      </c>
      <c r="AM174" s="292"/>
      <c r="AN174" s="292"/>
      <c r="AO174" s="292"/>
      <c r="AP174" s="283">
        <f>VLOOKUP(G174,'Planning and Target Times'!$A$43:$L$47,MATCH(F174&amp;"-"&amp;K174&amp;"-"&amp;L174&amp;"-"&amp;J174,INDEX('Planning and Target Times'!$A$43:$L$47,1,0),0),0)</f>
        <v>24</v>
      </c>
      <c r="AQ174" s="281"/>
      <c r="AR174" s="281"/>
      <c r="AS174" s="292"/>
      <c r="AT174" s="292"/>
      <c r="AU174" s="292"/>
      <c r="AV174" s="292"/>
      <c r="AW174" s="292"/>
      <c r="AX174" s="281"/>
      <c r="AY174" s="281"/>
      <c r="AZ174" s="281"/>
      <c r="BA174" s="292"/>
      <c r="BB174" s="292"/>
      <c r="BC174" s="292"/>
      <c r="BD174" s="292"/>
      <c r="BE174" s="292"/>
      <c r="BF174" s="292"/>
      <c r="BG174" s="292"/>
      <c r="BH174" s="292"/>
      <c r="BI174" s="283"/>
      <c r="BJ174" s="292"/>
      <c r="BK174" s="302">
        <f>COUNT(P$2:P174)</f>
        <v>173</v>
      </c>
      <c r="BL174" s="302">
        <f>SUMPRODUCT(--(YEAR(P$2:P174)=YEAR(P174)))</f>
        <v>24</v>
      </c>
      <c r="BM174" s="302">
        <f t="shared" si="58"/>
        <v>5</v>
      </c>
      <c r="BN174" s="15">
        <f t="shared" si="61"/>
        <v>55.931249999999999</v>
      </c>
      <c r="BO174" s="292"/>
      <c r="BP174" s="292"/>
      <c r="BQ174" s="467">
        <v>1480.27</v>
      </c>
      <c r="BR174" s="467">
        <v>1480.27</v>
      </c>
      <c r="BS174" s="467">
        <v>1480.27</v>
      </c>
      <c r="BT174" s="467"/>
      <c r="BU174" s="467"/>
      <c r="BV174" s="467"/>
      <c r="BW174" s="467" t="s">
        <v>1877</v>
      </c>
      <c r="BX174" s="469">
        <v>42095</v>
      </c>
      <c r="BY174" s="472">
        <f t="shared" si="60"/>
        <v>29.754170854271358</v>
      </c>
      <c r="BZ174" s="472"/>
    </row>
    <row r="175" spans="1:78" s="272" customFormat="1" x14ac:dyDescent="0.25">
      <c r="A175" s="292" t="s">
        <v>1348</v>
      </c>
      <c r="B175" s="281" t="s">
        <v>1352</v>
      </c>
      <c r="C175" s="292" t="s">
        <v>1352</v>
      </c>
      <c r="D175" s="529" t="s">
        <v>2175</v>
      </c>
      <c r="E175" s="281"/>
      <c r="F175" s="281" t="str">
        <f t="shared" si="59"/>
        <v>SA</v>
      </c>
      <c r="G175" s="281" t="s">
        <v>17</v>
      </c>
      <c r="H175" s="281" t="s">
        <v>37</v>
      </c>
      <c r="I175" s="384" t="s">
        <v>24</v>
      </c>
      <c r="J175" s="281" t="s">
        <v>298</v>
      </c>
      <c r="K175" s="281" t="s">
        <v>14</v>
      </c>
      <c r="L175" s="281" t="s">
        <v>1410</v>
      </c>
      <c r="M175" s="8"/>
      <c r="N175" s="281">
        <v>1</v>
      </c>
      <c r="O175" s="284">
        <v>42039</v>
      </c>
      <c r="P175" s="284">
        <v>42107</v>
      </c>
      <c r="Q175" s="292">
        <f t="shared" si="53"/>
        <v>68</v>
      </c>
      <c r="R175" s="334">
        <f>IF(ISERROR(VLOOKUP(G175,'Planning and Target Times'!$L$1:$AJ$6,MATCH(K175&amp;"_"&amp;L175&amp;"_"&amp;J175,INDEX('Planning and Target Times'!$L$1:$AJ$6,1,0),0),0)+5),"",(VLOOKUP(G175,'Planning and Target Times'!$L$1:$AJ$6,MATCH(K175&amp;"_"&amp;L175&amp;"_"&amp;J175,INDEX('Planning and Target Times'!$L$1:$AJ$6,1,0),0),0)+5))</f>
        <v>75</v>
      </c>
      <c r="S175" s="420">
        <f t="shared" si="56"/>
        <v>70</v>
      </c>
      <c r="T175" s="392">
        <f>VLOOKUP(G175,'Planning and Target Times'!$A$7:$G$12,MATCH(K175&amp;"-"&amp;L175&amp;"-"&amp;J175,INDEX('Planning and Target Times'!$A$7:$G$12,1,0),0),0)</f>
        <v>35</v>
      </c>
      <c r="U175" s="292"/>
      <c r="V175" s="292">
        <f t="shared" si="48"/>
        <v>68</v>
      </c>
      <c r="W175" s="292">
        <f t="shared" si="55"/>
        <v>4055</v>
      </c>
      <c r="X175" s="286" t="str">
        <f t="shared" si="57"/>
        <v>MA</v>
      </c>
      <c r="Y175" s="292">
        <v>12000</v>
      </c>
      <c r="Z175" s="292">
        <v>6050</v>
      </c>
      <c r="AA175" s="292">
        <v>7228</v>
      </c>
      <c r="AB175" s="292">
        <v>7945</v>
      </c>
      <c r="AC175" s="292"/>
      <c r="AD175" s="292"/>
      <c r="AE175" s="292"/>
      <c r="AF175" s="292"/>
      <c r="AG175" s="292"/>
      <c r="AH175" s="292"/>
      <c r="AI175" s="292"/>
      <c r="AJ175" s="292"/>
      <c r="AK175" s="282">
        <f>IF(ISERROR(VLOOKUP(G175,'Planning and Target Times'!$B$106:$D$110,MATCH(F175,INDEX('Planning and Target Times'!$B$106:$D$110,1,0),0),0)),"",(VLOOKUP(G175,'Planning and Target Times'!$B$106:$D$110,MATCH(F175,INDEX('Planning and Target Times'!$B$106:$D$110,1,0),0),0)))</f>
        <v>740</v>
      </c>
      <c r="AL175" s="282" t="str">
        <f>VLOOKUP(G175,'Planning and Target Times'!$I$2:$J$7,2,0)</f>
        <v>Carbonate</v>
      </c>
      <c r="AM175" s="292"/>
      <c r="AN175" s="292"/>
      <c r="AO175" s="292"/>
      <c r="AP175" s="283">
        <f>VLOOKUP(G175,'Planning and Target Times'!$A$43:$L$47,MATCH(F175&amp;"-"&amp;K175&amp;"-"&amp;L175&amp;"-"&amp;J175,INDEX('Planning and Target Times'!$A$43:$L$47,1,0),0),0)</f>
        <v>16</v>
      </c>
      <c r="AQ175" s="281"/>
      <c r="AR175" s="281"/>
      <c r="AS175" s="292"/>
      <c r="AT175" s="292"/>
      <c r="AU175" s="292"/>
      <c r="AV175" s="292"/>
      <c r="AW175" s="292"/>
      <c r="AX175" s="281"/>
      <c r="AY175" s="281"/>
      <c r="AZ175" s="281"/>
      <c r="BA175" s="292"/>
      <c r="BB175" s="292"/>
      <c r="BC175" s="292"/>
      <c r="BD175" s="292"/>
      <c r="BE175" s="292"/>
      <c r="BF175" s="292"/>
      <c r="BG175" s="292"/>
      <c r="BH175" s="292"/>
      <c r="BI175" s="283"/>
      <c r="BJ175" s="292"/>
      <c r="BK175" s="302">
        <f>COUNT(P$2:P175)</f>
        <v>174</v>
      </c>
      <c r="BL175" s="302">
        <f>SUMPRODUCT(--(YEAR(P$2:P175)=YEAR(P175)))</f>
        <v>25</v>
      </c>
      <c r="BM175" s="302">
        <f t="shared" si="58"/>
        <v>6</v>
      </c>
      <c r="BN175" s="15">
        <f t="shared" si="61"/>
        <v>57.331249999999997</v>
      </c>
      <c r="BO175" s="292"/>
      <c r="BP175" s="292"/>
      <c r="BQ175" s="467">
        <v>1299.32</v>
      </c>
      <c r="BR175" s="467">
        <v>1299.32</v>
      </c>
      <c r="BS175" s="467">
        <v>1299.32</v>
      </c>
      <c r="BT175" s="467"/>
      <c r="BU175" s="467"/>
      <c r="BV175" s="467"/>
      <c r="BW175" s="467" t="s">
        <v>1877</v>
      </c>
      <c r="BX175" s="469">
        <v>42095</v>
      </c>
      <c r="BY175" s="472">
        <f t="shared" si="60"/>
        <v>19.107647058823527</v>
      </c>
      <c r="BZ175" s="472"/>
    </row>
    <row r="176" spans="1:78" s="285" customFormat="1" x14ac:dyDescent="0.25">
      <c r="A176" s="288" t="s">
        <v>767</v>
      </c>
      <c r="B176" s="385" t="s">
        <v>1372</v>
      </c>
      <c r="C176" s="292" t="s">
        <v>1373</v>
      </c>
      <c r="D176" s="529" t="s">
        <v>2176</v>
      </c>
      <c r="E176" s="302"/>
      <c r="F176" s="420" t="str">
        <f t="shared" si="59"/>
        <v>SA</v>
      </c>
      <c r="G176" s="385" t="s">
        <v>17</v>
      </c>
      <c r="H176" s="385" t="s">
        <v>838</v>
      </c>
      <c r="I176" s="384" t="s">
        <v>24</v>
      </c>
      <c r="J176" s="385" t="s">
        <v>298</v>
      </c>
      <c r="K176" s="385" t="s">
        <v>18</v>
      </c>
      <c r="L176" s="385" t="s">
        <v>1410</v>
      </c>
      <c r="M176" s="302"/>
      <c r="N176" s="302"/>
      <c r="O176" s="284">
        <v>42071</v>
      </c>
      <c r="P176" s="353">
        <v>42122.916666666664</v>
      </c>
      <c r="Q176" s="292">
        <f t="shared" si="53"/>
        <v>51.916666666664241</v>
      </c>
      <c r="R176" s="334">
        <f>IF(ISERROR(VLOOKUP(G176,'Planning and Target Times'!$L$1:$AJ$6,MATCH(K176&amp;"_"&amp;L176&amp;"_"&amp;J176,INDEX('Planning and Target Times'!$L$1:$AJ$6,1,0),0),0)+5),"",(VLOOKUP(G176,'Planning and Target Times'!$L$1:$AJ$6,MATCH(K176&amp;"_"&amp;L176&amp;"_"&amp;J176,INDEX('Planning and Target Times'!$L$1:$AJ$6,1,0),0),0)+5))</f>
        <v>61</v>
      </c>
      <c r="S176" s="420">
        <f t="shared" si="56"/>
        <v>56</v>
      </c>
      <c r="T176" s="392">
        <f>VLOOKUP(G176,'Planning and Target Times'!$A$7:$G$12,MATCH(K176&amp;"-"&amp;L176&amp;"-"&amp;J176,INDEX('Planning and Target Times'!$A$7:$G$12,1,0),0),0)</f>
        <v>27</v>
      </c>
      <c r="U176" s="302"/>
      <c r="V176" s="292">
        <f t="shared" si="48"/>
        <v>51.916666666664241</v>
      </c>
      <c r="W176" s="292">
        <f t="shared" si="55"/>
        <v>5547</v>
      </c>
      <c r="X176" s="290" t="str">
        <f t="shared" si="57"/>
        <v>MA</v>
      </c>
      <c r="Y176" s="292">
        <v>13524</v>
      </c>
      <c r="Z176" s="292"/>
      <c r="AA176" s="292">
        <v>6870</v>
      </c>
      <c r="AB176" s="292">
        <v>7977</v>
      </c>
      <c r="AC176" s="292"/>
      <c r="AD176" s="292"/>
      <c r="AE176" s="282"/>
      <c r="AF176" s="292"/>
      <c r="AG176" s="292"/>
      <c r="AH176" s="292"/>
      <c r="AI176" s="292"/>
      <c r="AJ176" s="292"/>
      <c r="AK176" s="282">
        <f>IF(ISERROR(VLOOKUP(G176,'Planning and Target Times'!$B$106:$D$110,MATCH(F176,INDEX('Planning and Target Times'!$B$106:$D$110,1,0),0),0)),"",(VLOOKUP(G176,'Planning and Target Times'!$B$106:$D$110,MATCH(F176,INDEX('Planning and Target Times'!$B$106:$D$110,1,0),0),0)))</f>
        <v>740</v>
      </c>
      <c r="AL176" s="282" t="str">
        <f>VLOOKUP(G176,'Planning and Target Times'!$I$2:$J$7,2,0)</f>
        <v>Carbonate</v>
      </c>
      <c r="AM176" s="302"/>
      <c r="AN176" s="302"/>
      <c r="AO176" s="302"/>
      <c r="AP176" s="289">
        <f>VLOOKUP(G176,'Planning and Target Times'!$A$43:$L$47,MATCH(F176&amp;"-"&amp;K176&amp;"-"&amp;L176&amp;"-"&amp;J176,INDEX('Planning and Target Times'!$A$43:$L$47,1,0),0),0)</f>
        <v>20</v>
      </c>
      <c r="AQ176" s="292"/>
      <c r="AR176" s="292"/>
      <c r="AS176" s="292"/>
      <c r="AT176" s="292"/>
      <c r="AU176" s="292"/>
      <c r="AV176" s="292"/>
      <c r="AW176" s="292"/>
      <c r="AX176" s="302"/>
      <c r="AY176" s="302"/>
      <c r="AZ176" s="302"/>
      <c r="BA176" s="292"/>
      <c r="BB176" s="292"/>
      <c r="BC176" s="292"/>
      <c r="BD176" s="292"/>
      <c r="BE176" s="292"/>
      <c r="BF176" s="292"/>
      <c r="BG176" s="292"/>
      <c r="BH176" s="292"/>
      <c r="BI176" s="283"/>
      <c r="BJ176" s="292"/>
      <c r="BK176" s="302">
        <f>COUNT(P$2:P176)</f>
        <v>175</v>
      </c>
      <c r="BL176" s="302">
        <f>SUMPRODUCT(--(YEAR(P$2:P176)=YEAR(P176)))</f>
        <v>26</v>
      </c>
      <c r="BM176" s="302">
        <f t="shared" si="58"/>
        <v>7</v>
      </c>
      <c r="BN176" s="15">
        <f t="shared" si="61"/>
        <v>59.222916666666421</v>
      </c>
      <c r="BO176" s="292"/>
      <c r="BP176" s="292"/>
      <c r="BQ176" s="467">
        <v>1039.6300000000001</v>
      </c>
      <c r="BR176" s="467">
        <v>1039.6300000000001</v>
      </c>
      <c r="BS176" s="467">
        <v>1039.6300000000001</v>
      </c>
      <c r="BT176" s="467"/>
      <c r="BU176" s="467"/>
      <c r="BV176" s="467"/>
      <c r="BW176" s="467" t="s">
        <v>1877</v>
      </c>
      <c r="BX176" s="469">
        <v>42125</v>
      </c>
      <c r="BY176" s="472">
        <f t="shared" si="60"/>
        <v>20.02497592295439</v>
      </c>
      <c r="BZ176" s="472"/>
    </row>
    <row r="177" spans="1:78" s="309" customFormat="1" x14ac:dyDescent="0.25">
      <c r="A177" s="288" t="s">
        <v>1365</v>
      </c>
      <c r="B177" s="385" t="s">
        <v>1366</v>
      </c>
      <c r="C177" s="292" t="s">
        <v>1366</v>
      </c>
      <c r="D177" s="529" t="s">
        <v>2177</v>
      </c>
      <c r="E177" s="302"/>
      <c r="F177" s="420" t="str">
        <f t="shared" si="59"/>
        <v>SA</v>
      </c>
      <c r="G177" s="385" t="s">
        <v>17</v>
      </c>
      <c r="H177" s="385" t="s">
        <v>23</v>
      </c>
      <c r="I177" s="420" t="s">
        <v>24</v>
      </c>
      <c r="J177" s="385" t="s">
        <v>298</v>
      </c>
      <c r="K177" s="385" t="s">
        <v>14</v>
      </c>
      <c r="L177" s="385" t="s">
        <v>1410</v>
      </c>
      <c r="M177" s="302"/>
      <c r="N177" s="302"/>
      <c r="O177" s="287">
        <v>42068.270833333336</v>
      </c>
      <c r="P177" s="354">
        <v>42125.166666666664</v>
      </c>
      <c r="Q177" s="292">
        <f t="shared" si="53"/>
        <v>56.895833333328483</v>
      </c>
      <c r="R177" s="334">
        <f>IF(ISERROR(VLOOKUP(G177,'Planning and Target Times'!$L$1:$AJ$6,MATCH(K177&amp;"_"&amp;L177&amp;"_"&amp;J177,INDEX('Planning and Target Times'!$L$1:$AJ$6,1,0),0),0)+5),"",(VLOOKUP(G177,'Planning and Target Times'!$L$1:$AJ$6,MATCH(K177&amp;"_"&amp;L177&amp;"_"&amp;J177,INDEX('Planning and Target Times'!$L$1:$AJ$6,1,0),0),0)+5))</f>
        <v>75</v>
      </c>
      <c r="S177" s="420">
        <f t="shared" si="56"/>
        <v>70</v>
      </c>
      <c r="T177" s="392">
        <f>VLOOKUP(G177,'Planning and Target Times'!$A$7:$G$12,MATCH(K177&amp;"-"&amp;L177&amp;"-"&amp;J177,INDEX('Planning and Target Times'!$A$7:$G$12,1,0),0),0)</f>
        <v>35</v>
      </c>
      <c r="U177" s="302"/>
      <c r="V177" s="292">
        <f t="shared" si="48"/>
        <v>56.895833333328483</v>
      </c>
      <c r="W177" s="292">
        <f t="shared" si="55"/>
        <v>4308</v>
      </c>
      <c r="X177" s="290" t="str">
        <f t="shared" si="57"/>
        <v>MA</v>
      </c>
      <c r="Y177" s="292">
        <v>12133</v>
      </c>
      <c r="Z177" s="292">
        <v>6007</v>
      </c>
      <c r="AA177" s="292">
        <v>7105</v>
      </c>
      <c r="AB177" s="292">
        <v>7825</v>
      </c>
      <c r="AC177" s="292"/>
      <c r="AD177" s="292"/>
      <c r="AE177" s="298">
        <v>7</v>
      </c>
      <c r="AF177" s="298"/>
      <c r="AG177" s="302" t="str">
        <f t="shared" ref="AG177:AG192" si="62">SUBSTITUTE(TRIM(A177&amp;" "&amp;F177&amp;" "&amp;G177&amp;" "&amp;J177&amp;" "&amp;K177&amp;" "&amp;L177&amp;" "&amp;I177)," ","-")</f>
        <v>SA-0575-SA-MA-Prod-NW-HZ-SLB</v>
      </c>
      <c r="AH177" s="302" t="str">
        <f t="shared" ref="AH177:AH192" si="63">IF(A177&lt;&gt;"",A177&amp;"-"&amp;H177,"")</f>
        <v>SA-0575-SP-158</v>
      </c>
      <c r="AI177" s="302" t="str">
        <f t="shared" ref="AI177:AI192" si="64">SUBSTITUTE(TRIM(A177&amp;" "&amp;G177&amp;" "&amp;K177&amp;" "&amp;J177)," ","-")</f>
        <v>SA-0575-MA-NW-Prod</v>
      </c>
      <c r="AJ177" s="292" t="str">
        <f ca="1">IF(P177&gt;0,"RR",IF(O177&gt;0,0,COUNTIF($H$2:H177,H177)-IFERROR(COUNTIF(OFFSET($H$1,0,0,SUMPRODUCT(MAX(($H$2:H177=H177)*ROW($H$2:H177)*($O$2:O177&lt;&gt;""))),1),H177),0)))</f>
        <v>RR</v>
      </c>
      <c r="AK177" s="282">
        <f>IF(ISERROR(VLOOKUP(G177,'Planning and Target Times'!$B$106:$D$110,MATCH(F177,INDEX('Planning and Target Times'!$B$106:$D$110,1,0),0),0)),"",(VLOOKUP(G177,'Planning and Target Times'!$B$106:$D$110,MATCH(F177,INDEX('Planning and Target Times'!$B$106:$D$110,1,0),0),0)))</f>
        <v>740</v>
      </c>
      <c r="AL177" s="282" t="str">
        <f>VLOOKUP(G177,'Planning and Target Times'!$I$2:$J$7,2,0)</f>
        <v>Carbonate</v>
      </c>
      <c r="AM177" s="302"/>
      <c r="AN177" s="302"/>
      <c r="AO177" s="302"/>
      <c r="AP177" s="289">
        <f>VLOOKUP(G177,'Planning and Target Times'!$A$43:$L$47,MATCH(F177&amp;"-"&amp;K177&amp;"-"&amp;L177&amp;"-"&amp;J177,INDEX('Planning and Target Times'!$A$43:$L$47,1,0),0),0)</f>
        <v>16</v>
      </c>
      <c r="AQ177" s="292"/>
      <c r="AR177" s="292"/>
      <c r="AS177" s="292"/>
      <c r="AT177" s="292"/>
      <c r="AU177" s="292"/>
      <c r="AV177" s="292"/>
      <c r="AW177" s="292"/>
      <c r="AX177" s="302"/>
      <c r="AY177" s="302"/>
      <c r="AZ177" s="302"/>
      <c r="BA177" s="292"/>
      <c r="BB177" s="292"/>
      <c r="BC177" s="292"/>
      <c r="BD177" s="292"/>
      <c r="BE177" s="292"/>
      <c r="BF177" s="292"/>
      <c r="BG177" s="292"/>
      <c r="BH177" s="292"/>
      <c r="BI177" s="283"/>
      <c r="BJ177" s="292"/>
      <c r="BK177" s="302">
        <f>COUNT(P$2:P177)</f>
        <v>176</v>
      </c>
      <c r="BL177" s="302">
        <f>SUMPRODUCT(--(YEAR(P$2:P177)=YEAR(P177)))</f>
        <v>27</v>
      </c>
      <c r="BM177" s="302">
        <f t="shared" si="58"/>
        <v>8</v>
      </c>
      <c r="BN177" s="15">
        <f t="shared" si="61"/>
        <v>57.512499999999271</v>
      </c>
      <c r="BO177" s="292"/>
      <c r="BP177" s="292"/>
      <c r="BQ177" s="467">
        <v>460.39</v>
      </c>
      <c r="BR177" s="467">
        <v>460.39</v>
      </c>
      <c r="BS177" s="467">
        <v>460.39</v>
      </c>
      <c r="BT177" s="467"/>
      <c r="BU177" s="467"/>
      <c r="BV177" s="467"/>
      <c r="BW177" s="467" t="s">
        <v>1877</v>
      </c>
      <c r="BX177" s="469">
        <v>42125</v>
      </c>
      <c r="BY177" s="472">
        <f t="shared" si="60"/>
        <v>8.091805199561291</v>
      </c>
      <c r="BZ177" s="472"/>
    </row>
    <row r="178" spans="1:78" s="309" customFormat="1" x14ac:dyDescent="0.25">
      <c r="A178" s="310" t="s">
        <v>1360</v>
      </c>
      <c r="B178" s="385" t="s">
        <v>1359</v>
      </c>
      <c r="C178" s="292" t="s">
        <v>1359</v>
      </c>
      <c r="D178" s="529" t="s">
        <v>2178</v>
      </c>
      <c r="E178" s="302"/>
      <c r="F178" s="420" t="str">
        <f t="shared" si="59"/>
        <v>SA</v>
      </c>
      <c r="G178" s="385" t="s">
        <v>44</v>
      </c>
      <c r="H178" s="385" t="s">
        <v>79</v>
      </c>
      <c r="I178" s="281" t="s">
        <v>16</v>
      </c>
      <c r="J178" s="385" t="s">
        <v>298</v>
      </c>
      <c r="K178" s="385" t="s">
        <v>14</v>
      </c>
      <c r="L178" s="385" t="s">
        <v>1410</v>
      </c>
      <c r="M178" s="302"/>
      <c r="N178" s="302"/>
      <c r="O178" s="284">
        <v>42050</v>
      </c>
      <c r="P178" s="354">
        <v>42133.458333333336</v>
      </c>
      <c r="Q178" s="292">
        <f t="shared" si="53"/>
        <v>83.458333333335759</v>
      </c>
      <c r="R178" s="334">
        <f>IF(ISERROR(VLOOKUP(G178,'Planning and Target Times'!$L$1:$AJ$6,MATCH(K178&amp;"_"&amp;L178&amp;"_"&amp;J178,INDEX('Planning and Target Times'!$L$1:$AJ$6,1,0),0),0)+5),"",(VLOOKUP(G178,'Planning and Target Times'!$L$1:$AJ$6,MATCH(K178&amp;"_"&amp;L178&amp;"_"&amp;J178,INDEX('Planning and Target Times'!$L$1:$AJ$6,1,0),0),0)+5))</f>
        <v>103</v>
      </c>
      <c r="S178" s="420">
        <f t="shared" si="56"/>
        <v>98</v>
      </c>
      <c r="T178" s="392">
        <f>VLOOKUP(G178,'Planning and Target Times'!$A$7:$G$12,MATCH(K178&amp;"-"&amp;L178&amp;"-"&amp;J178,INDEX('Planning and Target Times'!$A$7:$G$12,1,0),0),0)</f>
        <v>75</v>
      </c>
      <c r="U178" s="302"/>
      <c r="V178" s="292">
        <f t="shared" si="48"/>
        <v>83.458333333335759</v>
      </c>
      <c r="W178" s="292">
        <f t="shared" si="55"/>
        <v>0</v>
      </c>
      <c r="X178" s="290" t="str">
        <f t="shared" si="57"/>
        <v>ZU/RT</v>
      </c>
      <c r="Y178" s="292">
        <v>11070</v>
      </c>
      <c r="Z178" s="292">
        <v>5953</v>
      </c>
      <c r="AA178" s="292">
        <v>8981</v>
      </c>
      <c r="AB178" s="292">
        <v>11070</v>
      </c>
      <c r="AC178" s="292"/>
      <c r="AD178" s="292"/>
      <c r="AE178" s="298">
        <v>8</v>
      </c>
      <c r="AF178" s="298"/>
      <c r="AG178" s="302" t="str">
        <f t="shared" si="62"/>
        <v>SA-0573-SA-ZU-Prod-NW-HZ-BHI</v>
      </c>
      <c r="AH178" s="302" t="str">
        <f t="shared" si="63"/>
        <v>SA-0573-SP-185</v>
      </c>
      <c r="AI178" s="302" t="str">
        <f t="shared" si="64"/>
        <v>SA-0573-ZU-NW-Prod</v>
      </c>
      <c r="AJ178" s="292" t="str">
        <f ca="1">IF(P178&gt;0,"RR",IF(O178&gt;0,0,COUNTIF($H$2:H178,H178)-IFERROR(COUNTIF(OFFSET($H$1,0,0,SUMPRODUCT(MAX(($H$2:H178=H178)*ROW($H$2:H178)*($O$2:O178&lt;&gt;""))),1),H178),0)))</f>
        <v>RR</v>
      </c>
      <c r="AK178" s="282">
        <f>IF(ISERROR(VLOOKUP(G178,'Planning and Target Times'!$B$106:$D$110,MATCH(F178,INDEX('Planning and Target Times'!$B$106:$D$110,1,0),0),0)),"",(VLOOKUP(G178,'Planning and Target Times'!$B$106:$D$110,MATCH(F178,INDEX('Planning and Target Times'!$B$106:$D$110,1,0),0),0)))</f>
        <v>920</v>
      </c>
      <c r="AL178" s="282" t="str">
        <f>VLOOKUP(G178,'Planning and Target Times'!$I$2:$J$7,2,0)</f>
        <v>Sandstone</v>
      </c>
      <c r="AM178" s="302"/>
      <c r="AN178" s="302"/>
      <c r="AO178" s="302"/>
      <c r="AP178" s="289">
        <f>VLOOKUP(G178,'Planning and Target Times'!$A$43:$L$47,MATCH(F178&amp;"-"&amp;K178&amp;"-"&amp;L178&amp;"-"&amp;J178,INDEX('Planning and Target Times'!$A$43:$L$47,1,0),0),0)</f>
        <v>18</v>
      </c>
      <c r="AQ178" s="292"/>
      <c r="AR178" s="292"/>
      <c r="AS178" s="292"/>
      <c r="AT178" s="292"/>
      <c r="AU178" s="292"/>
      <c r="AV178" s="292"/>
      <c r="AW178" s="292"/>
      <c r="AX178" s="302"/>
      <c r="AY178" s="302"/>
      <c r="AZ178" s="302"/>
      <c r="BA178" s="292"/>
      <c r="BB178" s="292"/>
      <c r="BC178" s="292"/>
      <c r="BD178" s="292"/>
      <c r="BE178" s="292"/>
      <c r="BF178" s="292"/>
      <c r="BG178" s="292"/>
      <c r="BH178" s="292"/>
      <c r="BI178" s="283"/>
      <c r="BJ178" s="292"/>
      <c r="BK178" s="302">
        <f>COUNT(P$2:P178)</f>
        <v>177</v>
      </c>
      <c r="BL178" s="302">
        <f>SUMPRODUCT(--(YEAR(P$2:P178)=YEAR(P178)))</f>
        <v>28</v>
      </c>
      <c r="BM178" s="302">
        <f t="shared" si="58"/>
        <v>9</v>
      </c>
      <c r="BN178" s="15">
        <f t="shared" si="61"/>
        <v>61.658333333332848</v>
      </c>
      <c r="BO178" s="292"/>
      <c r="BP178" s="292"/>
      <c r="BQ178" s="467">
        <v>2195.0100000000002</v>
      </c>
      <c r="BR178" s="467">
        <v>2195.0100000000002</v>
      </c>
      <c r="BS178" s="467">
        <v>2195.0100000000002</v>
      </c>
      <c r="BT178" s="467"/>
      <c r="BU178" s="467"/>
      <c r="BV178" s="467"/>
      <c r="BW178" s="467" t="s">
        <v>1877</v>
      </c>
      <c r="BX178" s="469">
        <v>42125</v>
      </c>
      <c r="BY178" s="472">
        <f t="shared" si="60"/>
        <v>26.300668996504481</v>
      </c>
      <c r="BZ178" s="472"/>
    </row>
    <row r="179" spans="1:78" s="517" customFormat="1" x14ac:dyDescent="0.25">
      <c r="A179" s="541" t="s">
        <v>754</v>
      </c>
      <c r="B179" s="541" t="s">
        <v>1391</v>
      </c>
      <c r="C179" s="516" t="s">
        <v>2238</v>
      </c>
      <c r="D179" s="521" t="s">
        <v>2179</v>
      </c>
      <c r="E179" s="516"/>
      <c r="F179" s="541" t="str">
        <f t="shared" si="59"/>
        <v>RA</v>
      </c>
      <c r="G179" s="541" t="s">
        <v>1594</v>
      </c>
      <c r="H179" s="541" t="s">
        <v>513</v>
      </c>
      <c r="I179" s="541" t="s">
        <v>24</v>
      </c>
      <c r="J179" s="541" t="s">
        <v>1594</v>
      </c>
      <c r="K179" s="541" t="s">
        <v>1594</v>
      </c>
      <c r="L179" s="542" t="s">
        <v>1594</v>
      </c>
      <c r="M179" s="516"/>
      <c r="N179" s="516"/>
      <c r="O179" s="519">
        <v>42100.166666666664</v>
      </c>
      <c r="P179" s="518">
        <v>42137.166666666664</v>
      </c>
      <c r="Q179" s="516">
        <f t="shared" ref="Q179:Q204" si="65">P179-O179</f>
        <v>37</v>
      </c>
      <c r="R179" s="514" t="str">
        <f>IF(ISERROR(VLOOKUP(G179,'Planning and Target Times'!$L$1:$AJ$6,MATCH(K179&amp;"_"&amp;L179&amp;"_"&amp;J179,INDEX('Planning and Target Times'!$L$1:$AJ$6,1,0),0),0)+5),"",(VLOOKUP(G179,'Planning and Target Times'!$L$1:$AJ$6,MATCH(K179&amp;"_"&amp;L179&amp;"_"&amp;J179,INDEX('Planning and Target Times'!$L$1:$AJ$6,1,0),0),0)+5))</f>
        <v/>
      </c>
      <c r="S179" s="541" t="str">
        <f t="shared" si="56"/>
        <v/>
      </c>
      <c r="T179" s="541" t="e">
        <f>VLOOKUP(G179,'Planning and Target Times'!$A$7:$G$12,MATCH(K179&amp;"-"&amp;L179&amp;"-"&amp;J179,INDEX('Planning and Target Times'!$A$7:$G$12,1,0),0),0)</f>
        <v>#N/A</v>
      </c>
      <c r="U179" s="516"/>
      <c r="V179" s="516">
        <f t="shared" si="48"/>
        <v>37</v>
      </c>
      <c r="W179" s="516">
        <f t="shared" si="55"/>
        <v>0</v>
      </c>
      <c r="X179" s="542" t="str">
        <f t="shared" si="57"/>
        <v>N/C</v>
      </c>
      <c r="Y179" s="516">
        <v>8342</v>
      </c>
      <c r="Z179" s="516">
        <v>6120</v>
      </c>
      <c r="AA179" s="516">
        <v>6695</v>
      </c>
      <c r="AB179" s="516"/>
      <c r="AC179" s="516"/>
      <c r="AD179" s="516"/>
      <c r="AE179" s="542">
        <v>0</v>
      </c>
      <c r="AF179" s="516"/>
      <c r="AG179" s="516" t="str">
        <f t="shared" si="62"/>
        <v>RA-0392-RA-N/C-N/C-N/C-N/C-SLB</v>
      </c>
      <c r="AH179" s="516" t="str">
        <f t="shared" si="63"/>
        <v>RA-0392-NDSC-15</v>
      </c>
      <c r="AI179" s="516" t="str">
        <f t="shared" si="64"/>
        <v>RA-0392-N/C-N/C-N/C</v>
      </c>
      <c r="AJ179" s="516" t="str">
        <f ca="1">IF(P179&gt;0,"RR",IF(O179&gt;0,0,COUNTIF($H$2:H179,H179)-IFERROR(COUNTIF(OFFSET($H$1,0,0,SUMPRODUCT(MAX(($H$2:H179=H179)*ROW($H$2:H179)*($O$2:O179&lt;&gt;""))),1),H179),0)))</f>
        <v>RR</v>
      </c>
      <c r="AK179" s="516" t="str">
        <f>IF(ISERROR(VLOOKUP(G179,'Planning and Target Times'!$B$106:$D$110,MATCH(F179,INDEX('Planning and Target Times'!$B$106:$D$110,1,0),0),0)),"",(VLOOKUP(G179,'Planning and Target Times'!$B$106:$D$110,MATCH(F179,INDEX('Planning and Target Times'!$B$106:$D$110,1,0),0),0)))</f>
        <v/>
      </c>
      <c r="AL179" s="516" t="e">
        <f>VLOOKUP(G179,'Planning and Target Times'!$I$2:$J$7,2,0)</f>
        <v>#N/A</v>
      </c>
      <c r="AM179" s="516"/>
      <c r="AN179" s="516"/>
      <c r="AO179" s="516"/>
      <c r="AP179" s="521" t="e">
        <f>VLOOKUP(G179,'Planning and Target Times'!$A$43:$L$47,MATCH(F179&amp;"-"&amp;K179&amp;"-"&amp;L179&amp;"-"&amp;J179,INDEX('Planning and Target Times'!$A$43:$L$47,1,0),0),0)</f>
        <v>#N/A</v>
      </c>
      <c r="AQ179" s="516"/>
      <c r="AR179" s="516"/>
      <c r="AS179" s="516"/>
      <c r="AT179" s="516"/>
      <c r="AU179" s="516"/>
      <c r="AV179" s="516"/>
      <c r="AW179" s="516"/>
      <c r="AX179" s="516"/>
      <c r="AY179" s="516"/>
      <c r="AZ179" s="516"/>
      <c r="BA179" s="516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>
        <f>COUNT(P$2:P179)</f>
        <v>178</v>
      </c>
      <c r="BL179" s="516">
        <f>SUMPRODUCT(--(YEAR(P$2:P179)=YEAR(P179)))</f>
        <v>29</v>
      </c>
      <c r="BM179" s="516">
        <f t="shared" si="58"/>
        <v>10</v>
      </c>
      <c r="BN179" s="515">
        <f t="shared" si="61"/>
        <v>58.658333333332848</v>
      </c>
      <c r="BO179" s="516"/>
      <c r="BP179" s="516"/>
      <c r="BQ179" s="522"/>
      <c r="BR179" s="522"/>
      <c r="BS179" s="522"/>
      <c r="BT179" s="522"/>
      <c r="BU179" s="522"/>
      <c r="BV179" s="522"/>
      <c r="BW179" s="522" t="s">
        <v>1878</v>
      </c>
      <c r="BX179" s="520"/>
    </row>
    <row r="180" spans="1:78" s="355" customFormat="1" x14ac:dyDescent="0.25">
      <c r="A180" s="420" t="s">
        <v>1344</v>
      </c>
      <c r="B180" s="385" t="s">
        <v>1356</v>
      </c>
      <c r="C180" s="287" t="s">
        <v>1356</v>
      </c>
      <c r="D180" s="529" t="s">
        <v>2180</v>
      </c>
      <c r="E180" s="302"/>
      <c r="F180" s="420" t="str">
        <f t="shared" si="59"/>
        <v>RA</v>
      </c>
      <c r="G180" s="385" t="s">
        <v>22</v>
      </c>
      <c r="H180" s="385" t="s">
        <v>734</v>
      </c>
      <c r="I180" s="384" t="s">
        <v>20</v>
      </c>
      <c r="J180" s="385" t="s">
        <v>298</v>
      </c>
      <c r="K180" s="385" t="s">
        <v>14</v>
      </c>
      <c r="L180" s="385" t="s">
        <v>1416</v>
      </c>
      <c r="M180" s="302"/>
      <c r="N180" s="385">
        <v>3</v>
      </c>
      <c r="O180" s="284">
        <v>42044</v>
      </c>
      <c r="P180" s="333">
        <v>42143</v>
      </c>
      <c r="Q180" s="292">
        <f t="shared" si="65"/>
        <v>99</v>
      </c>
      <c r="R180" s="334">
        <f>IF(ISERROR(VLOOKUP(G180,'Planning and Target Times'!$L$1:$AJ$6,MATCH(K180&amp;"_"&amp;L180&amp;"_"&amp;J180,INDEX('Planning and Target Times'!$L$1:$AJ$6,1,0),0),0)+5),"",(VLOOKUP(G180,'Planning and Target Times'!$L$1:$AJ$6,MATCH(K180&amp;"_"&amp;L180&amp;"_"&amp;J180,INDEX('Planning and Target Times'!$L$1:$AJ$6,1,0),0),0)+5))</f>
        <v>75</v>
      </c>
      <c r="S180" s="420">
        <f t="shared" si="56"/>
        <v>70</v>
      </c>
      <c r="T180" s="392">
        <f>VLOOKUP(G180,'Planning and Target Times'!$A$7:$G$12,MATCH(K180&amp;"-"&amp;L180&amp;"-"&amp;J180,INDEX('Planning and Target Times'!$A$7:$G$12,1,0),0),0)</f>
        <v>33</v>
      </c>
      <c r="U180" s="302"/>
      <c r="V180" s="292">
        <f t="shared" si="48"/>
        <v>99</v>
      </c>
      <c r="W180" s="292">
        <f t="shared" si="55"/>
        <v>1090</v>
      </c>
      <c r="X180" s="290" t="str">
        <f t="shared" si="57"/>
        <v>LB</v>
      </c>
      <c r="Y180" s="302">
        <v>11580</v>
      </c>
      <c r="Z180" s="302">
        <v>5907</v>
      </c>
      <c r="AA180" s="302">
        <v>8471</v>
      </c>
      <c r="AB180" s="302">
        <v>10490</v>
      </c>
      <c r="AC180" s="302"/>
      <c r="AD180" s="302">
        <v>11520</v>
      </c>
      <c r="AE180" s="290">
        <v>7</v>
      </c>
      <c r="AF180" s="298"/>
      <c r="AG180" s="302" t="str">
        <f t="shared" si="62"/>
        <v>RA-0502-RA-LB-Prod-NW-SL-HAL</v>
      </c>
      <c r="AH180" s="302" t="str">
        <f t="shared" si="63"/>
        <v>RA-0502-SP-294</v>
      </c>
      <c r="AI180" s="302" t="str">
        <f t="shared" si="64"/>
        <v>RA-0502-LB-NW-Prod</v>
      </c>
      <c r="AJ180" s="292" t="str">
        <f ca="1">IF(P180&gt;0,"RR",IF(O180&gt;0,0,COUNTIF($H$2:H180,H180)-IFERROR(COUNTIF(OFFSET($H$1,0,0,SUMPRODUCT(MAX(($H$2:H180=H180)*ROW($H$2:H180)*($O$2:O180&lt;&gt;""))),1),H180),0)))</f>
        <v>RR</v>
      </c>
      <c r="AK180" s="282">
        <f>IF(ISERROR(VLOOKUP(G180,'Planning and Target Times'!$B$106:$D$110,MATCH(F180,INDEX('Planning and Target Times'!$B$106:$D$110,1,0),0),0)),"",(VLOOKUP(G180,'Planning and Target Times'!$B$106:$D$110,MATCH(F180,INDEX('Planning and Target Times'!$B$106:$D$110,1,0),0),0)))</f>
        <v>900</v>
      </c>
      <c r="AL180" s="282" t="str">
        <f>VLOOKUP(G180,'Planning and Target Times'!$I$2:$J$7,2,0)</f>
        <v>Sandstone</v>
      </c>
      <c r="AM180" s="302"/>
      <c r="AN180" s="302"/>
      <c r="AO180" s="302"/>
      <c r="AP180" s="289">
        <f>VLOOKUP(G180,'Planning and Target Times'!$A$43:$L$47,MATCH(F180&amp;"-"&amp;K180&amp;"-"&amp;L180&amp;"-"&amp;J180,INDEX('Planning and Target Times'!$A$43:$L$47,1,0),0),0)</f>
        <v>34</v>
      </c>
      <c r="AQ180" s="292"/>
      <c r="AR180" s="292"/>
      <c r="AS180" s="292"/>
      <c r="AT180" s="292"/>
      <c r="AU180" s="292"/>
      <c r="AV180" s="292"/>
      <c r="AW180" s="292"/>
      <c r="AX180" s="302"/>
      <c r="AY180" s="302"/>
      <c r="AZ180" s="302"/>
      <c r="BA180" s="292"/>
      <c r="BB180" s="292"/>
      <c r="BC180" s="292"/>
      <c r="BD180" s="292"/>
      <c r="BE180" s="292"/>
      <c r="BF180" s="292"/>
      <c r="BG180" s="292"/>
      <c r="BH180" s="292"/>
      <c r="BI180" s="283"/>
      <c r="BJ180" s="292"/>
      <c r="BK180" s="302">
        <f>COUNT(P$2:P180)</f>
        <v>179</v>
      </c>
      <c r="BL180" s="302">
        <f>SUMPRODUCT(--(YEAR(P$2:P180)=YEAR(P180)))</f>
        <v>30</v>
      </c>
      <c r="BM180" s="571">
        <f t="shared" si="58"/>
        <v>11</v>
      </c>
      <c r="BN180" s="15">
        <f t="shared" ref="BN180:BN188" si="66">AVERAGE(Q172:Q180)</f>
        <v>65.296296296296021</v>
      </c>
      <c r="BO180" s="292"/>
      <c r="BP180" s="292"/>
      <c r="BQ180" s="467"/>
      <c r="BR180" s="467"/>
      <c r="BS180" s="467"/>
      <c r="BT180" s="467"/>
      <c r="BU180" s="467"/>
      <c r="BV180" s="467"/>
      <c r="BW180" s="467" t="s">
        <v>1878</v>
      </c>
      <c r="BX180" s="469"/>
      <c r="BY180" s="472"/>
      <c r="BZ180" s="472"/>
    </row>
    <row r="181" spans="1:78" s="357" customFormat="1" x14ac:dyDescent="0.25">
      <c r="A181" s="420" t="s">
        <v>1394</v>
      </c>
      <c r="B181" s="385" t="s">
        <v>1395</v>
      </c>
      <c r="C181" s="292" t="s">
        <v>1395</v>
      </c>
      <c r="D181" s="529" t="s">
        <v>2181</v>
      </c>
      <c r="E181" s="302"/>
      <c r="F181" s="420" t="str">
        <f t="shared" si="59"/>
        <v>SA</v>
      </c>
      <c r="G181" s="385" t="s">
        <v>17</v>
      </c>
      <c r="H181" s="385" t="s">
        <v>430</v>
      </c>
      <c r="I181" s="384" t="s">
        <v>20</v>
      </c>
      <c r="J181" s="385" t="s">
        <v>34</v>
      </c>
      <c r="K181" s="385" t="s">
        <v>14</v>
      </c>
      <c r="L181" s="385" t="s">
        <v>1410</v>
      </c>
      <c r="M181" s="302"/>
      <c r="N181" s="302"/>
      <c r="O181" s="287">
        <v>42102.791666666664</v>
      </c>
      <c r="P181" s="351">
        <v>42146.25</v>
      </c>
      <c r="Q181" s="292">
        <f t="shared" si="65"/>
        <v>43.458333333335759</v>
      </c>
      <c r="R181" s="334">
        <f>IF(ISERROR(VLOOKUP(G181,'Planning and Target Times'!$L$1:$AJ$6,MATCH(K181&amp;"_"&amp;L181&amp;"_"&amp;J181,INDEX('Planning and Target Times'!$L$1:$AJ$6,1,0),0),0)+5),"",(VLOOKUP(G181,'Planning and Target Times'!$L$1:$AJ$6,MATCH(K181&amp;"_"&amp;L181&amp;"_"&amp;J181,INDEX('Planning and Target Times'!$L$1:$AJ$6,1,0),0),0)+5))</f>
        <v>68</v>
      </c>
      <c r="S181" s="420">
        <f t="shared" si="56"/>
        <v>63</v>
      </c>
      <c r="T181" s="392">
        <f>VLOOKUP(G181,'Planning and Target Times'!$A$7:$G$12,MATCH(K181&amp;"-"&amp;L181&amp;"-"&amp;J181,INDEX('Planning and Target Times'!$A$7:$G$12,1,0),0),0)</f>
        <v>35</v>
      </c>
      <c r="U181" s="302"/>
      <c r="V181" s="292">
        <f t="shared" si="48"/>
        <v>43.458333333335759</v>
      </c>
      <c r="W181" s="292">
        <f t="shared" si="55"/>
        <v>3360</v>
      </c>
      <c r="X181" s="290" t="str">
        <f t="shared" si="57"/>
        <v>MA</v>
      </c>
      <c r="Y181" s="292">
        <v>11503</v>
      </c>
      <c r="Z181" s="292">
        <v>6085</v>
      </c>
      <c r="AA181" s="292">
        <v>7290</v>
      </c>
      <c r="AB181" s="292">
        <v>8143</v>
      </c>
      <c r="AC181" s="292"/>
      <c r="AD181" s="292"/>
      <c r="AE181" s="298">
        <v>10</v>
      </c>
      <c r="AF181" s="298"/>
      <c r="AG181" s="302" t="str">
        <f t="shared" si="62"/>
        <v>SA-0577-SA-MA-Inj-NW-HZ-HAL</v>
      </c>
      <c r="AH181" s="302" t="str">
        <f t="shared" si="63"/>
        <v>SA-0577-KDC-49</v>
      </c>
      <c r="AI181" s="302" t="str">
        <f t="shared" si="64"/>
        <v>SA-0577-MA-NW-Inj</v>
      </c>
      <c r="AJ181" s="292" t="str">
        <f ca="1">IF(P181&gt;0,"RR",IF(O181&gt;0,0,COUNTIF($H$2:H181,H181)-IFERROR(COUNTIF(OFFSET($H$1,0,0,SUMPRODUCT(MAX(($H$2:H181=H181)*ROW($H$2:H181)*($O$2:O181&lt;&gt;""))),1),H181),0)))</f>
        <v>RR</v>
      </c>
      <c r="AK181" s="282"/>
      <c r="AL181" s="282" t="str">
        <f>VLOOKUP(G181,'Planning and Target Times'!$I$2:$J$7,2,0)</f>
        <v>Carbonate</v>
      </c>
      <c r="AM181" s="302"/>
      <c r="AN181" s="302"/>
      <c r="AO181" s="302"/>
      <c r="AP181" s="289">
        <f>VLOOKUP(G181,'Planning and Target Times'!$A$43:$L$47,MATCH(F181&amp;"-"&amp;K181&amp;"-"&amp;L181&amp;"-"&amp;J181,INDEX('Planning and Target Times'!$A$43:$L$47,1,0),0),0)</f>
        <v>200</v>
      </c>
      <c r="AQ181" s="292"/>
      <c r="AR181" s="292"/>
      <c r="AS181" s="292"/>
      <c r="AT181" s="292"/>
      <c r="AU181" s="292"/>
      <c r="AV181" s="292"/>
      <c r="AW181" s="292"/>
      <c r="AX181" s="302"/>
      <c r="AY181" s="302"/>
      <c r="AZ181" s="302"/>
      <c r="BA181" s="292"/>
      <c r="BB181" s="292"/>
      <c r="BC181" s="292"/>
      <c r="BD181" s="292"/>
      <c r="BE181" s="292"/>
      <c r="BF181" s="292"/>
      <c r="BG181" s="292"/>
      <c r="BH181" s="292"/>
      <c r="BI181" s="292"/>
      <c r="BJ181" s="292"/>
      <c r="BK181" s="302">
        <f>COUNT(P$2:P181)</f>
        <v>180</v>
      </c>
      <c r="BL181" s="302">
        <f>SUMPRODUCT(--(YEAR(P$2:P181)=YEAR(P181)))</f>
        <v>31</v>
      </c>
      <c r="BM181" s="302">
        <f t="shared" ref="BM181:BM201" si="67">IF(AND(MONTH(P180)&lt;&gt;4,MONTH(P181)=4),1,BM180+1)</f>
        <v>12</v>
      </c>
      <c r="BN181" s="15">
        <f t="shared" si="66"/>
        <v>61.018518518518249</v>
      </c>
      <c r="BO181" s="292"/>
      <c r="BP181" s="292"/>
      <c r="BQ181" s="464"/>
      <c r="BR181" s="464"/>
      <c r="BS181" s="464"/>
      <c r="BT181" s="464"/>
      <c r="BU181" s="464"/>
      <c r="BV181" s="464"/>
      <c r="BW181" s="464" t="s">
        <v>1878</v>
      </c>
      <c r="BX181" s="469"/>
      <c r="BY181" s="472"/>
      <c r="BZ181" s="472"/>
    </row>
    <row r="182" spans="1:78" s="357" customFormat="1" x14ac:dyDescent="0.25">
      <c r="A182" s="420" t="s">
        <v>768</v>
      </c>
      <c r="B182" s="385" t="s">
        <v>1591</v>
      </c>
      <c r="C182" s="292" t="s">
        <v>1591</v>
      </c>
      <c r="D182" s="529" t="s">
        <v>2182</v>
      </c>
      <c r="E182" s="302"/>
      <c r="F182" s="420" t="str">
        <f t="shared" si="59"/>
        <v>SA</v>
      </c>
      <c r="G182" s="385" t="s">
        <v>17</v>
      </c>
      <c r="H182" s="385" t="s">
        <v>37</v>
      </c>
      <c r="I182" s="384" t="s">
        <v>20</v>
      </c>
      <c r="J182" s="385" t="s">
        <v>298</v>
      </c>
      <c r="K182" s="385" t="s">
        <v>18</v>
      </c>
      <c r="L182" s="385" t="s">
        <v>1410</v>
      </c>
      <c r="M182" s="302"/>
      <c r="N182" s="302"/>
      <c r="O182" s="287">
        <v>42110.041666666664</v>
      </c>
      <c r="P182" s="351">
        <v>42146.458333333336</v>
      </c>
      <c r="Q182" s="292">
        <f t="shared" si="65"/>
        <v>36.416666666671517</v>
      </c>
      <c r="R182" s="334">
        <f>IF(ISERROR(VLOOKUP(G182,'Planning and Target Times'!$L$1:$AJ$6,MATCH(K182&amp;"_"&amp;L182&amp;"_"&amp;J182,INDEX('Planning and Target Times'!$L$1:$AJ$6,1,0),0),0)+5),"",(VLOOKUP(G182,'Planning and Target Times'!$L$1:$AJ$6,MATCH(K182&amp;"_"&amp;L182&amp;"_"&amp;J182,INDEX('Planning and Target Times'!$L$1:$AJ$6,1,0),0),0)+5))</f>
        <v>61</v>
      </c>
      <c r="S182" s="420">
        <f t="shared" si="56"/>
        <v>56</v>
      </c>
      <c r="T182" s="392">
        <f>VLOOKUP(G182,'Planning and Target Times'!$A$7:$G$12,MATCH(K182&amp;"-"&amp;L182&amp;"-"&amp;J182,INDEX('Planning and Target Times'!$A$7:$G$12,1,0),0),0)</f>
        <v>27</v>
      </c>
      <c r="U182" s="302"/>
      <c r="V182" s="292">
        <f t="shared" si="48"/>
        <v>36.416666666671517</v>
      </c>
      <c r="W182" s="292">
        <f t="shared" si="55"/>
        <v>2780</v>
      </c>
      <c r="X182" s="290" t="str">
        <f t="shared" si="57"/>
        <v>MA</v>
      </c>
      <c r="Y182" s="292">
        <v>10375</v>
      </c>
      <c r="Z182" s="292"/>
      <c r="AA182" s="292">
        <v>6704</v>
      </c>
      <c r="AB182" s="292">
        <v>7595</v>
      </c>
      <c r="AC182" s="292"/>
      <c r="AD182" s="292"/>
      <c r="AE182" s="298">
        <v>8</v>
      </c>
      <c r="AF182" s="298"/>
      <c r="AG182" s="302" t="str">
        <f t="shared" si="62"/>
        <v>SA-0474-SA-MA-Prod-ST-HZ-HAL</v>
      </c>
      <c r="AH182" s="302" t="str">
        <f t="shared" si="63"/>
        <v>SA-0474-SP-186</v>
      </c>
      <c r="AI182" s="302" t="str">
        <f t="shared" si="64"/>
        <v>SA-0474-MA-ST-Prod</v>
      </c>
      <c r="AJ182" s="292" t="str">
        <f ca="1">IF(P182&gt;0,"RR",IF(O182&gt;0,0,COUNTIF($H$2:H182,H182)-IFERROR(COUNTIF(OFFSET($H$1,0,0,SUMPRODUCT(MAX(($H$2:H182=H182)*ROW($H$2:H182)*($O$2:O182&lt;&gt;""))),1),H182),0)))</f>
        <v>RR</v>
      </c>
      <c r="AK182" s="282">
        <f>IF(ISERROR(VLOOKUP(G182,'Planning and Target Times'!$B$106:$D$110,MATCH(F182,INDEX('Planning and Target Times'!$B$106:$D$110,1,0),0),0)),"",(VLOOKUP(G182,'Planning and Target Times'!$B$106:$D$110,MATCH(F182,INDEX('Planning and Target Times'!$B$106:$D$110,1,0),0),0)))</f>
        <v>740</v>
      </c>
      <c r="AL182" s="282" t="str">
        <f>VLOOKUP(G182,'Planning and Target Times'!$I$2:$J$7,2,0)</f>
        <v>Carbonate</v>
      </c>
      <c r="AM182" s="302"/>
      <c r="AN182" s="302"/>
      <c r="AO182" s="302"/>
      <c r="AP182" s="289">
        <f>VLOOKUP(G182,'Planning and Target Times'!$A$43:$L$47,MATCH(F182&amp;"-"&amp;K182&amp;"-"&amp;L182&amp;"-"&amp;J182,INDEX('Planning and Target Times'!$A$43:$L$47,1,0),0),0)</f>
        <v>20</v>
      </c>
      <c r="AQ182" s="292"/>
      <c r="AR182" s="292"/>
      <c r="AS182" s="292"/>
      <c r="AT182" s="292"/>
      <c r="AU182" s="292"/>
      <c r="AV182" s="292"/>
      <c r="AW182" s="292"/>
      <c r="AX182" s="302"/>
      <c r="AY182" s="302"/>
      <c r="AZ182" s="302"/>
      <c r="BA182" s="292"/>
      <c r="BB182" s="292"/>
      <c r="BC182" s="292"/>
      <c r="BD182" s="292"/>
      <c r="BE182" s="292"/>
      <c r="BF182" s="292"/>
      <c r="BG182" s="292"/>
      <c r="BH182" s="292"/>
      <c r="BI182" s="292"/>
      <c r="BJ182" s="292"/>
      <c r="BK182" s="302">
        <f>COUNT(P$2:P182)</f>
        <v>181</v>
      </c>
      <c r="BL182" s="302">
        <f>SUMPRODUCT(--(YEAR(P$2:P182)=YEAR(P182)))</f>
        <v>32</v>
      </c>
      <c r="BM182" s="302">
        <f t="shared" si="67"/>
        <v>13</v>
      </c>
      <c r="BN182" s="15">
        <f t="shared" si="66"/>
        <v>58.432870370370637</v>
      </c>
      <c r="BO182" s="292"/>
      <c r="BP182" s="292"/>
      <c r="BQ182" s="467"/>
      <c r="BR182" s="467"/>
      <c r="BS182" s="467"/>
      <c r="BT182" s="467"/>
      <c r="BU182" s="467"/>
      <c r="BV182" s="467"/>
      <c r="BW182" s="467" t="s">
        <v>1878</v>
      </c>
      <c r="BX182" s="469"/>
      <c r="BY182" s="472"/>
      <c r="BZ182" s="472"/>
    </row>
    <row r="183" spans="1:78" s="357" customFormat="1" x14ac:dyDescent="0.25">
      <c r="A183" s="420" t="s">
        <v>1398</v>
      </c>
      <c r="B183" s="385" t="s">
        <v>1417</v>
      </c>
      <c r="C183" s="292" t="s">
        <v>1417</v>
      </c>
      <c r="D183" s="529" t="s">
        <v>2183</v>
      </c>
      <c r="E183" s="302"/>
      <c r="F183" s="420" t="str">
        <f t="shared" si="59"/>
        <v>RA</v>
      </c>
      <c r="G183" s="302" t="s">
        <v>22</v>
      </c>
      <c r="H183" s="302" t="s">
        <v>735</v>
      </c>
      <c r="I183" s="420" t="s">
        <v>16</v>
      </c>
      <c r="J183" s="302" t="s">
        <v>298</v>
      </c>
      <c r="K183" s="302" t="s">
        <v>14</v>
      </c>
      <c r="L183" s="302" t="s">
        <v>1410</v>
      </c>
      <c r="M183" s="302"/>
      <c r="N183" s="302"/>
      <c r="O183" s="287">
        <v>42105.75</v>
      </c>
      <c r="P183" s="333">
        <v>42148</v>
      </c>
      <c r="Q183" s="292">
        <f t="shared" si="65"/>
        <v>42.25</v>
      </c>
      <c r="R183" s="334">
        <f>IF(ISERROR(VLOOKUP(G183,'Planning and Target Times'!$L$1:$AJ$6,MATCH(K183&amp;"_"&amp;L183&amp;"_"&amp;J183,INDEX('Planning and Target Times'!$L$1:$AJ$6,1,0),0),0)+5),"",(VLOOKUP(G183,'Planning and Target Times'!$L$1:$AJ$6,MATCH(K183&amp;"_"&amp;L183&amp;"_"&amp;J183,INDEX('Planning and Target Times'!$L$1:$AJ$6,1,0),0),0)+5))</f>
        <v>75</v>
      </c>
      <c r="S183" s="420">
        <f t="shared" si="56"/>
        <v>70</v>
      </c>
      <c r="T183" s="392">
        <f>VLOOKUP(G183,'Planning and Target Times'!$A$7:$G$12,MATCH(K183&amp;"-"&amp;L183&amp;"-"&amp;J183,INDEX('Planning and Target Times'!$A$7:$G$12,1,0),0),0)</f>
        <v>35</v>
      </c>
      <c r="U183" s="302"/>
      <c r="V183" s="292">
        <f t="shared" si="48"/>
        <v>42.25</v>
      </c>
      <c r="W183" s="292">
        <f t="shared" si="55"/>
        <v>0.2999999999992724</v>
      </c>
      <c r="X183" s="290" t="str">
        <f t="shared" si="57"/>
        <v>LB</v>
      </c>
      <c r="Y183" s="292">
        <v>9316</v>
      </c>
      <c r="Z183" s="292">
        <v>6103</v>
      </c>
      <c r="AA183" s="292">
        <v>8436</v>
      </c>
      <c r="AB183" s="292">
        <v>9315.7000000000007</v>
      </c>
      <c r="AC183" s="292"/>
      <c r="AD183" s="292"/>
      <c r="AE183" s="290">
        <v>21</v>
      </c>
      <c r="AF183" s="298"/>
      <c r="AG183" s="302" t="str">
        <f t="shared" si="62"/>
        <v>RA-0568-RA-LB-Prod-NW-HZ-BHI</v>
      </c>
      <c r="AH183" s="302" t="str">
        <f t="shared" si="63"/>
        <v>RA-0568-SP-295</v>
      </c>
      <c r="AI183" s="302" t="str">
        <f t="shared" si="64"/>
        <v>RA-0568-LB-NW-Prod</v>
      </c>
      <c r="AJ183" s="292" t="str">
        <f ca="1">IF(P183&gt;0,"RR",IF(O183&gt;0,0,COUNTIF($H$2:H183,H183)-IFERROR(COUNTIF(OFFSET($H$1,0,0,SUMPRODUCT(MAX(($H$2:H183=H183)*ROW($H$2:H183)*($O$2:O183&lt;&gt;""))),1),H183),0)))</f>
        <v>RR</v>
      </c>
      <c r="AK183" s="282">
        <f>IF(ISERROR(VLOOKUP(G183,'Planning and Target Times'!$B$106:$D$110,MATCH(F183,INDEX('Planning and Target Times'!$B$106:$D$110,1,0),0),0)),"",(VLOOKUP(G183,'Planning and Target Times'!$B$106:$D$110,MATCH(F183,INDEX('Planning and Target Times'!$B$106:$D$110,1,0),0),0)))</f>
        <v>900</v>
      </c>
      <c r="AL183" s="282" t="str">
        <f>VLOOKUP(G183,'Planning and Target Times'!$I$2:$J$7,2,0)</f>
        <v>Sandstone</v>
      </c>
      <c r="AM183" s="302"/>
      <c r="AN183" s="302"/>
      <c r="AO183" s="302"/>
      <c r="AP183" s="289">
        <f>VLOOKUP(G183,'Planning and Target Times'!$A$43:$L$47,MATCH(F183&amp;"-"&amp;K183&amp;"-"&amp;L183&amp;"-"&amp;J183,INDEX('Planning and Target Times'!$A$43:$L$47,1,0),0),0)</f>
        <v>29</v>
      </c>
      <c r="AQ183" s="292"/>
      <c r="AR183" s="292"/>
      <c r="AS183" s="292"/>
      <c r="AT183" s="292"/>
      <c r="AU183" s="292"/>
      <c r="AV183" s="292"/>
      <c r="AW183" s="292"/>
      <c r="AX183" s="302"/>
      <c r="AY183" s="302"/>
      <c r="AZ183" s="302"/>
      <c r="BA183" s="292"/>
      <c r="BB183" s="292"/>
      <c r="BC183" s="292"/>
      <c r="BD183" s="292"/>
      <c r="BE183" s="292"/>
      <c r="BF183" s="292"/>
      <c r="BG183" s="292"/>
      <c r="BH183" s="292"/>
      <c r="BI183" s="292"/>
      <c r="BJ183" s="292"/>
      <c r="BK183" s="302">
        <f>COUNT(P$2:P183)</f>
        <v>182</v>
      </c>
      <c r="BL183" s="302">
        <f>SUMPRODUCT(--(YEAR(P$2:P183)=YEAR(P183)))</f>
        <v>33</v>
      </c>
      <c r="BM183" s="302">
        <f t="shared" si="67"/>
        <v>14</v>
      </c>
      <c r="BN183" s="15">
        <f t="shared" si="66"/>
        <v>57.599537037037308</v>
      </c>
      <c r="BO183" s="292"/>
      <c r="BP183" s="292"/>
      <c r="BQ183" s="467"/>
      <c r="BR183" s="467"/>
      <c r="BS183" s="467"/>
      <c r="BT183" s="467"/>
      <c r="BU183" s="467"/>
      <c r="BV183" s="467"/>
      <c r="BW183" s="467" t="s">
        <v>1878</v>
      </c>
      <c r="BX183" s="469"/>
      <c r="BY183" s="472"/>
      <c r="BZ183" s="472"/>
    </row>
    <row r="184" spans="1:78" s="358" customFormat="1" x14ac:dyDescent="0.25">
      <c r="A184" s="420" t="s">
        <v>748</v>
      </c>
      <c r="B184" s="385" t="s">
        <v>1377</v>
      </c>
      <c r="C184" s="292" t="s">
        <v>1375</v>
      </c>
      <c r="D184" s="529" t="s">
        <v>2184</v>
      </c>
      <c r="E184" s="302"/>
      <c r="F184" s="420" t="str">
        <f t="shared" si="59"/>
        <v>RA</v>
      </c>
      <c r="G184" s="385" t="s">
        <v>17</v>
      </c>
      <c r="H184" s="385" t="s">
        <v>31</v>
      </c>
      <c r="I184" s="420" t="s">
        <v>24</v>
      </c>
      <c r="J184" s="385" t="s">
        <v>34</v>
      </c>
      <c r="K184" s="385" t="s">
        <v>18</v>
      </c>
      <c r="L184" s="385" t="s">
        <v>1410</v>
      </c>
      <c r="M184" s="302"/>
      <c r="N184" s="302">
        <v>1</v>
      </c>
      <c r="O184" s="284">
        <v>42086.708333333336</v>
      </c>
      <c r="P184" s="333">
        <v>42148</v>
      </c>
      <c r="Q184" s="292">
        <f t="shared" si="65"/>
        <v>61.291666666664241</v>
      </c>
      <c r="R184" s="334">
        <f>IF(ISERROR(VLOOKUP(G184,'Planning and Target Times'!$L$1:$AJ$6,MATCH(K184&amp;"_"&amp;L184&amp;"_"&amp;J184,INDEX('Planning and Target Times'!$L$1:$AJ$6,1,0),0),0)+5),"",(VLOOKUP(G184,'Planning and Target Times'!$L$1:$AJ$6,MATCH(K184&amp;"_"&amp;L184&amp;"_"&amp;J184,INDEX('Planning and Target Times'!$L$1:$AJ$6,1,0),0),0)+5))</f>
        <v>54</v>
      </c>
      <c r="S184" s="420">
        <f t="shared" si="56"/>
        <v>49</v>
      </c>
      <c r="T184" s="392">
        <f>VLOOKUP(G184,'Planning and Target Times'!$A$7:$G$12,MATCH(K184&amp;"-"&amp;L184&amp;"-"&amp;J184,INDEX('Planning and Target Times'!$A$7:$G$12,1,0),0),0)</f>
        <v>25</v>
      </c>
      <c r="U184" s="302"/>
      <c r="V184" s="292">
        <f t="shared" si="48"/>
        <v>61.291666666664241</v>
      </c>
      <c r="W184" s="292">
        <f t="shared" si="55"/>
        <v>3726</v>
      </c>
      <c r="X184" s="290" t="str">
        <f t="shared" si="57"/>
        <v>MA</v>
      </c>
      <c r="Y184" s="292">
        <v>12064</v>
      </c>
      <c r="Z184" s="292"/>
      <c r="AA184" s="292"/>
      <c r="AB184" s="292">
        <v>8338</v>
      </c>
      <c r="AC184" s="292">
        <v>8858</v>
      </c>
      <c r="AD184" s="292"/>
      <c r="AE184" s="290">
        <v>10</v>
      </c>
      <c r="AF184" s="298"/>
      <c r="AG184" s="302" t="str">
        <f t="shared" si="62"/>
        <v>RA-0222-RA-MA-Inj-ST-HZ-SLB</v>
      </c>
      <c r="AH184" s="302" t="str">
        <f t="shared" si="63"/>
        <v>RA-0222-SP-159</v>
      </c>
      <c r="AI184" s="302" t="str">
        <f t="shared" si="64"/>
        <v>RA-0222-MA-ST-Inj</v>
      </c>
      <c r="AJ184" s="292" t="str">
        <f ca="1">IF(P184&gt;0,"RR",IF(O184&gt;0,0,COUNTIF($H$2:H184,H184)-IFERROR(COUNTIF(OFFSET($H$1,0,0,SUMPRODUCT(MAX(($H$2:H184=H184)*ROW($H$2:H184)*($O$2:O184&lt;&gt;""))),1),H184),0)))</f>
        <v>RR</v>
      </c>
      <c r="AK184" s="282"/>
      <c r="AL184" s="282" t="str">
        <f>VLOOKUP(G184,'Planning and Target Times'!$I$2:$J$7,2,0)</f>
        <v>Carbonate</v>
      </c>
      <c r="AM184" s="302"/>
      <c r="AN184" s="302"/>
      <c r="AO184" s="302"/>
      <c r="AP184" s="289">
        <f>VLOOKUP(G184,'Planning and Target Times'!$A$43:$L$47,MATCH(F184&amp;"-"&amp;K184&amp;"-"&amp;L184&amp;"-"&amp;J184,INDEX('Planning and Target Times'!$A$43:$L$47,1,0),0),0)</f>
        <v>300</v>
      </c>
      <c r="AQ184" s="292"/>
      <c r="AR184" s="292"/>
      <c r="AS184" s="292"/>
      <c r="AT184" s="292"/>
      <c r="AU184" s="292"/>
      <c r="AV184" s="292"/>
      <c r="AW184" s="292"/>
      <c r="AX184" s="302"/>
      <c r="AY184" s="302"/>
      <c r="AZ184" s="302"/>
      <c r="BA184" s="292"/>
      <c r="BB184" s="292"/>
      <c r="BC184" s="292"/>
      <c r="BD184" s="292"/>
      <c r="BE184" s="292"/>
      <c r="BF184" s="292"/>
      <c r="BG184" s="292"/>
      <c r="BH184" s="292"/>
      <c r="BI184" s="283"/>
      <c r="BJ184" s="292"/>
      <c r="BK184" s="302">
        <f>COUNT(P$2:P184)</f>
        <v>183</v>
      </c>
      <c r="BL184" s="302">
        <f>SUMPRODUCT(--(YEAR(P$2:P184)=YEAR(P184)))</f>
        <v>34</v>
      </c>
      <c r="BM184" s="302">
        <f t="shared" si="67"/>
        <v>15</v>
      </c>
      <c r="BN184" s="15">
        <f t="shared" si="66"/>
        <v>56.854166666666664</v>
      </c>
      <c r="BO184" s="292"/>
      <c r="BP184" s="292"/>
      <c r="BQ184" s="464"/>
      <c r="BR184" s="464"/>
      <c r="BS184" s="464"/>
      <c r="BT184" s="464"/>
      <c r="BU184" s="464"/>
      <c r="BV184" s="464"/>
      <c r="BW184" s="464" t="s">
        <v>1878</v>
      </c>
      <c r="BX184" s="469"/>
      <c r="BY184" s="472"/>
      <c r="BZ184" s="472"/>
    </row>
    <row r="185" spans="1:78" s="359" customFormat="1" x14ac:dyDescent="0.25">
      <c r="A185" s="420" t="s">
        <v>1385</v>
      </c>
      <c r="B185" s="385" t="s">
        <v>1386</v>
      </c>
      <c r="C185" s="292" t="s">
        <v>1386</v>
      </c>
      <c r="D185" s="529" t="s">
        <v>2185</v>
      </c>
      <c r="E185" s="302"/>
      <c r="F185" s="420" t="str">
        <f t="shared" si="59"/>
        <v>SA</v>
      </c>
      <c r="G185" s="385" t="s">
        <v>17</v>
      </c>
      <c r="H185" s="385" t="s">
        <v>512</v>
      </c>
      <c r="I185" s="420" t="s">
        <v>16</v>
      </c>
      <c r="J185" s="385" t="s">
        <v>298</v>
      </c>
      <c r="K185" s="385" t="s">
        <v>14</v>
      </c>
      <c r="L185" s="385" t="s">
        <v>1410</v>
      </c>
      <c r="M185" s="302"/>
      <c r="N185" s="302"/>
      <c r="O185" s="287">
        <v>42092.375</v>
      </c>
      <c r="P185" s="351">
        <v>42148.5</v>
      </c>
      <c r="Q185" s="292">
        <f t="shared" si="65"/>
        <v>56.125</v>
      </c>
      <c r="R185" s="334">
        <f>IF(ISERROR(VLOOKUP(G185,'Planning and Target Times'!$L$1:$AJ$6,MATCH(K185&amp;"_"&amp;L185&amp;"_"&amp;J185,INDEX('Planning and Target Times'!$L$1:$AJ$6,1,0),0),0)+5),"",(VLOOKUP(G185,'Planning and Target Times'!$L$1:$AJ$6,MATCH(K185&amp;"_"&amp;L185&amp;"_"&amp;J185,INDEX('Planning and Target Times'!$L$1:$AJ$6,1,0),0),0)+5))</f>
        <v>75</v>
      </c>
      <c r="S185" s="420">
        <f t="shared" si="56"/>
        <v>70</v>
      </c>
      <c r="T185" s="392">
        <f>VLOOKUP(G185,'Planning and Target Times'!$A$7:$G$12,MATCH(K185&amp;"-"&amp;L185&amp;"-"&amp;J185,INDEX('Planning and Target Times'!$A$7:$G$12,1,0),0),0)</f>
        <v>35</v>
      </c>
      <c r="U185" s="302"/>
      <c r="V185" s="292">
        <f t="shared" si="48"/>
        <v>56.125</v>
      </c>
      <c r="W185" s="292">
        <f t="shared" si="55"/>
        <v>2050</v>
      </c>
      <c r="X185" s="290" t="str">
        <f t="shared" si="57"/>
        <v>MA</v>
      </c>
      <c r="Y185" s="292">
        <v>9909</v>
      </c>
      <c r="Z185" s="292">
        <v>6015</v>
      </c>
      <c r="AA185" s="292">
        <v>7150</v>
      </c>
      <c r="AB185" s="292">
        <v>7859</v>
      </c>
      <c r="AC185" s="292"/>
      <c r="AD185" s="292"/>
      <c r="AE185" s="298">
        <v>10</v>
      </c>
      <c r="AF185" s="298"/>
      <c r="AG185" s="302" t="str">
        <f t="shared" si="62"/>
        <v>SA-0576-SA-MA-Prod-NW-HZ-BHI</v>
      </c>
      <c r="AH185" s="302" t="str">
        <f t="shared" si="63"/>
        <v>SA-0576-NDSC-16</v>
      </c>
      <c r="AI185" s="302" t="str">
        <f t="shared" si="64"/>
        <v>SA-0576-MA-NW-Prod</v>
      </c>
      <c r="AJ185" s="292" t="str">
        <f ca="1">IF(P185&gt;0,"RR",IF(O185&gt;0,0,COUNTIF($H$2:H185,H185)-IFERROR(COUNTIF(OFFSET($H$1,0,0,SUMPRODUCT(MAX(($H$2:H185=H185)*ROW($H$2:H185)*($O$2:O185&lt;&gt;""))),1),H185),0)))</f>
        <v>RR</v>
      </c>
      <c r="AK185" s="282">
        <f>IF(ISERROR(VLOOKUP(G185,'Planning and Target Times'!$B$106:$D$110,MATCH(F185,INDEX('Planning and Target Times'!$B$106:$D$110,1,0),0),0)),"",(VLOOKUP(G185,'Planning and Target Times'!$B$106:$D$110,MATCH(F185,INDEX('Planning and Target Times'!$B$106:$D$110,1,0),0),0)))</f>
        <v>740</v>
      </c>
      <c r="AL185" s="282" t="str">
        <f>VLOOKUP(G185,'Planning and Target Times'!$I$2:$J$7,2,0)</f>
        <v>Carbonate</v>
      </c>
      <c r="AM185" s="302"/>
      <c r="AN185" s="302"/>
      <c r="AO185" s="302"/>
      <c r="AP185" s="289">
        <f>VLOOKUP(G185,'Planning and Target Times'!$A$43:$L$47,MATCH(F185&amp;"-"&amp;K185&amp;"-"&amp;L185&amp;"-"&amp;J185,INDEX('Planning and Target Times'!$A$43:$L$47,1,0),0),0)</f>
        <v>16</v>
      </c>
      <c r="AQ185" s="292"/>
      <c r="AR185" s="292"/>
      <c r="AS185" s="292"/>
      <c r="AT185" s="292"/>
      <c r="AU185" s="292"/>
      <c r="AV185" s="292"/>
      <c r="AW185" s="292"/>
      <c r="AX185" s="302"/>
      <c r="AY185" s="302"/>
      <c r="AZ185" s="302"/>
      <c r="BA185" s="292"/>
      <c r="BB185" s="292"/>
      <c r="BC185" s="292"/>
      <c r="BD185" s="292"/>
      <c r="BE185" s="292"/>
      <c r="BF185" s="292"/>
      <c r="BG185" s="292"/>
      <c r="BH185" s="292"/>
      <c r="BI185" s="292"/>
      <c r="BJ185" s="292"/>
      <c r="BK185" s="302">
        <f>COUNT(P$2:P185)</f>
        <v>184</v>
      </c>
      <c r="BL185" s="302">
        <f>SUMPRODUCT(--(YEAR(P$2:P185)=YEAR(P185)))</f>
        <v>35</v>
      </c>
      <c r="BM185" s="302">
        <f t="shared" si="67"/>
        <v>16</v>
      </c>
      <c r="BN185" s="15">
        <f t="shared" si="66"/>
        <v>57.32175925925953</v>
      </c>
      <c r="BO185" s="292"/>
      <c r="BP185" s="292"/>
      <c r="BQ185" s="467"/>
      <c r="BR185" s="467"/>
      <c r="BS185" s="467"/>
      <c r="BT185" s="467"/>
      <c r="BU185" s="467"/>
      <c r="BV185" s="467"/>
      <c r="BW185" s="467" t="s">
        <v>1878</v>
      </c>
      <c r="BX185" s="469"/>
      <c r="BY185" s="472"/>
      <c r="BZ185" s="472"/>
    </row>
    <row r="186" spans="1:78" s="360" customFormat="1" x14ac:dyDescent="0.25">
      <c r="A186" s="420" t="s">
        <v>1371</v>
      </c>
      <c r="B186" s="385" t="s">
        <v>1370</v>
      </c>
      <c r="C186" s="292" t="s">
        <v>1370</v>
      </c>
      <c r="D186" s="529" t="s">
        <v>2186</v>
      </c>
      <c r="E186" s="302"/>
      <c r="F186" s="420" t="str">
        <f t="shared" si="59"/>
        <v>SA</v>
      </c>
      <c r="G186" s="385" t="s">
        <v>744</v>
      </c>
      <c r="H186" s="385" t="s">
        <v>12</v>
      </c>
      <c r="I186" s="420" t="s">
        <v>24</v>
      </c>
      <c r="J186" s="385" t="s">
        <v>298</v>
      </c>
      <c r="K186" s="385" t="s">
        <v>14</v>
      </c>
      <c r="L186" s="385" t="s">
        <v>1410</v>
      </c>
      <c r="M186" s="302"/>
      <c r="N186" s="302"/>
      <c r="O186" s="284">
        <v>42075.958333333336</v>
      </c>
      <c r="P186" s="351">
        <v>42148.583333333336</v>
      </c>
      <c r="Q186" s="292">
        <f t="shared" si="65"/>
        <v>72.625</v>
      </c>
      <c r="R186" s="334">
        <f>IF(ISERROR(VLOOKUP(G186,'Planning and Target Times'!$L$1:$AJ$6,MATCH(K186&amp;"_"&amp;L186&amp;"_"&amp;J186,INDEX('Planning and Target Times'!$L$1:$AJ$6,1,0),0),0)+5),"",(VLOOKUP(G186,'Planning and Target Times'!$L$1:$AJ$6,MATCH(K186&amp;"_"&amp;L186&amp;"_"&amp;J186,INDEX('Planning and Target Times'!$L$1:$AJ$6,1,0),0),0)+5))</f>
        <v>103</v>
      </c>
      <c r="S186" s="420">
        <f t="shared" si="56"/>
        <v>98</v>
      </c>
      <c r="T186" s="392">
        <f>VLOOKUP(G186,'Planning and Target Times'!$A$7:$G$12,MATCH(K186&amp;"-"&amp;L186&amp;"-"&amp;J186,INDEX('Planning and Target Times'!$A$7:$G$12,1,0),0),0)</f>
        <v>75</v>
      </c>
      <c r="U186" s="302"/>
      <c r="V186" s="292">
        <f t="shared" si="48"/>
        <v>72.625</v>
      </c>
      <c r="W186" s="292">
        <f t="shared" si="55"/>
        <v>0</v>
      </c>
      <c r="X186" s="290" t="str">
        <f t="shared" si="57"/>
        <v>ZU/RT</v>
      </c>
      <c r="Y186" s="292">
        <v>11510</v>
      </c>
      <c r="Z186" s="292">
        <v>5936</v>
      </c>
      <c r="AA186" s="292">
        <v>8980</v>
      </c>
      <c r="AB186" s="292"/>
      <c r="AC186" s="292"/>
      <c r="AD186" s="292"/>
      <c r="AE186" s="298">
        <v>7</v>
      </c>
      <c r="AF186" s="298"/>
      <c r="AG186" s="302" t="str">
        <f t="shared" si="62"/>
        <v>SA-0574-SA-RT-Prod-NW-HZ-SLB</v>
      </c>
      <c r="AH186" s="302" t="str">
        <f t="shared" si="63"/>
        <v>SA-0574-BWD-130</v>
      </c>
      <c r="AI186" s="302" t="str">
        <f t="shared" si="64"/>
        <v>SA-0574-RT-NW-Prod</v>
      </c>
      <c r="AJ186" s="292" t="str">
        <f ca="1">IF(P186&gt;0,"RR",IF(O186&gt;0,0,COUNTIF($H$2:H186,H186)-IFERROR(COUNTIF(OFFSET($H$1,0,0,SUMPRODUCT(MAX(($H$2:H186=H186)*ROW($H$2:H186)*($O$2:O186&lt;&gt;""))),1),H186),0)))</f>
        <v>RR</v>
      </c>
      <c r="AK186" s="282" t="str">
        <f>IF(ISERROR(VLOOKUP(G186,'Planning and Target Times'!$B$106:$D$110,MATCH(F186,INDEX('Planning and Target Times'!$B$106:$D$110,1,0),0),0)),"",(VLOOKUP(G186,'Planning and Target Times'!$B$106:$D$110,MATCH(F186,INDEX('Planning and Target Times'!$B$106:$D$110,1,0),0),0)))</f>
        <v/>
      </c>
      <c r="AL186" s="282" t="str">
        <f>VLOOKUP(G186,'Planning and Target Times'!$I$2:$J$7,2,0)</f>
        <v>Sandstone</v>
      </c>
      <c r="AM186" s="302"/>
      <c r="AN186" s="302"/>
      <c r="AO186" s="302"/>
      <c r="AP186" s="289" t="e">
        <f>VLOOKUP(G186,'Planning and Target Times'!$A$43:$L$47,MATCH(F186&amp;"-"&amp;K186&amp;"-"&amp;L186&amp;"-"&amp;J186,INDEX('Planning and Target Times'!$A$43:$L$47,1,0),0),0)</f>
        <v>#N/A</v>
      </c>
      <c r="AQ186" s="292"/>
      <c r="AR186" s="292"/>
      <c r="AS186" s="292"/>
      <c r="AT186" s="292"/>
      <c r="AU186" s="292"/>
      <c r="AV186" s="292"/>
      <c r="AW186" s="292"/>
      <c r="AX186" s="302"/>
      <c r="AY186" s="302"/>
      <c r="AZ186" s="302"/>
      <c r="BA186" s="292"/>
      <c r="BB186" s="292"/>
      <c r="BC186" s="292"/>
      <c r="BD186" s="292"/>
      <c r="BE186" s="292"/>
      <c r="BF186" s="292"/>
      <c r="BG186" s="292"/>
      <c r="BH186" s="292"/>
      <c r="BI186" s="292"/>
      <c r="BJ186" s="292"/>
      <c r="BK186" s="302">
        <f>COUNT(P$2:P186)</f>
        <v>185</v>
      </c>
      <c r="BL186" s="302">
        <f>SUMPRODUCT(--(YEAR(P$2:P186)=YEAR(P186)))</f>
        <v>36</v>
      </c>
      <c r="BM186" s="302">
        <f t="shared" si="67"/>
        <v>17</v>
      </c>
      <c r="BN186" s="15">
        <f t="shared" si="66"/>
        <v>59.069444444445253</v>
      </c>
      <c r="BO186" s="292"/>
      <c r="BP186" s="292"/>
      <c r="BQ186" s="467"/>
      <c r="BR186" s="467"/>
      <c r="BS186" s="467"/>
      <c r="BT186" s="467"/>
      <c r="BU186" s="467"/>
      <c r="BV186" s="467"/>
      <c r="BW186" s="467" t="s">
        <v>1878</v>
      </c>
      <c r="BX186" s="469"/>
      <c r="BY186" s="472"/>
      <c r="BZ186" s="472"/>
    </row>
    <row r="187" spans="1:78" s="375" customFormat="1" x14ac:dyDescent="0.25">
      <c r="A187" s="420" t="s">
        <v>1389</v>
      </c>
      <c r="B187" s="385" t="s">
        <v>1390</v>
      </c>
      <c r="C187" s="292" t="s">
        <v>1389</v>
      </c>
      <c r="D187" s="529" t="s">
        <v>2187</v>
      </c>
      <c r="E187" s="302"/>
      <c r="F187" s="420" t="str">
        <f t="shared" si="59"/>
        <v>RA</v>
      </c>
      <c r="G187" s="385" t="s">
        <v>29</v>
      </c>
      <c r="H187" s="383" t="s">
        <v>35</v>
      </c>
      <c r="I187" s="420" t="s">
        <v>24</v>
      </c>
      <c r="J187" s="385" t="s">
        <v>298</v>
      </c>
      <c r="K187" s="385" t="s">
        <v>14</v>
      </c>
      <c r="L187" s="302" t="s">
        <v>1410</v>
      </c>
      <c r="M187" s="302"/>
      <c r="N187" s="302"/>
      <c r="O187" s="287">
        <v>42103.645833333336</v>
      </c>
      <c r="P187" s="351">
        <v>42161.708333333336</v>
      </c>
      <c r="Q187" s="292">
        <f t="shared" si="65"/>
        <v>58.0625</v>
      </c>
      <c r="R187" s="334">
        <f>IF(ISERROR(VLOOKUP(G187,'Planning and Target Times'!$L$1:$AJ$6,MATCH(K187&amp;"_"&amp;L187&amp;"_"&amp;J187,INDEX('Planning and Target Times'!$L$1:$AJ$6,1,0),0),0)+5),"",(VLOOKUP(G187,'Planning and Target Times'!$L$1:$AJ$6,MATCH(K187&amp;"_"&amp;L187&amp;"_"&amp;J187,INDEX('Planning and Target Times'!$L$1:$AJ$6,1,0),0),0)+5))</f>
        <v>75</v>
      </c>
      <c r="S187" s="420">
        <f t="shared" si="56"/>
        <v>70</v>
      </c>
      <c r="T187" s="392">
        <f>VLOOKUP(G187,'Planning and Target Times'!$A$7:$G$12,MATCH(K187&amp;"-"&amp;L187&amp;"-"&amp;J187,INDEX('Planning and Target Times'!$A$7:$G$12,1,0),0),0)</f>
        <v>35</v>
      </c>
      <c r="U187" s="302"/>
      <c r="V187" s="292">
        <f t="shared" si="48"/>
        <v>58.0625</v>
      </c>
      <c r="W187" s="292">
        <f t="shared" si="55"/>
        <v>635</v>
      </c>
      <c r="X187" s="290" t="str">
        <f t="shared" si="57"/>
        <v>UB</v>
      </c>
      <c r="Y187" s="292">
        <v>10699</v>
      </c>
      <c r="Z187" s="292">
        <v>6034</v>
      </c>
      <c r="AA187" s="292">
        <v>10066</v>
      </c>
      <c r="AB187" s="292">
        <v>10064</v>
      </c>
      <c r="AC187" s="292"/>
      <c r="AD187" s="292"/>
      <c r="AE187" s="298">
        <v>5</v>
      </c>
      <c r="AF187" s="298"/>
      <c r="AG187" s="302" t="str">
        <f t="shared" si="62"/>
        <v>RA-0566-RA-UB-Prod-NW-HZ-SLB</v>
      </c>
      <c r="AH187" s="302" t="str">
        <f t="shared" si="63"/>
        <v>RA-0566-KDC-26</v>
      </c>
      <c r="AI187" s="302" t="str">
        <f t="shared" si="64"/>
        <v>RA-0566-UB-NW-Prod</v>
      </c>
      <c r="AJ187" s="292" t="str">
        <f ca="1">IF(P187&gt;0,"RR",IF(O187&gt;0,0,COUNTIF($H$2:H187,H187)-IFERROR(COUNTIF(OFFSET($H$1,0,0,SUMPRODUCT(MAX(($H$2:H187=H187)*ROW($H$2:H187)*($O$2:O187&lt;&gt;""))),1),H187),0)))</f>
        <v>RR</v>
      </c>
      <c r="AK187" s="282">
        <f>IF(ISERROR(VLOOKUP(G187,'Planning and Target Times'!$B$106:$D$110,MATCH(F187,INDEX('Planning and Target Times'!$B$106:$D$110,1,0),0),0)),"",(VLOOKUP(G187,'Planning and Target Times'!$B$106:$D$110,MATCH(F187,INDEX('Planning and Target Times'!$B$106:$D$110,1,0),0),0)))</f>
        <v>940</v>
      </c>
      <c r="AL187" s="282" t="str">
        <f>VLOOKUP(G187,'Planning and Target Times'!$I$2:$J$7,2,0)</f>
        <v>Sandstone</v>
      </c>
      <c r="AM187" s="302"/>
      <c r="AN187" s="302"/>
      <c r="AO187" s="302"/>
      <c r="AP187" s="289">
        <f>VLOOKUP(G187,'Planning and Target Times'!$A$43:$L$47,MATCH(F187&amp;"-"&amp;K187&amp;"-"&amp;L187&amp;"-"&amp;J187,INDEX('Planning and Target Times'!$A$43:$L$47,1,0),0),0)</f>
        <v>24</v>
      </c>
      <c r="AQ187" s="292"/>
      <c r="AR187" s="292"/>
      <c r="AS187" s="292"/>
      <c r="AT187" s="292"/>
      <c r="AU187" s="292"/>
      <c r="AV187" s="292"/>
      <c r="AW187" s="292"/>
      <c r="AX187" s="302"/>
      <c r="AY187" s="302"/>
      <c r="AZ187" s="302"/>
      <c r="BA187" s="292"/>
      <c r="BB187" s="292"/>
      <c r="BC187" s="292"/>
      <c r="BD187" s="292"/>
      <c r="BE187" s="292"/>
      <c r="BF187" s="292"/>
      <c r="BG187" s="292"/>
      <c r="BH187" s="292"/>
      <c r="BI187" s="292"/>
      <c r="BJ187" s="292"/>
      <c r="BK187" s="302">
        <f>COUNT(P$2:P187)</f>
        <v>186</v>
      </c>
      <c r="BL187" s="302">
        <f>SUMPRODUCT(--(YEAR(P$2:P187)=YEAR(P187)))</f>
        <v>37</v>
      </c>
      <c r="BM187" s="302">
        <f t="shared" si="67"/>
        <v>18</v>
      </c>
      <c r="BN187" s="15">
        <f t="shared" si="66"/>
        <v>56.247685185185723</v>
      </c>
      <c r="BO187" s="292"/>
      <c r="BP187" s="292"/>
      <c r="BQ187" s="467"/>
      <c r="BR187" s="467"/>
      <c r="BS187" s="467"/>
      <c r="BT187" s="467"/>
      <c r="BU187" s="467"/>
      <c r="BV187" s="467"/>
      <c r="BW187" s="467" t="s">
        <v>1878</v>
      </c>
      <c r="BX187" s="469"/>
      <c r="BY187" s="472"/>
      <c r="BZ187" s="472"/>
    </row>
    <row r="188" spans="1:78" s="407" customFormat="1" x14ac:dyDescent="0.25">
      <c r="A188" s="385" t="s">
        <v>759</v>
      </c>
      <c r="B188" s="385" t="s">
        <v>1630</v>
      </c>
      <c r="C188" s="385" t="s">
        <v>1630</v>
      </c>
      <c r="D188" s="529" t="s">
        <v>2188</v>
      </c>
      <c r="E188" s="385"/>
      <c r="F188" s="420" t="str">
        <f t="shared" si="59"/>
        <v>SA</v>
      </c>
      <c r="G188" s="385" t="s">
        <v>17</v>
      </c>
      <c r="H188" s="389" t="s">
        <v>734</v>
      </c>
      <c r="I188" s="385" t="s">
        <v>20</v>
      </c>
      <c r="J188" s="385" t="s">
        <v>298</v>
      </c>
      <c r="K188" s="385" t="s">
        <v>18</v>
      </c>
      <c r="L188" s="385" t="s">
        <v>1410</v>
      </c>
      <c r="M188" s="401"/>
      <c r="N188" s="385">
        <v>2</v>
      </c>
      <c r="O188" s="365">
        <v>42146.916666666664</v>
      </c>
      <c r="P188" s="351">
        <v>42185.875</v>
      </c>
      <c r="Q188" s="292">
        <f t="shared" si="65"/>
        <v>38.958333333335759</v>
      </c>
      <c r="R188" s="399">
        <f>IF(ISERROR(VLOOKUP(G188,'Planning and Target Times'!$L$1:$AJ$6,MATCH(K188&amp;"_"&amp;L188&amp;"_"&amp;J188,INDEX('Planning and Target Times'!$L$1:$AJ$6,1,0),0),0)+5),"",(VLOOKUP(G188,'Planning and Target Times'!$L$1:$AJ$6,MATCH(K188&amp;"_"&amp;L188&amp;"_"&amp;J188,INDEX('Planning and Target Times'!$L$1:$AJ$6,1,0),0),0)+5))</f>
        <v>61</v>
      </c>
      <c r="S188" s="420">
        <f t="shared" si="56"/>
        <v>56</v>
      </c>
      <c r="T188" s="392">
        <f>VLOOKUP(G188,'Planning and Target Times'!$A$7:$G$12,MATCH(K188&amp;"-"&amp;L188&amp;"-"&amp;J188,INDEX('Planning and Target Times'!$A$7:$G$12,1,0),0),0)</f>
        <v>27</v>
      </c>
      <c r="U188" s="385"/>
      <c r="V188" s="292">
        <f t="shared" si="48"/>
        <v>38.958333333335759</v>
      </c>
      <c r="W188" s="292">
        <f t="shared" ref="W188:W204" si="68">IF(AB188="",0,Y188-AB188)</f>
        <v>2877</v>
      </c>
      <c r="X188" s="386" t="str">
        <f t="shared" si="57"/>
        <v>MA</v>
      </c>
      <c r="Y188" s="385">
        <v>10702</v>
      </c>
      <c r="Z188" s="385"/>
      <c r="AA188" s="385">
        <v>6733</v>
      </c>
      <c r="AB188" s="385">
        <v>7825</v>
      </c>
      <c r="AC188" s="385"/>
      <c r="AD188" s="385"/>
      <c r="AE188" s="385">
        <v>19</v>
      </c>
      <c r="AF188" s="420"/>
      <c r="AG188" s="385" t="str">
        <f t="shared" si="62"/>
        <v>SA-0164-SA-MA-Prod-ST-HZ-HAL</v>
      </c>
      <c r="AH188" s="385" t="str">
        <f t="shared" si="63"/>
        <v>SA-0164-SP-294</v>
      </c>
      <c r="AI188" s="385" t="str">
        <f t="shared" si="64"/>
        <v>SA-0164-MA-ST-Prod</v>
      </c>
      <c r="AJ188" s="385" t="str">
        <f ca="1">IF(P188&gt;0,"RR",IF(O188&gt;0,0,COUNTIF($H$2:H188,H188)-IFERROR(COUNTIF(OFFSET($H$1,0,0,SUMPRODUCT(MAX(($H$2:H188=H188)*ROW($H$2:H188)*($O$2:O188&lt;&gt;""))),1),H188),0)))</f>
        <v>RR</v>
      </c>
      <c r="AK188" s="282">
        <f>IF(ISERROR(VLOOKUP(G188,'Planning and Target Times'!$B$106:$D$110,MATCH(F188,INDEX('Planning and Target Times'!$B$106:$D$110,1,0),0),0)),"",(VLOOKUP(G188,'Planning and Target Times'!$B$106:$D$110,MATCH(F188,INDEX('Planning and Target Times'!$B$106:$D$110,1,0),0),0)))</f>
        <v>740</v>
      </c>
      <c r="AL188" s="420" t="str">
        <f>VLOOKUP(G188,'Planning and Target Times'!$I$2:$J$7,2,0)</f>
        <v>Carbonate</v>
      </c>
      <c r="AM188" s="385"/>
      <c r="AN188" s="385"/>
      <c r="AO188" s="385"/>
      <c r="AP188" s="382">
        <f>VLOOKUP(G188,'Planning and Target Times'!$A$43:$L$47,MATCH(F188&amp;"-"&amp;K188&amp;"-"&amp;L188&amp;"-"&amp;J188,INDEX('Planning and Target Times'!$A$43:$L$47,1,0),0),0)</f>
        <v>20</v>
      </c>
      <c r="AQ188" s="385"/>
      <c r="AR188" s="385"/>
      <c r="AS188" s="385"/>
      <c r="AT188" s="385"/>
      <c r="AU188" s="385"/>
      <c r="AV188" s="385"/>
      <c r="AW188" s="385"/>
      <c r="AX188" s="385"/>
      <c r="AY188" s="385"/>
      <c r="AZ188" s="385"/>
      <c r="BA188" s="385"/>
      <c r="BB188" s="385"/>
      <c r="BC188" s="385"/>
      <c r="BD188" s="385"/>
      <c r="BE188" s="385"/>
      <c r="BF188" s="385"/>
      <c r="BG188" s="385"/>
      <c r="BH188" s="385"/>
      <c r="BI188" s="385"/>
      <c r="BJ188" s="385"/>
      <c r="BK188" s="302">
        <f>COUNT(P$2:P188)</f>
        <v>187</v>
      </c>
      <c r="BL188" s="302">
        <f>SUMPRODUCT(--(YEAR(P$2:P188)=YEAR(P188)))</f>
        <v>38</v>
      </c>
      <c r="BM188" s="302">
        <f t="shared" si="67"/>
        <v>19</v>
      </c>
      <c r="BN188" s="15">
        <f t="shared" si="66"/>
        <v>56.465277777778589</v>
      </c>
      <c r="BO188" s="292"/>
      <c r="BP188" s="292"/>
      <c r="BQ188" s="467"/>
      <c r="BR188" s="467"/>
      <c r="BS188" s="467"/>
      <c r="BT188" s="467"/>
      <c r="BU188" s="467"/>
      <c r="BV188" s="467"/>
      <c r="BW188" s="467" t="s">
        <v>1878</v>
      </c>
      <c r="BX188" s="469"/>
      <c r="BY188" s="472"/>
      <c r="BZ188" s="472"/>
    </row>
    <row r="189" spans="1:78" s="408" customFormat="1" x14ac:dyDescent="0.25">
      <c r="A189" s="385" t="s">
        <v>1374</v>
      </c>
      <c r="B189" s="385" t="s">
        <v>1376</v>
      </c>
      <c r="C189" s="385" t="s">
        <v>1376</v>
      </c>
      <c r="D189" s="529" t="s">
        <v>2189</v>
      </c>
      <c r="E189" s="385"/>
      <c r="F189" s="420" t="str">
        <f t="shared" si="59"/>
        <v>RA</v>
      </c>
      <c r="G189" s="385" t="s">
        <v>17</v>
      </c>
      <c r="H189" s="389" t="s">
        <v>511</v>
      </c>
      <c r="I189" s="385" t="s">
        <v>16</v>
      </c>
      <c r="J189" s="385" t="s">
        <v>298</v>
      </c>
      <c r="K189" s="385" t="s">
        <v>14</v>
      </c>
      <c r="L189" s="385" t="s">
        <v>1410</v>
      </c>
      <c r="M189" s="401"/>
      <c r="N189" s="385">
        <v>1</v>
      </c>
      <c r="O189" s="365">
        <v>42086.333333333336</v>
      </c>
      <c r="P189" s="351">
        <v>42188.458333333336</v>
      </c>
      <c r="Q189" s="292">
        <f t="shared" si="65"/>
        <v>102.125</v>
      </c>
      <c r="R189" s="391">
        <f>IF(ISERROR(VLOOKUP(G189,'Planning and Target Times'!$L$1:$AN$6,MATCH(K189&amp;"_"&amp;L189&amp;"_"&amp;J189,INDEX('Planning and Target Times'!$L$1:$AN$6,1,0),0),0)+5),"",(VLOOKUP(G189,'Planning and Target Times'!$L$1:$AN$6,MATCH(K189&amp;"_"&amp;L189&amp;"_"&amp;J189,INDEX('Planning and Target Times'!$L$1:$AN$6,1,0),0),0)+5))</f>
        <v>75</v>
      </c>
      <c r="S189" s="420">
        <f t="shared" si="56"/>
        <v>70</v>
      </c>
      <c r="T189" s="392">
        <f>VLOOKUP(G189,'Planning and Target Times'!$A$7:$G$12,MATCH(K189&amp;"-"&amp;L189&amp;"-"&amp;J189,INDEX('Planning and Target Times'!$A$7:$G$12,1,0),0),0)</f>
        <v>35</v>
      </c>
      <c r="U189" s="385"/>
      <c r="V189" s="292">
        <f t="shared" si="48"/>
        <v>102.125</v>
      </c>
      <c r="W189" s="292">
        <f t="shared" si="68"/>
        <v>3097</v>
      </c>
      <c r="X189" s="386" t="str">
        <f t="shared" si="57"/>
        <v>MA</v>
      </c>
      <c r="Y189" s="385">
        <v>11440</v>
      </c>
      <c r="Z189" s="385">
        <v>6175</v>
      </c>
      <c r="AA189" s="385">
        <v>7561</v>
      </c>
      <c r="AB189" s="385">
        <v>8343</v>
      </c>
      <c r="AC189" s="385"/>
      <c r="AD189" s="385"/>
      <c r="AE189" s="385">
        <v>11</v>
      </c>
      <c r="AF189" s="420"/>
      <c r="AG189" s="385" t="str">
        <f t="shared" si="62"/>
        <v>RA-0449-RA-MA-Prod-NW-HZ-BHI</v>
      </c>
      <c r="AH189" s="385" t="str">
        <f t="shared" si="63"/>
        <v>RA-0449-NDSC-17</v>
      </c>
      <c r="AI189" s="385" t="str">
        <f t="shared" si="64"/>
        <v>RA-0449-MA-NW-Prod</v>
      </c>
      <c r="AJ189" s="385" t="str">
        <f ca="1">IF(P189&gt;0,"RR",IF(O189&gt;0,0,COUNTIF($H$2:H189,H189)-IFERROR(COUNTIF(OFFSET($H$1,0,0,SUMPRODUCT(MAX(($H$2:H189=H189)*ROW($H$2:H189)*($O$2:O189&lt;&gt;""))),1),H189),0)))</f>
        <v>RR</v>
      </c>
      <c r="AK189" s="282">
        <f>IF(ISERROR(VLOOKUP(G189,'Planning and Target Times'!$B$106:$D$110,MATCH(F189,INDEX('Planning and Target Times'!$B$106:$D$110,1,0),0),0)),"",(VLOOKUP(G189,'Planning and Target Times'!$B$106:$D$110,MATCH(F189,INDEX('Planning and Target Times'!$B$106:$D$110,1,0),0),0)))</f>
        <v>650</v>
      </c>
      <c r="AL189" s="420" t="str">
        <f>VLOOKUP(G189,'Planning and Target Times'!$I$2:$J$7,2,0)</f>
        <v>Carbonate</v>
      </c>
      <c r="AM189" s="385"/>
      <c r="AN189" s="385"/>
      <c r="AO189" s="385"/>
      <c r="AP189" s="382">
        <f>VLOOKUP(G189,'Planning and Target Times'!$A$43:$L$47,MATCH(F189&amp;"-"&amp;K189&amp;"-"&amp;L189&amp;"-"&amp;J189,INDEX('Planning and Target Times'!$A$43:$L$47,1,0),0),0)</f>
        <v>16</v>
      </c>
      <c r="AQ189" s="385"/>
      <c r="AR189" s="385"/>
      <c r="AS189" s="385"/>
      <c r="AT189" s="385"/>
      <c r="AU189" s="385"/>
      <c r="AV189" s="385"/>
      <c r="AW189" s="385"/>
      <c r="AX189" s="385"/>
      <c r="AY189" s="385"/>
      <c r="AZ189" s="385"/>
      <c r="BA189" s="385"/>
      <c r="BB189" s="385"/>
      <c r="BC189" s="385"/>
      <c r="BD189" s="385"/>
      <c r="BE189" s="385"/>
      <c r="BF189" s="385"/>
      <c r="BG189" s="385"/>
      <c r="BH189" s="385"/>
      <c r="BI189" s="385"/>
      <c r="BJ189" s="385"/>
      <c r="BK189" s="302">
        <f>COUNT(P$2:P189)</f>
        <v>188</v>
      </c>
      <c r="BL189" s="302">
        <f>SUMPRODUCT(--(YEAR(P$2:P189)=YEAR(P189)))</f>
        <v>39</v>
      </c>
      <c r="BM189" s="302">
        <f t="shared" si="67"/>
        <v>20</v>
      </c>
      <c r="BN189" s="15">
        <f t="shared" ref="BN189:BN204" si="69">AVERAGE(Q180:Q189)</f>
        <v>61.031250000000725</v>
      </c>
      <c r="BO189" s="292"/>
      <c r="BP189" s="292" t="str">
        <f ca="1">IF(AND(H189="KDC-25",AJ189=0),O189+R189,"")</f>
        <v/>
      </c>
      <c r="BQ189" s="467"/>
      <c r="BR189" s="467"/>
      <c r="BS189" s="467"/>
      <c r="BT189" s="467"/>
      <c r="BU189" s="467"/>
      <c r="BV189" s="467"/>
      <c r="BW189" s="467" t="s">
        <v>1878</v>
      </c>
      <c r="BX189" s="469"/>
      <c r="BY189" s="472"/>
      <c r="BZ189" s="472"/>
    </row>
    <row r="190" spans="1:78" s="411" customFormat="1" x14ac:dyDescent="0.25">
      <c r="A190" s="385" t="s">
        <v>1425</v>
      </c>
      <c r="B190" s="385" t="s">
        <v>1425</v>
      </c>
      <c r="C190" s="385" t="s">
        <v>1580</v>
      </c>
      <c r="D190" s="529" t="s">
        <v>2190</v>
      </c>
      <c r="E190" s="385"/>
      <c r="F190" s="420" t="str">
        <f t="shared" si="59"/>
        <v>RA</v>
      </c>
      <c r="G190" s="385" t="s">
        <v>17</v>
      </c>
      <c r="H190" s="389" t="s">
        <v>23</v>
      </c>
      <c r="I190" s="385" t="s">
        <v>20</v>
      </c>
      <c r="J190" s="385" t="s">
        <v>298</v>
      </c>
      <c r="K190" s="385" t="s">
        <v>14</v>
      </c>
      <c r="L190" s="385" t="s">
        <v>1410</v>
      </c>
      <c r="M190" s="401"/>
      <c r="N190" s="385"/>
      <c r="O190" s="365">
        <v>42128.0625</v>
      </c>
      <c r="P190" s="351">
        <v>42192.083333333336</v>
      </c>
      <c r="Q190" s="292">
        <f t="shared" si="65"/>
        <v>64.020833333335759</v>
      </c>
      <c r="R190" s="391">
        <f>IF(ISERROR(VLOOKUP(G190,'Planning and Target Times'!$L$1:$AM$6,MATCH(K190&amp;"_"&amp;L190&amp;"_"&amp;J190,INDEX('Planning and Target Times'!$L$1:$AM$6,1,0),0),0)+5),"",(VLOOKUP(G190,'Planning and Target Times'!$L$1:$AM$6,MATCH(K190&amp;"_"&amp;L190&amp;"_"&amp;J190,INDEX('Planning and Target Times'!$L$1:$AM$6,1,0),0),0)+5))</f>
        <v>75</v>
      </c>
      <c r="S190" s="420">
        <f t="shared" si="56"/>
        <v>70</v>
      </c>
      <c r="T190" s="392">
        <f>VLOOKUP(G190,'Planning and Target Times'!$A$7:$G$12,MATCH(K190&amp;"-"&amp;L190&amp;"-"&amp;J190,INDEX('Planning and Target Times'!$A$7:$G$12,1,0),0),0)</f>
        <v>35</v>
      </c>
      <c r="U190" s="385"/>
      <c r="V190" s="292">
        <f t="shared" si="48"/>
        <v>64.020833333335759</v>
      </c>
      <c r="W190" s="292">
        <f t="shared" si="68"/>
        <v>3920</v>
      </c>
      <c r="X190" s="386" t="str">
        <f t="shared" si="57"/>
        <v>MA</v>
      </c>
      <c r="Y190" s="385">
        <v>12301</v>
      </c>
      <c r="Z190" s="385">
        <v>5953</v>
      </c>
      <c r="AA190" s="385">
        <v>7366</v>
      </c>
      <c r="AB190" s="385">
        <v>8381</v>
      </c>
      <c r="AC190" s="385"/>
      <c r="AD190" s="385"/>
      <c r="AE190" s="385">
        <v>1</v>
      </c>
      <c r="AF190" s="420"/>
      <c r="AG190" s="385" t="str">
        <f t="shared" si="62"/>
        <v>RA-0567-RA-MA-Prod-NW-HZ-HAL</v>
      </c>
      <c r="AH190" s="385" t="str">
        <f t="shared" si="63"/>
        <v>RA-0567-SP-158</v>
      </c>
      <c r="AI190" s="385" t="str">
        <f t="shared" si="64"/>
        <v>RA-0567-MA-NW-Prod</v>
      </c>
      <c r="AJ190" s="385" t="str">
        <f ca="1">IF(P190&gt;0,"RR",IF(O190&gt;0,0,COUNTIF($H$2:H190,H190)-IFERROR(COUNTIF(OFFSET($H$1,0,0,SUMPRODUCT(MAX(($H$2:H190=H190)*ROW($H$2:H190)*($O$2:O190&lt;&gt;""))),1),H190),0)))</f>
        <v>RR</v>
      </c>
      <c r="AK190" s="282">
        <f>IF(ISERROR(VLOOKUP(G190,'Planning and Target Times'!$B$106:$D$110,MATCH(F190,INDEX('Planning and Target Times'!$B$106:$D$110,1,0),0),0)),"",(VLOOKUP(G190,'Planning and Target Times'!$B$106:$D$110,MATCH(F190,INDEX('Planning and Target Times'!$B$106:$D$110,1,0),0),0)))</f>
        <v>650</v>
      </c>
      <c r="AL190" s="420" t="str">
        <f>VLOOKUP(G190,'Planning and Target Times'!$I$2:$J$7,2,0)</f>
        <v>Carbonate</v>
      </c>
      <c r="AM190" s="385"/>
      <c r="AN190" s="385"/>
      <c r="AO190" s="385"/>
      <c r="AP190" s="382">
        <f>VLOOKUP(G190,'Planning and Target Times'!$A$43:$L$47,MATCH(F190&amp;"-"&amp;K190&amp;"-"&amp;L190&amp;"-"&amp;J190,INDEX('Planning and Target Times'!$A$43:$L$47,1,0),0),0)</f>
        <v>16</v>
      </c>
      <c r="AQ190" s="385"/>
      <c r="AR190" s="385"/>
      <c r="AS190" s="385"/>
      <c r="AT190" s="385"/>
      <c r="AU190" s="385"/>
      <c r="AV190" s="385"/>
      <c r="AW190" s="385"/>
      <c r="AX190" s="385"/>
      <c r="AY190" s="385"/>
      <c r="AZ190" s="385"/>
      <c r="BA190" s="385"/>
      <c r="BB190" s="385"/>
      <c r="BC190" s="385"/>
      <c r="BD190" s="385"/>
      <c r="BE190" s="385"/>
      <c r="BF190" s="385"/>
      <c r="BG190" s="385"/>
      <c r="BH190" s="385"/>
      <c r="BI190" s="385"/>
      <c r="BJ190" s="385"/>
      <c r="BK190" s="302">
        <f>COUNT(P$2:P190)</f>
        <v>189</v>
      </c>
      <c r="BL190" s="302">
        <f>SUMPRODUCT(--(YEAR(P$2:P190)=YEAR(P190)))</f>
        <v>40</v>
      </c>
      <c r="BM190" s="302">
        <f t="shared" si="67"/>
        <v>21</v>
      </c>
      <c r="BN190" s="15">
        <f t="shared" si="69"/>
        <v>57.533333333334305</v>
      </c>
      <c r="BO190" s="292"/>
      <c r="BP190" s="292" t="str">
        <f ca="1">IF(AND(H190="KDC-25",AJ190=0),O190+R190,"")</f>
        <v/>
      </c>
      <c r="BQ190" s="467"/>
      <c r="BR190" s="467"/>
      <c r="BS190" s="467"/>
      <c r="BT190" s="467"/>
      <c r="BU190" s="467"/>
      <c r="BV190" s="467"/>
      <c r="BW190" s="467" t="s">
        <v>1878</v>
      </c>
      <c r="BX190" s="469"/>
      <c r="BY190" s="472"/>
      <c r="BZ190" s="472"/>
    </row>
    <row r="191" spans="1:78" s="411" customFormat="1" x14ac:dyDescent="0.25">
      <c r="A191" s="385" t="s">
        <v>749</v>
      </c>
      <c r="B191" s="385" t="s">
        <v>749</v>
      </c>
      <c r="C191" s="385" t="s">
        <v>1635</v>
      </c>
      <c r="D191" s="529" t="s">
        <v>2191</v>
      </c>
      <c r="E191" s="385"/>
      <c r="F191" s="420" t="str">
        <f t="shared" si="59"/>
        <v>RA</v>
      </c>
      <c r="G191" s="385" t="s">
        <v>17</v>
      </c>
      <c r="H191" s="389" t="s">
        <v>31</v>
      </c>
      <c r="I191" s="385" t="s">
        <v>24</v>
      </c>
      <c r="J191" s="385" t="s">
        <v>34</v>
      </c>
      <c r="K191" s="385" t="s">
        <v>18</v>
      </c>
      <c r="L191" s="385" t="s">
        <v>1410</v>
      </c>
      <c r="M191" s="401"/>
      <c r="N191" s="385"/>
      <c r="O191" s="365">
        <v>42150.270833333336</v>
      </c>
      <c r="P191" s="351">
        <v>42192.25</v>
      </c>
      <c r="Q191" s="292">
        <f t="shared" si="65"/>
        <v>41.979166666664241</v>
      </c>
      <c r="R191" s="391">
        <f>IF(ISERROR(VLOOKUP(G191,'Planning and Target Times'!$L$1:$AM$6,MATCH(K191&amp;"_"&amp;L191&amp;"_"&amp;J191,INDEX('Planning and Target Times'!$L$1:$AM$6,1,0),0),0)+5),"",(VLOOKUP(G191,'Planning and Target Times'!$L$1:$AM$6,MATCH(K191&amp;"_"&amp;L191&amp;"_"&amp;J191,INDEX('Planning and Target Times'!$L$1:$AM$6,1,0),0),0)+5))</f>
        <v>54</v>
      </c>
      <c r="S191" s="420">
        <f t="shared" si="56"/>
        <v>49</v>
      </c>
      <c r="T191" s="392">
        <f>VLOOKUP(G191,'Planning and Target Times'!$A$7:$G$12,MATCH(K191&amp;"-"&amp;L191&amp;"-"&amp;J191,INDEX('Planning and Target Times'!$A$7:$G$12,1,0),0),0)</f>
        <v>25</v>
      </c>
      <c r="U191" s="385"/>
      <c r="V191" s="292">
        <f t="shared" si="48"/>
        <v>41.979166666664241</v>
      </c>
      <c r="W191" s="292">
        <f t="shared" si="68"/>
        <v>4306</v>
      </c>
      <c r="X191" s="386" t="str">
        <f t="shared" si="57"/>
        <v>MA</v>
      </c>
      <c r="Y191" s="385">
        <v>11306</v>
      </c>
      <c r="Z191" s="385"/>
      <c r="AA191" s="385"/>
      <c r="AB191" s="385">
        <v>7000</v>
      </c>
      <c r="AC191" s="385"/>
      <c r="AD191" s="385"/>
      <c r="AE191" s="385">
        <v>1</v>
      </c>
      <c r="AF191" s="420"/>
      <c r="AG191" s="385" t="str">
        <f t="shared" si="62"/>
        <v>RA-0270-RA-MA-Inj-ST-HZ-SLB</v>
      </c>
      <c r="AH191" s="385" t="str">
        <f t="shared" si="63"/>
        <v>RA-0270-SP-159</v>
      </c>
      <c r="AI191" s="385" t="str">
        <f t="shared" si="64"/>
        <v>RA-0270-MA-ST-Inj</v>
      </c>
      <c r="AJ191" s="385" t="str">
        <f ca="1">IF(P191&gt;0,"RR",IF(O191&gt;0,0,COUNTIF($H$2:H191,H191)-IFERROR(COUNTIF(OFFSET($H$1,0,0,SUMPRODUCT(MAX(($H$2:H191=H191)*ROW($H$2:H191)*($O$2:O191&lt;&gt;""))),1),H191),0)))</f>
        <v>RR</v>
      </c>
      <c r="AK191" s="282"/>
      <c r="AL191" s="420" t="str">
        <f>VLOOKUP(G191,'Planning and Target Times'!$I$2:$J$7,2,0)</f>
        <v>Carbonate</v>
      </c>
      <c r="AM191" s="385"/>
      <c r="AN191" s="385"/>
      <c r="AO191" s="385"/>
      <c r="AP191" s="382">
        <f>VLOOKUP(G191,'Planning and Target Times'!$A$43:$L$47,MATCH(F191&amp;"-"&amp;K191&amp;"-"&amp;L191&amp;"-"&amp;J191,INDEX('Planning and Target Times'!$A$43:$L$47,1,0),0),0)</f>
        <v>300</v>
      </c>
      <c r="AQ191" s="385"/>
      <c r="AR191" s="385"/>
      <c r="AS191" s="385"/>
      <c r="AT191" s="385"/>
      <c r="AU191" s="385"/>
      <c r="AV191" s="385"/>
      <c r="AW191" s="385"/>
      <c r="AX191" s="385"/>
      <c r="AY191" s="385"/>
      <c r="AZ191" s="385"/>
      <c r="BA191" s="385"/>
      <c r="BB191" s="385"/>
      <c r="BC191" s="385"/>
      <c r="BD191" s="385"/>
      <c r="BE191" s="385"/>
      <c r="BF191" s="385"/>
      <c r="BG191" s="385"/>
      <c r="BH191" s="385"/>
      <c r="BI191" s="385"/>
      <c r="BJ191" s="385"/>
      <c r="BK191" s="302">
        <f>COUNT(P$2:P191)</f>
        <v>190</v>
      </c>
      <c r="BL191" s="302">
        <f>SUMPRODUCT(--(YEAR(P$2:P191)=YEAR(P191)))</f>
        <v>41</v>
      </c>
      <c r="BM191" s="302">
        <f t="shared" si="67"/>
        <v>22</v>
      </c>
      <c r="BN191" s="15">
        <f t="shared" si="69"/>
        <v>57.385416666667155</v>
      </c>
      <c r="BO191" s="292"/>
      <c r="BP191" s="292" t="str">
        <f ca="1">IF(AND(H191="KDC-25",AJ191=0),O191+R191,"")</f>
        <v/>
      </c>
      <c r="BQ191" s="464"/>
      <c r="BR191" s="464"/>
      <c r="BS191" s="464"/>
      <c r="BT191" s="464"/>
      <c r="BU191" s="464"/>
      <c r="BV191" s="464"/>
      <c r="BW191" s="464" t="s">
        <v>1878</v>
      </c>
      <c r="BX191" s="469"/>
      <c r="BY191" s="472"/>
      <c r="BZ191" s="472"/>
    </row>
    <row r="192" spans="1:78" s="356" customFormat="1" x14ac:dyDescent="0.25">
      <c r="A192" s="385" t="s">
        <v>1349</v>
      </c>
      <c r="B192" s="385" t="s">
        <v>1349</v>
      </c>
      <c r="C192" s="385" t="s">
        <v>1916</v>
      </c>
      <c r="D192" s="529" t="s">
        <v>2192</v>
      </c>
      <c r="E192" s="385"/>
      <c r="F192" s="420" t="str">
        <f t="shared" si="59"/>
        <v>SA</v>
      </c>
      <c r="G192" s="385" t="s">
        <v>29</v>
      </c>
      <c r="H192" s="389" t="s">
        <v>1412</v>
      </c>
      <c r="I192" s="385" t="s">
        <v>20</v>
      </c>
      <c r="J192" s="385" t="s">
        <v>298</v>
      </c>
      <c r="K192" s="385" t="s">
        <v>14</v>
      </c>
      <c r="L192" s="385" t="s">
        <v>1410</v>
      </c>
      <c r="M192" s="401"/>
      <c r="N192" s="385"/>
      <c r="O192" s="365">
        <v>42144.875</v>
      </c>
      <c r="P192" s="351">
        <v>42194.875</v>
      </c>
      <c r="Q192" s="292">
        <f t="shared" si="65"/>
        <v>50</v>
      </c>
      <c r="R192" s="391">
        <f>IF(ISERROR(VLOOKUP(G192,'Planning and Target Times'!$L$1:$AM$6,MATCH(K192&amp;"_"&amp;L192&amp;"_"&amp;J192,INDEX('Planning and Target Times'!$L$1:$AM$6,1,0),0),0)+5),"",(VLOOKUP(G192,'Planning and Target Times'!$L$1:$AM$6,MATCH(K192&amp;"_"&amp;L192&amp;"_"&amp;J192,INDEX('Planning and Target Times'!$L$1:$AM$6,1,0),0),0)+5))</f>
        <v>75</v>
      </c>
      <c r="S192" s="420">
        <f t="shared" si="56"/>
        <v>70</v>
      </c>
      <c r="T192" s="392">
        <f>VLOOKUP(G192,'Planning and Target Times'!$A$7:$G$12,MATCH(K192&amp;"-"&amp;L192&amp;"-"&amp;J192,INDEX('Planning and Target Times'!$A$7:$G$12,1,0),0),0)</f>
        <v>35</v>
      </c>
      <c r="U192" s="385"/>
      <c r="V192" s="292">
        <f t="shared" si="48"/>
        <v>50</v>
      </c>
      <c r="W192" s="292">
        <f t="shared" si="68"/>
        <v>5</v>
      </c>
      <c r="X192" s="386" t="str">
        <f t="shared" si="57"/>
        <v>UB</v>
      </c>
      <c r="Y192" s="385">
        <v>8750</v>
      </c>
      <c r="Z192" s="385"/>
      <c r="AA192" s="385">
        <v>7846</v>
      </c>
      <c r="AB192" s="385">
        <v>8745</v>
      </c>
      <c r="AC192" s="385"/>
      <c r="AD192" s="385"/>
      <c r="AE192" s="385">
        <v>30</v>
      </c>
      <c r="AF192" s="420"/>
      <c r="AG192" s="385" t="str">
        <f t="shared" si="62"/>
        <v>SA-0578-SA-UB-Prod-NW-HZ-HAL</v>
      </c>
      <c r="AH192" s="385" t="str">
        <f t="shared" si="63"/>
        <v>SA-0578-SP-279</v>
      </c>
      <c r="AI192" s="385" t="str">
        <f t="shared" si="64"/>
        <v>SA-0578-UB-NW-Prod</v>
      </c>
      <c r="AJ192" s="385" t="str">
        <f ca="1">IF(P192&gt;0,"RR",IF(O192&gt;0,0,COUNTIF($H$2:H192,H192)-IFERROR(COUNTIF(OFFSET($H$1,0,0,SUMPRODUCT(MAX(($H$2:H192=H192)*ROW($H$2:H192)*($O$2:O192&lt;&gt;""))),1),H192),0)))</f>
        <v>RR</v>
      </c>
      <c r="AK192" s="282">
        <f>IF(ISERROR(VLOOKUP(G192,'Planning and Target Times'!$B$106:$D$110,MATCH(F192,INDEX('Planning and Target Times'!$B$106:$D$110,1,0),0),0)),"",(VLOOKUP(G192,'Planning and Target Times'!$B$106:$D$110,MATCH(F192,INDEX('Planning and Target Times'!$B$106:$D$110,1,0),0),0)))</f>
        <v>630</v>
      </c>
      <c r="AL192" s="420" t="str">
        <f>VLOOKUP(G192,'Planning and Target Times'!$I$2:$J$7,2,0)</f>
        <v>Sandstone</v>
      </c>
      <c r="AM192" s="385"/>
      <c r="AN192" s="385"/>
      <c r="AO192" s="385"/>
      <c r="AP192" s="382">
        <f>VLOOKUP(G192,'Planning and Target Times'!$A$43:$L$47,MATCH(F192&amp;"-"&amp;K192&amp;"-"&amp;L192&amp;"-"&amp;J192,INDEX('Planning and Target Times'!$A$43:$L$47,1,0),0),0)</f>
        <v>20</v>
      </c>
      <c r="AQ192" s="385"/>
      <c r="AR192" s="385"/>
      <c r="AS192" s="385"/>
      <c r="AT192" s="385"/>
      <c r="AU192" s="385"/>
      <c r="AV192" s="385"/>
      <c r="AW192" s="385"/>
      <c r="AX192" s="385"/>
      <c r="AY192" s="385"/>
      <c r="AZ192" s="385"/>
      <c r="BA192" s="385"/>
      <c r="BB192" s="385"/>
      <c r="BC192" s="385"/>
      <c r="BD192" s="385"/>
      <c r="BE192" s="385"/>
      <c r="BF192" s="385"/>
      <c r="BG192" s="385"/>
      <c r="BH192" s="385"/>
      <c r="BI192" s="385"/>
      <c r="BJ192" s="385"/>
      <c r="BK192" s="302">
        <f>COUNT(P$2:P192)</f>
        <v>191</v>
      </c>
      <c r="BL192" s="302">
        <f>SUMPRODUCT(--(YEAR(P$2:P192)=YEAR(P192)))</f>
        <v>42</v>
      </c>
      <c r="BM192" s="302">
        <f t="shared" si="67"/>
        <v>23</v>
      </c>
      <c r="BN192" s="15">
        <f t="shared" si="69"/>
        <v>58.743749999999999</v>
      </c>
      <c r="BO192" s="19"/>
      <c r="BP192" s="74"/>
      <c r="BQ192" s="467"/>
      <c r="BR192" s="467"/>
      <c r="BS192" s="467"/>
      <c r="BT192" s="467"/>
      <c r="BU192" s="467"/>
      <c r="BV192" s="467"/>
      <c r="BW192" s="467" t="s">
        <v>1878</v>
      </c>
      <c r="BX192" s="469"/>
      <c r="BY192" s="472"/>
      <c r="BZ192" s="472"/>
    </row>
    <row r="193" spans="1:78" x14ac:dyDescent="0.25">
      <c r="A193" s="292" t="s">
        <v>1388</v>
      </c>
      <c r="B193" s="281" t="s">
        <v>1388</v>
      </c>
      <c r="C193" s="292" t="s">
        <v>1387</v>
      </c>
      <c r="D193" s="529" t="s">
        <v>2193</v>
      </c>
      <c r="E193" s="281"/>
      <c r="F193" s="281" t="s">
        <v>11</v>
      </c>
      <c r="G193" s="281" t="s">
        <v>22</v>
      </c>
      <c r="H193" s="281" t="s">
        <v>839</v>
      </c>
      <c r="I193" s="281" t="s">
        <v>20</v>
      </c>
      <c r="J193" s="281" t="s">
        <v>298</v>
      </c>
      <c r="K193" s="281" t="s">
        <v>14</v>
      </c>
      <c r="L193" s="281" t="s">
        <v>1410</v>
      </c>
      <c r="M193" s="8"/>
      <c r="N193" s="281">
        <v>2</v>
      </c>
      <c r="O193" s="284">
        <v>42092.916666666664</v>
      </c>
      <c r="P193" s="284">
        <v>42200.25</v>
      </c>
      <c r="Q193" s="292">
        <f t="shared" si="65"/>
        <v>107.33333333333576</v>
      </c>
      <c r="R193" s="391">
        <f>IF(ISERROR(VLOOKUP(G193,'Planning and Target Times'!$L$1:$AM$6,MATCH(K193&amp;"_"&amp;L193&amp;"_"&amp;J193,INDEX('Planning and Target Times'!$L$1:$AM$6,1,0),0),0)+5),"",(VLOOKUP(G193,'Planning and Target Times'!$L$1:$AM$6,MATCH(K193&amp;"_"&amp;L193&amp;"_"&amp;J193,INDEX('Planning and Target Times'!$L$1:$AM$6,1,0),0),0)+5))</f>
        <v>75</v>
      </c>
      <c r="S193" s="292">
        <v>70</v>
      </c>
      <c r="T193" s="292">
        <v>35</v>
      </c>
      <c r="U193" s="292"/>
      <c r="V193" s="292">
        <f t="shared" si="48"/>
        <v>107.33333333333576</v>
      </c>
      <c r="W193" s="292">
        <f t="shared" si="68"/>
        <v>1183</v>
      </c>
      <c r="X193" s="286" t="s">
        <v>22</v>
      </c>
      <c r="Y193" s="292">
        <v>10031</v>
      </c>
      <c r="Z193" s="292">
        <v>5971</v>
      </c>
      <c r="AA193" s="292">
        <v>7985</v>
      </c>
      <c r="AB193" s="292">
        <v>8848</v>
      </c>
      <c r="AC193" s="292"/>
      <c r="AD193" s="292"/>
      <c r="AE193" s="292">
        <v>3</v>
      </c>
      <c r="AF193" s="292"/>
      <c r="AG193" s="292" t="s">
        <v>1717</v>
      </c>
      <c r="AH193" s="292" t="s">
        <v>1718</v>
      </c>
      <c r="AI193" s="292" t="s">
        <v>1719</v>
      </c>
      <c r="AJ193" s="292" t="s">
        <v>1720</v>
      </c>
      <c r="AK193" s="292">
        <v>550</v>
      </c>
      <c r="AL193" s="292" t="s">
        <v>843</v>
      </c>
      <c r="AM193" s="292"/>
      <c r="AN193" s="292"/>
      <c r="AO193" s="292"/>
      <c r="AP193" s="292">
        <v>24</v>
      </c>
      <c r="AQ193" s="281"/>
      <c r="AR193" s="281"/>
      <c r="AS193" s="292"/>
      <c r="AT193" s="292"/>
      <c r="AU193" s="292"/>
      <c r="AV193" s="292"/>
      <c r="AW193" s="292"/>
      <c r="AX193" s="281"/>
      <c r="AY193" s="281"/>
      <c r="AZ193" s="281"/>
      <c r="BA193" s="292"/>
      <c r="BB193" s="292"/>
      <c r="BC193" s="292"/>
      <c r="BD193" s="292"/>
      <c r="BE193" s="292"/>
      <c r="BF193" s="292"/>
      <c r="BG193" s="292"/>
      <c r="BH193" s="292"/>
      <c r="BI193" s="292"/>
      <c r="BJ193" s="292"/>
      <c r="BK193" s="302">
        <f>COUNT(P$2:P193)</f>
        <v>192</v>
      </c>
      <c r="BL193" s="302">
        <f>SUMPRODUCT(--(YEAR(P$2:P193)=YEAR(P193)))</f>
        <v>43</v>
      </c>
      <c r="BM193" s="302">
        <f t="shared" si="67"/>
        <v>24</v>
      </c>
      <c r="BN193" s="15">
        <f t="shared" si="69"/>
        <v>65.252083333333573</v>
      </c>
      <c r="BO193" s="74"/>
      <c r="BP193" s="74"/>
      <c r="BQ193" s="467"/>
      <c r="BR193" s="467"/>
      <c r="BS193" s="467"/>
      <c r="BT193" s="467"/>
      <c r="BU193" s="467"/>
      <c r="BV193" s="467"/>
      <c r="BW193" s="467" t="s">
        <v>1878</v>
      </c>
    </row>
    <row r="194" spans="1:78" s="457" customFormat="1" x14ac:dyDescent="0.25">
      <c r="A194" s="385" t="s">
        <v>1431</v>
      </c>
      <c r="B194" s="385" t="s">
        <v>1431</v>
      </c>
      <c r="C194" s="385" t="s">
        <v>1431</v>
      </c>
      <c r="D194" s="529" t="s">
        <v>2194</v>
      </c>
      <c r="E194" s="385"/>
      <c r="F194" s="420" t="str">
        <f t="shared" ref="F194:F204" si="70">LEFT(B194,2)</f>
        <v>RA</v>
      </c>
      <c r="G194" s="385" t="s">
        <v>22</v>
      </c>
      <c r="H194" s="389" t="s">
        <v>79</v>
      </c>
      <c r="I194" s="385" t="s">
        <v>39</v>
      </c>
      <c r="J194" s="385" t="s">
        <v>298</v>
      </c>
      <c r="K194" s="385" t="s">
        <v>14</v>
      </c>
      <c r="L194" s="385" t="s">
        <v>1416</v>
      </c>
      <c r="M194" s="401"/>
      <c r="N194" s="385"/>
      <c r="O194" s="365">
        <v>42145.291666666664</v>
      </c>
      <c r="P194" s="351">
        <v>42201.75</v>
      </c>
      <c r="Q194" s="292">
        <f t="shared" si="65"/>
        <v>56.458333333335759</v>
      </c>
      <c r="R194" s="391">
        <f>IF(ISERROR(VLOOKUP(G194,'Planning and Target Times'!$L$1:$AN$6,MATCH(K194&amp;"_"&amp;L194&amp;"_"&amp;J194,INDEX('Planning and Target Times'!$L$1:$AN$6,1,0),0),0)+5),"",(VLOOKUP(G194,'Planning and Target Times'!$L$1:$AN$6,MATCH(K194&amp;"_"&amp;L194&amp;"_"&amp;J194,INDEX('Planning and Target Times'!$L$1:$AN$6,1,0),0),0)+5))</f>
        <v>75</v>
      </c>
      <c r="S194" s="420">
        <f t="shared" ref="S194:S204" si="71">IF(ISERROR(R194-5),"",R194-5)</f>
        <v>70</v>
      </c>
      <c r="T194" s="392">
        <f>VLOOKUP(G194,'Planning and Target Times'!$A$7:$G$12,MATCH(K194&amp;"-"&amp;L194&amp;"-"&amp;J194,INDEX('Planning and Target Times'!$A$7:$G$12,1,0),0),0)</f>
        <v>33</v>
      </c>
      <c r="U194" s="385"/>
      <c r="V194" s="292">
        <f t="shared" ref="V194:V204" si="72">Q194+U194</f>
        <v>56.458333333335759</v>
      </c>
      <c r="W194" s="292">
        <f t="shared" si="68"/>
        <v>672</v>
      </c>
      <c r="X194" s="386" t="str">
        <f t="shared" ref="X194:X204" si="73">IF(OR(G194="ZU",G194="RT"),"ZU/RT",G194)</f>
        <v>LB</v>
      </c>
      <c r="Y194" s="385">
        <v>10017</v>
      </c>
      <c r="Z194" s="385">
        <v>6040</v>
      </c>
      <c r="AA194" s="385">
        <v>8270</v>
      </c>
      <c r="AB194" s="385">
        <v>9345</v>
      </c>
      <c r="AC194" s="385"/>
      <c r="AD194" s="385"/>
      <c r="AE194" s="385" t="s">
        <v>91</v>
      </c>
      <c r="AF194" s="420"/>
      <c r="AG194" s="385" t="str">
        <f t="shared" ref="AG194:AG204" si="74">SUBSTITUTE(TRIM(A194&amp;" "&amp;F194&amp;" "&amp;G194&amp;" "&amp;J194&amp;" "&amp;K194&amp;" "&amp;L194&amp;" "&amp;I194)," ","-")</f>
        <v>RA-0576-RA-LB-Prod-NW-SL-WFD</v>
      </c>
      <c r="AH194" s="385" t="str">
        <f t="shared" ref="AH194:AH204" si="75">IF(A194&lt;&gt;"",A194&amp;"-"&amp;H194,"")</f>
        <v>RA-0576-SP-185</v>
      </c>
      <c r="AI194" s="385" t="str">
        <f t="shared" ref="AI194:AI204" si="76">SUBSTITUTE(TRIM(A194&amp;" "&amp;G194&amp;" "&amp;K194&amp;" "&amp;J194)," ","-")</f>
        <v>RA-0576-LB-NW-Prod</v>
      </c>
      <c r="AJ194" s="385" t="str">
        <f ca="1">IF(P194&gt;0,"RR",IF(O194&gt;0,0,COUNTIF($H$2:H194,H194)-IFERROR(COUNTIF(OFFSET($H$1,0,0,SUMPRODUCT(MAX(($H$2:H194=H194)*ROW($H$2:H194)*($O$2:O194&lt;&gt;""))),1),H194),0)))</f>
        <v>RR</v>
      </c>
      <c r="AK194" s="282">
        <f>IF(ISERROR(VLOOKUP(G194,'Planning and Target Times'!$B$106:$D$110,MATCH(F194,INDEX('Planning and Target Times'!$B$106:$D$110,1,0),0),0)),"",(VLOOKUP(G194,'Planning and Target Times'!$B$106:$D$110,MATCH(F194,INDEX('Planning and Target Times'!$B$106:$D$110,1,0),0),0)))</f>
        <v>900</v>
      </c>
      <c r="AL194" s="420" t="str">
        <f>VLOOKUP(G194,'Planning and Target Times'!$I$2:$J$7,2,0)</f>
        <v>Sandstone</v>
      </c>
      <c r="AM194" s="385"/>
      <c r="AN194" s="385"/>
      <c r="AO194" s="385"/>
      <c r="AP194" s="382">
        <f>VLOOKUP(G194,'Planning and Target Times'!$A$43:$L$47,MATCH(F194&amp;"-"&amp;K194&amp;"-"&amp;L194&amp;"-"&amp;J194,INDEX('Planning and Target Times'!$A$43:$L$47,1,0),0),0)</f>
        <v>34</v>
      </c>
      <c r="AQ194" s="385"/>
      <c r="AR194" s="385"/>
      <c r="AS194" s="385"/>
      <c r="AT194" s="385"/>
      <c r="AU194" s="385"/>
      <c r="AV194" s="385"/>
      <c r="AW194" s="385"/>
      <c r="AX194" s="385"/>
      <c r="AY194" s="385"/>
      <c r="AZ194" s="385"/>
      <c r="BA194" s="385"/>
      <c r="BB194" s="385"/>
      <c r="BC194" s="385"/>
      <c r="BD194" s="385"/>
      <c r="BE194" s="385"/>
      <c r="BF194" s="385"/>
      <c r="BG194" s="385"/>
      <c r="BH194" s="385"/>
      <c r="BI194" s="385"/>
      <c r="BJ194" s="385"/>
      <c r="BK194" s="302">
        <f>COUNT(P$2:P194)</f>
        <v>193</v>
      </c>
      <c r="BL194" s="302">
        <f>SUMPRODUCT(--(YEAR(P$2:P194)=YEAR(P194)))</f>
        <v>44</v>
      </c>
      <c r="BM194" s="302">
        <f t="shared" si="67"/>
        <v>25</v>
      </c>
      <c r="BN194" s="15">
        <f t="shared" si="69"/>
        <v>64.768750000000722</v>
      </c>
      <c r="BO194" s="74">
        <f ca="1">IF(ISERROR(IF(INDEX(Rig_Schedule_View!$I$11:$I$262,MATCH(Well_Data_NK_Upcoming!AG206,Rig_Schedule_View!$B$11:$B$262,0))=0,O194,(INDEX(Rig_Schedule_View!$I$11:$I$262,MATCH(Well_Data_NK_Upcoming!AG206,Rig_Schedule_View!$B$11:$B$262,0))))),O194,(IF(INDEX(Rig_Schedule_View!$I$11:$I$262,MATCH(Well_Data_NK_Upcoming!AG206,Rig_Schedule_View!$B$11:$B$262,0))=0,O194,(INDEX(Rig_Schedule_View!$I$11:$I$262,MATCH(Well_Data_NK_Upcoming!AG206,Rig_Schedule_View!$B$11:$B$262,0))))))</f>
        <v>42145.291666666664</v>
      </c>
      <c r="BP194" s="74">
        <f ca="1">IF(ISERROR(IF(INDEX(Rig_Schedule_View!$J$11:$J$262,MATCH(Well_Data_NK_Upcoming!AG206,Rig_Schedule_View!$B$11:$B$262,0))=0,P194,(INDEX(Rig_Schedule_View!$J$11:$J$262,MATCH(Well_Data_NK_Upcoming!AG206,Rig_Schedule_View!$B$11:$B$262,0))))),P194,(IF(INDEX(Rig_Schedule_View!$J$11:$J$262,MATCH(Well_Data_NK_Upcoming!AG206,Rig_Schedule_View!$B$11:$B$262,0))=0,P194,(INDEX(Rig_Schedule_View!$J$11:$J$262,MATCH(Well_Data_NK_Upcoming!AG206,Rig_Schedule_View!$B$11:$B$262,0))))))</f>
        <v>42201.75</v>
      </c>
      <c r="BQ194" s="467"/>
      <c r="BR194" s="467"/>
      <c r="BS194" s="467"/>
      <c r="BT194" s="467"/>
      <c r="BU194" s="467"/>
      <c r="BV194" s="467"/>
      <c r="BW194" s="467" t="s">
        <v>1878</v>
      </c>
      <c r="BX194" s="469"/>
      <c r="BY194" s="472"/>
      <c r="BZ194" s="472"/>
    </row>
    <row r="195" spans="1:78" s="457" customFormat="1" x14ac:dyDescent="0.25">
      <c r="A195" s="385" t="s">
        <v>1429</v>
      </c>
      <c r="B195" s="385" t="s">
        <v>1429</v>
      </c>
      <c r="C195" s="385" t="s">
        <v>1582</v>
      </c>
      <c r="D195" s="529" t="s">
        <v>2195</v>
      </c>
      <c r="E195" s="385"/>
      <c r="F195" s="420" t="str">
        <f t="shared" si="70"/>
        <v>RA</v>
      </c>
      <c r="G195" s="385" t="s">
        <v>17</v>
      </c>
      <c r="H195" s="389" t="s">
        <v>1414</v>
      </c>
      <c r="I195" s="385" t="s">
        <v>16</v>
      </c>
      <c r="J195" s="385" t="s">
        <v>298</v>
      </c>
      <c r="K195" s="385" t="s">
        <v>14</v>
      </c>
      <c r="L195" s="385" t="s">
        <v>1410</v>
      </c>
      <c r="M195" s="401"/>
      <c r="N195" s="385"/>
      <c r="O195" s="365">
        <v>42141.25</v>
      </c>
      <c r="P195" s="351">
        <v>42203.083333333336</v>
      </c>
      <c r="Q195" s="292">
        <f t="shared" si="65"/>
        <v>61.833333333335759</v>
      </c>
      <c r="R195" s="391">
        <f>IF(ISERROR(VLOOKUP(G195,'Planning and Target Times'!$L$1:$AN$6,MATCH(K195&amp;"_"&amp;L195&amp;"_"&amp;J195,INDEX('Planning and Target Times'!$L$1:$AN$6,1,0),0),0)+5),"",(VLOOKUP(G195,'Planning and Target Times'!$L$1:$AN$6,MATCH(K195&amp;"_"&amp;L195&amp;"_"&amp;J195,INDEX('Planning and Target Times'!$L$1:$AN$6,1,0),0),0)+5))</f>
        <v>75</v>
      </c>
      <c r="S195" s="420">
        <f t="shared" si="71"/>
        <v>70</v>
      </c>
      <c r="T195" s="392">
        <f>VLOOKUP(G195,'Planning and Target Times'!$A$7:$G$12,MATCH(K195&amp;"-"&amp;L195&amp;"-"&amp;J195,INDEX('Planning and Target Times'!$A$7:$G$12,1,0),0),0)</f>
        <v>35</v>
      </c>
      <c r="U195" s="385"/>
      <c r="V195" s="292">
        <f t="shared" si="72"/>
        <v>61.833333333335759</v>
      </c>
      <c r="W195" s="292">
        <f t="shared" si="68"/>
        <v>3740</v>
      </c>
      <c r="X195" s="386" t="str">
        <f t="shared" si="73"/>
        <v>MA</v>
      </c>
      <c r="Y195" s="385">
        <v>11978</v>
      </c>
      <c r="Z195" s="385">
        <v>6082</v>
      </c>
      <c r="AA195" s="385">
        <v>7415</v>
      </c>
      <c r="AB195" s="385">
        <v>8238</v>
      </c>
      <c r="AC195" s="385"/>
      <c r="AD195" s="385"/>
      <c r="AE195" s="385">
        <v>4</v>
      </c>
      <c r="AF195" s="420"/>
      <c r="AG195" s="385" t="str">
        <f t="shared" si="74"/>
        <v>RA-0565-RA-MA-Prod-NW-HZ-BHI</v>
      </c>
      <c r="AH195" s="385" t="str">
        <f t="shared" si="75"/>
        <v>RA-0565-SP-283</v>
      </c>
      <c r="AI195" s="385" t="str">
        <f t="shared" si="76"/>
        <v>RA-0565-MA-NW-Prod</v>
      </c>
      <c r="AJ195" s="385" t="str">
        <f ca="1">IF(P195&gt;0,"RR",IF(O195&gt;0,0,COUNTIF($H$2:H195,H195)-IFERROR(COUNTIF(OFFSET($H$1,0,0,SUMPRODUCT(MAX(($H$2:H195=H195)*ROW($H$2:H195)*($O$2:O195&lt;&gt;""))),1),H195),0)))</f>
        <v>RR</v>
      </c>
      <c r="AK195" s="282">
        <f>IF(ISERROR(VLOOKUP(G195,'Planning and Target Times'!$B$106:$D$110,MATCH(F195,INDEX('Planning and Target Times'!$B$106:$D$110,1,0),0),0)),"",(VLOOKUP(G195,'Planning and Target Times'!$B$106:$D$110,MATCH(F195,INDEX('Planning and Target Times'!$B$106:$D$110,1,0),0),0)))</f>
        <v>650</v>
      </c>
      <c r="AL195" s="420" t="str">
        <f>VLOOKUP(G195,'Planning and Target Times'!$I$2:$J$7,2,0)</f>
        <v>Carbonate</v>
      </c>
      <c r="AM195" s="385"/>
      <c r="AN195" s="385"/>
      <c r="AO195" s="385"/>
      <c r="AP195" s="382">
        <f>VLOOKUP(G195,'Planning and Target Times'!$A$43:$L$47,MATCH(F195&amp;"-"&amp;K195&amp;"-"&amp;L195&amp;"-"&amp;J195,INDEX('Planning and Target Times'!$A$43:$L$47,1,0),0),0)</f>
        <v>16</v>
      </c>
      <c r="AQ195" s="385"/>
      <c r="AR195" s="385"/>
      <c r="AS195" s="385"/>
      <c r="AT195" s="385"/>
      <c r="AU195" s="385"/>
      <c r="AV195" s="385"/>
      <c r="AW195" s="385"/>
      <c r="AX195" s="385"/>
      <c r="AY195" s="385"/>
      <c r="AZ195" s="385"/>
      <c r="BA195" s="385"/>
      <c r="BB195" s="385"/>
      <c r="BC195" s="385"/>
      <c r="BD195" s="385"/>
      <c r="BE195" s="385"/>
      <c r="BF195" s="385"/>
      <c r="BG195" s="385"/>
      <c r="BH195" s="385"/>
      <c r="BI195" s="385"/>
      <c r="BJ195" s="385"/>
      <c r="BK195" s="302">
        <f>COUNT(P$2:P195)</f>
        <v>194</v>
      </c>
      <c r="BL195" s="302">
        <f>SUMPRODUCT(--(YEAR(P$2:P195)=YEAR(P195)))</f>
        <v>45</v>
      </c>
      <c r="BM195" s="302">
        <f t="shared" si="67"/>
        <v>26</v>
      </c>
      <c r="BN195" s="15">
        <f t="shared" si="69"/>
        <v>65.339583333334303</v>
      </c>
      <c r="BO195" s="74">
        <f ca="1">IF(ISERROR(IF(INDEX(Rig_Schedule_View!$I$11:$I$262,MATCH(Well_Data_NK_Upcoming!AG190,Rig_Schedule_View!$B$11:$B$262,0))=0,O195,(INDEX(Rig_Schedule_View!$I$11:$I$262,MATCH(Well_Data_NK_Upcoming!AG190,Rig_Schedule_View!$B$11:$B$262,0))))),O195,(IF(INDEX(Rig_Schedule_View!$I$11:$I$262,MATCH(Well_Data_NK_Upcoming!AG190,Rig_Schedule_View!$B$11:$B$262,0))=0,O195,(INDEX(Rig_Schedule_View!$I$11:$I$262,MATCH(Well_Data_NK_Upcoming!AG190,Rig_Schedule_View!$B$11:$B$262,0))))))</f>
        <v>42141.25</v>
      </c>
      <c r="BP195" s="74">
        <f ca="1">IF(ISERROR(IF(INDEX(Rig_Schedule_View!$J$11:$J$262,MATCH(Well_Data_NK_Upcoming!AG190,Rig_Schedule_View!$B$11:$B$262,0))=0,P195,(INDEX(Rig_Schedule_View!$J$11:$J$262,MATCH(Well_Data_NK_Upcoming!AG190,Rig_Schedule_View!$B$11:$B$262,0))))),P195,(IF(INDEX(Rig_Schedule_View!$J$11:$J$262,MATCH(Well_Data_NK_Upcoming!AG190,Rig_Schedule_View!$B$11:$B$262,0))=0,P195,(INDEX(Rig_Schedule_View!$J$11:$J$262,MATCH(Well_Data_NK_Upcoming!AG190,Rig_Schedule_View!$B$11:$B$262,0))))))</f>
        <v>42203.083333333336</v>
      </c>
      <c r="BQ195" s="467"/>
      <c r="BR195" s="467"/>
      <c r="BS195" s="467"/>
      <c r="BT195" s="467"/>
      <c r="BU195" s="467"/>
      <c r="BV195" s="467"/>
      <c r="BW195" s="467" t="s">
        <v>1878</v>
      </c>
      <c r="BX195" s="469"/>
      <c r="BY195" s="472"/>
      <c r="BZ195" s="472"/>
    </row>
    <row r="196" spans="1:78" s="462" customFormat="1" x14ac:dyDescent="0.25">
      <c r="A196" s="385" t="s">
        <v>1440</v>
      </c>
      <c r="B196" s="385" t="s">
        <v>1440</v>
      </c>
      <c r="C196" s="385" t="s">
        <v>1700</v>
      </c>
      <c r="D196" s="529" t="s">
        <v>2196</v>
      </c>
      <c r="E196" s="385"/>
      <c r="F196" s="420" t="str">
        <f t="shared" si="70"/>
        <v>SA</v>
      </c>
      <c r="G196" s="385" t="s">
        <v>22</v>
      </c>
      <c r="H196" s="389" t="s">
        <v>735</v>
      </c>
      <c r="I196" s="385" t="s">
        <v>20</v>
      </c>
      <c r="J196" s="385" t="s">
        <v>298</v>
      </c>
      <c r="K196" s="385" t="s">
        <v>14</v>
      </c>
      <c r="L196" s="385" t="s">
        <v>1410</v>
      </c>
      <c r="M196" s="401"/>
      <c r="N196" s="385"/>
      <c r="O196" s="365">
        <v>42152.395833333336</v>
      </c>
      <c r="P196" s="351">
        <v>42205.5</v>
      </c>
      <c r="Q196" s="292">
        <f t="shared" si="65"/>
        <v>53.104166666664241</v>
      </c>
      <c r="R196" s="391">
        <f>IF(ISERROR(VLOOKUP(G196,'Planning and Target Times'!$L$1:$AN$6,MATCH(K196&amp;"_"&amp;L196&amp;"_"&amp;J196,INDEX('Planning and Target Times'!$L$1:$AN$6,1,0),0),0)+5),"",(VLOOKUP(G196,'Planning and Target Times'!$L$1:$AN$6,MATCH(K196&amp;"_"&amp;L196&amp;"_"&amp;J196,INDEX('Planning and Target Times'!$L$1:$AN$6,1,0),0),0)+5))</f>
        <v>75</v>
      </c>
      <c r="S196" s="420">
        <f t="shared" si="71"/>
        <v>70</v>
      </c>
      <c r="T196" s="392">
        <f>VLOOKUP(G196,'Planning and Target Times'!$A$7:$G$12,MATCH(K196&amp;"-"&amp;L196&amp;"-"&amp;J196,INDEX('Planning and Target Times'!$A$7:$G$12,1,0),0),0)</f>
        <v>35</v>
      </c>
      <c r="U196" s="385"/>
      <c r="V196" s="292">
        <f t="shared" si="72"/>
        <v>53.104166666664241</v>
      </c>
      <c r="W196" s="292">
        <f t="shared" si="68"/>
        <v>1099</v>
      </c>
      <c r="X196" s="386" t="str">
        <f t="shared" si="73"/>
        <v>LB</v>
      </c>
      <c r="Y196" s="292">
        <v>10031</v>
      </c>
      <c r="Z196" s="385">
        <v>5953</v>
      </c>
      <c r="AA196" s="385">
        <v>8016</v>
      </c>
      <c r="AB196" s="385">
        <v>8932</v>
      </c>
      <c r="AC196" s="385"/>
      <c r="AD196" s="385"/>
      <c r="AE196" s="385">
        <v>6</v>
      </c>
      <c r="AF196" s="420"/>
      <c r="AG196" s="385" t="str">
        <f t="shared" si="74"/>
        <v>SA-0588-SA-LB-Prod-NW-HZ-HAL</v>
      </c>
      <c r="AH196" s="385" t="str">
        <f t="shared" si="75"/>
        <v>SA-0588-SP-295</v>
      </c>
      <c r="AI196" s="385" t="str">
        <f t="shared" si="76"/>
        <v>SA-0588-LB-NW-Prod</v>
      </c>
      <c r="AJ196" s="385" t="str">
        <f ca="1">IF(P196&gt;0,"RR",IF(O196&gt;0,0,COUNTIF($H$2:H196,H196)-IFERROR(COUNTIF(OFFSET($H$1,0,0,SUMPRODUCT(MAX(($H$2:H196=H196)*ROW($H$2:H196)*($O$2:O196&lt;&gt;""))),1),H196),0)))</f>
        <v>RR</v>
      </c>
      <c r="AK196" s="282">
        <f>IF(ISERROR(VLOOKUP(G196,'Planning and Target Times'!$B$106:$D$110,MATCH(F196,INDEX('Planning and Target Times'!$B$106:$D$110,1,0),0),0)),"",(VLOOKUP(G196,'Planning and Target Times'!$B$106:$D$110,MATCH(F196,INDEX('Planning and Target Times'!$B$106:$D$110,1,0),0),0)))</f>
        <v>550</v>
      </c>
      <c r="AL196" s="420" t="str">
        <f>VLOOKUP(G196,'Planning and Target Times'!$I$2:$J$7,2,0)</f>
        <v>Sandstone</v>
      </c>
      <c r="AM196" s="385"/>
      <c r="AN196" s="385"/>
      <c r="AO196" s="385"/>
      <c r="AP196" s="382">
        <f t="shared" ref="AP196:AP204" si="77">AK196/R196</f>
        <v>7.333333333333333</v>
      </c>
      <c r="AQ196" s="385"/>
      <c r="AR196" s="385"/>
      <c r="AS196" s="385"/>
      <c r="AT196" s="385"/>
      <c r="AU196" s="385"/>
      <c r="AV196" s="385"/>
      <c r="AW196" s="385"/>
      <c r="AX196" s="385"/>
      <c r="AY196" s="385"/>
      <c r="AZ196" s="385"/>
      <c r="BA196" s="385"/>
      <c r="BB196" s="385"/>
      <c r="BC196" s="385"/>
      <c r="BD196" s="385"/>
      <c r="BE196" s="385"/>
      <c r="BF196" s="385"/>
      <c r="BG196" s="385"/>
      <c r="BH196" s="385"/>
      <c r="BI196" s="385"/>
      <c r="BJ196" s="385"/>
      <c r="BK196" s="302">
        <f>COUNT(P$2:P196)</f>
        <v>195</v>
      </c>
      <c r="BL196" s="302">
        <f>SUMPRODUCT(--(YEAR(P$2:P196)=YEAR(P196)))</f>
        <v>46</v>
      </c>
      <c r="BM196" s="302">
        <f t="shared" si="67"/>
        <v>27</v>
      </c>
      <c r="BN196" s="15">
        <f t="shared" si="69"/>
        <v>63.387500000000728</v>
      </c>
      <c r="BO196" s="74">
        <f ca="1">IF(ISERROR(IF(INDEX(Rig_Schedule_View!$I$11:$I$262,MATCH(Well_Data_NK_Upcoming!AG212,Rig_Schedule_View!$B$11:$B$262,0))=0,O196,(INDEX(Rig_Schedule_View!$I$11:$I$262,MATCH(Well_Data_NK_Upcoming!AG212,Rig_Schedule_View!$B$11:$B$262,0))))),O196,(IF(INDEX(Rig_Schedule_View!$I$11:$I$262,MATCH(Well_Data_NK_Upcoming!AG212,Rig_Schedule_View!$B$11:$B$262,0))=0,O196,(INDEX(Rig_Schedule_View!$I$11:$I$262,MATCH(Well_Data_NK_Upcoming!AG212,Rig_Schedule_View!$B$11:$B$262,0))))))</f>
        <v>42152.395833333336</v>
      </c>
      <c r="BP196" s="74">
        <f ca="1">IF(ISERROR(IF(INDEX(Rig_Schedule_View!$J$11:$J$262,MATCH(Well_Data_NK_Upcoming!AG212,Rig_Schedule_View!$B$11:$B$262,0))=0,P196,(INDEX(Rig_Schedule_View!$J$11:$J$262,MATCH(Well_Data_NK_Upcoming!AG212,Rig_Schedule_View!$B$11:$B$262,0))))),P196,(IF(INDEX(Rig_Schedule_View!$J$11:$J$262,MATCH(Well_Data_NK_Upcoming!AG212,Rig_Schedule_View!$B$11:$B$262,0))=0,P196,(INDEX(Rig_Schedule_View!$J$11:$J$262,MATCH(Well_Data_NK_Upcoming!AG212,Rig_Schedule_View!$B$11:$B$262,0))))))</f>
        <v>42205.5</v>
      </c>
      <c r="BQ196" s="467"/>
      <c r="BR196" s="467"/>
      <c r="BS196" s="467"/>
      <c r="BT196" s="467"/>
      <c r="BU196" s="467"/>
      <c r="BV196" s="467"/>
      <c r="BW196" s="467" t="s">
        <v>1878</v>
      </c>
      <c r="BX196" s="469"/>
      <c r="BY196" s="472"/>
      <c r="BZ196" s="472"/>
    </row>
    <row r="197" spans="1:78" s="462" customFormat="1" x14ac:dyDescent="0.25">
      <c r="A197" s="385" t="s">
        <v>1706</v>
      </c>
      <c r="B197" s="385" t="s">
        <v>1706</v>
      </c>
      <c r="C197" s="385" t="s">
        <v>1703</v>
      </c>
      <c r="D197" s="529" t="s">
        <v>2197</v>
      </c>
      <c r="E197" s="385"/>
      <c r="F197" s="420" t="str">
        <f t="shared" si="70"/>
        <v>RA</v>
      </c>
      <c r="G197" s="385" t="s">
        <v>17</v>
      </c>
      <c r="H197" s="400" t="s">
        <v>35</v>
      </c>
      <c r="I197" s="385" t="s">
        <v>16</v>
      </c>
      <c r="J197" s="385" t="s">
        <v>298</v>
      </c>
      <c r="K197" s="385" t="s">
        <v>14</v>
      </c>
      <c r="L197" s="385" t="s">
        <v>1410</v>
      </c>
      <c r="M197" s="401"/>
      <c r="N197" s="385">
        <v>2</v>
      </c>
      <c r="O197" s="365">
        <v>42164.541666666664</v>
      </c>
      <c r="P197" s="351">
        <v>42206.145833333336</v>
      </c>
      <c r="Q197" s="292">
        <f t="shared" si="65"/>
        <v>41.604166666671517</v>
      </c>
      <c r="R197" s="391">
        <f>IF(ISERROR(VLOOKUP(G197,'Planning and Target Times'!$L$1:$AN$6,MATCH(K197&amp;"_"&amp;L197&amp;"_"&amp;J197,INDEX('Planning and Target Times'!$L$1:$AN$6,1,0),0),0)+5),"",(VLOOKUP(G197,'Planning and Target Times'!$L$1:$AN$6,MATCH(K197&amp;"_"&amp;L197&amp;"_"&amp;J197,INDEX('Planning and Target Times'!$L$1:$AN$6,1,0),0),0)+5))</f>
        <v>75</v>
      </c>
      <c r="S197" s="420">
        <f t="shared" si="71"/>
        <v>70</v>
      </c>
      <c r="T197" s="392">
        <f>VLOOKUP(G197,'Planning and Target Times'!$A$7:$G$12,MATCH(K197&amp;"-"&amp;L197&amp;"-"&amp;J197,INDEX('Planning and Target Times'!$A$7:$G$12,1,0),0),0)</f>
        <v>35</v>
      </c>
      <c r="U197" s="385"/>
      <c r="V197" s="292">
        <f t="shared" si="72"/>
        <v>41.604166666671517</v>
      </c>
      <c r="W197" s="292">
        <f t="shared" si="68"/>
        <v>1597</v>
      </c>
      <c r="X197" s="386" t="str">
        <f t="shared" si="73"/>
        <v>MA</v>
      </c>
      <c r="Y197" s="292">
        <v>9547</v>
      </c>
      <c r="Z197" s="385">
        <v>6093</v>
      </c>
      <c r="AA197" s="385">
        <v>7230</v>
      </c>
      <c r="AB197" s="385">
        <v>7950</v>
      </c>
      <c r="AC197" s="385"/>
      <c r="AD197" s="385"/>
      <c r="AE197" s="385">
        <v>6</v>
      </c>
      <c r="AF197" s="420"/>
      <c r="AG197" s="385" t="str">
        <f t="shared" si="74"/>
        <v>RA-0510-RA-MA-Prod-NW-HZ-BHI</v>
      </c>
      <c r="AH197" s="385" t="str">
        <f t="shared" si="75"/>
        <v>RA-0510-KDC-26</v>
      </c>
      <c r="AI197" s="385" t="str">
        <f t="shared" si="76"/>
        <v>RA-0510-MA-NW-Prod</v>
      </c>
      <c r="AJ197" s="385" t="str">
        <f ca="1">IF(P197&gt;0,"RR",IF(O197&gt;0,0,COUNTIF($H$2:H197,H197)-IFERROR(COUNTIF(OFFSET($H$1,0,0,SUMPRODUCT(MAX(($H$2:H197=H197)*ROW($H$2:H197)*($O$2:O197&lt;&gt;""))),1),H197),0)))</f>
        <v>RR</v>
      </c>
      <c r="AK197" s="282">
        <f>IF(ISERROR(VLOOKUP(G197,'Planning and Target Times'!$B$106:$D$110,MATCH(F197,INDEX('Planning and Target Times'!$B$106:$D$110,1,0),0),0)),"",(VLOOKUP(G197,'Planning and Target Times'!$B$106:$D$110,MATCH(F197,INDEX('Planning and Target Times'!$B$106:$D$110,1,0),0),0)))</f>
        <v>650</v>
      </c>
      <c r="AL197" s="420" t="str">
        <f>VLOOKUP(G197,'Planning and Target Times'!$I$2:$J$7,2,0)</f>
        <v>Carbonate</v>
      </c>
      <c r="AM197" s="385"/>
      <c r="AN197" s="385"/>
      <c r="AO197" s="385"/>
      <c r="AP197" s="382">
        <f t="shared" si="77"/>
        <v>8.6666666666666661</v>
      </c>
      <c r="AQ197" s="385"/>
      <c r="AR197" s="385"/>
      <c r="AS197" s="385"/>
      <c r="AT197" s="385"/>
      <c r="AU197" s="385"/>
      <c r="AV197" s="385"/>
      <c r="AW197" s="385"/>
      <c r="AX197" s="385"/>
      <c r="AY197" s="385"/>
      <c r="AZ197" s="385"/>
      <c r="BA197" s="385"/>
      <c r="BB197" s="385"/>
      <c r="BC197" s="385"/>
      <c r="BD197" s="385"/>
      <c r="BE197" s="385"/>
      <c r="BF197" s="385"/>
      <c r="BG197" s="385"/>
      <c r="BH197" s="385"/>
      <c r="BI197" s="385"/>
      <c r="BJ197" s="385"/>
      <c r="BK197" s="302">
        <f>COUNT(P$2:P197)</f>
        <v>196</v>
      </c>
      <c r="BL197" s="302">
        <f>SUMPRODUCT(--(YEAR(P$2:P197)=YEAR(P197)))</f>
        <v>47</v>
      </c>
      <c r="BM197" s="302">
        <f t="shared" si="67"/>
        <v>28</v>
      </c>
      <c r="BN197" s="15">
        <f t="shared" si="69"/>
        <v>61.741666666667882</v>
      </c>
      <c r="BO197" s="74">
        <f ca="1">IF(ISERROR(IF(INDEX(Rig_Schedule_View!$I$11:$I$262,MATCH(Well_Data_NK_Upcoming!AG195,Rig_Schedule_View!$B$11:$B$262,0))=0,O197,(INDEX(Rig_Schedule_View!$I$11:$I$262,MATCH(Well_Data_NK_Upcoming!AG195,Rig_Schedule_View!$B$11:$B$262,0))))),O197,(IF(INDEX(Rig_Schedule_View!$I$11:$I$262,MATCH(Well_Data_NK_Upcoming!AG195,Rig_Schedule_View!$B$11:$B$262,0))=0,O197,(INDEX(Rig_Schedule_View!$I$11:$I$262,MATCH(Well_Data_NK_Upcoming!AG195,Rig_Schedule_View!$B$11:$B$262,0))))))</f>
        <v>42164.541666666664</v>
      </c>
      <c r="BP197" s="74">
        <f ca="1">IF(ISERROR(IF(INDEX(Rig_Schedule_View!$J$11:$J$262,MATCH(Well_Data_NK_Upcoming!AG195,Rig_Schedule_View!$B$11:$B$262,0))=0,P197,(INDEX(Rig_Schedule_View!$J$11:$J$262,MATCH(Well_Data_NK_Upcoming!AG195,Rig_Schedule_View!$B$11:$B$262,0))))),P197,(IF(INDEX(Rig_Schedule_View!$J$11:$J$262,MATCH(Well_Data_NK_Upcoming!AG195,Rig_Schedule_View!$B$11:$B$262,0))=0,P197,(INDEX(Rig_Schedule_View!$J$11:$J$262,MATCH(Well_Data_NK_Upcoming!AG195,Rig_Schedule_View!$B$11:$B$262,0))))))</f>
        <v>42206.145833333336</v>
      </c>
      <c r="BQ197" s="467"/>
      <c r="BR197" s="467"/>
      <c r="BS197" s="467"/>
      <c r="BT197" s="467"/>
      <c r="BU197" s="467"/>
      <c r="BV197" s="467"/>
      <c r="BW197" s="467" t="s">
        <v>1878</v>
      </c>
      <c r="BX197" s="469"/>
      <c r="BY197" s="472"/>
      <c r="BZ197" s="472"/>
    </row>
    <row r="198" spans="1:78" s="492" customFormat="1" x14ac:dyDescent="0.25">
      <c r="A198" s="385" t="s">
        <v>1400</v>
      </c>
      <c r="B198" s="385" t="s">
        <v>1400</v>
      </c>
      <c r="C198" s="385" t="s">
        <v>1696</v>
      </c>
      <c r="D198" s="529" t="s">
        <v>2198</v>
      </c>
      <c r="E198" s="385"/>
      <c r="F198" s="420" t="str">
        <f t="shared" si="70"/>
        <v>SA</v>
      </c>
      <c r="G198" s="385" t="s">
        <v>17</v>
      </c>
      <c r="H198" s="400" t="s">
        <v>430</v>
      </c>
      <c r="I198" s="385" t="s">
        <v>20</v>
      </c>
      <c r="J198" s="385" t="s">
        <v>298</v>
      </c>
      <c r="K198" s="385" t="s">
        <v>14</v>
      </c>
      <c r="L198" s="385" t="s">
        <v>1410</v>
      </c>
      <c r="M198" s="401"/>
      <c r="N198" s="385"/>
      <c r="O198" s="365">
        <v>42158.75</v>
      </c>
      <c r="P198" s="351">
        <v>42213.875</v>
      </c>
      <c r="Q198" s="292">
        <f t="shared" si="65"/>
        <v>55.125</v>
      </c>
      <c r="R198" s="391">
        <f>IF(ISERROR(VLOOKUP(G198,'Planning and Target Times'!$L$1:$AN$6,MATCH(K198&amp;"_"&amp;L198&amp;"_"&amp;J198,INDEX('Planning and Target Times'!$L$1:$AN$6,1,0),0),0)+5),"",(VLOOKUP(G198,'Planning and Target Times'!$L$1:$AN$6,MATCH(K198&amp;"_"&amp;L198&amp;"_"&amp;J198,INDEX('Planning and Target Times'!$L$1:$AN$6,1,0),0),0)+5))</f>
        <v>75</v>
      </c>
      <c r="S198" s="420">
        <f t="shared" si="71"/>
        <v>70</v>
      </c>
      <c r="T198" s="392">
        <f>VLOOKUP(G198,'Planning and Target Times'!$A$7:$G$12,MATCH(K198&amp;"-"&amp;L198&amp;"-"&amp;J198,INDEX('Planning and Target Times'!$A$7:$G$12,1,0),0),0)</f>
        <v>35</v>
      </c>
      <c r="U198" s="385"/>
      <c r="V198" s="292">
        <f t="shared" si="72"/>
        <v>55.125</v>
      </c>
      <c r="W198" s="292">
        <f t="shared" si="68"/>
        <v>5106</v>
      </c>
      <c r="X198" s="386" t="str">
        <f t="shared" si="73"/>
        <v>MA</v>
      </c>
      <c r="Y198" s="385">
        <v>13175</v>
      </c>
      <c r="Z198" s="385">
        <v>6095</v>
      </c>
      <c r="AA198" s="385">
        <v>7320</v>
      </c>
      <c r="AB198" s="385">
        <v>8069</v>
      </c>
      <c r="AC198" s="385"/>
      <c r="AD198" s="385"/>
      <c r="AE198" s="385">
        <v>6</v>
      </c>
      <c r="AF198" s="420"/>
      <c r="AG198" s="385" t="str">
        <f t="shared" si="74"/>
        <v>SA-0584-SA-MA-Prod-NW-HZ-HAL</v>
      </c>
      <c r="AH198" s="385" t="str">
        <f t="shared" si="75"/>
        <v>SA-0584-KDC-49</v>
      </c>
      <c r="AI198" s="385" t="str">
        <f t="shared" si="76"/>
        <v>SA-0584-MA-NW-Prod</v>
      </c>
      <c r="AJ198" s="385" t="str">
        <f ca="1">IF(P198&gt;0,"RR",IF(O198&gt;0,0,COUNTIF($H$2:H198,H198)-IFERROR(COUNTIF(OFFSET($H$1,0,0,SUMPRODUCT(MAX(($H$2:H198=H198)*ROW($H$2:H198)*($O$2:O198&lt;&gt;""))),1),H198),0)))</f>
        <v>RR</v>
      </c>
      <c r="AK198" s="491">
        <f>IF(ISERROR(VLOOKUP(G198,'Planning and Target Times'!$B$106:$D$110,MATCH(F198,INDEX('Planning and Target Times'!$B$106:$D$110,1,0),0),0)),"",(VLOOKUP(G198,'Planning and Target Times'!$B$106:$D$110,MATCH(F198,INDEX('Planning and Target Times'!$B$106:$D$110,1,0),0),0)))</f>
        <v>740</v>
      </c>
      <c r="AL198" s="420" t="str">
        <f>VLOOKUP(G198,'Planning and Target Times'!$I$2:$J$7,2,0)</f>
        <v>Carbonate</v>
      </c>
      <c r="AM198" s="385"/>
      <c r="AN198" s="385"/>
      <c r="AO198" s="385"/>
      <c r="AP198" s="382">
        <f t="shared" si="77"/>
        <v>9.8666666666666671</v>
      </c>
      <c r="AQ198" s="385"/>
      <c r="AR198" s="385"/>
      <c r="AS198" s="385"/>
      <c r="AT198" s="385"/>
      <c r="AU198" s="385"/>
      <c r="AV198" s="385"/>
      <c r="AW198" s="385"/>
      <c r="AX198" s="385"/>
      <c r="AY198" s="385"/>
      <c r="AZ198" s="385"/>
      <c r="BA198" s="385"/>
      <c r="BB198" s="385"/>
      <c r="BC198" s="385"/>
      <c r="BD198" s="385"/>
      <c r="BE198" s="385"/>
      <c r="BF198" s="385"/>
      <c r="BG198" s="385"/>
      <c r="BH198" s="385"/>
      <c r="BI198" s="385"/>
      <c r="BJ198" s="385"/>
      <c r="BK198" s="467">
        <f>COUNT(P$2:P198)</f>
        <v>197</v>
      </c>
      <c r="BL198" s="467">
        <f>SUMPRODUCT(--(YEAR(P$2:P198)=YEAR(P198)))</f>
        <v>48</v>
      </c>
      <c r="BM198" s="467">
        <f t="shared" si="67"/>
        <v>29</v>
      </c>
      <c r="BN198" s="15">
        <f t="shared" si="69"/>
        <v>63.358333333334301</v>
      </c>
      <c r="BO198" s="415">
        <f ca="1">IF(ISERROR(IF(INDEX(Rig_Schedule_View!$I$11:$I$262,MATCH(Well_Data_NK_Upcoming!AG193,Rig_Schedule_View!$B$11:$B$262,0))=0,O198,(INDEX(Rig_Schedule_View!$I$11:$I$262,MATCH(Well_Data_NK_Upcoming!AG193,Rig_Schedule_View!$B$11:$B$262,0))))),O198,(IF(INDEX(Rig_Schedule_View!$I$11:$I$262,MATCH(Well_Data_NK_Upcoming!AG193,Rig_Schedule_View!$B$11:$B$262,0))=0,O198,(INDEX(Rig_Schedule_View!$I$11:$I$262,MATCH(Well_Data_NK_Upcoming!AG193,Rig_Schedule_View!$B$11:$B$262,0))))))</f>
        <v>42158.75</v>
      </c>
      <c r="BP198" s="415">
        <f ca="1">IF(ISERROR(IF(INDEX(Rig_Schedule_View!$J$11:$J$262,MATCH(Well_Data_NK_Upcoming!AG193,Rig_Schedule_View!$B$11:$B$262,0))=0,P198,(INDEX(Rig_Schedule_View!$J$11:$J$262,MATCH(Well_Data_NK_Upcoming!AG193,Rig_Schedule_View!$B$11:$B$262,0))))),P198,(IF(INDEX(Rig_Schedule_View!$J$11:$J$262,MATCH(Well_Data_NK_Upcoming!AG193,Rig_Schedule_View!$B$11:$B$262,0))=0,P198,(INDEX(Rig_Schedule_View!$J$11:$J$262,MATCH(Well_Data_NK_Upcoming!AG193,Rig_Schedule_View!$B$11:$B$262,0))))))</f>
        <v>42213.875</v>
      </c>
      <c r="BQ198" s="491"/>
    </row>
    <row r="199" spans="1:78" s="492" customFormat="1" x14ac:dyDescent="0.25">
      <c r="A199" s="385" t="s">
        <v>1422</v>
      </c>
      <c r="B199" s="385" t="s">
        <v>1422</v>
      </c>
      <c r="C199" s="385" t="s">
        <v>1699</v>
      </c>
      <c r="D199" s="529" t="s">
        <v>2199</v>
      </c>
      <c r="E199" s="385"/>
      <c r="F199" s="420" t="str">
        <f t="shared" si="70"/>
        <v>SA</v>
      </c>
      <c r="G199" s="385" t="s">
        <v>17</v>
      </c>
      <c r="H199" s="389" t="s">
        <v>513</v>
      </c>
      <c r="I199" s="385" t="s">
        <v>16</v>
      </c>
      <c r="J199" s="385" t="s">
        <v>34</v>
      </c>
      <c r="K199" s="385" t="s">
        <v>14</v>
      </c>
      <c r="L199" s="385" t="s">
        <v>1410</v>
      </c>
      <c r="M199" s="401"/>
      <c r="N199" s="385"/>
      <c r="O199" s="365">
        <v>42146.666666666664</v>
      </c>
      <c r="P199" s="351">
        <v>42214.083333333336</v>
      </c>
      <c r="Q199" s="292">
        <f t="shared" si="65"/>
        <v>67.416666666671517</v>
      </c>
      <c r="R199" s="391">
        <f>IF(ISERROR(VLOOKUP(G199,'Planning and Target Times'!$L$1:$AN$6,MATCH(K199&amp;"_"&amp;L199&amp;"_"&amp;J199,INDEX('Planning and Target Times'!$L$1:$AN$6,1,0),0),0)+5),"",(VLOOKUP(G199,'Planning and Target Times'!$L$1:$AN$6,MATCH(K199&amp;"_"&amp;L199&amp;"_"&amp;J199,INDEX('Planning and Target Times'!$L$1:$AN$6,1,0),0),0)+5))</f>
        <v>68</v>
      </c>
      <c r="S199" s="420">
        <f t="shared" si="71"/>
        <v>63</v>
      </c>
      <c r="T199" s="392">
        <f>VLOOKUP(G199,'Planning and Target Times'!$A$7:$G$12,MATCH(K199&amp;"-"&amp;L199&amp;"-"&amp;J199,INDEX('Planning and Target Times'!$A$7:$G$12,1,0),0),0)</f>
        <v>35</v>
      </c>
      <c r="U199" s="385"/>
      <c r="V199" s="292">
        <f t="shared" si="72"/>
        <v>67.416666666671517</v>
      </c>
      <c r="W199" s="292">
        <f t="shared" si="68"/>
        <v>4941</v>
      </c>
      <c r="X199" s="386" t="str">
        <f t="shared" si="73"/>
        <v>MA</v>
      </c>
      <c r="Y199" s="385">
        <v>13330</v>
      </c>
      <c r="Z199" s="385">
        <v>6103</v>
      </c>
      <c r="AA199" s="385">
        <v>7402</v>
      </c>
      <c r="AB199" s="385">
        <v>8389</v>
      </c>
      <c r="AC199" s="385"/>
      <c r="AD199" s="385"/>
      <c r="AE199" s="385">
        <v>4</v>
      </c>
      <c r="AF199" s="420"/>
      <c r="AG199" s="385" t="str">
        <f t="shared" si="74"/>
        <v>SA-0585-SA-MA-Inj-NW-HZ-BHI</v>
      </c>
      <c r="AH199" s="385" t="str">
        <f t="shared" si="75"/>
        <v>SA-0585-NDSC-15</v>
      </c>
      <c r="AI199" s="385" t="str">
        <f t="shared" si="76"/>
        <v>SA-0585-MA-NW-Inj</v>
      </c>
      <c r="AJ199" s="385" t="str">
        <f ca="1">IF(P199&gt;0,"RR",IF(O199&gt;0,0,COUNTIF($H$2:H199,H199)-IFERROR(COUNTIF(OFFSET($H$1,0,0,SUMPRODUCT(MAX(($H$2:H199=H199)*ROW($H$2:H199)*($O$2:O199&lt;&gt;""))),1),H199),0)))</f>
        <v>RR</v>
      </c>
      <c r="AK199" s="491">
        <f>IF(ISERROR(VLOOKUP(G199,'Planning and Target Times'!$B$106:$D$110,MATCH(F199,INDEX('Planning and Target Times'!$B$106:$D$110,1,0),0),0)),"",(VLOOKUP(G199,'Planning and Target Times'!$B$106:$D$110,MATCH(F199,INDEX('Planning and Target Times'!$B$106:$D$110,1,0),0),0)))</f>
        <v>740</v>
      </c>
      <c r="AL199" s="420" t="str">
        <f>VLOOKUP(G199,'Planning and Target Times'!$I$2:$J$7,2,0)</f>
        <v>Carbonate</v>
      </c>
      <c r="AM199" s="385"/>
      <c r="AN199" s="385"/>
      <c r="AO199" s="385"/>
      <c r="AP199" s="382">
        <f t="shared" si="77"/>
        <v>10.882352941176471</v>
      </c>
      <c r="AQ199" s="385"/>
      <c r="AR199" s="385"/>
      <c r="AS199" s="385"/>
      <c r="AT199" s="385"/>
      <c r="AU199" s="385"/>
      <c r="AV199" s="385"/>
      <c r="AW199" s="385"/>
      <c r="AX199" s="385"/>
      <c r="AY199" s="385"/>
      <c r="AZ199" s="385"/>
      <c r="BA199" s="385"/>
      <c r="BB199" s="385"/>
      <c r="BC199" s="385"/>
      <c r="BD199" s="385"/>
      <c r="BE199" s="385"/>
      <c r="BF199" s="385"/>
      <c r="BG199" s="385"/>
      <c r="BH199" s="385"/>
      <c r="BI199" s="385"/>
      <c r="BJ199" s="385"/>
      <c r="BK199" s="467">
        <f>COUNT(P$2:P199)</f>
        <v>198</v>
      </c>
      <c r="BL199" s="467">
        <f>SUMPRODUCT(--(YEAR(P$2:P199)=YEAR(P199)))</f>
        <v>49</v>
      </c>
      <c r="BM199" s="467">
        <f t="shared" si="67"/>
        <v>30</v>
      </c>
      <c r="BN199" s="15">
        <f t="shared" si="69"/>
        <v>59.887500000001452</v>
      </c>
      <c r="BO199" s="415">
        <f ca="1">IF(ISERROR(IF(INDEX(Rig_Schedule_View!$I$11:$I$262,MATCH(Well_Data_NK_Upcoming!AG194,Rig_Schedule_View!$B$11:$B$262,0))=0,O199,(INDEX(Rig_Schedule_View!$I$11:$I$262,MATCH(Well_Data_NK_Upcoming!AG194,Rig_Schedule_View!$B$11:$B$262,0))))),O199,(IF(INDEX(Rig_Schedule_View!$I$11:$I$262,MATCH(Well_Data_NK_Upcoming!AG194,Rig_Schedule_View!$B$11:$B$262,0))=0,O199,(INDEX(Rig_Schedule_View!$I$11:$I$262,MATCH(Well_Data_NK_Upcoming!AG194,Rig_Schedule_View!$B$11:$B$262,0))))))</f>
        <v>42146.666666666664</v>
      </c>
      <c r="BP199" s="415">
        <f ca="1">IF(ISERROR(IF(INDEX(Rig_Schedule_View!$J$11:$J$262,MATCH(Well_Data_NK_Upcoming!AG194,Rig_Schedule_View!$B$11:$B$262,0))=0,P199,(INDEX(Rig_Schedule_View!$J$11:$J$262,MATCH(Well_Data_NK_Upcoming!AG194,Rig_Schedule_View!$B$11:$B$262,0))))),P199,(IF(INDEX(Rig_Schedule_View!$J$11:$J$262,MATCH(Well_Data_NK_Upcoming!AG194,Rig_Schedule_View!$B$11:$B$262,0))=0,P199,(INDEX(Rig_Schedule_View!$J$11:$J$262,MATCH(Well_Data_NK_Upcoming!AG194,Rig_Schedule_View!$B$11:$B$262,0))))))</f>
        <v>42214.083333333336</v>
      </c>
      <c r="BQ199" s="491"/>
    </row>
    <row r="200" spans="1:78" s="497" customFormat="1" x14ac:dyDescent="0.25">
      <c r="A200" s="385" t="s">
        <v>1423</v>
      </c>
      <c r="B200" s="385" t="s">
        <v>1423</v>
      </c>
      <c r="C200" s="385" t="s">
        <v>1423</v>
      </c>
      <c r="D200" s="529" t="s">
        <v>2200</v>
      </c>
      <c r="E200" s="385"/>
      <c r="F200" s="420" t="str">
        <f t="shared" si="70"/>
        <v>RA</v>
      </c>
      <c r="G200" s="385" t="s">
        <v>44</v>
      </c>
      <c r="H200" s="389" t="s">
        <v>512</v>
      </c>
      <c r="I200" s="385" t="s">
        <v>16</v>
      </c>
      <c r="J200" s="385" t="s">
        <v>298</v>
      </c>
      <c r="K200" s="385" t="s">
        <v>14</v>
      </c>
      <c r="L200" s="385" t="s">
        <v>1410</v>
      </c>
      <c r="M200" s="401"/>
      <c r="N200" s="385"/>
      <c r="O200" s="365">
        <v>42154</v>
      </c>
      <c r="P200" s="351">
        <v>42215.854166666664</v>
      </c>
      <c r="Q200" s="292">
        <f t="shared" si="65"/>
        <v>61.854166666664241</v>
      </c>
      <c r="R200" s="391">
        <f>IF(ISERROR(VLOOKUP(G200,'Planning and Target Times'!$L$1:$AP$6,MATCH(K200&amp;"_"&amp;L200&amp;"_"&amp;J200,INDEX('Planning and Target Times'!$L$1:$AP$6,1,0),0),0)+5),"",(VLOOKUP(G200,'Planning and Target Times'!$L$1:$AP$6,MATCH(K200&amp;"_"&amp;L200&amp;"_"&amp;J200,INDEX('Planning and Target Times'!$L$1:$AP$6,1,0),0),0)+5))</f>
        <v>103</v>
      </c>
      <c r="S200" s="420">
        <f t="shared" si="71"/>
        <v>98</v>
      </c>
      <c r="T200" s="392">
        <f>VLOOKUP(G200,'Planning and Target Times'!$A$7:$G$12,MATCH(K200&amp;"-"&amp;L200&amp;"-"&amp;J200,INDEX('Planning and Target Times'!$A$7:$G$12,1,0),0),0)</f>
        <v>75</v>
      </c>
      <c r="U200" s="385"/>
      <c r="V200" s="292">
        <f t="shared" si="72"/>
        <v>61.854166666664241</v>
      </c>
      <c r="W200" s="292">
        <f t="shared" si="68"/>
        <v>0</v>
      </c>
      <c r="X200" s="386" t="str">
        <f t="shared" si="73"/>
        <v>ZU/RT</v>
      </c>
      <c r="Y200" s="385">
        <v>10570</v>
      </c>
      <c r="Z200" s="385">
        <v>5930</v>
      </c>
      <c r="AA200" s="385">
        <v>9181</v>
      </c>
      <c r="AB200" s="385"/>
      <c r="AC200" s="385"/>
      <c r="AD200" s="385"/>
      <c r="AE200" s="385">
        <v>2</v>
      </c>
      <c r="AF200" s="420"/>
      <c r="AG200" s="385" t="str">
        <f t="shared" si="74"/>
        <v>RA-0570-RA-ZU-Prod-NW-HZ-BHI</v>
      </c>
      <c r="AH200" s="385" t="str">
        <f t="shared" si="75"/>
        <v>RA-0570-NDSC-16</v>
      </c>
      <c r="AI200" s="385" t="str">
        <f t="shared" si="76"/>
        <v>RA-0570-ZU-NW-Prod</v>
      </c>
      <c r="AJ200" s="385" t="str">
        <f ca="1">IF(P200&gt;0,"RR",IF(O200&gt;0,0,COUNTIF($H$2:H200,H200)-IFERROR(COUNTIF(OFFSET($H$1,0,0,SUMPRODUCT(MAX(($H$2:H200=H200)*ROW($H$2:H200)*($O$2:O200&lt;&gt;""))),1),H200),0)))</f>
        <v>RR</v>
      </c>
      <c r="AK200" s="282">
        <f>IF(ISERROR(VLOOKUP(G200,'Planning and Target Times'!$B$106:$D$110,MATCH(F200,INDEX('Planning and Target Times'!$B$106:$D$110,1,0),0),0)),"",(VLOOKUP(G200,'Planning and Target Times'!$B$106:$D$110,MATCH(F200,INDEX('Planning and Target Times'!$B$106:$D$110,1,0),0),0)))</f>
        <v>1560</v>
      </c>
      <c r="AL200" s="420" t="str">
        <f>VLOOKUP(G200,'Planning and Target Times'!$I$2:$J$7,2,0)</f>
        <v>Sandstone</v>
      </c>
      <c r="AM200" s="385"/>
      <c r="AN200" s="385"/>
      <c r="AO200" s="385"/>
      <c r="AP200" s="382">
        <f t="shared" si="77"/>
        <v>15.145631067961165</v>
      </c>
      <c r="AQ200" s="385"/>
      <c r="AR200" s="385"/>
      <c r="AS200" s="385"/>
      <c r="AT200" s="385"/>
      <c r="AU200" s="385"/>
      <c r="AV200" s="385"/>
      <c r="AW200" s="385"/>
      <c r="AX200" s="385"/>
      <c r="AY200" s="385"/>
      <c r="AZ200" s="385"/>
      <c r="BA200" s="385"/>
      <c r="BB200" s="385"/>
      <c r="BC200" s="385"/>
      <c r="BD200" s="385"/>
      <c r="BE200" s="385"/>
      <c r="BF200" s="385"/>
      <c r="BG200" s="385"/>
      <c r="BH200" s="385"/>
      <c r="BI200" s="385"/>
      <c r="BJ200" s="385"/>
      <c r="BK200" s="467">
        <f>COUNT(P$2:P200)</f>
        <v>199</v>
      </c>
      <c r="BL200" s="467">
        <f>SUMPRODUCT(--(YEAR(P$2:P200)=YEAR(P200)))</f>
        <v>50</v>
      </c>
      <c r="BM200" s="467">
        <f t="shared" si="67"/>
        <v>31</v>
      </c>
      <c r="BN200" s="15">
        <f t="shared" si="69"/>
        <v>59.670833333334301</v>
      </c>
      <c r="BO200" s="74">
        <f ca="1">IF(ISERROR(IF(INDEX(Rig_Schedule_View!$I$11:$I$262,MATCH(Well_Data_NK_Upcoming!AG200,Rig_Schedule_View!$B$11:$B$262,0))=0,O200,(INDEX(Rig_Schedule_View!$I$11:$I$262,MATCH(Well_Data_NK_Upcoming!AG200,Rig_Schedule_View!$B$11:$B$262,0))))),O200,(IF(INDEX(Rig_Schedule_View!$I$11:$I$262,MATCH(Well_Data_NK_Upcoming!AG200,Rig_Schedule_View!$B$11:$B$262,0))=0,O200,(INDEX(Rig_Schedule_View!$I$11:$I$262,MATCH(Well_Data_NK_Upcoming!AG200,Rig_Schedule_View!$B$11:$B$262,0))))))</f>
        <v>42154</v>
      </c>
      <c r="BP200" s="74">
        <f ca="1">IF(ISERROR(IF(INDEX(Rig_Schedule_View!$J$11:$J$262,MATCH(Well_Data_NK_Upcoming!AG200,Rig_Schedule_View!$B$11:$B$262,0))=0,P200,(INDEX(Rig_Schedule_View!$J$11:$J$262,MATCH(Well_Data_NK_Upcoming!AG200,Rig_Schedule_View!$B$11:$B$262,0))))),P200,(IF(INDEX(Rig_Schedule_View!$J$11:$J$262,MATCH(Well_Data_NK_Upcoming!AG200,Rig_Schedule_View!$B$11:$B$262,0))=0,P200,(INDEX(Rig_Schedule_View!$J$11:$J$262,MATCH(Well_Data_NK_Upcoming!AG200,Rig_Schedule_View!$B$11:$B$262,0))))))</f>
        <v>42215.854166666664</v>
      </c>
      <c r="BQ200" s="282"/>
      <c r="BR200" s="292"/>
      <c r="BS200" s="292"/>
      <c r="BT200" s="292"/>
      <c r="BU200" s="292"/>
      <c r="BV200" s="292"/>
      <c r="BW200" s="292"/>
    </row>
    <row r="201" spans="1:78" s="497" customFormat="1" x14ac:dyDescent="0.25">
      <c r="A201" s="385" t="s">
        <v>1418</v>
      </c>
      <c r="B201" s="385" t="s">
        <v>1418</v>
      </c>
      <c r="C201" s="385" t="s">
        <v>1693</v>
      </c>
      <c r="D201" s="529" t="s">
        <v>2201</v>
      </c>
      <c r="E201" s="385"/>
      <c r="F201" s="420" t="str">
        <f t="shared" si="70"/>
        <v>RA</v>
      </c>
      <c r="G201" s="385" t="s">
        <v>17</v>
      </c>
      <c r="H201" s="400" t="s">
        <v>12</v>
      </c>
      <c r="I201" s="385" t="s">
        <v>20</v>
      </c>
      <c r="J201" s="385" t="s">
        <v>298</v>
      </c>
      <c r="K201" s="385" t="s">
        <v>14</v>
      </c>
      <c r="L201" s="385" t="s">
        <v>1410</v>
      </c>
      <c r="M201" s="401"/>
      <c r="N201" s="385"/>
      <c r="O201" s="365">
        <v>42158.416666666664</v>
      </c>
      <c r="P201" s="351">
        <v>42217.208333333336</v>
      </c>
      <c r="Q201" s="292">
        <f t="shared" si="65"/>
        <v>58.791666666671517</v>
      </c>
      <c r="R201" s="391">
        <f>IF(ISERROR(VLOOKUP(G201,'Planning and Target Times'!$L$1:$AP$6,MATCH(K201&amp;"_"&amp;L201&amp;"_"&amp;J201,INDEX('Planning and Target Times'!$L$1:$AP$6,1,0),0),0)+5),"",(VLOOKUP(G201,'Planning and Target Times'!$L$1:$AP$6,MATCH(K201&amp;"_"&amp;L201&amp;"_"&amp;J201,INDEX('Planning and Target Times'!$L$1:$AP$6,1,0),0),0)+5))</f>
        <v>75</v>
      </c>
      <c r="S201" s="420">
        <f t="shared" si="71"/>
        <v>70</v>
      </c>
      <c r="T201" s="392">
        <f>VLOOKUP(G201,'Planning and Target Times'!$A$7:$G$12,MATCH(K201&amp;"-"&amp;L201&amp;"-"&amp;J201,INDEX('Planning and Target Times'!$A$7:$G$12,1,0),0),0)</f>
        <v>35</v>
      </c>
      <c r="U201" s="385"/>
      <c r="V201" s="292">
        <f t="shared" si="72"/>
        <v>58.791666666671517</v>
      </c>
      <c r="W201" s="292">
        <f t="shared" si="68"/>
        <v>4097</v>
      </c>
      <c r="X201" s="386" t="str">
        <f t="shared" si="73"/>
        <v>MA</v>
      </c>
      <c r="Y201" s="385">
        <v>12110</v>
      </c>
      <c r="Z201" s="385">
        <v>5988</v>
      </c>
      <c r="AA201" s="385">
        <v>7234</v>
      </c>
      <c r="AB201" s="385">
        <v>8013</v>
      </c>
      <c r="AC201" s="385"/>
      <c r="AD201" s="385"/>
      <c r="AE201" s="385">
        <v>2</v>
      </c>
      <c r="AF201" s="420"/>
      <c r="AG201" s="385" t="str">
        <f t="shared" si="74"/>
        <v>RA-0578-RA-MA-Prod-NW-HZ-HAL</v>
      </c>
      <c r="AH201" s="385" t="str">
        <f t="shared" si="75"/>
        <v>RA-0578-BWD-130</v>
      </c>
      <c r="AI201" s="385" t="str">
        <f t="shared" si="76"/>
        <v>RA-0578-MA-NW-Prod</v>
      </c>
      <c r="AJ201" s="385" t="str">
        <f ca="1">IF(P201&gt;0,"RR",IF(O201&gt;0,0,COUNTIF($H$2:H201,H201)-IFERROR(COUNTIF(OFFSET($H$1,0,0,SUMPRODUCT(MAX(($H$2:H201=H201)*ROW($H$2:H201)*($O$2:O201&lt;&gt;""))),1),H201),0)))</f>
        <v>RR</v>
      </c>
      <c r="AK201" s="282">
        <f>IF(ISERROR(VLOOKUP(G201,'Planning and Target Times'!$B$106:$D$110,MATCH(F201,INDEX('Planning and Target Times'!$B$106:$D$110,1,0),0),0)),"",(VLOOKUP(G201,'Planning and Target Times'!$B$106:$D$110,MATCH(F201,INDEX('Planning and Target Times'!$B$106:$D$110,1,0),0),0)))</f>
        <v>650</v>
      </c>
      <c r="AL201" s="420" t="str">
        <f>VLOOKUP(G201,'Planning and Target Times'!$I$2:$J$7,2,0)</f>
        <v>Carbonate</v>
      </c>
      <c r="AM201" s="385"/>
      <c r="AN201" s="385"/>
      <c r="AO201" s="385"/>
      <c r="AP201" s="382">
        <f t="shared" si="77"/>
        <v>8.6666666666666661</v>
      </c>
      <c r="AQ201" s="385"/>
      <c r="AR201" s="385"/>
      <c r="AS201" s="385"/>
      <c r="AT201" s="385"/>
      <c r="AU201" s="385"/>
      <c r="AV201" s="385"/>
      <c r="AW201" s="385"/>
      <c r="AX201" s="385"/>
      <c r="AY201" s="385"/>
      <c r="AZ201" s="385"/>
      <c r="BA201" s="385"/>
      <c r="BB201" s="385"/>
      <c r="BC201" s="385"/>
      <c r="BD201" s="385"/>
      <c r="BE201" s="385"/>
      <c r="BF201" s="385"/>
      <c r="BG201" s="385"/>
      <c r="BH201" s="385"/>
      <c r="BI201" s="385"/>
      <c r="BJ201" s="385"/>
      <c r="BK201" s="467">
        <f>COUNT(P$2:P201)</f>
        <v>200</v>
      </c>
      <c r="BL201" s="467">
        <f>SUMPRODUCT(--(YEAR(P$2:P201)=YEAR(P201)))</f>
        <v>51</v>
      </c>
      <c r="BM201" s="467">
        <f t="shared" si="67"/>
        <v>32</v>
      </c>
      <c r="BN201" s="15">
        <f t="shared" si="69"/>
        <v>61.352083333335031</v>
      </c>
      <c r="BO201" s="74">
        <f ca="1">IF(ISERROR(IF(INDEX(Rig_Schedule_View!$I$11:$I$262,MATCH(Well_Data_NK_Upcoming!AG194,Rig_Schedule_View!$B$11:$B$262,0))=0,O201,(INDEX(Rig_Schedule_View!$I$11:$I$262,MATCH(Well_Data_NK_Upcoming!AG194,Rig_Schedule_View!$B$11:$B$262,0))))),O201,(IF(INDEX(Rig_Schedule_View!$I$11:$I$262,MATCH(Well_Data_NK_Upcoming!AG194,Rig_Schedule_View!$B$11:$B$262,0))=0,O201,(INDEX(Rig_Schedule_View!$I$11:$I$262,MATCH(Well_Data_NK_Upcoming!AG194,Rig_Schedule_View!$B$11:$B$262,0))))))</f>
        <v>42158.416666666664</v>
      </c>
      <c r="BP201" s="74">
        <f ca="1">IF(ISERROR(IF(INDEX(Rig_Schedule_View!$J$11:$J$262,MATCH(Well_Data_NK_Upcoming!AG194,Rig_Schedule_View!$B$11:$B$262,0))=0,P201,(INDEX(Rig_Schedule_View!$J$11:$J$262,MATCH(Well_Data_NK_Upcoming!AG194,Rig_Schedule_View!$B$11:$B$262,0))))),P201,(IF(INDEX(Rig_Schedule_View!$J$11:$J$262,MATCH(Well_Data_NK_Upcoming!AG194,Rig_Schedule_View!$B$11:$B$262,0))=0,P201,(INDEX(Rig_Schedule_View!$J$11:$J$262,MATCH(Well_Data_NK_Upcoming!AG194,Rig_Schedule_View!$B$11:$B$262,0))))))</f>
        <v>42217.208333333336</v>
      </c>
      <c r="BQ201" s="282"/>
      <c r="BR201" s="292"/>
      <c r="BS201" s="292"/>
      <c r="BT201" s="292"/>
      <c r="BU201" s="292"/>
      <c r="BV201" s="292"/>
      <c r="BW201" s="292"/>
    </row>
    <row r="202" spans="1:78" s="507" customFormat="1" x14ac:dyDescent="0.25">
      <c r="A202" s="385" t="s">
        <v>1399</v>
      </c>
      <c r="B202" s="385" t="s">
        <v>1399</v>
      </c>
      <c r="C202" s="385" t="s">
        <v>1692</v>
      </c>
      <c r="D202" s="529" t="s">
        <v>2202</v>
      </c>
      <c r="E202" s="385"/>
      <c r="F202" s="420" t="str">
        <f t="shared" si="70"/>
        <v>SA</v>
      </c>
      <c r="G202" s="385" t="s">
        <v>17</v>
      </c>
      <c r="H202" s="389" t="s">
        <v>37</v>
      </c>
      <c r="I202" s="385" t="s">
        <v>20</v>
      </c>
      <c r="J202" s="385" t="s">
        <v>298</v>
      </c>
      <c r="K202" s="385" t="s">
        <v>14</v>
      </c>
      <c r="L202" s="385" t="s">
        <v>1410</v>
      </c>
      <c r="M202" s="401"/>
      <c r="N202" s="385"/>
      <c r="O202" s="365">
        <v>42148.4375</v>
      </c>
      <c r="P202" s="351">
        <v>42222.1875</v>
      </c>
      <c r="Q202" s="292">
        <f t="shared" si="65"/>
        <v>73.75</v>
      </c>
      <c r="R202" s="391">
        <f>IF(ISERROR(VLOOKUP(G202,'Planning and Target Times'!$L$1:$AP$6,MATCH(K202&amp;"_"&amp;L202&amp;"_"&amp;J202,INDEX('Planning and Target Times'!$L$1:$AP$6,1,0),0),0)+5),"",(VLOOKUP(G202,'Planning and Target Times'!$L$1:$AP$6,MATCH(K202&amp;"_"&amp;L202&amp;"_"&amp;J202,INDEX('Planning and Target Times'!$L$1:$AP$6,1,0),0),0)+5))</f>
        <v>75</v>
      </c>
      <c r="S202" s="420">
        <f t="shared" si="71"/>
        <v>70</v>
      </c>
      <c r="T202" s="392">
        <f>VLOOKUP(G202,'Planning and Target Times'!$A$7:$G$12,MATCH(K202&amp;"-"&amp;L202&amp;"-"&amp;J202,INDEX('Planning and Target Times'!$A$7:$G$12,1,0),0),0)</f>
        <v>35</v>
      </c>
      <c r="U202" s="385"/>
      <c r="V202" s="292">
        <f t="shared" si="72"/>
        <v>73.75</v>
      </c>
      <c r="W202" s="292">
        <f t="shared" si="68"/>
        <v>5843</v>
      </c>
      <c r="X202" s="386" t="str">
        <f t="shared" si="73"/>
        <v>MA</v>
      </c>
      <c r="Y202" s="385">
        <v>13900</v>
      </c>
      <c r="Z202" s="385">
        <v>6000</v>
      </c>
      <c r="AA202" s="385">
        <v>7222</v>
      </c>
      <c r="AB202" s="385">
        <v>8057</v>
      </c>
      <c r="AC202" s="385"/>
      <c r="AD202" s="385"/>
      <c r="AE202" s="385">
        <v>1</v>
      </c>
      <c r="AF202" s="420"/>
      <c r="AG202" s="385" t="str">
        <f t="shared" si="74"/>
        <v>SA-0583-SA-MA-Prod-NW-HZ-HAL</v>
      </c>
      <c r="AH202" s="385" t="str">
        <f t="shared" si="75"/>
        <v>SA-0583-SP-186</v>
      </c>
      <c r="AI202" s="385" t="str">
        <f t="shared" si="76"/>
        <v>SA-0583-MA-NW-Prod</v>
      </c>
      <c r="AJ202" s="385" t="str">
        <f ca="1">IF(P202&gt;0,"RR",IF(O202&gt;0,0,COUNTIF($H$2:H202,H202)-IFERROR(COUNTIF(OFFSET($H$1,0,0,SUMPRODUCT(MAX(($H$2:H202=H202)*ROW($H$2:H202)*($O$2:O202&lt;&gt;""))),1),H202),0)))</f>
        <v>RR</v>
      </c>
      <c r="AK202" s="282">
        <f>IF(ISERROR(VLOOKUP(G202,'Planning and Target Times'!$B$106:$D$110,MATCH(F202,INDEX('Planning and Target Times'!$B$106:$D$110,1,0),0),0)),"",(VLOOKUP(G202,'Planning and Target Times'!$B$106:$D$110,MATCH(F202,INDEX('Planning and Target Times'!$B$106:$D$110,1,0),0),0)))</f>
        <v>740</v>
      </c>
      <c r="AL202" s="420" t="str">
        <f>VLOOKUP(G202,'Planning and Target Times'!$I$2:$J$7,2,0)</f>
        <v>Carbonate</v>
      </c>
      <c r="AM202" s="385"/>
      <c r="AN202" s="385"/>
      <c r="AO202" s="385"/>
      <c r="AP202" s="382">
        <f t="shared" si="77"/>
        <v>9.8666666666666671</v>
      </c>
      <c r="AQ202" s="385"/>
      <c r="AR202" s="385"/>
      <c r="AS202" s="385"/>
      <c r="AT202" s="385"/>
      <c r="AU202" s="385"/>
      <c r="AV202" s="385"/>
      <c r="AW202" s="385"/>
      <c r="AX202" s="385"/>
      <c r="AY202" s="385"/>
      <c r="AZ202" s="385"/>
      <c r="BA202" s="385"/>
      <c r="BB202" s="385"/>
      <c r="BC202" s="385"/>
      <c r="BD202" s="385"/>
      <c r="BE202" s="385"/>
      <c r="BF202" s="385"/>
      <c r="BG202" s="385"/>
      <c r="BH202" s="385"/>
      <c r="BI202" s="385"/>
      <c r="BJ202" s="385"/>
      <c r="BK202" s="467">
        <f>COUNT(P$2:P202)</f>
        <v>201</v>
      </c>
      <c r="BL202" s="467">
        <f>SUMPRODUCT(--(YEAR(P$2:P202)=YEAR(P202)))</f>
        <v>52</v>
      </c>
      <c r="BM202" s="467">
        <f>IF(AND(MONTH(P201)&lt;&gt;4,MONTH(P202)=4),1,BM201+1)</f>
        <v>33</v>
      </c>
      <c r="BN202" s="15">
        <f t="shared" si="69"/>
        <v>63.727083333335031</v>
      </c>
      <c r="BO202" s="74">
        <f ca="1">IF(ISERROR(IF(INDEX(Rig_Schedule_View!$I$11:$I$262,MATCH(Well_Data_NK_Upcoming!AG200,Rig_Schedule_View!$B$11:$B$262,0))=0,O202,(INDEX(Rig_Schedule_View!$I$11:$I$262,MATCH(Well_Data_NK_Upcoming!AG200,Rig_Schedule_View!$B$11:$B$262,0))))),O202,(IF(INDEX(Rig_Schedule_View!$I$11:$I$262,MATCH(Well_Data_NK_Upcoming!AG200,Rig_Schedule_View!$B$11:$B$262,0))=0,O202,(INDEX(Rig_Schedule_View!$I$11:$I$262,MATCH(Well_Data_NK_Upcoming!AG200,Rig_Schedule_View!$B$11:$B$262,0))))))</f>
        <v>42148.4375</v>
      </c>
      <c r="BP202" s="74">
        <f ca="1">IF(ISERROR(IF(INDEX(Rig_Schedule_View!$J$11:$J$262,MATCH(Well_Data_NK_Upcoming!AG200,Rig_Schedule_View!$B$11:$B$262,0))=0,P202,(INDEX(Rig_Schedule_View!$J$11:$J$262,MATCH(Well_Data_NK_Upcoming!AG200,Rig_Schedule_View!$B$11:$B$262,0))))),P202,(IF(INDEX(Rig_Schedule_View!$J$11:$J$262,MATCH(Well_Data_NK_Upcoming!AG200,Rig_Schedule_View!$B$11:$B$262,0))=0,P202,(INDEX(Rig_Schedule_View!$J$11:$J$262,MATCH(Well_Data_NK_Upcoming!AG200,Rig_Schedule_View!$B$11:$B$262,0))))))</f>
        <v>42222.1875</v>
      </c>
      <c r="BQ202" s="282"/>
      <c r="BR202" s="292"/>
      <c r="BS202" s="292"/>
      <c r="BT202" s="292"/>
      <c r="BU202" s="292"/>
      <c r="BV202" s="292"/>
      <c r="BW202" s="292"/>
      <c r="BX202" s="508"/>
    </row>
    <row r="203" spans="1:78" s="524" customFormat="1" x14ac:dyDescent="0.25">
      <c r="A203" s="534" t="s">
        <v>1430</v>
      </c>
      <c r="B203" s="534" t="s">
        <v>1430</v>
      </c>
      <c r="C203" s="534" t="s">
        <v>1705</v>
      </c>
      <c r="D203" s="556" t="s">
        <v>2203</v>
      </c>
      <c r="E203" s="534"/>
      <c r="F203" s="528" t="str">
        <f t="shared" si="70"/>
        <v>SA</v>
      </c>
      <c r="G203" s="534" t="s">
        <v>22</v>
      </c>
      <c r="H203" s="536" t="s">
        <v>1415</v>
      </c>
      <c r="I203" s="534" t="s">
        <v>20</v>
      </c>
      <c r="J203" s="534" t="s">
        <v>298</v>
      </c>
      <c r="K203" s="534" t="s">
        <v>14</v>
      </c>
      <c r="L203" s="534" t="s">
        <v>1410</v>
      </c>
      <c r="M203" s="539"/>
      <c r="N203" s="534">
        <v>1</v>
      </c>
      <c r="O203" s="532">
        <v>42142.875</v>
      </c>
      <c r="P203" s="531">
        <v>42228.833333333336</v>
      </c>
      <c r="Q203" s="525">
        <f t="shared" si="65"/>
        <v>85.958333333335759</v>
      </c>
      <c r="R203" s="537">
        <f>IF(ISERROR(VLOOKUP(G203,'Planning and Target Times'!$L$1:$AP$6,MATCH(K203&amp;"_"&amp;L203&amp;"_"&amp;J203,INDEX('Planning and Target Times'!$L$1:$AP$6,1,0),0),0)+5),"",(VLOOKUP(G203,'Planning and Target Times'!$L$1:$AP$6,MATCH(K203&amp;"_"&amp;L203&amp;"_"&amp;J203,INDEX('Planning and Target Times'!$L$1:$AP$6,1,0),0),0)+5))</f>
        <v>75</v>
      </c>
      <c r="S203" s="528">
        <f t="shared" si="71"/>
        <v>70</v>
      </c>
      <c r="T203" s="538">
        <f>VLOOKUP(G203,'Planning and Target Times'!$A$7:$G$12,MATCH(K203&amp;"-"&amp;L203&amp;"-"&amp;J203,INDEX('Planning and Target Times'!$A$7:$G$12,1,0),0),0)</f>
        <v>35</v>
      </c>
      <c r="U203" s="534"/>
      <c r="V203" s="525">
        <f t="shared" si="72"/>
        <v>85.958333333335759</v>
      </c>
      <c r="W203" s="525">
        <f t="shared" si="68"/>
        <v>1005</v>
      </c>
      <c r="X203" s="535" t="str">
        <f t="shared" si="73"/>
        <v>LB</v>
      </c>
      <c r="Y203" s="534">
        <v>9850</v>
      </c>
      <c r="Z203" s="534">
        <v>5895</v>
      </c>
      <c r="AA203" s="534">
        <v>7860</v>
      </c>
      <c r="AB203" s="534">
        <v>8845</v>
      </c>
      <c r="AC203" s="534"/>
      <c r="AD203" s="534"/>
      <c r="AE203" s="534">
        <v>3</v>
      </c>
      <c r="AF203" s="528"/>
      <c r="AG203" s="534" t="str">
        <f t="shared" si="74"/>
        <v>SA-0581-SA-LB-Prod-NW-HZ-HAL</v>
      </c>
      <c r="AH203" s="534" t="str">
        <f t="shared" si="75"/>
        <v>SA-0581-SP-288</v>
      </c>
      <c r="AI203" s="534" t="str">
        <f t="shared" si="76"/>
        <v>SA-0581-LB-NW-Prod</v>
      </c>
      <c r="AJ203" s="534" t="str">
        <f ca="1">IF(P203&gt;0,"RR",IF(O203&gt;0,0,COUNTIF($H$2:H203,H203)-IFERROR(COUNTIF(OFFSET($H$1,0,0,SUMPRODUCT(MAX(($H$2:H203=H203)*ROW($H$2:H203)*($O$2:O203&lt;&gt;""))),1),H203),0)))</f>
        <v>RR</v>
      </c>
      <c r="AK203" s="527">
        <f>IF(ISERROR(VLOOKUP(G203,'Planning and Target Times'!$B$106:$D$110,MATCH(F203,INDEX('Planning and Target Times'!$B$106:$D$110,1,0),0),0)),"",(VLOOKUP(G203,'Planning and Target Times'!$B$106:$D$110,MATCH(F203,INDEX('Planning and Target Times'!$B$106:$D$110,1,0),0),0)))</f>
        <v>550</v>
      </c>
      <c r="AL203" s="528" t="str">
        <f>VLOOKUP(G203,'Planning and Target Times'!$I$2:$J$7,2,0)</f>
        <v>Sandstone</v>
      </c>
      <c r="AM203" s="534"/>
      <c r="AN203" s="534"/>
      <c r="AO203" s="534"/>
      <c r="AP203" s="533">
        <f t="shared" si="77"/>
        <v>7.333333333333333</v>
      </c>
      <c r="AQ203" s="534"/>
      <c r="AR203" s="534"/>
      <c r="AS203" s="534"/>
      <c r="AT203" s="534"/>
      <c r="AU203" s="534"/>
      <c r="AV203" s="534"/>
      <c r="AW203" s="534"/>
      <c r="AX203" s="534"/>
      <c r="AY203" s="534"/>
      <c r="AZ203" s="534"/>
      <c r="BA203" s="534"/>
      <c r="BB203" s="534"/>
      <c r="BC203" s="534"/>
      <c r="BD203" s="534"/>
      <c r="BE203" s="534"/>
      <c r="BF203" s="534"/>
      <c r="BG203" s="534"/>
      <c r="BH203" s="534"/>
      <c r="BI203" s="534"/>
      <c r="BJ203" s="534"/>
      <c r="BK203" s="530">
        <f>COUNT(P$2:P203)</f>
        <v>202</v>
      </c>
      <c r="BL203" s="530">
        <f>SUMPRODUCT(--(YEAR(P$2:P203)=YEAR(P203)))</f>
        <v>53</v>
      </c>
      <c r="BM203" s="530">
        <f>IF(AND(MONTH(P202)&lt;&gt;4,MONTH(P203)=4),1,BM202+1)</f>
        <v>34</v>
      </c>
      <c r="BN203" s="523">
        <f t="shared" si="69"/>
        <v>61.589583333335028</v>
      </c>
      <c r="BO203" s="526">
        <f ca="1">IF(ISERROR(IF(INDEX(Rig_Schedule_View!$I$11:$I$262,MATCH(Well_Data_NK_Upcoming!AG216,Rig_Schedule_View!$B$11:$B$262,0))=0,O203,(INDEX(Rig_Schedule_View!$I$11:$I$262,MATCH(Well_Data_NK_Upcoming!AG216,Rig_Schedule_View!$B$11:$B$262,0))))),O203,(IF(INDEX(Rig_Schedule_View!$I$11:$I$262,MATCH(Well_Data_NK_Upcoming!AG216,Rig_Schedule_View!$B$11:$B$262,0))=0,O203,(INDEX(Rig_Schedule_View!$I$11:$I$262,MATCH(Well_Data_NK_Upcoming!AG216,Rig_Schedule_View!$B$11:$B$262,0))))))</f>
        <v>42142.875</v>
      </c>
      <c r="BP203" s="526">
        <f ca="1">IF(ISERROR(IF(INDEX(Rig_Schedule_View!$J$11:$J$262,MATCH(Well_Data_NK_Upcoming!AG216,Rig_Schedule_View!$B$11:$B$262,0))=0,P203,(INDEX(Rig_Schedule_View!$J$11:$J$262,MATCH(Well_Data_NK_Upcoming!AG216,Rig_Schedule_View!$B$11:$B$262,0))))),P203,(IF(INDEX(Rig_Schedule_View!$J$11:$J$262,MATCH(Well_Data_NK_Upcoming!AG216,Rig_Schedule_View!$B$11:$B$262,0))=0,P203,(INDEX(Rig_Schedule_View!$J$11:$J$262,MATCH(Well_Data_NK_Upcoming!AG216,Rig_Schedule_View!$B$11:$B$262,0))))))</f>
        <v>42228.833333333336</v>
      </c>
      <c r="BQ203" s="527"/>
      <c r="BR203" s="525"/>
      <c r="BS203" s="525"/>
      <c r="BT203" s="525"/>
      <c r="BU203" s="525"/>
      <c r="BV203" s="525"/>
      <c r="BW203" s="525"/>
    </row>
    <row r="204" spans="1:78" s="569" customFormat="1" x14ac:dyDescent="0.25">
      <c r="A204" s="540" t="s">
        <v>754</v>
      </c>
      <c r="B204" s="540" t="s">
        <v>754</v>
      </c>
      <c r="C204" s="540" t="s">
        <v>1392</v>
      </c>
      <c r="D204" s="533" t="s">
        <v>2252</v>
      </c>
      <c r="E204" s="540"/>
      <c r="F204" s="528" t="str">
        <f t="shared" si="70"/>
        <v>RA</v>
      </c>
      <c r="G204" s="540" t="s">
        <v>17</v>
      </c>
      <c r="H204" s="536" t="s">
        <v>513</v>
      </c>
      <c r="I204" s="540" t="s">
        <v>24</v>
      </c>
      <c r="J204" s="540" t="s">
        <v>298</v>
      </c>
      <c r="K204" s="540" t="s">
        <v>18</v>
      </c>
      <c r="L204" s="540" t="s">
        <v>1410</v>
      </c>
      <c r="M204" s="539"/>
      <c r="N204" s="540">
        <v>1</v>
      </c>
      <c r="O204" s="532">
        <v>42218.458333333336</v>
      </c>
      <c r="P204" s="531">
        <v>42237.791666666664</v>
      </c>
      <c r="Q204" s="525">
        <f t="shared" si="65"/>
        <v>19.333333333328483</v>
      </c>
      <c r="R204" s="537">
        <f>IF(ISERROR(VLOOKUP(G204,'Planning and Target Times'!$L$1:$AP$6,MATCH(K204&amp;"_"&amp;L204&amp;"_"&amp;J204,INDEX('Planning and Target Times'!$L$1:$AP$6,1,0),0),0)+5),"",(VLOOKUP(G204,'Planning and Target Times'!$L$1:$AP$6,MATCH(K204&amp;"_"&amp;L204&amp;"_"&amp;J204,INDEX('Planning and Target Times'!$L$1:$AP$6,1,0),0),0)+5))</f>
        <v>61</v>
      </c>
      <c r="S204" s="528">
        <f t="shared" si="71"/>
        <v>56</v>
      </c>
      <c r="T204" s="538">
        <f>VLOOKUP(G204,'Planning and Target Times'!$A$7:$G$12,MATCH(K204&amp;"-"&amp;L204&amp;"-"&amp;J204,INDEX('Planning and Target Times'!$A$7:$G$12,1,0),0),0)</f>
        <v>27</v>
      </c>
      <c r="U204" s="540"/>
      <c r="V204" s="525">
        <f t="shared" si="72"/>
        <v>19.333333333328483</v>
      </c>
      <c r="W204" s="525">
        <f t="shared" si="68"/>
        <v>830</v>
      </c>
      <c r="X204" s="535" t="str">
        <f t="shared" si="73"/>
        <v>MA</v>
      </c>
      <c r="Y204" s="540">
        <v>9207</v>
      </c>
      <c r="Z204" s="540">
        <v>6120</v>
      </c>
      <c r="AA204" s="540">
        <v>6695</v>
      </c>
      <c r="AB204" s="540">
        <v>8377</v>
      </c>
      <c r="AC204" s="540"/>
      <c r="AD204" s="540"/>
      <c r="AE204" s="376">
        <v>2</v>
      </c>
      <c r="AF204" s="528"/>
      <c r="AG204" s="540" t="str">
        <f t="shared" si="74"/>
        <v>RA-0392-RA-MA-Prod-ST-HZ-SLB</v>
      </c>
      <c r="AH204" s="540" t="str">
        <f t="shared" si="75"/>
        <v>RA-0392-NDSC-15</v>
      </c>
      <c r="AI204" s="540" t="str">
        <f t="shared" si="76"/>
        <v>RA-0392-MA-ST-Prod</v>
      </c>
      <c r="AJ204" s="540" t="str">
        <f ca="1">IF(P204&gt;0,"RR",IF(O204&gt;0,0,COUNTIF($H$2:H204,H204)-IFERROR(COUNTIF(OFFSET($H$1,0,0,SUMPRODUCT(MAX(($H$2:H204=H204)*ROW($H$2:H204)*($O$2:O204&lt;&gt;""))),1),H204),0)))</f>
        <v>RR</v>
      </c>
      <c r="AK204" s="527">
        <f>IF(ISERROR(VLOOKUP(G204,'Planning and Target Times'!$B$106:$D$110,MATCH(F204,INDEX('Planning and Target Times'!$B$106:$D$110,1,0),0),0)),"",(VLOOKUP(G204,'Planning and Target Times'!$B$106:$D$110,MATCH(F204,INDEX('Planning and Target Times'!$B$106:$D$110,1,0),0),0)))</f>
        <v>650</v>
      </c>
      <c r="AL204" s="528" t="str">
        <f>VLOOKUP(G204,'Planning and Target Times'!$I$2:$J$7,2,0)</f>
        <v>Carbonate</v>
      </c>
      <c r="AM204" s="540"/>
      <c r="AN204" s="540"/>
      <c r="AO204" s="540"/>
      <c r="AP204" s="533">
        <f t="shared" si="77"/>
        <v>10.655737704918034</v>
      </c>
      <c r="AQ204" s="540"/>
      <c r="AR204" s="540"/>
      <c r="AS204" s="540"/>
      <c r="AT204" s="540"/>
      <c r="AU204" s="540"/>
      <c r="AV204" s="540"/>
      <c r="AW204" s="540"/>
      <c r="AX204" s="540"/>
      <c r="AY204" s="540"/>
      <c r="AZ204" s="540"/>
      <c r="BA204" s="540"/>
      <c r="BB204" s="540"/>
      <c r="BC204" s="540"/>
      <c r="BD204" s="540"/>
      <c r="BE204" s="540"/>
      <c r="BF204" s="540"/>
      <c r="BG204" s="540"/>
      <c r="BH204" s="540"/>
      <c r="BI204" s="540"/>
      <c r="BJ204" s="540"/>
      <c r="BK204" s="530">
        <f>COUNT(P$2:P204)</f>
        <v>203</v>
      </c>
      <c r="BL204" s="530">
        <f>SUMPRODUCT(--(YEAR(P$2:P204)=YEAR(P204)))</f>
        <v>54</v>
      </c>
      <c r="BM204" s="530">
        <f>IF(AND(MONTH(P203)&lt;&gt;4,MONTH(P204)=4),1,BM203+1)</f>
        <v>35</v>
      </c>
      <c r="BN204" s="523">
        <f t="shared" si="69"/>
        <v>57.877083333334305</v>
      </c>
      <c r="BO204" s="526">
        <f ca="1">IF(ISERROR(IF(INDEX(Rig_Schedule_View!$I$11:$I$262,MATCH(Well_Data_NK_Upcoming!AG203,Rig_Schedule_View!$B$11:$B$262,0))=0,O204,(INDEX(Rig_Schedule_View!$I$11:$I$262,MATCH(Well_Data_NK_Upcoming!AG203,Rig_Schedule_View!$B$11:$B$262,0))))),O204,(IF(INDEX(Rig_Schedule_View!$I$11:$I$262,MATCH(Well_Data_NK_Upcoming!AG203,Rig_Schedule_View!$B$11:$B$262,0))=0,O204,(INDEX(Rig_Schedule_View!$I$11:$I$262,MATCH(Well_Data_NK_Upcoming!AG203,Rig_Schedule_View!$B$11:$B$262,0))))))</f>
        <v>42218.458333333336</v>
      </c>
      <c r="BP204" s="526">
        <f ca="1">IF(ISERROR(IF(INDEX(Rig_Schedule_View!$J$11:$J$262,MATCH(Well_Data_NK_Upcoming!AG203,Rig_Schedule_View!$B$11:$B$262,0))=0,P204,(INDEX(Rig_Schedule_View!$J$11:$J$262,MATCH(Well_Data_NK_Upcoming!AG203,Rig_Schedule_View!$B$11:$B$262,0))))),P204,(IF(INDEX(Rig_Schedule_View!$J$11:$J$262,MATCH(Well_Data_NK_Upcoming!AG203,Rig_Schedule_View!$B$11:$B$262,0))=0,P204,(INDEX(Rig_Schedule_View!$J$11:$J$262,MATCH(Well_Data_NK_Upcoming!AG203,Rig_Schedule_View!$B$11:$B$262,0))))))</f>
        <v>42237.791666666664</v>
      </c>
      <c r="BQ204" s="527"/>
      <c r="BR204" s="525"/>
      <c r="BS204" s="525"/>
      <c r="BT204" s="525"/>
      <c r="BU204" s="525"/>
      <c r="BV204" s="525"/>
      <c r="BW204" s="525"/>
      <c r="BX204" s="525"/>
      <c r="BY204" s="525"/>
      <c r="BZ204" s="525"/>
    </row>
  </sheetData>
  <autoFilter ref="A1:BZ203"/>
  <sortState ref="A2:CB203">
    <sortCondition ref="P2:P203"/>
  </sortState>
  <conditionalFormatting sqref="M105 M2:M101 M110:M117 M120:M124 M128:M152">
    <cfRule type="containsText" dxfId="417" priority="619" operator="containsText" text="Baker">
      <formula>NOT(ISERROR(SEARCH("Baker",M2)))</formula>
    </cfRule>
    <cfRule type="containsText" dxfId="416" priority="620" operator="containsText" text="Baroid">
      <formula>NOT(ISERROR(SEARCH("Baroid",M2)))</formula>
    </cfRule>
    <cfRule type="containsText" dxfId="415" priority="621" operator="containsText" text="MI">
      <formula>NOT(ISERROR(SEARCH("MI",M2)))</formula>
    </cfRule>
    <cfRule type="containsText" dxfId="414" priority="622" operator="containsText" text="EMEC">
      <formula>NOT(ISERROR(SEARCH("EMEC",M2)))</formula>
    </cfRule>
  </conditionalFormatting>
  <conditionalFormatting sqref="I104:I105 I2:I99 I110:I117 I122:I124">
    <cfRule type="containsText" dxfId="413" priority="618" operator="containsText" text="BHI">
      <formula>NOT(ISERROR(SEARCH("BHI",I2)))</formula>
    </cfRule>
  </conditionalFormatting>
  <conditionalFormatting sqref="I98:I99 I104:I105 I2:I96 I110:I117 I122:I124">
    <cfRule type="containsText" dxfId="412" priority="614" operator="containsText" text="SLB">
      <formula>NOT(ISERROR(SEARCH("SLB",I2)))</formula>
    </cfRule>
    <cfRule type="containsText" dxfId="411" priority="615" operator="containsText" text="WFD">
      <formula>NOT(ISERROR(SEARCH("WFD",I2)))</formula>
    </cfRule>
    <cfRule type="containsText" dxfId="410" priority="616" operator="containsText" text="HAL">
      <formula>NOT(ISERROR(SEARCH("HAL",I2)))</formula>
    </cfRule>
    <cfRule type="containsText" priority="617" operator="containsText" text="HAL">
      <formula>NOT(ISERROR(SEARCH("HAL",I2)))</formula>
    </cfRule>
  </conditionalFormatting>
  <conditionalFormatting sqref="I45:I65 I112:I113 I115:I116">
    <cfRule type="containsText" dxfId="409" priority="612" operator="containsText" text="/">
      <formula>NOT(ISERROR(SEARCH("/",I45)))</formula>
    </cfRule>
    <cfRule type="containsText" dxfId="408" priority="613" operator="containsText" text="/">
      <formula>NOT(ISERROR(SEARCH("/",I45)))</formula>
    </cfRule>
  </conditionalFormatting>
  <conditionalFormatting sqref="I101">
    <cfRule type="containsText" dxfId="407" priority="611" operator="containsText" text="BHI">
      <formula>NOT(ISERROR(SEARCH("BHI",I101)))</formula>
    </cfRule>
  </conditionalFormatting>
  <conditionalFormatting sqref="I101">
    <cfRule type="containsText" dxfId="406" priority="607" operator="containsText" text="SLB">
      <formula>NOT(ISERROR(SEARCH("SLB",I101)))</formula>
    </cfRule>
    <cfRule type="containsText" dxfId="405" priority="608" operator="containsText" text="WFD">
      <formula>NOT(ISERROR(SEARCH("WFD",I101)))</formula>
    </cfRule>
    <cfRule type="containsText" dxfId="404" priority="609" operator="containsText" text="HAL">
      <formula>NOT(ISERROR(SEARCH("HAL",I101)))</formula>
    </cfRule>
    <cfRule type="containsText" priority="610" operator="containsText" text="HAL">
      <formula>NOT(ISERROR(SEARCH("HAL",I101)))</formula>
    </cfRule>
  </conditionalFormatting>
  <conditionalFormatting sqref="I103">
    <cfRule type="containsText" dxfId="403" priority="606" operator="containsText" text="BHI">
      <formula>NOT(ISERROR(SEARCH("BHI",I103)))</formula>
    </cfRule>
  </conditionalFormatting>
  <conditionalFormatting sqref="I103">
    <cfRule type="containsText" dxfId="402" priority="602" operator="containsText" text="SLB">
      <formula>NOT(ISERROR(SEARCH("SLB",I103)))</formula>
    </cfRule>
    <cfRule type="containsText" dxfId="401" priority="603" operator="containsText" text="WFD">
      <formula>NOT(ISERROR(SEARCH("WFD",I103)))</formula>
    </cfRule>
    <cfRule type="containsText" dxfId="400" priority="604" operator="containsText" text="HAL">
      <formula>NOT(ISERROR(SEARCH("HAL",I103)))</formula>
    </cfRule>
    <cfRule type="containsText" priority="605" operator="containsText" text="HAL">
      <formula>NOT(ISERROR(SEARCH("HAL",I103)))</formula>
    </cfRule>
  </conditionalFormatting>
  <conditionalFormatting sqref="I106">
    <cfRule type="containsText" dxfId="399" priority="601" operator="containsText" text="BHI">
      <formula>NOT(ISERROR(SEARCH("BHI",I106)))</formula>
    </cfRule>
  </conditionalFormatting>
  <conditionalFormatting sqref="I106">
    <cfRule type="containsText" dxfId="398" priority="597" operator="containsText" text="SLB">
      <formula>NOT(ISERROR(SEARCH("SLB",I106)))</formula>
    </cfRule>
    <cfRule type="containsText" dxfId="397" priority="598" operator="containsText" text="WFD">
      <formula>NOT(ISERROR(SEARCH("WFD",I106)))</formula>
    </cfRule>
    <cfRule type="containsText" dxfId="396" priority="599" operator="containsText" text="HAL">
      <formula>NOT(ISERROR(SEARCH("HAL",I106)))</formula>
    </cfRule>
    <cfRule type="containsText" priority="600" operator="containsText" text="HAL">
      <formula>NOT(ISERROR(SEARCH("HAL",I106)))</formula>
    </cfRule>
  </conditionalFormatting>
  <conditionalFormatting sqref="I107:I109">
    <cfRule type="containsText" dxfId="395" priority="596" operator="containsText" text="BHI">
      <formula>NOT(ISERROR(SEARCH("BHI",I107)))</formula>
    </cfRule>
  </conditionalFormatting>
  <conditionalFormatting sqref="I107:I109">
    <cfRule type="containsText" dxfId="394" priority="592" operator="containsText" text="SLB">
      <formula>NOT(ISERROR(SEARCH("SLB",I107)))</formula>
    </cfRule>
    <cfRule type="containsText" dxfId="393" priority="593" operator="containsText" text="WFD">
      <formula>NOT(ISERROR(SEARCH("WFD",I107)))</formula>
    </cfRule>
    <cfRule type="containsText" dxfId="392" priority="594" operator="containsText" text="HAL">
      <formula>NOT(ISERROR(SEARCH("HAL",I107)))</formula>
    </cfRule>
    <cfRule type="containsText" priority="595" operator="containsText" text="HAL">
      <formula>NOT(ISERROR(SEARCH("HAL",I107)))</formula>
    </cfRule>
  </conditionalFormatting>
  <conditionalFormatting sqref="M102">
    <cfRule type="containsText" dxfId="391" priority="583" operator="containsText" text="Baker">
      <formula>NOT(ISERROR(SEARCH("Baker",M102)))</formula>
    </cfRule>
    <cfRule type="containsText" dxfId="390" priority="584" operator="containsText" text="Baroid">
      <formula>NOT(ISERROR(SEARCH("Baroid",M102)))</formula>
    </cfRule>
    <cfRule type="containsText" dxfId="389" priority="585" operator="containsText" text="MI">
      <formula>NOT(ISERROR(SEARCH("MI",M102)))</formula>
    </cfRule>
    <cfRule type="containsText" dxfId="388" priority="586" operator="containsText" text="EMEC">
      <formula>NOT(ISERROR(SEARCH("EMEC",M102)))</formula>
    </cfRule>
  </conditionalFormatting>
  <conditionalFormatting sqref="M103:M104">
    <cfRule type="containsText" dxfId="387" priority="579" operator="containsText" text="Baker">
      <formula>NOT(ISERROR(SEARCH("Baker",M103)))</formula>
    </cfRule>
    <cfRule type="containsText" dxfId="386" priority="580" operator="containsText" text="Baroid">
      <formula>NOT(ISERROR(SEARCH("Baroid",M103)))</formula>
    </cfRule>
    <cfRule type="containsText" dxfId="385" priority="581" operator="containsText" text="MI">
      <formula>NOT(ISERROR(SEARCH("MI",M103)))</formula>
    </cfRule>
    <cfRule type="containsText" dxfId="384" priority="582" operator="containsText" text="EMEC">
      <formula>NOT(ISERROR(SEARCH("EMEC",M103)))</formula>
    </cfRule>
  </conditionalFormatting>
  <conditionalFormatting sqref="M106:M109">
    <cfRule type="containsText" dxfId="383" priority="575" operator="containsText" text="Baker">
      <formula>NOT(ISERROR(SEARCH("Baker",M106)))</formula>
    </cfRule>
    <cfRule type="containsText" dxfId="382" priority="576" operator="containsText" text="Baroid">
      <formula>NOT(ISERROR(SEARCH("Baroid",M106)))</formula>
    </cfRule>
    <cfRule type="containsText" dxfId="381" priority="577" operator="containsText" text="MI">
      <formula>NOT(ISERROR(SEARCH("MI",M106)))</formula>
    </cfRule>
    <cfRule type="containsText" dxfId="380" priority="578" operator="containsText" text="EMEC">
      <formula>NOT(ISERROR(SEARCH("EMEC",M106)))</formula>
    </cfRule>
  </conditionalFormatting>
  <conditionalFormatting sqref="I97">
    <cfRule type="containsText" dxfId="379" priority="567" operator="containsText" text="SLB">
      <formula>NOT(ISERROR(SEARCH("SLB",I97)))</formula>
    </cfRule>
    <cfRule type="containsText" dxfId="378" priority="568" operator="containsText" text="WFD">
      <formula>NOT(ISERROR(SEARCH("WFD",I97)))</formula>
    </cfRule>
    <cfRule type="containsText" dxfId="377" priority="569" operator="containsText" text="HAL">
      <formula>NOT(ISERROR(SEARCH("HAL",I97)))</formula>
    </cfRule>
    <cfRule type="containsText" priority="570" operator="containsText" text="HAL">
      <formula>NOT(ISERROR(SEARCH("HAL",I97)))</formula>
    </cfRule>
  </conditionalFormatting>
  <conditionalFormatting sqref="I100">
    <cfRule type="containsText" dxfId="376" priority="566" operator="containsText" text="BHI">
      <formula>NOT(ISERROR(SEARCH("BHI",I100)))</formula>
    </cfRule>
  </conditionalFormatting>
  <conditionalFormatting sqref="I100">
    <cfRule type="containsText" dxfId="375" priority="562" operator="containsText" text="SLB">
      <formula>NOT(ISERROR(SEARCH("SLB",I100)))</formula>
    </cfRule>
    <cfRule type="containsText" dxfId="374" priority="563" operator="containsText" text="WFD">
      <formula>NOT(ISERROR(SEARCH("WFD",I100)))</formula>
    </cfRule>
    <cfRule type="containsText" dxfId="373" priority="564" operator="containsText" text="HAL">
      <formula>NOT(ISERROR(SEARCH("HAL",I100)))</formula>
    </cfRule>
    <cfRule type="containsText" priority="565" operator="containsText" text="HAL">
      <formula>NOT(ISERROR(SEARCH("HAL",I100)))</formula>
    </cfRule>
  </conditionalFormatting>
  <conditionalFormatting sqref="I102">
    <cfRule type="containsText" dxfId="372" priority="561" operator="containsText" text="BHI">
      <formula>NOT(ISERROR(SEARCH("BHI",I102)))</formula>
    </cfRule>
  </conditionalFormatting>
  <conditionalFormatting sqref="I102">
    <cfRule type="containsText" dxfId="371" priority="557" operator="containsText" text="SLB">
      <formula>NOT(ISERROR(SEARCH("SLB",I102)))</formula>
    </cfRule>
    <cfRule type="containsText" dxfId="370" priority="558" operator="containsText" text="WFD">
      <formula>NOT(ISERROR(SEARCH("WFD",I102)))</formula>
    </cfRule>
    <cfRule type="containsText" dxfId="369" priority="559" operator="containsText" text="HAL">
      <formula>NOT(ISERROR(SEARCH("HAL",I102)))</formula>
    </cfRule>
    <cfRule type="containsText" priority="560" operator="containsText" text="HAL">
      <formula>NOT(ISERROR(SEARCH("HAL",I102)))</formula>
    </cfRule>
  </conditionalFormatting>
  <conditionalFormatting sqref="I118">
    <cfRule type="containsText" dxfId="368" priority="556" operator="containsText" text="BHI">
      <formula>NOT(ISERROR(SEARCH("BHI",I118)))</formula>
    </cfRule>
  </conditionalFormatting>
  <conditionalFormatting sqref="I118">
    <cfRule type="containsText" dxfId="367" priority="552" operator="containsText" text="SLB">
      <formula>NOT(ISERROR(SEARCH("SLB",I118)))</formula>
    </cfRule>
    <cfRule type="containsText" dxfId="366" priority="553" operator="containsText" text="WFD">
      <formula>NOT(ISERROR(SEARCH("WFD",I118)))</formula>
    </cfRule>
    <cfRule type="containsText" dxfId="365" priority="554" operator="containsText" text="HAL">
      <formula>NOT(ISERROR(SEARCH("HAL",I118)))</formula>
    </cfRule>
    <cfRule type="containsText" priority="555" operator="containsText" text="HAL">
      <formula>NOT(ISERROR(SEARCH("HAL",I118)))</formula>
    </cfRule>
  </conditionalFormatting>
  <conditionalFormatting sqref="I121">
    <cfRule type="containsText" dxfId="364" priority="551" operator="containsText" text="BHI">
      <formula>NOT(ISERROR(SEARCH("BHI",I121)))</formula>
    </cfRule>
  </conditionalFormatting>
  <conditionalFormatting sqref="I121">
    <cfRule type="containsText" dxfId="363" priority="547" operator="containsText" text="SLB">
      <formula>NOT(ISERROR(SEARCH("SLB",I121)))</formula>
    </cfRule>
    <cfRule type="containsText" dxfId="362" priority="548" operator="containsText" text="WFD">
      <formula>NOT(ISERROR(SEARCH("WFD",I121)))</formula>
    </cfRule>
    <cfRule type="containsText" dxfId="361" priority="549" operator="containsText" text="HAL">
      <formula>NOT(ISERROR(SEARCH("HAL",I121)))</formula>
    </cfRule>
    <cfRule type="containsText" priority="550" operator="containsText" text="HAL">
      <formula>NOT(ISERROR(SEARCH("HAL",I121)))</formula>
    </cfRule>
  </conditionalFormatting>
  <conditionalFormatting sqref="I120">
    <cfRule type="containsText" dxfId="360" priority="546" operator="containsText" text="BHI">
      <formula>NOT(ISERROR(SEARCH("BHI",I120)))</formula>
    </cfRule>
  </conditionalFormatting>
  <conditionalFormatting sqref="I120">
    <cfRule type="containsText" dxfId="359" priority="542" operator="containsText" text="SLB">
      <formula>NOT(ISERROR(SEARCH("SLB",I120)))</formula>
    </cfRule>
    <cfRule type="containsText" dxfId="358" priority="543" operator="containsText" text="WFD">
      <formula>NOT(ISERROR(SEARCH("WFD",I120)))</formula>
    </cfRule>
    <cfRule type="containsText" dxfId="357" priority="544" operator="containsText" text="HAL">
      <formula>NOT(ISERROR(SEARCH("HAL",I120)))</formula>
    </cfRule>
    <cfRule type="containsText" priority="545" operator="containsText" text="HAL">
      <formula>NOT(ISERROR(SEARCH("HAL",I120)))</formula>
    </cfRule>
  </conditionalFormatting>
  <conditionalFormatting sqref="M118">
    <cfRule type="containsText" dxfId="356" priority="534" operator="containsText" text="Baker">
      <formula>NOT(ISERROR(SEARCH("Baker",M118)))</formula>
    </cfRule>
    <cfRule type="containsText" dxfId="355" priority="535" operator="containsText" text="Baroid">
      <formula>NOT(ISERROR(SEARCH("Baroid",M118)))</formula>
    </cfRule>
    <cfRule type="containsText" dxfId="354" priority="536" operator="containsText" text="MI">
      <formula>NOT(ISERROR(SEARCH("MI",M118)))</formula>
    </cfRule>
    <cfRule type="containsText" dxfId="353" priority="537" operator="containsText" text="EMEC">
      <formula>NOT(ISERROR(SEARCH("EMEC",M118)))</formula>
    </cfRule>
  </conditionalFormatting>
  <conditionalFormatting sqref="I119">
    <cfRule type="containsText" dxfId="352" priority="533" operator="containsText" text="BHI">
      <formula>NOT(ISERROR(SEARCH("BHI",I119)))</formula>
    </cfRule>
  </conditionalFormatting>
  <conditionalFormatting sqref="I119">
    <cfRule type="containsText" dxfId="351" priority="529" operator="containsText" text="SLB">
      <formula>NOT(ISERROR(SEARCH("SLB",I119)))</formula>
    </cfRule>
    <cfRule type="containsText" dxfId="350" priority="530" operator="containsText" text="WFD">
      <formula>NOT(ISERROR(SEARCH("WFD",I119)))</formula>
    </cfRule>
    <cfRule type="containsText" dxfId="349" priority="531" operator="containsText" text="HAL">
      <formula>NOT(ISERROR(SEARCH("HAL",I119)))</formula>
    </cfRule>
    <cfRule type="containsText" priority="532" operator="containsText" text="HAL">
      <formula>NOT(ISERROR(SEARCH("HAL",I119)))</formula>
    </cfRule>
  </conditionalFormatting>
  <conditionalFormatting sqref="M119">
    <cfRule type="containsText" dxfId="348" priority="525" operator="containsText" text="Baker">
      <formula>NOT(ISERROR(SEARCH("Baker",M119)))</formula>
    </cfRule>
    <cfRule type="containsText" dxfId="347" priority="526" operator="containsText" text="Baroid">
      <formula>NOT(ISERROR(SEARCH("Baroid",M119)))</formula>
    </cfRule>
    <cfRule type="containsText" dxfId="346" priority="527" operator="containsText" text="MI">
      <formula>NOT(ISERROR(SEARCH("MI",M119)))</formula>
    </cfRule>
    <cfRule type="containsText" dxfId="345" priority="528" operator="containsText" text="EMEC">
      <formula>NOT(ISERROR(SEARCH("EMEC",M119)))</formula>
    </cfRule>
  </conditionalFormatting>
  <conditionalFormatting sqref="I125:I127">
    <cfRule type="containsText" dxfId="344" priority="524" operator="containsText" text="BHI">
      <formula>NOT(ISERROR(SEARCH("BHI",I125)))</formula>
    </cfRule>
  </conditionalFormatting>
  <conditionalFormatting sqref="I125:I127">
    <cfRule type="containsText" dxfId="343" priority="520" operator="containsText" text="SLB">
      <formula>NOT(ISERROR(SEARCH("SLB",I125)))</formula>
    </cfRule>
    <cfRule type="containsText" dxfId="342" priority="521" operator="containsText" text="WFD">
      <formula>NOT(ISERROR(SEARCH("WFD",I125)))</formula>
    </cfRule>
    <cfRule type="containsText" dxfId="341" priority="522" operator="containsText" text="HAL">
      <formula>NOT(ISERROR(SEARCH("HAL",I125)))</formula>
    </cfRule>
    <cfRule type="containsText" priority="523" operator="containsText" text="HAL">
      <formula>NOT(ISERROR(SEARCH("HAL",I125)))</formula>
    </cfRule>
  </conditionalFormatting>
  <conditionalFormatting sqref="M125:M126">
    <cfRule type="containsText" dxfId="340" priority="516" operator="containsText" text="Baker">
      <formula>NOT(ISERROR(SEARCH("Baker",M125)))</formula>
    </cfRule>
    <cfRule type="containsText" dxfId="339" priority="517" operator="containsText" text="Baroid">
      <formula>NOT(ISERROR(SEARCH("Baroid",M125)))</formula>
    </cfRule>
    <cfRule type="containsText" dxfId="338" priority="518" operator="containsText" text="MI">
      <formula>NOT(ISERROR(SEARCH("MI",M125)))</formula>
    </cfRule>
    <cfRule type="containsText" dxfId="337" priority="519" operator="containsText" text="EMEC">
      <formula>NOT(ISERROR(SEARCH("EMEC",M125)))</formula>
    </cfRule>
  </conditionalFormatting>
  <conditionalFormatting sqref="I128">
    <cfRule type="containsText" dxfId="336" priority="515" operator="containsText" text="BHI">
      <formula>NOT(ISERROR(SEARCH("BHI",I128)))</formula>
    </cfRule>
  </conditionalFormatting>
  <conditionalFormatting sqref="I128">
    <cfRule type="containsText" dxfId="335" priority="511" operator="containsText" text="SLB">
      <formula>NOT(ISERROR(SEARCH("SLB",I128)))</formula>
    </cfRule>
    <cfRule type="containsText" dxfId="334" priority="512" operator="containsText" text="WFD">
      <formula>NOT(ISERROR(SEARCH("WFD",I128)))</formula>
    </cfRule>
    <cfRule type="containsText" dxfId="333" priority="513" operator="containsText" text="HAL">
      <formula>NOT(ISERROR(SEARCH("HAL",I128)))</formula>
    </cfRule>
    <cfRule type="containsText" priority="514" operator="containsText" text="HAL">
      <formula>NOT(ISERROR(SEARCH("HAL",I128)))</formula>
    </cfRule>
  </conditionalFormatting>
  <conditionalFormatting sqref="M127">
    <cfRule type="containsText" dxfId="332" priority="503" operator="containsText" text="Baker">
      <formula>NOT(ISERROR(SEARCH("Baker",M127)))</formula>
    </cfRule>
    <cfRule type="containsText" dxfId="331" priority="504" operator="containsText" text="Baroid">
      <formula>NOT(ISERROR(SEARCH("Baroid",M127)))</formula>
    </cfRule>
    <cfRule type="containsText" dxfId="330" priority="505" operator="containsText" text="MI">
      <formula>NOT(ISERROR(SEARCH("MI",M127)))</formula>
    </cfRule>
    <cfRule type="containsText" dxfId="329" priority="506" operator="containsText" text="EMEC">
      <formula>NOT(ISERROR(SEARCH("EMEC",M127)))</formula>
    </cfRule>
  </conditionalFormatting>
  <conditionalFormatting sqref="I129">
    <cfRule type="containsText" dxfId="328" priority="502" operator="containsText" text="BHI">
      <formula>NOT(ISERROR(SEARCH("BHI",I129)))</formula>
    </cfRule>
  </conditionalFormatting>
  <conditionalFormatting sqref="I129">
    <cfRule type="containsText" dxfId="327" priority="498" operator="containsText" text="SLB">
      <formula>NOT(ISERROR(SEARCH("SLB",I129)))</formula>
    </cfRule>
    <cfRule type="containsText" dxfId="326" priority="499" operator="containsText" text="WFD">
      <formula>NOT(ISERROR(SEARCH("WFD",I129)))</formula>
    </cfRule>
    <cfRule type="containsText" dxfId="325" priority="500" operator="containsText" text="HAL">
      <formula>NOT(ISERROR(SEARCH("HAL",I129)))</formula>
    </cfRule>
    <cfRule type="containsText" priority="501" operator="containsText" text="HAL">
      <formula>NOT(ISERROR(SEARCH("HAL",I129)))</formula>
    </cfRule>
  </conditionalFormatting>
  <conditionalFormatting sqref="I132">
    <cfRule type="containsText" dxfId="324" priority="488" operator="containsText" text="BHI">
      <formula>NOT(ISERROR(SEARCH("BHI",I132)))</formula>
    </cfRule>
  </conditionalFormatting>
  <conditionalFormatting sqref="I132">
    <cfRule type="containsText" dxfId="323" priority="484" operator="containsText" text="SLB">
      <formula>NOT(ISERROR(SEARCH("SLB",I132)))</formula>
    </cfRule>
    <cfRule type="containsText" dxfId="322" priority="485" operator="containsText" text="WFD">
      <formula>NOT(ISERROR(SEARCH("WFD",I132)))</formula>
    </cfRule>
    <cfRule type="containsText" dxfId="321" priority="486" operator="containsText" text="HAL">
      <formula>NOT(ISERROR(SEARCH("HAL",I132)))</formula>
    </cfRule>
    <cfRule type="containsText" priority="487" operator="containsText" text="HAL">
      <formula>NOT(ISERROR(SEARCH("HAL",I132)))</formula>
    </cfRule>
  </conditionalFormatting>
  <conditionalFormatting sqref="I130">
    <cfRule type="containsText" dxfId="320" priority="483" operator="containsText" text="BHI">
      <formula>NOT(ISERROR(SEARCH("BHI",I130)))</formula>
    </cfRule>
  </conditionalFormatting>
  <conditionalFormatting sqref="I130">
    <cfRule type="containsText" dxfId="319" priority="479" operator="containsText" text="SLB">
      <formula>NOT(ISERROR(SEARCH("SLB",I130)))</formula>
    </cfRule>
    <cfRule type="containsText" dxfId="318" priority="480" operator="containsText" text="WFD">
      <formula>NOT(ISERROR(SEARCH("WFD",I130)))</formula>
    </cfRule>
    <cfRule type="containsText" dxfId="317" priority="481" operator="containsText" text="HAL">
      <formula>NOT(ISERROR(SEARCH("HAL",I130)))</formula>
    </cfRule>
    <cfRule type="containsText" priority="482" operator="containsText" text="HAL">
      <formula>NOT(ISERROR(SEARCH("HAL",I130)))</formula>
    </cfRule>
  </conditionalFormatting>
  <conditionalFormatting sqref="I131">
    <cfRule type="containsText" dxfId="316" priority="470" operator="containsText" text="BHI">
      <formula>NOT(ISERROR(SEARCH("BHI",I131)))</formula>
    </cfRule>
  </conditionalFormatting>
  <conditionalFormatting sqref="I131">
    <cfRule type="containsText" dxfId="315" priority="466" operator="containsText" text="SLB">
      <formula>NOT(ISERROR(SEARCH("SLB",I131)))</formula>
    </cfRule>
    <cfRule type="containsText" dxfId="314" priority="467" operator="containsText" text="WFD">
      <formula>NOT(ISERROR(SEARCH("WFD",I131)))</formula>
    </cfRule>
    <cfRule type="containsText" dxfId="313" priority="468" operator="containsText" text="HAL">
      <formula>NOT(ISERROR(SEARCH("HAL",I131)))</formula>
    </cfRule>
    <cfRule type="containsText" priority="469" operator="containsText" text="HAL">
      <formula>NOT(ISERROR(SEARCH("HAL",I131)))</formula>
    </cfRule>
  </conditionalFormatting>
  <conditionalFormatting sqref="I131">
    <cfRule type="containsText" dxfId="312" priority="464" operator="containsText" text="/">
      <formula>NOT(ISERROR(SEARCH("/",I131)))</formula>
    </cfRule>
    <cfRule type="containsText" dxfId="311" priority="465" operator="containsText" text="/">
      <formula>NOT(ISERROR(SEARCH("/",I131)))</formula>
    </cfRule>
  </conditionalFormatting>
  <conditionalFormatting sqref="I134">
    <cfRule type="containsText" dxfId="310" priority="454" operator="containsText" text="BHI">
      <formula>NOT(ISERROR(SEARCH("BHI",I134)))</formula>
    </cfRule>
  </conditionalFormatting>
  <conditionalFormatting sqref="I134">
    <cfRule type="containsText" dxfId="309" priority="450" operator="containsText" text="SLB">
      <formula>NOT(ISERROR(SEARCH("SLB",I134)))</formula>
    </cfRule>
    <cfRule type="containsText" dxfId="308" priority="451" operator="containsText" text="WFD">
      <formula>NOT(ISERROR(SEARCH("WFD",I134)))</formula>
    </cfRule>
    <cfRule type="containsText" dxfId="307" priority="452" operator="containsText" text="HAL">
      <formula>NOT(ISERROR(SEARCH("HAL",I134)))</formula>
    </cfRule>
    <cfRule type="containsText" priority="453" operator="containsText" text="HAL">
      <formula>NOT(ISERROR(SEARCH("HAL",I134)))</formula>
    </cfRule>
  </conditionalFormatting>
  <conditionalFormatting sqref="I139">
    <cfRule type="containsText" dxfId="306" priority="449" operator="containsText" text="BHI">
      <formula>NOT(ISERROR(SEARCH("BHI",I139)))</formula>
    </cfRule>
  </conditionalFormatting>
  <conditionalFormatting sqref="I139">
    <cfRule type="containsText" dxfId="305" priority="445" operator="containsText" text="SLB">
      <formula>NOT(ISERROR(SEARCH("SLB",I139)))</formula>
    </cfRule>
    <cfRule type="containsText" dxfId="304" priority="446" operator="containsText" text="WFD">
      <formula>NOT(ISERROR(SEARCH("WFD",I139)))</formula>
    </cfRule>
    <cfRule type="containsText" dxfId="303" priority="447" operator="containsText" text="HAL">
      <formula>NOT(ISERROR(SEARCH("HAL",I139)))</formula>
    </cfRule>
    <cfRule type="containsText" priority="448" operator="containsText" text="HAL">
      <formula>NOT(ISERROR(SEARCH("HAL",I139)))</formula>
    </cfRule>
  </conditionalFormatting>
  <conditionalFormatting sqref="I140">
    <cfRule type="containsText" dxfId="302" priority="437" operator="containsText" text="BHI">
      <formula>NOT(ISERROR(SEARCH("BHI",I140)))</formula>
    </cfRule>
  </conditionalFormatting>
  <conditionalFormatting sqref="I140">
    <cfRule type="containsText" dxfId="301" priority="433" operator="containsText" text="SLB">
      <formula>NOT(ISERROR(SEARCH("SLB",I140)))</formula>
    </cfRule>
    <cfRule type="containsText" dxfId="300" priority="434" operator="containsText" text="WFD">
      <formula>NOT(ISERROR(SEARCH("WFD",I140)))</formula>
    </cfRule>
    <cfRule type="containsText" dxfId="299" priority="435" operator="containsText" text="HAL">
      <formula>NOT(ISERROR(SEARCH("HAL",I140)))</formula>
    </cfRule>
    <cfRule type="containsText" priority="436" operator="containsText" text="HAL">
      <formula>NOT(ISERROR(SEARCH("HAL",I140)))</formula>
    </cfRule>
  </conditionalFormatting>
  <conditionalFormatting sqref="I140">
    <cfRule type="containsText" dxfId="298" priority="431" operator="containsText" text="/">
      <formula>NOT(ISERROR(SEARCH("/",I140)))</formula>
    </cfRule>
    <cfRule type="containsText" dxfId="297" priority="432" operator="containsText" text="/">
      <formula>NOT(ISERROR(SEARCH("/",I140)))</formula>
    </cfRule>
  </conditionalFormatting>
  <conditionalFormatting sqref="I141">
    <cfRule type="containsText" dxfId="296" priority="425" operator="containsText" text="BHI">
      <formula>NOT(ISERROR(SEARCH("BHI",I141)))</formula>
    </cfRule>
  </conditionalFormatting>
  <conditionalFormatting sqref="I141">
    <cfRule type="containsText" dxfId="295" priority="421" operator="containsText" text="SLB">
      <formula>NOT(ISERROR(SEARCH("SLB",I141)))</formula>
    </cfRule>
    <cfRule type="containsText" dxfId="294" priority="422" operator="containsText" text="WFD">
      <formula>NOT(ISERROR(SEARCH("WFD",I141)))</formula>
    </cfRule>
    <cfRule type="containsText" dxfId="293" priority="423" operator="containsText" text="HAL">
      <formula>NOT(ISERROR(SEARCH("HAL",I141)))</formula>
    </cfRule>
    <cfRule type="containsText" priority="424" operator="containsText" text="HAL">
      <formula>NOT(ISERROR(SEARCH("HAL",I141)))</formula>
    </cfRule>
  </conditionalFormatting>
  <conditionalFormatting sqref="I142">
    <cfRule type="containsText" dxfId="292" priority="420" operator="containsText" text="BHI">
      <formula>NOT(ISERROR(SEARCH("BHI",I142)))</formula>
    </cfRule>
  </conditionalFormatting>
  <conditionalFormatting sqref="I142">
    <cfRule type="containsText" dxfId="291" priority="416" operator="containsText" text="SLB">
      <formula>NOT(ISERROR(SEARCH("SLB",I142)))</formula>
    </cfRule>
    <cfRule type="containsText" dxfId="290" priority="417" operator="containsText" text="WFD">
      <formula>NOT(ISERROR(SEARCH("WFD",I142)))</formula>
    </cfRule>
    <cfRule type="containsText" dxfId="289" priority="418" operator="containsText" text="HAL">
      <formula>NOT(ISERROR(SEARCH("HAL",I142)))</formula>
    </cfRule>
    <cfRule type="containsText" priority="419" operator="containsText" text="HAL">
      <formula>NOT(ISERROR(SEARCH("HAL",I142)))</formula>
    </cfRule>
  </conditionalFormatting>
  <conditionalFormatting sqref="I143">
    <cfRule type="containsText" dxfId="288" priority="415" operator="containsText" text="BHI">
      <formula>NOT(ISERROR(SEARCH("BHI",I143)))</formula>
    </cfRule>
  </conditionalFormatting>
  <conditionalFormatting sqref="I143">
    <cfRule type="containsText" dxfId="287" priority="411" operator="containsText" text="SLB">
      <formula>NOT(ISERROR(SEARCH("SLB",I143)))</formula>
    </cfRule>
    <cfRule type="containsText" dxfId="286" priority="412" operator="containsText" text="WFD">
      <formula>NOT(ISERROR(SEARCH("WFD",I143)))</formula>
    </cfRule>
    <cfRule type="containsText" dxfId="285" priority="413" operator="containsText" text="HAL">
      <formula>NOT(ISERROR(SEARCH("HAL",I143)))</formula>
    </cfRule>
    <cfRule type="containsText" priority="414" operator="containsText" text="HAL">
      <formula>NOT(ISERROR(SEARCH("HAL",I143)))</formula>
    </cfRule>
  </conditionalFormatting>
  <conditionalFormatting sqref="I144">
    <cfRule type="containsText" dxfId="284" priority="410" operator="containsText" text="BHI">
      <formula>NOT(ISERROR(SEARCH("BHI",I144)))</formula>
    </cfRule>
  </conditionalFormatting>
  <conditionalFormatting sqref="I144">
    <cfRule type="containsText" dxfId="283" priority="406" operator="containsText" text="SLB">
      <formula>NOT(ISERROR(SEARCH("SLB",I144)))</formula>
    </cfRule>
    <cfRule type="containsText" dxfId="282" priority="407" operator="containsText" text="WFD">
      <formula>NOT(ISERROR(SEARCH("WFD",I144)))</formula>
    </cfRule>
    <cfRule type="containsText" dxfId="281" priority="408" operator="containsText" text="HAL">
      <formula>NOT(ISERROR(SEARCH("HAL",I144)))</formula>
    </cfRule>
    <cfRule type="containsText" priority="409" operator="containsText" text="HAL">
      <formula>NOT(ISERROR(SEARCH("HAL",I144)))</formula>
    </cfRule>
  </conditionalFormatting>
  <conditionalFormatting sqref="I144">
    <cfRule type="containsText" dxfId="280" priority="404" operator="containsText" text="/">
      <formula>NOT(ISERROR(SEARCH("/",I144)))</formula>
    </cfRule>
    <cfRule type="containsText" dxfId="279" priority="405" operator="containsText" text="/">
      <formula>NOT(ISERROR(SEARCH("/",I144)))</formula>
    </cfRule>
  </conditionalFormatting>
  <conditionalFormatting sqref="I133">
    <cfRule type="containsText" dxfId="278" priority="403" operator="containsText" text="BHI">
      <formula>NOT(ISERROR(SEARCH("BHI",I133)))</formula>
    </cfRule>
  </conditionalFormatting>
  <conditionalFormatting sqref="I133">
    <cfRule type="containsText" dxfId="277" priority="399" operator="containsText" text="SLB">
      <formula>NOT(ISERROR(SEARCH("SLB",I133)))</formula>
    </cfRule>
    <cfRule type="containsText" dxfId="276" priority="400" operator="containsText" text="WFD">
      <formula>NOT(ISERROR(SEARCH("WFD",I133)))</formula>
    </cfRule>
    <cfRule type="containsText" dxfId="275" priority="401" operator="containsText" text="HAL">
      <formula>NOT(ISERROR(SEARCH("HAL",I133)))</formula>
    </cfRule>
    <cfRule type="containsText" priority="402" operator="containsText" text="HAL">
      <formula>NOT(ISERROR(SEARCH("HAL",I133)))</formula>
    </cfRule>
  </conditionalFormatting>
  <conditionalFormatting sqref="I135">
    <cfRule type="containsText" dxfId="274" priority="398" operator="containsText" text="BHI">
      <formula>NOT(ISERROR(SEARCH("BHI",I135)))</formula>
    </cfRule>
  </conditionalFormatting>
  <conditionalFormatting sqref="I135">
    <cfRule type="containsText" dxfId="273" priority="394" operator="containsText" text="SLB">
      <formula>NOT(ISERROR(SEARCH("SLB",I135)))</formula>
    </cfRule>
    <cfRule type="containsText" dxfId="272" priority="395" operator="containsText" text="WFD">
      <formula>NOT(ISERROR(SEARCH("WFD",I135)))</formula>
    </cfRule>
    <cfRule type="containsText" dxfId="271" priority="396" operator="containsText" text="HAL">
      <formula>NOT(ISERROR(SEARCH("HAL",I135)))</formula>
    </cfRule>
    <cfRule type="containsText" priority="397" operator="containsText" text="HAL">
      <formula>NOT(ISERROR(SEARCH("HAL",I135)))</formula>
    </cfRule>
  </conditionalFormatting>
  <conditionalFormatting sqref="I138">
    <cfRule type="containsText" dxfId="270" priority="385" operator="containsText" text="BHI">
      <formula>NOT(ISERROR(SEARCH("BHI",I138)))</formula>
    </cfRule>
  </conditionalFormatting>
  <conditionalFormatting sqref="I138">
    <cfRule type="containsText" dxfId="269" priority="381" operator="containsText" text="SLB">
      <formula>NOT(ISERROR(SEARCH("SLB",I138)))</formula>
    </cfRule>
    <cfRule type="containsText" dxfId="268" priority="382" operator="containsText" text="WFD">
      <formula>NOT(ISERROR(SEARCH("WFD",I138)))</formula>
    </cfRule>
    <cfRule type="containsText" dxfId="267" priority="383" operator="containsText" text="HAL">
      <formula>NOT(ISERROR(SEARCH("HAL",I138)))</formula>
    </cfRule>
    <cfRule type="containsText" priority="384" operator="containsText" text="HAL">
      <formula>NOT(ISERROR(SEARCH("HAL",I138)))</formula>
    </cfRule>
  </conditionalFormatting>
  <conditionalFormatting sqref="I136">
    <cfRule type="containsText" dxfId="266" priority="375" operator="containsText" text="BHI">
      <formula>NOT(ISERROR(SEARCH("BHI",I136)))</formula>
    </cfRule>
  </conditionalFormatting>
  <conditionalFormatting sqref="I136">
    <cfRule type="containsText" dxfId="265" priority="371" operator="containsText" text="SLB">
      <formula>NOT(ISERROR(SEARCH("SLB",I136)))</formula>
    </cfRule>
    <cfRule type="containsText" dxfId="264" priority="372" operator="containsText" text="WFD">
      <formula>NOT(ISERROR(SEARCH("WFD",I136)))</formula>
    </cfRule>
    <cfRule type="containsText" dxfId="263" priority="373" operator="containsText" text="HAL">
      <formula>NOT(ISERROR(SEARCH("HAL",I136)))</formula>
    </cfRule>
    <cfRule type="containsText" priority="374" operator="containsText" text="HAL">
      <formula>NOT(ISERROR(SEARCH("HAL",I136)))</formula>
    </cfRule>
  </conditionalFormatting>
  <conditionalFormatting sqref="I137">
    <cfRule type="containsText" dxfId="262" priority="370" operator="containsText" text="BHI">
      <formula>NOT(ISERROR(SEARCH("BHI",I137)))</formula>
    </cfRule>
  </conditionalFormatting>
  <conditionalFormatting sqref="I137">
    <cfRule type="containsText" dxfId="261" priority="366" operator="containsText" text="SLB">
      <formula>NOT(ISERROR(SEARCH("SLB",I137)))</formula>
    </cfRule>
    <cfRule type="containsText" dxfId="260" priority="367" operator="containsText" text="WFD">
      <formula>NOT(ISERROR(SEARCH("WFD",I137)))</formula>
    </cfRule>
    <cfRule type="containsText" dxfId="259" priority="368" operator="containsText" text="HAL">
      <formula>NOT(ISERROR(SEARCH("HAL",I137)))</formula>
    </cfRule>
    <cfRule type="containsText" priority="369" operator="containsText" text="HAL">
      <formula>NOT(ISERROR(SEARCH("HAL",I137)))</formula>
    </cfRule>
  </conditionalFormatting>
  <conditionalFormatting sqref="I150">
    <cfRule type="containsText" dxfId="258" priority="365" operator="containsText" text="BHI">
      <formula>NOT(ISERROR(SEARCH("BHI",I150)))</formula>
    </cfRule>
  </conditionalFormatting>
  <conditionalFormatting sqref="I150">
    <cfRule type="containsText" dxfId="257" priority="361" operator="containsText" text="SLB">
      <formula>NOT(ISERROR(SEARCH("SLB",I150)))</formula>
    </cfRule>
    <cfRule type="containsText" dxfId="256" priority="362" operator="containsText" text="WFD">
      <formula>NOT(ISERROR(SEARCH("WFD",I150)))</formula>
    </cfRule>
    <cfRule type="containsText" dxfId="255" priority="363" operator="containsText" text="HAL">
      <formula>NOT(ISERROR(SEARCH("HAL",I150)))</formula>
    </cfRule>
    <cfRule type="containsText" priority="364" operator="containsText" text="HAL">
      <formula>NOT(ISERROR(SEARCH("HAL",I150)))</formula>
    </cfRule>
  </conditionalFormatting>
  <conditionalFormatting sqref="I145">
    <cfRule type="containsText" dxfId="254" priority="360" operator="containsText" text="BHI">
      <formula>NOT(ISERROR(SEARCH("BHI",I145)))</formula>
    </cfRule>
  </conditionalFormatting>
  <conditionalFormatting sqref="I145">
    <cfRule type="containsText" dxfId="253" priority="356" operator="containsText" text="SLB">
      <formula>NOT(ISERROR(SEARCH("SLB",I145)))</formula>
    </cfRule>
    <cfRule type="containsText" dxfId="252" priority="357" operator="containsText" text="WFD">
      <formula>NOT(ISERROR(SEARCH("WFD",I145)))</formula>
    </cfRule>
    <cfRule type="containsText" dxfId="251" priority="358" operator="containsText" text="HAL">
      <formula>NOT(ISERROR(SEARCH("HAL",I145)))</formula>
    </cfRule>
    <cfRule type="containsText" priority="359" operator="containsText" text="HAL">
      <formula>NOT(ISERROR(SEARCH("HAL",I145)))</formula>
    </cfRule>
  </conditionalFormatting>
  <conditionalFormatting sqref="I149">
    <cfRule type="containsText" dxfId="250" priority="355" operator="containsText" text="BHI">
      <formula>NOT(ISERROR(SEARCH("BHI",I149)))</formula>
    </cfRule>
  </conditionalFormatting>
  <conditionalFormatting sqref="I149">
    <cfRule type="containsText" dxfId="249" priority="351" operator="containsText" text="SLB">
      <formula>NOT(ISERROR(SEARCH("SLB",I149)))</formula>
    </cfRule>
    <cfRule type="containsText" dxfId="248" priority="352" operator="containsText" text="WFD">
      <formula>NOT(ISERROR(SEARCH("WFD",I149)))</formula>
    </cfRule>
    <cfRule type="containsText" dxfId="247" priority="353" operator="containsText" text="HAL">
      <formula>NOT(ISERROR(SEARCH("HAL",I149)))</formula>
    </cfRule>
    <cfRule type="containsText" priority="354" operator="containsText" text="HAL">
      <formula>NOT(ISERROR(SEARCH("HAL",I149)))</formula>
    </cfRule>
  </conditionalFormatting>
  <conditionalFormatting sqref="I148">
    <cfRule type="containsText" dxfId="246" priority="350" operator="containsText" text="BHI">
      <formula>NOT(ISERROR(SEARCH("BHI",I148)))</formula>
    </cfRule>
  </conditionalFormatting>
  <conditionalFormatting sqref="I148">
    <cfRule type="containsText" dxfId="245" priority="346" operator="containsText" text="SLB">
      <formula>NOT(ISERROR(SEARCH("SLB",I148)))</formula>
    </cfRule>
    <cfRule type="containsText" dxfId="244" priority="347" operator="containsText" text="WFD">
      <formula>NOT(ISERROR(SEARCH("WFD",I148)))</formula>
    </cfRule>
    <cfRule type="containsText" dxfId="243" priority="348" operator="containsText" text="HAL">
      <formula>NOT(ISERROR(SEARCH("HAL",I148)))</formula>
    </cfRule>
    <cfRule type="containsText" priority="349" operator="containsText" text="HAL">
      <formula>NOT(ISERROR(SEARCH("HAL",I148)))</formula>
    </cfRule>
  </conditionalFormatting>
  <conditionalFormatting sqref="I148">
    <cfRule type="containsText" dxfId="242" priority="344" operator="containsText" text="/">
      <formula>NOT(ISERROR(SEARCH("/",I148)))</formula>
    </cfRule>
    <cfRule type="containsText" dxfId="241" priority="345" operator="containsText" text="/">
      <formula>NOT(ISERROR(SEARCH("/",I148)))</formula>
    </cfRule>
  </conditionalFormatting>
  <conditionalFormatting sqref="I147">
    <cfRule type="containsText" dxfId="240" priority="343" operator="containsText" text="BHI">
      <formula>NOT(ISERROR(SEARCH("BHI",I147)))</formula>
    </cfRule>
  </conditionalFormatting>
  <conditionalFormatting sqref="I147">
    <cfRule type="containsText" dxfId="239" priority="339" operator="containsText" text="SLB">
      <formula>NOT(ISERROR(SEARCH("SLB",I147)))</formula>
    </cfRule>
    <cfRule type="containsText" dxfId="238" priority="340" operator="containsText" text="WFD">
      <formula>NOT(ISERROR(SEARCH("WFD",I147)))</formula>
    </cfRule>
    <cfRule type="containsText" dxfId="237" priority="341" operator="containsText" text="HAL">
      <formula>NOT(ISERROR(SEARCH("HAL",I147)))</formula>
    </cfRule>
    <cfRule type="containsText" priority="342" operator="containsText" text="HAL">
      <formula>NOT(ISERROR(SEARCH("HAL",I147)))</formula>
    </cfRule>
  </conditionalFormatting>
  <conditionalFormatting sqref="I146">
    <cfRule type="containsText" dxfId="236" priority="338" operator="containsText" text="BHI">
      <formula>NOT(ISERROR(SEARCH("BHI",I146)))</formula>
    </cfRule>
  </conditionalFormatting>
  <conditionalFormatting sqref="I146">
    <cfRule type="containsText" dxfId="235" priority="334" operator="containsText" text="SLB">
      <formula>NOT(ISERROR(SEARCH("SLB",I146)))</formula>
    </cfRule>
    <cfRule type="containsText" dxfId="234" priority="335" operator="containsText" text="WFD">
      <formula>NOT(ISERROR(SEARCH("WFD",I146)))</formula>
    </cfRule>
    <cfRule type="containsText" dxfId="233" priority="336" operator="containsText" text="HAL">
      <formula>NOT(ISERROR(SEARCH("HAL",I146)))</formula>
    </cfRule>
    <cfRule type="containsText" priority="337" operator="containsText" text="HAL">
      <formula>NOT(ISERROR(SEARCH("HAL",I146)))</formula>
    </cfRule>
  </conditionalFormatting>
  <conditionalFormatting sqref="I153">
    <cfRule type="containsText" dxfId="232" priority="333" operator="containsText" text="BHI">
      <formula>NOT(ISERROR(SEARCH("BHI",I153)))</formula>
    </cfRule>
  </conditionalFormatting>
  <conditionalFormatting sqref="I153">
    <cfRule type="containsText" dxfId="231" priority="329" operator="containsText" text="SLB">
      <formula>NOT(ISERROR(SEARCH("SLB",I153)))</formula>
    </cfRule>
    <cfRule type="containsText" dxfId="230" priority="330" operator="containsText" text="WFD">
      <formula>NOT(ISERROR(SEARCH("WFD",I153)))</formula>
    </cfRule>
    <cfRule type="containsText" dxfId="229" priority="331" operator="containsText" text="HAL">
      <formula>NOT(ISERROR(SEARCH("HAL",I153)))</formula>
    </cfRule>
    <cfRule type="containsText" priority="332" operator="containsText" text="HAL">
      <formula>NOT(ISERROR(SEARCH("HAL",I153)))</formula>
    </cfRule>
  </conditionalFormatting>
  <conditionalFormatting sqref="I154">
    <cfRule type="containsText" dxfId="228" priority="328" operator="containsText" text="BHI">
      <formula>NOT(ISERROR(SEARCH("BHI",I154)))</formula>
    </cfRule>
  </conditionalFormatting>
  <conditionalFormatting sqref="I154">
    <cfRule type="containsText" dxfId="227" priority="324" operator="containsText" text="SLB">
      <formula>NOT(ISERROR(SEARCH("SLB",I154)))</formula>
    </cfRule>
    <cfRule type="containsText" dxfId="226" priority="325" operator="containsText" text="WFD">
      <formula>NOT(ISERROR(SEARCH("WFD",I154)))</formula>
    </cfRule>
    <cfRule type="containsText" dxfId="225" priority="326" operator="containsText" text="HAL">
      <formula>NOT(ISERROR(SEARCH("HAL",I154)))</formula>
    </cfRule>
    <cfRule type="containsText" priority="327" operator="containsText" text="HAL">
      <formula>NOT(ISERROR(SEARCH("HAL",I154)))</formula>
    </cfRule>
  </conditionalFormatting>
  <conditionalFormatting sqref="I154">
    <cfRule type="containsText" dxfId="224" priority="322" operator="containsText" text="/">
      <formula>NOT(ISERROR(SEARCH("/",I154)))</formula>
    </cfRule>
    <cfRule type="containsText" dxfId="223" priority="323" operator="containsText" text="/">
      <formula>NOT(ISERROR(SEARCH("/",I154)))</formula>
    </cfRule>
  </conditionalFormatting>
  <conditionalFormatting sqref="I155">
    <cfRule type="containsText" dxfId="222" priority="314" operator="containsText" text="BHI">
      <formula>NOT(ISERROR(SEARCH("BHI",I155)))</formula>
    </cfRule>
  </conditionalFormatting>
  <conditionalFormatting sqref="I155">
    <cfRule type="containsText" dxfId="221" priority="310" operator="containsText" text="SLB">
      <formula>NOT(ISERROR(SEARCH("SLB",I155)))</formula>
    </cfRule>
    <cfRule type="containsText" dxfId="220" priority="311" operator="containsText" text="WFD">
      <formula>NOT(ISERROR(SEARCH("WFD",I155)))</formula>
    </cfRule>
    <cfRule type="containsText" dxfId="219" priority="312" operator="containsText" text="HAL">
      <formula>NOT(ISERROR(SEARCH("HAL",I155)))</formula>
    </cfRule>
    <cfRule type="containsText" priority="313" operator="containsText" text="HAL">
      <formula>NOT(ISERROR(SEARCH("HAL",I155)))</formula>
    </cfRule>
  </conditionalFormatting>
  <conditionalFormatting sqref="I156">
    <cfRule type="containsText" dxfId="218" priority="309" operator="containsText" text="BHI">
      <formula>NOT(ISERROR(SEARCH("BHI",I156)))</formula>
    </cfRule>
  </conditionalFormatting>
  <conditionalFormatting sqref="I156">
    <cfRule type="containsText" dxfId="217" priority="305" operator="containsText" text="SLB">
      <formula>NOT(ISERROR(SEARCH("SLB",I156)))</formula>
    </cfRule>
    <cfRule type="containsText" dxfId="216" priority="306" operator="containsText" text="WFD">
      <formula>NOT(ISERROR(SEARCH("WFD",I156)))</formula>
    </cfRule>
    <cfRule type="containsText" dxfId="215" priority="307" operator="containsText" text="HAL">
      <formula>NOT(ISERROR(SEARCH("HAL",I156)))</formula>
    </cfRule>
    <cfRule type="containsText" priority="308" operator="containsText" text="HAL">
      <formula>NOT(ISERROR(SEARCH("HAL",I156)))</formula>
    </cfRule>
  </conditionalFormatting>
  <conditionalFormatting sqref="I157">
    <cfRule type="containsText" dxfId="214" priority="304" operator="containsText" text="BHI">
      <formula>NOT(ISERROR(SEARCH("BHI",I157)))</formula>
    </cfRule>
  </conditionalFormatting>
  <conditionalFormatting sqref="I157">
    <cfRule type="containsText" dxfId="213" priority="300" operator="containsText" text="SLB">
      <formula>NOT(ISERROR(SEARCH("SLB",I157)))</formula>
    </cfRule>
    <cfRule type="containsText" dxfId="212" priority="301" operator="containsText" text="WFD">
      <formula>NOT(ISERROR(SEARCH("WFD",I157)))</formula>
    </cfRule>
    <cfRule type="containsText" dxfId="211" priority="302" operator="containsText" text="HAL">
      <formula>NOT(ISERROR(SEARCH("HAL",I157)))</formula>
    </cfRule>
    <cfRule type="containsText" priority="303" operator="containsText" text="HAL">
      <formula>NOT(ISERROR(SEARCH("HAL",I157)))</formula>
    </cfRule>
  </conditionalFormatting>
  <conditionalFormatting sqref="I157">
    <cfRule type="containsText" dxfId="210" priority="298" operator="containsText" text="/">
      <formula>NOT(ISERROR(SEARCH("/",I157)))</formula>
    </cfRule>
    <cfRule type="containsText" dxfId="209" priority="299" operator="containsText" text="/">
      <formula>NOT(ISERROR(SEARCH("/",I157)))</formula>
    </cfRule>
  </conditionalFormatting>
  <conditionalFormatting sqref="I158">
    <cfRule type="containsText" dxfId="208" priority="297" operator="containsText" text="BHI">
      <formula>NOT(ISERROR(SEARCH("BHI",I158)))</formula>
    </cfRule>
  </conditionalFormatting>
  <conditionalFormatting sqref="I158">
    <cfRule type="containsText" dxfId="207" priority="293" operator="containsText" text="SLB">
      <formula>NOT(ISERROR(SEARCH("SLB",I158)))</formula>
    </cfRule>
    <cfRule type="containsText" dxfId="206" priority="294" operator="containsText" text="WFD">
      <formula>NOT(ISERROR(SEARCH("WFD",I158)))</formula>
    </cfRule>
    <cfRule type="containsText" dxfId="205" priority="295" operator="containsText" text="HAL">
      <formula>NOT(ISERROR(SEARCH("HAL",I158)))</formula>
    </cfRule>
    <cfRule type="containsText" priority="296" operator="containsText" text="HAL">
      <formula>NOT(ISERROR(SEARCH("HAL",I158)))</formula>
    </cfRule>
  </conditionalFormatting>
  <conditionalFormatting sqref="I152">
    <cfRule type="containsText" dxfId="204" priority="292" operator="containsText" text="BHI">
      <formula>NOT(ISERROR(SEARCH("BHI",I152)))</formula>
    </cfRule>
  </conditionalFormatting>
  <conditionalFormatting sqref="I152">
    <cfRule type="containsText" dxfId="203" priority="288" operator="containsText" text="SLB">
      <formula>NOT(ISERROR(SEARCH("SLB",I152)))</formula>
    </cfRule>
    <cfRule type="containsText" dxfId="202" priority="289" operator="containsText" text="WFD">
      <formula>NOT(ISERROR(SEARCH("WFD",I152)))</formula>
    </cfRule>
    <cfRule type="containsText" dxfId="201" priority="290" operator="containsText" text="HAL">
      <formula>NOT(ISERROR(SEARCH("HAL",I152)))</formula>
    </cfRule>
    <cfRule type="containsText" priority="291" operator="containsText" text="HAL">
      <formula>NOT(ISERROR(SEARCH("HAL",I152)))</formula>
    </cfRule>
  </conditionalFormatting>
  <conditionalFormatting sqref="I152">
    <cfRule type="containsText" dxfId="200" priority="286" operator="containsText" text="/">
      <formula>NOT(ISERROR(SEARCH("/",I152)))</formula>
    </cfRule>
    <cfRule type="containsText" dxfId="199" priority="287" operator="containsText" text="/">
      <formula>NOT(ISERROR(SEARCH("/",I152)))</formula>
    </cfRule>
  </conditionalFormatting>
  <conditionalFormatting sqref="I151">
    <cfRule type="containsText" dxfId="198" priority="285" operator="containsText" text="BHI">
      <formula>NOT(ISERROR(SEARCH("BHI",I151)))</formula>
    </cfRule>
  </conditionalFormatting>
  <conditionalFormatting sqref="I151">
    <cfRule type="containsText" dxfId="197" priority="281" operator="containsText" text="SLB">
      <formula>NOT(ISERROR(SEARCH("SLB",I151)))</formula>
    </cfRule>
    <cfRule type="containsText" dxfId="196" priority="282" operator="containsText" text="WFD">
      <formula>NOT(ISERROR(SEARCH("WFD",I151)))</formula>
    </cfRule>
    <cfRule type="containsText" dxfId="195" priority="283" operator="containsText" text="HAL">
      <formula>NOT(ISERROR(SEARCH("HAL",I151)))</formula>
    </cfRule>
    <cfRule type="containsText" priority="284" operator="containsText" text="HAL">
      <formula>NOT(ISERROR(SEARCH("HAL",I151)))</formula>
    </cfRule>
  </conditionalFormatting>
  <conditionalFormatting sqref="M159">
    <cfRule type="containsText" dxfId="194" priority="277" operator="containsText" text="Baker">
      <formula>NOT(ISERROR(SEARCH("Baker",M159)))</formula>
    </cfRule>
    <cfRule type="containsText" dxfId="193" priority="278" operator="containsText" text="Baroid">
      <formula>NOT(ISERROR(SEARCH("Baroid",M159)))</formula>
    </cfRule>
    <cfRule type="containsText" dxfId="192" priority="279" operator="containsText" text="MI">
      <formula>NOT(ISERROR(SEARCH("MI",M159)))</formula>
    </cfRule>
    <cfRule type="containsText" dxfId="191" priority="280" operator="containsText" text="EMEC">
      <formula>NOT(ISERROR(SEARCH("EMEC",M159)))</formula>
    </cfRule>
  </conditionalFormatting>
  <conditionalFormatting sqref="I168">
    <cfRule type="containsText" dxfId="190" priority="264" operator="containsText" text="BHI">
      <formula>NOT(ISERROR(SEARCH("BHI",I168)))</formula>
    </cfRule>
  </conditionalFormatting>
  <conditionalFormatting sqref="I168">
    <cfRule type="containsText" dxfId="189" priority="260" operator="containsText" text="SLB">
      <formula>NOT(ISERROR(SEARCH("SLB",I168)))</formula>
    </cfRule>
    <cfRule type="containsText" dxfId="188" priority="261" operator="containsText" text="WFD">
      <formula>NOT(ISERROR(SEARCH("WFD",I168)))</formula>
    </cfRule>
    <cfRule type="containsText" dxfId="187" priority="262" operator="containsText" text="HAL">
      <formula>NOT(ISERROR(SEARCH("HAL",I168)))</formula>
    </cfRule>
    <cfRule type="containsText" priority="263" operator="containsText" text="HAL">
      <formula>NOT(ISERROR(SEARCH("HAL",I168)))</formula>
    </cfRule>
  </conditionalFormatting>
  <conditionalFormatting sqref="I168">
    <cfRule type="containsText" dxfId="186" priority="258" operator="containsText" text="/">
      <formula>NOT(ISERROR(SEARCH("/",I168)))</formula>
    </cfRule>
    <cfRule type="containsText" dxfId="185" priority="259" operator="containsText" text="/">
      <formula>NOT(ISERROR(SEARCH("/",I168)))</formula>
    </cfRule>
  </conditionalFormatting>
  <conditionalFormatting sqref="I159">
    <cfRule type="containsText" dxfId="184" priority="208" operator="containsText" text="BHI">
      <formula>NOT(ISERROR(SEARCH("BHI",I159)))</formula>
    </cfRule>
  </conditionalFormatting>
  <conditionalFormatting sqref="I159">
    <cfRule type="containsText" dxfId="183" priority="204" operator="containsText" text="SLB">
      <formula>NOT(ISERROR(SEARCH("SLB",I159)))</formula>
    </cfRule>
    <cfRule type="containsText" dxfId="182" priority="205" operator="containsText" text="WFD">
      <formula>NOT(ISERROR(SEARCH("WFD",I159)))</formula>
    </cfRule>
    <cfRule type="containsText" dxfId="181" priority="206" operator="containsText" text="HAL">
      <formula>NOT(ISERROR(SEARCH("HAL",I159)))</formula>
    </cfRule>
    <cfRule type="containsText" priority="207" operator="containsText" text="HAL">
      <formula>NOT(ISERROR(SEARCH("HAL",I159)))</formula>
    </cfRule>
  </conditionalFormatting>
  <conditionalFormatting sqref="I162">
    <cfRule type="containsText" dxfId="180" priority="203" operator="containsText" text="BHI">
      <formula>NOT(ISERROR(SEARCH("BHI",I162)))</formula>
    </cfRule>
  </conditionalFormatting>
  <conditionalFormatting sqref="I162">
    <cfRule type="containsText" dxfId="179" priority="199" operator="containsText" text="SLB">
      <formula>NOT(ISERROR(SEARCH("SLB",I162)))</formula>
    </cfRule>
    <cfRule type="containsText" dxfId="178" priority="200" operator="containsText" text="WFD">
      <formula>NOT(ISERROR(SEARCH("WFD",I162)))</formula>
    </cfRule>
    <cfRule type="containsText" dxfId="177" priority="201" operator="containsText" text="HAL">
      <formula>NOT(ISERROR(SEARCH("HAL",I162)))</formula>
    </cfRule>
    <cfRule type="containsText" priority="202" operator="containsText" text="HAL">
      <formula>NOT(ISERROR(SEARCH("HAL",I162)))</formula>
    </cfRule>
  </conditionalFormatting>
  <conditionalFormatting sqref="I160">
    <cfRule type="containsText" dxfId="176" priority="198" operator="containsText" text="BHI">
      <formula>NOT(ISERROR(SEARCH("BHI",I160)))</formula>
    </cfRule>
  </conditionalFormatting>
  <conditionalFormatting sqref="I160">
    <cfRule type="containsText" dxfId="175" priority="194" operator="containsText" text="SLB">
      <formula>NOT(ISERROR(SEARCH("SLB",I160)))</formula>
    </cfRule>
    <cfRule type="containsText" dxfId="174" priority="195" operator="containsText" text="WFD">
      <formula>NOT(ISERROR(SEARCH("WFD",I160)))</formula>
    </cfRule>
    <cfRule type="containsText" dxfId="173" priority="196" operator="containsText" text="HAL">
      <formula>NOT(ISERROR(SEARCH("HAL",I160)))</formula>
    </cfRule>
    <cfRule type="containsText" priority="197" operator="containsText" text="HAL">
      <formula>NOT(ISERROR(SEARCH("HAL",I160)))</formula>
    </cfRule>
  </conditionalFormatting>
  <conditionalFormatting sqref="I163">
    <cfRule type="containsText" dxfId="172" priority="193" operator="containsText" text="BHI">
      <formula>NOT(ISERROR(SEARCH("BHI",I163)))</formula>
    </cfRule>
  </conditionalFormatting>
  <conditionalFormatting sqref="I163">
    <cfRule type="containsText" dxfId="171" priority="189" operator="containsText" text="SLB">
      <formula>NOT(ISERROR(SEARCH("SLB",I163)))</formula>
    </cfRule>
    <cfRule type="containsText" dxfId="170" priority="190" operator="containsText" text="WFD">
      <formula>NOT(ISERROR(SEARCH("WFD",I163)))</formula>
    </cfRule>
    <cfRule type="containsText" dxfId="169" priority="191" operator="containsText" text="HAL">
      <formula>NOT(ISERROR(SEARCH("HAL",I163)))</formula>
    </cfRule>
    <cfRule type="containsText" priority="192" operator="containsText" text="HAL">
      <formula>NOT(ISERROR(SEARCH("HAL",I163)))</formula>
    </cfRule>
  </conditionalFormatting>
  <conditionalFormatting sqref="I161">
    <cfRule type="containsText" dxfId="168" priority="188" operator="containsText" text="BHI">
      <formula>NOT(ISERROR(SEARCH("BHI",I161)))</formula>
    </cfRule>
  </conditionalFormatting>
  <conditionalFormatting sqref="I161">
    <cfRule type="containsText" dxfId="167" priority="184" operator="containsText" text="SLB">
      <formula>NOT(ISERROR(SEARCH("SLB",I161)))</formula>
    </cfRule>
    <cfRule type="containsText" dxfId="166" priority="185" operator="containsText" text="WFD">
      <formula>NOT(ISERROR(SEARCH("WFD",I161)))</formula>
    </cfRule>
    <cfRule type="containsText" dxfId="165" priority="186" operator="containsText" text="HAL">
      <formula>NOT(ISERROR(SEARCH("HAL",I161)))</formula>
    </cfRule>
    <cfRule type="containsText" priority="187" operator="containsText" text="HAL">
      <formula>NOT(ISERROR(SEARCH("HAL",I161)))</formula>
    </cfRule>
  </conditionalFormatting>
  <conditionalFormatting sqref="I161">
    <cfRule type="containsText" dxfId="164" priority="182" operator="containsText" text="/">
      <formula>NOT(ISERROR(SEARCH("/",I161)))</formula>
    </cfRule>
    <cfRule type="containsText" dxfId="163" priority="183" operator="containsText" text="/">
      <formula>NOT(ISERROR(SEARCH("/",I161)))</formula>
    </cfRule>
  </conditionalFormatting>
  <conditionalFormatting sqref="I164">
    <cfRule type="containsText" dxfId="162" priority="181" operator="containsText" text="BHI">
      <formula>NOT(ISERROR(SEARCH("BHI",I164)))</formula>
    </cfRule>
  </conditionalFormatting>
  <conditionalFormatting sqref="I164">
    <cfRule type="containsText" dxfId="161" priority="177" operator="containsText" text="SLB">
      <formula>NOT(ISERROR(SEARCH("SLB",I164)))</formula>
    </cfRule>
    <cfRule type="containsText" dxfId="160" priority="178" operator="containsText" text="WFD">
      <formula>NOT(ISERROR(SEARCH("WFD",I164)))</formula>
    </cfRule>
    <cfRule type="containsText" dxfId="159" priority="179" operator="containsText" text="HAL">
      <formula>NOT(ISERROR(SEARCH("HAL",I164)))</formula>
    </cfRule>
    <cfRule type="containsText" priority="180" operator="containsText" text="HAL">
      <formula>NOT(ISERROR(SEARCH("HAL",I164)))</formula>
    </cfRule>
  </conditionalFormatting>
  <conditionalFormatting sqref="I164">
    <cfRule type="containsText" dxfId="158" priority="175" operator="containsText" text="/">
      <formula>NOT(ISERROR(SEARCH("/",I164)))</formula>
    </cfRule>
    <cfRule type="containsText" dxfId="157" priority="176" operator="containsText" text="/">
      <formula>NOT(ISERROR(SEARCH("/",I164)))</formula>
    </cfRule>
  </conditionalFormatting>
  <conditionalFormatting sqref="I165">
    <cfRule type="containsText" dxfId="156" priority="174" operator="containsText" text="BHI">
      <formula>NOT(ISERROR(SEARCH("BHI",I165)))</formula>
    </cfRule>
  </conditionalFormatting>
  <conditionalFormatting sqref="I165">
    <cfRule type="containsText" dxfId="155" priority="170" operator="containsText" text="SLB">
      <formula>NOT(ISERROR(SEARCH("SLB",I165)))</formula>
    </cfRule>
    <cfRule type="containsText" dxfId="154" priority="171" operator="containsText" text="WFD">
      <formula>NOT(ISERROR(SEARCH("WFD",I165)))</formula>
    </cfRule>
    <cfRule type="containsText" dxfId="153" priority="172" operator="containsText" text="HAL">
      <formula>NOT(ISERROR(SEARCH("HAL",I165)))</formula>
    </cfRule>
    <cfRule type="containsText" priority="173" operator="containsText" text="HAL">
      <formula>NOT(ISERROR(SEARCH("HAL",I165)))</formula>
    </cfRule>
  </conditionalFormatting>
  <conditionalFormatting sqref="I165">
    <cfRule type="containsText" dxfId="152" priority="168" operator="containsText" text="/">
      <formula>NOT(ISERROR(SEARCH("/",I165)))</formula>
    </cfRule>
    <cfRule type="containsText" dxfId="151" priority="169" operator="containsText" text="/">
      <formula>NOT(ISERROR(SEARCH("/",I165)))</formula>
    </cfRule>
  </conditionalFormatting>
  <conditionalFormatting sqref="I166">
    <cfRule type="containsText" dxfId="150" priority="167" operator="containsText" text="BHI">
      <formula>NOT(ISERROR(SEARCH("BHI",I166)))</formula>
    </cfRule>
  </conditionalFormatting>
  <conditionalFormatting sqref="I166">
    <cfRule type="containsText" dxfId="149" priority="163" operator="containsText" text="SLB">
      <formula>NOT(ISERROR(SEARCH("SLB",I166)))</formula>
    </cfRule>
    <cfRule type="containsText" dxfId="148" priority="164" operator="containsText" text="WFD">
      <formula>NOT(ISERROR(SEARCH("WFD",I166)))</formula>
    </cfRule>
    <cfRule type="containsText" dxfId="147" priority="165" operator="containsText" text="HAL">
      <formula>NOT(ISERROR(SEARCH("HAL",I166)))</formula>
    </cfRule>
    <cfRule type="containsText" priority="166" operator="containsText" text="HAL">
      <formula>NOT(ISERROR(SEARCH("HAL",I166)))</formula>
    </cfRule>
  </conditionalFormatting>
  <conditionalFormatting sqref="I166">
    <cfRule type="containsText" dxfId="146" priority="161" operator="containsText" text="/">
      <formula>NOT(ISERROR(SEARCH("/",I166)))</formula>
    </cfRule>
    <cfRule type="containsText" dxfId="145" priority="162" operator="containsText" text="/">
      <formula>NOT(ISERROR(SEARCH("/",I166)))</formula>
    </cfRule>
  </conditionalFormatting>
  <conditionalFormatting sqref="I167">
    <cfRule type="containsText" dxfId="144" priority="160" operator="containsText" text="BHI">
      <formula>NOT(ISERROR(SEARCH("BHI",I167)))</formula>
    </cfRule>
  </conditionalFormatting>
  <conditionalFormatting sqref="I167">
    <cfRule type="containsText" dxfId="143" priority="156" operator="containsText" text="SLB">
      <formula>NOT(ISERROR(SEARCH("SLB",I167)))</formula>
    </cfRule>
    <cfRule type="containsText" dxfId="142" priority="157" operator="containsText" text="WFD">
      <formula>NOT(ISERROR(SEARCH("WFD",I167)))</formula>
    </cfRule>
    <cfRule type="containsText" dxfId="141" priority="158" operator="containsText" text="HAL">
      <formula>NOT(ISERROR(SEARCH("HAL",I167)))</formula>
    </cfRule>
    <cfRule type="containsText" priority="159" operator="containsText" text="HAL">
      <formula>NOT(ISERROR(SEARCH("HAL",I167)))</formula>
    </cfRule>
  </conditionalFormatting>
  <conditionalFormatting sqref="I169">
    <cfRule type="containsText" dxfId="140" priority="130" operator="containsText" text="BHI">
      <formula>NOT(ISERROR(SEARCH("BHI",I169)))</formula>
    </cfRule>
  </conditionalFormatting>
  <conditionalFormatting sqref="I169">
    <cfRule type="containsText" dxfId="139" priority="126" operator="containsText" text="SLB">
      <formula>NOT(ISERROR(SEARCH("SLB",I169)))</formula>
    </cfRule>
    <cfRule type="containsText" dxfId="138" priority="127" operator="containsText" text="WFD">
      <formula>NOT(ISERROR(SEARCH("WFD",I169)))</formula>
    </cfRule>
    <cfRule type="containsText" dxfId="137" priority="128" operator="containsText" text="HAL">
      <formula>NOT(ISERROR(SEARCH("HAL",I169)))</formula>
    </cfRule>
    <cfRule type="containsText" priority="129" operator="containsText" text="HAL">
      <formula>NOT(ISERROR(SEARCH("HAL",I169)))</formula>
    </cfRule>
  </conditionalFormatting>
  <conditionalFormatting sqref="I170">
    <cfRule type="containsText" dxfId="136" priority="105" operator="containsText" text="BHI">
      <formula>NOT(ISERROR(SEARCH("BHI",I170)))</formula>
    </cfRule>
  </conditionalFormatting>
  <conditionalFormatting sqref="I170">
    <cfRule type="containsText" dxfId="135" priority="101" operator="containsText" text="SLB">
      <formula>NOT(ISERROR(SEARCH("SLB",I170)))</formula>
    </cfRule>
    <cfRule type="containsText" dxfId="134" priority="102" operator="containsText" text="WFD">
      <formula>NOT(ISERROR(SEARCH("WFD",I170)))</formula>
    </cfRule>
    <cfRule type="containsText" dxfId="133" priority="103" operator="containsText" text="HAL">
      <formula>NOT(ISERROR(SEARCH("HAL",I170)))</formula>
    </cfRule>
    <cfRule type="containsText" priority="104" operator="containsText" text="HAL">
      <formula>NOT(ISERROR(SEARCH("HAL",I170)))</formula>
    </cfRule>
  </conditionalFormatting>
  <conditionalFormatting sqref="I170">
    <cfRule type="containsText" dxfId="132" priority="99" operator="containsText" text="/">
      <formula>NOT(ISERROR(SEARCH("/",I170)))</formula>
    </cfRule>
    <cfRule type="containsText" dxfId="131" priority="100" operator="containsText" text="/">
      <formula>NOT(ISERROR(SEARCH("/",I170)))</formula>
    </cfRule>
  </conditionalFormatting>
  <conditionalFormatting sqref="I171">
    <cfRule type="containsText" dxfId="130" priority="98" operator="containsText" text="BHI">
      <formula>NOT(ISERROR(SEARCH("BHI",I171)))</formula>
    </cfRule>
  </conditionalFormatting>
  <conditionalFormatting sqref="I171">
    <cfRule type="containsText" dxfId="129" priority="94" operator="containsText" text="SLB">
      <formula>NOT(ISERROR(SEARCH("SLB",I171)))</formula>
    </cfRule>
    <cfRule type="containsText" dxfId="128" priority="95" operator="containsText" text="WFD">
      <formula>NOT(ISERROR(SEARCH("WFD",I171)))</formula>
    </cfRule>
    <cfRule type="containsText" dxfId="127" priority="96" operator="containsText" text="HAL">
      <formula>NOT(ISERROR(SEARCH("HAL",I171)))</formula>
    </cfRule>
    <cfRule type="containsText" priority="97" operator="containsText" text="HAL">
      <formula>NOT(ISERROR(SEARCH("HAL",I171)))</formula>
    </cfRule>
  </conditionalFormatting>
  <conditionalFormatting sqref="I172">
    <cfRule type="containsText" dxfId="126" priority="93" operator="containsText" text="BHI">
      <formula>NOT(ISERROR(SEARCH("BHI",I172)))</formula>
    </cfRule>
  </conditionalFormatting>
  <conditionalFormatting sqref="I172">
    <cfRule type="containsText" dxfId="125" priority="89" operator="containsText" text="SLB">
      <formula>NOT(ISERROR(SEARCH("SLB",I172)))</formula>
    </cfRule>
    <cfRule type="containsText" dxfId="124" priority="90" operator="containsText" text="WFD">
      <formula>NOT(ISERROR(SEARCH("WFD",I172)))</formula>
    </cfRule>
    <cfRule type="containsText" dxfId="123" priority="91" operator="containsText" text="HAL">
      <formula>NOT(ISERROR(SEARCH("HAL",I172)))</formula>
    </cfRule>
    <cfRule type="containsText" priority="92" operator="containsText" text="HAL">
      <formula>NOT(ISERROR(SEARCH("HAL",I172)))</formula>
    </cfRule>
  </conditionalFormatting>
  <conditionalFormatting sqref="I172">
    <cfRule type="containsText" dxfId="122" priority="87" operator="containsText" text="/">
      <formula>NOT(ISERROR(SEARCH("/",I172)))</formula>
    </cfRule>
    <cfRule type="containsText" dxfId="121" priority="88" operator="containsText" text="/">
      <formula>NOT(ISERROR(SEARCH("/",I172)))</formula>
    </cfRule>
  </conditionalFormatting>
  <conditionalFormatting sqref="I173">
    <cfRule type="containsText" dxfId="120" priority="86" operator="containsText" text="BHI">
      <formula>NOT(ISERROR(SEARCH("BHI",I173)))</formula>
    </cfRule>
  </conditionalFormatting>
  <conditionalFormatting sqref="I173">
    <cfRule type="containsText" dxfId="119" priority="82" operator="containsText" text="SLB">
      <formula>NOT(ISERROR(SEARCH("SLB",I173)))</formula>
    </cfRule>
    <cfRule type="containsText" dxfId="118" priority="83" operator="containsText" text="WFD">
      <formula>NOT(ISERROR(SEARCH("WFD",I173)))</formula>
    </cfRule>
    <cfRule type="containsText" dxfId="117" priority="84" operator="containsText" text="HAL">
      <formula>NOT(ISERROR(SEARCH("HAL",I173)))</formula>
    </cfRule>
    <cfRule type="containsText" priority="85" operator="containsText" text="HAL">
      <formula>NOT(ISERROR(SEARCH("HAL",I173)))</formula>
    </cfRule>
  </conditionalFormatting>
  <conditionalFormatting sqref="I174">
    <cfRule type="containsText" dxfId="116" priority="81" operator="containsText" text="BHI">
      <formula>NOT(ISERROR(SEARCH("BHI",I174)))</formula>
    </cfRule>
  </conditionalFormatting>
  <conditionalFormatting sqref="I174">
    <cfRule type="containsText" dxfId="115" priority="77" operator="containsText" text="SLB">
      <formula>NOT(ISERROR(SEARCH("SLB",I174)))</formula>
    </cfRule>
    <cfRule type="containsText" dxfId="114" priority="78" operator="containsText" text="WFD">
      <formula>NOT(ISERROR(SEARCH("WFD",I174)))</formula>
    </cfRule>
    <cfRule type="containsText" dxfId="113" priority="79" operator="containsText" text="HAL">
      <formula>NOT(ISERROR(SEARCH("HAL",I174)))</formula>
    </cfRule>
    <cfRule type="containsText" priority="80" operator="containsText" text="HAL">
      <formula>NOT(ISERROR(SEARCH("HAL",I174)))</formula>
    </cfRule>
  </conditionalFormatting>
  <conditionalFormatting sqref="I175">
    <cfRule type="containsText" dxfId="112" priority="76" operator="containsText" text="BHI">
      <formula>NOT(ISERROR(SEARCH("BHI",I175)))</formula>
    </cfRule>
  </conditionalFormatting>
  <conditionalFormatting sqref="I175">
    <cfRule type="containsText" dxfId="111" priority="72" operator="containsText" text="SLB">
      <formula>NOT(ISERROR(SEARCH("SLB",I175)))</formula>
    </cfRule>
    <cfRule type="containsText" dxfId="110" priority="73" operator="containsText" text="WFD">
      <formula>NOT(ISERROR(SEARCH("WFD",I175)))</formula>
    </cfRule>
    <cfRule type="containsText" dxfId="109" priority="74" operator="containsText" text="HAL">
      <formula>NOT(ISERROR(SEARCH("HAL",I175)))</formula>
    </cfRule>
    <cfRule type="containsText" priority="75" operator="containsText" text="HAL">
      <formula>NOT(ISERROR(SEARCH("HAL",I175)))</formula>
    </cfRule>
  </conditionalFormatting>
  <conditionalFormatting sqref="I176">
    <cfRule type="containsText" dxfId="108" priority="71" operator="containsText" text="BHI">
      <formula>NOT(ISERROR(SEARCH("BHI",I176)))</formula>
    </cfRule>
  </conditionalFormatting>
  <conditionalFormatting sqref="I176">
    <cfRule type="containsText" dxfId="107" priority="67" operator="containsText" text="SLB">
      <formula>NOT(ISERROR(SEARCH("SLB",I176)))</formula>
    </cfRule>
    <cfRule type="containsText" dxfId="106" priority="68" operator="containsText" text="WFD">
      <formula>NOT(ISERROR(SEARCH("WFD",I176)))</formula>
    </cfRule>
    <cfRule type="containsText" dxfId="105" priority="69" operator="containsText" text="HAL">
      <formula>NOT(ISERROR(SEARCH("HAL",I176)))</formula>
    </cfRule>
    <cfRule type="containsText" priority="70" operator="containsText" text="HAL">
      <formula>NOT(ISERROR(SEARCH("HAL",I176)))</formula>
    </cfRule>
  </conditionalFormatting>
  <conditionalFormatting sqref="I178">
    <cfRule type="containsText" dxfId="104" priority="62" operator="containsText" text="BHI">
      <formula>NOT(ISERROR(SEARCH("BHI",I178)))</formula>
    </cfRule>
  </conditionalFormatting>
  <conditionalFormatting sqref="I178">
    <cfRule type="containsText" dxfId="103" priority="58" operator="containsText" text="SLB">
      <formula>NOT(ISERROR(SEARCH("SLB",I178)))</formula>
    </cfRule>
    <cfRule type="containsText" dxfId="102" priority="59" operator="containsText" text="WFD">
      <formula>NOT(ISERROR(SEARCH("WFD",I178)))</formula>
    </cfRule>
    <cfRule type="containsText" dxfId="101" priority="60" operator="containsText" text="HAL">
      <formula>NOT(ISERROR(SEARCH("HAL",I178)))</formula>
    </cfRule>
    <cfRule type="containsText" priority="61" operator="containsText" text="HAL">
      <formula>NOT(ISERROR(SEARCH("HAL",I178)))</formula>
    </cfRule>
  </conditionalFormatting>
  <conditionalFormatting sqref="I177">
    <cfRule type="containsText" dxfId="100" priority="53" operator="containsText" text="BHI">
      <formula>NOT(ISERROR(SEARCH("BHI",I177)))</formula>
    </cfRule>
  </conditionalFormatting>
  <conditionalFormatting sqref="I177">
    <cfRule type="containsText" dxfId="99" priority="49" operator="containsText" text="SLB">
      <formula>NOT(ISERROR(SEARCH("SLB",I177)))</formula>
    </cfRule>
    <cfRule type="containsText" dxfId="98" priority="50" operator="containsText" text="WFD">
      <formula>NOT(ISERROR(SEARCH("WFD",I177)))</formula>
    </cfRule>
    <cfRule type="containsText" dxfId="97" priority="51" operator="containsText" text="HAL">
      <formula>NOT(ISERROR(SEARCH("HAL",I177)))</formula>
    </cfRule>
    <cfRule type="containsText" priority="52" operator="containsText" text="HAL">
      <formula>NOT(ISERROR(SEARCH("HAL",I177)))</formula>
    </cfRule>
  </conditionalFormatting>
  <conditionalFormatting sqref="I179">
    <cfRule type="containsText" dxfId="96" priority="47" operator="containsText" text="BHI">
      <formula>NOT(ISERROR(SEARCH("BHI",I179)))</formula>
    </cfRule>
  </conditionalFormatting>
  <conditionalFormatting sqref="I179">
    <cfRule type="containsText" dxfId="95" priority="43" operator="containsText" text="SLB">
      <formula>NOT(ISERROR(SEARCH("SLB",I179)))</formula>
    </cfRule>
    <cfRule type="containsText" dxfId="94" priority="44" operator="containsText" text="WFD">
      <formula>NOT(ISERROR(SEARCH("WFD",I179)))</formula>
    </cfRule>
    <cfRule type="containsText" dxfId="93" priority="45" operator="containsText" text="HAL">
      <formula>NOT(ISERROR(SEARCH("HAL",I179)))</formula>
    </cfRule>
    <cfRule type="containsText" priority="46" operator="containsText" text="HAL">
      <formula>NOT(ISERROR(SEARCH("HAL",I179)))</formula>
    </cfRule>
  </conditionalFormatting>
  <conditionalFormatting sqref="I180">
    <cfRule type="containsText" dxfId="92" priority="35" operator="containsText" text="BHI">
      <formula>NOT(ISERROR(SEARCH("BHI",I180)))</formula>
    </cfRule>
  </conditionalFormatting>
  <conditionalFormatting sqref="I180">
    <cfRule type="containsText" dxfId="91" priority="31" operator="containsText" text="SLB">
      <formula>NOT(ISERROR(SEARCH("SLB",I180)))</formula>
    </cfRule>
    <cfRule type="containsText" dxfId="90" priority="32" operator="containsText" text="WFD">
      <formula>NOT(ISERROR(SEARCH("WFD",I180)))</formula>
    </cfRule>
    <cfRule type="containsText" dxfId="89" priority="33" operator="containsText" text="HAL">
      <formula>NOT(ISERROR(SEARCH("HAL",I180)))</formula>
    </cfRule>
    <cfRule type="containsText" priority="34" operator="containsText" text="HAL">
      <formula>NOT(ISERROR(SEARCH("HAL",I180)))</formula>
    </cfRule>
  </conditionalFormatting>
  <conditionalFormatting sqref="I182">
    <cfRule type="containsText" dxfId="88" priority="29" operator="containsText" text="BHI">
      <formula>NOT(ISERROR(SEARCH("BHI",I182)))</formula>
    </cfRule>
  </conditionalFormatting>
  <conditionalFormatting sqref="I182">
    <cfRule type="containsText" dxfId="87" priority="25" operator="containsText" text="SLB">
      <formula>NOT(ISERROR(SEARCH("SLB",I182)))</formula>
    </cfRule>
    <cfRule type="containsText" dxfId="86" priority="26" operator="containsText" text="WFD">
      <formula>NOT(ISERROR(SEARCH("WFD",I182)))</formula>
    </cfRule>
    <cfRule type="containsText" dxfId="85" priority="27" operator="containsText" text="HAL">
      <formula>NOT(ISERROR(SEARCH("HAL",I182)))</formula>
    </cfRule>
    <cfRule type="containsText" priority="28" operator="containsText" text="HAL">
      <formula>NOT(ISERROR(SEARCH("HAL",I182)))</formula>
    </cfRule>
  </conditionalFormatting>
  <conditionalFormatting sqref="I183">
    <cfRule type="containsText" dxfId="84" priority="24" operator="containsText" text="BHI">
      <formula>NOT(ISERROR(SEARCH("BHI",I183)))</formula>
    </cfRule>
  </conditionalFormatting>
  <conditionalFormatting sqref="I183">
    <cfRule type="containsText" dxfId="83" priority="20" operator="containsText" text="SLB">
      <formula>NOT(ISERROR(SEARCH("SLB",I183)))</formula>
    </cfRule>
    <cfRule type="containsText" dxfId="82" priority="21" operator="containsText" text="WFD">
      <formula>NOT(ISERROR(SEARCH("WFD",I183)))</formula>
    </cfRule>
    <cfRule type="containsText" dxfId="81" priority="22" operator="containsText" text="HAL">
      <formula>NOT(ISERROR(SEARCH("HAL",I183)))</formula>
    </cfRule>
    <cfRule type="containsText" priority="23" operator="containsText" text="HAL">
      <formula>NOT(ISERROR(SEARCH("HAL",I183)))</formula>
    </cfRule>
  </conditionalFormatting>
  <conditionalFormatting sqref="I181">
    <cfRule type="containsText" dxfId="80" priority="19" operator="containsText" text="BHI">
      <formula>NOT(ISERROR(SEARCH("BHI",I181)))</formula>
    </cfRule>
  </conditionalFormatting>
  <conditionalFormatting sqref="I181">
    <cfRule type="containsText" dxfId="79" priority="15" operator="containsText" text="SLB">
      <formula>NOT(ISERROR(SEARCH("SLB",I181)))</formula>
    </cfRule>
    <cfRule type="containsText" dxfId="78" priority="16" operator="containsText" text="WFD">
      <formula>NOT(ISERROR(SEARCH("WFD",I181)))</formula>
    </cfRule>
    <cfRule type="containsText" dxfId="77" priority="17" operator="containsText" text="HAL">
      <formula>NOT(ISERROR(SEARCH("HAL",I181)))</formula>
    </cfRule>
    <cfRule type="containsText" priority="18" operator="containsText" text="HAL">
      <formula>NOT(ISERROR(SEARCH("HAL",I181)))</formula>
    </cfRule>
  </conditionalFormatting>
  <conditionalFormatting sqref="I184">
    <cfRule type="containsText" dxfId="76" priority="13" operator="containsText" text="BHI">
      <formula>NOT(ISERROR(SEARCH("BHI",I184)))</formula>
    </cfRule>
  </conditionalFormatting>
  <conditionalFormatting sqref="I184">
    <cfRule type="containsText" dxfId="75" priority="9" operator="containsText" text="SLB">
      <formula>NOT(ISERROR(SEARCH("SLB",I184)))</formula>
    </cfRule>
    <cfRule type="containsText" dxfId="74" priority="10" operator="containsText" text="WFD">
      <formula>NOT(ISERROR(SEARCH("WFD",I184)))</formula>
    </cfRule>
    <cfRule type="containsText" dxfId="73" priority="11" operator="containsText" text="HAL">
      <formula>NOT(ISERROR(SEARCH("HAL",I184)))</formula>
    </cfRule>
    <cfRule type="containsText" priority="12" operator="containsText" text="HAL">
      <formula>NOT(ISERROR(SEARCH("HAL",I184)))</formula>
    </cfRule>
  </conditionalFormatting>
  <pageMargins left="0.7" right="0.7" top="0.75" bottom="0.75" header="0.3" footer="0.3"/>
  <pageSetup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04"/>
  <sheetViews>
    <sheetView topLeftCell="O1" workbookViewId="0">
      <selection activeCell="P7" sqref="P7"/>
    </sheetView>
  </sheetViews>
  <sheetFormatPr defaultRowHeight="15" x14ac:dyDescent="0.25"/>
  <cols>
    <col min="1" max="1" width="14.140625" customWidth="1"/>
    <col min="2" max="2" width="18.85546875" customWidth="1"/>
    <col min="3" max="3" width="26.5703125" customWidth="1"/>
    <col min="11" max="11" width="11" customWidth="1"/>
    <col min="15" max="15" width="13.5703125" customWidth="1"/>
    <col min="16" max="16" width="12" customWidth="1"/>
    <col min="17" max="17" width="23.42578125" customWidth="1"/>
  </cols>
  <sheetData>
    <row r="1" spans="1:17" ht="30" x14ac:dyDescent="0.25">
      <c r="A1" t="s">
        <v>0</v>
      </c>
      <c r="B1" t="s">
        <v>268</v>
      </c>
      <c r="C1" t="s">
        <v>574</v>
      </c>
      <c r="D1" t="s">
        <v>2404</v>
      </c>
      <c r="E1" t="s">
        <v>1</v>
      </c>
      <c r="F1" t="s">
        <v>3</v>
      </c>
      <c r="G1" t="s">
        <v>6</v>
      </c>
      <c r="H1" t="s">
        <v>4</v>
      </c>
      <c r="I1" t="s">
        <v>5</v>
      </c>
      <c r="J1" t="s">
        <v>297</v>
      </c>
      <c r="K1" t="s">
        <v>7</v>
      </c>
      <c r="L1" t="s">
        <v>2</v>
      </c>
      <c r="M1" t="s">
        <v>58</v>
      </c>
      <c r="N1" t="s">
        <v>284</v>
      </c>
      <c r="O1" s="466" t="s">
        <v>481</v>
      </c>
      <c r="P1" s="463" t="s">
        <v>306</v>
      </c>
      <c r="Q1" t="s">
        <v>1691</v>
      </c>
    </row>
    <row r="2" spans="1:17" x14ac:dyDescent="0.25">
      <c r="A2" t="s">
        <v>175</v>
      </c>
      <c r="B2" t="s">
        <v>92</v>
      </c>
      <c r="C2" t="s">
        <v>738</v>
      </c>
      <c r="D2" t="s">
        <v>2005</v>
      </c>
      <c r="E2">
        <v>5</v>
      </c>
      <c r="F2" t="s">
        <v>11</v>
      </c>
      <c r="G2" t="s">
        <v>13</v>
      </c>
      <c r="H2" t="s">
        <v>12</v>
      </c>
      <c r="I2" t="s">
        <v>16</v>
      </c>
      <c r="J2" t="s">
        <v>298</v>
      </c>
      <c r="K2" t="s">
        <v>14</v>
      </c>
      <c r="L2" t="s">
        <v>1410</v>
      </c>
      <c r="M2" t="s">
        <v>74</v>
      </c>
      <c r="N2">
        <v>1</v>
      </c>
      <c r="O2" s="13">
        <v>40974</v>
      </c>
      <c r="P2" s="13">
        <v>41048</v>
      </c>
    </row>
    <row r="3" spans="1:17" x14ac:dyDescent="0.25">
      <c r="A3" t="s">
        <v>176</v>
      </c>
      <c r="B3" t="s">
        <v>94</v>
      </c>
      <c r="C3" t="s">
        <v>94</v>
      </c>
      <c r="D3" t="s">
        <v>2006</v>
      </c>
      <c r="E3">
        <v>3</v>
      </c>
      <c r="F3" t="s">
        <v>11</v>
      </c>
      <c r="G3" t="s">
        <v>17</v>
      </c>
      <c r="H3" t="s">
        <v>15</v>
      </c>
      <c r="I3" t="s">
        <v>16</v>
      </c>
      <c r="J3" t="s">
        <v>298</v>
      </c>
      <c r="K3" t="s">
        <v>18</v>
      </c>
      <c r="L3" t="s">
        <v>1410</v>
      </c>
      <c r="M3" t="s">
        <v>74</v>
      </c>
      <c r="N3">
        <v>0</v>
      </c>
      <c r="O3" s="13">
        <v>41025.541666666664</v>
      </c>
      <c r="P3" s="284">
        <v>41078.75</v>
      </c>
    </row>
    <row r="4" spans="1:17" x14ac:dyDescent="0.25">
      <c r="A4" t="s">
        <v>177</v>
      </c>
      <c r="B4" t="s">
        <v>95</v>
      </c>
      <c r="C4" t="s">
        <v>95</v>
      </c>
      <c r="D4" t="s">
        <v>2007</v>
      </c>
      <c r="E4">
        <v>5</v>
      </c>
      <c r="F4" t="s">
        <v>42</v>
      </c>
      <c r="G4" t="s">
        <v>17</v>
      </c>
      <c r="H4" t="s">
        <v>19</v>
      </c>
      <c r="I4" t="s">
        <v>20</v>
      </c>
      <c r="J4" t="s">
        <v>298</v>
      </c>
      <c r="K4" t="s">
        <v>14</v>
      </c>
      <c r="L4" t="s">
        <v>1410</v>
      </c>
      <c r="M4" t="s">
        <v>61</v>
      </c>
      <c r="N4">
        <v>0</v>
      </c>
      <c r="O4" s="13">
        <v>41006.291666666664</v>
      </c>
      <c r="P4" s="284">
        <v>41091.875</v>
      </c>
      <c r="Q4">
        <v>650</v>
      </c>
    </row>
    <row r="5" spans="1:17" x14ac:dyDescent="0.25">
      <c r="A5" t="s">
        <v>178</v>
      </c>
      <c r="B5" t="s">
        <v>96</v>
      </c>
      <c r="C5" t="s">
        <v>96</v>
      </c>
      <c r="D5" t="s">
        <v>2008</v>
      </c>
      <c r="E5">
        <v>4</v>
      </c>
      <c r="F5" t="s">
        <v>11</v>
      </c>
      <c r="G5" t="s">
        <v>22</v>
      </c>
      <c r="H5" t="s">
        <v>21</v>
      </c>
      <c r="I5" t="s">
        <v>16</v>
      </c>
      <c r="J5" t="s">
        <v>298</v>
      </c>
      <c r="K5" t="s">
        <v>18</v>
      </c>
      <c r="L5" t="s">
        <v>1410</v>
      </c>
      <c r="M5" t="s">
        <v>74</v>
      </c>
      <c r="N5">
        <v>1</v>
      </c>
      <c r="O5" s="13">
        <v>41069.708333333336</v>
      </c>
      <c r="P5" s="284">
        <v>41107.75</v>
      </c>
      <c r="Q5">
        <v>550</v>
      </c>
    </row>
    <row r="6" spans="1:17" x14ac:dyDescent="0.25">
      <c r="A6" t="s">
        <v>179</v>
      </c>
      <c r="B6" t="s">
        <v>432</v>
      </c>
      <c r="C6" t="s">
        <v>432</v>
      </c>
      <c r="D6" t="s">
        <v>2009</v>
      </c>
      <c r="E6">
        <v>4</v>
      </c>
      <c r="F6" t="s">
        <v>11</v>
      </c>
      <c r="G6" t="s">
        <v>17</v>
      </c>
      <c r="H6" t="s">
        <v>23</v>
      </c>
      <c r="I6" t="s">
        <v>24</v>
      </c>
      <c r="J6" t="s">
        <v>298</v>
      </c>
      <c r="K6" t="s">
        <v>18</v>
      </c>
      <c r="L6" t="s">
        <v>1410</v>
      </c>
      <c r="M6" t="s">
        <v>61</v>
      </c>
      <c r="N6">
        <v>0</v>
      </c>
      <c r="O6" s="13">
        <v>41046.416666666664</v>
      </c>
      <c r="P6" s="284">
        <v>41120.916666666664</v>
      </c>
      <c r="Q6">
        <v>740</v>
      </c>
    </row>
    <row r="7" spans="1:17" x14ac:dyDescent="0.25">
      <c r="A7" t="s">
        <v>180</v>
      </c>
      <c r="B7" t="s">
        <v>97</v>
      </c>
      <c r="C7" t="s">
        <v>560</v>
      </c>
      <c r="D7" t="s">
        <v>2010</v>
      </c>
      <c r="E7">
        <v>5</v>
      </c>
      <c r="F7" t="s">
        <v>42</v>
      </c>
      <c r="G7" t="s">
        <v>22</v>
      </c>
      <c r="H7" t="s">
        <v>25</v>
      </c>
      <c r="I7" t="s">
        <v>16</v>
      </c>
      <c r="J7" t="s">
        <v>298</v>
      </c>
      <c r="K7" t="s">
        <v>14</v>
      </c>
      <c r="L7" t="s">
        <v>1410</v>
      </c>
      <c r="M7" t="s">
        <v>61</v>
      </c>
      <c r="N7">
        <v>3</v>
      </c>
      <c r="O7" s="13">
        <v>41009.708333333336</v>
      </c>
      <c r="P7" s="284">
        <v>41126.25</v>
      </c>
      <c r="Q7">
        <v>900</v>
      </c>
    </row>
    <row r="8" spans="1:17" x14ac:dyDescent="0.25">
      <c r="A8" t="s">
        <v>181</v>
      </c>
      <c r="B8" t="s">
        <v>98</v>
      </c>
      <c r="C8" t="s">
        <v>537</v>
      </c>
      <c r="D8" t="s">
        <v>2011</v>
      </c>
      <c r="E8">
        <v>5</v>
      </c>
      <c r="F8" t="s">
        <v>42</v>
      </c>
      <c r="G8" t="s">
        <v>22</v>
      </c>
      <c r="H8" t="s">
        <v>26</v>
      </c>
      <c r="I8" t="s">
        <v>16</v>
      </c>
      <c r="J8" t="s">
        <v>298</v>
      </c>
      <c r="K8" t="s">
        <v>14</v>
      </c>
      <c r="L8" t="s">
        <v>1410</v>
      </c>
      <c r="M8" t="s">
        <v>60</v>
      </c>
      <c r="N8">
        <v>1</v>
      </c>
      <c r="O8" s="13">
        <v>41051.916666666664</v>
      </c>
      <c r="P8" s="284">
        <v>41130.854166666664</v>
      </c>
      <c r="Q8">
        <v>900</v>
      </c>
    </row>
    <row r="9" spans="1:17" x14ac:dyDescent="0.25">
      <c r="A9" t="s">
        <v>182</v>
      </c>
      <c r="B9" t="s">
        <v>172</v>
      </c>
      <c r="C9" t="s">
        <v>182</v>
      </c>
      <c r="D9" t="s">
        <v>2012</v>
      </c>
      <c r="E9">
        <v>4</v>
      </c>
      <c r="F9" t="s">
        <v>42</v>
      </c>
      <c r="G9" t="s">
        <v>22</v>
      </c>
      <c r="H9" t="s">
        <v>27</v>
      </c>
      <c r="I9" t="s">
        <v>20</v>
      </c>
      <c r="J9" t="s">
        <v>298</v>
      </c>
      <c r="K9" t="s">
        <v>14</v>
      </c>
      <c r="L9" t="s">
        <v>1410</v>
      </c>
      <c r="M9" t="s">
        <v>59</v>
      </c>
      <c r="N9">
        <v>3</v>
      </c>
      <c r="O9" s="13">
        <v>41005.229166666664</v>
      </c>
      <c r="P9" s="284">
        <v>41134.625</v>
      </c>
      <c r="Q9">
        <v>900</v>
      </c>
    </row>
    <row r="10" spans="1:17" x14ac:dyDescent="0.25">
      <c r="A10" t="s">
        <v>183</v>
      </c>
      <c r="B10" t="s">
        <v>99</v>
      </c>
      <c r="C10" t="s">
        <v>183</v>
      </c>
      <c r="D10" t="s">
        <v>2013</v>
      </c>
      <c r="E10">
        <v>3</v>
      </c>
      <c r="F10" t="s">
        <v>42</v>
      </c>
      <c r="G10" t="s">
        <v>22</v>
      </c>
      <c r="H10" t="s">
        <v>28</v>
      </c>
      <c r="I10" t="s">
        <v>24</v>
      </c>
      <c r="J10" t="s">
        <v>298</v>
      </c>
      <c r="K10" t="s">
        <v>14</v>
      </c>
      <c r="L10" t="s">
        <v>1410</v>
      </c>
      <c r="M10" t="s">
        <v>60</v>
      </c>
      <c r="N10">
        <v>2</v>
      </c>
      <c r="O10" s="13">
        <v>41029.041666666664</v>
      </c>
      <c r="P10" s="284">
        <v>41138.583333333336</v>
      </c>
      <c r="Q10">
        <v>900</v>
      </c>
    </row>
    <row r="11" spans="1:17" x14ac:dyDescent="0.25">
      <c r="A11" t="s">
        <v>184</v>
      </c>
      <c r="B11" t="s">
        <v>173</v>
      </c>
      <c r="C11" t="s">
        <v>536</v>
      </c>
      <c r="D11" t="s">
        <v>2014</v>
      </c>
      <c r="E11">
        <v>5</v>
      </c>
      <c r="F11" t="s">
        <v>42</v>
      </c>
      <c r="G11" t="s">
        <v>29</v>
      </c>
      <c r="H11" t="s">
        <v>12</v>
      </c>
      <c r="I11" t="s">
        <v>16</v>
      </c>
      <c r="J11" t="s">
        <v>298</v>
      </c>
      <c r="K11" t="s">
        <v>14</v>
      </c>
      <c r="L11" t="s">
        <v>1410</v>
      </c>
      <c r="M11" t="s">
        <v>61</v>
      </c>
      <c r="N11">
        <v>4</v>
      </c>
      <c r="O11" s="13">
        <v>41054</v>
      </c>
      <c r="P11" s="284">
        <v>41146.5</v>
      </c>
      <c r="Q11">
        <v>940</v>
      </c>
    </row>
    <row r="12" spans="1:17" x14ac:dyDescent="0.25">
      <c r="A12" t="s">
        <v>30</v>
      </c>
      <c r="B12" t="s">
        <v>431</v>
      </c>
      <c r="C12" t="s">
        <v>431</v>
      </c>
      <c r="D12" t="s">
        <v>2015</v>
      </c>
      <c r="E12">
        <v>3</v>
      </c>
      <c r="F12" t="s">
        <v>11</v>
      </c>
      <c r="G12" t="s">
        <v>17</v>
      </c>
      <c r="H12" t="s">
        <v>15</v>
      </c>
      <c r="I12" t="s">
        <v>20</v>
      </c>
      <c r="J12" t="s">
        <v>298</v>
      </c>
      <c r="K12" t="s">
        <v>18</v>
      </c>
      <c r="L12" t="s">
        <v>1410</v>
      </c>
      <c r="M12" t="s">
        <v>74</v>
      </c>
      <c r="N12">
        <v>1</v>
      </c>
      <c r="O12" s="13">
        <v>41079.75</v>
      </c>
      <c r="P12" s="284">
        <v>41151.25</v>
      </c>
      <c r="Q12">
        <v>740</v>
      </c>
    </row>
    <row r="13" spans="1:17" x14ac:dyDescent="0.25">
      <c r="A13" t="s">
        <v>185</v>
      </c>
      <c r="B13" t="s">
        <v>171</v>
      </c>
      <c r="C13" t="s">
        <v>739</v>
      </c>
      <c r="D13" t="s">
        <v>2016</v>
      </c>
      <c r="E13">
        <v>4</v>
      </c>
      <c r="F13" t="s">
        <v>42</v>
      </c>
      <c r="G13" t="s">
        <v>22</v>
      </c>
      <c r="H13" t="s">
        <v>31</v>
      </c>
      <c r="I13" t="s">
        <v>24</v>
      </c>
      <c r="J13" t="s">
        <v>298</v>
      </c>
      <c r="K13" t="s">
        <v>14</v>
      </c>
      <c r="L13" t="s">
        <v>1410</v>
      </c>
      <c r="M13" t="s">
        <v>74</v>
      </c>
      <c r="N13">
        <v>4</v>
      </c>
      <c r="O13" s="13">
        <v>41028.395833333336</v>
      </c>
      <c r="P13" s="284">
        <v>41164.916666666664</v>
      </c>
      <c r="Q13">
        <v>900</v>
      </c>
    </row>
    <row r="14" spans="1:17" x14ac:dyDescent="0.25">
      <c r="A14" t="s">
        <v>186</v>
      </c>
      <c r="B14" t="s">
        <v>100</v>
      </c>
      <c r="C14" t="s">
        <v>100</v>
      </c>
      <c r="D14" t="s">
        <v>2017</v>
      </c>
      <c r="E14">
        <v>2</v>
      </c>
      <c r="F14" t="s">
        <v>11</v>
      </c>
      <c r="G14" t="s">
        <v>22</v>
      </c>
      <c r="H14" t="s">
        <v>21</v>
      </c>
      <c r="I14" t="s">
        <v>16</v>
      </c>
      <c r="J14" t="s">
        <v>298</v>
      </c>
      <c r="K14" t="s">
        <v>14</v>
      </c>
      <c r="L14" t="s">
        <v>1410</v>
      </c>
      <c r="M14" t="s">
        <v>74</v>
      </c>
      <c r="N14">
        <v>1</v>
      </c>
      <c r="O14" s="13">
        <v>41115.5625</v>
      </c>
      <c r="P14" s="284">
        <v>41169.833333333336</v>
      </c>
      <c r="Q14">
        <v>550</v>
      </c>
    </row>
    <row r="15" spans="1:17" x14ac:dyDescent="0.25">
      <c r="A15" t="s">
        <v>187</v>
      </c>
      <c r="B15" t="s">
        <v>433</v>
      </c>
      <c r="C15" t="s">
        <v>433</v>
      </c>
      <c r="D15" t="s">
        <v>2018</v>
      </c>
      <c r="E15">
        <v>3</v>
      </c>
      <c r="F15" t="s">
        <v>42</v>
      </c>
      <c r="G15" t="s">
        <v>17</v>
      </c>
      <c r="H15" t="s">
        <v>32</v>
      </c>
      <c r="I15" t="s">
        <v>20</v>
      </c>
      <c r="J15" t="s">
        <v>298</v>
      </c>
      <c r="K15" t="s">
        <v>18</v>
      </c>
      <c r="L15" t="s">
        <v>1410</v>
      </c>
      <c r="M15" t="s">
        <v>60</v>
      </c>
      <c r="N15">
        <v>1</v>
      </c>
      <c r="O15" s="13">
        <v>41144.4375</v>
      </c>
      <c r="P15" s="284">
        <v>41183.125</v>
      </c>
      <c r="Q15">
        <v>650</v>
      </c>
    </row>
    <row r="16" spans="1:17" x14ac:dyDescent="0.25">
      <c r="A16" t="s">
        <v>1587</v>
      </c>
      <c r="B16" t="s">
        <v>1587</v>
      </c>
      <c r="C16" t="s">
        <v>1586</v>
      </c>
      <c r="D16" t="s">
        <v>2206</v>
      </c>
      <c r="E16">
        <v>5</v>
      </c>
      <c r="F16" t="s">
        <v>42</v>
      </c>
      <c r="G16" t="s">
        <v>22</v>
      </c>
      <c r="H16" t="s">
        <v>25</v>
      </c>
      <c r="I16" t="s">
        <v>20</v>
      </c>
      <c r="J16" t="s">
        <v>298</v>
      </c>
      <c r="K16" t="s">
        <v>18</v>
      </c>
      <c r="L16" t="s">
        <v>1410</v>
      </c>
      <c r="M16" t="s">
        <v>74</v>
      </c>
      <c r="N16">
        <v>2</v>
      </c>
      <c r="O16" s="13">
        <v>41130.541666666664</v>
      </c>
      <c r="P16" s="284">
        <v>41186.041666666664</v>
      </c>
      <c r="Q16">
        <v>900</v>
      </c>
    </row>
    <row r="17" spans="1:17" x14ac:dyDescent="0.25">
      <c r="A17" t="s">
        <v>188</v>
      </c>
      <c r="B17" t="s">
        <v>434</v>
      </c>
      <c r="C17" t="s">
        <v>434</v>
      </c>
      <c r="D17" t="s">
        <v>2019</v>
      </c>
      <c r="E17">
        <v>5</v>
      </c>
      <c r="F17" t="s">
        <v>11</v>
      </c>
      <c r="G17" t="s">
        <v>17</v>
      </c>
      <c r="H17" t="s">
        <v>26</v>
      </c>
      <c r="I17" t="s">
        <v>16</v>
      </c>
      <c r="J17" t="s">
        <v>298</v>
      </c>
      <c r="K17" t="s">
        <v>18</v>
      </c>
      <c r="L17" t="s">
        <v>1410</v>
      </c>
      <c r="M17" t="s">
        <v>60</v>
      </c>
      <c r="N17">
        <v>0</v>
      </c>
      <c r="O17" s="13">
        <v>41135.895833333336</v>
      </c>
      <c r="P17" s="284">
        <v>41186.708333333336</v>
      </c>
      <c r="Q17">
        <v>740</v>
      </c>
    </row>
    <row r="18" spans="1:17" x14ac:dyDescent="0.25">
      <c r="A18" t="s">
        <v>189</v>
      </c>
      <c r="B18" t="s">
        <v>101</v>
      </c>
      <c r="C18" t="s">
        <v>551</v>
      </c>
      <c r="D18" t="s">
        <v>2020</v>
      </c>
      <c r="E18">
        <v>5</v>
      </c>
      <c r="F18" t="s">
        <v>11</v>
      </c>
      <c r="G18" t="s">
        <v>17</v>
      </c>
      <c r="H18" t="s">
        <v>23</v>
      </c>
      <c r="I18" t="s">
        <v>24</v>
      </c>
      <c r="J18" t="s">
        <v>298</v>
      </c>
      <c r="K18" t="s">
        <v>14</v>
      </c>
      <c r="L18" t="s">
        <v>1410</v>
      </c>
      <c r="M18" t="s">
        <v>61</v>
      </c>
      <c r="N18">
        <v>0</v>
      </c>
      <c r="O18" s="13">
        <v>41125.520833333336</v>
      </c>
      <c r="P18" s="284">
        <v>41187</v>
      </c>
      <c r="Q18">
        <v>740</v>
      </c>
    </row>
    <row r="19" spans="1:17" x14ac:dyDescent="0.25">
      <c r="A19" t="s">
        <v>190</v>
      </c>
      <c r="B19" t="s">
        <v>102</v>
      </c>
      <c r="C19" t="s">
        <v>532</v>
      </c>
      <c r="D19" t="s">
        <v>2021</v>
      </c>
      <c r="E19">
        <v>4</v>
      </c>
      <c r="F19" t="s">
        <v>42</v>
      </c>
      <c r="G19" t="s">
        <v>17</v>
      </c>
      <c r="H19" t="s">
        <v>27</v>
      </c>
      <c r="I19" t="s">
        <v>16</v>
      </c>
      <c r="J19" t="s">
        <v>298</v>
      </c>
      <c r="K19" t="s">
        <v>18</v>
      </c>
      <c r="L19" t="s">
        <v>1410</v>
      </c>
      <c r="M19" t="s">
        <v>61</v>
      </c>
      <c r="N19">
        <v>2</v>
      </c>
      <c r="O19" s="13">
        <v>41138.583333333336</v>
      </c>
      <c r="P19" s="284">
        <v>41195.25</v>
      </c>
      <c r="Q19">
        <v>650</v>
      </c>
    </row>
    <row r="20" spans="1:17" x14ac:dyDescent="0.25">
      <c r="A20" t="s">
        <v>191</v>
      </c>
      <c r="B20" t="s">
        <v>103</v>
      </c>
      <c r="C20" t="s">
        <v>103</v>
      </c>
      <c r="D20" t="s">
        <v>2022</v>
      </c>
      <c r="E20">
        <v>3</v>
      </c>
      <c r="F20" t="s">
        <v>11</v>
      </c>
      <c r="G20" t="s">
        <v>22</v>
      </c>
      <c r="H20" t="s">
        <v>15</v>
      </c>
      <c r="I20" t="s">
        <v>20</v>
      </c>
      <c r="J20" t="s">
        <v>298</v>
      </c>
      <c r="K20" t="s">
        <v>18</v>
      </c>
      <c r="L20" t="s">
        <v>1410</v>
      </c>
      <c r="M20" t="s">
        <v>74</v>
      </c>
      <c r="N20">
        <v>1</v>
      </c>
      <c r="O20" s="13">
        <v>41152.375</v>
      </c>
      <c r="P20" s="284">
        <v>41204.083333333336</v>
      </c>
      <c r="Q20">
        <v>550</v>
      </c>
    </row>
    <row r="21" spans="1:17" x14ac:dyDescent="0.25">
      <c r="A21" t="s">
        <v>192</v>
      </c>
      <c r="B21" t="s">
        <v>104</v>
      </c>
      <c r="C21" t="s">
        <v>535</v>
      </c>
      <c r="D21" t="s">
        <v>2023</v>
      </c>
      <c r="E21">
        <v>5</v>
      </c>
      <c r="F21" t="s">
        <v>42</v>
      </c>
      <c r="G21" t="s">
        <v>17</v>
      </c>
      <c r="H21" t="s">
        <v>19</v>
      </c>
      <c r="I21" t="s">
        <v>24</v>
      </c>
      <c r="J21" t="s">
        <v>298</v>
      </c>
      <c r="K21" t="s">
        <v>14</v>
      </c>
      <c r="L21" t="s">
        <v>1410</v>
      </c>
      <c r="M21" t="s">
        <v>61</v>
      </c>
      <c r="N21">
        <v>5</v>
      </c>
      <c r="O21" s="13">
        <v>41100.958333333336</v>
      </c>
      <c r="P21" s="284">
        <v>41208.6875</v>
      </c>
      <c r="Q21">
        <v>650</v>
      </c>
    </row>
    <row r="22" spans="1:17" x14ac:dyDescent="0.25">
      <c r="A22" t="s">
        <v>193</v>
      </c>
      <c r="B22" t="s">
        <v>105</v>
      </c>
      <c r="C22" t="s">
        <v>105</v>
      </c>
      <c r="D22" t="s">
        <v>2024</v>
      </c>
      <c r="E22">
        <v>5</v>
      </c>
      <c r="F22" t="s">
        <v>11</v>
      </c>
      <c r="G22" t="s">
        <v>17</v>
      </c>
      <c r="H22" t="s">
        <v>12</v>
      </c>
      <c r="I22" t="s">
        <v>16</v>
      </c>
      <c r="J22" t="s">
        <v>298</v>
      </c>
      <c r="K22" t="s">
        <v>18</v>
      </c>
      <c r="L22" t="s">
        <v>1410</v>
      </c>
      <c r="M22" t="s">
        <v>74</v>
      </c>
      <c r="N22">
        <v>0</v>
      </c>
      <c r="O22" s="13">
        <v>41162.6875</v>
      </c>
      <c r="P22" s="284">
        <v>41212.458333333336</v>
      </c>
      <c r="Q22">
        <v>740</v>
      </c>
    </row>
    <row r="23" spans="1:17" x14ac:dyDescent="0.25">
      <c r="A23" t="s">
        <v>194</v>
      </c>
      <c r="B23" t="s">
        <v>106</v>
      </c>
      <c r="C23" t="s">
        <v>529</v>
      </c>
      <c r="D23" t="s">
        <v>2025</v>
      </c>
      <c r="E23">
        <v>2</v>
      </c>
      <c r="F23" t="s">
        <v>42</v>
      </c>
      <c r="G23" t="s">
        <v>29</v>
      </c>
      <c r="H23" t="s">
        <v>31</v>
      </c>
      <c r="I23" t="s">
        <v>20</v>
      </c>
      <c r="J23" t="s">
        <v>298</v>
      </c>
      <c r="K23" t="s">
        <v>18</v>
      </c>
      <c r="L23" t="s">
        <v>1410</v>
      </c>
      <c r="M23" t="s">
        <v>74</v>
      </c>
      <c r="N23">
        <v>2</v>
      </c>
      <c r="O23" s="13">
        <v>41157.75</v>
      </c>
      <c r="P23" s="284">
        <v>41213.5</v>
      </c>
      <c r="Q23">
        <v>940</v>
      </c>
    </row>
    <row r="24" spans="1:17" x14ac:dyDescent="0.25">
      <c r="A24" t="s">
        <v>195</v>
      </c>
      <c r="B24" t="s">
        <v>435</v>
      </c>
      <c r="C24" t="s">
        <v>435</v>
      </c>
      <c r="D24" t="s">
        <v>2026</v>
      </c>
      <c r="E24">
        <v>5</v>
      </c>
      <c r="F24" t="s">
        <v>11</v>
      </c>
      <c r="G24" t="s">
        <v>17</v>
      </c>
      <c r="H24" t="s">
        <v>23</v>
      </c>
      <c r="I24" t="s">
        <v>16</v>
      </c>
      <c r="J24" t="s">
        <v>34</v>
      </c>
      <c r="K24" t="s">
        <v>18</v>
      </c>
      <c r="L24" t="s">
        <v>1410</v>
      </c>
      <c r="M24" t="s">
        <v>61</v>
      </c>
      <c r="N24">
        <v>0</v>
      </c>
      <c r="O24" s="13">
        <v>41191</v>
      </c>
      <c r="P24" s="284">
        <v>41233.875</v>
      </c>
    </row>
    <row r="25" spans="1:17" x14ac:dyDescent="0.25">
      <c r="A25" t="s">
        <v>196</v>
      </c>
      <c r="B25" t="s">
        <v>107</v>
      </c>
      <c r="C25" t="s">
        <v>561</v>
      </c>
      <c r="D25" t="s">
        <v>2027</v>
      </c>
      <c r="E25">
        <v>1</v>
      </c>
      <c r="F25" t="s">
        <v>11</v>
      </c>
      <c r="G25" t="s">
        <v>22</v>
      </c>
      <c r="H25" t="s">
        <v>35</v>
      </c>
      <c r="I25" t="s">
        <v>16</v>
      </c>
      <c r="J25" t="s">
        <v>298</v>
      </c>
      <c r="K25" t="s">
        <v>14</v>
      </c>
      <c r="L25" t="s">
        <v>1410</v>
      </c>
      <c r="M25" t="s">
        <v>74</v>
      </c>
      <c r="N25">
        <v>1</v>
      </c>
      <c r="O25" s="13">
        <v>41159.770833333336</v>
      </c>
      <c r="P25" s="284">
        <v>41236.583333333336</v>
      </c>
      <c r="Q25">
        <v>550</v>
      </c>
    </row>
    <row r="26" spans="1:17" x14ac:dyDescent="0.25">
      <c r="A26" t="s">
        <v>197</v>
      </c>
      <c r="B26" t="s">
        <v>108</v>
      </c>
      <c r="C26" t="s">
        <v>108</v>
      </c>
      <c r="D26" t="s">
        <v>2028</v>
      </c>
      <c r="E26">
        <v>1</v>
      </c>
      <c r="F26" t="s">
        <v>42</v>
      </c>
      <c r="G26" t="s">
        <v>17</v>
      </c>
      <c r="H26" t="s">
        <v>36</v>
      </c>
      <c r="I26" t="s">
        <v>20</v>
      </c>
      <c r="J26" t="s">
        <v>298</v>
      </c>
      <c r="K26" t="s">
        <v>14</v>
      </c>
      <c r="L26" t="s">
        <v>1410</v>
      </c>
      <c r="M26" t="s">
        <v>60</v>
      </c>
      <c r="N26">
        <v>0</v>
      </c>
      <c r="O26" s="13">
        <v>41172.9375</v>
      </c>
      <c r="P26" s="284">
        <v>41236.708333333336</v>
      </c>
      <c r="Q26">
        <v>650</v>
      </c>
    </row>
    <row r="27" spans="1:17" x14ac:dyDescent="0.25">
      <c r="A27" t="s">
        <v>198</v>
      </c>
      <c r="B27" t="s">
        <v>436</v>
      </c>
      <c r="C27" t="s">
        <v>436</v>
      </c>
      <c r="D27" t="s">
        <v>2029</v>
      </c>
      <c r="E27">
        <v>2</v>
      </c>
      <c r="F27" t="s">
        <v>11</v>
      </c>
      <c r="G27" t="s">
        <v>17</v>
      </c>
      <c r="H27" t="s">
        <v>27</v>
      </c>
      <c r="I27" t="s">
        <v>16</v>
      </c>
      <c r="J27" t="s">
        <v>298</v>
      </c>
      <c r="K27" t="s">
        <v>18</v>
      </c>
      <c r="L27" t="s">
        <v>1410</v>
      </c>
      <c r="M27" t="s">
        <v>61</v>
      </c>
      <c r="N27">
        <v>0</v>
      </c>
      <c r="O27" s="13">
        <v>41197.250066666667</v>
      </c>
      <c r="P27" s="284">
        <v>41245.666666666664</v>
      </c>
      <c r="Q27">
        <v>740</v>
      </c>
    </row>
    <row r="28" spans="1:17" x14ac:dyDescent="0.25">
      <c r="A28" t="s">
        <v>199</v>
      </c>
      <c r="B28" t="s">
        <v>109</v>
      </c>
      <c r="C28" t="s">
        <v>109</v>
      </c>
      <c r="D28" t="s">
        <v>2030</v>
      </c>
      <c r="E28">
        <v>1</v>
      </c>
      <c r="F28" t="s">
        <v>42</v>
      </c>
      <c r="G28" t="s">
        <v>29</v>
      </c>
      <c r="H28" t="s">
        <v>28</v>
      </c>
      <c r="I28" t="s">
        <v>24</v>
      </c>
      <c r="J28" t="s">
        <v>298</v>
      </c>
      <c r="K28" t="s">
        <v>14</v>
      </c>
      <c r="L28" t="s">
        <v>1410</v>
      </c>
      <c r="M28" t="s">
        <v>60</v>
      </c>
      <c r="N28">
        <v>0</v>
      </c>
      <c r="O28" s="13">
        <v>41188.083333333336</v>
      </c>
      <c r="P28" s="284">
        <v>41255.083333333336</v>
      </c>
      <c r="Q28">
        <v>940</v>
      </c>
    </row>
    <row r="29" spans="1:17" x14ac:dyDescent="0.25">
      <c r="A29" t="s">
        <v>200</v>
      </c>
      <c r="B29" t="s">
        <v>110</v>
      </c>
      <c r="C29" t="s">
        <v>110</v>
      </c>
      <c r="D29" t="s">
        <v>2031</v>
      </c>
      <c r="E29">
        <v>5</v>
      </c>
      <c r="F29" t="s">
        <v>42</v>
      </c>
      <c r="G29" t="s">
        <v>17</v>
      </c>
      <c r="H29" t="s">
        <v>25</v>
      </c>
      <c r="I29" t="s">
        <v>20</v>
      </c>
      <c r="J29" t="s">
        <v>298</v>
      </c>
      <c r="K29" t="s">
        <v>18</v>
      </c>
      <c r="L29" t="s">
        <v>1410</v>
      </c>
      <c r="M29" t="s">
        <v>74</v>
      </c>
      <c r="N29">
        <v>2</v>
      </c>
      <c r="O29" s="13">
        <v>41187.166666666664</v>
      </c>
      <c r="P29" s="284">
        <v>41262.125</v>
      </c>
      <c r="Q29">
        <v>650</v>
      </c>
    </row>
    <row r="30" spans="1:17" x14ac:dyDescent="0.25">
      <c r="A30" t="s">
        <v>201</v>
      </c>
      <c r="B30" t="s">
        <v>111</v>
      </c>
      <c r="C30" t="s">
        <v>111</v>
      </c>
      <c r="D30" t="s">
        <v>2032</v>
      </c>
      <c r="E30">
        <v>2</v>
      </c>
      <c r="F30" t="s">
        <v>42</v>
      </c>
      <c r="G30" t="s">
        <v>22</v>
      </c>
      <c r="H30" t="s">
        <v>37</v>
      </c>
      <c r="I30" t="s">
        <v>16</v>
      </c>
      <c r="J30" t="s">
        <v>298</v>
      </c>
      <c r="K30" t="s">
        <v>14</v>
      </c>
      <c r="L30" t="s">
        <v>1410</v>
      </c>
      <c r="M30" t="s">
        <v>74</v>
      </c>
      <c r="N30">
        <v>1</v>
      </c>
      <c r="O30" s="13">
        <v>41201.916666666664</v>
      </c>
      <c r="P30" s="284">
        <v>41262.958333333336</v>
      </c>
      <c r="Q30">
        <v>900</v>
      </c>
    </row>
    <row r="31" spans="1:17" x14ac:dyDescent="0.25">
      <c r="A31" t="s">
        <v>202</v>
      </c>
      <c r="B31" t="s">
        <v>112</v>
      </c>
      <c r="C31" t="s">
        <v>112</v>
      </c>
      <c r="D31" t="s">
        <v>2033</v>
      </c>
      <c r="E31">
        <v>1</v>
      </c>
      <c r="F31" t="s">
        <v>11</v>
      </c>
      <c r="G31" t="s">
        <v>29</v>
      </c>
      <c r="H31" t="s">
        <v>38</v>
      </c>
      <c r="I31" t="s">
        <v>16</v>
      </c>
      <c r="J31" t="s">
        <v>298</v>
      </c>
      <c r="K31" t="s">
        <v>14</v>
      </c>
      <c r="L31" t="s">
        <v>1410</v>
      </c>
      <c r="M31" t="s">
        <v>74</v>
      </c>
      <c r="N31">
        <v>1</v>
      </c>
      <c r="O31" s="13">
        <v>41170.458333333336</v>
      </c>
      <c r="P31" s="284">
        <v>41264.208333333336</v>
      </c>
      <c r="Q31">
        <v>630</v>
      </c>
    </row>
    <row r="32" spans="1:17" x14ac:dyDescent="0.25">
      <c r="A32" t="s">
        <v>203</v>
      </c>
      <c r="B32" t="s">
        <v>113</v>
      </c>
      <c r="C32" t="s">
        <v>113</v>
      </c>
      <c r="D32" t="s">
        <v>2034</v>
      </c>
      <c r="E32">
        <v>2</v>
      </c>
      <c r="F32" t="s">
        <v>11</v>
      </c>
      <c r="G32" t="s">
        <v>22</v>
      </c>
      <c r="H32" t="s">
        <v>21</v>
      </c>
      <c r="I32" t="s">
        <v>24</v>
      </c>
      <c r="J32" t="s">
        <v>298</v>
      </c>
      <c r="K32" t="s">
        <v>14</v>
      </c>
      <c r="L32" t="s">
        <v>1410</v>
      </c>
      <c r="M32" t="s">
        <v>74</v>
      </c>
      <c r="N32">
        <v>2</v>
      </c>
      <c r="O32" s="13">
        <v>41174.583333333336</v>
      </c>
      <c r="P32" s="284">
        <v>41272.5</v>
      </c>
      <c r="Q32">
        <v>550</v>
      </c>
    </row>
    <row r="33" spans="1:17" x14ac:dyDescent="0.25">
      <c r="A33" t="s">
        <v>204</v>
      </c>
      <c r="B33" t="s">
        <v>114</v>
      </c>
      <c r="C33" t="s">
        <v>114</v>
      </c>
      <c r="D33" t="s">
        <v>2035</v>
      </c>
      <c r="E33">
        <v>2</v>
      </c>
      <c r="F33" t="s">
        <v>42</v>
      </c>
      <c r="G33" t="s">
        <v>22</v>
      </c>
      <c r="H33" t="s">
        <v>31</v>
      </c>
      <c r="I33" t="s">
        <v>24</v>
      </c>
      <c r="J33" t="s">
        <v>298</v>
      </c>
      <c r="K33" t="s">
        <v>14</v>
      </c>
      <c r="L33" t="s">
        <v>1410</v>
      </c>
      <c r="M33" t="s">
        <v>74</v>
      </c>
      <c r="N33">
        <v>1</v>
      </c>
      <c r="O33" s="13">
        <v>41216.479166666664</v>
      </c>
      <c r="P33" s="284">
        <v>41282.625</v>
      </c>
      <c r="Q33">
        <v>900</v>
      </c>
    </row>
    <row r="34" spans="1:17" x14ac:dyDescent="0.25">
      <c r="A34" t="s">
        <v>205</v>
      </c>
      <c r="B34" t="s">
        <v>170</v>
      </c>
      <c r="C34" t="s">
        <v>170</v>
      </c>
      <c r="D34" t="s">
        <v>2036</v>
      </c>
      <c r="E34">
        <v>1</v>
      </c>
      <c r="F34" t="s">
        <v>11</v>
      </c>
      <c r="G34" t="s">
        <v>22</v>
      </c>
      <c r="H34" t="s">
        <v>15</v>
      </c>
      <c r="I34" t="s">
        <v>16</v>
      </c>
      <c r="J34" t="s">
        <v>298</v>
      </c>
      <c r="K34" t="s">
        <v>14</v>
      </c>
      <c r="L34" t="s">
        <v>1410</v>
      </c>
      <c r="M34" t="s">
        <v>74</v>
      </c>
      <c r="N34">
        <v>1</v>
      </c>
      <c r="O34" s="13">
        <v>41205.270833333336</v>
      </c>
      <c r="P34" s="284">
        <v>41283.75</v>
      </c>
      <c r="Q34">
        <v>550</v>
      </c>
    </row>
    <row r="35" spans="1:17" x14ac:dyDescent="0.25">
      <c r="A35" t="s">
        <v>206</v>
      </c>
      <c r="B35" t="s">
        <v>437</v>
      </c>
      <c r="C35" t="s">
        <v>437</v>
      </c>
      <c r="D35" t="s">
        <v>2037</v>
      </c>
      <c r="E35">
        <v>1</v>
      </c>
      <c r="F35" t="s">
        <v>42</v>
      </c>
      <c r="G35" t="s">
        <v>17</v>
      </c>
      <c r="H35" t="s">
        <v>28</v>
      </c>
      <c r="I35" t="s">
        <v>20</v>
      </c>
      <c r="J35" t="s">
        <v>34</v>
      </c>
      <c r="K35" t="s">
        <v>18</v>
      </c>
      <c r="L35" t="s">
        <v>1410</v>
      </c>
      <c r="M35" t="s">
        <v>60</v>
      </c>
      <c r="N35">
        <v>1</v>
      </c>
      <c r="O35" s="13">
        <v>41262</v>
      </c>
      <c r="P35" s="284">
        <v>41289.75</v>
      </c>
    </row>
    <row r="36" spans="1:17" x14ac:dyDescent="0.25">
      <c r="A36" t="s">
        <v>207</v>
      </c>
      <c r="B36" t="s">
        <v>115</v>
      </c>
      <c r="C36" t="s">
        <v>115</v>
      </c>
      <c r="D36" t="s">
        <v>2038</v>
      </c>
      <c r="E36">
        <v>5</v>
      </c>
      <c r="F36" t="s">
        <v>42</v>
      </c>
      <c r="G36" t="s">
        <v>22</v>
      </c>
      <c r="H36" t="s">
        <v>12</v>
      </c>
      <c r="I36" t="s">
        <v>16</v>
      </c>
      <c r="J36" t="s">
        <v>298</v>
      </c>
      <c r="K36" t="s">
        <v>14</v>
      </c>
      <c r="L36" t="s">
        <v>1410</v>
      </c>
      <c r="M36" t="s">
        <v>74</v>
      </c>
      <c r="N36">
        <v>1</v>
      </c>
      <c r="O36" s="13">
        <v>41229.25</v>
      </c>
      <c r="P36" s="284">
        <v>41292.833333333336</v>
      </c>
      <c r="Q36">
        <v>900</v>
      </c>
    </row>
    <row r="37" spans="1:17" x14ac:dyDescent="0.25">
      <c r="A37" t="s">
        <v>208</v>
      </c>
      <c r="B37" t="s">
        <v>169</v>
      </c>
      <c r="C37" t="s">
        <v>169</v>
      </c>
      <c r="D37" t="s">
        <v>2039</v>
      </c>
      <c r="E37">
        <v>5</v>
      </c>
      <c r="F37" t="s">
        <v>11</v>
      </c>
      <c r="G37" t="s">
        <v>22</v>
      </c>
      <c r="H37" t="s">
        <v>19</v>
      </c>
      <c r="I37" t="s">
        <v>20</v>
      </c>
      <c r="J37" t="s">
        <v>298</v>
      </c>
      <c r="K37" t="s">
        <v>14</v>
      </c>
      <c r="L37" t="s">
        <v>1410</v>
      </c>
      <c r="M37" t="s">
        <v>61</v>
      </c>
      <c r="N37">
        <v>2</v>
      </c>
      <c r="O37" s="13">
        <v>41210.416666666664</v>
      </c>
      <c r="P37" s="284">
        <v>41297.25</v>
      </c>
      <c r="Q37">
        <v>550</v>
      </c>
    </row>
    <row r="38" spans="1:17" x14ac:dyDescent="0.25">
      <c r="A38" t="s">
        <v>209</v>
      </c>
      <c r="B38" t="s">
        <v>116</v>
      </c>
      <c r="C38" t="s">
        <v>116</v>
      </c>
      <c r="D38" t="s">
        <v>2040</v>
      </c>
      <c r="E38">
        <v>1</v>
      </c>
      <c r="F38" t="s">
        <v>42</v>
      </c>
      <c r="G38" t="s">
        <v>22</v>
      </c>
      <c r="H38" t="s">
        <v>36</v>
      </c>
      <c r="I38" t="s">
        <v>16</v>
      </c>
      <c r="J38" t="s">
        <v>298</v>
      </c>
      <c r="K38" t="s">
        <v>14</v>
      </c>
      <c r="L38" t="s">
        <v>1410</v>
      </c>
      <c r="M38" t="s">
        <v>60</v>
      </c>
      <c r="N38">
        <v>1</v>
      </c>
      <c r="O38" s="13">
        <v>41243.145833333336</v>
      </c>
      <c r="P38" s="284">
        <v>41300.416666666664</v>
      </c>
      <c r="Q38">
        <v>900</v>
      </c>
    </row>
    <row r="39" spans="1:17" x14ac:dyDescent="0.25">
      <c r="A39" t="s">
        <v>210</v>
      </c>
      <c r="B39" t="s">
        <v>117</v>
      </c>
      <c r="C39" t="s">
        <v>117</v>
      </c>
      <c r="D39" t="s">
        <v>2041</v>
      </c>
      <c r="E39">
        <v>1</v>
      </c>
      <c r="F39" t="s">
        <v>11</v>
      </c>
      <c r="G39" t="s">
        <v>22</v>
      </c>
      <c r="H39" t="s">
        <v>38</v>
      </c>
      <c r="I39" t="s">
        <v>24</v>
      </c>
      <c r="J39" t="s">
        <v>298</v>
      </c>
      <c r="K39" t="s">
        <v>18</v>
      </c>
      <c r="L39" t="s">
        <v>1410</v>
      </c>
      <c r="M39" t="s">
        <v>59</v>
      </c>
      <c r="N39">
        <v>1</v>
      </c>
      <c r="O39" s="13">
        <v>41269.666666666664</v>
      </c>
      <c r="P39" s="284">
        <v>41305.770833333336</v>
      </c>
      <c r="Q39">
        <v>550</v>
      </c>
    </row>
    <row r="40" spans="1:17" x14ac:dyDescent="0.25">
      <c r="A40" t="s">
        <v>211</v>
      </c>
      <c r="B40" t="s">
        <v>118</v>
      </c>
      <c r="C40" t="s">
        <v>118</v>
      </c>
      <c r="D40" t="s">
        <v>2042</v>
      </c>
      <c r="E40">
        <v>2</v>
      </c>
      <c r="F40" t="s">
        <v>42</v>
      </c>
      <c r="G40" t="s">
        <v>22</v>
      </c>
      <c r="H40" t="s">
        <v>37</v>
      </c>
      <c r="I40" t="s">
        <v>16</v>
      </c>
      <c r="J40" t="s">
        <v>298</v>
      </c>
      <c r="K40" t="s">
        <v>14</v>
      </c>
      <c r="L40" t="s">
        <v>1410</v>
      </c>
      <c r="M40" t="s">
        <v>74</v>
      </c>
      <c r="N40">
        <v>1</v>
      </c>
      <c r="O40" s="13">
        <v>41267.5</v>
      </c>
      <c r="P40" s="284">
        <v>41315.25</v>
      </c>
      <c r="Q40">
        <v>900</v>
      </c>
    </row>
    <row r="41" spans="1:17" x14ac:dyDescent="0.25">
      <c r="A41" t="s">
        <v>212</v>
      </c>
      <c r="B41" t="s">
        <v>119</v>
      </c>
      <c r="C41" t="s">
        <v>119</v>
      </c>
      <c r="D41" t="s">
        <v>2043</v>
      </c>
      <c r="E41">
        <v>5</v>
      </c>
      <c r="F41" t="s">
        <v>11</v>
      </c>
      <c r="G41" t="s">
        <v>22</v>
      </c>
      <c r="H41" t="s">
        <v>23</v>
      </c>
      <c r="I41" t="s">
        <v>20</v>
      </c>
      <c r="J41" t="s">
        <v>298</v>
      </c>
      <c r="K41" t="s">
        <v>14</v>
      </c>
      <c r="L41" t="s">
        <v>1410</v>
      </c>
      <c r="M41" t="s">
        <v>61</v>
      </c>
      <c r="N41">
        <v>2</v>
      </c>
      <c r="O41" s="13">
        <v>41237.791666666664</v>
      </c>
      <c r="P41" s="284">
        <v>41315.958333333336</v>
      </c>
      <c r="Q41">
        <v>550</v>
      </c>
    </row>
    <row r="42" spans="1:17" x14ac:dyDescent="0.25">
      <c r="A42" t="s">
        <v>213</v>
      </c>
      <c r="B42" t="s">
        <v>174</v>
      </c>
      <c r="C42" t="s">
        <v>174</v>
      </c>
      <c r="D42" t="s">
        <v>2044</v>
      </c>
      <c r="E42">
        <v>2</v>
      </c>
      <c r="F42" t="s">
        <v>11</v>
      </c>
      <c r="G42" t="s">
        <v>22</v>
      </c>
      <c r="H42" t="s">
        <v>27</v>
      </c>
      <c r="I42" t="s">
        <v>20</v>
      </c>
      <c r="J42" t="s">
        <v>298</v>
      </c>
      <c r="K42" t="s">
        <v>14</v>
      </c>
      <c r="L42" t="s">
        <v>1410</v>
      </c>
      <c r="M42" t="s">
        <v>61</v>
      </c>
      <c r="N42">
        <v>1</v>
      </c>
      <c r="O42" s="13">
        <v>41249</v>
      </c>
      <c r="P42" s="17">
        <v>41322.25</v>
      </c>
      <c r="Q42">
        <v>550</v>
      </c>
    </row>
    <row r="43" spans="1:17" x14ac:dyDescent="0.25">
      <c r="A43" t="s">
        <v>214</v>
      </c>
      <c r="B43" t="s">
        <v>168</v>
      </c>
      <c r="C43" t="s">
        <v>553</v>
      </c>
      <c r="D43" t="s">
        <v>2045</v>
      </c>
      <c r="E43">
        <v>1</v>
      </c>
      <c r="F43" t="s">
        <v>11</v>
      </c>
      <c r="G43" t="s">
        <v>22</v>
      </c>
      <c r="H43" t="s">
        <v>15</v>
      </c>
      <c r="I43" t="s">
        <v>16</v>
      </c>
      <c r="J43" t="s">
        <v>298</v>
      </c>
      <c r="K43" t="s">
        <v>14</v>
      </c>
      <c r="L43" t="s">
        <v>1410</v>
      </c>
      <c r="M43" t="s">
        <v>74</v>
      </c>
      <c r="N43">
        <v>2</v>
      </c>
      <c r="O43" s="13">
        <v>41284.9375</v>
      </c>
      <c r="P43" s="284">
        <v>41334.666666666664</v>
      </c>
      <c r="Q43">
        <v>550</v>
      </c>
    </row>
    <row r="44" spans="1:17" x14ac:dyDescent="0.25">
      <c r="A44" t="s">
        <v>215</v>
      </c>
      <c r="B44" t="s">
        <v>167</v>
      </c>
      <c r="C44" t="s">
        <v>540</v>
      </c>
      <c r="D44" t="s">
        <v>2046</v>
      </c>
      <c r="E44">
        <v>5</v>
      </c>
      <c r="F44" t="s">
        <v>42</v>
      </c>
      <c r="G44" t="s">
        <v>22</v>
      </c>
      <c r="H44" t="s">
        <v>25</v>
      </c>
      <c r="I44" t="s">
        <v>16</v>
      </c>
      <c r="J44" t="s">
        <v>298</v>
      </c>
      <c r="K44" t="s">
        <v>14</v>
      </c>
      <c r="L44" t="s">
        <v>1410</v>
      </c>
      <c r="M44" t="s">
        <v>74</v>
      </c>
      <c r="N44">
        <v>4</v>
      </c>
      <c r="O44" s="13">
        <v>41264.708333333336</v>
      </c>
      <c r="P44" s="17">
        <v>41336.041666666664</v>
      </c>
      <c r="Q44">
        <v>900</v>
      </c>
    </row>
    <row r="45" spans="1:17" x14ac:dyDescent="0.25">
      <c r="A45" t="s">
        <v>216</v>
      </c>
      <c r="B45" t="s">
        <v>171</v>
      </c>
      <c r="C45" t="s">
        <v>562</v>
      </c>
      <c r="D45" t="s">
        <v>2047</v>
      </c>
      <c r="E45">
        <v>2</v>
      </c>
      <c r="F45" t="s">
        <v>42</v>
      </c>
      <c r="G45" t="s">
        <v>22</v>
      </c>
      <c r="H45" t="s">
        <v>37</v>
      </c>
      <c r="I45" t="s">
        <v>39</v>
      </c>
      <c r="J45" t="s">
        <v>298</v>
      </c>
      <c r="K45" t="s">
        <v>18</v>
      </c>
      <c r="L45" t="s">
        <v>1416</v>
      </c>
      <c r="M45" t="s">
        <v>74</v>
      </c>
      <c r="N45">
        <v>0</v>
      </c>
      <c r="O45" s="13">
        <v>41318.666666666664</v>
      </c>
      <c r="P45" s="17">
        <v>41337.979166666664</v>
      </c>
      <c r="Q45">
        <v>900</v>
      </c>
    </row>
    <row r="46" spans="1:17" x14ac:dyDescent="0.25">
      <c r="A46" t="s">
        <v>217</v>
      </c>
      <c r="B46" t="s">
        <v>120</v>
      </c>
      <c r="C46" t="s">
        <v>552</v>
      </c>
      <c r="D46" t="s">
        <v>2048</v>
      </c>
      <c r="E46">
        <v>1</v>
      </c>
      <c r="F46" t="s">
        <v>11</v>
      </c>
      <c r="G46" t="s">
        <v>22</v>
      </c>
      <c r="H46" t="s">
        <v>35</v>
      </c>
      <c r="I46" t="s">
        <v>40</v>
      </c>
      <c r="J46" t="s">
        <v>298</v>
      </c>
      <c r="K46" t="s">
        <v>14</v>
      </c>
      <c r="L46" t="s">
        <v>1410</v>
      </c>
      <c r="M46" t="s">
        <v>74</v>
      </c>
      <c r="N46">
        <v>2</v>
      </c>
      <c r="O46" s="13">
        <v>41238.083333333336</v>
      </c>
      <c r="P46" s="284">
        <v>41340.083333333336</v>
      </c>
      <c r="Q46">
        <v>550</v>
      </c>
    </row>
    <row r="47" spans="1:17" x14ac:dyDescent="0.25">
      <c r="A47" t="s">
        <v>218</v>
      </c>
      <c r="B47" t="s">
        <v>121</v>
      </c>
      <c r="C47" t="s">
        <v>121</v>
      </c>
      <c r="D47" t="s">
        <v>2049</v>
      </c>
      <c r="E47">
        <v>1</v>
      </c>
      <c r="F47" t="s">
        <v>42</v>
      </c>
      <c r="G47" t="s">
        <v>22</v>
      </c>
      <c r="H47" t="s">
        <v>28</v>
      </c>
      <c r="I47" t="s">
        <v>40</v>
      </c>
      <c r="J47" t="s">
        <v>298</v>
      </c>
      <c r="K47" t="s">
        <v>14</v>
      </c>
      <c r="L47" t="s">
        <v>1410</v>
      </c>
      <c r="M47" t="s">
        <v>60</v>
      </c>
      <c r="N47">
        <v>1</v>
      </c>
      <c r="O47" s="13">
        <v>41294.416666666664</v>
      </c>
      <c r="P47" s="284">
        <v>41342.25</v>
      </c>
      <c r="Q47">
        <v>900</v>
      </c>
    </row>
    <row r="48" spans="1:17" x14ac:dyDescent="0.25">
      <c r="A48" t="s">
        <v>219</v>
      </c>
      <c r="B48" t="s">
        <v>122</v>
      </c>
      <c r="C48" t="s">
        <v>122</v>
      </c>
      <c r="D48" t="s">
        <v>2050</v>
      </c>
      <c r="E48">
        <v>1</v>
      </c>
      <c r="F48" t="s">
        <v>42</v>
      </c>
      <c r="G48" t="s">
        <v>29</v>
      </c>
      <c r="H48" t="s">
        <v>36</v>
      </c>
      <c r="I48" t="s">
        <v>20</v>
      </c>
      <c r="J48" t="s">
        <v>298</v>
      </c>
      <c r="K48" t="s">
        <v>14</v>
      </c>
      <c r="L48" t="s">
        <v>1410</v>
      </c>
      <c r="M48" t="s">
        <v>60</v>
      </c>
      <c r="N48">
        <v>0</v>
      </c>
      <c r="O48" s="13">
        <v>41300.458333333336</v>
      </c>
      <c r="P48" s="284">
        <v>41342.25</v>
      </c>
      <c r="Q48">
        <v>940</v>
      </c>
    </row>
    <row r="49" spans="1:17" x14ac:dyDescent="0.25">
      <c r="A49" t="s">
        <v>220</v>
      </c>
      <c r="B49" t="s">
        <v>123</v>
      </c>
      <c r="C49" t="s">
        <v>123</v>
      </c>
      <c r="D49" t="s">
        <v>2051</v>
      </c>
      <c r="E49">
        <v>5</v>
      </c>
      <c r="F49" t="s">
        <v>11</v>
      </c>
      <c r="G49" t="s">
        <v>22</v>
      </c>
      <c r="H49" t="s">
        <v>12</v>
      </c>
      <c r="I49" t="s">
        <v>41</v>
      </c>
      <c r="J49" t="s">
        <v>298</v>
      </c>
      <c r="K49" t="s">
        <v>14</v>
      </c>
      <c r="L49" t="s">
        <v>1410</v>
      </c>
      <c r="M49" t="s">
        <v>74</v>
      </c>
      <c r="N49">
        <v>1</v>
      </c>
      <c r="O49" s="13">
        <v>41299.416666666664</v>
      </c>
      <c r="P49" s="284">
        <v>41346.875</v>
      </c>
      <c r="Q49">
        <v>550</v>
      </c>
    </row>
    <row r="50" spans="1:17" x14ac:dyDescent="0.25">
      <c r="A50" t="s">
        <v>221</v>
      </c>
      <c r="B50" t="s">
        <v>166</v>
      </c>
      <c r="C50" t="s">
        <v>541</v>
      </c>
      <c r="D50" t="s">
        <v>2052</v>
      </c>
      <c r="E50">
        <v>2</v>
      </c>
      <c r="F50" t="s">
        <v>42</v>
      </c>
      <c r="G50" t="s">
        <v>29</v>
      </c>
      <c r="H50" t="s">
        <v>31</v>
      </c>
      <c r="I50" t="s">
        <v>16</v>
      </c>
      <c r="J50" t="s">
        <v>298</v>
      </c>
      <c r="K50" t="s">
        <v>14</v>
      </c>
      <c r="L50" t="s">
        <v>1416</v>
      </c>
      <c r="M50" t="s">
        <v>74</v>
      </c>
      <c r="N50">
        <v>2</v>
      </c>
      <c r="O50" s="13">
        <v>41285.25</v>
      </c>
      <c r="P50" s="284">
        <v>41349.5625</v>
      </c>
      <c r="Q50">
        <v>940</v>
      </c>
    </row>
    <row r="51" spans="1:17" x14ac:dyDescent="0.25">
      <c r="A51" t="s">
        <v>222</v>
      </c>
      <c r="B51" t="s">
        <v>124</v>
      </c>
      <c r="C51" t="s">
        <v>124</v>
      </c>
      <c r="D51" t="s">
        <v>2053</v>
      </c>
      <c r="E51">
        <v>2</v>
      </c>
      <c r="F51" t="s">
        <v>11</v>
      </c>
      <c r="G51" t="s">
        <v>17</v>
      </c>
      <c r="H51" t="s">
        <v>27</v>
      </c>
      <c r="I51" t="s">
        <v>20</v>
      </c>
      <c r="J51" t="s">
        <v>298</v>
      </c>
      <c r="K51" t="s">
        <v>18</v>
      </c>
      <c r="L51" t="s">
        <v>1410</v>
      </c>
      <c r="M51" t="s">
        <v>59</v>
      </c>
      <c r="N51">
        <v>0</v>
      </c>
      <c r="O51" s="13">
        <v>41324.958333333336</v>
      </c>
      <c r="P51" s="284">
        <v>41356.75</v>
      </c>
      <c r="Q51">
        <v>740</v>
      </c>
    </row>
    <row r="52" spans="1:17" x14ac:dyDescent="0.25">
      <c r="A52" t="s">
        <v>223</v>
      </c>
      <c r="B52" t="s">
        <v>125</v>
      </c>
      <c r="C52" t="s">
        <v>125</v>
      </c>
      <c r="D52" t="s">
        <v>2054</v>
      </c>
      <c r="E52">
        <v>2</v>
      </c>
      <c r="F52" t="s">
        <v>11</v>
      </c>
      <c r="G52" t="s">
        <v>22</v>
      </c>
      <c r="H52" t="s">
        <v>21</v>
      </c>
      <c r="I52" t="s">
        <v>24</v>
      </c>
      <c r="J52" t="s">
        <v>298</v>
      </c>
      <c r="K52" t="s">
        <v>14</v>
      </c>
      <c r="L52" t="s">
        <v>1410</v>
      </c>
      <c r="M52" t="s">
        <v>74</v>
      </c>
      <c r="N52">
        <v>1</v>
      </c>
      <c r="O52" s="13">
        <v>41306.479166666664</v>
      </c>
      <c r="P52" s="284">
        <v>41357.979166666664</v>
      </c>
      <c r="Q52">
        <v>550</v>
      </c>
    </row>
    <row r="53" spans="1:17" x14ac:dyDescent="0.25">
      <c r="A53" t="s">
        <v>224</v>
      </c>
      <c r="B53" t="s">
        <v>126</v>
      </c>
      <c r="C53" t="s">
        <v>126</v>
      </c>
      <c r="D53" t="s">
        <v>2055</v>
      </c>
      <c r="E53">
        <v>2</v>
      </c>
      <c r="F53" t="s">
        <v>11</v>
      </c>
      <c r="G53" t="s">
        <v>17</v>
      </c>
      <c r="H53" t="s">
        <v>37</v>
      </c>
      <c r="I53" t="s">
        <v>24</v>
      </c>
      <c r="J53" t="s">
        <v>298</v>
      </c>
      <c r="K53" t="s">
        <v>18</v>
      </c>
      <c r="L53" t="s">
        <v>1410</v>
      </c>
      <c r="M53" t="s">
        <v>74</v>
      </c>
      <c r="N53">
        <v>0</v>
      </c>
      <c r="O53" s="13">
        <v>41341.083333333336</v>
      </c>
      <c r="P53" s="284">
        <v>41372.208333333336</v>
      </c>
      <c r="Q53">
        <v>740</v>
      </c>
    </row>
    <row r="54" spans="1:17" x14ac:dyDescent="0.25">
      <c r="A54" t="s">
        <v>225</v>
      </c>
      <c r="B54" t="s">
        <v>438</v>
      </c>
      <c r="C54" t="s">
        <v>438</v>
      </c>
      <c r="D54" t="s">
        <v>2056</v>
      </c>
      <c r="E54">
        <v>1</v>
      </c>
      <c r="F54" t="s">
        <v>11</v>
      </c>
      <c r="G54" t="s">
        <v>17</v>
      </c>
      <c r="H54" t="s">
        <v>36</v>
      </c>
      <c r="I54" t="s">
        <v>24</v>
      </c>
      <c r="J54" t="s">
        <v>298</v>
      </c>
      <c r="K54" t="s">
        <v>18</v>
      </c>
      <c r="L54" t="s">
        <v>1410</v>
      </c>
      <c r="M54" t="s">
        <v>60</v>
      </c>
      <c r="N54">
        <v>0</v>
      </c>
      <c r="O54" s="13">
        <v>41343.666666666664</v>
      </c>
      <c r="P54" s="284">
        <v>41382.791666666664</v>
      </c>
      <c r="Q54">
        <v>740</v>
      </c>
    </row>
    <row r="55" spans="1:17" x14ac:dyDescent="0.25">
      <c r="A55" t="s">
        <v>226</v>
      </c>
      <c r="B55" t="s">
        <v>127</v>
      </c>
      <c r="C55" t="s">
        <v>549</v>
      </c>
      <c r="D55" t="s">
        <v>2057</v>
      </c>
      <c r="E55">
        <v>5</v>
      </c>
      <c r="F55" t="s">
        <v>11</v>
      </c>
      <c r="G55" t="s">
        <v>13</v>
      </c>
      <c r="H55" t="s">
        <v>23</v>
      </c>
      <c r="I55" t="s">
        <v>16</v>
      </c>
      <c r="J55" t="s">
        <v>298</v>
      </c>
      <c r="K55" t="s">
        <v>14</v>
      </c>
      <c r="L55" t="s">
        <v>1416</v>
      </c>
      <c r="M55" t="s">
        <v>61</v>
      </c>
      <c r="N55">
        <v>1</v>
      </c>
      <c r="O55" s="13">
        <v>41319.9375</v>
      </c>
      <c r="P55" s="284">
        <v>41385.833333333336</v>
      </c>
      <c r="Q55" t="s">
        <v>1411</v>
      </c>
    </row>
    <row r="56" spans="1:17" x14ac:dyDescent="0.25">
      <c r="A56" t="s">
        <v>227</v>
      </c>
      <c r="B56" t="s">
        <v>128</v>
      </c>
      <c r="C56" t="s">
        <v>550</v>
      </c>
      <c r="D56" t="s">
        <v>2058</v>
      </c>
      <c r="E56">
        <v>1</v>
      </c>
      <c r="F56" t="s">
        <v>11</v>
      </c>
      <c r="G56" t="s">
        <v>17</v>
      </c>
      <c r="H56" t="s">
        <v>38</v>
      </c>
      <c r="I56" t="s">
        <v>16</v>
      </c>
      <c r="J56" t="s">
        <v>298</v>
      </c>
      <c r="K56" t="s">
        <v>14</v>
      </c>
      <c r="L56" t="s">
        <v>1410</v>
      </c>
      <c r="M56" t="s">
        <v>59</v>
      </c>
      <c r="N56">
        <v>1</v>
      </c>
      <c r="O56" s="13">
        <v>41312.916666666664</v>
      </c>
      <c r="P56" s="284">
        <v>41386.75</v>
      </c>
      <c r="Q56">
        <v>740</v>
      </c>
    </row>
    <row r="57" spans="1:17" x14ac:dyDescent="0.25">
      <c r="A57" t="s">
        <v>228</v>
      </c>
      <c r="B57" t="s">
        <v>129</v>
      </c>
      <c r="C57" t="s">
        <v>129</v>
      </c>
      <c r="D57" t="s">
        <v>2059</v>
      </c>
      <c r="E57">
        <v>1</v>
      </c>
      <c r="F57" t="s">
        <v>11</v>
      </c>
      <c r="G57" t="s">
        <v>17</v>
      </c>
      <c r="H57" t="s">
        <v>28</v>
      </c>
      <c r="I57" t="s">
        <v>16</v>
      </c>
      <c r="J57" t="s">
        <v>298</v>
      </c>
      <c r="K57" t="s">
        <v>18</v>
      </c>
      <c r="L57" t="s">
        <v>1410</v>
      </c>
      <c r="M57" t="s">
        <v>60</v>
      </c>
      <c r="N57">
        <v>0</v>
      </c>
      <c r="O57" s="13">
        <v>41352.75</v>
      </c>
      <c r="P57" s="284">
        <v>41387.25</v>
      </c>
      <c r="Q57">
        <v>740</v>
      </c>
    </row>
    <row r="58" spans="1:17" x14ac:dyDescent="0.25">
      <c r="A58" t="s">
        <v>229</v>
      </c>
      <c r="B58" t="s">
        <v>439</v>
      </c>
      <c r="C58" t="s">
        <v>439</v>
      </c>
      <c r="D58" t="s">
        <v>2060</v>
      </c>
      <c r="E58">
        <v>2</v>
      </c>
      <c r="F58" t="s">
        <v>42</v>
      </c>
      <c r="G58" t="s">
        <v>17</v>
      </c>
      <c r="H58" t="s">
        <v>31</v>
      </c>
      <c r="I58" t="s">
        <v>16</v>
      </c>
      <c r="J58" t="s">
        <v>298</v>
      </c>
      <c r="K58" t="s">
        <v>18</v>
      </c>
      <c r="L58" t="s">
        <v>1410</v>
      </c>
      <c r="M58" t="s">
        <v>74</v>
      </c>
      <c r="N58">
        <v>1</v>
      </c>
      <c r="O58" s="13">
        <v>41352.75</v>
      </c>
      <c r="P58" s="284">
        <v>41392.708333333336</v>
      </c>
      <c r="Q58">
        <v>650</v>
      </c>
    </row>
    <row r="59" spans="1:17" x14ac:dyDescent="0.25">
      <c r="A59" t="s">
        <v>230</v>
      </c>
      <c r="B59" t="s">
        <v>440</v>
      </c>
      <c r="C59" t="s">
        <v>440</v>
      </c>
      <c r="D59" t="s">
        <v>2061</v>
      </c>
      <c r="E59">
        <v>2</v>
      </c>
      <c r="F59" t="s">
        <v>42</v>
      </c>
      <c r="G59" t="s">
        <v>17</v>
      </c>
      <c r="H59" t="s">
        <v>21</v>
      </c>
      <c r="I59" t="s">
        <v>20</v>
      </c>
      <c r="J59" t="s">
        <v>298</v>
      </c>
      <c r="K59" t="s">
        <v>18</v>
      </c>
      <c r="L59" t="s">
        <v>1410</v>
      </c>
      <c r="M59" t="s">
        <v>74</v>
      </c>
      <c r="N59">
        <v>1</v>
      </c>
      <c r="O59" s="13">
        <v>41364.583333333336</v>
      </c>
      <c r="P59" s="284">
        <v>41404.833333333336</v>
      </c>
      <c r="Q59">
        <v>650</v>
      </c>
    </row>
    <row r="60" spans="1:17" x14ac:dyDescent="0.25">
      <c r="A60" t="s">
        <v>43</v>
      </c>
      <c r="B60" t="s">
        <v>43</v>
      </c>
      <c r="C60" t="s">
        <v>43</v>
      </c>
      <c r="D60" t="s">
        <v>2062</v>
      </c>
      <c r="E60">
        <v>5</v>
      </c>
      <c r="F60" t="s">
        <v>11</v>
      </c>
      <c r="G60" t="s">
        <v>44</v>
      </c>
      <c r="H60" t="s">
        <v>19</v>
      </c>
      <c r="I60" t="s">
        <v>41</v>
      </c>
      <c r="J60" t="s">
        <v>298</v>
      </c>
      <c r="K60" t="s">
        <v>14</v>
      </c>
      <c r="L60" t="s">
        <v>1410</v>
      </c>
      <c r="M60" t="s">
        <v>61</v>
      </c>
      <c r="N60">
        <v>3</v>
      </c>
      <c r="O60" s="13">
        <v>41298.229166666664</v>
      </c>
      <c r="P60" s="284">
        <v>41411.25</v>
      </c>
      <c r="Q60">
        <v>920</v>
      </c>
    </row>
    <row r="61" spans="1:17" x14ac:dyDescent="0.25">
      <c r="A61" t="s">
        <v>231</v>
      </c>
      <c r="B61" t="s">
        <v>165</v>
      </c>
      <c r="C61" t="s">
        <v>539</v>
      </c>
      <c r="D61" t="s">
        <v>2063</v>
      </c>
      <c r="E61">
        <v>5</v>
      </c>
      <c r="F61" t="s">
        <v>42</v>
      </c>
      <c r="G61" t="s">
        <v>22</v>
      </c>
      <c r="H61" t="s">
        <v>25</v>
      </c>
      <c r="I61" t="s">
        <v>16</v>
      </c>
      <c r="J61" t="s">
        <v>298</v>
      </c>
      <c r="K61" t="s">
        <v>14</v>
      </c>
      <c r="L61" t="s">
        <v>1416</v>
      </c>
      <c r="M61" t="s">
        <v>74</v>
      </c>
      <c r="N61">
        <v>2</v>
      </c>
      <c r="O61" s="13">
        <v>41337.833333333336</v>
      </c>
      <c r="P61" s="284">
        <v>41417.354166666664</v>
      </c>
      <c r="Q61">
        <v>900</v>
      </c>
    </row>
    <row r="62" spans="1:17" x14ac:dyDescent="0.25">
      <c r="A62" t="s">
        <v>232</v>
      </c>
      <c r="B62" t="s">
        <v>130</v>
      </c>
      <c r="C62" t="s">
        <v>546</v>
      </c>
      <c r="D62" t="s">
        <v>2064</v>
      </c>
      <c r="E62">
        <v>5</v>
      </c>
      <c r="F62" t="s">
        <v>11</v>
      </c>
      <c r="G62" t="s">
        <v>17</v>
      </c>
      <c r="H62" t="s">
        <v>12</v>
      </c>
      <c r="I62" t="s">
        <v>24</v>
      </c>
      <c r="J62" t="s">
        <v>298</v>
      </c>
      <c r="K62" t="s">
        <v>18</v>
      </c>
      <c r="L62" t="s">
        <v>1410</v>
      </c>
      <c r="M62" t="s">
        <v>74</v>
      </c>
      <c r="N62">
        <v>2</v>
      </c>
      <c r="O62" s="13">
        <v>41352.854166666664</v>
      </c>
      <c r="P62" s="284">
        <v>41418.958333333336</v>
      </c>
      <c r="Q62">
        <v>740</v>
      </c>
    </row>
    <row r="63" spans="1:17" x14ac:dyDescent="0.25">
      <c r="A63" t="s">
        <v>233</v>
      </c>
      <c r="B63" t="s">
        <v>131</v>
      </c>
      <c r="C63" t="s">
        <v>524</v>
      </c>
      <c r="D63" t="s">
        <v>2065</v>
      </c>
      <c r="E63">
        <v>5</v>
      </c>
      <c r="F63" t="s">
        <v>42</v>
      </c>
      <c r="G63" t="s">
        <v>17</v>
      </c>
      <c r="H63" t="s">
        <v>23</v>
      </c>
      <c r="I63" t="s">
        <v>16</v>
      </c>
      <c r="J63" t="s">
        <v>298</v>
      </c>
      <c r="K63" t="s">
        <v>18</v>
      </c>
      <c r="L63" t="s">
        <v>1410</v>
      </c>
      <c r="M63" t="s">
        <v>61</v>
      </c>
      <c r="N63">
        <v>1</v>
      </c>
      <c r="O63" s="13">
        <v>41389.291666666664</v>
      </c>
      <c r="P63" s="284">
        <v>41427.5</v>
      </c>
      <c r="Q63">
        <v>650</v>
      </c>
    </row>
    <row r="64" spans="1:17" x14ac:dyDescent="0.25">
      <c r="A64" t="s">
        <v>234</v>
      </c>
      <c r="B64" t="s">
        <v>132</v>
      </c>
      <c r="C64" t="s">
        <v>528</v>
      </c>
      <c r="D64" t="s">
        <v>2066</v>
      </c>
      <c r="E64">
        <v>2</v>
      </c>
      <c r="F64" t="s">
        <v>42</v>
      </c>
      <c r="G64" t="s">
        <v>29</v>
      </c>
      <c r="H64" t="s">
        <v>31</v>
      </c>
      <c r="I64" t="s">
        <v>16</v>
      </c>
      <c r="J64" t="s">
        <v>298</v>
      </c>
      <c r="K64" t="s">
        <v>18</v>
      </c>
      <c r="L64" t="s">
        <v>1410</v>
      </c>
      <c r="M64" t="s">
        <v>74</v>
      </c>
      <c r="N64">
        <v>2</v>
      </c>
      <c r="O64" s="13">
        <v>41395.729166666664</v>
      </c>
      <c r="P64" s="284">
        <v>41434.854166666664</v>
      </c>
      <c r="Q64">
        <v>940</v>
      </c>
    </row>
    <row r="65" spans="1:17" x14ac:dyDescent="0.25">
      <c r="A65" t="s">
        <v>235</v>
      </c>
      <c r="B65" t="s">
        <v>133</v>
      </c>
      <c r="C65" t="s">
        <v>133</v>
      </c>
      <c r="D65" t="s">
        <v>2067</v>
      </c>
      <c r="E65">
        <v>1</v>
      </c>
      <c r="F65" t="s">
        <v>42</v>
      </c>
      <c r="G65" t="s">
        <v>29</v>
      </c>
      <c r="H65" t="s">
        <v>36</v>
      </c>
      <c r="I65" t="s">
        <v>24</v>
      </c>
      <c r="J65" t="s">
        <v>298</v>
      </c>
      <c r="K65" t="s">
        <v>14</v>
      </c>
      <c r="L65" t="s">
        <v>1410</v>
      </c>
      <c r="M65" t="s">
        <v>60</v>
      </c>
      <c r="N65">
        <v>1</v>
      </c>
      <c r="O65" s="13">
        <v>41385.5</v>
      </c>
      <c r="P65" s="284">
        <v>41435.666666666664</v>
      </c>
      <c r="Q65">
        <v>940</v>
      </c>
    </row>
    <row r="66" spans="1:17" x14ac:dyDescent="0.25">
      <c r="A66" t="s">
        <v>237</v>
      </c>
      <c r="B66" t="s">
        <v>164</v>
      </c>
      <c r="C66" t="s">
        <v>533</v>
      </c>
      <c r="D66" t="s">
        <v>2068</v>
      </c>
      <c r="E66">
        <v>2</v>
      </c>
      <c r="F66" t="s">
        <v>42</v>
      </c>
      <c r="G66" t="s">
        <v>29</v>
      </c>
      <c r="H66" t="s">
        <v>21</v>
      </c>
      <c r="I66" t="s">
        <v>16</v>
      </c>
      <c r="J66" t="s">
        <v>298</v>
      </c>
      <c r="K66" t="s">
        <v>18</v>
      </c>
      <c r="L66" t="s">
        <v>1416</v>
      </c>
      <c r="M66" t="s">
        <v>74</v>
      </c>
      <c r="N66">
        <v>1</v>
      </c>
      <c r="O66" s="13">
        <v>41415.25</v>
      </c>
      <c r="P66" s="284">
        <v>41442.479166666664</v>
      </c>
      <c r="Q66">
        <v>940</v>
      </c>
    </row>
    <row r="67" spans="1:17" x14ac:dyDescent="0.25">
      <c r="A67" t="s">
        <v>236</v>
      </c>
      <c r="B67" t="s">
        <v>134</v>
      </c>
      <c r="C67" t="s">
        <v>134</v>
      </c>
      <c r="D67" t="s">
        <v>2069</v>
      </c>
      <c r="E67">
        <v>1</v>
      </c>
      <c r="F67" t="s">
        <v>11</v>
      </c>
      <c r="G67" t="s">
        <v>17</v>
      </c>
      <c r="H67" t="s">
        <v>38</v>
      </c>
      <c r="I67" t="s">
        <v>24</v>
      </c>
      <c r="J67" t="s">
        <v>298</v>
      </c>
      <c r="K67" t="s">
        <v>18</v>
      </c>
      <c r="L67" t="s">
        <v>1410</v>
      </c>
      <c r="M67" t="s">
        <v>59</v>
      </c>
      <c r="N67">
        <v>0</v>
      </c>
      <c r="O67" s="13">
        <v>41410.416666666664</v>
      </c>
      <c r="P67" s="284">
        <v>41444.541666666664</v>
      </c>
      <c r="Q67">
        <v>740</v>
      </c>
    </row>
    <row r="68" spans="1:17" x14ac:dyDescent="0.25">
      <c r="A68" t="s">
        <v>238</v>
      </c>
      <c r="B68" t="s">
        <v>420</v>
      </c>
      <c r="C68" t="s">
        <v>238</v>
      </c>
      <c r="D68" t="s">
        <v>2070</v>
      </c>
      <c r="E68">
        <v>2</v>
      </c>
      <c r="F68" t="s">
        <v>42</v>
      </c>
      <c r="G68" t="s">
        <v>29</v>
      </c>
      <c r="H68" t="s">
        <v>37</v>
      </c>
      <c r="I68" t="s">
        <v>45</v>
      </c>
      <c r="J68" t="s">
        <v>298</v>
      </c>
      <c r="K68" t="s">
        <v>14</v>
      </c>
      <c r="L68" t="s">
        <v>1439</v>
      </c>
      <c r="M68" t="s">
        <v>74</v>
      </c>
      <c r="N68">
        <v>2</v>
      </c>
      <c r="O68" s="13">
        <v>41375.354166666664</v>
      </c>
      <c r="P68" s="284">
        <v>41447.25</v>
      </c>
      <c r="Q68">
        <v>940</v>
      </c>
    </row>
    <row r="69" spans="1:17" x14ac:dyDescent="0.25">
      <c r="B69" t="s">
        <v>419</v>
      </c>
      <c r="C69" t="s">
        <v>2399</v>
      </c>
      <c r="D69" t="s">
        <v>2400</v>
      </c>
      <c r="E69">
        <v>2</v>
      </c>
      <c r="F69" t="s">
        <v>42</v>
      </c>
      <c r="G69" t="s">
        <v>29</v>
      </c>
      <c r="H69" t="s">
        <v>37</v>
      </c>
      <c r="I69" t="s">
        <v>45</v>
      </c>
      <c r="J69" t="s">
        <v>298</v>
      </c>
      <c r="K69" t="s">
        <v>14</v>
      </c>
      <c r="M69" t="s">
        <v>74</v>
      </c>
      <c r="O69" s="13" t="e">
        <v>#VALUE!</v>
      </c>
      <c r="P69" s="284">
        <v>41447.25</v>
      </c>
      <c r="Q69">
        <v>940</v>
      </c>
    </row>
    <row r="70" spans="1:17" x14ac:dyDescent="0.25">
      <c r="A70" t="s">
        <v>240</v>
      </c>
      <c r="B70" t="s">
        <v>136</v>
      </c>
      <c r="C70" t="s">
        <v>563</v>
      </c>
      <c r="D70" t="s">
        <v>2071</v>
      </c>
      <c r="E70">
        <v>1</v>
      </c>
      <c r="F70" t="s">
        <v>42</v>
      </c>
      <c r="G70" t="s">
        <v>17</v>
      </c>
      <c r="H70" t="s">
        <v>28</v>
      </c>
      <c r="I70" t="s">
        <v>20</v>
      </c>
      <c r="J70" t="s">
        <v>298</v>
      </c>
      <c r="K70" t="s">
        <v>14</v>
      </c>
      <c r="L70" t="s">
        <v>1410</v>
      </c>
      <c r="M70" t="s">
        <v>60</v>
      </c>
      <c r="N70">
        <v>0</v>
      </c>
      <c r="O70" s="13">
        <v>41410.583333333336</v>
      </c>
      <c r="P70" s="284">
        <v>41456.791666666664</v>
      </c>
      <c r="Q70">
        <v>650</v>
      </c>
    </row>
    <row r="71" spans="1:17" x14ac:dyDescent="0.25">
      <c r="A71" t="s">
        <v>1586</v>
      </c>
      <c r="B71" t="s">
        <v>1586</v>
      </c>
      <c r="C71" t="s">
        <v>86</v>
      </c>
      <c r="D71" t="s">
        <v>2072</v>
      </c>
      <c r="E71">
        <v>5</v>
      </c>
      <c r="F71" t="s">
        <v>42</v>
      </c>
      <c r="G71" t="s">
        <v>17</v>
      </c>
      <c r="H71" t="s">
        <v>25</v>
      </c>
      <c r="I71" t="s">
        <v>20</v>
      </c>
      <c r="J71" t="s">
        <v>298</v>
      </c>
      <c r="K71" t="s">
        <v>18</v>
      </c>
      <c r="L71" t="s">
        <v>1416</v>
      </c>
      <c r="M71" t="s">
        <v>74</v>
      </c>
      <c r="N71">
        <v>2</v>
      </c>
      <c r="O71" s="13">
        <v>41418.666666666664</v>
      </c>
      <c r="P71" s="284">
        <v>41461.395833333336</v>
      </c>
      <c r="Q71">
        <v>650</v>
      </c>
    </row>
    <row r="72" spans="1:17" x14ac:dyDescent="0.25">
      <c r="A72" t="s">
        <v>239</v>
      </c>
      <c r="B72" t="s">
        <v>135</v>
      </c>
      <c r="C72" t="s">
        <v>534</v>
      </c>
      <c r="D72" t="s">
        <v>2073</v>
      </c>
      <c r="E72">
        <v>5</v>
      </c>
      <c r="F72" t="s">
        <v>42</v>
      </c>
      <c r="G72" t="s">
        <v>29</v>
      </c>
      <c r="H72" t="s">
        <v>12</v>
      </c>
      <c r="I72" t="s">
        <v>40</v>
      </c>
      <c r="J72" t="s">
        <v>298</v>
      </c>
      <c r="K72" t="s">
        <v>18</v>
      </c>
      <c r="L72" t="s">
        <v>1410</v>
      </c>
      <c r="M72" t="s">
        <v>74</v>
      </c>
      <c r="N72">
        <v>2</v>
      </c>
      <c r="O72" s="13">
        <v>41431.5</v>
      </c>
      <c r="P72" s="284">
        <v>41464.125</v>
      </c>
      <c r="Q72">
        <v>940</v>
      </c>
    </row>
    <row r="73" spans="1:17" x14ac:dyDescent="0.25">
      <c r="A73" t="s">
        <v>241</v>
      </c>
      <c r="B73" t="s">
        <v>137</v>
      </c>
      <c r="C73" t="s">
        <v>521</v>
      </c>
      <c r="D73" t="s">
        <v>2074</v>
      </c>
      <c r="E73">
        <v>2</v>
      </c>
      <c r="F73" t="s">
        <v>42</v>
      </c>
      <c r="G73" t="s">
        <v>29</v>
      </c>
      <c r="H73" t="s">
        <v>37</v>
      </c>
      <c r="I73" t="s">
        <v>16</v>
      </c>
      <c r="J73" t="s">
        <v>298</v>
      </c>
      <c r="K73" t="s">
        <v>18</v>
      </c>
      <c r="L73" t="s">
        <v>1410</v>
      </c>
      <c r="M73" t="s">
        <v>74</v>
      </c>
      <c r="N73">
        <v>2</v>
      </c>
      <c r="O73" s="13">
        <v>41450.854166666664</v>
      </c>
      <c r="P73" s="284">
        <v>41489.583333333336</v>
      </c>
      <c r="Q73">
        <v>940</v>
      </c>
    </row>
    <row r="74" spans="1:17" x14ac:dyDescent="0.25">
      <c r="A74" t="s">
        <v>244</v>
      </c>
      <c r="B74" t="s">
        <v>162</v>
      </c>
      <c r="C74" t="s">
        <v>543</v>
      </c>
      <c r="D74" t="s">
        <v>2075</v>
      </c>
      <c r="E74">
        <v>5</v>
      </c>
      <c r="F74" t="s">
        <v>42</v>
      </c>
      <c r="G74" t="s">
        <v>22</v>
      </c>
      <c r="H74" t="s">
        <v>23</v>
      </c>
      <c r="I74" t="s">
        <v>24</v>
      </c>
      <c r="J74" t="s">
        <v>298</v>
      </c>
      <c r="K74" t="s">
        <v>14</v>
      </c>
      <c r="L74" t="s">
        <v>1416</v>
      </c>
      <c r="M74" t="s">
        <v>61</v>
      </c>
      <c r="N74">
        <v>1</v>
      </c>
      <c r="O74" s="13">
        <v>41430.645833333336</v>
      </c>
      <c r="P74" s="284">
        <v>41500.166666666664</v>
      </c>
      <c r="Q74">
        <v>900</v>
      </c>
    </row>
    <row r="75" spans="1:17" x14ac:dyDescent="0.25">
      <c r="A75" t="s">
        <v>245</v>
      </c>
      <c r="B75" t="s">
        <v>161</v>
      </c>
      <c r="C75" t="s">
        <v>245</v>
      </c>
      <c r="D75" t="s">
        <v>2076</v>
      </c>
      <c r="E75">
        <v>2</v>
      </c>
      <c r="F75" t="s">
        <v>11</v>
      </c>
      <c r="G75" t="s">
        <v>22</v>
      </c>
      <c r="H75" t="s">
        <v>21</v>
      </c>
      <c r="I75" t="s">
        <v>20</v>
      </c>
      <c r="J75" t="s">
        <v>298</v>
      </c>
      <c r="K75" t="s">
        <v>14</v>
      </c>
      <c r="L75" t="s">
        <v>1416</v>
      </c>
      <c r="M75" t="s">
        <v>74</v>
      </c>
      <c r="N75">
        <v>0</v>
      </c>
      <c r="O75" s="13">
        <v>41454.791666666664</v>
      </c>
      <c r="P75" s="284">
        <v>41504.375</v>
      </c>
      <c r="Q75">
        <v>550</v>
      </c>
    </row>
    <row r="76" spans="1:17" x14ac:dyDescent="0.25">
      <c r="A76" t="s">
        <v>242</v>
      </c>
      <c r="B76" t="s">
        <v>138</v>
      </c>
      <c r="C76" t="s">
        <v>554</v>
      </c>
      <c r="D76" t="s">
        <v>2077</v>
      </c>
      <c r="E76">
        <v>2</v>
      </c>
      <c r="F76" t="s">
        <v>11</v>
      </c>
      <c r="G76" t="s">
        <v>22</v>
      </c>
      <c r="H76" t="s">
        <v>31</v>
      </c>
      <c r="I76" t="s">
        <v>20</v>
      </c>
      <c r="J76" t="s">
        <v>298</v>
      </c>
      <c r="K76" t="s">
        <v>14</v>
      </c>
      <c r="L76" t="s">
        <v>1410</v>
      </c>
      <c r="M76" t="s">
        <v>74</v>
      </c>
      <c r="N76">
        <v>1</v>
      </c>
      <c r="O76" s="13">
        <v>41438.854166666664</v>
      </c>
      <c r="P76" s="284">
        <v>41507.833333333336</v>
      </c>
      <c r="Q76">
        <v>550</v>
      </c>
    </row>
    <row r="77" spans="1:17" x14ac:dyDescent="0.25">
      <c r="A77" t="s">
        <v>243</v>
      </c>
      <c r="B77" t="s">
        <v>163</v>
      </c>
      <c r="C77" t="s">
        <v>243</v>
      </c>
      <c r="D77" t="s">
        <v>2078</v>
      </c>
      <c r="E77">
        <v>5</v>
      </c>
      <c r="F77" t="s">
        <v>11</v>
      </c>
      <c r="G77" t="s">
        <v>22</v>
      </c>
      <c r="H77" t="s">
        <v>12</v>
      </c>
      <c r="I77" t="s">
        <v>16</v>
      </c>
      <c r="J77" t="s">
        <v>298</v>
      </c>
      <c r="K77" t="s">
        <v>14</v>
      </c>
      <c r="L77" t="s">
        <v>1416</v>
      </c>
      <c r="M77" t="s">
        <v>60</v>
      </c>
      <c r="N77">
        <v>0</v>
      </c>
      <c r="O77" s="13">
        <v>41471.145833333336</v>
      </c>
      <c r="P77" s="284">
        <v>41511.25</v>
      </c>
      <c r="Q77">
        <v>550</v>
      </c>
    </row>
    <row r="78" spans="1:17" x14ac:dyDescent="0.25">
      <c r="A78" t="s">
        <v>246</v>
      </c>
      <c r="B78" t="s">
        <v>160</v>
      </c>
      <c r="C78" t="s">
        <v>160</v>
      </c>
      <c r="D78" t="s">
        <v>2079</v>
      </c>
      <c r="E78">
        <v>1</v>
      </c>
      <c r="F78" t="s">
        <v>42</v>
      </c>
      <c r="G78" t="s">
        <v>22</v>
      </c>
      <c r="H78" t="s">
        <v>28</v>
      </c>
      <c r="I78" t="s">
        <v>16</v>
      </c>
      <c r="J78" t="s">
        <v>298</v>
      </c>
      <c r="K78" t="s">
        <v>14</v>
      </c>
      <c r="L78" t="s">
        <v>1416</v>
      </c>
      <c r="M78" t="s">
        <v>60</v>
      </c>
      <c r="N78">
        <v>1</v>
      </c>
      <c r="O78" s="13">
        <v>41466.125</v>
      </c>
      <c r="P78" s="284">
        <v>41516.916666666664</v>
      </c>
      <c r="Q78">
        <v>900</v>
      </c>
    </row>
    <row r="79" spans="1:17" x14ac:dyDescent="0.25">
      <c r="A79" t="s">
        <v>248</v>
      </c>
      <c r="B79" t="s">
        <v>140</v>
      </c>
      <c r="C79" t="s">
        <v>140</v>
      </c>
      <c r="D79" t="s">
        <v>2080</v>
      </c>
      <c r="E79">
        <v>1</v>
      </c>
      <c r="F79" t="s">
        <v>42</v>
      </c>
      <c r="G79" t="s">
        <v>44</v>
      </c>
      <c r="H79" t="s">
        <v>36</v>
      </c>
      <c r="I79" t="s">
        <v>16</v>
      </c>
      <c r="J79" t="s">
        <v>298</v>
      </c>
      <c r="K79" t="s">
        <v>14</v>
      </c>
      <c r="L79" t="s">
        <v>1410</v>
      </c>
      <c r="M79" t="s">
        <v>60</v>
      </c>
      <c r="N79">
        <v>2</v>
      </c>
      <c r="O79" s="13">
        <v>41438.583333333336</v>
      </c>
      <c r="P79" s="284">
        <v>41525.916666666664</v>
      </c>
      <c r="Q79">
        <v>1560</v>
      </c>
    </row>
    <row r="80" spans="1:17" x14ac:dyDescent="0.25">
      <c r="A80" t="s">
        <v>247</v>
      </c>
      <c r="B80" t="s">
        <v>139</v>
      </c>
      <c r="C80" t="s">
        <v>139</v>
      </c>
      <c r="D80" t="s">
        <v>2081</v>
      </c>
      <c r="E80">
        <v>2</v>
      </c>
      <c r="F80" t="s">
        <v>11</v>
      </c>
      <c r="G80" t="s">
        <v>44</v>
      </c>
      <c r="H80" t="s">
        <v>46</v>
      </c>
      <c r="I80" t="s">
        <v>16</v>
      </c>
      <c r="J80" t="s">
        <v>298</v>
      </c>
      <c r="K80" t="s">
        <v>14</v>
      </c>
      <c r="L80" t="s">
        <v>1410</v>
      </c>
      <c r="M80" t="s">
        <v>60</v>
      </c>
      <c r="N80">
        <v>1</v>
      </c>
      <c r="O80" s="13">
        <v>41417.416666666664</v>
      </c>
      <c r="P80" s="284">
        <v>41527.25</v>
      </c>
      <c r="Q80">
        <v>920</v>
      </c>
    </row>
    <row r="81" spans="1:17" x14ac:dyDescent="0.25">
      <c r="A81" t="s">
        <v>249</v>
      </c>
      <c r="B81" t="s">
        <v>141</v>
      </c>
      <c r="C81" t="s">
        <v>141</v>
      </c>
      <c r="D81" t="s">
        <v>2082</v>
      </c>
      <c r="E81">
        <v>5</v>
      </c>
      <c r="F81" t="s">
        <v>42</v>
      </c>
      <c r="G81" t="s">
        <v>44</v>
      </c>
      <c r="H81" t="s">
        <v>25</v>
      </c>
      <c r="I81" t="s">
        <v>16</v>
      </c>
      <c r="J81" t="s">
        <v>298</v>
      </c>
      <c r="K81" t="s">
        <v>14</v>
      </c>
      <c r="L81" t="s">
        <v>1410</v>
      </c>
      <c r="M81" t="s">
        <v>60</v>
      </c>
      <c r="N81">
        <v>1</v>
      </c>
      <c r="O81" s="13">
        <v>41463.333333333336</v>
      </c>
      <c r="P81" s="284">
        <v>41528.375</v>
      </c>
      <c r="Q81">
        <v>1560</v>
      </c>
    </row>
    <row r="82" spans="1:17" x14ac:dyDescent="0.25">
      <c r="A82" t="s">
        <v>250</v>
      </c>
      <c r="B82" t="s">
        <v>142</v>
      </c>
      <c r="C82" t="s">
        <v>142</v>
      </c>
      <c r="D82" t="s">
        <v>2083</v>
      </c>
      <c r="E82">
        <v>2</v>
      </c>
      <c r="F82" t="s">
        <v>42</v>
      </c>
      <c r="G82" t="s">
        <v>29</v>
      </c>
      <c r="H82" t="s">
        <v>37</v>
      </c>
      <c r="I82" t="s">
        <v>16</v>
      </c>
      <c r="J82" t="s">
        <v>298</v>
      </c>
      <c r="K82" t="s">
        <v>14</v>
      </c>
      <c r="L82" t="s">
        <v>1410</v>
      </c>
      <c r="M82" t="s">
        <v>74</v>
      </c>
      <c r="N82">
        <v>1</v>
      </c>
      <c r="O82" s="13">
        <v>41492.479166666664</v>
      </c>
      <c r="P82" s="284">
        <v>41539.25</v>
      </c>
      <c r="Q82">
        <v>940</v>
      </c>
    </row>
    <row r="83" spans="1:17" x14ac:dyDescent="0.25">
      <c r="A83" t="s">
        <v>47</v>
      </c>
      <c r="B83" t="s">
        <v>47</v>
      </c>
      <c r="C83" t="s">
        <v>47</v>
      </c>
      <c r="D83" t="s">
        <v>2084</v>
      </c>
      <c r="E83">
        <v>5</v>
      </c>
      <c r="F83" t="s">
        <v>42</v>
      </c>
      <c r="G83" t="s">
        <v>22</v>
      </c>
      <c r="H83" t="s">
        <v>23</v>
      </c>
      <c r="I83" t="s">
        <v>39</v>
      </c>
      <c r="J83" t="s">
        <v>298</v>
      </c>
      <c r="K83" t="s">
        <v>14</v>
      </c>
      <c r="L83" t="s">
        <v>1416</v>
      </c>
      <c r="M83" t="s">
        <v>59</v>
      </c>
      <c r="N83">
        <v>0</v>
      </c>
      <c r="O83" s="13">
        <v>41503.875</v>
      </c>
      <c r="P83" s="284">
        <v>41552.020833333336</v>
      </c>
      <c r="Q83">
        <v>900</v>
      </c>
    </row>
    <row r="84" spans="1:17" x14ac:dyDescent="0.25">
      <c r="A84" t="s">
        <v>251</v>
      </c>
      <c r="B84" t="s">
        <v>159</v>
      </c>
      <c r="C84" t="s">
        <v>251</v>
      </c>
      <c r="D84" t="s">
        <v>2085</v>
      </c>
      <c r="E84">
        <v>2</v>
      </c>
      <c r="F84" t="s">
        <v>42</v>
      </c>
      <c r="G84" t="s">
        <v>22</v>
      </c>
      <c r="H84" t="s">
        <v>12</v>
      </c>
      <c r="I84" t="s">
        <v>20</v>
      </c>
      <c r="J84" t="s">
        <v>298</v>
      </c>
      <c r="K84" t="s">
        <v>14</v>
      </c>
      <c r="L84" t="s">
        <v>1416</v>
      </c>
      <c r="M84" t="s">
        <v>60</v>
      </c>
      <c r="N84">
        <v>0</v>
      </c>
      <c r="O84" s="13">
        <v>41513.041666666664</v>
      </c>
      <c r="P84" s="284">
        <v>41557.916666666664</v>
      </c>
      <c r="Q84">
        <v>900</v>
      </c>
    </row>
    <row r="85" spans="1:17" x14ac:dyDescent="0.25">
      <c r="A85" t="s">
        <v>253</v>
      </c>
      <c r="B85" t="s">
        <v>157</v>
      </c>
      <c r="C85" t="s">
        <v>544</v>
      </c>
      <c r="D85" t="s">
        <v>2086</v>
      </c>
      <c r="E85">
        <v>1</v>
      </c>
      <c r="F85" t="s">
        <v>42</v>
      </c>
      <c r="G85" t="s">
        <v>29</v>
      </c>
      <c r="H85" t="s">
        <v>28</v>
      </c>
      <c r="I85" t="s">
        <v>24</v>
      </c>
      <c r="J85" t="s">
        <v>298</v>
      </c>
      <c r="K85" t="s">
        <v>14</v>
      </c>
      <c r="L85" t="s">
        <v>1416</v>
      </c>
      <c r="M85" t="s">
        <v>60</v>
      </c>
      <c r="N85">
        <v>0</v>
      </c>
      <c r="O85" s="13">
        <v>41524.333333333336</v>
      </c>
      <c r="P85" s="284">
        <v>41558.708333333336</v>
      </c>
      <c r="Q85">
        <v>940</v>
      </c>
    </row>
    <row r="86" spans="1:17" x14ac:dyDescent="0.25">
      <c r="A86" t="s">
        <v>252</v>
      </c>
      <c r="B86" t="s">
        <v>158</v>
      </c>
      <c r="C86" t="s">
        <v>252</v>
      </c>
      <c r="D86" t="s">
        <v>2087</v>
      </c>
      <c r="E86">
        <v>2</v>
      </c>
      <c r="F86" t="s">
        <v>42</v>
      </c>
      <c r="G86" t="s">
        <v>22</v>
      </c>
      <c r="H86" t="s">
        <v>21</v>
      </c>
      <c r="I86" t="s">
        <v>24</v>
      </c>
      <c r="J86" t="s">
        <v>298</v>
      </c>
      <c r="K86" t="s">
        <v>14</v>
      </c>
      <c r="L86" t="s">
        <v>1416</v>
      </c>
      <c r="M86" t="s">
        <v>60</v>
      </c>
      <c r="N86">
        <v>0</v>
      </c>
      <c r="O86" s="13">
        <v>41513.479166666664</v>
      </c>
      <c r="P86" s="284">
        <v>41563.583333333336</v>
      </c>
      <c r="Q86">
        <v>900</v>
      </c>
    </row>
    <row r="87" spans="1:17" x14ac:dyDescent="0.25">
      <c r="A87" t="s">
        <v>255</v>
      </c>
      <c r="B87" t="s">
        <v>156</v>
      </c>
      <c r="C87" t="s">
        <v>255</v>
      </c>
      <c r="D87" t="s">
        <v>2088</v>
      </c>
      <c r="E87">
        <v>5</v>
      </c>
      <c r="F87" t="s">
        <v>11</v>
      </c>
      <c r="G87" t="s">
        <v>22</v>
      </c>
      <c r="H87" t="s">
        <v>25</v>
      </c>
      <c r="I87" t="s">
        <v>20</v>
      </c>
      <c r="J87" t="s">
        <v>298</v>
      </c>
      <c r="K87" t="s">
        <v>14</v>
      </c>
      <c r="L87" t="s">
        <v>1416</v>
      </c>
      <c r="M87" t="s">
        <v>60</v>
      </c>
      <c r="N87">
        <v>0</v>
      </c>
      <c r="O87" s="13">
        <v>41532.4375</v>
      </c>
      <c r="P87" s="284">
        <v>41586</v>
      </c>
      <c r="Q87">
        <v>550</v>
      </c>
    </row>
    <row r="88" spans="1:17" x14ac:dyDescent="0.25">
      <c r="A88" t="s">
        <v>254</v>
      </c>
      <c r="B88" t="s">
        <v>143</v>
      </c>
      <c r="C88" t="s">
        <v>143</v>
      </c>
      <c r="D88" t="s">
        <v>2089</v>
      </c>
      <c r="E88">
        <v>5</v>
      </c>
      <c r="F88" t="s">
        <v>42</v>
      </c>
      <c r="G88" t="s">
        <v>22</v>
      </c>
      <c r="H88" t="s">
        <v>12</v>
      </c>
      <c r="I88" t="s">
        <v>20</v>
      </c>
      <c r="J88" t="s">
        <v>298</v>
      </c>
      <c r="K88" t="s">
        <v>14</v>
      </c>
      <c r="L88" t="s">
        <v>1410</v>
      </c>
      <c r="M88" t="s">
        <v>60</v>
      </c>
      <c r="N88">
        <v>1</v>
      </c>
      <c r="O88" s="13">
        <v>41519</v>
      </c>
      <c r="P88" s="284">
        <v>41590.083333333336</v>
      </c>
      <c r="Q88">
        <v>900</v>
      </c>
    </row>
    <row r="89" spans="1:17" x14ac:dyDescent="0.25">
      <c r="A89" t="s">
        <v>258</v>
      </c>
      <c r="B89" t="s">
        <v>154</v>
      </c>
      <c r="C89" t="s">
        <v>258</v>
      </c>
      <c r="D89" t="s">
        <v>2090</v>
      </c>
      <c r="E89">
        <v>1</v>
      </c>
      <c r="F89" t="s">
        <v>11</v>
      </c>
      <c r="G89" t="s">
        <v>22</v>
      </c>
      <c r="H89" t="s">
        <v>28</v>
      </c>
      <c r="I89" t="s">
        <v>24</v>
      </c>
      <c r="J89" t="s">
        <v>298</v>
      </c>
      <c r="K89" t="s">
        <v>14</v>
      </c>
      <c r="L89" t="s">
        <v>1416</v>
      </c>
      <c r="M89" t="s">
        <v>59</v>
      </c>
      <c r="N89">
        <v>0</v>
      </c>
      <c r="O89" s="13">
        <v>41564.416666666664</v>
      </c>
      <c r="P89" s="284">
        <v>41597.75</v>
      </c>
      <c r="Q89">
        <v>550</v>
      </c>
    </row>
    <row r="90" spans="1:17" x14ac:dyDescent="0.25">
      <c r="A90" t="s">
        <v>257</v>
      </c>
      <c r="B90" t="s">
        <v>155</v>
      </c>
      <c r="C90" t="s">
        <v>257</v>
      </c>
      <c r="D90" t="s">
        <v>2091</v>
      </c>
      <c r="E90">
        <v>5</v>
      </c>
      <c r="F90" t="s">
        <v>11</v>
      </c>
      <c r="G90" t="s">
        <v>22</v>
      </c>
      <c r="H90" t="s">
        <v>23</v>
      </c>
      <c r="I90" t="s">
        <v>39</v>
      </c>
      <c r="J90" t="s">
        <v>298</v>
      </c>
      <c r="K90" t="s">
        <v>14</v>
      </c>
      <c r="L90" t="s">
        <v>1416</v>
      </c>
      <c r="M90" t="s">
        <v>59</v>
      </c>
      <c r="N90">
        <v>0</v>
      </c>
      <c r="O90" s="13">
        <v>41555.5</v>
      </c>
      <c r="P90" s="284">
        <v>41601.25</v>
      </c>
      <c r="Q90">
        <v>550</v>
      </c>
    </row>
    <row r="91" spans="1:17" x14ac:dyDescent="0.25">
      <c r="A91" t="s">
        <v>256</v>
      </c>
      <c r="B91" t="s">
        <v>144</v>
      </c>
      <c r="C91" t="s">
        <v>144</v>
      </c>
      <c r="D91" t="s">
        <v>2092</v>
      </c>
      <c r="E91">
        <v>5</v>
      </c>
      <c r="F91" t="s">
        <v>11</v>
      </c>
      <c r="G91" t="s">
        <v>29</v>
      </c>
      <c r="H91" t="s">
        <v>19</v>
      </c>
      <c r="I91" t="s">
        <v>20</v>
      </c>
      <c r="J91" t="s">
        <v>298</v>
      </c>
      <c r="K91" t="s">
        <v>14</v>
      </c>
      <c r="L91" t="s">
        <v>1410</v>
      </c>
      <c r="M91" t="s">
        <v>59</v>
      </c>
      <c r="N91">
        <v>1</v>
      </c>
      <c r="O91" s="13">
        <v>41547.604166666664</v>
      </c>
      <c r="P91" s="284">
        <v>41601.75</v>
      </c>
      <c r="Q91">
        <v>630</v>
      </c>
    </row>
    <row r="92" spans="1:17" x14ac:dyDescent="0.25">
      <c r="A92" t="s">
        <v>259</v>
      </c>
      <c r="B92" t="s">
        <v>153</v>
      </c>
      <c r="C92" t="s">
        <v>259</v>
      </c>
      <c r="D92" t="s">
        <v>2093</v>
      </c>
      <c r="E92">
        <v>1</v>
      </c>
      <c r="F92" t="s">
        <v>42</v>
      </c>
      <c r="G92" t="s">
        <v>22</v>
      </c>
      <c r="H92" t="s">
        <v>38</v>
      </c>
      <c r="I92" t="s">
        <v>16</v>
      </c>
      <c r="J92" t="s">
        <v>298</v>
      </c>
      <c r="K92" t="s">
        <v>14</v>
      </c>
      <c r="L92" t="s">
        <v>1416</v>
      </c>
      <c r="M92" t="s">
        <v>59</v>
      </c>
      <c r="N92">
        <v>0</v>
      </c>
      <c r="O92" s="13">
        <v>41537.729166666664</v>
      </c>
      <c r="P92" s="284">
        <v>41608.25</v>
      </c>
      <c r="Q92">
        <v>900</v>
      </c>
    </row>
    <row r="93" spans="1:17" x14ac:dyDescent="0.25">
      <c r="A93" t="s">
        <v>260</v>
      </c>
      <c r="B93" t="s">
        <v>145</v>
      </c>
      <c r="C93" t="s">
        <v>145</v>
      </c>
      <c r="D93" t="s">
        <v>2094</v>
      </c>
      <c r="E93">
        <v>2</v>
      </c>
      <c r="F93" t="s">
        <v>11</v>
      </c>
      <c r="G93" t="s">
        <v>29</v>
      </c>
      <c r="H93" t="s">
        <v>31</v>
      </c>
      <c r="I93" t="s">
        <v>16</v>
      </c>
      <c r="J93" t="s">
        <v>298</v>
      </c>
      <c r="K93" t="s">
        <v>14</v>
      </c>
      <c r="L93" t="s">
        <v>1410</v>
      </c>
      <c r="M93" t="s">
        <v>59</v>
      </c>
      <c r="N93">
        <v>1</v>
      </c>
      <c r="O93" s="13">
        <v>41561.666666666664</v>
      </c>
      <c r="P93" s="284">
        <v>41613.145833333336</v>
      </c>
      <c r="Q93">
        <v>630</v>
      </c>
    </row>
    <row r="94" spans="1:17" x14ac:dyDescent="0.25">
      <c r="A94" t="s">
        <v>261</v>
      </c>
      <c r="B94" t="s">
        <v>152</v>
      </c>
      <c r="C94" t="s">
        <v>557</v>
      </c>
      <c r="D94" t="s">
        <v>2095</v>
      </c>
      <c r="E94">
        <v>5</v>
      </c>
      <c r="F94" t="s">
        <v>11</v>
      </c>
      <c r="G94" t="s">
        <v>22</v>
      </c>
      <c r="H94" t="s">
        <v>25</v>
      </c>
      <c r="I94" t="s">
        <v>39</v>
      </c>
      <c r="J94" t="s">
        <v>298</v>
      </c>
      <c r="K94" t="s">
        <v>14</v>
      </c>
      <c r="L94" t="s">
        <v>1416</v>
      </c>
      <c r="M94" t="s">
        <v>60</v>
      </c>
      <c r="N94">
        <v>0</v>
      </c>
      <c r="O94" s="13">
        <v>41587.833333333336</v>
      </c>
      <c r="P94" s="284">
        <v>41634.020833333336</v>
      </c>
      <c r="Q94">
        <v>550</v>
      </c>
    </row>
    <row r="95" spans="1:17" x14ac:dyDescent="0.25">
      <c r="A95" t="s">
        <v>262</v>
      </c>
      <c r="B95" t="s">
        <v>151</v>
      </c>
      <c r="C95" t="s">
        <v>558</v>
      </c>
      <c r="D95" t="s">
        <v>2096</v>
      </c>
      <c r="E95">
        <v>5</v>
      </c>
      <c r="F95" t="s">
        <v>11</v>
      </c>
      <c r="G95" t="s">
        <v>29</v>
      </c>
      <c r="H95" t="s">
        <v>23</v>
      </c>
      <c r="I95" t="s">
        <v>20</v>
      </c>
      <c r="J95" t="s">
        <v>298</v>
      </c>
      <c r="K95" t="s">
        <v>14</v>
      </c>
      <c r="L95" t="s">
        <v>1416</v>
      </c>
      <c r="M95" t="s">
        <v>59</v>
      </c>
      <c r="N95">
        <v>0</v>
      </c>
      <c r="O95" s="13">
        <v>41604.833333333336</v>
      </c>
      <c r="P95" s="284">
        <v>41639.958333333336</v>
      </c>
      <c r="Q95">
        <v>630</v>
      </c>
    </row>
    <row r="96" spans="1:17" x14ac:dyDescent="0.25">
      <c r="A96" t="s">
        <v>263</v>
      </c>
      <c r="B96" t="s">
        <v>150</v>
      </c>
      <c r="C96" t="s">
        <v>263</v>
      </c>
      <c r="D96" t="s">
        <v>2097</v>
      </c>
      <c r="E96">
        <v>1</v>
      </c>
      <c r="F96" t="s">
        <v>11</v>
      </c>
      <c r="G96" t="s">
        <v>22</v>
      </c>
      <c r="H96" t="s">
        <v>28</v>
      </c>
      <c r="I96" t="s">
        <v>20</v>
      </c>
      <c r="J96" t="s">
        <v>298</v>
      </c>
      <c r="K96" t="s">
        <v>14</v>
      </c>
      <c r="L96" t="s">
        <v>1416</v>
      </c>
      <c r="M96" t="s">
        <v>60</v>
      </c>
      <c r="N96">
        <v>0</v>
      </c>
      <c r="O96" s="13">
        <v>41606.875</v>
      </c>
      <c r="P96" s="284">
        <v>41645</v>
      </c>
      <c r="Q96">
        <v>550</v>
      </c>
    </row>
    <row r="97" spans="1:17" x14ac:dyDescent="0.25">
      <c r="A97" t="s">
        <v>264</v>
      </c>
      <c r="B97" t="s">
        <v>149</v>
      </c>
      <c r="C97" t="s">
        <v>264</v>
      </c>
      <c r="D97" t="s">
        <v>2098</v>
      </c>
      <c r="E97">
        <v>5</v>
      </c>
      <c r="F97" t="s">
        <v>42</v>
      </c>
      <c r="G97" t="s">
        <v>22</v>
      </c>
      <c r="H97" t="s">
        <v>19</v>
      </c>
      <c r="I97" t="s">
        <v>16</v>
      </c>
      <c r="J97" t="s">
        <v>298</v>
      </c>
      <c r="K97" t="s">
        <v>14</v>
      </c>
      <c r="L97" t="s">
        <v>1416</v>
      </c>
      <c r="M97" t="s">
        <v>59</v>
      </c>
      <c r="N97">
        <v>0</v>
      </c>
      <c r="O97" s="13">
        <v>41603.6875</v>
      </c>
      <c r="P97" s="284">
        <v>41647.083333333336</v>
      </c>
      <c r="Q97">
        <v>900</v>
      </c>
    </row>
    <row r="98" spans="1:17" x14ac:dyDescent="0.25">
      <c r="A98" t="s">
        <v>265</v>
      </c>
      <c r="B98" t="s">
        <v>146</v>
      </c>
      <c r="C98" t="s">
        <v>538</v>
      </c>
      <c r="D98" t="s">
        <v>2099</v>
      </c>
      <c r="E98">
        <v>1</v>
      </c>
      <c r="F98" t="s">
        <v>42</v>
      </c>
      <c r="G98" t="s">
        <v>44</v>
      </c>
      <c r="H98" t="s">
        <v>48</v>
      </c>
      <c r="I98" t="s">
        <v>16</v>
      </c>
      <c r="J98" t="s">
        <v>298</v>
      </c>
      <c r="K98" t="s">
        <v>14</v>
      </c>
      <c r="L98" t="s">
        <v>1410</v>
      </c>
      <c r="M98" t="s">
        <v>59</v>
      </c>
      <c r="N98">
        <v>1</v>
      </c>
      <c r="O98" s="13">
        <v>41582.833333333336</v>
      </c>
      <c r="P98" s="284">
        <v>41654.833333333336</v>
      </c>
      <c r="Q98">
        <v>1560</v>
      </c>
    </row>
    <row r="99" spans="1:17" x14ac:dyDescent="0.25">
      <c r="A99" t="s">
        <v>266</v>
      </c>
      <c r="B99" t="s">
        <v>148</v>
      </c>
      <c r="C99" t="s">
        <v>555</v>
      </c>
      <c r="D99" t="s">
        <v>2100</v>
      </c>
      <c r="E99">
        <v>2</v>
      </c>
      <c r="F99" t="s">
        <v>11</v>
      </c>
      <c r="G99" t="s">
        <v>29</v>
      </c>
      <c r="H99" t="s">
        <v>31</v>
      </c>
      <c r="I99" t="s">
        <v>16</v>
      </c>
      <c r="J99" t="s">
        <v>298</v>
      </c>
      <c r="K99" t="s">
        <v>14</v>
      </c>
      <c r="L99" t="s">
        <v>1416</v>
      </c>
      <c r="M99" t="s">
        <v>59</v>
      </c>
      <c r="N99">
        <v>0</v>
      </c>
      <c r="O99" s="13">
        <v>41615.854166666664</v>
      </c>
      <c r="P99" s="284">
        <v>41661.25</v>
      </c>
      <c r="Q99">
        <v>630</v>
      </c>
    </row>
    <row r="100" spans="1:17" x14ac:dyDescent="0.25">
      <c r="A100" t="s">
        <v>267</v>
      </c>
      <c r="B100" t="s">
        <v>147</v>
      </c>
      <c r="C100" t="s">
        <v>147</v>
      </c>
      <c r="D100" t="s">
        <v>2101</v>
      </c>
      <c r="E100">
        <v>2</v>
      </c>
      <c r="F100" t="s">
        <v>11</v>
      </c>
      <c r="G100" t="s">
        <v>44</v>
      </c>
      <c r="H100" t="s">
        <v>37</v>
      </c>
      <c r="I100" t="s">
        <v>24</v>
      </c>
      <c r="J100" t="s">
        <v>298</v>
      </c>
      <c r="K100" t="s">
        <v>14</v>
      </c>
      <c r="L100" t="s">
        <v>1410</v>
      </c>
      <c r="M100" t="s">
        <v>60</v>
      </c>
      <c r="N100">
        <v>2</v>
      </c>
      <c r="O100" s="13">
        <v>41542.625</v>
      </c>
      <c r="P100" s="284">
        <v>41666.125</v>
      </c>
      <c r="Q100">
        <v>920</v>
      </c>
    </row>
    <row r="101" spans="1:17" x14ac:dyDescent="0.25">
      <c r="A101" t="s">
        <v>49</v>
      </c>
      <c r="B101" t="s">
        <v>49</v>
      </c>
      <c r="C101" t="s">
        <v>564</v>
      </c>
      <c r="D101" t="s">
        <v>2102</v>
      </c>
      <c r="E101">
        <v>3</v>
      </c>
      <c r="F101" t="s">
        <v>11</v>
      </c>
      <c r="G101" t="s">
        <v>44</v>
      </c>
      <c r="H101" t="s">
        <v>50</v>
      </c>
      <c r="I101" t="s">
        <v>16</v>
      </c>
      <c r="J101" t="s">
        <v>298</v>
      </c>
      <c r="K101" t="s">
        <v>14</v>
      </c>
      <c r="L101" t="s">
        <v>1410</v>
      </c>
      <c r="M101" t="s">
        <v>61</v>
      </c>
      <c r="N101">
        <v>1</v>
      </c>
      <c r="O101" s="13">
        <v>41559.708333333336</v>
      </c>
      <c r="P101" s="284">
        <v>41669.895833333336</v>
      </c>
      <c r="Q101">
        <v>920</v>
      </c>
    </row>
    <row r="102" spans="1:17" x14ac:dyDescent="0.25">
      <c r="A102" t="s">
        <v>53</v>
      </c>
      <c r="B102" t="s">
        <v>53</v>
      </c>
      <c r="C102" t="s">
        <v>556</v>
      </c>
      <c r="D102" t="s">
        <v>2103</v>
      </c>
      <c r="E102">
        <v>5</v>
      </c>
      <c r="F102" t="s">
        <v>11</v>
      </c>
      <c r="G102" t="s">
        <v>22</v>
      </c>
      <c r="H102" t="s">
        <v>23</v>
      </c>
      <c r="I102" t="s">
        <v>20</v>
      </c>
      <c r="J102" t="s">
        <v>298</v>
      </c>
      <c r="K102" t="s">
        <v>14</v>
      </c>
      <c r="L102" t="s">
        <v>1416</v>
      </c>
      <c r="M102" t="s">
        <v>59</v>
      </c>
      <c r="N102">
        <v>0</v>
      </c>
      <c r="O102" s="13">
        <v>41644.25</v>
      </c>
      <c r="P102" s="284">
        <v>41691.458333333336</v>
      </c>
      <c r="Q102">
        <v>550</v>
      </c>
    </row>
    <row r="103" spans="1:17" x14ac:dyDescent="0.25">
      <c r="A103" t="s">
        <v>55</v>
      </c>
      <c r="B103" t="s">
        <v>55</v>
      </c>
      <c r="C103" t="s">
        <v>522</v>
      </c>
      <c r="D103" t="s">
        <v>2104</v>
      </c>
      <c r="E103">
        <v>2</v>
      </c>
      <c r="F103" t="s">
        <v>42</v>
      </c>
      <c r="G103" t="s">
        <v>44</v>
      </c>
      <c r="H103" t="s">
        <v>31</v>
      </c>
      <c r="I103" t="s">
        <v>20</v>
      </c>
      <c r="J103" t="s">
        <v>298</v>
      </c>
      <c r="K103" t="s">
        <v>18</v>
      </c>
      <c r="L103" t="s">
        <v>1511</v>
      </c>
      <c r="M103" t="s">
        <v>59</v>
      </c>
      <c r="N103">
        <v>1</v>
      </c>
      <c r="O103" s="13">
        <v>41664.5625</v>
      </c>
      <c r="P103" s="284">
        <v>41707.166666666664</v>
      </c>
      <c r="Q103">
        <v>1560</v>
      </c>
    </row>
    <row r="104" spans="1:17" x14ac:dyDescent="0.25">
      <c r="A104" t="s">
        <v>51</v>
      </c>
      <c r="B104" t="s">
        <v>51</v>
      </c>
      <c r="C104" t="s">
        <v>565</v>
      </c>
      <c r="D104" t="s">
        <v>2105</v>
      </c>
      <c r="E104">
        <v>5</v>
      </c>
      <c r="F104" t="s">
        <v>42</v>
      </c>
      <c r="G104" t="s">
        <v>22</v>
      </c>
      <c r="H104" t="s">
        <v>12</v>
      </c>
      <c r="I104" t="s">
        <v>16</v>
      </c>
      <c r="J104" t="s">
        <v>298</v>
      </c>
      <c r="K104" t="s">
        <v>14</v>
      </c>
      <c r="L104" t="s">
        <v>1410</v>
      </c>
      <c r="M104" t="s">
        <v>60</v>
      </c>
      <c r="N104">
        <v>3</v>
      </c>
      <c r="O104" s="13">
        <v>41598.5625</v>
      </c>
      <c r="P104" s="284">
        <v>41709.041666666664</v>
      </c>
      <c r="Q104">
        <v>900</v>
      </c>
    </row>
    <row r="105" spans="1:17" x14ac:dyDescent="0.25">
      <c r="A105" t="s">
        <v>285</v>
      </c>
      <c r="B105" t="s">
        <v>305</v>
      </c>
      <c r="C105" t="s">
        <v>530</v>
      </c>
      <c r="D105" t="s">
        <v>2106</v>
      </c>
      <c r="E105">
        <v>3</v>
      </c>
      <c r="F105" t="s">
        <v>42</v>
      </c>
      <c r="G105" t="s">
        <v>44</v>
      </c>
      <c r="H105" t="s">
        <v>50</v>
      </c>
      <c r="I105" t="s">
        <v>39</v>
      </c>
      <c r="J105" t="s">
        <v>298</v>
      </c>
      <c r="K105" t="s">
        <v>18</v>
      </c>
      <c r="L105" t="s">
        <v>1511</v>
      </c>
      <c r="M105" t="s">
        <v>61</v>
      </c>
      <c r="N105">
        <v>1</v>
      </c>
      <c r="O105" s="13">
        <v>41673.791666666664</v>
      </c>
      <c r="P105" s="284">
        <v>41710.666666666664</v>
      </c>
      <c r="Q105">
        <v>1560</v>
      </c>
    </row>
    <row r="106" spans="1:17" x14ac:dyDescent="0.25">
      <c r="A106" t="s">
        <v>57</v>
      </c>
      <c r="B106" t="s">
        <v>57</v>
      </c>
      <c r="C106" t="s">
        <v>57</v>
      </c>
      <c r="D106" t="s">
        <v>2107</v>
      </c>
      <c r="E106">
        <v>2</v>
      </c>
      <c r="F106" t="s">
        <v>11</v>
      </c>
      <c r="G106" t="s">
        <v>22</v>
      </c>
      <c r="H106" t="s">
        <v>37</v>
      </c>
      <c r="I106" t="s">
        <v>20</v>
      </c>
      <c r="J106" t="s">
        <v>298</v>
      </c>
      <c r="K106" t="s">
        <v>14</v>
      </c>
      <c r="L106" t="s">
        <v>1416</v>
      </c>
      <c r="M106" t="s">
        <v>60</v>
      </c>
      <c r="N106">
        <v>0</v>
      </c>
      <c r="O106" s="13">
        <v>41671.041666666664</v>
      </c>
      <c r="P106" s="284">
        <v>41712.25</v>
      </c>
      <c r="Q106">
        <v>550</v>
      </c>
    </row>
    <row r="107" spans="1:17" x14ac:dyDescent="0.25">
      <c r="A107" t="s">
        <v>54</v>
      </c>
      <c r="B107" t="s">
        <v>54</v>
      </c>
      <c r="C107" t="s">
        <v>54</v>
      </c>
      <c r="D107" t="s">
        <v>2108</v>
      </c>
      <c r="E107">
        <v>5</v>
      </c>
      <c r="F107" t="s">
        <v>42</v>
      </c>
      <c r="G107" t="s">
        <v>22</v>
      </c>
      <c r="H107" t="s">
        <v>19</v>
      </c>
      <c r="I107" t="s">
        <v>16</v>
      </c>
      <c r="J107" t="s">
        <v>298</v>
      </c>
      <c r="K107" t="s">
        <v>14</v>
      </c>
      <c r="L107" t="s">
        <v>1416</v>
      </c>
      <c r="M107" t="s">
        <v>59</v>
      </c>
      <c r="N107">
        <v>0</v>
      </c>
      <c r="O107" s="13">
        <v>41656.229166666664</v>
      </c>
      <c r="P107" s="284">
        <v>41721.625</v>
      </c>
      <c r="Q107">
        <v>900</v>
      </c>
    </row>
    <row r="108" spans="1:17" x14ac:dyDescent="0.25">
      <c r="A108" t="s">
        <v>56</v>
      </c>
      <c r="B108" t="s">
        <v>56</v>
      </c>
      <c r="C108" t="s">
        <v>56</v>
      </c>
      <c r="D108" t="s">
        <v>2109</v>
      </c>
      <c r="E108">
        <v>1</v>
      </c>
      <c r="F108" t="s">
        <v>11</v>
      </c>
      <c r="G108" t="s">
        <v>22</v>
      </c>
      <c r="H108" t="s">
        <v>38</v>
      </c>
      <c r="I108" t="s">
        <v>16</v>
      </c>
      <c r="J108" t="s">
        <v>298</v>
      </c>
      <c r="K108" t="s">
        <v>14</v>
      </c>
      <c r="L108" t="s">
        <v>1416</v>
      </c>
      <c r="M108" t="s">
        <v>59</v>
      </c>
      <c r="N108">
        <v>0</v>
      </c>
      <c r="O108" s="13">
        <v>41667.958333333336</v>
      </c>
      <c r="P108" s="284">
        <v>41721.916666666664</v>
      </c>
      <c r="Q108">
        <v>550</v>
      </c>
    </row>
    <row r="109" spans="1:17" x14ac:dyDescent="0.25">
      <c r="A109" t="s">
        <v>286</v>
      </c>
      <c r="B109" t="s">
        <v>300</v>
      </c>
      <c r="C109" t="s">
        <v>523</v>
      </c>
      <c r="D109" t="s">
        <v>2110</v>
      </c>
      <c r="E109">
        <v>5</v>
      </c>
      <c r="F109" t="s">
        <v>42</v>
      </c>
      <c r="G109" t="s">
        <v>44</v>
      </c>
      <c r="H109" t="s">
        <v>23</v>
      </c>
      <c r="I109" t="s">
        <v>39</v>
      </c>
      <c r="J109" t="s">
        <v>34</v>
      </c>
      <c r="K109" t="s">
        <v>18</v>
      </c>
      <c r="L109" t="s">
        <v>1511</v>
      </c>
      <c r="M109" t="s">
        <v>59</v>
      </c>
      <c r="N109">
        <v>1</v>
      </c>
      <c r="O109" s="13">
        <v>41695.6875</v>
      </c>
      <c r="P109" s="284">
        <v>41731.6875</v>
      </c>
      <c r="Q109">
        <v>1560</v>
      </c>
    </row>
    <row r="110" spans="1:17" x14ac:dyDescent="0.25">
      <c r="A110" t="s">
        <v>287</v>
      </c>
      <c r="B110" t="s">
        <v>441</v>
      </c>
      <c r="C110" t="s">
        <v>527</v>
      </c>
      <c r="D110" t="s">
        <v>2111</v>
      </c>
      <c r="E110">
        <v>2</v>
      </c>
      <c r="F110" t="s">
        <v>42</v>
      </c>
      <c r="G110" t="s">
        <v>17</v>
      </c>
      <c r="H110" t="s">
        <v>31</v>
      </c>
      <c r="I110" t="s">
        <v>16</v>
      </c>
      <c r="J110" t="s">
        <v>34</v>
      </c>
      <c r="K110" t="s">
        <v>18</v>
      </c>
      <c r="L110" t="s">
        <v>1410</v>
      </c>
      <c r="M110" t="s">
        <v>59</v>
      </c>
      <c r="N110">
        <v>1</v>
      </c>
      <c r="O110" s="13">
        <v>41709.729166666664</v>
      </c>
      <c r="P110" s="284">
        <v>41747.25</v>
      </c>
    </row>
    <row r="111" spans="1:17" x14ac:dyDescent="0.25">
      <c r="A111" t="s">
        <v>288</v>
      </c>
      <c r="B111" t="s">
        <v>301</v>
      </c>
      <c r="C111" t="s">
        <v>288</v>
      </c>
      <c r="D111" t="s">
        <v>2112</v>
      </c>
      <c r="E111">
        <v>3</v>
      </c>
      <c r="F111" t="s">
        <v>11</v>
      </c>
      <c r="G111" t="s">
        <v>22</v>
      </c>
      <c r="H111" t="s">
        <v>50</v>
      </c>
      <c r="I111" t="s">
        <v>24</v>
      </c>
      <c r="J111" t="s">
        <v>298</v>
      </c>
      <c r="K111" t="s">
        <v>14</v>
      </c>
      <c r="L111" t="s">
        <v>1416</v>
      </c>
      <c r="M111" t="s">
        <v>61</v>
      </c>
      <c r="N111">
        <v>0</v>
      </c>
      <c r="O111" s="13">
        <v>41714.25</v>
      </c>
      <c r="P111" s="284">
        <v>41762.375</v>
      </c>
      <c r="Q111">
        <v>550</v>
      </c>
    </row>
    <row r="112" spans="1:17" x14ac:dyDescent="0.25">
      <c r="A112" t="s">
        <v>289</v>
      </c>
      <c r="B112" t="s">
        <v>442</v>
      </c>
      <c r="C112" t="s">
        <v>531</v>
      </c>
      <c r="D112" t="s">
        <v>2113</v>
      </c>
      <c r="E112">
        <v>2</v>
      </c>
      <c r="F112" t="s">
        <v>42</v>
      </c>
      <c r="G112" t="s">
        <v>17</v>
      </c>
      <c r="H112" t="s">
        <v>37</v>
      </c>
      <c r="I112" t="s">
        <v>20</v>
      </c>
      <c r="J112" t="s">
        <v>34</v>
      </c>
      <c r="K112" t="s">
        <v>18</v>
      </c>
      <c r="L112" t="s">
        <v>1410</v>
      </c>
      <c r="M112" t="s">
        <v>60</v>
      </c>
      <c r="N112">
        <v>1</v>
      </c>
      <c r="O112" s="13">
        <v>41714.583333333336</v>
      </c>
      <c r="P112" s="284">
        <v>41765</v>
      </c>
    </row>
    <row r="113" spans="1:17" x14ac:dyDescent="0.25">
      <c r="A113" t="s">
        <v>290</v>
      </c>
      <c r="B113" t="s">
        <v>302</v>
      </c>
      <c r="C113" t="s">
        <v>290</v>
      </c>
      <c r="D113" t="s">
        <v>2114</v>
      </c>
      <c r="E113">
        <v>5</v>
      </c>
      <c r="F113" t="s">
        <v>42</v>
      </c>
      <c r="G113" t="s">
        <v>22</v>
      </c>
      <c r="H113" t="s">
        <v>12</v>
      </c>
      <c r="I113" t="s">
        <v>24</v>
      </c>
      <c r="J113" t="s">
        <v>298</v>
      </c>
      <c r="K113" t="s">
        <v>14</v>
      </c>
      <c r="L113" t="s">
        <v>1416</v>
      </c>
      <c r="M113" t="s">
        <v>60</v>
      </c>
      <c r="N113">
        <v>0</v>
      </c>
      <c r="O113" s="13">
        <v>41716.479166666664</v>
      </c>
      <c r="P113" s="284">
        <v>41771.708333333336</v>
      </c>
      <c r="Q113">
        <v>900</v>
      </c>
    </row>
    <row r="114" spans="1:17" x14ac:dyDescent="0.25">
      <c r="A114" t="s">
        <v>293</v>
      </c>
      <c r="B114" t="s">
        <v>443</v>
      </c>
      <c r="C114" t="s">
        <v>566</v>
      </c>
      <c r="D114" t="s">
        <v>2115</v>
      </c>
      <c r="E114">
        <v>5</v>
      </c>
      <c r="F114" t="s">
        <v>11</v>
      </c>
      <c r="G114" t="s">
        <v>17</v>
      </c>
      <c r="H114" t="s">
        <v>23</v>
      </c>
      <c r="I114" t="s">
        <v>20</v>
      </c>
      <c r="J114" t="s">
        <v>34</v>
      </c>
      <c r="K114" t="s">
        <v>18</v>
      </c>
      <c r="L114" t="s">
        <v>1410</v>
      </c>
      <c r="M114" t="s">
        <v>59</v>
      </c>
      <c r="N114">
        <v>0</v>
      </c>
      <c r="O114" s="13">
        <v>41733.625</v>
      </c>
      <c r="P114" s="284">
        <v>41777</v>
      </c>
    </row>
    <row r="115" spans="1:17" x14ac:dyDescent="0.25">
      <c r="A115" t="s">
        <v>292</v>
      </c>
      <c r="B115" t="s">
        <v>304</v>
      </c>
      <c r="C115" t="s">
        <v>542</v>
      </c>
      <c r="D115" t="s">
        <v>2116</v>
      </c>
      <c r="E115">
        <v>5</v>
      </c>
      <c r="F115" t="s">
        <v>42</v>
      </c>
      <c r="G115" t="s">
        <v>44</v>
      </c>
      <c r="H115" t="s">
        <v>19</v>
      </c>
      <c r="I115" t="s">
        <v>20</v>
      </c>
      <c r="J115" t="s">
        <v>298</v>
      </c>
      <c r="K115" t="s">
        <v>14</v>
      </c>
      <c r="L115" t="s">
        <v>1410</v>
      </c>
      <c r="M115" t="s">
        <v>59</v>
      </c>
      <c r="N115">
        <v>0</v>
      </c>
      <c r="O115" s="13">
        <v>41725.625</v>
      </c>
      <c r="P115" s="284">
        <v>41779</v>
      </c>
      <c r="Q115">
        <v>1560</v>
      </c>
    </row>
    <row r="116" spans="1:17" x14ac:dyDescent="0.25">
      <c r="A116" t="s">
        <v>294</v>
      </c>
      <c r="B116" t="s">
        <v>445</v>
      </c>
      <c r="C116" t="s">
        <v>525</v>
      </c>
      <c r="D116" t="s">
        <v>2117</v>
      </c>
      <c r="E116">
        <v>2</v>
      </c>
      <c r="F116" t="s">
        <v>42</v>
      </c>
      <c r="G116" t="s">
        <v>17</v>
      </c>
      <c r="H116" t="s">
        <v>31</v>
      </c>
      <c r="I116" t="s">
        <v>20</v>
      </c>
      <c r="J116" t="s">
        <v>34</v>
      </c>
      <c r="K116" t="s">
        <v>18</v>
      </c>
      <c r="L116" t="s">
        <v>1410</v>
      </c>
      <c r="M116" t="s">
        <v>59</v>
      </c>
      <c r="N116">
        <v>0</v>
      </c>
      <c r="O116" s="13">
        <v>41750</v>
      </c>
      <c r="P116" s="284">
        <v>41786</v>
      </c>
    </row>
    <row r="117" spans="1:17" x14ac:dyDescent="0.25">
      <c r="A117" t="s">
        <v>52</v>
      </c>
      <c r="B117" t="s">
        <v>52</v>
      </c>
      <c r="C117" t="s">
        <v>740</v>
      </c>
      <c r="D117" t="s">
        <v>2118</v>
      </c>
      <c r="E117">
        <v>5</v>
      </c>
      <c r="F117" t="s">
        <v>11</v>
      </c>
      <c r="G117" t="s">
        <v>44</v>
      </c>
      <c r="H117" t="s">
        <v>25</v>
      </c>
      <c r="I117" t="s">
        <v>24</v>
      </c>
      <c r="J117" t="s">
        <v>298</v>
      </c>
      <c r="K117" t="s">
        <v>14</v>
      </c>
      <c r="L117" t="s">
        <v>1416</v>
      </c>
      <c r="M117" t="s">
        <v>60</v>
      </c>
      <c r="N117">
        <v>3</v>
      </c>
      <c r="O117" s="13">
        <v>41635.458299999998</v>
      </c>
      <c r="P117" s="284">
        <v>41802</v>
      </c>
      <c r="Q117">
        <v>920</v>
      </c>
    </row>
    <row r="118" spans="1:17" x14ac:dyDescent="0.25">
      <c r="A118" t="s">
        <v>426</v>
      </c>
      <c r="B118" t="s">
        <v>449</v>
      </c>
      <c r="C118" t="s">
        <v>545</v>
      </c>
      <c r="D118" t="s">
        <v>2119</v>
      </c>
      <c r="E118">
        <v>5</v>
      </c>
      <c r="F118" t="s">
        <v>11</v>
      </c>
      <c r="G118" t="s">
        <v>17</v>
      </c>
      <c r="H118" t="s">
        <v>12</v>
      </c>
      <c r="I118" t="s">
        <v>24</v>
      </c>
      <c r="J118" t="s">
        <v>34</v>
      </c>
      <c r="K118" t="s">
        <v>18</v>
      </c>
      <c r="L118" t="s">
        <v>1410</v>
      </c>
      <c r="M118" t="s">
        <v>60</v>
      </c>
      <c r="N118">
        <v>0</v>
      </c>
      <c r="O118" s="13">
        <v>41777.145834000003</v>
      </c>
      <c r="P118" s="284">
        <v>41803</v>
      </c>
    </row>
    <row r="119" spans="1:17" x14ac:dyDescent="0.25">
      <c r="A119" t="s">
        <v>450</v>
      </c>
      <c r="B119" t="s">
        <v>451</v>
      </c>
      <c r="C119" t="s">
        <v>567</v>
      </c>
      <c r="D119" t="s">
        <v>2120</v>
      </c>
      <c r="E119">
        <v>2</v>
      </c>
      <c r="F119" t="s">
        <v>11</v>
      </c>
      <c r="G119" t="s">
        <v>17</v>
      </c>
      <c r="H119" t="s">
        <v>31</v>
      </c>
      <c r="I119" t="s">
        <v>16</v>
      </c>
      <c r="J119" t="s">
        <v>34</v>
      </c>
      <c r="K119" t="s">
        <v>18</v>
      </c>
      <c r="L119" t="s">
        <v>1410</v>
      </c>
      <c r="M119" t="s">
        <v>59</v>
      </c>
      <c r="N119">
        <v>0</v>
      </c>
      <c r="O119" s="13">
        <v>41787.375</v>
      </c>
      <c r="P119" s="284">
        <v>41813</v>
      </c>
    </row>
    <row r="120" spans="1:17" x14ac:dyDescent="0.25">
      <c r="A120" t="s">
        <v>428</v>
      </c>
      <c r="B120" t="s">
        <v>448</v>
      </c>
      <c r="C120" t="s">
        <v>568</v>
      </c>
      <c r="D120" t="s">
        <v>2121</v>
      </c>
      <c r="E120">
        <v>5</v>
      </c>
      <c r="F120" t="s">
        <v>11</v>
      </c>
      <c r="G120" t="s">
        <v>17</v>
      </c>
      <c r="H120" t="s">
        <v>19</v>
      </c>
      <c r="I120" t="s">
        <v>20</v>
      </c>
      <c r="J120" t="s">
        <v>34</v>
      </c>
      <c r="K120" t="s">
        <v>18</v>
      </c>
      <c r="L120" t="s">
        <v>1410</v>
      </c>
      <c r="M120" t="s">
        <v>59</v>
      </c>
      <c r="N120">
        <v>0</v>
      </c>
      <c r="O120" s="13">
        <v>41785.625</v>
      </c>
      <c r="P120" s="284">
        <v>41817</v>
      </c>
    </row>
    <row r="121" spans="1:17" x14ac:dyDescent="0.25">
      <c r="A121" t="s">
        <v>427</v>
      </c>
      <c r="B121" t="s">
        <v>444</v>
      </c>
      <c r="C121" t="s">
        <v>526</v>
      </c>
      <c r="D121" t="s">
        <v>2122</v>
      </c>
      <c r="E121">
        <v>5</v>
      </c>
      <c r="F121" t="s">
        <v>42</v>
      </c>
      <c r="G121" t="s">
        <v>17</v>
      </c>
      <c r="H121" t="s">
        <v>23</v>
      </c>
      <c r="I121" t="s">
        <v>39</v>
      </c>
      <c r="J121" t="s">
        <v>34</v>
      </c>
      <c r="K121" t="s">
        <v>18</v>
      </c>
      <c r="L121" t="s">
        <v>1410</v>
      </c>
      <c r="M121" t="s">
        <v>59</v>
      </c>
      <c r="N121">
        <v>0</v>
      </c>
      <c r="O121" s="13">
        <v>41780.125</v>
      </c>
      <c r="P121" s="284">
        <v>41819</v>
      </c>
    </row>
    <row r="122" spans="1:17" x14ac:dyDescent="0.25">
      <c r="A122" t="s">
        <v>295</v>
      </c>
      <c r="B122" t="s">
        <v>447</v>
      </c>
      <c r="C122" t="s">
        <v>548</v>
      </c>
      <c r="D122" t="s">
        <v>2123</v>
      </c>
      <c r="E122">
        <v>2</v>
      </c>
      <c r="F122" t="s">
        <v>11</v>
      </c>
      <c r="G122" t="s">
        <v>17</v>
      </c>
      <c r="H122" t="s">
        <v>37</v>
      </c>
      <c r="I122" t="s">
        <v>16</v>
      </c>
      <c r="J122" t="s">
        <v>298</v>
      </c>
      <c r="K122" t="s">
        <v>18</v>
      </c>
      <c r="L122" t="s">
        <v>1410</v>
      </c>
      <c r="M122" t="s">
        <v>60</v>
      </c>
      <c r="N122">
        <v>0</v>
      </c>
      <c r="O122" s="13">
        <v>41766.354169999999</v>
      </c>
      <c r="P122" s="284">
        <v>41820</v>
      </c>
      <c r="Q122">
        <v>740</v>
      </c>
    </row>
    <row r="123" spans="1:17" x14ac:dyDescent="0.25">
      <c r="A123" t="s">
        <v>291</v>
      </c>
      <c r="B123" t="s">
        <v>303</v>
      </c>
      <c r="C123" t="s">
        <v>559</v>
      </c>
      <c r="D123" t="s">
        <v>2124</v>
      </c>
      <c r="E123">
        <v>1</v>
      </c>
      <c r="F123" t="s">
        <v>11</v>
      </c>
      <c r="G123" t="s">
        <v>744</v>
      </c>
      <c r="H123" t="s">
        <v>38</v>
      </c>
      <c r="I123" t="s">
        <v>20</v>
      </c>
      <c r="J123" t="s">
        <v>298</v>
      </c>
      <c r="K123" t="s">
        <v>14</v>
      </c>
      <c r="L123" t="s">
        <v>1410</v>
      </c>
      <c r="M123" t="s">
        <v>59</v>
      </c>
      <c r="N123">
        <v>0</v>
      </c>
      <c r="O123" s="13">
        <v>41743.5625</v>
      </c>
      <c r="P123" s="284">
        <v>41823</v>
      </c>
      <c r="Q123" t="s">
        <v>1411</v>
      </c>
    </row>
    <row r="124" spans="1:17" x14ac:dyDescent="0.25">
      <c r="A124" t="s">
        <v>296</v>
      </c>
      <c r="B124" t="s">
        <v>446</v>
      </c>
      <c r="C124" t="s">
        <v>569</v>
      </c>
      <c r="D124" t="s">
        <v>2125</v>
      </c>
      <c r="E124">
        <v>3</v>
      </c>
      <c r="F124" t="s">
        <v>11</v>
      </c>
      <c r="G124" t="s">
        <v>17</v>
      </c>
      <c r="H124" t="s">
        <v>79</v>
      </c>
      <c r="I124" t="s">
        <v>16</v>
      </c>
      <c r="J124" t="s">
        <v>298</v>
      </c>
      <c r="K124" t="s">
        <v>18</v>
      </c>
      <c r="L124" t="s">
        <v>1410</v>
      </c>
      <c r="M124" t="s">
        <v>61</v>
      </c>
      <c r="N124">
        <v>0</v>
      </c>
      <c r="O124" s="13">
        <v>41779.1</v>
      </c>
      <c r="P124" s="284">
        <v>41825</v>
      </c>
      <c r="Q124">
        <v>740</v>
      </c>
    </row>
    <row r="125" spans="1:17" x14ac:dyDescent="0.25">
      <c r="A125" t="s">
        <v>479</v>
      </c>
      <c r="B125" t="s">
        <v>480</v>
      </c>
      <c r="C125" t="s">
        <v>570</v>
      </c>
      <c r="D125" t="s">
        <v>2126</v>
      </c>
      <c r="E125">
        <v>2</v>
      </c>
      <c r="F125" t="s">
        <v>11</v>
      </c>
      <c r="G125" t="s">
        <v>17</v>
      </c>
      <c r="H125" t="s">
        <v>37</v>
      </c>
      <c r="I125" t="s">
        <v>20</v>
      </c>
      <c r="J125" t="s">
        <v>34</v>
      </c>
      <c r="K125" t="s">
        <v>18</v>
      </c>
      <c r="L125" t="s">
        <v>1410</v>
      </c>
      <c r="M125" t="s">
        <v>60</v>
      </c>
      <c r="N125">
        <v>0</v>
      </c>
      <c r="O125" s="13">
        <v>41822.875</v>
      </c>
      <c r="P125" s="284">
        <v>41846</v>
      </c>
    </row>
    <row r="126" spans="1:17" x14ac:dyDescent="0.25">
      <c r="A126" t="s">
        <v>477</v>
      </c>
      <c r="B126" t="s">
        <v>478</v>
      </c>
      <c r="C126" t="s">
        <v>571</v>
      </c>
      <c r="D126" t="s">
        <v>2127</v>
      </c>
      <c r="E126">
        <v>2</v>
      </c>
      <c r="F126" t="s">
        <v>11</v>
      </c>
      <c r="G126" t="s">
        <v>17</v>
      </c>
      <c r="H126" t="s">
        <v>31</v>
      </c>
      <c r="I126" t="s">
        <v>24</v>
      </c>
      <c r="J126" t="s">
        <v>34</v>
      </c>
      <c r="K126" t="s">
        <v>18</v>
      </c>
      <c r="L126" t="s">
        <v>1410</v>
      </c>
      <c r="M126" t="s">
        <v>59</v>
      </c>
      <c r="O126" s="13">
        <v>41815.208334000003</v>
      </c>
      <c r="P126" s="284">
        <v>41848</v>
      </c>
    </row>
    <row r="127" spans="1:17" x14ac:dyDescent="0.25">
      <c r="A127" t="s">
        <v>471</v>
      </c>
      <c r="B127" t="s">
        <v>473</v>
      </c>
      <c r="C127" t="s">
        <v>547</v>
      </c>
      <c r="D127" t="s">
        <v>2128</v>
      </c>
      <c r="E127">
        <v>5</v>
      </c>
      <c r="F127" t="s">
        <v>11</v>
      </c>
      <c r="G127" t="s">
        <v>17</v>
      </c>
      <c r="H127" t="s">
        <v>25</v>
      </c>
      <c r="I127" t="s">
        <v>20</v>
      </c>
      <c r="J127" t="s">
        <v>34</v>
      </c>
      <c r="K127" t="s">
        <v>18</v>
      </c>
      <c r="L127" t="s">
        <v>1410</v>
      </c>
      <c r="M127" t="s">
        <v>60</v>
      </c>
      <c r="O127" s="13">
        <v>41815.729169999999</v>
      </c>
      <c r="P127" s="284">
        <v>41856</v>
      </c>
    </row>
    <row r="128" spans="1:17" x14ac:dyDescent="0.25">
      <c r="A128" t="s">
        <v>484</v>
      </c>
      <c r="B128" t="s">
        <v>488</v>
      </c>
      <c r="C128" t="s">
        <v>484</v>
      </c>
      <c r="D128" t="s">
        <v>2129</v>
      </c>
      <c r="E128">
        <v>5</v>
      </c>
      <c r="F128" t="s">
        <v>42</v>
      </c>
      <c r="G128" t="s">
        <v>22</v>
      </c>
      <c r="H128" t="s">
        <v>19</v>
      </c>
      <c r="I128" t="s">
        <v>20</v>
      </c>
      <c r="J128" t="s">
        <v>298</v>
      </c>
      <c r="K128" t="s">
        <v>14</v>
      </c>
      <c r="L128" t="s">
        <v>1416</v>
      </c>
      <c r="M128" t="s">
        <v>59</v>
      </c>
      <c r="O128" s="13">
        <v>41823.584000000003</v>
      </c>
      <c r="P128" s="284">
        <v>41867</v>
      </c>
      <c r="Q128">
        <v>900</v>
      </c>
    </row>
    <row r="129" spans="1:17" x14ac:dyDescent="0.25">
      <c r="A129" t="s">
        <v>429</v>
      </c>
      <c r="B129" t="s">
        <v>474</v>
      </c>
      <c r="C129" t="s">
        <v>572</v>
      </c>
      <c r="D129" t="s">
        <v>2130</v>
      </c>
      <c r="E129">
        <v>5</v>
      </c>
      <c r="F129" t="s">
        <v>42</v>
      </c>
      <c r="G129" t="s">
        <v>17</v>
      </c>
      <c r="H129" t="s">
        <v>430</v>
      </c>
      <c r="I129" t="s">
        <v>20</v>
      </c>
      <c r="J129" t="s">
        <v>298</v>
      </c>
      <c r="K129" t="s">
        <v>14</v>
      </c>
      <c r="L129" t="s">
        <v>1410</v>
      </c>
      <c r="O129" s="13">
        <v>41809.625</v>
      </c>
      <c r="P129" s="284">
        <v>41876</v>
      </c>
      <c r="Q129">
        <v>650</v>
      </c>
    </row>
    <row r="130" spans="1:17" x14ac:dyDescent="0.25">
      <c r="A130" t="s">
        <v>470</v>
      </c>
      <c r="B130" t="s">
        <v>472</v>
      </c>
      <c r="C130" t="s">
        <v>470</v>
      </c>
      <c r="D130" t="s">
        <v>2131</v>
      </c>
      <c r="E130">
        <v>5</v>
      </c>
      <c r="F130" t="s">
        <v>42</v>
      </c>
      <c r="G130" t="s">
        <v>29</v>
      </c>
      <c r="H130" t="s">
        <v>12</v>
      </c>
      <c r="I130" t="s">
        <v>20</v>
      </c>
      <c r="J130" t="s">
        <v>298</v>
      </c>
      <c r="K130" t="s">
        <v>14</v>
      </c>
      <c r="L130" t="s">
        <v>1416</v>
      </c>
      <c r="M130" t="s">
        <v>60</v>
      </c>
      <c r="O130" s="13">
        <v>41819.791669999999</v>
      </c>
      <c r="P130" s="284">
        <v>41879</v>
      </c>
      <c r="Q130">
        <v>940</v>
      </c>
    </row>
    <row r="131" spans="1:17" x14ac:dyDescent="0.25">
      <c r="A131" t="s">
        <v>485</v>
      </c>
      <c r="B131" t="s">
        <v>489</v>
      </c>
      <c r="C131" t="s">
        <v>485</v>
      </c>
      <c r="D131" t="s">
        <v>2132</v>
      </c>
      <c r="E131">
        <v>5</v>
      </c>
      <c r="F131" t="s">
        <v>42</v>
      </c>
      <c r="G131" t="s">
        <v>22</v>
      </c>
      <c r="H131" t="s">
        <v>23</v>
      </c>
      <c r="I131" t="s">
        <v>24</v>
      </c>
      <c r="J131" t="s">
        <v>298</v>
      </c>
      <c r="K131" t="s">
        <v>14</v>
      </c>
      <c r="L131" t="s">
        <v>1416</v>
      </c>
      <c r="M131" t="s">
        <v>59</v>
      </c>
      <c r="O131" s="13">
        <v>41821.333400000003</v>
      </c>
      <c r="P131" s="284">
        <v>41880</v>
      </c>
      <c r="Q131">
        <v>900</v>
      </c>
    </row>
    <row r="132" spans="1:17" x14ac:dyDescent="0.25">
      <c r="A132" t="s">
        <v>482</v>
      </c>
      <c r="B132" t="s">
        <v>486</v>
      </c>
      <c r="C132" t="s">
        <v>573</v>
      </c>
      <c r="D132" t="s">
        <v>2133</v>
      </c>
      <c r="E132">
        <v>3</v>
      </c>
      <c r="F132" t="s">
        <v>11</v>
      </c>
      <c r="G132" t="s">
        <v>22</v>
      </c>
      <c r="H132" t="s">
        <v>79</v>
      </c>
      <c r="I132" t="s">
        <v>24</v>
      </c>
      <c r="J132" t="s">
        <v>298</v>
      </c>
      <c r="K132" t="s">
        <v>14</v>
      </c>
      <c r="L132" t="s">
        <v>1410</v>
      </c>
      <c r="M132" t="s">
        <v>61</v>
      </c>
      <c r="O132" s="13">
        <v>41827.604166700003</v>
      </c>
      <c r="P132" s="284">
        <v>41887</v>
      </c>
      <c r="Q132">
        <v>550</v>
      </c>
    </row>
    <row r="133" spans="1:17" x14ac:dyDescent="0.25">
      <c r="A133" t="s">
        <v>490</v>
      </c>
      <c r="B133" t="s">
        <v>491</v>
      </c>
      <c r="C133" t="s">
        <v>491</v>
      </c>
      <c r="D133" t="s">
        <v>2134</v>
      </c>
      <c r="F133" t="s">
        <v>11</v>
      </c>
      <c r="G133" t="s">
        <v>29</v>
      </c>
      <c r="H133" t="s">
        <v>37</v>
      </c>
      <c r="I133" t="s">
        <v>24</v>
      </c>
      <c r="J133" t="s">
        <v>298</v>
      </c>
      <c r="K133" t="s">
        <v>18</v>
      </c>
      <c r="L133" t="s">
        <v>1416</v>
      </c>
      <c r="M133" t="s">
        <v>60</v>
      </c>
      <c r="O133" s="13">
        <v>41847.229169999999</v>
      </c>
      <c r="P133" s="284">
        <v>41888</v>
      </c>
      <c r="Q133">
        <v>630</v>
      </c>
    </row>
    <row r="134" spans="1:17" x14ac:dyDescent="0.25">
      <c r="A134" t="s">
        <v>494</v>
      </c>
      <c r="B134" t="s">
        <v>504</v>
      </c>
      <c r="C134" t="s">
        <v>504</v>
      </c>
      <c r="D134" t="s">
        <v>2135</v>
      </c>
      <c r="F134" t="s">
        <v>11</v>
      </c>
      <c r="G134" t="s">
        <v>17</v>
      </c>
      <c r="H134" t="s">
        <v>25</v>
      </c>
      <c r="I134" t="s">
        <v>20</v>
      </c>
      <c r="J134" t="s">
        <v>298</v>
      </c>
      <c r="K134" t="s">
        <v>18</v>
      </c>
      <c r="L134" t="s">
        <v>1410</v>
      </c>
      <c r="M134" t="s">
        <v>60</v>
      </c>
      <c r="O134" s="13">
        <v>41871.5</v>
      </c>
      <c r="P134" s="284">
        <v>41912.333333333336</v>
      </c>
      <c r="Q134">
        <v>740</v>
      </c>
    </row>
    <row r="135" spans="1:17" x14ac:dyDescent="0.25">
      <c r="A135" t="s">
        <v>500</v>
      </c>
      <c r="B135" t="s">
        <v>507</v>
      </c>
      <c r="C135" t="s">
        <v>725</v>
      </c>
      <c r="D135" t="s">
        <v>2136</v>
      </c>
      <c r="F135" t="s">
        <v>42</v>
      </c>
      <c r="G135" t="s">
        <v>17</v>
      </c>
      <c r="H135" t="s">
        <v>430</v>
      </c>
      <c r="I135" t="s">
        <v>16</v>
      </c>
      <c r="J135" t="s">
        <v>34</v>
      </c>
      <c r="K135" t="s">
        <v>18</v>
      </c>
      <c r="L135" t="s">
        <v>1410</v>
      </c>
      <c r="M135" t="e">
        <v>#N/A</v>
      </c>
      <c r="O135" s="13">
        <v>41884.25</v>
      </c>
      <c r="P135" s="284">
        <v>41912.916666666664</v>
      </c>
    </row>
    <row r="136" spans="1:17" x14ac:dyDescent="0.25">
      <c r="A136" t="s">
        <v>496</v>
      </c>
      <c r="B136" t="s">
        <v>506</v>
      </c>
      <c r="C136" t="s">
        <v>718</v>
      </c>
      <c r="D136" t="s">
        <v>2137</v>
      </c>
      <c r="F136" t="s">
        <v>42</v>
      </c>
      <c r="G136" t="s">
        <v>17</v>
      </c>
      <c r="H136" t="s">
        <v>79</v>
      </c>
      <c r="I136" t="s">
        <v>16</v>
      </c>
      <c r="J136" t="s">
        <v>34</v>
      </c>
      <c r="K136" t="s">
        <v>18</v>
      </c>
      <c r="L136" t="s">
        <v>1410</v>
      </c>
      <c r="M136" t="s">
        <v>61</v>
      </c>
      <c r="O136" s="13">
        <v>41884.458333333336</v>
      </c>
      <c r="P136" s="284">
        <v>41915.25</v>
      </c>
    </row>
    <row r="137" spans="1:17" x14ac:dyDescent="0.25">
      <c r="A137" t="s">
        <v>483</v>
      </c>
      <c r="B137" t="s">
        <v>487</v>
      </c>
      <c r="C137" t="s">
        <v>483</v>
      </c>
      <c r="D137" t="s">
        <v>2138</v>
      </c>
      <c r="E137">
        <v>1</v>
      </c>
      <c r="F137" t="s">
        <v>11</v>
      </c>
      <c r="G137" t="s">
        <v>22</v>
      </c>
      <c r="H137" t="s">
        <v>38</v>
      </c>
      <c r="I137" t="s">
        <v>24</v>
      </c>
      <c r="J137" t="s">
        <v>298</v>
      </c>
      <c r="K137" t="s">
        <v>14</v>
      </c>
      <c r="L137" t="s">
        <v>1416</v>
      </c>
      <c r="M137" t="s">
        <v>59</v>
      </c>
      <c r="O137" s="13">
        <v>41836.708333333336</v>
      </c>
      <c r="P137" s="284">
        <v>41915.583333333336</v>
      </c>
      <c r="Q137">
        <v>550</v>
      </c>
    </row>
    <row r="138" spans="1:17" x14ac:dyDescent="0.25">
      <c r="A138" t="s">
        <v>498</v>
      </c>
      <c r="B138" t="s">
        <v>499</v>
      </c>
      <c r="C138" t="s">
        <v>499</v>
      </c>
      <c r="D138" t="s">
        <v>2139</v>
      </c>
      <c r="F138" t="s">
        <v>11</v>
      </c>
      <c r="G138" t="s">
        <v>17</v>
      </c>
      <c r="H138" t="s">
        <v>79</v>
      </c>
      <c r="I138" t="s">
        <v>16</v>
      </c>
      <c r="J138" t="s">
        <v>34</v>
      </c>
      <c r="K138" t="s">
        <v>18</v>
      </c>
      <c r="L138" t="s">
        <v>1410</v>
      </c>
      <c r="M138" t="s">
        <v>61</v>
      </c>
      <c r="O138" s="13">
        <v>41889.833333333336</v>
      </c>
      <c r="P138" s="284">
        <v>41927.833333333336</v>
      </c>
    </row>
    <row r="139" spans="1:17" x14ac:dyDescent="0.25">
      <c r="A139" t="s">
        <v>492</v>
      </c>
      <c r="B139" t="s">
        <v>493</v>
      </c>
      <c r="C139" t="s">
        <v>493</v>
      </c>
      <c r="D139" t="s">
        <v>2140</v>
      </c>
      <c r="F139" t="s">
        <v>11</v>
      </c>
      <c r="G139" t="s">
        <v>17</v>
      </c>
      <c r="H139" t="s">
        <v>37</v>
      </c>
      <c r="I139" t="s">
        <v>24</v>
      </c>
      <c r="J139" t="s">
        <v>298</v>
      </c>
      <c r="K139" t="s">
        <v>18</v>
      </c>
      <c r="L139" t="s">
        <v>1410</v>
      </c>
      <c r="M139" t="s">
        <v>60</v>
      </c>
      <c r="O139" s="13">
        <v>41891.770833333336</v>
      </c>
      <c r="P139" s="284">
        <v>41934.479166666664</v>
      </c>
      <c r="Q139">
        <v>740</v>
      </c>
    </row>
    <row r="140" spans="1:17" x14ac:dyDescent="0.25">
      <c r="A140" t="s">
        <v>495</v>
      </c>
      <c r="B140" t="s">
        <v>505</v>
      </c>
      <c r="C140" t="s">
        <v>505</v>
      </c>
      <c r="D140" t="s">
        <v>2141</v>
      </c>
      <c r="F140" t="s">
        <v>42</v>
      </c>
      <c r="G140" t="s">
        <v>17</v>
      </c>
      <c r="H140" t="s">
        <v>12</v>
      </c>
      <c r="I140" t="s">
        <v>20</v>
      </c>
      <c r="J140" t="s">
        <v>34</v>
      </c>
      <c r="K140" t="s">
        <v>18</v>
      </c>
      <c r="L140" t="s">
        <v>1410</v>
      </c>
      <c r="M140" t="s">
        <v>60</v>
      </c>
      <c r="O140" s="13">
        <v>41913.375</v>
      </c>
      <c r="P140" s="284">
        <v>41944.5</v>
      </c>
    </row>
    <row r="141" spans="1:17" x14ac:dyDescent="0.25">
      <c r="A141" t="s">
        <v>497</v>
      </c>
      <c r="B141" t="s">
        <v>810</v>
      </c>
      <c r="C141" t="s">
        <v>2204</v>
      </c>
      <c r="D141" t="s">
        <v>2205</v>
      </c>
      <c r="F141" t="s">
        <v>11</v>
      </c>
      <c r="G141" t="s">
        <v>29</v>
      </c>
      <c r="H141" t="s">
        <v>46</v>
      </c>
      <c r="I141" t="s">
        <v>24</v>
      </c>
      <c r="J141" t="s">
        <v>298</v>
      </c>
      <c r="K141" t="s">
        <v>18</v>
      </c>
      <c r="L141" t="s">
        <v>1416</v>
      </c>
      <c r="M141" t="s">
        <v>60</v>
      </c>
      <c r="N141">
        <v>1</v>
      </c>
      <c r="O141" s="13">
        <v>41896.75</v>
      </c>
      <c r="P141" s="284">
        <v>41961.25</v>
      </c>
      <c r="Q141">
        <v>630</v>
      </c>
    </row>
    <row r="142" spans="1:17" x14ac:dyDescent="0.25">
      <c r="A142" t="s">
        <v>719</v>
      </c>
      <c r="B142" t="s">
        <v>733</v>
      </c>
      <c r="C142" t="s">
        <v>804</v>
      </c>
      <c r="D142" t="s">
        <v>2142</v>
      </c>
      <c r="F142" t="s">
        <v>11</v>
      </c>
      <c r="G142" t="s">
        <v>17</v>
      </c>
      <c r="H142" t="s">
        <v>25</v>
      </c>
      <c r="I142" t="s">
        <v>20</v>
      </c>
      <c r="J142" t="s">
        <v>34</v>
      </c>
      <c r="K142" t="s">
        <v>18</v>
      </c>
      <c r="L142" t="s">
        <v>1410</v>
      </c>
      <c r="M142" t="s">
        <v>60</v>
      </c>
      <c r="O142" s="13">
        <v>41914.416666666664</v>
      </c>
      <c r="P142" s="284">
        <v>41962.25</v>
      </c>
    </row>
    <row r="143" spans="1:17" x14ac:dyDescent="0.25">
      <c r="A143" t="s">
        <v>721</v>
      </c>
      <c r="B143" t="s">
        <v>732</v>
      </c>
      <c r="C143" t="s">
        <v>1634</v>
      </c>
      <c r="D143" t="s">
        <v>2143</v>
      </c>
      <c r="F143" t="s">
        <v>11</v>
      </c>
      <c r="G143" t="s">
        <v>17</v>
      </c>
      <c r="H143" t="s">
        <v>79</v>
      </c>
      <c r="I143" t="s">
        <v>16</v>
      </c>
      <c r="J143" t="s">
        <v>34</v>
      </c>
      <c r="K143" t="s">
        <v>18</v>
      </c>
      <c r="L143" t="s">
        <v>1410</v>
      </c>
      <c r="M143" t="s">
        <v>61</v>
      </c>
      <c r="O143" s="13">
        <v>41930.333333333336</v>
      </c>
      <c r="P143" s="284">
        <v>41965.416666666664</v>
      </c>
    </row>
    <row r="144" spans="1:17" x14ac:dyDescent="0.25">
      <c r="A144" t="s">
        <v>727</v>
      </c>
      <c r="B144" t="s">
        <v>720</v>
      </c>
      <c r="C144" t="s">
        <v>720</v>
      </c>
      <c r="D144" t="s">
        <v>2144</v>
      </c>
      <c r="F144" t="s">
        <v>42</v>
      </c>
      <c r="G144" t="s">
        <v>17</v>
      </c>
      <c r="H144" t="s">
        <v>430</v>
      </c>
      <c r="I144" t="s">
        <v>39</v>
      </c>
      <c r="J144" t="s">
        <v>298</v>
      </c>
      <c r="K144" t="s">
        <v>14</v>
      </c>
      <c r="L144" t="s">
        <v>1410</v>
      </c>
      <c r="M144" t="e">
        <v>#N/A</v>
      </c>
      <c r="O144" s="13">
        <v>41918.75</v>
      </c>
      <c r="P144" s="284">
        <v>41966.541666666664</v>
      </c>
      <c r="Q144">
        <v>650</v>
      </c>
    </row>
    <row r="145" spans="1:17" x14ac:dyDescent="0.25">
      <c r="A145" t="s">
        <v>724</v>
      </c>
      <c r="B145" t="s">
        <v>729</v>
      </c>
      <c r="C145" t="s">
        <v>807</v>
      </c>
      <c r="D145" t="s">
        <v>2145</v>
      </c>
      <c r="F145" t="s">
        <v>11</v>
      </c>
      <c r="G145" t="s">
        <v>17</v>
      </c>
      <c r="H145" t="s">
        <v>37</v>
      </c>
      <c r="I145" t="s">
        <v>16</v>
      </c>
      <c r="J145" t="s">
        <v>34</v>
      </c>
      <c r="K145" t="s">
        <v>18</v>
      </c>
      <c r="L145" t="s">
        <v>1410</v>
      </c>
      <c r="M145" t="s">
        <v>60</v>
      </c>
      <c r="O145" s="13">
        <v>41936.604166666664</v>
      </c>
      <c r="P145" s="284">
        <v>41966.791666666664</v>
      </c>
    </row>
    <row r="146" spans="1:17" x14ac:dyDescent="0.25">
      <c r="A146" t="s">
        <v>722</v>
      </c>
      <c r="B146" t="s">
        <v>731</v>
      </c>
      <c r="C146" t="s">
        <v>805</v>
      </c>
      <c r="D146" t="s">
        <v>2146</v>
      </c>
      <c r="F146" t="s">
        <v>11</v>
      </c>
      <c r="G146" t="s">
        <v>17</v>
      </c>
      <c r="H146" t="s">
        <v>23</v>
      </c>
      <c r="I146" t="s">
        <v>24</v>
      </c>
      <c r="J146" t="s">
        <v>298</v>
      </c>
      <c r="K146" t="s">
        <v>18</v>
      </c>
      <c r="L146" t="s">
        <v>1410</v>
      </c>
      <c r="M146" t="s">
        <v>59</v>
      </c>
      <c r="O146" s="13">
        <v>41919.833333333336</v>
      </c>
      <c r="P146" s="284">
        <v>41971.916666666664</v>
      </c>
      <c r="Q146">
        <v>740</v>
      </c>
    </row>
    <row r="147" spans="1:17" x14ac:dyDescent="0.25">
      <c r="A147" t="s">
        <v>752</v>
      </c>
      <c r="B147" t="s">
        <v>798</v>
      </c>
      <c r="C147" t="s">
        <v>799</v>
      </c>
      <c r="D147" t="s">
        <v>2147</v>
      </c>
      <c r="F147" t="s">
        <v>42</v>
      </c>
      <c r="G147" t="s">
        <v>17</v>
      </c>
      <c r="H147" t="s">
        <v>79</v>
      </c>
      <c r="I147" t="s">
        <v>20</v>
      </c>
      <c r="J147" t="s">
        <v>34</v>
      </c>
      <c r="K147" t="s">
        <v>18</v>
      </c>
      <c r="L147" t="s">
        <v>1410</v>
      </c>
      <c r="O147" s="284">
        <v>41967</v>
      </c>
      <c r="P147" s="73">
        <v>41994</v>
      </c>
    </row>
    <row r="148" spans="1:17" x14ac:dyDescent="0.25">
      <c r="A148" t="s">
        <v>726</v>
      </c>
      <c r="B148" t="s">
        <v>728</v>
      </c>
      <c r="C148" t="s">
        <v>726</v>
      </c>
      <c r="D148" t="s">
        <v>2148</v>
      </c>
      <c r="F148" t="s">
        <v>11</v>
      </c>
      <c r="G148" t="s">
        <v>29</v>
      </c>
      <c r="H148" t="s">
        <v>735</v>
      </c>
      <c r="I148" t="s">
        <v>20</v>
      </c>
      <c r="J148" t="s">
        <v>298</v>
      </c>
      <c r="K148" t="s">
        <v>14</v>
      </c>
      <c r="L148" t="s">
        <v>1416</v>
      </c>
      <c r="M148" t="e">
        <v>#N/A</v>
      </c>
      <c r="O148" s="284">
        <v>41953</v>
      </c>
      <c r="P148" s="73">
        <v>42001</v>
      </c>
      <c r="Q148">
        <v>630</v>
      </c>
    </row>
    <row r="149" spans="1:17" x14ac:dyDescent="0.25">
      <c r="A149" t="s">
        <v>723</v>
      </c>
      <c r="B149" t="s">
        <v>730</v>
      </c>
      <c r="C149" t="s">
        <v>806</v>
      </c>
      <c r="D149" t="s">
        <v>2149</v>
      </c>
      <c r="F149" t="s">
        <v>11</v>
      </c>
      <c r="G149" t="s">
        <v>17</v>
      </c>
      <c r="H149" t="s">
        <v>38</v>
      </c>
      <c r="I149" t="s">
        <v>16</v>
      </c>
      <c r="J149" t="s">
        <v>34</v>
      </c>
      <c r="K149" t="s">
        <v>18</v>
      </c>
      <c r="L149" t="s">
        <v>1410</v>
      </c>
      <c r="M149" t="s">
        <v>59</v>
      </c>
      <c r="O149" s="284">
        <v>41946</v>
      </c>
      <c r="P149" s="73">
        <v>42003</v>
      </c>
    </row>
    <row r="150" spans="1:17" x14ac:dyDescent="0.25">
      <c r="A150" t="s">
        <v>765</v>
      </c>
      <c r="B150" t="s">
        <v>801</v>
      </c>
      <c r="C150" t="s">
        <v>765</v>
      </c>
      <c r="D150" t="s">
        <v>2150</v>
      </c>
      <c r="F150" t="s">
        <v>11</v>
      </c>
      <c r="G150" t="s">
        <v>744</v>
      </c>
      <c r="H150" t="s">
        <v>31</v>
      </c>
      <c r="I150" t="s">
        <v>24</v>
      </c>
      <c r="J150" t="s">
        <v>298</v>
      </c>
      <c r="K150" t="s">
        <v>18</v>
      </c>
      <c r="L150" t="s">
        <v>1416</v>
      </c>
      <c r="O150" s="284">
        <v>41952</v>
      </c>
      <c r="P150" s="73">
        <v>42004</v>
      </c>
      <c r="Q150" t="s">
        <v>1411</v>
      </c>
    </row>
    <row r="151" spans="1:17" x14ac:dyDescent="0.25">
      <c r="A151" t="s">
        <v>737</v>
      </c>
      <c r="B151" t="s">
        <v>736</v>
      </c>
      <c r="C151" t="s">
        <v>737</v>
      </c>
      <c r="D151" t="s">
        <v>2151</v>
      </c>
      <c r="F151" t="s">
        <v>42</v>
      </c>
      <c r="G151" t="s">
        <v>22</v>
      </c>
      <c r="H151" t="s">
        <v>12</v>
      </c>
      <c r="I151" t="s">
        <v>24</v>
      </c>
      <c r="J151" t="s">
        <v>298</v>
      </c>
      <c r="K151" t="s">
        <v>14</v>
      </c>
      <c r="L151" t="s">
        <v>1416</v>
      </c>
      <c r="M151" t="s">
        <v>60</v>
      </c>
      <c r="N151">
        <v>1</v>
      </c>
      <c r="O151" s="284">
        <v>41963</v>
      </c>
      <c r="P151" s="284">
        <v>42010</v>
      </c>
      <c r="Q151">
        <v>900</v>
      </c>
    </row>
    <row r="152" spans="1:17" x14ac:dyDescent="0.25">
      <c r="A152" t="s">
        <v>502</v>
      </c>
      <c r="B152" t="s">
        <v>509</v>
      </c>
      <c r="C152" t="s">
        <v>502</v>
      </c>
      <c r="D152" t="s">
        <v>2152</v>
      </c>
      <c r="F152" t="s">
        <v>42</v>
      </c>
      <c r="G152" t="s">
        <v>44</v>
      </c>
      <c r="H152" t="s">
        <v>512</v>
      </c>
      <c r="I152" t="s">
        <v>16</v>
      </c>
      <c r="J152" t="s">
        <v>298</v>
      </c>
      <c r="K152" t="s">
        <v>14</v>
      </c>
      <c r="L152" t="s">
        <v>1416</v>
      </c>
      <c r="M152" t="e">
        <v>#N/A</v>
      </c>
      <c r="O152" s="284">
        <v>41914</v>
      </c>
      <c r="P152" s="284">
        <v>42011</v>
      </c>
      <c r="Q152">
        <v>1560</v>
      </c>
    </row>
    <row r="153" spans="1:17" x14ac:dyDescent="0.25">
      <c r="A153" t="s">
        <v>769</v>
      </c>
      <c r="B153" t="s">
        <v>802</v>
      </c>
      <c r="C153" t="s">
        <v>803</v>
      </c>
      <c r="D153" t="s">
        <v>2153</v>
      </c>
      <c r="F153" t="s">
        <v>11</v>
      </c>
      <c r="G153" t="s">
        <v>17</v>
      </c>
      <c r="H153" t="s">
        <v>734</v>
      </c>
      <c r="I153" t="s">
        <v>20</v>
      </c>
      <c r="J153" t="s">
        <v>298</v>
      </c>
      <c r="K153" t="s">
        <v>18</v>
      </c>
      <c r="L153" t="s">
        <v>1410</v>
      </c>
      <c r="O153" s="284">
        <v>41960</v>
      </c>
      <c r="P153" s="284">
        <v>42016</v>
      </c>
      <c r="Q153">
        <v>740</v>
      </c>
    </row>
    <row r="154" spans="1:17" x14ac:dyDescent="0.25">
      <c r="A154" t="s">
        <v>761</v>
      </c>
      <c r="B154" t="s">
        <v>796</v>
      </c>
      <c r="C154" t="s">
        <v>797</v>
      </c>
      <c r="D154" t="s">
        <v>2154</v>
      </c>
      <c r="F154" t="s">
        <v>11</v>
      </c>
      <c r="G154" t="s">
        <v>17</v>
      </c>
      <c r="H154" t="s">
        <v>23</v>
      </c>
      <c r="I154" t="s">
        <v>24</v>
      </c>
      <c r="J154" t="s">
        <v>298</v>
      </c>
      <c r="K154" t="s">
        <v>18</v>
      </c>
      <c r="L154" t="s">
        <v>1410</v>
      </c>
      <c r="O154" s="284">
        <v>41974</v>
      </c>
      <c r="P154" s="284">
        <v>42018</v>
      </c>
      <c r="Q154">
        <v>740</v>
      </c>
    </row>
    <row r="155" spans="1:17" x14ac:dyDescent="0.25">
      <c r="A155" t="s">
        <v>766</v>
      </c>
      <c r="B155" t="s">
        <v>794</v>
      </c>
      <c r="C155" t="s">
        <v>1368</v>
      </c>
      <c r="D155" t="s">
        <v>2155</v>
      </c>
      <c r="F155" t="s">
        <v>11</v>
      </c>
      <c r="G155" t="s">
        <v>17</v>
      </c>
      <c r="H155" t="s">
        <v>37</v>
      </c>
      <c r="I155" t="s">
        <v>20</v>
      </c>
      <c r="J155" t="s">
        <v>298</v>
      </c>
      <c r="K155" t="s">
        <v>18</v>
      </c>
      <c r="L155" t="s">
        <v>1410</v>
      </c>
      <c r="N155">
        <v>2</v>
      </c>
      <c r="O155" s="284">
        <v>41969</v>
      </c>
      <c r="P155" s="284">
        <v>42033</v>
      </c>
      <c r="Q155">
        <v>740</v>
      </c>
    </row>
    <row r="156" spans="1:17" x14ac:dyDescent="0.25">
      <c r="A156" t="s">
        <v>503</v>
      </c>
      <c r="B156" t="s">
        <v>510</v>
      </c>
      <c r="C156" t="s">
        <v>510</v>
      </c>
      <c r="D156" t="s">
        <v>2156</v>
      </c>
      <c r="F156" t="s">
        <v>11</v>
      </c>
      <c r="G156" t="s">
        <v>22</v>
      </c>
      <c r="H156" t="s">
        <v>511</v>
      </c>
      <c r="I156" t="s">
        <v>24</v>
      </c>
      <c r="J156" t="s">
        <v>298</v>
      </c>
      <c r="K156" t="s">
        <v>14</v>
      </c>
      <c r="L156" t="s">
        <v>1410</v>
      </c>
      <c r="M156" t="e">
        <v>#N/A</v>
      </c>
      <c r="N156">
        <v>1</v>
      </c>
      <c r="O156" s="284">
        <v>41999</v>
      </c>
      <c r="P156" s="284">
        <v>42036.583333333336</v>
      </c>
      <c r="Q156">
        <v>550</v>
      </c>
    </row>
    <row r="157" spans="1:17" x14ac:dyDescent="0.25">
      <c r="A157" t="s">
        <v>832</v>
      </c>
      <c r="B157" t="s">
        <v>833</v>
      </c>
      <c r="C157" t="s">
        <v>832</v>
      </c>
      <c r="D157" t="s">
        <v>2157</v>
      </c>
      <c r="F157" t="s">
        <v>11</v>
      </c>
      <c r="G157" t="s">
        <v>22</v>
      </c>
      <c r="H157" t="s">
        <v>839</v>
      </c>
      <c r="I157" t="s">
        <v>24</v>
      </c>
      <c r="J157" t="s">
        <v>298</v>
      </c>
      <c r="K157" t="s">
        <v>14</v>
      </c>
      <c r="L157" t="s">
        <v>1416</v>
      </c>
      <c r="O157" s="284">
        <v>41985</v>
      </c>
      <c r="P157" s="284">
        <v>42037</v>
      </c>
      <c r="Q157">
        <v>550</v>
      </c>
    </row>
    <row r="158" spans="1:17" x14ac:dyDescent="0.25">
      <c r="A158" t="s">
        <v>793</v>
      </c>
      <c r="B158" t="s">
        <v>800</v>
      </c>
      <c r="C158" t="s">
        <v>793</v>
      </c>
      <c r="D158" t="s">
        <v>2158</v>
      </c>
      <c r="F158" t="s">
        <v>42</v>
      </c>
      <c r="G158" t="s">
        <v>22</v>
      </c>
      <c r="H158" t="s">
        <v>430</v>
      </c>
      <c r="I158" t="s">
        <v>16</v>
      </c>
      <c r="J158" t="s">
        <v>298</v>
      </c>
      <c r="K158" t="s">
        <v>14</v>
      </c>
      <c r="L158" t="s">
        <v>1416</v>
      </c>
      <c r="O158" s="284">
        <v>41973</v>
      </c>
      <c r="P158" s="284">
        <v>42039</v>
      </c>
      <c r="Q158">
        <v>900</v>
      </c>
    </row>
    <row r="159" spans="1:17" x14ac:dyDescent="0.25">
      <c r="A159" t="s">
        <v>501</v>
      </c>
      <c r="B159" t="s">
        <v>508</v>
      </c>
      <c r="C159" t="s">
        <v>508</v>
      </c>
      <c r="D159" t="s">
        <v>2159</v>
      </c>
      <c r="F159" t="s">
        <v>11</v>
      </c>
      <c r="G159" t="s">
        <v>44</v>
      </c>
      <c r="H159" t="s">
        <v>513</v>
      </c>
      <c r="I159" t="s">
        <v>20</v>
      </c>
      <c r="J159" t="s">
        <v>298</v>
      </c>
      <c r="K159" t="s">
        <v>14</v>
      </c>
      <c r="L159" t="s">
        <v>1410</v>
      </c>
      <c r="M159" t="e">
        <v>#N/A</v>
      </c>
      <c r="O159" s="284">
        <v>41883</v>
      </c>
      <c r="P159" s="284">
        <v>42042.479166666664</v>
      </c>
      <c r="Q159">
        <v>920</v>
      </c>
    </row>
    <row r="160" spans="1:17" x14ac:dyDescent="0.25">
      <c r="A160" t="s">
        <v>192</v>
      </c>
      <c r="B160" t="s">
        <v>795</v>
      </c>
      <c r="C160" t="s">
        <v>1590</v>
      </c>
      <c r="D160" t="s">
        <v>2160</v>
      </c>
      <c r="F160" t="s">
        <v>42</v>
      </c>
      <c r="G160" t="s">
        <v>17</v>
      </c>
      <c r="H160" t="s">
        <v>25</v>
      </c>
      <c r="I160" t="s">
        <v>24</v>
      </c>
      <c r="J160" t="s">
        <v>298</v>
      </c>
      <c r="K160" t="s">
        <v>18</v>
      </c>
      <c r="L160" t="s">
        <v>1410</v>
      </c>
      <c r="N160">
        <v>2</v>
      </c>
      <c r="O160" s="284">
        <v>41966</v>
      </c>
      <c r="P160" s="526">
        <v>42043</v>
      </c>
      <c r="Q160">
        <v>650</v>
      </c>
    </row>
    <row r="161" spans="1:17" x14ac:dyDescent="0.25">
      <c r="A161" t="s">
        <v>763</v>
      </c>
      <c r="B161" t="s">
        <v>831</v>
      </c>
      <c r="C161" t="s">
        <v>1357</v>
      </c>
      <c r="D161" t="s">
        <v>2161</v>
      </c>
      <c r="F161" t="s">
        <v>11</v>
      </c>
      <c r="G161" t="s">
        <v>17</v>
      </c>
      <c r="H161" t="s">
        <v>735</v>
      </c>
      <c r="I161" t="s">
        <v>16</v>
      </c>
      <c r="J161" t="s">
        <v>34</v>
      </c>
      <c r="K161" t="s">
        <v>18</v>
      </c>
      <c r="L161" t="s">
        <v>1410</v>
      </c>
      <c r="O161" s="284">
        <v>42008</v>
      </c>
      <c r="P161" s="284">
        <v>42047</v>
      </c>
    </row>
    <row r="162" spans="1:17" x14ac:dyDescent="0.25">
      <c r="A162" t="s">
        <v>828</v>
      </c>
      <c r="B162" t="s">
        <v>829</v>
      </c>
      <c r="C162" t="s">
        <v>829</v>
      </c>
      <c r="D162" t="s">
        <v>2162</v>
      </c>
      <c r="F162" t="s">
        <v>42</v>
      </c>
      <c r="G162" t="s">
        <v>17</v>
      </c>
      <c r="H162" t="s">
        <v>79</v>
      </c>
      <c r="I162" t="s">
        <v>16</v>
      </c>
      <c r="J162" t="s">
        <v>298</v>
      </c>
      <c r="K162" t="s">
        <v>14</v>
      </c>
      <c r="L162" t="s">
        <v>1410</v>
      </c>
      <c r="O162" s="284">
        <v>41997</v>
      </c>
      <c r="P162" s="284">
        <v>42048</v>
      </c>
      <c r="Q162">
        <v>650</v>
      </c>
    </row>
    <row r="163" spans="1:17" x14ac:dyDescent="0.25">
      <c r="A163" t="s">
        <v>751</v>
      </c>
      <c r="B163" t="s">
        <v>1331</v>
      </c>
      <c r="C163" t="s">
        <v>1335</v>
      </c>
      <c r="D163" t="s">
        <v>2163</v>
      </c>
      <c r="F163" t="s">
        <v>42</v>
      </c>
      <c r="G163" t="s">
        <v>17</v>
      </c>
      <c r="H163" t="s">
        <v>23</v>
      </c>
      <c r="I163" t="s">
        <v>39</v>
      </c>
      <c r="J163" t="s">
        <v>34</v>
      </c>
      <c r="K163" t="s">
        <v>18</v>
      </c>
      <c r="L163" t="s">
        <v>1410</v>
      </c>
      <c r="O163" s="284">
        <v>42021.416666666664</v>
      </c>
      <c r="P163" s="284">
        <v>42064.895833333336</v>
      </c>
    </row>
    <row r="164" spans="1:17" x14ac:dyDescent="0.25">
      <c r="A164" t="s">
        <v>834</v>
      </c>
      <c r="B164" t="s">
        <v>835</v>
      </c>
      <c r="C164" t="s">
        <v>834</v>
      </c>
      <c r="D164" t="s">
        <v>2164</v>
      </c>
      <c r="F164" t="s">
        <v>42</v>
      </c>
      <c r="G164" t="s">
        <v>22</v>
      </c>
      <c r="H164" t="s">
        <v>838</v>
      </c>
      <c r="I164" t="s">
        <v>16</v>
      </c>
      <c r="J164" t="s">
        <v>298</v>
      </c>
      <c r="K164" t="s">
        <v>14</v>
      </c>
      <c r="L164" t="s">
        <v>1416</v>
      </c>
      <c r="O164" s="284">
        <v>41999</v>
      </c>
      <c r="P164" s="284">
        <v>42066</v>
      </c>
      <c r="Q164">
        <v>900</v>
      </c>
    </row>
    <row r="165" spans="1:17" x14ac:dyDescent="0.25">
      <c r="A165" t="s">
        <v>753</v>
      </c>
      <c r="B165" t="s">
        <v>855</v>
      </c>
      <c r="C165" t="s">
        <v>1369</v>
      </c>
      <c r="D165" t="s">
        <v>2165</v>
      </c>
      <c r="F165" t="s">
        <v>42</v>
      </c>
      <c r="G165" t="s">
        <v>17</v>
      </c>
      <c r="H165" t="s">
        <v>12</v>
      </c>
      <c r="I165" t="s">
        <v>20</v>
      </c>
      <c r="J165" t="s">
        <v>298</v>
      </c>
      <c r="K165" t="s">
        <v>18</v>
      </c>
      <c r="L165" t="s">
        <v>1410</v>
      </c>
      <c r="N165">
        <v>1</v>
      </c>
      <c r="O165" s="284">
        <v>42017</v>
      </c>
      <c r="P165" s="284">
        <v>42071</v>
      </c>
      <c r="Q165">
        <v>650</v>
      </c>
    </row>
    <row r="166" spans="1:17" x14ac:dyDescent="0.25">
      <c r="A166" t="s">
        <v>758</v>
      </c>
      <c r="B166" t="s">
        <v>1353</v>
      </c>
      <c r="C166" t="s">
        <v>1354</v>
      </c>
      <c r="D166" t="s">
        <v>2166</v>
      </c>
      <c r="F166" t="s">
        <v>11</v>
      </c>
      <c r="G166" t="s">
        <v>17</v>
      </c>
      <c r="H166" t="s">
        <v>511</v>
      </c>
      <c r="I166" t="s">
        <v>20</v>
      </c>
      <c r="J166" t="s">
        <v>34</v>
      </c>
      <c r="K166" t="s">
        <v>18</v>
      </c>
      <c r="L166" t="s">
        <v>1410</v>
      </c>
      <c r="O166" s="284">
        <v>42046</v>
      </c>
      <c r="P166" s="284">
        <v>42079</v>
      </c>
    </row>
    <row r="167" spans="1:17" x14ac:dyDescent="0.25">
      <c r="A167" t="s">
        <v>764</v>
      </c>
      <c r="B167" t="s">
        <v>830</v>
      </c>
      <c r="C167" t="s">
        <v>1358</v>
      </c>
      <c r="D167" t="s">
        <v>2167</v>
      </c>
      <c r="F167" t="s">
        <v>11</v>
      </c>
      <c r="G167" t="s">
        <v>17</v>
      </c>
      <c r="H167" t="s">
        <v>31</v>
      </c>
      <c r="I167" t="s">
        <v>16</v>
      </c>
      <c r="J167" t="s">
        <v>34</v>
      </c>
      <c r="K167" t="s">
        <v>18</v>
      </c>
      <c r="L167" t="s">
        <v>1410</v>
      </c>
      <c r="O167" s="284">
        <v>42009</v>
      </c>
      <c r="P167" s="284">
        <v>42083</v>
      </c>
    </row>
    <row r="168" spans="1:17" x14ac:dyDescent="0.25">
      <c r="A168" t="s">
        <v>755</v>
      </c>
      <c r="B168" t="s">
        <v>1355</v>
      </c>
      <c r="C168" t="s">
        <v>1363</v>
      </c>
      <c r="D168" t="s">
        <v>2168</v>
      </c>
      <c r="F168" t="s">
        <v>42</v>
      </c>
      <c r="G168" t="s">
        <v>17</v>
      </c>
      <c r="H168" t="s">
        <v>839</v>
      </c>
      <c r="I168" t="s">
        <v>24</v>
      </c>
      <c r="J168" t="s">
        <v>298</v>
      </c>
      <c r="K168" t="s">
        <v>18</v>
      </c>
      <c r="L168" t="s">
        <v>1410</v>
      </c>
      <c r="N168">
        <v>1</v>
      </c>
      <c r="O168" s="284">
        <v>42045</v>
      </c>
      <c r="P168" s="284">
        <v>42087</v>
      </c>
      <c r="Q168">
        <v>650</v>
      </c>
    </row>
    <row r="169" spans="1:17" x14ac:dyDescent="0.25">
      <c r="A169" t="s">
        <v>1332</v>
      </c>
      <c r="B169" t="s">
        <v>1333</v>
      </c>
      <c r="C169" t="s">
        <v>1334</v>
      </c>
      <c r="D169" t="s">
        <v>2169</v>
      </c>
      <c r="F169" t="s">
        <v>11</v>
      </c>
      <c r="G169" t="s">
        <v>17</v>
      </c>
      <c r="H169" t="s">
        <v>512</v>
      </c>
      <c r="I169" t="s">
        <v>24</v>
      </c>
      <c r="J169" t="s">
        <v>34</v>
      </c>
      <c r="K169" t="s">
        <v>18</v>
      </c>
      <c r="L169" t="s">
        <v>1410</v>
      </c>
      <c r="O169" s="284">
        <v>42021</v>
      </c>
      <c r="P169" s="284">
        <v>42088</v>
      </c>
    </row>
    <row r="170" spans="1:17" x14ac:dyDescent="0.25">
      <c r="A170" t="s">
        <v>762</v>
      </c>
      <c r="B170" t="s">
        <v>1350</v>
      </c>
      <c r="C170" t="s">
        <v>1351</v>
      </c>
      <c r="D170" t="s">
        <v>2170</v>
      </c>
      <c r="F170" t="s">
        <v>11</v>
      </c>
      <c r="G170" t="s">
        <v>17</v>
      </c>
      <c r="H170" t="s">
        <v>513</v>
      </c>
      <c r="I170" t="s">
        <v>20</v>
      </c>
      <c r="J170" t="s">
        <v>298</v>
      </c>
      <c r="K170" t="s">
        <v>18</v>
      </c>
      <c r="L170" t="s">
        <v>1410</v>
      </c>
      <c r="O170" s="284">
        <v>42050.791666666664</v>
      </c>
      <c r="P170" s="287">
        <v>42095.916666666664</v>
      </c>
      <c r="Q170">
        <v>740</v>
      </c>
    </row>
    <row r="171" spans="1:17" x14ac:dyDescent="0.25">
      <c r="A171" t="s">
        <v>756</v>
      </c>
      <c r="B171" t="s">
        <v>1384</v>
      </c>
      <c r="C171" t="s">
        <v>1367</v>
      </c>
      <c r="D171" t="s">
        <v>2171</v>
      </c>
      <c r="F171" t="s">
        <v>42</v>
      </c>
      <c r="G171" t="s">
        <v>17</v>
      </c>
      <c r="H171" t="s">
        <v>430</v>
      </c>
      <c r="I171" t="s">
        <v>24</v>
      </c>
      <c r="J171" t="s">
        <v>298</v>
      </c>
      <c r="K171" t="s">
        <v>18</v>
      </c>
      <c r="L171" t="s">
        <v>1410</v>
      </c>
      <c r="O171" s="284">
        <v>42044.458333333336</v>
      </c>
      <c r="P171" s="287">
        <v>42097.25</v>
      </c>
      <c r="Q171">
        <v>650</v>
      </c>
    </row>
    <row r="172" spans="1:17" x14ac:dyDescent="0.25">
      <c r="A172" t="s">
        <v>826</v>
      </c>
      <c r="B172" t="s">
        <v>827</v>
      </c>
      <c r="C172" t="s">
        <v>826</v>
      </c>
      <c r="D172" t="s">
        <v>2172</v>
      </c>
      <c r="F172" t="s">
        <v>42</v>
      </c>
      <c r="G172" t="s">
        <v>29</v>
      </c>
      <c r="H172" t="s">
        <v>38</v>
      </c>
      <c r="I172" t="s">
        <v>24</v>
      </c>
      <c r="J172" t="s">
        <v>298</v>
      </c>
      <c r="K172" t="s">
        <v>14</v>
      </c>
      <c r="L172" t="s">
        <v>1410</v>
      </c>
      <c r="O172" s="284">
        <v>42018</v>
      </c>
      <c r="P172" s="287">
        <v>42099.958333333336</v>
      </c>
      <c r="Q172">
        <v>940</v>
      </c>
    </row>
    <row r="173" spans="1:17" x14ac:dyDescent="0.25">
      <c r="A173" t="s">
        <v>836</v>
      </c>
      <c r="B173" t="s">
        <v>837</v>
      </c>
      <c r="C173" t="s">
        <v>837</v>
      </c>
      <c r="D173" t="s">
        <v>2173</v>
      </c>
      <c r="F173" t="s">
        <v>42</v>
      </c>
      <c r="G173" t="s">
        <v>44</v>
      </c>
      <c r="H173" t="s">
        <v>35</v>
      </c>
      <c r="I173" t="s">
        <v>16</v>
      </c>
      <c r="J173" t="s">
        <v>298</v>
      </c>
      <c r="K173" t="s">
        <v>14</v>
      </c>
      <c r="L173" t="s">
        <v>1410</v>
      </c>
      <c r="O173" s="284">
        <v>42041</v>
      </c>
      <c r="P173" s="287">
        <v>42100.6875</v>
      </c>
      <c r="Q173">
        <v>1560</v>
      </c>
    </row>
    <row r="174" spans="1:17" x14ac:dyDescent="0.25">
      <c r="A174" t="s">
        <v>1361</v>
      </c>
      <c r="B174" t="s">
        <v>1362</v>
      </c>
      <c r="C174" t="s">
        <v>1361</v>
      </c>
      <c r="D174" t="s">
        <v>2174</v>
      </c>
      <c r="F174" t="s">
        <v>42</v>
      </c>
      <c r="G174" t="s">
        <v>29</v>
      </c>
      <c r="H174" t="s">
        <v>735</v>
      </c>
      <c r="I174" t="s">
        <v>20</v>
      </c>
      <c r="J174" t="s">
        <v>298</v>
      </c>
      <c r="K174" t="s">
        <v>14</v>
      </c>
      <c r="L174" t="s">
        <v>1410</v>
      </c>
      <c r="O174" s="284">
        <v>42052</v>
      </c>
      <c r="P174" s="287">
        <v>42101.75</v>
      </c>
      <c r="Q174">
        <v>940</v>
      </c>
    </row>
    <row r="175" spans="1:17" x14ac:dyDescent="0.25">
      <c r="A175" t="s">
        <v>1348</v>
      </c>
      <c r="B175" t="s">
        <v>1352</v>
      </c>
      <c r="C175" t="s">
        <v>1352</v>
      </c>
      <c r="D175" t="s">
        <v>2175</v>
      </c>
      <c r="F175" t="s">
        <v>11</v>
      </c>
      <c r="G175" t="s">
        <v>17</v>
      </c>
      <c r="H175" t="s">
        <v>37</v>
      </c>
      <c r="I175" t="s">
        <v>24</v>
      </c>
      <c r="J175" t="s">
        <v>298</v>
      </c>
      <c r="K175" t="s">
        <v>14</v>
      </c>
      <c r="L175" t="s">
        <v>1410</v>
      </c>
      <c r="N175">
        <v>1</v>
      </c>
      <c r="O175" s="284">
        <v>42039</v>
      </c>
      <c r="P175" s="284">
        <v>42107</v>
      </c>
      <c r="Q175">
        <v>740</v>
      </c>
    </row>
    <row r="176" spans="1:17" x14ac:dyDescent="0.25">
      <c r="A176" t="s">
        <v>767</v>
      </c>
      <c r="B176" t="s">
        <v>1372</v>
      </c>
      <c r="C176" t="s">
        <v>1373</v>
      </c>
      <c r="D176" t="s">
        <v>2176</v>
      </c>
      <c r="F176" t="s">
        <v>11</v>
      </c>
      <c r="G176" t="s">
        <v>17</v>
      </c>
      <c r="H176" t="s">
        <v>838</v>
      </c>
      <c r="I176" t="s">
        <v>24</v>
      </c>
      <c r="J176" t="s">
        <v>298</v>
      </c>
      <c r="K176" t="s">
        <v>18</v>
      </c>
      <c r="L176" t="s">
        <v>1410</v>
      </c>
      <c r="O176" s="284">
        <v>42071</v>
      </c>
      <c r="P176" s="353">
        <v>42122.916666666664</v>
      </c>
      <c r="Q176">
        <v>740</v>
      </c>
    </row>
    <row r="177" spans="1:17" x14ac:dyDescent="0.25">
      <c r="A177" t="s">
        <v>1365</v>
      </c>
      <c r="B177" t="s">
        <v>1366</v>
      </c>
      <c r="C177" t="s">
        <v>1366</v>
      </c>
      <c r="D177" t="s">
        <v>2177</v>
      </c>
      <c r="F177" t="s">
        <v>11</v>
      </c>
      <c r="G177" t="s">
        <v>17</v>
      </c>
      <c r="H177" t="s">
        <v>23</v>
      </c>
      <c r="I177" t="s">
        <v>24</v>
      </c>
      <c r="J177" t="s">
        <v>298</v>
      </c>
      <c r="K177" t="s">
        <v>14</v>
      </c>
      <c r="L177" t="s">
        <v>1410</v>
      </c>
      <c r="O177" s="287">
        <v>42068.270833333336</v>
      </c>
      <c r="P177" s="354">
        <v>42125.166666666664</v>
      </c>
      <c r="Q177">
        <v>740</v>
      </c>
    </row>
    <row r="178" spans="1:17" x14ac:dyDescent="0.25">
      <c r="A178" t="s">
        <v>1360</v>
      </c>
      <c r="B178" t="s">
        <v>1359</v>
      </c>
      <c r="C178" t="s">
        <v>1359</v>
      </c>
      <c r="D178" t="s">
        <v>2178</v>
      </c>
      <c r="F178" t="s">
        <v>11</v>
      </c>
      <c r="G178" t="s">
        <v>44</v>
      </c>
      <c r="H178" t="s">
        <v>79</v>
      </c>
      <c r="I178" t="s">
        <v>16</v>
      </c>
      <c r="J178" t="s">
        <v>298</v>
      </c>
      <c r="K178" t="s">
        <v>14</v>
      </c>
      <c r="L178" t="s">
        <v>1410</v>
      </c>
      <c r="O178" s="284">
        <v>42050</v>
      </c>
      <c r="P178" s="354">
        <v>42133.458333333336</v>
      </c>
      <c r="Q178">
        <v>920</v>
      </c>
    </row>
    <row r="179" spans="1:17" x14ac:dyDescent="0.25">
      <c r="A179" t="s">
        <v>754</v>
      </c>
      <c r="B179" t="s">
        <v>1391</v>
      </c>
      <c r="C179" t="s">
        <v>2238</v>
      </c>
      <c r="D179" t="s">
        <v>2179</v>
      </c>
      <c r="F179" t="s">
        <v>42</v>
      </c>
      <c r="G179" t="s">
        <v>1594</v>
      </c>
      <c r="H179" t="s">
        <v>513</v>
      </c>
      <c r="I179" t="s">
        <v>24</v>
      </c>
      <c r="J179" t="s">
        <v>1594</v>
      </c>
      <c r="K179" t="s">
        <v>1594</v>
      </c>
      <c r="L179" t="s">
        <v>1594</v>
      </c>
      <c r="O179" s="519">
        <v>42100.166666666664</v>
      </c>
      <c r="P179" s="518">
        <v>42137.166666666664</v>
      </c>
      <c r="Q179" t="s">
        <v>1411</v>
      </c>
    </row>
    <row r="180" spans="1:17" x14ac:dyDescent="0.25">
      <c r="A180" t="s">
        <v>1344</v>
      </c>
      <c r="B180" t="s">
        <v>1356</v>
      </c>
      <c r="C180" t="s">
        <v>1356</v>
      </c>
      <c r="D180" t="s">
        <v>2180</v>
      </c>
      <c r="F180" t="s">
        <v>42</v>
      </c>
      <c r="G180" t="s">
        <v>22</v>
      </c>
      <c r="H180" t="s">
        <v>734</v>
      </c>
      <c r="I180" t="s">
        <v>20</v>
      </c>
      <c r="J180" t="s">
        <v>298</v>
      </c>
      <c r="K180" t="s">
        <v>14</v>
      </c>
      <c r="L180" t="s">
        <v>1416</v>
      </c>
      <c r="N180">
        <v>3</v>
      </c>
      <c r="O180" s="284">
        <v>42044</v>
      </c>
      <c r="P180" s="333">
        <v>42143</v>
      </c>
      <c r="Q180">
        <v>900</v>
      </c>
    </row>
    <row r="181" spans="1:17" x14ac:dyDescent="0.25">
      <c r="A181" t="s">
        <v>1394</v>
      </c>
      <c r="B181" t="s">
        <v>1395</v>
      </c>
      <c r="C181" t="s">
        <v>1395</v>
      </c>
      <c r="D181" t="s">
        <v>2181</v>
      </c>
      <c r="F181" t="s">
        <v>11</v>
      </c>
      <c r="G181" t="s">
        <v>17</v>
      </c>
      <c r="H181" t="s">
        <v>430</v>
      </c>
      <c r="I181" t="s">
        <v>20</v>
      </c>
      <c r="J181" t="s">
        <v>34</v>
      </c>
      <c r="K181" t="s">
        <v>14</v>
      </c>
      <c r="L181" t="s">
        <v>1410</v>
      </c>
      <c r="O181" s="287">
        <v>42102.791666666664</v>
      </c>
      <c r="P181" s="531">
        <v>42146.25</v>
      </c>
    </row>
    <row r="182" spans="1:17" x14ac:dyDescent="0.25">
      <c r="A182" t="s">
        <v>768</v>
      </c>
      <c r="B182" t="s">
        <v>1591</v>
      </c>
      <c r="C182" t="s">
        <v>1591</v>
      </c>
      <c r="D182" t="s">
        <v>2182</v>
      </c>
      <c r="F182" t="s">
        <v>11</v>
      </c>
      <c r="G182" t="s">
        <v>17</v>
      </c>
      <c r="H182" t="s">
        <v>37</v>
      </c>
      <c r="I182" t="s">
        <v>20</v>
      </c>
      <c r="J182" t="s">
        <v>298</v>
      </c>
      <c r="K182" t="s">
        <v>18</v>
      </c>
      <c r="L182" t="s">
        <v>1410</v>
      </c>
      <c r="O182" s="287">
        <v>42110.041666666664</v>
      </c>
      <c r="P182" s="531">
        <v>42146.458333333336</v>
      </c>
      <c r="Q182">
        <v>740</v>
      </c>
    </row>
    <row r="183" spans="1:17" x14ac:dyDescent="0.25">
      <c r="A183" t="s">
        <v>1398</v>
      </c>
      <c r="B183" t="s">
        <v>1417</v>
      </c>
      <c r="C183" t="s">
        <v>1417</v>
      </c>
      <c r="D183" t="s">
        <v>2183</v>
      </c>
      <c r="F183" t="s">
        <v>42</v>
      </c>
      <c r="G183" t="s">
        <v>22</v>
      </c>
      <c r="H183" t="s">
        <v>735</v>
      </c>
      <c r="I183" t="s">
        <v>16</v>
      </c>
      <c r="J183" t="s">
        <v>298</v>
      </c>
      <c r="K183" t="s">
        <v>14</v>
      </c>
      <c r="L183" t="s">
        <v>1410</v>
      </c>
      <c r="O183" s="287">
        <v>42105.75</v>
      </c>
      <c r="P183" s="333">
        <v>42148</v>
      </c>
      <c r="Q183">
        <v>900</v>
      </c>
    </row>
    <row r="184" spans="1:17" x14ac:dyDescent="0.25">
      <c r="A184" t="s">
        <v>748</v>
      </c>
      <c r="B184" t="s">
        <v>1377</v>
      </c>
      <c r="C184" t="s">
        <v>1375</v>
      </c>
      <c r="D184" t="s">
        <v>2184</v>
      </c>
      <c r="F184" t="s">
        <v>42</v>
      </c>
      <c r="G184" t="s">
        <v>17</v>
      </c>
      <c r="H184" t="s">
        <v>31</v>
      </c>
      <c r="I184" t="s">
        <v>24</v>
      </c>
      <c r="J184" t="s">
        <v>34</v>
      </c>
      <c r="K184" t="s">
        <v>18</v>
      </c>
      <c r="L184" t="s">
        <v>1410</v>
      </c>
      <c r="N184">
        <v>1</v>
      </c>
      <c r="O184" s="284">
        <v>42086.708333333336</v>
      </c>
      <c r="P184" s="333">
        <v>42148</v>
      </c>
    </row>
    <row r="185" spans="1:17" x14ac:dyDescent="0.25">
      <c r="A185" t="s">
        <v>1385</v>
      </c>
      <c r="B185" t="s">
        <v>1386</v>
      </c>
      <c r="C185" t="s">
        <v>1386</v>
      </c>
      <c r="D185" t="s">
        <v>2185</v>
      </c>
      <c r="F185" t="s">
        <v>11</v>
      </c>
      <c r="G185" t="s">
        <v>17</v>
      </c>
      <c r="H185" t="s">
        <v>512</v>
      </c>
      <c r="I185" t="s">
        <v>16</v>
      </c>
      <c r="J185" t="s">
        <v>298</v>
      </c>
      <c r="K185" t="s">
        <v>14</v>
      </c>
      <c r="L185" t="s">
        <v>1410</v>
      </c>
      <c r="O185" s="287">
        <v>42092.375</v>
      </c>
      <c r="P185" s="531">
        <v>42148.5</v>
      </c>
      <c r="Q185">
        <v>740</v>
      </c>
    </row>
    <row r="186" spans="1:17" x14ac:dyDescent="0.25">
      <c r="A186" t="s">
        <v>1371</v>
      </c>
      <c r="B186" t="s">
        <v>1370</v>
      </c>
      <c r="C186" t="s">
        <v>1370</v>
      </c>
      <c r="D186" t="s">
        <v>2186</v>
      </c>
      <c r="F186" t="s">
        <v>11</v>
      </c>
      <c r="G186" t="s">
        <v>744</v>
      </c>
      <c r="H186" t="s">
        <v>12</v>
      </c>
      <c r="I186" t="s">
        <v>24</v>
      </c>
      <c r="J186" t="s">
        <v>298</v>
      </c>
      <c r="K186" t="s">
        <v>14</v>
      </c>
      <c r="L186" t="s">
        <v>1410</v>
      </c>
      <c r="O186" s="284">
        <v>42075.958333333336</v>
      </c>
      <c r="P186" s="531">
        <v>42148.583333333336</v>
      </c>
      <c r="Q186" t="s">
        <v>1411</v>
      </c>
    </row>
    <row r="187" spans="1:17" x14ac:dyDescent="0.25">
      <c r="A187" t="s">
        <v>1389</v>
      </c>
      <c r="B187" t="s">
        <v>1390</v>
      </c>
      <c r="C187" t="s">
        <v>1389</v>
      </c>
      <c r="D187" t="s">
        <v>2187</v>
      </c>
      <c r="F187" t="s">
        <v>42</v>
      </c>
      <c r="G187" t="s">
        <v>29</v>
      </c>
      <c r="H187" t="s">
        <v>35</v>
      </c>
      <c r="I187" t="s">
        <v>24</v>
      </c>
      <c r="J187" t="s">
        <v>298</v>
      </c>
      <c r="K187" t="s">
        <v>14</v>
      </c>
      <c r="L187" t="s">
        <v>1410</v>
      </c>
      <c r="O187" s="287">
        <v>42103.645833333336</v>
      </c>
      <c r="P187" s="531">
        <v>42161.708333333336</v>
      </c>
      <c r="Q187">
        <v>940</v>
      </c>
    </row>
    <row r="188" spans="1:17" x14ac:dyDescent="0.25">
      <c r="A188" t="s">
        <v>759</v>
      </c>
      <c r="B188" t="s">
        <v>1630</v>
      </c>
      <c r="C188" t="s">
        <v>1630</v>
      </c>
      <c r="D188" t="s">
        <v>2188</v>
      </c>
      <c r="F188" t="s">
        <v>11</v>
      </c>
      <c r="G188" t="s">
        <v>17</v>
      </c>
      <c r="H188" t="s">
        <v>734</v>
      </c>
      <c r="I188" t="s">
        <v>20</v>
      </c>
      <c r="J188" t="s">
        <v>298</v>
      </c>
      <c r="K188" t="s">
        <v>18</v>
      </c>
      <c r="L188" t="s">
        <v>1410</v>
      </c>
      <c r="N188">
        <v>2</v>
      </c>
      <c r="O188" s="532">
        <v>42146.916666666664</v>
      </c>
      <c r="P188" s="531">
        <v>42185.875</v>
      </c>
      <c r="Q188">
        <v>740</v>
      </c>
    </row>
    <row r="189" spans="1:17" x14ac:dyDescent="0.25">
      <c r="A189" t="s">
        <v>1374</v>
      </c>
      <c r="B189" t="s">
        <v>1376</v>
      </c>
      <c r="C189" t="s">
        <v>1376</v>
      </c>
      <c r="D189" t="s">
        <v>2189</v>
      </c>
      <c r="F189" t="s">
        <v>42</v>
      </c>
      <c r="G189" t="s">
        <v>17</v>
      </c>
      <c r="H189" t="s">
        <v>511</v>
      </c>
      <c r="I189" t="s">
        <v>16</v>
      </c>
      <c r="J189" t="s">
        <v>298</v>
      </c>
      <c r="K189" t="s">
        <v>14</v>
      </c>
      <c r="L189" t="s">
        <v>1410</v>
      </c>
      <c r="N189">
        <v>1</v>
      </c>
      <c r="O189" s="532">
        <v>42086.333333333336</v>
      </c>
      <c r="P189" s="531">
        <v>42188.458333333336</v>
      </c>
      <c r="Q189">
        <v>650</v>
      </c>
    </row>
    <row r="190" spans="1:17" x14ac:dyDescent="0.25">
      <c r="A190" t="s">
        <v>1425</v>
      </c>
      <c r="B190" t="s">
        <v>1425</v>
      </c>
      <c r="C190" t="s">
        <v>1580</v>
      </c>
      <c r="D190" t="s">
        <v>2190</v>
      </c>
      <c r="F190" t="s">
        <v>42</v>
      </c>
      <c r="G190" t="s">
        <v>17</v>
      </c>
      <c r="H190" t="s">
        <v>23</v>
      </c>
      <c r="I190" t="s">
        <v>20</v>
      </c>
      <c r="J190" t="s">
        <v>298</v>
      </c>
      <c r="K190" t="s">
        <v>14</v>
      </c>
      <c r="L190" t="s">
        <v>1410</v>
      </c>
      <c r="O190" s="532">
        <v>42128.0625</v>
      </c>
      <c r="P190" s="531">
        <v>42192.083333333336</v>
      </c>
      <c r="Q190">
        <v>650</v>
      </c>
    </row>
    <row r="191" spans="1:17" x14ac:dyDescent="0.25">
      <c r="A191" t="s">
        <v>749</v>
      </c>
      <c r="B191" t="s">
        <v>749</v>
      </c>
      <c r="C191" t="s">
        <v>1635</v>
      </c>
      <c r="D191" t="s">
        <v>2191</v>
      </c>
      <c r="F191" t="s">
        <v>42</v>
      </c>
      <c r="G191" t="s">
        <v>17</v>
      </c>
      <c r="H191" t="s">
        <v>31</v>
      </c>
      <c r="I191" t="s">
        <v>24</v>
      </c>
      <c r="J191" t="s">
        <v>34</v>
      </c>
      <c r="K191" t="s">
        <v>18</v>
      </c>
      <c r="L191" t="s">
        <v>1410</v>
      </c>
      <c r="O191" s="532">
        <v>42150.270833333336</v>
      </c>
      <c r="P191" s="531">
        <v>42192.25</v>
      </c>
    </row>
    <row r="192" spans="1:17" x14ac:dyDescent="0.25">
      <c r="A192" t="s">
        <v>1349</v>
      </c>
      <c r="B192" t="s">
        <v>1349</v>
      </c>
      <c r="C192" t="s">
        <v>1916</v>
      </c>
      <c r="D192" t="s">
        <v>2192</v>
      </c>
      <c r="F192" t="s">
        <v>11</v>
      </c>
      <c r="G192" t="s">
        <v>29</v>
      </c>
      <c r="H192" t="s">
        <v>1412</v>
      </c>
      <c r="I192" t="s">
        <v>20</v>
      </c>
      <c r="J192" t="s">
        <v>298</v>
      </c>
      <c r="K192" t="s">
        <v>14</v>
      </c>
      <c r="L192" t="s">
        <v>1410</v>
      </c>
      <c r="O192" s="532">
        <v>42144.875</v>
      </c>
      <c r="P192" s="531">
        <v>42194.875</v>
      </c>
      <c r="Q192">
        <v>630</v>
      </c>
    </row>
    <row r="193" spans="1:17" x14ac:dyDescent="0.25">
      <c r="A193" t="s">
        <v>1388</v>
      </c>
      <c r="B193" t="s">
        <v>1388</v>
      </c>
      <c r="C193" t="s">
        <v>1387</v>
      </c>
      <c r="D193" t="s">
        <v>2193</v>
      </c>
      <c r="F193" t="s">
        <v>11</v>
      </c>
      <c r="G193" t="s">
        <v>22</v>
      </c>
      <c r="H193" t="s">
        <v>839</v>
      </c>
      <c r="I193" t="s">
        <v>20</v>
      </c>
      <c r="J193" t="s">
        <v>298</v>
      </c>
      <c r="K193" t="s">
        <v>14</v>
      </c>
      <c r="L193" t="s">
        <v>1410</v>
      </c>
      <c r="N193">
        <v>2</v>
      </c>
      <c r="O193" s="284">
        <v>42092.916666666664</v>
      </c>
      <c r="P193" s="284">
        <v>42200.25</v>
      </c>
      <c r="Q193">
        <v>550</v>
      </c>
    </row>
    <row r="194" spans="1:17" x14ac:dyDescent="0.25">
      <c r="A194" t="s">
        <v>1431</v>
      </c>
      <c r="B194" t="s">
        <v>1431</v>
      </c>
      <c r="C194" t="s">
        <v>1431</v>
      </c>
      <c r="D194" t="s">
        <v>2194</v>
      </c>
      <c r="F194" t="s">
        <v>42</v>
      </c>
      <c r="G194" t="s">
        <v>22</v>
      </c>
      <c r="H194" t="s">
        <v>79</v>
      </c>
      <c r="I194" t="s">
        <v>39</v>
      </c>
      <c r="J194" t="s">
        <v>298</v>
      </c>
      <c r="K194" t="s">
        <v>14</v>
      </c>
      <c r="L194" t="s">
        <v>1416</v>
      </c>
      <c r="O194" s="532">
        <v>42145.291666666664</v>
      </c>
      <c r="P194" s="531">
        <v>42201.75</v>
      </c>
      <c r="Q194">
        <v>900</v>
      </c>
    </row>
    <row r="195" spans="1:17" x14ac:dyDescent="0.25">
      <c r="A195" t="s">
        <v>1429</v>
      </c>
      <c r="B195" t="s">
        <v>1429</v>
      </c>
      <c r="C195" t="s">
        <v>1582</v>
      </c>
      <c r="D195" t="s">
        <v>2195</v>
      </c>
      <c r="F195" t="s">
        <v>42</v>
      </c>
      <c r="G195" t="s">
        <v>17</v>
      </c>
      <c r="H195" t="s">
        <v>1414</v>
      </c>
      <c r="I195" t="s">
        <v>16</v>
      </c>
      <c r="J195" t="s">
        <v>298</v>
      </c>
      <c r="K195" t="s">
        <v>14</v>
      </c>
      <c r="L195" t="s">
        <v>1410</v>
      </c>
      <c r="O195" s="532">
        <v>42141.25</v>
      </c>
      <c r="P195" s="531">
        <v>42203.083333333336</v>
      </c>
      <c r="Q195">
        <v>650</v>
      </c>
    </row>
    <row r="196" spans="1:17" x14ac:dyDescent="0.25">
      <c r="A196" t="s">
        <v>1440</v>
      </c>
      <c r="B196" t="s">
        <v>1440</v>
      </c>
      <c r="C196" t="s">
        <v>1700</v>
      </c>
      <c r="D196" t="s">
        <v>2196</v>
      </c>
      <c r="F196" t="s">
        <v>11</v>
      </c>
      <c r="G196" t="s">
        <v>22</v>
      </c>
      <c r="H196" t="s">
        <v>735</v>
      </c>
      <c r="I196" t="s">
        <v>20</v>
      </c>
      <c r="J196" t="s">
        <v>298</v>
      </c>
      <c r="K196" t="s">
        <v>14</v>
      </c>
      <c r="L196" t="s">
        <v>1410</v>
      </c>
      <c r="O196" s="532">
        <v>42152.395833333336</v>
      </c>
      <c r="P196" s="531">
        <v>42205.5</v>
      </c>
      <c r="Q196">
        <v>550</v>
      </c>
    </row>
    <row r="197" spans="1:17" x14ac:dyDescent="0.25">
      <c r="A197" t="s">
        <v>1706</v>
      </c>
      <c r="B197" t="s">
        <v>1706</v>
      </c>
      <c r="C197" t="s">
        <v>1703</v>
      </c>
      <c r="D197" t="s">
        <v>2197</v>
      </c>
      <c r="F197" t="s">
        <v>42</v>
      </c>
      <c r="G197" t="s">
        <v>17</v>
      </c>
      <c r="H197" t="s">
        <v>35</v>
      </c>
      <c r="I197" t="s">
        <v>16</v>
      </c>
      <c r="J197" t="s">
        <v>298</v>
      </c>
      <c r="K197" t="s">
        <v>14</v>
      </c>
      <c r="L197" t="s">
        <v>1410</v>
      </c>
      <c r="N197">
        <v>2</v>
      </c>
      <c r="O197" s="532">
        <v>42164.541666666664</v>
      </c>
      <c r="P197" s="531">
        <v>42206.145833333336</v>
      </c>
      <c r="Q197">
        <v>650</v>
      </c>
    </row>
    <row r="198" spans="1:17" x14ac:dyDescent="0.25">
      <c r="A198" t="s">
        <v>1400</v>
      </c>
      <c r="B198" t="s">
        <v>1400</v>
      </c>
      <c r="C198" t="s">
        <v>1696</v>
      </c>
      <c r="D198" t="s">
        <v>2198</v>
      </c>
      <c r="F198" t="s">
        <v>11</v>
      </c>
      <c r="G198" t="s">
        <v>17</v>
      </c>
      <c r="H198" t="s">
        <v>430</v>
      </c>
      <c r="I198" t="s">
        <v>20</v>
      </c>
      <c r="J198" t="s">
        <v>298</v>
      </c>
      <c r="K198" t="s">
        <v>14</v>
      </c>
      <c r="L198" t="s">
        <v>1410</v>
      </c>
      <c r="O198" s="532">
        <v>42158.75</v>
      </c>
      <c r="P198" s="531">
        <v>42213.875</v>
      </c>
      <c r="Q198">
        <v>740</v>
      </c>
    </row>
    <row r="199" spans="1:17" x14ac:dyDescent="0.25">
      <c r="A199" t="s">
        <v>1422</v>
      </c>
      <c r="B199" t="s">
        <v>1422</v>
      </c>
      <c r="C199" t="s">
        <v>1699</v>
      </c>
      <c r="D199" t="s">
        <v>2199</v>
      </c>
      <c r="F199" t="s">
        <v>11</v>
      </c>
      <c r="G199" t="s">
        <v>17</v>
      </c>
      <c r="H199" t="s">
        <v>513</v>
      </c>
      <c r="I199" t="s">
        <v>16</v>
      </c>
      <c r="J199" t="s">
        <v>34</v>
      </c>
      <c r="K199" t="s">
        <v>14</v>
      </c>
      <c r="L199" t="s">
        <v>1410</v>
      </c>
      <c r="O199" s="532">
        <v>42146.666666666664</v>
      </c>
      <c r="P199" s="531">
        <v>42214.083333333336</v>
      </c>
      <c r="Q199">
        <v>740</v>
      </c>
    </row>
    <row r="200" spans="1:17" x14ac:dyDescent="0.25">
      <c r="A200" t="s">
        <v>1423</v>
      </c>
      <c r="B200" t="s">
        <v>1423</v>
      </c>
      <c r="C200" t="s">
        <v>1423</v>
      </c>
      <c r="D200" t="s">
        <v>2200</v>
      </c>
      <c r="F200" t="s">
        <v>42</v>
      </c>
      <c r="G200" t="s">
        <v>44</v>
      </c>
      <c r="H200" t="s">
        <v>512</v>
      </c>
      <c r="I200" t="s">
        <v>16</v>
      </c>
      <c r="J200" t="s">
        <v>298</v>
      </c>
      <c r="K200" t="s">
        <v>14</v>
      </c>
      <c r="L200" t="s">
        <v>1410</v>
      </c>
      <c r="O200" s="532">
        <v>42154</v>
      </c>
      <c r="P200" s="531">
        <v>42215.854166666664</v>
      </c>
      <c r="Q200">
        <v>1560</v>
      </c>
    </row>
    <row r="201" spans="1:17" x14ac:dyDescent="0.25">
      <c r="A201" t="s">
        <v>1418</v>
      </c>
      <c r="B201" t="s">
        <v>1418</v>
      </c>
      <c r="C201" t="s">
        <v>1693</v>
      </c>
      <c r="D201" t="s">
        <v>2201</v>
      </c>
      <c r="F201" t="s">
        <v>42</v>
      </c>
      <c r="G201" t="s">
        <v>17</v>
      </c>
      <c r="H201" t="s">
        <v>12</v>
      </c>
      <c r="I201" t="s">
        <v>20</v>
      </c>
      <c r="J201" t="s">
        <v>298</v>
      </c>
      <c r="K201" t="s">
        <v>14</v>
      </c>
      <c r="L201" t="s">
        <v>1410</v>
      </c>
      <c r="O201" s="532">
        <v>42158.416666666664</v>
      </c>
      <c r="P201" s="531">
        <v>42217.208333333336</v>
      </c>
      <c r="Q201">
        <v>650</v>
      </c>
    </row>
    <row r="202" spans="1:17" x14ac:dyDescent="0.25">
      <c r="A202" t="s">
        <v>1399</v>
      </c>
      <c r="B202" t="s">
        <v>1399</v>
      </c>
      <c r="C202" t="s">
        <v>1692</v>
      </c>
      <c r="D202" t="s">
        <v>2202</v>
      </c>
      <c r="F202" t="s">
        <v>11</v>
      </c>
      <c r="G202" t="s">
        <v>17</v>
      </c>
      <c r="H202" t="s">
        <v>37</v>
      </c>
      <c r="I202" t="s">
        <v>20</v>
      </c>
      <c r="J202" t="s">
        <v>298</v>
      </c>
      <c r="K202" t="s">
        <v>14</v>
      </c>
      <c r="L202" t="s">
        <v>1410</v>
      </c>
      <c r="O202" s="532">
        <v>42148.4375</v>
      </c>
      <c r="P202" s="531">
        <v>42222.1875</v>
      </c>
      <c r="Q202">
        <v>740</v>
      </c>
    </row>
    <row r="203" spans="1:17" x14ac:dyDescent="0.25">
      <c r="A203" t="s">
        <v>1430</v>
      </c>
      <c r="B203" t="s">
        <v>1430</v>
      </c>
      <c r="C203" t="s">
        <v>1705</v>
      </c>
      <c r="D203" t="s">
        <v>2203</v>
      </c>
      <c r="F203" t="s">
        <v>11</v>
      </c>
      <c r="G203" t="s">
        <v>22</v>
      </c>
      <c r="H203" t="s">
        <v>1415</v>
      </c>
      <c r="I203" t="s">
        <v>20</v>
      </c>
      <c r="J203" t="s">
        <v>298</v>
      </c>
      <c r="K203" t="s">
        <v>14</v>
      </c>
      <c r="L203" t="s">
        <v>1410</v>
      </c>
      <c r="N203">
        <v>1</v>
      </c>
      <c r="O203" s="532">
        <v>42142.875</v>
      </c>
      <c r="P203" s="531">
        <v>42228.833333333336</v>
      </c>
      <c r="Q203">
        <v>550</v>
      </c>
    </row>
    <row r="204" spans="1:17" x14ac:dyDescent="0.25">
      <c r="A204" t="s">
        <v>754</v>
      </c>
      <c r="B204" t="s">
        <v>754</v>
      </c>
      <c r="C204" t="s">
        <v>1392</v>
      </c>
      <c r="D204" t="s">
        <v>2252</v>
      </c>
      <c r="F204" t="s">
        <v>42</v>
      </c>
      <c r="G204" t="s">
        <v>17</v>
      </c>
      <c r="H204" t="s">
        <v>513</v>
      </c>
      <c r="I204" t="s">
        <v>24</v>
      </c>
      <c r="J204" t="s">
        <v>298</v>
      </c>
      <c r="K204" t="s">
        <v>18</v>
      </c>
      <c r="L204" t="s">
        <v>1410</v>
      </c>
      <c r="N204">
        <v>1</v>
      </c>
      <c r="O204" s="532">
        <v>42218.458333333336</v>
      </c>
      <c r="P204" s="531">
        <v>42237.791666666664</v>
      </c>
      <c r="Q204">
        <v>650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BZ194"/>
  <sheetViews>
    <sheetView zoomScale="70" zoomScaleNormal="70" workbookViewId="0">
      <pane xSplit="1" ySplit="1" topLeftCell="BN61" activePane="bottomRight" state="frozen"/>
      <selection pane="topRight" activeCell="B1" sqref="B1"/>
      <selection pane="bottomLeft" activeCell="A2" sqref="A2"/>
      <selection pane="bottomRight" sqref="A1:BZ89"/>
    </sheetView>
  </sheetViews>
  <sheetFormatPr defaultColWidth="11.42578125" defaultRowHeight="15" x14ac:dyDescent="0.25"/>
  <cols>
    <col min="1" max="1" width="24.42578125" style="387" customWidth="1"/>
    <col min="2" max="2" width="16.5703125" style="377" customWidth="1"/>
    <col min="3" max="3" width="21.85546875" style="377" customWidth="1"/>
    <col min="4" max="4" width="21" style="557" customWidth="1"/>
    <col min="5" max="5" width="11.28515625" style="377" customWidth="1"/>
    <col min="6" max="6" width="9.140625" style="377" customWidth="1"/>
    <col min="7" max="7" width="12.140625" style="377" customWidth="1"/>
    <col min="8" max="8" width="18.42578125" style="363" customWidth="1"/>
    <col min="9" max="9" width="11.85546875" style="377" customWidth="1"/>
    <col min="10" max="10" width="12.85546875" style="377" customWidth="1"/>
    <col min="11" max="11" width="11.28515625" style="377" customWidth="1"/>
    <col min="12" max="12" width="11.7109375" style="377" customWidth="1"/>
    <col min="13" max="13" width="15" style="30" customWidth="1"/>
    <col min="14" max="14" width="11.140625" style="377" customWidth="1"/>
    <col min="15" max="15" width="19" style="377" customWidth="1"/>
    <col min="16" max="16" width="36.85546875" style="377" customWidth="1"/>
    <col min="17" max="17" width="24.85546875" style="377" customWidth="1"/>
    <col min="18" max="18" width="19.85546875" style="397" customWidth="1"/>
    <col min="19" max="19" width="38.7109375" style="377" customWidth="1"/>
    <col min="20" max="20" width="29.28515625" style="377" customWidth="1"/>
    <col min="21" max="21" width="37.140625" style="377" customWidth="1"/>
    <col min="22" max="22" width="22" style="377" customWidth="1"/>
    <col min="23" max="23" width="11.42578125" style="377" customWidth="1"/>
    <col min="24" max="24" width="25.85546875" style="395" customWidth="1"/>
    <col min="25" max="25" width="22.85546875" style="377" customWidth="1"/>
    <col min="26" max="26" width="20.42578125" style="377" customWidth="1"/>
    <col min="27" max="27" width="20.85546875" style="377" customWidth="1"/>
    <col min="28" max="28" width="21.85546875" style="377" customWidth="1"/>
    <col min="29" max="29" width="26.5703125" style="377" customWidth="1"/>
    <col min="30" max="30" width="19.42578125" style="377" customWidth="1"/>
    <col min="31" max="31" width="34" style="396" customWidth="1"/>
    <col min="32" max="32" width="28.5703125" style="396" customWidth="1"/>
    <col min="33" max="33" width="73" style="377" customWidth="1"/>
    <col min="34" max="34" width="31.85546875" style="377" customWidth="1"/>
    <col min="35" max="35" width="20.140625" style="377" customWidth="1"/>
    <col min="36" max="36" width="38.5703125" style="377" customWidth="1"/>
    <col min="37" max="37" width="11.42578125" style="280" customWidth="1"/>
    <col min="38" max="38" width="15.7109375" style="377" customWidth="1"/>
    <col min="39" max="39" width="9.140625" style="377" customWidth="1"/>
    <col min="40" max="40" width="19" style="377" customWidth="1"/>
    <col min="41" max="42" width="14" style="377" customWidth="1"/>
    <col min="43" max="43" width="15.85546875" style="377" customWidth="1"/>
    <col min="44" max="44" width="23.28515625" style="377" customWidth="1"/>
    <col min="45" max="45" width="25.85546875" style="377" customWidth="1"/>
    <col min="46" max="46" width="13.42578125" style="377" customWidth="1"/>
    <col min="47" max="47" width="17.28515625" style="377" customWidth="1"/>
    <col min="48" max="48" width="12" style="377" customWidth="1"/>
    <col min="49" max="49" width="13.42578125" style="377" customWidth="1"/>
    <col min="50" max="51" width="11.28515625" style="377" customWidth="1"/>
    <col min="52" max="52" width="14.42578125" style="377" customWidth="1"/>
    <col min="53" max="57" width="11.42578125" style="377" customWidth="1"/>
    <col min="58" max="59" width="11.85546875" style="377" customWidth="1"/>
    <col min="60" max="60" width="9.140625" style="377" customWidth="1"/>
    <col min="61" max="61" width="30" style="377" customWidth="1"/>
    <col min="62" max="62" width="18" style="377" customWidth="1"/>
    <col min="63" max="64" width="42.85546875" style="377" customWidth="1"/>
    <col min="65" max="65" width="32.28515625" style="377" customWidth="1"/>
    <col min="66" max="66" width="10.7109375" style="377" customWidth="1"/>
    <col min="67" max="67" width="35.5703125" style="280" customWidth="1"/>
    <col min="68" max="68" width="40.5703125" style="280" customWidth="1"/>
    <col min="69" max="69" width="17.85546875" style="280" customWidth="1"/>
    <col min="70" max="74" width="11.42578125" style="280"/>
    <col min="75" max="75" width="19.42578125" style="280" customWidth="1"/>
    <col min="76" max="16384" width="11.42578125" style="280"/>
  </cols>
  <sheetData>
    <row r="1" spans="1:78" s="293" customFormat="1" ht="72" customHeight="1" x14ac:dyDescent="0.25">
      <c r="A1" s="380" t="s">
        <v>0</v>
      </c>
      <c r="B1" s="380" t="s">
        <v>1571</v>
      </c>
      <c r="C1" s="466" t="s">
        <v>574</v>
      </c>
      <c r="D1" s="466" t="s">
        <v>2404</v>
      </c>
      <c r="E1" s="380" t="s">
        <v>1</v>
      </c>
      <c r="F1" s="380" t="s">
        <v>3</v>
      </c>
      <c r="G1" s="380" t="s">
        <v>6</v>
      </c>
      <c r="H1" s="383" t="s">
        <v>4</v>
      </c>
      <c r="I1" s="380" t="s">
        <v>5</v>
      </c>
      <c r="J1" s="380" t="s">
        <v>8</v>
      </c>
      <c r="K1" s="558" t="s">
        <v>7</v>
      </c>
      <c r="L1" s="380" t="s">
        <v>2</v>
      </c>
      <c r="M1" s="466" t="s">
        <v>58</v>
      </c>
      <c r="N1" s="380" t="s">
        <v>284</v>
      </c>
      <c r="O1" s="380" t="s">
        <v>481</v>
      </c>
      <c r="P1" s="559" t="s">
        <v>306</v>
      </c>
      <c r="Q1" s="379" t="s">
        <v>307</v>
      </c>
      <c r="R1" s="560" t="s">
        <v>1513</v>
      </c>
      <c r="S1" s="466" t="s">
        <v>466</v>
      </c>
      <c r="T1" s="466" t="s">
        <v>461</v>
      </c>
      <c r="U1" s="466" t="s">
        <v>417</v>
      </c>
      <c r="V1" s="466" t="s">
        <v>425</v>
      </c>
      <c r="W1" s="379" t="s">
        <v>418</v>
      </c>
      <c r="X1" s="381" t="s">
        <v>1342</v>
      </c>
      <c r="Y1" s="466" t="s">
        <v>1345</v>
      </c>
      <c r="Z1" s="466" t="s">
        <v>820</v>
      </c>
      <c r="AA1" s="466" t="s">
        <v>809</v>
      </c>
      <c r="AB1" s="466" t="s">
        <v>808</v>
      </c>
      <c r="AC1" s="466" t="s">
        <v>812</v>
      </c>
      <c r="AD1" s="466" t="s">
        <v>811</v>
      </c>
      <c r="AE1" s="561" t="s">
        <v>1569</v>
      </c>
      <c r="AF1" s="380" t="s">
        <v>1450</v>
      </c>
      <c r="AG1" s="466" t="s">
        <v>1490</v>
      </c>
      <c r="AH1" s="466" t="s">
        <v>1491</v>
      </c>
      <c r="AI1" s="466" t="s">
        <v>1495</v>
      </c>
      <c r="AJ1" s="466" t="s">
        <v>1512</v>
      </c>
      <c r="AK1" s="466" t="s">
        <v>1691</v>
      </c>
      <c r="AL1" s="379" t="s">
        <v>309</v>
      </c>
      <c r="AM1" s="379" t="s">
        <v>462</v>
      </c>
      <c r="AN1" s="466" t="s">
        <v>308</v>
      </c>
      <c r="AO1" s="379" t="s">
        <v>424</v>
      </c>
      <c r="AP1" s="562" t="s">
        <v>1854</v>
      </c>
      <c r="AQ1" s="466" t="s">
        <v>81</v>
      </c>
      <c r="AR1" s="379" t="s">
        <v>89</v>
      </c>
      <c r="AS1" s="379" t="s">
        <v>90</v>
      </c>
      <c r="AT1" s="466" t="s">
        <v>314</v>
      </c>
      <c r="AU1" s="466" t="s">
        <v>93</v>
      </c>
      <c r="AV1" s="466" t="s">
        <v>421</v>
      </c>
      <c r="AW1" s="379" t="s">
        <v>422</v>
      </c>
      <c r="AX1" s="379" t="s">
        <v>475</v>
      </c>
      <c r="AY1" s="379" t="s">
        <v>476</v>
      </c>
      <c r="AZ1" s="466" t="s">
        <v>273</v>
      </c>
      <c r="BA1" s="379" t="s">
        <v>310</v>
      </c>
      <c r="BB1" s="379" t="s">
        <v>311</v>
      </c>
      <c r="BC1" s="379" t="s">
        <v>312</v>
      </c>
      <c r="BD1" s="379" t="s">
        <v>414</v>
      </c>
      <c r="BE1" s="466" t="s">
        <v>413</v>
      </c>
      <c r="BF1" s="466" t="s">
        <v>423</v>
      </c>
      <c r="BG1" s="466" t="s">
        <v>469</v>
      </c>
      <c r="BH1" s="379" t="s">
        <v>313</v>
      </c>
      <c r="BI1" s="335" t="s">
        <v>741</v>
      </c>
      <c r="BJ1" s="466" t="s">
        <v>1343</v>
      </c>
      <c r="BK1" s="466" t="s">
        <v>1347</v>
      </c>
      <c r="BL1" s="466" t="s">
        <v>1346</v>
      </c>
      <c r="BM1" s="466" t="s">
        <v>1364</v>
      </c>
      <c r="BN1" s="466" t="s">
        <v>1393</v>
      </c>
      <c r="BO1" s="466" t="s">
        <v>1803</v>
      </c>
      <c r="BP1" s="466" t="s">
        <v>1802</v>
      </c>
      <c r="BQ1" s="466" t="s">
        <v>1871</v>
      </c>
      <c r="BR1" s="466" t="s">
        <v>1872</v>
      </c>
      <c r="BS1" s="466" t="s">
        <v>1873</v>
      </c>
      <c r="BT1" s="466" t="s">
        <v>1874</v>
      </c>
      <c r="BU1" s="466" t="s">
        <v>1875</v>
      </c>
      <c r="BV1" s="466" t="s">
        <v>1876</v>
      </c>
      <c r="BW1" s="465" t="s">
        <v>1880</v>
      </c>
      <c r="BX1" s="563" t="s">
        <v>1881</v>
      </c>
      <c r="BY1" s="540" t="s">
        <v>1882</v>
      </c>
      <c r="BZ1" s="540" t="s">
        <v>1883</v>
      </c>
    </row>
    <row r="2" spans="1:78" s="362" customFormat="1" x14ac:dyDescent="0.25">
      <c r="A2" s="528" t="s">
        <v>1365</v>
      </c>
      <c r="B2" s="528" t="s">
        <v>1366</v>
      </c>
      <c r="C2" s="554" t="s">
        <v>1366</v>
      </c>
      <c r="D2" s="533" t="s">
        <v>2177</v>
      </c>
      <c r="E2" s="528"/>
      <c r="F2" s="528" t="str">
        <f t="shared" ref="F2:F46" si="0">LEFT(B2,2)</f>
        <v>SA</v>
      </c>
      <c r="G2" s="528" t="s">
        <v>17</v>
      </c>
      <c r="H2" s="388" t="s">
        <v>23</v>
      </c>
      <c r="I2" s="528" t="s">
        <v>24</v>
      </c>
      <c r="J2" s="528" t="s">
        <v>298</v>
      </c>
      <c r="K2" s="528" t="s">
        <v>14</v>
      </c>
      <c r="L2" s="528" t="s">
        <v>1410</v>
      </c>
      <c r="M2" s="528"/>
      <c r="N2" s="528"/>
      <c r="O2" s="332">
        <v>42068.270833333336</v>
      </c>
      <c r="P2" s="332">
        <v>42125.166666666664</v>
      </c>
      <c r="Q2" s="528"/>
      <c r="R2" s="537">
        <f>IF(ISERROR(VLOOKUP(G2,'Planning and Target Times'!$L$1:$AP$6,MATCH(K2&amp;"_"&amp;L2&amp;"_"&amp;J2,INDEX('Planning and Target Times'!$L$1:$AP$6,1,0),0),0)+5),"",(VLOOKUP(G2,'Planning and Target Times'!$L$1:$AP$6,MATCH(K2&amp;"_"&amp;L2&amp;"_"&amp;J2,INDEX('Planning and Target Times'!$L$1:$AP$6,1,0),0),0)+5))</f>
        <v>75</v>
      </c>
      <c r="S2" s="528">
        <f t="shared" ref="S2:S33" si="1">IF(ISERROR(R2-5),"",R2-5)</f>
        <v>70</v>
      </c>
      <c r="T2" s="538">
        <f>VLOOKUP(G2,'Planning and Target Times'!$A$7:$G$12,MATCH(K2&amp;"-"&amp;L2&amp;"-"&amp;J2,INDEX('Planning and Target Times'!$A$7:$G$12,1,0),0),0)</f>
        <v>35</v>
      </c>
      <c r="U2" s="528"/>
      <c r="V2" s="528"/>
      <c r="W2" s="554"/>
      <c r="X2" s="535" t="str">
        <f t="shared" ref="X2:X33" si="2">IF(OR(G2="ZU",G2="RT"),"ZU/RT",G2)</f>
        <v>MA</v>
      </c>
      <c r="Y2" s="554"/>
      <c r="Z2" s="554"/>
      <c r="AA2" s="554"/>
      <c r="AB2" s="554"/>
      <c r="AC2" s="554"/>
      <c r="AD2" s="554"/>
      <c r="AE2" s="528" t="s">
        <v>91</v>
      </c>
      <c r="AF2" s="425"/>
      <c r="AG2" s="540" t="str">
        <f t="shared" ref="AG2:AG33" si="3">SUBSTITUTE(TRIM(A2&amp;" "&amp;F2&amp;" "&amp;G2&amp;" "&amp;J2&amp;" "&amp;K2&amp;" "&amp;L2&amp;" "&amp;I2)," ","-")</f>
        <v>SA-0575-SA-MA-Prod-NW-HZ-SLB</v>
      </c>
      <c r="AH2" s="528" t="str">
        <f t="shared" ref="AH2:AH33" si="4">IF(A2&lt;&gt;"",A2&amp;"-"&amp;H2,"")</f>
        <v>SA-0575-SP-158</v>
      </c>
      <c r="AI2" s="528" t="str">
        <f t="shared" ref="AI2:AI33" si="5">SUBSTITUTE(TRIM(A2&amp;" "&amp;G2&amp;" "&amp;K2&amp;" "&amp;J2)," ","-")</f>
        <v>SA-0575-MA-NW-Prod</v>
      </c>
      <c r="AJ2" s="554" t="str">
        <f ca="1">IF(P2&gt;0,"RR",IF(O2&gt;0,0,COUNTIF($H$2:H2,H2)-IFERROR(COUNTIF(OFFSET($H$1,0,0,SUMPRODUCT(MAX(($H$2:H2=H2)*ROW($H$2:H2)*($O$2:O2&lt;&gt;""))),1),H2),0)))</f>
        <v>RR</v>
      </c>
      <c r="AK2" s="527">
        <f>IF(ISERROR(VLOOKUP(G2,'Planning and Target Times'!$B$106:$D$110,MATCH(F2,INDEX('Planning and Target Times'!$B$106:$D$110,1,0),0),0)),"",(VLOOKUP(G2,'Planning and Target Times'!$B$106:$D$110,MATCH(F2,INDEX('Planning and Target Times'!$B$106:$D$110,1,0),0),0)))</f>
        <v>740</v>
      </c>
      <c r="AL2" s="554" t="str">
        <f>VLOOKUP(G2,'Planning and Target Times'!$I$2:$J$7,2,0)</f>
        <v>Carbonate</v>
      </c>
      <c r="AM2" s="528"/>
      <c r="AN2" s="528"/>
      <c r="AO2" s="528"/>
      <c r="AP2" s="533">
        <f t="shared" ref="AP2:AP33" si="6">AK2/R2</f>
        <v>9.8666666666666671</v>
      </c>
      <c r="AQ2" s="554"/>
      <c r="AR2" s="554"/>
      <c r="AS2" s="554"/>
      <c r="AT2" s="554"/>
      <c r="AU2" s="554"/>
      <c r="AV2" s="554"/>
      <c r="AW2" s="554"/>
      <c r="AX2" s="528"/>
      <c r="AY2" s="528"/>
      <c r="AZ2" s="528"/>
      <c r="BA2" s="554"/>
      <c r="BB2" s="554"/>
      <c r="BC2" s="554"/>
      <c r="BD2" s="554"/>
      <c r="BE2" s="554"/>
      <c r="BF2" s="554"/>
      <c r="BG2" s="554"/>
      <c r="BH2" s="554"/>
      <c r="BI2" s="533"/>
      <c r="BJ2" s="554"/>
      <c r="BK2" s="528"/>
      <c r="BL2" s="528"/>
      <c r="BM2" s="528"/>
      <c r="BN2" s="528"/>
      <c r="BO2" s="526">
        <f ca="1">IF(ISERROR(IF(INDEX(Rig_Schedule_View!$I$11:$I$262,MATCH(Well_Data_NK_Upcoming!AG2,Rig_Schedule_View!$B$11:$B$262,0))=0,O2,(INDEX(Rig_Schedule_View!$I$11:$I$262,MATCH(Well_Data_NK_Upcoming!AG2,Rig_Schedule_View!$B$11:$B$262,0))))),O2,(IF(INDEX(Rig_Schedule_View!$I$11:$I$262,MATCH(Well_Data_NK_Upcoming!AG2,Rig_Schedule_View!$B$11:$B$262,0))=0,O2,(INDEX(Rig_Schedule_View!$I$11:$I$262,MATCH(Well_Data_NK_Upcoming!AG2,Rig_Schedule_View!$B$11:$B$262,0))))))</f>
        <v>42068.270833333336</v>
      </c>
      <c r="BP2" s="526">
        <f ca="1">IF(ISERROR(IF(INDEX(Rig_Schedule_View!$J$11:$J$262,MATCH(Well_Data_NK_Upcoming!AG2,Rig_Schedule_View!$B$11:$B$262,0))=0,P2,(INDEX(Rig_Schedule_View!$J$11:$J$262,MATCH(Well_Data_NK_Upcoming!AG2,Rig_Schedule_View!$B$11:$B$262,0))))),P2,(IF(INDEX(Rig_Schedule_View!$J$11:$J$262,MATCH(Well_Data_NK_Upcoming!AG2,Rig_Schedule_View!$B$11:$B$262,0))=0,P2,(INDEX(Rig_Schedule_View!$J$11:$J$262,MATCH(Well_Data_NK_Upcoming!AG2,Rig_Schedule_View!$B$11:$B$262,0))))))</f>
        <v>42125.166666666664</v>
      </c>
      <c r="BQ2" s="527"/>
      <c r="BR2" s="527"/>
      <c r="BS2" s="527"/>
      <c r="BT2" s="527"/>
      <c r="BU2" s="527"/>
      <c r="BV2" s="527"/>
      <c r="BW2" s="527"/>
      <c r="BX2" s="527"/>
      <c r="BY2" s="527"/>
      <c r="BZ2" s="527"/>
    </row>
    <row r="3" spans="1:78" s="362" customFormat="1" x14ac:dyDescent="0.25">
      <c r="A3" s="528" t="s">
        <v>1344</v>
      </c>
      <c r="B3" s="528" t="s">
        <v>1356</v>
      </c>
      <c r="C3" s="364" t="s">
        <v>1356</v>
      </c>
      <c r="D3" s="533" t="s">
        <v>2180</v>
      </c>
      <c r="E3" s="528"/>
      <c r="F3" s="528" t="str">
        <f t="shared" si="0"/>
        <v>RA</v>
      </c>
      <c r="G3" s="528" t="s">
        <v>22</v>
      </c>
      <c r="H3" s="398" t="s">
        <v>734</v>
      </c>
      <c r="I3" s="528" t="s">
        <v>20</v>
      </c>
      <c r="J3" s="528" t="s">
        <v>298</v>
      </c>
      <c r="K3" s="528" t="s">
        <v>14</v>
      </c>
      <c r="L3" s="528" t="s">
        <v>1416</v>
      </c>
      <c r="M3" s="528"/>
      <c r="N3" s="528">
        <v>3</v>
      </c>
      <c r="O3" s="532">
        <v>42044</v>
      </c>
      <c r="P3" s="532">
        <v>42143</v>
      </c>
      <c r="Q3" s="528"/>
      <c r="R3" s="537">
        <f>IF(ISERROR(VLOOKUP(G3,'Planning and Target Times'!$L$1:$AP$6,MATCH(K3&amp;"_"&amp;L3&amp;"_"&amp;J3,INDEX('Planning and Target Times'!$L$1:$AP$6,1,0),0),0)+5),"",(VLOOKUP(G3,'Planning and Target Times'!$L$1:$AP$6,MATCH(K3&amp;"_"&amp;L3&amp;"_"&amp;J3,INDEX('Planning and Target Times'!$L$1:$AP$6,1,0),0),0)+5))</f>
        <v>75</v>
      </c>
      <c r="S3" s="528">
        <f t="shared" si="1"/>
        <v>70</v>
      </c>
      <c r="T3" s="538">
        <f>VLOOKUP(G3,'Planning and Target Times'!$A$7:$G$12,MATCH(K3&amp;"-"&amp;L3&amp;"-"&amp;J3,INDEX('Planning and Target Times'!$A$7:$G$12,1,0),0),0)</f>
        <v>33</v>
      </c>
      <c r="U3" s="528"/>
      <c r="V3" s="528"/>
      <c r="W3" s="528"/>
      <c r="X3" s="535" t="str">
        <f t="shared" si="2"/>
        <v>LB</v>
      </c>
      <c r="Y3" s="528">
        <v>11580</v>
      </c>
      <c r="Z3" s="528"/>
      <c r="AA3" s="528">
        <v>8471</v>
      </c>
      <c r="AB3" s="528">
        <v>10490</v>
      </c>
      <c r="AC3" s="528"/>
      <c r="AD3" s="528"/>
      <c r="AE3" s="528" t="s">
        <v>91</v>
      </c>
      <c r="AF3" s="528"/>
      <c r="AG3" s="540" t="str">
        <f t="shared" si="3"/>
        <v>RA-0502-RA-LB-Prod-NW-SL-HAL</v>
      </c>
      <c r="AH3" s="528" t="str">
        <f t="shared" si="4"/>
        <v>RA-0502-SP-294</v>
      </c>
      <c r="AI3" s="528" t="str">
        <f t="shared" si="5"/>
        <v>RA-0502-LB-NW-Prod</v>
      </c>
      <c r="AJ3" s="528" t="str">
        <f ca="1">IF(P3&gt;0,"RR",IF(O3&gt;0,0,COUNTIF($H$2:H3,H3)-IFERROR(COUNTIF(OFFSET($H$1,0,0,SUMPRODUCT(MAX(($H$2:H3=H3)*ROW($H$2:H3)*($O$2:O3&lt;&gt;""))),1),H3),0)))</f>
        <v>RR</v>
      </c>
      <c r="AK3" s="527">
        <f>IF(ISERROR(VLOOKUP(G3,'Planning and Target Times'!$B$106:$D$110,MATCH(F3,INDEX('Planning and Target Times'!$B$106:$D$110,1,0),0),0)),"",(VLOOKUP(G3,'Planning and Target Times'!$B$106:$D$110,MATCH(F3,INDEX('Planning and Target Times'!$B$106:$D$110,1,0),0),0)))</f>
        <v>900</v>
      </c>
      <c r="AL3" s="528" t="str">
        <f>VLOOKUP(G3,'Planning and Target Times'!$I$2:$J$7,2,0)</f>
        <v>Sandstone</v>
      </c>
      <c r="AM3" s="528"/>
      <c r="AN3" s="528"/>
      <c r="AO3" s="528"/>
      <c r="AP3" s="533">
        <f t="shared" si="6"/>
        <v>12</v>
      </c>
      <c r="AQ3" s="528"/>
      <c r="AR3" s="528"/>
      <c r="AS3" s="528"/>
      <c r="AT3" s="528"/>
      <c r="AU3" s="528"/>
      <c r="AV3" s="528"/>
      <c r="AW3" s="528"/>
      <c r="AX3" s="528"/>
      <c r="AY3" s="528"/>
      <c r="AZ3" s="528"/>
      <c r="BA3" s="528"/>
      <c r="BB3" s="528"/>
      <c r="BC3" s="528"/>
      <c r="BD3" s="528"/>
      <c r="BE3" s="528"/>
      <c r="BF3" s="528"/>
      <c r="BG3" s="528"/>
      <c r="BH3" s="528"/>
      <c r="BI3" s="533"/>
      <c r="BJ3" s="528"/>
      <c r="BK3" s="528"/>
      <c r="BL3" s="528"/>
      <c r="BM3" s="528"/>
      <c r="BN3" s="528"/>
      <c r="BO3" s="526">
        <f ca="1">IF(ISERROR(IF(INDEX(Rig_Schedule_View!$I$11:$I$262,MATCH(Well_Data_NK_Upcoming!AG3,Rig_Schedule_View!$B$11:$B$262,0))=0,O3,(INDEX(Rig_Schedule_View!$I$11:$I$262,MATCH(Well_Data_NK_Upcoming!AG3,Rig_Schedule_View!$B$11:$B$262,0))))),O3,(IF(INDEX(Rig_Schedule_View!$I$11:$I$262,MATCH(Well_Data_NK_Upcoming!AG3,Rig_Schedule_View!$B$11:$B$262,0))=0,O3,(INDEX(Rig_Schedule_View!$I$11:$I$262,MATCH(Well_Data_NK_Upcoming!AG3,Rig_Schedule_View!$B$11:$B$262,0))))))</f>
        <v>42044</v>
      </c>
      <c r="BP3" s="526">
        <f ca="1">IF(ISERROR(IF(INDEX(Rig_Schedule_View!$J$11:$J$262,MATCH(Well_Data_NK_Upcoming!AG3,Rig_Schedule_View!$B$11:$B$262,0))=0,P3,(INDEX(Rig_Schedule_View!$J$11:$J$262,MATCH(Well_Data_NK_Upcoming!AG3,Rig_Schedule_View!$B$11:$B$262,0))))),P3,(IF(INDEX(Rig_Schedule_View!$J$11:$J$262,MATCH(Well_Data_NK_Upcoming!AG3,Rig_Schedule_View!$B$11:$B$262,0))=0,P3,(INDEX(Rig_Schedule_View!$J$11:$J$262,MATCH(Well_Data_NK_Upcoming!AG3,Rig_Schedule_View!$B$11:$B$262,0))))))</f>
        <v>42143</v>
      </c>
      <c r="BQ3" s="527"/>
      <c r="BR3" s="527"/>
      <c r="BS3" s="527"/>
      <c r="BT3" s="527"/>
      <c r="BU3" s="527"/>
      <c r="BV3" s="527"/>
      <c r="BW3" s="527"/>
      <c r="BX3" s="527"/>
      <c r="BY3" s="527"/>
      <c r="BZ3" s="527"/>
    </row>
    <row r="4" spans="1:78" s="362" customFormat="1" x14ac:dyDescent="0.25">
      <c r="A4" s="528" t="s">
        <v>1394</v>
      </c>
      <c r="B4" s="528" t="s">
        <v>1395</v>
      </c>
      <c r="C4" s="528" t="s">
        <v>1395</v>
      </c>
      <c r="D4" s="533" t="s">
        <v>2181</v>
      </c>
      <c r="E4" s="528"/>
      <c r="F4" s="528" t="str">
        <f t="shared" si="0"/>
        <v>SA</v>
      </c>
      <c r="G4" s="528" t="s">
        <v>17</v>
      </c>
      <c r="H4" s="398" t="s">
        <v>430</v>
      </c>
      <c r="I4" s="528" t="s">
        <v>20</v>
      </c>
      <c r="J4" s="528" t="s">
        <v>34</v>
      </c>
      <c r="K4" s="528" t="s">
        <v>14</v>
      </c>
      <c r="L4" s="528" t="s">
        <v>1410</v>
      </c>
      <c r="M4" s="528"/>
      <c r="N4" s="528"/>
      <c r="O4" s="364">
        <v>42102.791666666664</v>
      </c>
      <c r="P4" s="364">
        <v>42146.25</v>
      </c>
      <c r="Q4" s="528"/>
      <c r="R4" s="537">
        <f>IF(ISERROR(VLOOKUP(G4,'Planning and Target Times'!$L$1:$AP$6,MATCH(K4&amp;"_"&amp;L4&amp;"_"&amp;J4,INDEX('Planning and Target Times'!$L$1:$AP$6,1,0),0),0)+5),"",(VLOOKUP(G4,'Planning and Target Times'!$L$1:$AP$6,MATCH(K4&amp;"_"&amp;L4&amp;"_"&amp;J4,INDEX('Planning and Target Times'!$L$1:$AP$6,1,0),0),0)+5))</f>
        <v>68</v>
      </c>
      <c r="S4" s="528">
        <f t="shared" si="1"/>
        <v>63</v>
      </c>
      <c r="T4" s="538">
        <f>VLOOKUP(G4,'Planning and Target Times'!$A$7:$G$12,MATCH(K4&amp;"-"&amp;L4&amp;"-"&amp;J4,INDEX('Planning and Target Times'!$A$7:$G$12,1,0),0),0)</f>
        <v>35</v>
      </c>
      <c r="U4" s="528"/>
      <c r="V4" s="528"/>
      <c r="W4" s="528"/>
      <c r="X4" s="535" t="str">
        <f t="shared" si="2"/>
        <v>MA</v>
      </c>
      <c r="Y4" s="528">
        <v>11503</v>
      </c>
      <c r="Z4" s="528">
        <v>6085</v>
      </c>
      <c r="AA4" s="528">
        <v>7290</v>
      </c>
      <c r="AB4" s="528">
        <v>8143</v>
      </c>
      <c r="AC4" s="528"/>
      <c r="AD4" s="528"/>
      <c r="AE4" s="528" t="s">
        <v>91</v>
      </c>
      <c r="AF4" s="528"/>
      <c r="AG4" s="540" t="str">
        <f t="shared" si="3"/>
        <v>SA-0577-SA-MA-Inj-NW-HZ-HAL</v>
      </c>
      <c r="AH4" s="528" t="str">
        <f t="shared" si="4"/>
        <v>SA-0577-KDC-49</v>
      </c>
      <c r="AI4" s="528" t="str">
        <f t="shared" si="5"/>
        <v>SA-0577-MA-NW-Inj</v>
      </c>
      <c r="AJ4" s="528" t="str">
        <f ca="1">IF(P4&gt;0,"RR",IF(O4&gt;0,0,COUNTIF($H$2:H4,H4)-IFERROR(COUNTIF(OFFSET($H$1,0,0,SUMPRODUCT(MAX(($H$2:H4=H4)*ROW($H$2:H4)*($O$2:O4&lt;&gt;""))),1),H4),0)))</f>
        <v>RR</v>
      </c>
      <c r="AK4" s="527"/>
      <c r="AL4" s="528" t="str">
        <f>VLOOKUP(G4,'Planning and Target Times'!$I$2:$J$7,2,0)</f>
        <v>Carbonate</v>
      </c>
      <c r="AM4" s="528"/>
      <c r="AN4" s="528"/>
      <c r="AO4" s="528"/>
      <c r="AP4" s="533">
        <f t="shared" si="6"/>
        <v>0</v>
      </c>
      <c r="AQ4" s="528"/>
      <c r="AR4" s="528"/>
      <c r="AS4" s="528"/>
      <c r="AT4" s="528"/>
      <c r="AU4" s="528"/>
      <c r="AV4" s="528"/>
      <c r="AW4" s="528"/>
      <c r="AX4" s="528"/>
      <c r="AY4" s="528"/>
      <c r="AZ4" s="528"/>
      <c r="BA4" s="528"/>
      <c r="BB4" s="528"/>
      <c r="BC4" s="528"/>
      <c r="BD4" s="528"/>
      <c r="BE4" s="528"/>
      <c r="BF4" s="528"/>
      <c r="BG4" s="528"/>
      <c r="BH4" s="528"/>
      <c r="BI4" s="528"/>
      <c r="BJ4" s="528"/>
      <c r="BK4" s="528"/>
      <c r="BL4" s="528"/>
      <c r="BM4" s="528"/>
      <c r="BN4" s="528"/>
      <c r="BO4" s="526">
        <f ca="1">IF(ISERROR(IF(INDEX(Rig_Schedule_View!$I$11:$I$262,MATCH(Well_Data_NK_Upcoming!AG4,Rig_Schedule_View!$B$11:$B$262,0))=0,O4,(INDEX(Rig_Schedule_View!$I$11:$I$262,MATCH(Well_Data_NK_Upcoming!AG4,Rig_Schedule_View!$B$11:$B$262,0))))),O4,(IF(INDEX(Rig_Schedule_View!$I$11:$I$262,MATCH(Well_Data_NK_Upcoming!AG4,Rig_Schedule_View!$B$11:$B$262,0))=0,O4,(INDEX(Rig_Schedule_View!$I$11:$I$262,MATCH(Well_Data_NK_Upcoming!AG4,Rig_Schedule_View!$B$11:$B$262,0))))))</f>
        <v>42102.791666666664</v>
      </c>
      <c r="BP4" s="526">
        <f ca="1">IF(ISERROR(IF(INDEX(Rig_Schedule_View!$J$11:$J$262,MATCH(Well_Data_NK_Upcoming!AG4,Rig_Schedule_View!$B$11:$B$262,0))=0,P4,(INDEX(Rig_Schedule_View!$J$11:$J$262,MATCH(Well_Data_NK_Upcoming!AG4,Rig_Schedule_View!$B$11:$B$262,0))))),P4,(IF(INDEX(Rig_Schedule_View!$J$11:$J$262,MATCH(Well_Data_NK_Upcoming!AG4,Rig_Schedule_View!$B$11:$B$262,0))=0,P4,(INDEX(Rig_Schedule_View!$J$11:$J$262,MATCH(Well_Data_NK_Upcoming!AG4,Rig_Schedule_View!$B$11:$B$262,0))))))</f>
        <v>42146.25</v>
      </c>
      <c r="BQ4" s="527"/>
      <c r="BR4" s="527"/>
      <c r="BS4" s="527"/>
      <c r="BT4" s="527"/>
      <c r="BU4" s="527"/>
      <c r="BV4" s="527"/>
      <c r="BW4" s="527"/>
      <c r="BX4" s="527"/>
      <c r="BY4" s="527"/>
      <c r="BZ4" s="527"/>
    </row>
    <row r="5" spans="1:78" s="362" customFormat="1" x14ac:dyDescent="0.25">
      <c r="A5" s="528" t="s">
        <v>768</v>
      </c>
      <c r="B5" s="528" t="s">
        <v>1401</v>
      </c>
      <c r="C5" s="528" t="s">
        <v>1591</v>
      </c>
      <c r="D5" s="533" t="s">
        <v>2182</v>
      </c>
      <c r="E5" s="528"/>
      <c r="F5" s="528" t="str">
        <f t="shared" si="0"/>
        <v>SA</v>
      </c>
      <c r="G5" s="528" t="s">
        <v>17</v>
      </c>
      <c r="H5" s="398" t="s">
        <v>37</v>
      </c>
      <c r="I5" s="528" t="s">
        <v>20</v>
      </c>
      <c r="J5" s="528" t="s">
        <v>298</v>
      </c>
      <c r="K5" s="528" t="s">
        <v>18</v>
      </c>
      <c r="L5" s="528" t="s">
        <v>1410</v>
      </c>
      <c r="M5" s="528"/>
      <c r="N5" s="528"/>
      <c r="O5" s="364">
        <v>42110.041666666664</v>
      </c>
      <c r="P5" s="364">
        <v>42146.458333333336</v>
      </c>
      <c r="Q5" s="528"/>
      <c r="R5" s="537">
        <f>IF(ISERROR(VLOOKUP(G5,'Planning and Target Times'!$L$1:$AP$6,MATCH(K5&amp;"_"&amp;L5&amp;"_"&amp;J5,INDEX('Planning and Target Times'!$L$1:$AP$6,1,0),0),0)+5),"",(VLOOKUP(G5,'Planning and Target Times'!$L$1:$AP$6,MATCH(K5&amp;"_"&amp;L5&amp;"_"&amp;J5,INDEX('Planning and Target Times'!$L$1:$AP$6,1,0),0),0)+5))</f>
        <v>61</v>
      </c>
      <c r="S5" s="528">
        <f t="shared" si="1"/>
        <v>56</v>
      </c>
      <c r="T5" s="538">
        <f>VLOOKUP(G5,'Planning and Target Times'!$A$7:$G$12,MATCH(K5&amp;"-"&amp;L5&amp;"-"&amp;J5,INDEX('Planning and Target Times'!$A$7:$G$12,1,0),0),0)</f>
        <v>27</v>
      </c>
      <c r="U5" s="528"/>
      <c r="V5" s="528"/>
      <c r="W5" s="528"/>
      <c r="X5" s="535" t="str">
        <f t="shared" si="2"/>
        <v>MA</v>
      </c>
      <c r="Y5" s="528">
        <v>10375</v>
      </c>
      <c r="Z5" s="528"/>
      <c r="AA5" s="528">
        <v>6704</v>
      </c>
      <c r="AB5" s="528">
        <v>7595</v>
      </c>
      <c r="AC5" s="528"/>
      <c r="AD5" s="528"/>
      <c r="AE5" s="528" t="s">
        <v>91</v>
      </c>
      <c r="AF5" s="528"/>
      <c r="AG5" s="540" t="str">
        <f t="shared" si="3"/>
        <v>SA-0474-SA-MA-Prod-ST-HZ-HAL</v>
      </c>
      <c r="AH5" s="528" t="str">
        <f t="shared" si="4"/>
        <v>SA-0474-SP-186</v>
      </c>
      <c r="AI5" s="528" t="str">
        <f t="shared" si="5"/>
        <v>SA-0474-MA-ST-Prod</v>
      </c>
      <c r="AJ5" s="528" t="str">
        <f ca="1">IF(P5&gt;0,"RR",IF(O5&gt;0,0,COUNTIF($H$2:H5,H5)-IFERROR(COUNTIF(OFFSET($H$1,0,0,SUMPRODUCT(MAX(($H$2:H5=H5)*ROW($H$2:H5)*($O$2:O5&lt;&gt;""))),1),H5),0)))</f>
        <v>RR</v>
      </c>
      <c r="AK5" s="527">
        <f>IF(ISERROR(VLOOKUP(G5,'Planning and Target Times'!$B$106:$D$110,MATCH(F5,INDEX('Planning and Target Times'!$B$106:$D$110,1,0),0),0)),"",(VLOOKUP(G5,'Planning and Target Times'!$B$106:$D$110,MATCH(F5,INDEX('Planning and Target Times'!$B$106:$D$110,1,0),0),0)))</f>
        <v>740</v>
      </c>
      <c r="AL5" s="528" t="str">
        <f>VLOOKUP(G5,'Planning and Target Times'!$I$2:$J$7,2,0)</f>
        <v>Carbonate</v>
      </c>
      <c r="AM5" s="528"/>
      <c r="AN5" s="528"/>
      <c r="AO5" s="528"/>
      <c r="AP5" s="533">
        <f t="shared" si="6"/>
        <v>12.131147540983607</v>
      </c>
      <c r="AQ5" s="528"/>
      <c r="AR5" s="528"/>
      <c r="AS5" s="528"/>
      <c r="AT5" s="528"/>
      <c r="AU5" s="528"/>
      <c r="AV5" s="528"/>
      <c r="AW5" s="528"/>
      <c r="AX5" s="528"/>
      <c r="AY5" s="528"/>
      <c r="AZ5" s="528"/>
      <c r="BA5" s="528"/>
      <c r="BB5" s="528"/>
      <c r="BC5" s="528"/>
      <c r="BD5" s="528"/>
      <c r="BE5" s="528"/>
      <c r="BF5" s="528"/>
      <c r="BG5" s="528"/>
      <c r="BH5" s="528"/>
      <c r="BI5" s="528"/>
      <c r="BJ5" s="528"/>
      <c r="BK5" s="528"/>
      <c r="BL5" s="528"/>
      <c r="BM5" s="528"/>
      <c r="BN5" s="528"/>
      <c r="BO5" s="526">
        <f ca="1">IF(ISERROR(IF(INDEX(Rig_Schedule_View!$I$11:$I$262,MATCH(Well_Data_NK_Upcoming!AG5,Rig_Schedule_View!$B$11:$B$262,0))=0,O5,(INDEX(Rig_Schedule_View!$I$11:$I$262,MATCH(Well_Data_NK_Upcoming!AG5,Rig_Schedule_View!$B$11:$B$262,0))))),O5,(IF(INDEX(Rig_Schedule_View!$I$11:$I$262,MATCH(Well_Data_NK_Upcoming!AG5,Rig_Schedule_View!$B$11:$B$262,0))=0,O5,(INDEX(Rig_Schedule_View!$I$11:$I$262,MATCH(Well_Data_NK_Upcoming!AG5,Rig_Schedule_View!$B$11:$B$262,0))))))</f>
        <v>42110.041666666664</v>
      </c>
      <c r="BP5" s="526">
        <f ca="1">IF(ISERROR(IF(INDEX(Rig_Schedule_View!$J$11:$J$262,MATCH(Well_Data_NK_Upcoming!AG5,Rig_Schedule_View!$B$11:$B$262,0))=0,P5,(INDEX(Rig_Schedule_View!$J$11:$J$262,MATCH(Well_Data_NK_Upcoming!AG5,Rig_Schedule_View!$B$11:$B$262,0))))),P5,(IF(INDEX(Rig_Schedule_View!$J$11:$J$262,MATCH(Well_Data_NK_Upcoming!AG5,Rig_Schedule_View!$B$11:$B$262,0))=0,P5,(INDEX(Rig_Schedule_View!$J$11:$J$262,MATCH(Well_Data_NK_Upcoming!AG5,Rig_Schedule_View!$B$11:$B$262,0))))))</f>
        <v>42146.458333333336</v>
      </c>
      <c r="BQ5" s="527"/>
      <c r="BR5" s="527"/>
      <c r="BS5" s="527"/>
      <c r="BT5" s="527"/>
      <c r="BU5" s="527"/>
      <c r="BV5" s="527"/>
      <c r="BW5" s="527"/>
      <c r="BX5" s="527"/>
      <c r="BY5" s="527"/>
      <c r="BZ5" s="527"/>
    </row>
    <row r="6" spans="1:78" s="362" customFormat="1" x14ac:dyDescent="0.25">
      <c r="A6" s="528" t="s">
        <v>748</v>
      </c>
      <c r="B6" s="528" t="s">
        <v>1377</v>
      </c>
      <c r="C6" s="528" t="s">
        <v>1375</v>
      </c>
      <c r="D6" s="533" t="s">
        <v>2184</v>
      </c>
      <c r="E6" s="528"/>
      <c r="F6" s="528" t="str">
        <f t="shared" si="0"/>
        <v>RA</v>
      </c>
      <c r="G6" s="528" t="s">
        <v>17</v>
      </c>
      <c r="H6" s="398" t="s">
        <v>31</v>
      </c>
      <c r="I6" s="528" t="s">
        <v>24</v>
      </c>
      <c r="J6" s="528" t="s">
        <v>34</v>
      </c>
      <c r="K6" s="528" t="s">
        <v>18</v>
      </c>
      <c r="L6" s="528" t="s">
        <v>1410</v>
      </c>
      <c r="M6" s="528"/>
      <c r="N6" s="528">
        <v>1</v>
      </c>
      <c r="O6" s="532">
        <v>42086.708333333336</v>
      </c>
      <c r="P6" s="532">
        <v>42148</v>
      </c>
      <c r="Q6" s="528"/>
      <c r="R6" s="537">
        <f>IF(ISERROR(VLOOKUP(G6,'Planning and Target Times'!$L$1:$AP$6,MATCH(K6&amp;"_"&amp;L6&amp;"_"&amp;J6,INDEX('Planning and Target Times'!$L$1:$AP$6,1,0),0),0)+5),"",(VLOOKUP(G6,'Planning and Target Times'!$L$1:$AP$6,MATCH(K6&amp;"_"&amp;L6&amp;"_"&amp;J6,INDEX('Planning and Target Times'!$L$1:$AP$6,1,0),0),0)+5))</f>
        <v>54</v>
      </c>
      <c r="S6" s="528">
        <f t="shared" si="1"/>
        <v>49</v>
      </c>
      <c r="T6" s="538">
        <f>VLOOKUP(G6,'Planning and Target Times'!$A$7:$G$12,MATCH(K6&amp;"-"&amp;L6&amp;"-"&amp;J6,INDEX('Planning and Target Times'!$A$7:$G$12,1,0),0),0)</f>
        <v>25</v>
      </c>
      <c r="U6" s="528"/>
      <c r="V6" s="528"/>
      <c r="W6" s="528"/>
      <c r="X6" s="535" t="str">
        <f t="shared" si="2"/>
        <v>MA</v>
      </c>
      <c r="Y6" s="528">
        <v>12064</v>
      </c>
      <c r="Z6" s="528"/>
      <c r="AA6" s="528"/>
      <c r="AB6" s="528">
        <v>8338</v>
      </c>
      <c r="AC6" s="528">
        <v>8858</v>
      </c>
      <c r="AD6" s="528"/>
      <c r="AE6" s="528" t="s">
        <v>91</v>
      </c>
      <c r="AF6" s="528"/>
      <c r="AG6" s="540" t="str">
        <f t="shared" si="3"/>
        <v>RA-0222-RA-MA-Inj-ST-HZ-SLB</v>
      </c>
      <c r="AH6" s="528" t="str">
        <f t="shared" si="4"/>
        <v>RA-0222-SP-159</v>
      </c>
      <c r="AI6" s="528" t="str">
        <f t="shared" si="5"/>
        <v>RA-0222-MA-ST-Inj</v>
      </c>
      <c r="AJ6" s="528" t="str">
        <f ca="1">IF(P6&gt;0,"RR",IF(O6&gt;0,0,COUNTIF($H$2:H6,H6)-IFERROR(COUNTIF(OFFSET($H$1,0,0,SUMPRODUCT(MAX(($H$2:H6=H6)*ROW($H$2:H6)*($O$2:O6&lt;&gt;""))),1),H6),0)))</f>
        <v>RR</v>
      </c>
      <c r="AK6" s="527"/>
      <c r="AL6" s="528" t="str">
        <f>VLOOKUP(G6,'Planning and Target Times'!$I$2:$J$7,2,0)</f>
        <v>Carbonate</v>
      </c>
      <c r="AM6" s="528"/>
      <c r="AN6" s="528"/>
      <c r="AO6" s="528"/>
      <c r="AP6" s="533">
        <f t="shared" si="6"/>
        <v>0</v>
      </c>
      <c r="AQ6" s="528"/>
      <c r="AR6" s="528"/>
      <c r="AS6" s="528"/>
      <c r="AT6" s="528"/>
      <c r="AU6" s="528"/>
      <c r="AV6" s="528"/>
      <c r="AW6" s="528"/>
      <c r="AX6" s="528"/>
      <c r="AY6" s="528"/>
      <c r="AZ6" s="528"/>
      <c r="BA6" s="528"/>
      <c r="BB6" s="528"/>
      <c r="BC6" s="528"/>
      <c r="BD6" s="528"/>
      <c r="BE6" s="528"/>
      <c r="BF6" s="528"/>
      <c r="BG6" s="528"/>
      <c r="BH6" s="528"/>
      <c r="BI6" s="533"/>
      <c r="BJ6" s="528"/>
      <c r="BK6" s="528"/>
      <c r="BL6" s="528"/>
      <c r="BM6" s="528"/>
      <c r="BN6" s="528"/>
      <c r="BO6" s="526">
        <f ca="1">IF(ISERROR(IF(INDEX(Rig_Schedule_View!$I$11:$I$262,MATCH(Well_Data_NK_Upcoming!AG6,Rig_Schedule_View!$B$11:$B$262,0))=0,O6,(INDEX(Rig_Schedule_View!$I$11:$I$262,MATCH(Well_Data_NK_Upcoming!AG6,Rig_Schedule_View!$B$11:$B$262,0))))),O6,(IF(INDEX(Rig_Schedule_View!$I$11:$I$262,MATCH(Well_Data_NK_Upcoming!AG6,Rig_Schedule_View!$B$11:$B$262,0))=0,O6,(INDEX(Rig_Schedule_View!$I$11:$I$262,MATCH(Well_Data_NK_Upcoming!AG6,Rig_Schedule_View!$B$11:$B$262,0))))))</f>
        <v>42086.708333333336</v>
      </c>
      <c r="BP6" s="526">
        <f ca="1">IF(ISERROR(IF(INDEX(Rig_Schedule_View!$J$11:$J$262,MATCH(Well_Data_NK_Upcoming!AG6,Rig_Schedule_View!$B$11:$B$262,0))=0,P6,(INDEX(Rig_Schedule_View!$J$11:$J$262,MATCH(Well_Data_NK_Upcoming!AG6,Rig_Schedule_View!$B$11:$B$262,0))))),P6,(IF(INDEX(Rig_Schedule_View!$J$11:$J$262,MATCH(Well_Data_NK_Upcoming!AG6,Rig_Schedule_View!$B$11:$B$262,0))=0,P6,(INDEX(Rig_Schedule_View!$J$11:$J$262,MATCH(Well_Data_NK_Upcoming!AG6,Rig_Schedule_View!$B$11:$B$262,0))))))</f>
        <v>42148</v>
      </c>
      <c r="BQ6" s="527"/>
      <c r="BR6" s="527"/>
      <c r="BS6" s="527"/>
      <c r="BT6" s="527"/>
      <c r="BU6" s="527"/>
      <c r="BV6" s="527"/>
      <c r="BW6" s="527"/>
      <c r="BX6" s="527"/>
      <c r="BY6" s="527"/>
      <c r="BZ6" s="527"/>
    </row>
    <row r="7" spans="1:78" s="362" customFormat="1" x14ac:dyDescent="0.25">
      <c r="A7" s="528" t="s">
        <v>1398</v>
      </c>
      <c r="B7" s="528" t="s">
        <v>1417</v>
      </c>
      <c r="C7" s="528" t="s">
        <v>1417</v>
      </c>
      <c r="D7" s="533" t="s">
        <v>2183</v>
      </c>
      <c r="E7" s="528"/>
      <c r="F7" s="528" t="str">
        <f t="shared" si="0"/>
        <v>RA</v>
      </c>
      <c r="G7" s="528" t="s">
        <v>22</v>
      </c>
      <c r="H7" s="398" t="s">
        <v>735</v>
      </c>
      <c r="I7" s="528" t="s">
        <v>16</v>
      </c>
      <c r="J7" s="528" t="s">
        <v>298</v>
      </c>
      <c r="K7" s="528" t="s">
        <v>14</v>
      </c>
      <c r="L7" s="528" t="s">
        <v>1410</v>
      </c>
      <c r="M7" s="528"/>
      <c r="N7" s="528"/>
      <c r="O7" s="364">
        <v>42105.75</v>
      </c>
      <c r="P7" s="532">
        <v>42148</v>
      </c>
      <c r="Q7" s="528"/>
      <c r="R7" s="537">
        <f>IF(ISERROR(VLOOKUP(G7,'Planning and Target Times'!$L$1:$AP$6,MATCH(K7&amp;"_"&amp;L7&amp;"_"&amp;J7,INDEX('Planning and Target Times'!$L$1:$AP$6,1,0),0),0)+5),"",(VLOOKUP(G7,'Planning and Target Times'!$L$1:$AP$6,MATCH(K7&amp;"_"&amp;L7&amp;"_"&amp;J7,INDEX('Planning and Target Times'!$L$1:$AP$6,1,0),0),0)+5))</f>
        <v>75</v>
      </c>
      <c r="S7" s="528">
        <f t="shared" si="1"/>
        <v>70</v>
      </c>
      <c r="T7" s="538">
        <f>VLOOKUP(G7,'Planning and Target Times'!$A$7:$G$12,MATCH(K7&amp;"-"&amp;L7&amp;"-"&amp;J7,INDEX('Planning and Target Times'!$A$7:$G$12,1,0),0),0)</f>
        <v>35</v>
      </c>
      <c r="U7" s="528"/>
      <c r="V7" s="528"/>
      <c r="W7" s="528"/>
      <c r="X7" s="535" t="str">
        <f t="shared" si="2"/>
        <v>LB</v>
      </c>
      <c r="Y7" s="528">
        <v>9316</v>
      </c>
      <c r="Z7" s="528">
        <v>6103</v>
      </c>
      <c r="AA7" s="528">
        <v>8436</v>
      </c>
      <c r="AB7" s="528">
        <v>9315.7000000000007</v>
      </c>
      <c r="AC7" s="528"/>
      <c r="AD7" s="528"/>
      <c r="AE7" s="528" t="s">
        <v>91</v>
      </c>
      <c r="AF7" s="528"/>
      <c r="AG7" s="540" t="str">
        <f t="shared" si="3"/>
        <v>RA-0568-RA-LB-Prod-NW-HZ-BHI</v>
      </c>
      <c r="AH7" s="528" t="str">
        <f t="shared" si="4"/>
        <v>RA-0568-SP-295</v>
      </c>
      <c r="AI7" s="528" t="str">
        <f t="shared" si="5"/>
        <v>RA-0568-LB-NW-Prod</v>
      </c>
      <c r="AJ7" s="528" t="str">
        <f ca="1">IF(P7&gt;0,"RR",IF(O7&gt;0,0,COUNTIF($H$2:H7,H7)-IFERROR(COUNTIF(OFFSET($H$1,0,0,SUMPRODUCT(MAX(($H$2:H7=H7)*ROW($H$2:H7)*($O$2:O7&lt;&gt;""))),1),H7),0)))</f>
        <v>RR</v>
      </c>
      <c r="AK7" s="527">
        <f>IF(ISERROR(VLOOKUP(G7,'Planning and Target Times'!$B$106:$D$110,MATCH(F7,INDEX('Planning and Target Times'!$B$106:$D$110,1,0),0),0)),"",(VLOOKUP(G7,'Planning and Target Times'!$B$106:$D$110,MATCH(F7,INDEX('Planning and Target Times'!$B$106:$D$110,1,0),0),0)))</f>
        <v>900</v>
      </c>
      <c r="AL7" s="528" t="str">
        <f>VLOOKUP(G7,'Planning and Target Times'!$I$2:$J$7,2,0)</f>
        <v>Sandstone</v>
      </c>
      <c r="AM7" s="528"/>
      <c r="AN7" s="528"/>
      <c r="AO7" s="528"/>
      <c r="AP7" s="533">
        <f t="shared" si="6"/>
        <v>12</v>
      </c>
      <c r="AQ7" s="528"/>
      <c r="AR7" s="528"/>
      <c r="AS7" s="528"/>
      <c r="AT7" s="528"/>
      <c r="AU7" s="528"/>
      <c r="AV7" s="528"/>
      <c r="AW7" s="528"/>
      <c r="AX7" s="528"/>
      <c r="AY7" s="528"/>
      <c r="AZ7" s="528"/>
      <c r="BA7" s="528"/>
      <c r="BB7" s="528"/>
      <c r="BC7" s="528"/>
      <c r="BD7" s="528"/>
      <c r="BE7" s="528"/>
      <c r="BF7" s="528"/>
      <c r="BG7" s="528"/>
      <c r="BH7" s="528"/>
      <c r="BI7" s="528"/>
      <c r="BJ7" s="528"/>
      <c r="BK7" s="528"/>
      <c r="BL7" s="528"/>
      <c r="BM7" s="528"/>
      <c r="BN7" s="528"/>
      <c r="BO7" s="526">
        <f ca="1">IF(ISERROR(IF(INDEX(Rig_Schedule_View!$I$11:$I$262,MATCH(Well_Data_NK_Upcoming!AG7,Rig_Schedule_View!$B$11:$B$262,0))=0,O7,(INDEX(Rig_Schedule_View!$I$11:$I$262,MATCH(Well_Data_NK_Upcoming!AG7,Rig_Schedule_View!$B$11:$B$262,0))))),O7,(IF(INDEX(Rig_Schedule_View!$I$11:$I$262,MATCH(Well_Data_NK_Upcoming!AG7,Rig_Schedule_View!$B$11:$B$262,0))=0,O7,(INDEX(Rig_Schedule_View!$I$11:$I$262,MATCH(Well_Data_NK_Upcoming!AG7,Rig_Schedule_View!$B$11:$B$262,0))))))</f>
        <v>42105.75</v>
      </c>
      <c r="BP7" s="526">
        <f ca="1">IF(ISERROR(IF(INDEX(Rig_Schedule_View!$J$11:$J$262,MATCH(Well_Data_NK_Upcoming!AG7,Rig_Schedule_View!$B$11:$B$262,0))=0,P7,(INDEX(Rig_Schedule_View!$J$11:$J$262,MATCH(Well_Data_NK_Upcoming!AG7,Rig_Schedule_View!$B$11:$B$262,0))))),P7,(IF(INDEX(Rig_Schedule_View!$J$11:$J$262,MATCH(Well_Data_NK_Upcoming!AG7,Rig_Schedule_View!$B$11:$B$262,0))=0,P7,(INDEX(Rig_Schedule_View!$J$11:$J$262,MATCH(Well_Data_NK_Upcoming!AG7,Rig_Schedule_View!$B$11:$B$262,0))))))</f>
        <v>42148</v>
      </c>
      <c r="BQ7" s="527"/>
      <c r="BR7" s="527"/>
      <c r="BS7" s="527"/>
      <c r="BT7" s="527"/>
      <c r="BU7" s="527"/>
      <c r="BV7" s="527"/>
      <c r="BW7" s="527"/>
      <c r="BX7" s="527"/>
      <c r="BY7" s="527"/>
      <c r="BZ7" s="527"/>
    </row>
    <row r="8" spans="1:78" s="362" customFormat="1" x14ac:dyDescent="0.25">
      <c r="A8" s="528" t="s">
        <v>1385</v>
      </c>
      <c r="B8" s="528" t="s">
        <v>1386</v>
      </c>
      <c r="C8" s="528" t="s">
        <v>1386</v>
      </c>
      <c r="D8" s="533" t="s">
        <v>2185</v>
      </c>
      <c r="E8" s="528"/>
      <c r="F8" s="528" t="str">
        <f t="shared" si="0"/>
        <v>SA</v>
      </c>
      <c r="G8" s="528" t="s">
        <v>17</v>
      </c>
      <c r="H8" s="398" t="s">
        <v>512</v>
      </c>
      <c r="I8" s="528" t="s">
        <v>16</v>
      </c>
      <c r="J8" s="528" t="s">
        <v>298</v>
      </c>
      <c r="K8" s="528" t="s">
        <v>14</v>
      </c>
      <c r="L8" s="528" t="s">
        <v>1410</v>
      </c>
      <c r="M8" s="528"/>
      <c r="N8" s="528"/>
      <c r="O8" s="364">
        <v>42092.375</v>
      </c>
      <c r="P8" s="364">
        <v>42148.5</v>
      </c>
      <c r="Q8" s="528"/>
      <c r="R8" s="537">
        <f>IF(ISERROR(VLOOKUP(G8,'Planning and Target Times'!$L$1:$AP$6,MATCH(K8&amp;"_"&amp;L8&amp;"_"&amp;J8,INDEX('Planning and Target Times'!$L$1:$AP$6,1,0),0),0)+5),"",(VLOOKUP(G8,'Planning and Target Times'!$L$1:$AP$6,MATCH(K8&amp;"_"&amp;L8&amp;"_"&amp;J8,INDEX('Planning and Target Times'!$L$1:$AP$6,1,0),0),0)+5))</f>
        <v>75</v>
      </c>
      <c r="S8" s="528">
        <f t="shared" si="1"/>
        <v>70</v>
      </c>
      <c r="T8" s="538">
        <f>VLOOKUP(G8,'Planning and Target Times'!$A$7:$G$12,MATCH(K8&amp;"-"&amp;L8&amp;"-"&amp;J8,INDEX('Planning and Target Times'!$A$7:$G$12,1,0),0),0)</f>
        <v>35</v>
      </c>
      <c r="U8" s="528"/>
      <c r="V8" s="528"/>
      <c r="W8" s="528"/>
      <c r="X8" s="535" t="str">
        <f t="shared" si="2"/>
        <v>MA</v>
      </c>
      <c r="Y8" s="528">
        <v>9909</v>
      </c>
      <c r="Z8" s="528">
        <v>6015</v>
      </c>
      <c r="AA8" s="528">
        <v>7150</v>
      </c>
      <c r="AB8" s="528">
        <v>7859</v>
      </c>
      <c r="AC8" s="528"/>
      <c r="AD8" s="528"/>
      <c r="AE8" s="528" t="s">
        <v>91</v>
      </c>
      <c r="AF8" s="528"/>
      <c r="AG8" s="540" t="str">
        <f t="shared" si="3"/>
        <v>SA-0576-SA-MA-Prod-NW-HZ-BHI</v>
      </c>
      <c r="AH8" s="528" t="str">
        <f t="shared" si="4"/>
        <v>SA-0576-NDSC-16</v>
      </c>
      <c r="AI8" s="528" t="str">
        <f t="shared" si="5"/>
        <v>SA-0576-MA-NW-Prod</v>
      </c>
      <c r="AJ8" s="528" t="str">
        <f ca="1">IF(P8&gt;0,"RR",IF(O8&gt;0,0,COUNTIF($H$2:H8,H8)-IFERROR(COUNTIF(OFFSET($H$1,0,0,SUMPRODUCT(MAX(($H$2:H8=H8)*ROW($H$2:H8)*($O$2:O8&lt;&gt;""))),1),H8),0)))</f>
        <v>RR</v>
      </c>
      <c r="AK8" s="527">
        <f>IF(ISERROR(VLOOKUP(G8,'Planning and Target Times'!$B$106:$D$110,MATCH(F8,INDEX('Planning and Target Times'!$B$106:$D$110,1,0),0),0)),"",(VLOOKUP(G8,'Planning and Target Times'!$B$106:$D$110,MATCH(F8,INDEX('Planning and Target Times'!$B$106:$D$110,1,0),0),0)))</f>
        <v>740</v>
      </c>
      <c r="AL8" s="528" t="str">
        <f>VLOOKUP(G8,'Planning and Target Times'!$I$2:$J$7,2,0)</f>
        <v>Carbonate</v>
      </c>
      <c r="AM8" s="528"/>
      <c r="AN8" s="528"/>
      <c r="AO8" s="528"/>
      <c r="AP8" s="533">
        <f t="shared" si="6"/>
        <v>9.8666666666666671</v>
      </c>
      <c r="AQ8" s="528"/>
      <c r="AR8" s="528"/>
      <c r="AS8" s="528"/>
      <c r="AT8" s="528"/>
      <c r="AU8" s="528"/>
      <c r="AV8" s="528"/>
      <c r="AW8" s="528"/>
      <c r="AX8" s="528"/>
      <c r="AY8" s="528"/>
      <c r="AZ8" s="528"/>
      <c r="BA8" s="528"/>
      <c r="BB8" s="528"/>
      <c r="BC8" s="528"/>
      <c r="BD8" s="528"/>
      <c r="BE8" s="528"/>
      <c r="BF8" s="528"/>
      <c r="BG8" s="528"/>
      <c r="BH8" s="528"/>
      <c r="BI8" s="528"/>
      <c r="BJ8" s="528"/>
      <c r="BK8" s="528"/>
      <c r="BL8" s="528"/>
      <c r="BM8" s="528"/>
      <c r="BN8" s="528"/>
      <c r="BO8" s="526">
        <f ca="1">IF(ISERROR(IF(INDEX(Rig_Schedule_View!$I$11:$I$262,MATCH(Well_Data_NK_Upcoming!AG8,Rig_Schedule_View!$B$11:$B$262,0))=0,O8,(INDEX(Rig_Schedule_View!$I$11:$I$262,MATCH(Well_Data_NK_Upcoming!AG8,Rig_Schedule_View!$B$11:$B$262,0))))),O8,(IF(INDEX(Rig_Schedule_View!$I$11:$I$262,MATCH(Well_Data_NK_Upcoming!AG8,Rig_Schedule_View!$B$11:$B$262,0))=0,O8,(INDEX(Rig_Schedule_View!$I$11:$I$262,MATCH(Well_Data_NK_Upcoming!AG8,Rig_Schedule_View!$B$11:$B$262,0))))))</f>
        <v>42092.375</v>
      </c>
      <c r="BP8" s="526">
        <f ca="1">IF(ISERROR(IF(INDEX(Rig_Schedule_View!$J$11:$J$262,MATCH(Well_Data_NK_Upcoming!AG8,Rig_Schedule_View!$B$11:$B$262,0))=0,P8,(INDEX(Rig_Schedule_View!$J$11:$J$262,MATCH(Well_Data_NK_Upcoming!AG8,Rig_Schedule_View!$B$11:$B$262,0))))),P8,(IF(INDEX(Rig_Schedule_View!$J$11:$J$262,MATCH(Well_Data_NK_Upcoming!AG8,Rig_Schedule_View!$B$11:$B$262,0))=0,P8,(INDEX(Rig_Schedule_View!$J$11:$J$262,MATCH(Well_Data_NK_Upcoming!AG8,Rig_Schedule_View!$B$11:$B$262,0))))))</f>
        <v>42148.5</v>
      </c>
      <c r="BQ8" s="527"/>
      <c r="BR8" s="527"/>
      <c r="BS8" s="527"/>
      <c r="BT8" s="527"/>
      <c r="BU8" s="527"/>
      <c r="BV8" s="527"/>
      <c r="BW8" s="527"/>
      <c r="BX8" s="527"/>
      <c r="BY8" s="527"/>
      <c r="BZ8" s="527"/>
    </row>
    <row r="9" spans="1:78" s="362" customFormat="1" x14ac:dyDescent="0.25">
      <c r="A9" s="528" t="s">
        <v>1371</v>
      </c>
      <c r="B9" s="528" t="s">
        <v>1370</v>
      </c>
      <c r="C9" s="528" t="s">
        <v>1370</v>
      </c>
      <c r="D9" s="533" t="s">
        <v>2186</v>
      </c>
      <c r="E9" s="528"/>
      <c r="F9" s="528" t="str">
        <f t="shared" si="0"/>
        <v>SA</v>
      </c>
      <c r="G9" s="528" t="s">
        <v>744</v>
      </c>
      <c r="H9" s="398" t="s">
        <v>12</v>
      </c>
      <c r="I9" s="528" t="s">
        <v>24</v>
      </c>
      <c r="J9" s="528" t="s">
        <v>298</v>
      </c>
      <c r="K9" s="528" t="s">
        <v>14</v>
      </c>
      <c r="L9" s="528" t="s">
        <v>1410</v>
      </c>
      <c r="M9" s="528"/>
      <c r="N9" s="528"/>
      <c r="O9" s="532">
        <v>42075.958333333336</v>
      </c>
      <c r="P9" s="364">
        <v>42148.583333333336</v>
      </c>
      <c r="Q9" s="528"/>
      <c r="R9" s="537">
        <f>IF(ISERROR(VLOOKUP(G9,'Planning and Target Times'!$L$1:$AP$6,MATCH(K9&amp;"_"&amp;L9&amp;"_"&amp;J9,INDEX('Planning and Target Times'!$L$1:$AP$6,1,0),0),0)+5),"",(VLOOKUP(G9,'Planning and Target Times'!$L$1:$AP$6,MATCH(K9&amp;"_"&amp;L9&amp;"_"&amp;J9,INDEX('Planning and Target Times'!$L$1:$AP$6,1,0),0),0)+5))</f>
        <v>103</v>
      </c>
      <c r="S9" s="528">
        <f t="shared" si="1"/>
        <v>98</v>
      </c>
      <c r="T9" s="538">
        <f>VLOOKUP(G9,'Planning and Target Times'!$A$7:$G$12,MATCH(K9&amp;"-"&amp;L9&amp;"-"&amp;J9,INDEX('Planning and Target Times'!$A$7:$G$12,1,0),0),0)</f>
        <v>75</v>
      </c>
      <c r="U9" s="528"/>
      <c r="V9" s="528"/>
      <c r="W9" s="528"/>
      <c r="X9" s="535" t="str">
        <f t="shared" si="2"/>
        <v>ZU/RT</v>
      </c>
      <c r="Y9" s="528">
        <v>11510</v>
      </c>
      <c r="Z9" s="528">
        <v>5936</v>
      </c>
      <c r="AA9" s="528">
        <v>8980</v>
      </c>
      <c r="AB9" s="528"/>
      <c r="AC9" s="528"/>
      <c r="AD9" s="528"/>
      <c r="AE9" s="528" t="s">
        <v>91</v>
      </c>
      <c r="AF9" s="528"/>
      <c r="AG9" s="540" t="str">
        <f t="shared" si="3"/>
        <v>SA-0574-SA-RT-Prod-NW-HZ-SLB</v>
      </c>
      <c r="AH9" s="528" t="str">
        <f t="shared" si="4"/>
        <v>SA-0574-BWD-130</v>
      </c>
      <c r="AI9" s="528" t="str">
        <f t="shared" si="5"/>
        <v>SA-0574-RT-NW-Prod</v>
      </c>
      <c r="AJ9" s="528" t="str">
        <f ca="1">IF(P9&gt;0,"RR",IF(O9&gt;0,0,COUNTIF($H$2:H9,H9)-IFERROR(COUNTIF(OFFSET($H$1,0,0,SUMPRODUCT(MAX(($H$2:H9=H9)*ROW($H$2:H9)*($O$2:O9&lt;&gt;""))),1),H9),0)))</f>
        <v>RR</v>
      </c>
      <c r="AK9" s="527" t="str">
        <f>IF(ISERROR(VLOOKUP(G9,'Planning and Target Times'!$B$106:$D$110,MATCH(F9,INDEX('Planning and Target Times'!$B$106:$D$110,1,0),0),0)),"",(VLOOKUP(G9,'Planning and Target Times'!$B$106:$D$110,MATCH(F9,INDEX('Planning and Target Times'!$B$106:$D$110,1,0),0),0)))</f>
        <v/>
      </c>
      <c r="AL9" s="528" t="str">
        <f>VLOOKUP(G9,'Planning and Target Times'!$I$2:$J$7,2,0)</f>
        <v>Sandstone</v>
      </c>
      <c r="AM9" s="528"/>
      <c r="AN9" s="528"/>
      <c r="AO9" s="528"/>
      <c r="AP9" s="533" t="e">
        <f t="shared" si="6"/>
        <v>#VALUE!</v>
      </c>
      <c r="AQ9" s="528"/>
      <c r="AR9" s="528"/>
      <c r="AS9" s="528"/>
      <c r="AT9" s="528"/>
      <c r="AU9" s="528"/>
      <c r="AV9" s="528"/>
      <c r="AW9" s="528"/>
      <c r="AX9" s="528"/>
      <c r="AY9" s="528"/>
      <c r="AZ9" s="528"/>
      <c r="BA9" s="528"/>
      <c r="BB9" s="528"/>
      <c r="BC9" s="528"/>
      <c r="BD9" s="528"/>
      <c r="BE9" s="528"/>
      <c r="BF9" s="528"/>
      <c r="BG9" s="528"/>
      <c r="BH9" s="528"/>
      <c r="BI9" s="528"/>
      <c r="BJ9" s="528"/>
      <c r="BK9" s="528"/>
      <c r="BL9" s="528"/>
      <c r="BM9" s="528"/>
      <c r="BN9" s="528"/>
      <c r="BO9" s="526">
        <f ca="1">IF(ISERROR(IF(INDEX(Rig_Schedule_View!$I$11:$I$262,MATCH(Well_Data_NK_Upcoming!AG9,Rig_Schedule_View!$B$11:$B$262,0))=0,O9,(INDEX(Rig_Schedule_View!$I$11:$I$262,MATCH(Well_Data_NK_Upcoming!AG9,Rig_Schedule_View!$B$11:$B$262,0))))),O9,(IF(INDEX(Rig_Schedule_View!$I$11:$I$262,MATCH(Well_Data_NK_Upcoming!AG9,Rig_Schedule_View!$B$11:$B$262,0))=0,O9,(INDEX(Rig_Schedule_View!$I$11:$I$262,MATCH(Well_Data_NK_Upcoming!AG9,Rig_Schedule_View!$B$11:$B$262,0))))))</f>
        <v>42075.958333333336</v>
      </c>
      <c r="BP9" s="526">
        <f ca="1">IF(ISERROR(IF(INDEX(Rig_Schedule_View!$J$11:$J$262,MATCH(Well_Data_NK_Upcoming!AG9,Rig_Schedule_View!$B$11:$B$262,0))=0,P9,(INDEX(Rig_Schedule_View!$J$11:$J$262,MATCH(Well_Data_NK_Upcoming!AG9,Rig_Schedule_View!$B$11:$B$262,0))))),P9,(IF(INDEX(Rig_Schedule_View!$J$11:$J$262,MATCH(Well_Data_NK_Upcoming!AG9,Rig_Schedule_View!$B$11:$B$262,0))=0,P9,(INDEX(Rig_Schedule_View!$J$11:$J$262,MATCH(Well_Data_NK_Upcoming!AG9,Rig_Schedule_View!$B$11:$B$262,0))))))</f>
        <v>42148.583333333336</v>
      </c>
      <c r="BQ9" s="527"/>
      <c r="BR9" s="527"/>
      <c r="BS9" s="527"/>
      <c r="BT9" s="527"/>
      <c r="BU9" s="527"/>
      <c r="BV9" s="527"/>
      <c r="BW9" s="527"/>
      <c r="BX9" s="527"/>
      <c r="BY9" s="527"/>
      <c r="BZ9" s="527"/>
    </row>
    <row r="10" spans="1:78" x14ac:dyDescent="0.25">
      <c r="A10" s="540" t="s">
        <v>759</v>
      </c>
      <c r="B10" s="540" t="s">
        <v>759</v>
      </c>
      <c r="C10" s="540" t="s">
        <v>1630</v>
      </c>
      <c r="D10" s="533" t="s">
        <v>2188</v>
      </c>
      <c r="E10" s="540"/>
      <c r="F10" s="528" t="str">
        <f t="shared" si="0"/>
        <v>SA</v>
      </c>
      <c r="G10" s="540" t="s">
        <v>17</v>
      </c>
      <c r="H10" s="536" t="s">
        <v>734</v>
      </c>
      <c r="I10" s="540" t="s">
        <v>1420</v>
      </c>
      <c r="J10" s="540" t="s">
        <v>298</v>
      </c>
      <c r="K10" s="540" t="s">
        <v>18</v>
      </c>
      <c r="L10" s="540" t="s">
        <v>1410</v>
      </c>
      <c r="M10" s="539"/>
      <c r="N10" s="540">
        <v>2</v>
      </c>
      <c r="O10" s="532">
        <v>42146.916666666664</v>
      </c>
      <c r="P10" s="531">
        <v>42185.875</v>
      </c>
      <c r="Q10" s="540"/>
      <c r="R10" s="537">
        <f>IF(ISERROR(VLOOKUP(G10,'Planning and Target Times'!$L$1:$AP$6,MATCH(K10&amp;"_"&amp;L10&amp;"_"&amp;J10,INDEX('Planning and Target Times'!$L$1:$AP$6,1,0),0),0)+5),"",(VLOOKUP(G10,'Planning and Target Times'!$L$1:$AP$6,MATCH(K10&amp;"_"&amp;L10&amp;"_"&amp;J10,INDEX('Planning and Target Times'!$L$1:$AP$6,1,0),0),0)+5))</f>
        <v>61</v>
      </c>
      <c r="S10" s="528">
        <f t="shared" si="1"/>
        <v>56</v>
      </c>
      <c r="T10" s="538">
        <f>VLOOKUP(G10,'Planning and Target Times'!$A$7:$G$12,MATCH(K10&amp;"-"&amp;L10&amp;"-"&amp;J10,INDEX('Planning and Target Times'!$A$7:$G$12,1,0),0),0)</f>
        <v>27</v>
      </c>
      <c r="U10" s="540"/>
      <c r="V10" s="540"/>
      <c r="W10" s="540"/>
      <c r="X10" s="535" t="str">
        <f t="shared" si="2"/>
        <v>MA</v>
      </c>
      <c r="Y10" s="540">
        <v>10702</v>
      </c>
      <c r="Z10" s="540"/>
      <c r="AA10" s="540">
        <v>6733</v>
      </c>
      <c r="AB10" s="540">
        <v>7825</v>
      </c>
      <c r="AC10" s="540"/>
      <c r="AD10" s="540"/>
      <c r="AE10" s="540">
        <v>19</v>
      </c>
      <c r="AF10" s="528"/>
      <c r="AG10" s="540" t="str">
        <f t="shared" si="3"/>
        <v>SA-0164-SA-MA-Prod-ST-HZ-Sperry</v>
      </c>
      <c r="AH10" s="540" t="str">
        <f t="shared" si="4"/>
        <v>SA-0164-SP-294</v>
      </c>
      <c r="AI10" s="540" t="str">
        <f t="shared" si="5"/>
        <v>SA-0164-MA-ST-Prod</v>
      </c>
      <c r="AJ10" s="540" t="str">
        <f ca="1">IF(P10&gt;0,"RR",IF(O10&gt;0,0,COUNTIF($H$2:H10,H10)-IFERROR(COUNTIF(OFFSET($H$1,0,0,SUMPRODUCT(MAX(($H$2:H10=H10)*ROW($H$2:H10)*($O$2:O10&lt;&gt;""))),1),H10),0)))</f>
        <v>RR</v>
      </c>
      <c r="AK10" s="527">
        <f>IF(ISERROR(VLOOKUP(G10,'Planning and Target Times'!$B$106:$D$110,MATCH(F10,INDEX('Planning and Target Times'!$B$106:$D$110,1,0),0),0)),"",(VLOOKUP(G10,'Planning and Target Times'!$B$106:$D$110,MATCH(F10,INDEX('Planning and Target Times'!$B$106:$D$110,1,0),0),0)))</f>
        <v>740</v>
      </c>
      <c r="AL10" s="528" t="str">
        <f>VLOOKUP(G10,'Planning and Target Times'!$I$2:$J$7,2,0)</f>
        <v>Carbonate</v>
      </c>
      <c r="AM10" s="540"/>
      <c r="AN10" s="540"/>
      <c r="AO10" s="540"/>
      <c r="AP10" s="533">
        <f t="shared" si="6"/>
        <v>12.131147540983607</v>
      </c>
      <c r="AQ10" s="540"/>
      <c r="AR10" s="540"/>
      <c r="AS10" s="540"/>
      <c r="AT10" s="540"/>
      <c r="AU10" s="540"/>
      <c r="AV10" s="540"/>
      <c r="AW10" s="540"/>
      <c r="AX10" s="540"/>
      <c r="AY10" s="540"/>
      <c r="AZ10" s="540"/>
      <c r="BA10" s="540"/>
      <c r="BB10" s="540"/>
      <c r="BC10" s="540"/>
      <c r="BD10" s="540"/>
      <c r="BE10" s="540"/>
      <c r="BF10" s="540"/>
      <c r="BG10" s="540"/>
      <c r="BH10" s="540"/>
      <c r="BI10" s="540"/>
      <c r="BJ10" s="540"/>
      <c r="BK10" s="540"/>
      <c r="BL10" s="540"/>
      <c r="BM10" s="540"/>
      <c r="BN10" s="540"/>
      <c r="BO10" s="526">
        <f ca="1">IF(ISERROR(IF(INDEX(Rig_Schedule_View!$I$11:$I$262,MATCH(Well_Data_NK_Upcoming!AG10,Rig_Schedule_View!$B$11:$B$262,0))=0,O10,(INDEX(Rig_Schedule_View!$I$11:$I$262,MATCH(Well_Data_NK_Upcoming!AG10,Rig_Schedule_View!$B$11:$B$262,0))))),O10,(IF(INDEX(Rig_Schedule_View!$I$11:$I$262,MATCH(Well_Data_NK_Upcoming!AG10,Rig_Schedule_View!$B$11:$B$262,0))=0,O10,(INDEX(Rig_Schedule_View!$I$11:$I$262,MATCH(Well_Data_NK_Upcoming!AG10,Rig_Schedule_View!$B$11:$B$262,0))))))</f>
        <v>42146.916666666664</v>
      </c>
      <c r="BP10" s="526">
        <f ca="1">IF(ISERROR(IF(INDEX(Rig_Schedule_View!$J$11:$J$262,MATCH(Well_Data_NK_Upcoming!AG10,Rig_Schedule_View!$B$11:$B$262,0))=0,P10,(INDEX(Rig_Schedule_View!$J$11:$J$262,MATCH(Well_Data_NK_Upcoming!AG10,Rig_Schedule_View!$B$11:$B$262,0))))),P10,(IF(INDEX(Rig_Schedule_View!$J$11:$J$262,MATCH(Well_Data_NK_Upcoming!AG10,Rig_Schedule_View!$B$11:$B$262,0))=0,P10,(INDEX(Rig_Schedule_View!$J$11:$J$262,MATCH(Well_Data_NK_Upcoming!AG10,Rig_Schedule_View!$B$11:$B$262,0))))))</f>
        <v>42185.875</v>
      </c>
      <c r="BQ10" s="527"/>
      <c r="BR10" s="525"/>
      <c r="BS10" s="525"/>
      <c r="BT10" s="525"/>
      <c r="BU10" s="525"/>
      <c r="BV10" s="525"/>
      <c r="BW10" s="525"/>
      <c r="BX10" s="525"/>
      <c r="BY10" s="525"/>
      <c r="BZ10" s="525"/>
    </row>
    <row r="11" spans="1:78" x14ac:dyDescent="0.25">
      <c r="A11" s="540" t="s">
        <v>1374</v>
      </c>
      <c r="B11" s="540" t="s">
        <v>1376</v>
      </c>
      <c r="C11" s="540" t="s">
        <v>1376</v>
      </c>
      <c r="D11" s="533" t="s">
        <v>2189</v>
      </c>
      <c r="E11" s="540"/>
      <c r="F11" s="528" t="str">
        <f t="shared" si="0"/>
        <v>RA</v>
      </c>
      <c r="G11" s="540" t="s">
        <v>17</v>
      </c>
      <c r="H11" s="536" t="s">
        <v>511</v>
      </c>
      <c r="I11" s="540" t="s">
        <v>16</v>
      </c>
      <c r="J11" s="540" t="s">
        <v>298</v>
      </c>
      <c r="K11" s="540" t="s">
        <v>14</v>
      </c>
      <c r="L11" s="540" t="s">
        <v>1410</v>
      </c>
      <c r="M11" s="539"/>
      <c r="N11" s="540">
        <v>1</v>
      </c>
      <c r="O11" s="532">
        <v>42086.333333333336</v>
      </c>
      <c r="P11" s="531">
        <v>42188.458333333336</v>
      </c>
      <c r="Q11" s="540"/>
      <c r="R11" s="537">
        <f>IF(ISERROR(VLOOKUP(G11,'Planning and Target Times'!$L$1:$AP$6,MATCH(K11&amp;"_"&amp;L11&amp;"_"&amp;J11,INDEX('Planning and Target Times'!$L$1:$AP$6,1,0),0),0)+5),"",(VLOOKUP(G11,'Planning and Target Times'!$L$1:$AP$6,MATCH(K11&amp;"_"&amp;L11&amp;"_"&amp;J11,INDEX('Planning and Target Times'!$L$1:$AP$6,1,0),0),0)+5))</f>
        <v>75</v>
      </c>
      <c r="S11" s="528">
        <f t="shared" si="1"/>
        <v>70</v>
      </c>
      <c r="T11" s="538">
        <f>VLOOKUP(G11,'Planning and Target Times'!$A$7:$G$12,MATCH(K11&amp;"-"&amp;L11&amp;"-"&amp;J11,INDEX('Planning and Target Times'!$A$7:$G$12,1,0),0),0)</f>
        <v>35</v>
      </c>
      <c r="U11" s="540"/>
      <c r="V11" s="540"/>
      <c r="W11" s="540"/>
      <c r="X11" s="535" t="str">
        <f t="shared" si="2"/>
        <v>MA</v>
      </c>
      <c r="Y11" s="540">
        <v>11440</v>
      </c>
      <c r="Z11" s="540">
        <v>6175</v>
      </c>
      <c r="AA11" s="540">
        <v>7561</v>
      </c>
      <c r="AB11" s="540">
        <v>8343</v>
      </c>
      <c r="AC11" s="540"/>
      <c r="AD11" s="540"/>
      <c r="AE11" s="540">
        <v>11</v>
      </c>
      <c r="AF11" s="528"/>
      <c r="AG11" s="540" t="str">
        <f t="shared" si="3"/>
        <v>RA-0449-RA-MA-Prod-NW-HZ-BHI</v>
      </c>
      <c r="AH11" s="540" t="str">
        <f t="shared" si="4"/>
        <v>RA-0449-NDSC-17</v>
      </c>
      <c r="AI11" s="540" t="str">
        <f t="shared" si="5"/>
        <v>RA-0449-MA-NW-Prod</v>
      </c>
      <c r="AJ11" s="540" t="str">
        <f ca="1">IF(P11&gt;0,"RR",IF(O11&gt;0,0,COUNTIF($H$2:H11,H11)-IFERROR(COUNTIF(OFFSET($H$1,0,0,SUMPRODUCT(MAX(($H$2:H11=H11)*ROW($H$2:H11)*($O$2:O11&lt;&gt;""))),1),H11),0)))</f>
        <v>RR</v>
      </c>
      <c r="AK11" s="527">
        <f>IF(ISERROR(VLOOKUP(G11,'Planning and Target Times'!$B$106:$D$110,MATCH(F11,INDEX('Planning and Target Times'!$B$106:$D$110,1,0),0),0)),"",(VLOOKUP(G11,'Planning and Target Times'!$B$106:$D$110,MATCH(F11,INDEX('Planning and Target Times'!$B$106:$D$110,1,0),0),0)))</f>
        <v>650</v>
      </c>
      <c r="AL11" s="528" t="str">
        <f>VLOOKUP(G11,'Planning and Target Times'!$I$2:$J$7,2,0)</f>
        <v>Carbonate</v>
      </c>
      <c r="AM11" s="540"/>
      <c r="AN11" s="540"/>
      <c r="AO11" s="540"/>
      <c r="AP11" s="533">
        <f t="shared" si="6"/>
        <v>8.6666666666666661</v>
      </c>
      <c r="AQ11" s="540"/>
      <c r="AR11" s="540"/>
      <c r="AS11" s="540"/>
      <c r="AT11" s="540"/>
      <c r="AU11" s="540"/>
      <c r="AV11" s="540"/>
      <c r="AW11" s="540"/>
      <c r="AX11" s="540"/>
      <c r="AY11" s="540"/>
      <c r="AZ11" s="540"/>
      <c r="BA11" s="540"/>
      <c r="BB11" s="540"/>
      <c r="BC11" s="540"/>
      <c r="BD11" s="540"/>
      <c r="BE11" s="540"/>
      <c r="BF11" s="540"/>
      <c r="BG11" s="540"/>
      <c r="BH11" s="540"/>
      <c r="BI11" s="540"/>
      <c r="BJ11" s="540"/>
      <c r="BK11" s="540"/>
      <c r="BL11" s="540"/>
      <c r="BM11" s="540"/>
      <c r="BN11" s="540"/>
      <c r="BO11" s="526">
        <f ca="1">IF(ISERROR(IF(INDEX(Rig_Schedule_View!$I$11:$I$262,MATCH(Well_Data_NK_Upcoming!AG11,Rig_Schedule_View!$B$11:$B$262,0))=0,O11,(INDEX(Rig_Schedule_View!$I$11:$I$262,MATCH(Well_Data_NK_Upcoming!AG11,Rig_Schedule_View!$B$11:$B$262,0))))),O11,(IF(INDEX(Rig_Schedule_View!$I$11:$I$262,MATCH(Well_Data_NK_Upcoming!AG11,Rig_Schedule_View!$B$11:$B$262,0))=0,O11,(INDEX(Rig_Schedule_View!$I$11:$I$262,MATCH(Well_Data_NK_Upcoming!AG11,Rig_Schedule_View!$B$11:$B$262,0))))))</f>
        <v>42086.333333333336</v>
      </c>
      <c r="BP11" s="526">
        <f ca="1">IF(ISERROR(IF(INDEX(Rig_Schedule_View!$J$11:$J$262,MATCH(Well_Data_NK_Upcoming!AG11,Rig_Schedule_View!$B$11:$B$262,0))=0,P11,(INDEX(Rig_Schedule_View!$J$11:$J$262,MATCH(Well_Data_NK_Upcoming!AG11,Rig_Schedule_View!$B$11:$B$262,0))))),P11,(IF(INDEX(Rig_Schedule_View!$J$11:$J$262,MATCH(Well_Data_NK_Upcoming!AG11,Rig_Schedule_View!$B$11:$B$262,0))=0,P11,(INDEX(Rig_Schedule_View!$J$11:$J$262,MATCH(Well_Data_NK_Upcoming!AG11,Rig_Schedule_View!$B$11:$B$262,0))))))</f>
        <v>42188.458333333336</v>
      </c>
      <c r="BQ11" s="527"/>
      <c r="BR11" s="525"/>
      <c r="BS11" s="525"/>
      <c r="BT11" s="525"/>
      <c r="BU11" s="525"/>
      <c r="BV11" s="525"/>
      <c r="BW11" s="525"/>
      <c r="BX11" s="525"/>
      <c r="BY11" s="525"/>
      <c r="BZ11" s="525"/>
    </row>
    <row r="12" spans="1:78" x14ac:dyDescent="0.25">
      <c r="A12" s="540" t="s">
        <v>1425</v>
      </c>
      <c r="B12" s="540" t="s">
        <v>1425</v>
      </c>
      <c r="C12" s="540" t="s">
        <v>1580</v>
      </c>
      <c r="D12" s="533" t="s">
        <v>2190</v>
      </c>
      <c r="E12" s="540"/>
      <c r="F12" s="528" t="str">
        <f t="shared" si="0"/>
        <v>RA</v>
      </c>
      <c r="G12" s="540" t="s">
        <v>17</v>
      </c>
      <c r="H12" s="536" t="s">
        <v>23</v>
      </c>
      <c r="I12" s="540" t="s">
        <v>1420</v>
      </c>
      <c r="J12" s="540" t="s">
        <v>298</v>
      </c>
      <c r="K12" s="540" t="s">
        <v>14</v>
      </c>
      <c r="L12" s="540" t="s">
        <v>1410</v>
      </c>
      <c r="M12" s="539"/>
      <c r="N12" s="540"/>
      <c r="O12" s="532">
        <v>42128.0625</v>
      </c>
      <c r="P12" s="531">
        <v>42192.083333333336</v>
      </c>
      <c r="Q12" s="540"/>
      <c r="R12" s="537">
        <f>IF(ISERROR(VLOOKUP(G12,'Planning and Target Times'!$L$1:$AP$6,MATCH(K12&amp;"_"&amp;L12&amp;"_"&amp;J12,INDEX('Planning and Target Times'!$L$1:$AP$6,1,0),0),0)+5),"",(VLOOKUP(G12,'Planning and Target Times'!$L$1:$AP$6,MATCH(K12&amp;"_"&amp;L12&amp;"_"&amp;J12,INDEX('Planning and Target Times'!$L$1:$AP$6,1,0),0),0)+5))</f>
        <v>75</v>
      </c>
      <c r="S12" s="528">
        <f t="shared" si="1"/>
        <v>70</v>
      </c>
      <c r="T12" s="538">
        <f>VLOOKUP(G12,'Planning and Target Times'!$A$7:$G$12,MATCH(K12&amp;"-"&amp;L12&amp;"-"&amp;J12,INDEX('Planning and Target Times'!$A$7:$G$12,1,0),0),0)</f>
        <v>35</v>
      </c>
      <c r="U12" s="540"/>
      <c r="V12" s="540"/>
      <c r="W12" s="540"/>
      <c r="X12" s="535" t="str">
        <f t="shared" si="2"/>
        <v>MA</v>
      </c>
      <c r="Y12" s="540">
        <v>12301</v>
      </c>
      <c r="Z12" s="540">
        <v>5953</v>
      </c>
      <c r="AA12" s="540">
        <v>7366</v>
      </c>
      <c r="AB12" s="540">
        <v>8381</v>
      </c>
      <c r="AC12" s="540"/>
      <c r="AD12" s="540"/>
      <c r="AE12" s="540">
        <v>1</v>
      </c>
      <c r="AF12" s="528"/>
      <c r="AG12" s="540" t="str">
        <f t="shared" si="3"/>
        <v>RA-0567-RA-MA-Prod-NW-HZ-Sperry</v>
      </c>
      <c r="AH12" s="540" t="str">
        <f t="shared" si="4"/>
        <v>RA-0567-SP-158</v>
      </c>
      <c r="AI12" s="540" t="str">
        <f t="shared" si="5"/>
        <v>RA-0567-MA-NW-Prod</v>
      </c>
      <c r="AJ12" s="540" t="str">
        <f ca="1">IF(P12&gt;0,"RR",IF(O12&gt;0,0,COUNTIF($H$2:H12,H12)-IFERROR(COUNTIF(OFFSET($H$1,0,0,SUMPRODUCT(MAX(($H$2:H12=H12)*ROW($H$2:H12)*($O$2:O12&lt;&gt;""))),1),H12),0)))</f>
        <v>RR</v>
      </c>
      <c r="AK12" s="527">
        <f>IF(ISERROR(VLOOKUP(G12,'Planning and Target Times'!$B$106:$D$110,MATCH(F12,INDEX('Planning and Target Times'!$B$106:$D$110,1,0),0),0)),"",(VLOOKUP(G12,'Planning and Target Times'!$B$106:$D$110,MATCH(F12,INDEX('Planning and Target Times'!$B$106:$D$110,1,0),0),0)))</f>
        <v>650</v>
      </c>
      <c r="AL12" s="528" t="str">
        <f>VLOOKUP(G12,'Planning and Target Times'!$I$2:$J$7,2,0)</f>
        <v>Carbonate</v>
      </c>
      <c r="AM12" s="540"/>
      <c r="AN12" s="540"/>
      <c r="AO12" s="540"/>
      <c r="AP12" s="533">
        <f t="shared" si="6"/>
        <v>8.6666666666666661</v>
      </c>
      <c r="AQ12" s="540"/>
      <c r="AR12" s="540"/>
      <c r="AS12" s="540"/>
      <c r="AT12" s="540"/>
      <c r="AU12" s="540"/>
      <c r="AV12" s="540"/>
      <c r="AW12" s="540"/>
      <c r="AX12" s="540"/>
      <c r="AY12" s="540"/>
      <c r="AZ12" s="540"/>
      <c r="BA12" s="540"/>
      <c r="BB12" s="540"/>
      <c r="BC12" s="540"/>
      <c r="BD12" s="540"/>
      <c r="BE12" s="540"/>
      <c r="BF12" s="540"/>
      <c r="BG12" s="540"/>
      <c r="BH12" s="540"/>
      <c r="BI12" s="540"/>
      <c r="BJ12" s="540"/>
      <c r="BK12" s="540"/>
      <c r="BL12" s="540"/>
      <c r="BM12" s="540"/>
      <c r="BN12" s="540"/>
      <c r="BO12" s="526">
        <f ca="1">IF(ISERROR(IF(INDEX(Rig_Schedule_View!$I$11:$I$262,MATCH(Well_Data_NK_Upcoming!AG12,Rig_Schedule_View!$B$11:$B$262,0))=0,O12,(INDEX(Rig_Schedule_View!$I$11:$I$262,MATCH(Well_Data_NK_Upcoming!AG12,Rig_Schedule_View!$B$11:$B$262,0))))),O12,(IF(INDEX(Rig_Schedule_View!$I$11:$I$262,MATCH(Well_Data_NK_Upcoming!AG12,Rig_Schedule_View!$B$11:$B$262,0))=0,O12,(INDEX(Rig_Schedule_View!$I$11:$I$262,MATCH(Well_Data_NK_Upcoming!AG12,Rig_Schedule_View!$B$11:$B$262,0))))))</f>
        <v>42128.0625</v>
      </c>
      <c r="BP12" s="526">
        <f ca="1">IF(ISERROR(IF(INDEX(Rig_Schedule_View!$J$11:$J$262,MATCH(Well_Data_NK_Upcoming!AG12,Rig_Schedule_View!$B$11:$B$262,0))=0,P12,(INDEX(Rig_Schedule_View!$J$11:$J$262,MATCH(Well_Data_NK_Upcoming!AG12,Rig_Schedule_View!$B$11:$B$262,0))))),P12,(IF(INDEX(Rig_Schedule_View!$J$11:$J$262,MATCH(Well_Data_NK_Upcoming!AG12,Rig_Schedule_View!$B$11:$B$262,0))=0,P12,(INDEX(Rig_Schedule_View!$J$11:$J$262,MATCH(Well_Data_NK_Upcoming!AG12,Rig_Schedule_View!$B$11:$B$262,0))))))</f>
        <v>42192.083333333336</v>
      </c>
      <c r="BQ12" s="527"/>
      <c r="BR12" s="525"/>
      <c r="BS12" s="525"/>
      <c r="BT12" s="525"/>
      <c r="BU12" s="525"/>
      <c r="BV12" s="525"/>
      <c r="BW12" s="525"/>
      <c r="BX12" s="525"/>
      <c r="BY12" s="525"/>
      <c r="BZ12" s="525"/>
    </row>
    <row r="13" spans="1:78" x14ac:dyDescent="0.25">
      <c r="A13" s="540" t="s">
        <v>749</v>
      </c>
      <c r="B13" s="540" t="s">
        <v>749</v>
      </c>
      <c r="C13" s="540" t="s">
        <v>1635</v>
      </c>
      <c r="D13" s="533" t="s">
        <v>2191</v>
      </c>
      <c r="E13" s="540"/>
      <c r="F13" s="528" t="str">
        <f t="shared" si="0"/>
        <v>RA</v>
      </c>
      <c r="G13" s="540" t="s">
        <v>17</v>
      </c>
      <c r="H13" s="536" t="s">
        <v>31</v>
      </c>
      <c r="I13" s="540" t="s">
        <v>24</v>
      </c>
      <c r="J13" s="540" t="s">
        <v>34</v>
      </c>
      <c r="K13" s="540" t="s">
        <v>18</v>
      </c>
      <c r="L13" s="540" t="s">
        <v>1410</v>
      </c>
      <c r="M13" s="539"/>
      <c r="N13" s="540"/>
      <c r="O13" s="532">
        <v>42150.270833333336</v>
      </c>
      <c r="P13" s="531">
        <v>42192.25</v>
      </c>
      <c r="Q13" s="540"/>
      <c r="R13" s="537">
        <f>IF(ISERROR(VLOOKUP(G13,'Planning and Target Times'!$L$1:$AP$6,MATCH(K13&amp;"_"&amp;L13&amp;"_"&amp;J13,INDEX('Planning and Target Times'!$L$1:$AP$6,1,0),0),0)+5),"",(VLOOKUP(G13,'Planning and Target Times'!$L$1:$AP$6,MATCH(K13&amp;"_"&amp;L13&amp;"_"&amp;J13,INDEX('Planning and Target Times'!$L$1:$AP$6,1,0),0),0)+5))</f>
        <v>54</v>
      </c>
      <c r="S13" s="528">
        <f t="shared" si="1"/>
        <v>49</v>
      </c>
      <c r="T13" s="538">
        <f>VLOOKUP(G13,'Planning and Target Times'!$A$7:$G$12,MATCH(K13&amp;"-"&amp;L13&amp;"-"&amp;J13,INDEX('Planning and Target Times'!$A$7:$G$12,1,0),0),0)</f>
        <v>25</v>
      </c>
      <c r="U13" s="540"/>
      <c r="V13" s="540"/>
      <c r="W13" s="540"/>
      <c r="X13" s="535" t="str">
        <f t="shared" si="2"/>
        <v>MA</v>
      </c>
      <c r="Y13" s="540">
        <v>11306</v>
      </c>
      <c r="Z13" s="540"/>
      <c r="AA13" s="540"/>
      <c r="AB13" s="540">
        <v>7000</v>
      </c>
      <c r="AC13" s="540"/>
      <c r="AD13" s="540"/>
      <c r="AE13" s="540">
        <v>1</v>
      </c>
      <c r="AF13" s="528"/>
      <c r="AG13" s="540" t="str">
        <f t="shared" si="3"/>
        <v>RA-0270-RA-MA-Inj-ST-HZ-SLB</v>
      </c>
      <c r="AH13" s="540" t="str">
        <f t="shared" si="4"/>
        <v>RA-0270-SP-159</v>
      </c>
      <c r="AI13" s="540" t="str">
        <f t="shared" si="5"/>
        <v>RA-0270-MA-ST-Inj</v>
      </c>
      <c r="AJ13" s="540" t="str">
        <f ca="1">IF(P13&gt;0,"RR",IF(O13&gt;0,0,COUNTIF($H$2:H13,H13)-IFERROR(COUNTIF(OFFSET($H$1,0,0,SUMPRODUCT(MAX(($H$2:H13=H13)*ROW($H$2:H13)*($O$2:O13&lt;&gt;""))),1),H13),0)))</f>
        <v>RR</v>
      </c>
      <c r="AK13" s="527"/>
      <c r="AL13" s="528" t="str">
        <f>VLOOKUP(G13,'Planning and Target Times'!$I$2:$J$7,2,0)</f>
        <v>Carbonate</v>
      </c>
      <c r="AM13" s="540"/>
      <c r="AN13" s="540"/>
      <c r="AO13" s="540"/>
      <c r="AP13" s="533">
        <f t="shared" si="6"/>
        <v>0</v>
      </c>
      <c r="AQ13" s="540"/>
      <c r="AR13" s="540"/>
      <c r="AS13" s="540"/>
      <c r="AT13" s="540"/>
      <c r="AU13" s="540"/>
      <c r="AV13" s="540"/>
      <c r="AW13" s="540"/>
      <c r="AX13" s="540"/>
      <c r="AY13" s="540"/>
      <c r="AZ13" s="540"/>
      <c r="BA13" s="540"/>
      <c r="BB13" s="540"/>
      <c r="BC13" s="540"/>
      <c r="BD13" s="540"/>
      <c r="BE13" s="540"/>
      <c r="BF13" s="540"/>
      <c r="BG13" s="540"/>
      <c r="BH13" s="540"/>
      <c r="BI13" s="540"/>
      <c r="BJ13" s="540"/>
      <c r="BK13" s="540"/>
      <c r="BL13" s="540"/>
      <c r="BM13" s="540"/>
      <c r="BN13" s="540"/>
      <c r="BO13" s="526">
        <f ca="1">IF(ISERROR(IF(INDEX(Rig_Schedule_View!$I$11:$I$262,MATCH(Well_Data_NK_Upcoming!AG13,Rig_Schedule_View!$B$11:$B$262,0))=0,O13,(INDEX(Rig_Schedule_View!$I$11:$I$262,MATCH(Well_Data_NK_Upcoming!AG13,Rig_Schedule_View!$B$11:$B$262,0))))),O13,(IF(INDEX(Rig_Schedule_View!$I$11:$I$262,MATCH(Well_Data_NK_Upcoming!AG13,Rig_Schedule_View!$B$11:$B$262,0))=0,O13,(INDEX(Rig_Schedule_View!$I$11:$I$262,MATCH(Well_Data_NK_Upcoming!AG13,Rig_Schedule_View!$B$11:$B$262,0))))))</f>
        <v>42150.270833333336</v>
      </c>
      <c r="BP13" s="526">
        <f ca="1">IF(ISERROR(IF(INDEX(Rig_Schedule_View!$J$11:$J$262,MATCH(Well_Data_NK_Upcoming!AG13,Rig_Schedule_View!$B$11:$B$262,0))=0,P13,(INDEX(Rig_Schedule_View!$J$11:$J$262,MATCH(Well_Data_NK_Upcoming!AG13,Rig_Schedule_View!$B$11:$B$262,0))))),P13,(IF(INDEX(Rig_Schedule_View!$J$11:$J$262,MATCH(Well_Data_NK_Upcoming!AG13,Rig_Schedule_View!$B$11:$B$262,0))=0,P13,(INDEX(Rig_Schedule_View!$J$11:$J$262,MATCH(Well_Data_NK_Upcoming!AG13,Rig_Schedule_View!$B$11:$B$262,0))))))</f>
        <v>42192.25</v>
      </c>
      <c r="BQ13" s="527"/>
      <c r="BR13" s="525"/>
      <c r="BS13" s="525"/>
      <c r="BT13" s="525"/>
      <c r="BU13" s="525"/>
      <c r="BV13" s="525"/>
      <c r="BW13" s="525"/>
      <c r="BX13" s="525"/>
      <c r="BY13" s="525"/>
      <c r="BZ13" s="525"/>
    </row>
    <row r="14" spans="1:78" s="356" customFormat="1" x14ac:dyDescent="0.25">
      <c r="A14" s="540" t="s">
        <v>1349</v>
      </c>
      <c r="B14" s="540" t="s">
        <v>1349</v>
      </c>
      <c r="C14" s="540" t="s">
        <v>1916</v>
      </c>
      <c r="D14" s="533" t="s">
        <v>2192</v>
      </c>
      <c r="E14" s="540"/>
      <c r="F14" s="528" t="str">
        <f t="shared" si="0"/>
        <v>SA</v>
      </c>
      <c r="G14" s="540" t="s">
        <v>29</v>
      </c>
      <c r="H14" s="536" t="s">
        <v>1412</v>
      </c>
      <c r="I14" s="540" t="s">
        <v>1420</v>
      </c>
      <c r="J14" s="540" t="s">
        <v>298</v>
      </c>
      <c r="K14" s="540" t="s">
        <v>14</v>
      </c>
      <c r="L14" s="540" t="s">
        <v>1410</v>
      </c>
      <c r="M14" s="539"/>
      <c r="N14" s="540"/>
      <c r="O14" s="532">
        <v>42144.875</v>
      </c>
      <c r="P14" s="531">
        <v>42194.875</v>
      </c>
      <c r="Q14" s="540"/>
      <c r="R14" s="537">
        <f>IF(ISERROR(VLOOKUP(G14,'Planning and Target Times'!$L$1:$AP$6,MATCH(K14&amp;"_"&amp;L14&amp;"_"&amp;J14,INDEX('Planning and Target Times'!$L$1:$AP$6,1,0),0),0)+5),"",(VLOOKUP(G14,'Planning and Target Times'!$L$1:$AP$6,MATCH(K14&amp;"_"&amp;L14&amp;"_"&amp;J14,INDEX('Planning and Target Times'!$L$1:$AP$6,1,0),0),0)+5))</f>
        <v>75</v>
      </c>
      <c r="S14" s="528">
        <f t="shared" si="1"/>
        <v>70</v>
      </c>
      <c r="T14" s="538">
        <f>VLOOKUP(G14,'Planning and Target Times'!$A$7:$G$12,MATCH(K14&amp;"-"&amp;L14&amp;"-"&amp;J14,INDEX('Planning and Target Times'!$A$7:$G$12,1,0),0),0)</f>
        <v>35</v>
      </c>
      <c r="U14" s="540"/>
      <c r="V14" s="540"/>
      <c r="W14" s="540"/>
      <c r="X14" s="535" t="str">
        <f t="shared" si="2"/>
        <v>UB</v>
      </c>
      <c r="Y14" s="540">
        <v>8750</v>
      </c>
      <c r="Z14" s="540"/>
      <c r="AA14" s="540">
        <v>7846</v>
      </c>
      <c r="AB14" s="540">
        <v>8745</v>
      </c>
      <c r="AC14" s="540"/>
      <c r="AD14" s="540"/>
      <c r="AE14" s="540">
        <v>30</v>
      </c>
      <c r="AF14" s="528"/>
      <c r="AG14" s="540" t="str">
        <f t="shared" si="3"/>
        <v>SA-0578-SA-UB-Prod-NW-HZ-Sperry</v>
      </c>
      <c r="AH14" s="540" t="str">
        <f t="shared" si="4"/>
        <v>SA-0578-SP-279</v>
      </c>
      <c r="AI14" s="540" t="str">
        <f t="shared" si="5"/>
        <v>SA-0578-UB-NW-Prod</v>
      </c>
      <c r="AJ14" s="540" t="str">
        <f ca="1">IF(P14&gt;0,"RR",IF(O14&gt;0,0,COUNTIF($H$2:H14,H14)-IFERROR(COUNTIF(OFFSET($H$1,0,0,SUMPRODUCT(MAX(($H$2:H14=H14)*ROW($H$2:H14)*($O$2:O14&lt;&gt;""))),1),H14),0)))</f>
        <v>RR</v>
      </c>
      <c r="AK14" s="527">
        <f>IF(ISERROR(VLOOKUP(G14,'Planning and Target Times'!$B$106:$D$110,MATCH(F14,INDEX('Planning and Target Times'!$B$106:$D$110,1,0),0),0)),"",(VLOOKUP(G14,'Planning and Target Times'!$B$106:$D$110,MATCH(F14,INDEX('Planning and Target Times'!$B$106:$D$110,1,0),0),0)))</f>
        <v>630</v>
      </c>
      <c r="AL14" s="528" t="str">
        <f>VLOOKUP(G14,'Planning and Target Times'!$I$2:$J$7,2,0)</f>
        <v>Sandstone</v>
      </c>
      <c r="AM14" s="540"/>
      <c r="AN14" s="540"/>
      <c r="AO14" s="540"/>
      <c r="AP14" s="533">
        <f t="shared" si="6"/>
        <v>8.4</v>
      </c>
      <c r="AQ14" s="540"/>
      <c r="AR14" s="540"/>
      <c r="AS14" s="540"/>
      <c r="AT14" s="540"/>
      <c r="AU14" s="540"/>
      <c r="AV14" s="540"/>
      <c r="AW14" s="540"/>
      <c r="AX14" s="540"/>
      <c r="AY14" s="540"/>
      <c r="AZ14" s="540"/>
      <c r="BA14" s="540"/>
      <c r="BB14" s="540"/>
      <c r="BC14" s="540"/>
      <c r="BD14" s="540"/>
      <c r="BE14" s="540"/>
      <c r="BF14" s="540"/>
      <c r="BG14" s="540"/>
      <c r="BH14" s="540"/>
      <c r="BI14" s="540"/>
      <c r="BJ14" s="540"/>
      <c r="BK14" s="540"/>
      <c r="BL14" s="540"/>
      <c r="BM14" s="540"/>
      <c r="BN14" s="540"/>
      <c r="BO14" s="526">
        <f ca="1">IF(ISERROR(IF(INDEX(Rig_Schedule_View!$I$11:$I$262,MATCH(Well_Data_NK_Upcoming!AG14,Rig_Schedule_View!$B$11:$B$262,0))=0,O14,(INDEX(Rig_Schedule_View!$I$11:$I$262,MATCH(Well_Data_NK_Upcoming!AG14,Rig_Schedule_View!$B$11:$B$262,0))))),O14,(IF(INDEX(Rig_Schedule_View!$I$11:$I$262,MATCH(Well_Data_NK_Upcoming!AG14,Rig_Schedule_View!$B$11:$B$262,0))=0,O14,(INDEX(Rig_Schedule_View!$I$11:$I$262,MATCH(Well_Data_NK_Upcoming!AG14,Rig_Schedule_View!$B$11:$B$262,0))))))</f>
        <v>42144.875</v>
      </c>
      <c r="BP14" s="526">
        <f ca="1">IF(ISERROR(IF(INDEX(Rig_Schedule_View!$J$11:$J$262,MATCH(Well_Data_NK_Upcoming!AG14,Rig_Schedule_View!$B$11:$B$262,0))=0,P14,(INDEX(Rig_Schedule_View!$J$11:$J$262,MATCH(Well_Data_NK_Upcoming!AG14,Rig_Schedule_View!$B$11:$B$262,0))))),P14,(IF(INDEX(Rig_Schedule_View!$J$11:$J$262,MATCH(Well_Data_NK_Upcoming!AG14,Rig_Schedule_View!$B$11:$B$262,0))=0,P14,(INDEX(Rig_Schedule_View!$J$11:$J$262,MATCH(Well_Data_NK_Upcoming!AG14,Rig_Schedule_View!$B$11:$B$262,0))))))</f>
        <v>42194.875</v>
      </c>
      <c r="BQ14" s="527"/>
      <c r="BR14" s="19"/>
      <c r="BS14" s="19"/>
      <c r="BT14" s="19"/>
      <c r="BU14" s="19"/>
      <c r="BV14" s="19"/>
      <c r="BW14" s="19"/>
      <c r="BX14" s="19"/>
      <c r="BY14" s="19"/>
      <c r="BZ14" s="19"/>
    </row>
    <row r="15" spans="1:78" x14ac:dyDescent="0.25">
      <c r="A15" s="540" t="s">
        <v>1388</v>
      </c>
      <c r="B15" s="540" t="s">
        <v>1388</v>
      </c>
      <c r="C15" s="540" t="s">
        <v>1387</v>
      </c>
      <c r="D15" s="533" t="s">
        <v>2193</v>
      </c>
      <c r="E15" s="540"/>
      <c r="F15" s="528" t="str">
        <f t="shared" si="0"/>
        <v>SA</v>
      </c>
      <c r="G15" s="540" t="s">
        <v>22</v>
      </c>
      <c r="H15" s="536" t="s">
        <v>839</v>
      </c>
      <c r="I15" s="540" t="s">
        <v>20</v>
      </c>
      <c r="J15" s="540" t="s">
        <v>298</v>
      </c>
      <c r="K15" s="540" t="s">
        <v>14</v>
      </c>
      <c r="L15" s="540" t="s">
        <v>1410</v>
      </c>
      <c r="M15" s="539"/>
      <c r="N15" s="540">
        <v>2</v>
      </c>
      <c r="O15" s="532">
        <v>42092.916666666664</v>
      </c>
      <c r="P15" s="531">
        <v>42200.25</v>
      </c>
      <c r="Q15" s="540"/>
      <c r="R15" s="537">
        <f>IF(ISERROR(VLOOKUP(G15,'Planning and Target Times'!$L$1:$AP$6,MATCH(K15&amp;"_"&amp;L15&amp;"_"&amp;J15,INDEX('Planning and Target Times'!$L$1:$AP$6,1,0),0),0)+5),"",(VLOOKUP(G15,'Planning and Target Times'!$L$1:$AP$6,MATCH(K15&amp;"_"&amp;L15&amp;"_"&amp;J15,INDEX('Planning and Target Times'!$L$1:$AP$6,1,0),0),0)+5))</f>
        <v>75</v>
      </c>
      <c r="S15" s="528">
        <f t="shared" si="1"/>
        <v>70</v>
      </c>
      <c r="T15" s="538">
        <f>VLOOKUP(G15,'Planning and Target Times'!$A$7:$G$12,MATCH(K15&amp;"-"&amp;L15&amp;"-"&amp;J15,INDEX('Planning and Target Times'!$A$7:$G$12,1,0),0),0)</f>
        <v>35</v>
      </c>
      <c r="U15" s="540"/>
      <c r="V15" s="540"/>
      <c r="W15" s="540"/>
      <c r="X15" s="535" t="str">
        <f t="shared" si="2"/>
        <v>LB</v>
      </c>
      <c r="Y15" s="540">
        <v>10031</v>
      </c>
      <c r="Z15" s="540">
        <v>5971</v>
      </c>
      <c r="AA15" s="540">
        <v>7985</v>
      </c>
      <c r="AB15" s="540">
        <v>8848</v>
      </c>
      <c r="AC15" s="540"/>
      <c r="AD15" s="540"/>
      <c r="AE15" s="540">
        <v>3</v>
      </c>
      <c r="AF15" s="528"/>
      <c r="AG15" s="540" t="str">
        <f t="shared" si="3"/>
        <v>SA-0579-SA-LB-Prod-NW-HZ-HAL</v>
      </c>
      <c r="AH15" s="540" t="str">
        <f t="shared" si="4"/>
        <v>SA-0579-SP-267</v>
      </c>
      <c r="AI15" s="540" t="str">
        <f t="shared" si="5"/>
        <v>SA-0579-LB-NW-Prod</v>
      </c>
      <c r="AJ15" s="540" t="str">
        <f ca="1">IF(P15&gt;0,"RR",IF(O15&gt;0,0,COUNTIF($H$2:H15,H15)-IFERROR(COUNTIF(OFFSET($H$1,0,0,SUMPRODUCT(MAX(($H$2:H15=H15)*ROW($H$2:H15)*($O$2:O15&lt;&gt;""))),1),H15),0)))</f>
        <v>RR</v>
      </c>
      <c r="AK15" s="527">
        <f>IF(ISERROR(VLOOKUP(G15,'Planning and Target Times'!$B$106:$D$110,MATCH(F15,INDEX('Planning and Target Times'!$B$106:$D$110,1,0),0),0)),"",(VLOOKUP(G15,'Planning and Target Times'!$B$106:$D$110,MATCH(F15,INDEX('Planning and Target Times'!$B$106:$D$110,1,0),0),0)))</f>
        <v>550</v>
      </c>
      <c r="AL15" s="528" t="str">
        <f>VLOOKUP(G15,'Planning and Target Times'!$I$2:$J$7,2,0)</f>
        <v>Sandstone</v>
      </c>
      <c r="AM15" s="540"/>
      <c r="AN15" s="540"/>
      <c r="AO15" s="540"/>
      <c r="AP15" s="533">
        <f t="shared" si="6"/>
        <v>7.333333333333333</v>
      </c>
      <c r="AQ15" s="540"/>
      <c r="AR15" s="540"/>
      <c r="AS15" s="540"/>
      <c r="AT15" s="540"/>
      <c r="AU15" s="540"/>
      <c r="AV15" s="540"/>
      <c r="AW15" s="540"/>
      <c r="AX15" s="540"/>
      <c r="AY15" s="540"/>
      <c r="AZ15" s="540"/>
      <c r="BA15" s="540"/>
      <c r="BB15" s="540"/>
      <c r="BC15" s="540"/>
      <c r="BD15" s="540"/>
      <c r="BE15" s="540"/>
      <c r="BF15" s="540"/>
      <c r="BG15" s="540"/>
      <c r="BH15" s="540"/>
      <c r="BI15" s="540"/>
      <c r="BJ15" s="540"/>
      <c r="BK15" s="540"/>
      <c r="BL15" s="540"/>
      <c r="BM15" s="540"/>
      <c r="BN15" s="540"/>
      <c r="BO15" s="526">
        <f ca="1">IF(ISERROR(IF(INDEX(Rig_Schedule_View!$I$11:$I$262,MATCH(Well_Data_NK_Upcoming!AG15,Rig_Schedule_View!$B$11:$B$262,0))=0,O15,(INDEX(Rig_Schedule_View!$I$11:$I$262,MATCH(Well_Data_NK_Upcoming!AG15,Rig_Schedule_View!$B$11:$B$262,0))))),O15,(IF(INDEX(Rig_Schedule_View!$I$11:$I$262,MATCH(Well_Data_NK_Upcoming!AG15,Rig_Schedule_View!$B$11:$B$262,0))=0,O15,(INDEX(Rig_Schedule_View!$I$11:$I$262,MATCH(Well_Data_NK_Upcoming!AG15,Rig_Schedule_View!$B$11:$B$262,0))))))</f>
        <v>42092.916666666664</v>
      </c>
      <c r="BP15" s="526">
        <f ca="1">IF(ISERROR(IF(INDEX(Rig_Schedule_View!$J$11:$J$262,MATCH(Well_Data_NK_Upcoming!AG15,Rig_Schedule_View!$B$11:$B$262,0))=0,P15,(INDEX(Rig_Schedule_View!$J$11:$J$262,MATCH(Well_Data_NK_Upcoming!AG15,Rig_Schedule_View!$B$11:$B$262,0))))),P15,(IF(INDEX(Rig_Schedule_View!$J$11:$J$262,MATCH(Well_Data_NK_Upcoming!AG15,Rig_Schedule_View!$B$11:$B$262,0))=0,P15,(INDEX(Rig_Schedule_View!$J$11:$J$262,MATCH(Well_Data_NK_Upcoming!AG15,Rig_Schedule_View!$B$11:$B$262,0))))))</f>
        <v>42200.25</v>
      </c>
      <c r="BQ15" s="527"/>
      <c r="BR15" s="525"/>
      <c r="BS15" s="525"/>
      <c r="BT15" s="525"/>
      <c r="BU15" s="525"/>
      <c r="BV15" s="525"/>
      <c r="BW15" s="525"/>
      <c r="BX15" s="525"/>
      <c r="BY15" s="525"/>
      <c r="BZ15" s="525"/>
    </row>
    <row r="16" spans="1:78" x14ac:dyDescent="0.25">
      <c r="A16" s="540" t="s">
        <v>1431</v>
      </c>
      <c r="B16" s="540" t="s">
        <v>1431</v>
      </c>
      <c r="C16" s="540" t="s">
        <v>1431</v>
      </c>
      <c r="D16" s="533" t="s">
        <v>2194</v>
      </c>
      <c r="E16" s="540"/>
      <c r="F16" s="528" t="str">
        <f t="shared" si="0"/>
        <v>RA</v>
      </c>
      <c r="G16" s="540" t="s">
        <v>22</v>
      </c>
      <c r="H16" s="536" t="s">
        <v>79</v>
      </c>
      <c r="I16" s="540" t="s">
        <v>39</v>
      </c>
      <c r="J16" s="540" t="s">
        <v>298</v>
      </c>
      <c r="K16" s="540" t="s">
        <v>14</v>
      </c>
      <c r="L16" s="540" t="s">
        <v>1416</v>
      </c>
      <c r="M16" s="539"/>
      <c r="N16" s="540"/>
      <c r="O16" s="532">
        <v>42145.291666666664</v>
      </c>
      <c r="P16" s="531">
        <v>42201.75</v>
      </c>
      <c r="Q16" s="540"/>
      <c r="R16" s="537">
        <f>IF(ISERROR(VLOOKUP(G16,'Planning and Target Times'!$L$1:$AP$6,MATCH(K16&amp;"_"&amp;L16&amp;"_"&amp;J16,INDEX('Planning and Target Times'!$L$1:$AP$6,1,0),0),0)+5),"",(VLOOKUP(G16,'Planning and Target Times'!$L$1:$AP$6,MATCH(K16&amp;"_"&amp;L16&amp;"_"&amp;J16,INDEX('Planning and Target Times'!$L$1:$AP$6,1,0),0),0)+5))</f>
        <v>75</v>
      </c>
      <c r="S16" s="528">
        <f t="shared" si="1"/>
        <v>70</v>
      </c>
      <c r="T16" s="538">
        <f>VLOOKUP(G16,'Planning and Target Times'!$A$7:$G$12,MATCH(K16&amp;"-"&amp;L16&amp;"-"&amp;J16,INDEX('Planning and Target Times'!$A$7:$G$12,1,0),0),0)</f>
        <v>33</v>
      </c>
      <c r="U16" s="540"/>
      <c r="V16" s="540"/>
      <c r="W16" s="540"/>
      <c r="X16" s="535" t="str">
        <f t="shared" si="2"/>
        <v>LB</v>
      </c>
      <c r="Y16" s="540">
        <v>10017</v>
      </c>
      <c r="Z16" s="540">
        <v>6040</v>
      </c>
      <c r="AA16" s="540">
        <v>8270</v>
      </c>
      <c r="AB16" s="540">
        <v>9345</v>
      </c>
      <c r="AC16" s="540"/>
      <c r="AD16" s="540"/>
      <c r="AE16" s="540" t="s">
        <v>91</v>
      </c>
      <c r="AF16" s="528"/>
      <c r="AG16" s="540" t="str">
        <f t="shared" si="3"/>
        <v>RA-0576-RA-LB-Prod-NW-SL-WFD</v>
      </c>
      <c r="AH16" s="540" t="str">
        <f t="shared" si="4"/>
        <v>RA-0576-SP-185</v>
      </c>
      <c r="AI16" s="540" t="str">
        <f t="shared" si="5"/>
        <v>RA-0576-LB-NW-Prod</v>
      </c>
      <c r="AJ16" s="540" t="str">
        <f ca="1">IF(P16&gt;0,"RR",IF(O16&gt;0,0,COUNTIF($H$2:H16,H16)-IFERROR(COUNTIF(OFFSET($H$1,0,0,SUMPRODUCT(MAX(($H$2:H16=H16)*ROW($H$2:H16)*($O$2:O16&lt;&gt;""))),1),H16),0)))</f>
        <v>RR</v>
      </c>
      <c r="AK16" s="527">
        <f>IF(ISERROR(VLOOKUP(G16,'Planning and Target Times'!$B$106:$D$110,MATCH(F16,INDEX('Planning and Target Times'!$B$106:$D$110,1,0),0),0)),"",(VLOOKUP(G16,'Planning and Target Times'!$B$106:$D$110,MATCH(F16,INDEX('Planning and Target Times'!$B$106:$D$110,1,0),0),0)))</f>
        <v>900</v>
      </c>
      <c r="AL16" s="528" t="str">
        <f>VLOOKUP(G16,'Planning and Target Times'!$I$2:$J$7,2,0)</f>
        <v>Sandstone</v>
      </c>
      <c r="AM16" s="540"/>
      <c r="AN16" s="540"/>
      <c r="AO16" s="540"/>
      <c r="AP16" s="533">
        <f t="shared" si="6"/>
        <v>12</v>
      </c>
      <c r="AQ16" s="540"/>
      <c r="AR16" s="540"/>
      <c r="AS16" s="540"/>
      <c r="AT16" s="540"/>
      <c r="AU16" s="540"/>
      <c r="AV16" s="540"/>
      <c r="AW16" s="540"/>
      <c r="AX16" s="540"/>
      <c r="AY16" s="540"/>
      <c r="AZ16" s="540"/>
      <c r="BA16" s="540"/>
      <c r="BB16" s="540"/>
      <c r="BC16" s="540"/>
      <c r="BD16" s="540"/>
      <c r="BE16" s="540"/>
      <c r="BF16" s="540"/>
      <c r="BG16" s="540"/>
      <c r="BH16" s="540"/>
      <c r="BI16" s="540"/>
      <c r="BJ16" s="540"/>
      <c r="BK16" s="540"/>
      <c r="BL16" s="540"/>
      <c r="BM16" s="540"/>
      <c r="BN16" s="540"/>
      <c r="BO16" s="526">
        <f ca="1">IF(ISERROR(IF(INDEX(Rig_Schedule_View!$I$11:$I$262,MATCH(Well_Data_NK_Upcoming!AG16,Rig_Schedule_View!$B$11:$B$262,0))=0,O16,(INDEX(Rig_Schedule_View!$I$11:$I$262,MATCH(Well_Data_NK_Upcoming!AG16,Rig_Schedule_View!$B$11:$B$262,0))))),O16,(IF(INDEX(Rig_Schedule_View!$I$11:$I$262,MATCH(Well_Data_NK_Upcoming!AG16,Rig_Schedule_View!$B$11:$B$262,0))=0,O16,(INDEX(Rig_Schedule_View!$I$11:$I$262,MATCH(Well_Data_NK_Upcoming!AG16,Rig_Schedule_View!$B$11:$B$262,0))))))</f>
        <v>42145.291666666664</v>
      </c>
      <c r="BP16" s="526">
        <f ca="1">IF(ISERROR(IF(INDEX(Rig_Schedule_View!$J$11:$J$262,MATCH(Well_Data_NK_Upcoming!AG16,Rig_Schedule_View!$B$11:$B$262,0))=0,P16,(INDEX(Rig_Schedule_View!$J$11:$J$262,MATCH(Well_Data_NK_Upcoming!AG16,Rig_Schedule_View!$B$11:$B$262,0))))),P16,(IF(INDEX(Rig_Schedule_View!$J$11:$J$262,MATCH(Well_Data_NK_Upcoming!AG16,Rig_Schedule_View!$B$11:$B$262,0))=0,P16,(INDEX(Rig_Schedule_View!$J$11:$J$262,MATCH(Well_Data_NK_Upcoming!AG16,Rig_Schedule_View!$B$11:$B$262,0))))))</f>
        <v>42201.75</v>
      </c>
      <c r="BQ16" s="527"/>
      <c r="BR16" s="525"/>
      <c r="BS16" s="525"/>
      <c r="BT16" s="525"/>
      <c r="BU16" s="525"/>
      <c r="BV16" s="525"/>
      <c r="BW16" s="525"/>
      <c r="BX16" s="525"/>
      <c r="BY16" s="525"/>
      <c r="BZ16" s="525"/>
    </row>
    <row r="17" spans="1:78" x14ac:dyDescent="0.25">
      <c r="A17" s="540" t="s">
        <v>1429</v>
      </c>
      <c r="B17" s="540" t="s">
        <v>1429</v>
      </c>
      <c r="C17" s="540" t="s">
        <v>1582</v>
      </c>
      <c r="D17" s="533" t="s">
        <v>2195</v>
      </c>
      <c r="E17" s="540"/>
      <c r="F17" s="528" t="str">
        <f t="shared" si="0"/>
        <v>RA</v>
      </c>
      <c r="G17" s="540" t="s">
        <v>17</v>
      </c>
      <c r="H17" s="536" t="s">
        <v>1414</v>
      </c>
      <c r="I17" s="540" t="s">
        <v>78</v>
      </c>
      <c r="J17" s="540" t="s">
        <v>298</v>
      </c>
      <c r="K17" s="540" t="s">
        <v>14</v>
      </c>
      <c r="L17" s="540" t="s">
        <v>1410</v>
      </c>
      <c r="M17" s="539"/>
      <c r="N17" s="540"/>
      <c r="O17" s="532">
        <v>42141.25</v>
      </c>
      <c r="P17" s="531">
        <v>42203.083333333336</v>
      </c>
      <c r="Q17" s="540"/>
      <c r="R17" s="537">
        <f>IF(ISERROR(VLOOKUP(G17,'Planning and Target Times'!$L$1:$AP$6,MATCH(K17&amp;"_"&amp;L17&amp;"_"&amp;J17,INDEX('Planning and Target Times'!$L$1:$AP$6,1,0),0),0)+5),"",(VLOOKUP(G17,'Planning and Target Times'!$L$1:$AP$6,MATCH(K17&amp;"_"&amp;L17&amp;"_"&amp;J17,INDEX('Planning and Target Times'!$L$1:$AP$6,1,0),0),0)+5))</f>
        <v>75</v>
      </c>
      <c r="S17" s="528">
        <f t="shared" si="1"/>
        <v>70</v>
      </c>
      <c r="T17" s="538">
        <f>VLOOKUP(G17,'Planning and Target Times'!$A$7:$G$12,MATCH(K17&amp;"-"&amp;L17&amp;"-"&amp;J17,INDEX('Planning and Target Times'!$A$7:$G$12,1,0),0),0)</f>
        <v>35</v>
      </c>
      <c r="U17" s="540"/>
      <c r="V17" s="540"/>
      <c r="W17" s="540"/>
      <c r="X17" s="535" t="str">
        <f t="shared" si="2"/>
        <v>MA</v>
      </c>
      <c r="Y17" s="540">
        <v>11978</v>
      </c>
      <c r="Z17" s="540">
        <v>6082</v>
      </c>
      <c r="AA17" s="540">
        <v>7415</v>
      </c>
      <c r="AB17" s="540">
        <v>8238</v>
      </c>
      <c r="AC17" s="540"/>
      <c r="AD17" s="540"/>
      <c r="AE17" s="540">
        <v>4</v>
      </c>
      <c r="AF17" s="528"/>
      <c r="AG17" s="540" t="str">
        <f t="shared" si="3"/>
        <v>RA-0565-RA-MA-Prod-NW-HZ-Baker</v>
      </c>
      <c r="AH17" s="540" t="str">
        <f t="shared" si="4"/>
        <v>RA-0565-SP-283</v>
      </c>
      <c r="AI17" s="540" t="str">
        <f t="shared" si="5"/>
        <v>RA-0565-MA-NW-Prod</v>
      </c>
      <c r="AJ17" s="540" t="str">
        <f ca="1">IF(P17&gt;0,"RR",IF(O17&gt;0,0,COUNTIF($H$2:H17,H17)-IFERROR(COUNTIF(OFFSET($H$1,0,0,SUMPRODUCT(MAX(($H$2:H17=H17)*ROW($H$2:H17)*($O$2:O17&lt;&gt;""))),1),H17),0)))</f>
        <v>RR</v>
      </c>
      <c r="AK17" s="527">
        <f>IF(ISERROR(VLOOKUP(G17,'Planning and Target Times'!$B$106:$D$110,MATCH(F17,INDEX('Planning and Target Times'!$B$106:$D$110,1,0),0),0)),"",(VLOOKUP(G17,'Planning and Target Times'!$B$106:$D$110,MATCH(F17,INDEX('Planning and Target Times'!$B$106:$D$110,1,0),0),0)))</f>
        <v>650</v>
      </c>
      <c r="AL17" s="528" t="str">
        <f>VLOOKUP(G17,'Planning and Target Times'!$I$2:$J$7,2,0)</f>
        <v>Carbonate</v>
      </c>
      <c r="AM17" s="540"/>
      <c r="AN17" s="540"/>
      <c r="AO17" s="540"/>
      <c r="AP17" s="533">
        <f t="shared" si="6"/>
        <v>8.6666666666666661</v>
      </c>
      <c r="AQ17" s="540"/>
      <c r="AR17" s="540"/>
      <c r="AS17" s="540"/>
      <c r="AT17" s="540"/>
      <c r="AU17" s="540"/>
      <c r="AV17" s="540"/>
      <c r="AW17" s="540"/>
      <c r="AX17" s="540"/>
      <c r="AY17" s="540"/>
      <c r="AZ17" s="540"/>
      <c r="BA17" s="540"/>
      <c r="BB17" s="540"/>
      <c r="BC17" s="540"/>
      <c r="BD17" s="540"/>
      <c r="BE17" s="540"/>
      <c r="BF17" s="540"/>
      <c r="BG17" s="540"/>
      <c r="BH17" s="540"/>
      <c r="BI17" s="540"/>
      <c r="BJ17" s="540"/>
      <c r="BK17" s="540"/>
      <c r="BL17" s="540"/>
      <c r="BM17" s="540"/>
      <c r="BN17" s="540"/>
      <c r="BO17" s="526">
        <f ca="1">IF(ISERROR(IF(INDEX(Rig_Schedule_View!$I$11:$I$262,MATCH(Well_Data_NK_Upcoming!AG17,Rig_Schedule_View!$B$11:$B$262,0))=0,O17,(INDEX(Rig_Schedule_View!$I$11:$I$262,MATCH(Well_Data_NK_Upcoming!AG17,Rig_Schedule_View!$B$11:$B$262,0))))),O17,(IF(INDEX(Rig_Schedule_View!$I$11:$I$262,MATCH(Well_Data_NK_Upcoming!AG17,Rig_Schedule_View!$B$11:$B$262,0))=0,O17,(INDEX(Rig_Schedule_View!$I$11:$I$262,MATCH(Well_Data_NK_Upcoming!AG17,Rig_Schedule_View!$B$11:$B$262,0))))))</f>
        <v>42141.25</v>
      </c>
      <c r="BP17" s="526">
        <f ca="1">IF(ISERROR(IF(INDEX(Rig_Schedule_View!$J$11:$J$262,MATCH(Well_Data_NK_Upcoming!AG17,Rig_Schedule_View!$B$11:$B$262,0))=0,P17,(INDEX(Rig_Schedule_View!$J$11:$J$262,MATCH(Well_Data_NK_Upcoming!AG17,Rig_Schedule_View!$B$11:$B$262,0))))),P17,(IF(INDEX(Rig_Schedule_View!$J$11:$J$262,MATCH(Well_Data_NK_Upcoming!AG17,Rig_Schedule_View!$B$11:$B$262,0))=0,P17,(INDEX(Rig_Schedule_View!$J$11:$J$262,MATCH(Well_Data_NK_Upcoming!AG17,Rig_Schedule_View!$B$11:$B$262,0))))))</f>
        <v>42203.083333333336</v>
      </c>
      <c r="BQ17" s="527"/>
      <c r="BR17" s="525"/>
      <c r="BS17" s="525"/>
      <c r="BT17" s="525"/>
      <c r="BU17" s="525"/>
      <c r="BV17" s="525"/>
      <c r="BW17" s="525"/>
      <c r="BX17" s="525"/>
      <c r="BY17" s="525"/>
      <c r="BZ17" s="525"/>
    </row>
    <row r="18" spans="1:78" x14ac:dyDescent="0.25">
      <c r="A18" s="540" t="s">
        <v>1440</v>
      </c>
      <c r="B18" s="540" t="s">
        <v>1440</v>
      </c>
      <c r="C18" s="540" t="s">
        <v>1700</v>
      </c>
      <c r="D18" s="533" t="s">
        <v>2196</v>
      </c>
      <c r="E18" s="540"/>
      <c r="F18" s="528" t="str">
        <f t="shared" si="0"/>
        <v>SA</v>
      </c>
      <c r="G18" s="540" t="s">
        <v>22</v>
      </c>
      <c r="H18" s="536" t="s">
        <v>735</v>
      </c>
      <c r="I18" s="540" t="s">
        <v>1420</v>
      </c>
      <c r="J18" s="540" t="s">
        <v>298</v>
      </c>
      <c r="K18" s="540" t="s">
        <v>14</v>
      </c>
      <c r="L18" s="540" t="s">
        <v>1410</v>
      </c>
      <c r="M18" s="539"/>
      <c r="N18" s="540"/>
      <c r="O18" s="532">
        <v>42152.395833333336</v>
      </c>
      <c r="P18" s="531">
        <v>42205.5</v>
      </c>
      <c r="Q18" s="540"/>
      <c r="R18" s="537">
        <f>IF(ISERROR(VLOOKUP(G18,'Planning and Target Times'!$L$1:$AP$6,MATCH(K18&amp;"_"&amp;L18&amp;"_"&amp;J18,INDEX('Planning and Target Times'!$L$1:$AP$6,1,0),0),0)+5),"",(VLOOKUP(G18,'Planning and Target Times'!$L$1:$AP$6,MATCH(K18&amp;"_"&amp;L18&amp;"_"&amp;J18,INDEX('Planning and Target Times'!$L$1:$AP$6,1,0),0),0)+5))</f>
        <v>75</v>
      </c>
      <c r="S18" s="528">
        <f t="shared" si="1"/>
        <v>70</v>
      </c>
      <c r="T18" s="538">
        <f>VLOOKUP(G18,'Planning and Target Times'!$A$7:$G$12,MATCH(K18&amp;"-"&amp;L18&amp;"-"&amp;J18,INDEX('Planning and Target Times'!$A$7:$G$12,1,0),0),0)</f>
        <v>35</v>
      </c>
      <c r="U18" s="540"/>
      <c r="V18" s="540"/>
      <c r="W18" s="540"/>
      <c r="X18" s="535" t="str">
        <f t="shared" si="2"/>
        <v>LB</v>
      </c>
      <c r="Y18" s="525">
        <v>10031</v>
      </c>
      <c r="Z18" s="540">
        <v>5953</v>
      </c>
      <c r="AA18" s="540">
        <v>8016</v>
      </c>
      <c r="AB18" s="540">
        <v>8932</v>
      </c>
      <c r="AC18" s="540"/>
      <c r="AD18" s="540"/>
      <c r="AE18" s="540">
        <v>6</v>
      </c>
      <c r="AF18" s="528"/>
      <c r="AG18" s="540" t="str">
        <f t="shared" si="3"/>
        <v>SA-0588-SA-LB-Prod-NW-HZ-Sperry</v>
      </c>
      <c r="AH18" s="540" t="str">
        <f t="shared" si="4"/>
        <v>SA-0588-SP-295</v>
      </c>
      <c r="AI18" s="540" t="str">
        <f t="shared" si="5"/>
        <v>SA-0588-LB-NW-Prod</v>
      </c>
      <c r="AJ18" s="540" t="str">
        <f ca="1">IF(P18&gt;0,"RR",IF(O18&gt;0,0,COUNTIF($H$2:H18,H18)-IFERROR(COUNTIF(OFFSET($H$1,0,0,SUMPRODUCT(MAX(($H$2:H18=H18)*ROW($H$2:H18)*($O$2:O18&lt;&gt;""))),1),H18),0)))</f>
        <v>RR</v>
      </c>
      <c r="AK18" s="527">
        <f>IF(ISERROR(VLOOKUP(G18,'Planning and Target Times'!$B$106:$D$110,MATCH(F18,INDEX('Planning and Target Times'!$B$106:$D$110,1,0),0),0)),"",(VLOOKUP(G18,'Planning and Target Times'!$B$106:$D$110,MATCH(F18,INDEX('Planning and Target Times'!$B$106:$D$110,1,0),0),0)))</f>
        <v>550</v>
      </c>
      <c r="AL18" s="528" t="str">
        <f>VLOOKUP(G18,'Planning and Target Times'!$I$2:$J$7,2,0)</f>
        <v>Sandstone</v>
      </c>
      <c r="AM18" s="540"/>
      <c r="AN18" s="540"/>
      <c r="AO18" s="540"/>
      <c r="AP18" s="533">
        <f t="shared" si="6"/>
        <v>7.333333333333333</v>
      </c>
      <c r="AQ18" s="540"/>
      <c r="AR18" s="540"/>
      <c r="AS18" s="540"/>
      <c r="AT18" s="540"/>
      <c r="AU18" s="540"/>
      <c r="AV18" s="540"/>
      <c r="AW18" s="540"/>
      <c r="AX18" s="540"/>
      <c r="AY18" s="540"/>
      <c r="AZ18" s="540"/>
      <c r="BA18" s="540"/>
      <c r="BB18" s="540"/>
      <c r="BC18" s="540"/>
      <c r="BD18" s="540"/>
      <c r="BE18" s="540"/>
      <c r="BF18" s="540"/>
      <c r="BG18" s="540"/>
      <c r="BH18" s="540"/>
      <c r="BI18" s="540"/>
      <c r="BJ18" s="540"/>
      <c r="BK18" s="540"/>
      <c r="BL18" s="540"/>
      <c r="BM18" s="540"/>
      <c r="BN18" s="540"/>
      <c r="BO18" s="526">
        <f ca="1">IF(ISERROR(IF(INDEX(Rig_Schedule_View!$I$11:$I$262,MATCH(Well_Data_NK_Upcoming!AG18,Rig_Schedule_View!$B$11:$B$262,0))=0,O18,(INDEX(Rig_Schedule_View!$I$11:$I$262,MATCH(Well_Data_NK_Upcoming!AG18,Rig_Schedule_View!$B$11:$B$262,0))))),O18,(IF(INDEX(Rig_Schedule_View!$I$11:$I$262,MATCH(Well_Data_NK_Upcoming!AG18,Rig_Schedule_View!$B$11:$B$262,0))=0,O18,(INDEX(Rig_Schedule_View!$I$11:$I$262,MATCH(Well_Data_NK_Upcoming!AG18,Rig_Schedule_View!$B$11:$B$262,0))))))</f>
        <v>42152.395833333336</v>
      </c>
      <c r="BP18" s="526">
        <f ca="1">IF(ISERROR(IF(INDEX(Rig_Schedule_View!$J$11:$J$262,MATCH(Well_Data_NK_Upcoming!AG18,Rig_Schedule_View!$B$11:$B$262,0))=0,P18,(INDEX(Rig_Schedule_View!$J$11:$J$262,MATCH(Well_Data_NK_Upcoming!AG18,Rig_Schedule_View!$B$11:$B$262,0))))),P18,(IF(INDEX(Rig_Schedule_View!$J$11:$J$262,MATCH(Well_Data_NK_Upcoming!AG18,Rig_Schedule_View!$B$11:$B$262,0))=0,P18,(INDEX(Rig_Schedule_View!$J$11:$J$262,MATCH(Well_Data_NK_Upcoming!AG18,Rig_Schedule_View!$B$11:$B$262,0))))))</f>
        <v>42205.5</v>
      </c>
      <c r="BQ18" s="527"/>
      <c r="BR18" s="525"/>
      <c r="BS18" s="525"/>
      <c r="BT18" s="525"/>
      <c r="BU18" s="525"/>
      <c r="BV18" s="525"/>
      <c r="BW18" s="525"/>
      <c r="BX18" s="525"/>
      <c r="BY18" s="525"/>
      <c r="BZ18" s="525"/>
    </row>
    <row r="19" spans="1:78" x14ac:dyDescent="0.25">
      <c r="A19" s="540" t="s">
        <v>1706</v>
      </c>
      <c r="B19" s="540" t="s">
        <v>1706</v>
      </c>
      <c r="C19" s="540" t="s">
        <v>1703</v>
      </c>
      <c r="D19" s="533" t="s">
        <v>2197</v>
      </c>
      <c r="E19" s="540"/>
      <c r="F19" s="528" t="str">
        <f t="shared" si="0"/>
        <v>RA</v>
      </c>
      <c r="G19" s="540" t="s">
        <v>17</v>
      </c>
      <c r="H19" s="400" t="s">
        <v>35</v>
      </c>
      <c r="I19" s="540" t="s">
        <v>16</v>
      </c>
      <c r="J19" s="540" t="s">
        <v>298</v>
      </c>
      <c r="K19" s="540" t="s">
        <v>14</v>
      </c>
      <c r="L19" s="540" t="s">
        <v>1410</v>
      </c>
      <c r="M19" s="539"/>
      <c r="N19" s="540">
        <v>2</v>
      </c>
      <c r="O19" s="532">
        <v>42164.541666666664</v>
      </c>
      <c r="P19" s="531">
        <v>42206.145833333336</v>
      </c>
      <c r="Q19" s="540"/>
      <c r="R19" s="537">
        <f>IF(ISERROR(VLOOKUP(G19,'Planning and Target Times'!$L$1:$AP$6,MATCH(K19&amp;"_"&amp;L19&amp;"_"&amp;J19,INDEX('Planning and Target Times'!$L$1:$AP$6,1,0),0),0)+5),"",(VLOOKUP(G19,'Planning and Target Times'!$L$1:$AP$6,MATCH(K19&amp;"_"&amp;L19&amp;"_"&amp;J19,INDEX('Planning and Target Times'!$L$1:$AP$6,1,0),0),0)+5))</f>
        <v>75</v>
      </c>
      <c r="S19" s="528">
        <f t="shared" si="1"/>
        <v>70</v>
      </c>
      <c r="T19" s="538">
        <f>VLOOKUP(G19,'Planning and Target Times'!$A$7:$G$12,MATCH(K19&amp;"-"&amp;L19&amp;"-"&amp;J19,INDEX('Planning and Target Times'!$A$7:$G$12,1,0),0),0)</f>
        <v>35</v>
      </c>
      <c r="U19" s="540"/>
      <c r="V19" s="540"/>
      <c r="W19" s="540"/>
      <c r="X19" s="535" t="str">
        <f t="shared" si="2"/>
        <v>MA</v>
      </c>
      <c r="Y19" s="525">
        <v>9547</v>
      </c>
      <c r="Z19" s="540">
        <v>6093</v>
      </c>
      <c r="AA19" s="540">
        <v>7230</v>
      </c>
      <c r="AB19" s="540">
        <v>7950</v>
      </c>
      <c r="AC19" s="540"/>
      <c r="AD19" s="540"/>
      <c r="AE19" s="540">
        <v>6</v>
      </c>
      <c r="AF19" s="528"/>
      <c r="AG19" s="540" t="str">
        <f t="shared" si="3"/>
        <v>RA-0510-RA-MA-Prod-NW-HZ-BHI</v>
      </c>
      <c r="AH19" s="540" t="str">
        <f t="shared" si="4"/>
        <v>RA-0510-KDC-26</v>
      </c>
      <c r="AI19" s="540" t="str">
        <f t="shared" si="5"/>
        <v>RA-0510-MA-NW-Prod</v>
      </c>
      <c r="AJ19" s="540" t="str">
        <f ca="1">IF(P19&gt;0,"RR",IF(O19&gt;0,0,COUNTIF($H$2:H19,H19)-IFERROR(COUNTIF(OFFSET($H$1,0,0,SUMPRODUCT(MAX(($H$2:H19=H19)*ROW($H$2:H19)*($O$2:O19&lt;&gt;""))),1),H19),0)))</f>
        <v>RR</v>
      </c>
      <c r="AK19" s="527">
        <f>IF(ISERROR(VLOOKUP(G19,'Planning and Target Times'!$B$106:$D$110,MATCH(F19,INDEX('Planning and Target Times'!$B$106:$D$110,1,0),0),0)),"",(VLOOKUP(G19,'Planning and Target Times'!$B$106:$D$110,MATCH(F19,INDEX('Planning and Target Times'!$B$106:$D$110,1,0),0),0)))</f>
        <v>650</v>
      </c>
      <c r="AL19" s="528" t="str">
        <f>VLOOKUP(G19,'Planning and Target Times'!$I$2:$J$7,2,0)</f>
        <v>Carbonate</v>
      </c>
      <c r="AM19" s="540"/>
      <c r="AN19" s="540"/>
      <c r="AO19" s="540"/>
      <c r="AP19" s="533">
        <f t="shared" si="6"/>
        <v>8.6666666666666661</v>
      </c>
      <c r="AQ19" s="540"/>
      <c r="AR19" s="540"/>
      <c r="AS19" s="540"/>
      <c r="AT19" s="540"/>
      <c r="AU19" s="540"/>
      <c r="AV19" s="540"/>
      <c r="AW19" s="540"/>
      <c r="AX19" s="540"/>
      <c r="AY19" s="540"/>
      <c r="AZ19" s="540"/>
      <c r="BA19" s="540"/>
      <c r="BB19" s="540"/>
      <c r="BC19" s="540"/>
      <c r="BD19" s="540"/>
      <c r="BE19" s="540"/>
      <c r="BF19" s="540"/>
      <c r="BG19" s="540"/>
      <c r="BH19" s="540"/>
      <c r="BI19" s="540"/>
      <c r="BJ19" s="540"/>
      <c r="BK19" s="540"/>
      <c r="BL19" s="540"/>
      <c r="BM19" s="540"/>
      <c r="BN19" s="540"/>
      <c r="BO19" s="526">
        <f ca="1">IF(ISERROR(IF(INDEX(Rig_Schedule_View!$I$11:$I$262,MATCH(Well_Data_NK_Upcoming!AG19,Rig_Schedule_View!$B$11:$B$262,0))=0,O19,(INDEX(Rig_Schedule_View!$I$11:$I$262,MATCH(Well_Data_NK_Upcoming!AG19,Rig_Schedule_View!$B$11:$B$262,0))))),O19,(IF(INDEX(Rig_Schedule_View!$I$11:$I$262,MATCH(Well_Data_NK_Upcoming!AG19,Rig_Schedule_View!$B$11:$B$262,0))=0,O19,(INDEX(Rig_Schedule_View!$I$11:$I$262,MATCH(Well_Data_NK_Upcoming!AG19,Rig_Schedule_View!$B$11:$B$262,0))))))</f>
        <v>42164.541666666664</v>
      </c>
      <c r="BP19" s="526">
        <f ca="1">IF(ISERROR(IF(INDEX(Rig_Schedule_View!$J$11:$J$262,MATCH(Well_Data_NK_Upcoming!AG19,Rig_Schedule_View!$B$11:$B$262,0))=0,P19,(INDEX(Rig_Schedule_View!$J$11:$J$262,MATCH(Well_Data_NK_Upcoming!AG19,Rig_Schedule_View!$B$11:$B$262,0))))),P19,(IF(INDEX(Rig_Schedule_View!$J$11:$J$262,MATCH(Well_Data_NK_Upcoming!AG19,Rig_Schedule_View!$B$11:$B$262,0))=0,P19,(INDEX(Rig_Schedule_View!$J$11:$J$262,MATCH(Well_Data_NK_Upcoming!AG19,Rig_Schedule_View!$B$11:$B$262,0))))))</f>
        <v>42206.145833333336</v>
      </c>
      <c r="BQ19" s="527"/>
      <c r="BR19" s="525"/>
      <c r="BS19" s="525"/>
      <c r="BT19" s="525"/>
      <c r="BU19" s="525"/>
      <c r="BV19" s="525"/>
      <c r="BW19" s="525"/>
      <c r="BX19" s="525"/>
      <c r="BY19" s="525"/>
      <c r="BZ19" s="525"/>
    </row>
    <row r="20" spans="1:78" x14ac:dyDescent="0.25">
      <c r="A20" s="540" t="s">
        <v>1400</v>
      </c>
      <c r="B20" s="540" t="s">
        <v>1400</v>
      </c>
      <c r="C20" s="540" t="s">
        <v>1696</v>
      </c>
      <c r="D20" s="533" t="s">
        <v>2198</v>
      </c>
      <c r="E20" s="540"/>
      <c r="F20" s="528" t="str">
        <f t="shared" si="0"/>
        <v>SA</v>
      </c>
      <c r="G20" s="540" t="s">
        <v>17</v>
      </c>
      <c r="H20" s="400" t="s">
        <v>430</v>
      </c>
      <c r="I20" s="540" t="s">
        <v>1420</v>
      </c>
      <c r="J20" s="540" t="s">
        <v>298</v>
      </c>
      <c r="K20" s="540" t="s">
        <v>14</v>
      </c>
      <c r="L20" s="540" t="s">
        <v>1410</v>
      </c>
      <c r="M20" s="539"/>
      <c r="N20" s="540"/>
      <c r="O20" s="532">
        <v>42158.75</v>
      </c>
      <c r="P20" s="531">
        <v>42213.875</v>
      </c>
      <c r="Q20" s="540"/>
      <c r="R20" s="537">
        <f>IF(ISERROR(VLOOKUP(G20,'Planning and Target Times'!$L$1:$AP$6,MATCH(K20&amp;"_"&amp;L20&amp;"_"&amp;J20,INDEX('Planning and Target Times'!$L$1:$AP$6,1,0),0),0)+5),"",(VLOOKUP(G20,'Planning and Target Times'!$L$1:$AP$6,MATCH(K20&amp;"_"&amp;L20&amp;"_"&amp;J20,INDEX('Planning and Target Times'!$L$1:$AP$6,1,0),0),0)+5))</f>
        <v>75</v>
      </c>
      <c r="S20" s="528">
        <f t="shared" si="1"/>
        <v>70</v>
      </c>
      <c r="T20" s="538">
        <f>VLOOKUP(G20,'Planning and Target Times'!$A$7:$G$12,MATCH(K20&amp;"-"&amp;L20&amp;"-"&amp;J20,INDEX('Planning and Target Times'!$A$7:$G$12,1,0),0),0)</f>
        <v>35</v>
      </c>
      <c r="U20" s="540"/>
      <c r="V20" s="540"/>
      <c r="W20" s="540"/>
      <c r="X20" s="535" t="str">
        <f t="shared" si="2"/>
        <v>MA</v>
      </c>
      <c r="Y20" s="540">
        <v>13175</v>
      </c>
      <c r="Z20" s="540">
        <v>6095</v>
      </c>
      <c r="AA20" s="540">
        <v>7320</v>
      </c>
      <c r="AB20" s="540">
        <v>8069</v>
      </c>
      <c r="AC20" s="540"/>
      <c r="AD20" s="540"/>
      <c r="AE20" s="540">
        <v>6</v>
      </c>
      <c r="AF20" s="528"/>
      <c r="AG20" s="540" t="str">
        <f t="shared" si="3"/>
        <v>SA-0584-SA-MA-Prod-NW-HZ-Sperry</v>
      </c>
      <c r="AH20" s="540" t="str">
        <f t="shared" si="4"/>
        <v>SA-0584-KDC-49</v>
      </c>
      <c r="AI20" s="540" t="str">
        <f t="shared" si="5"/>
        <v>SA-0584-MA-NW-Prod</v>
      </c>
      <c r="AJ20" s="540" t="str">
        <f ca="1">IF(P20&gt;0,"RR",IF(O20&gt;0,0,COUNTIF($H$2:H20,H20)-IFERROR(COUNTIF(OFFSET($H$1,0,0,SUMPRODUCT(MAX(($H$2:H20=H20)*ROW($H$2:H20)*($O$2:O20&lt;&gt;""))),1),H20),0)))</f>
        <v>RR</v>
      </c>
      <c r="AK20" s="527">
        <f>IF(ISERROR(VLOOKUP(G20,'Planning and Target Times'!$B$106:$D$110,MATCH(F20,INDEX('Planning and Target Times'!$B$106:$D$110,1,0),0),0)),"",(VLOOKUP(G20,'Planning and Target Times'!$B$106:$D$110,MATCH(F20,INDEX('Planning and Target Times'!$B$106:$D$110,1,0),0),0)))</f>
        <v>740</v>
      </c>
      <c r="AL20" s="528" t="str">
        <f>VLOOKUP(G20,'Planning and Target Times'!$I$2:$J$7,2,0)</f>
        <v>Carbonate</v>
      </c>
      <c r="AM20" s="540"/>
      <c r="AN20" s="540"/>
      <c r="AO20" s="540"/>
      <c r="AP20" s="533">
        <f t="shared" si="6"/>
        <v>9.8666666666666671</v>
      </c>
      <c r="AQ20" s="540"/>
      <c r="AR20" s="540"/>
      <c r="AS20" s="540"/>
      <c r="AT20" s="540"/>
      <c r="AU20" s="540"/>
      <c r="AV20" s="540"/>
      <c r="AW20" s="540"/>
      <c r="AX20" s="540"/>
      <c r="AY20" s="540"/>
      <c r="AZ20" s="540"/>
      <c r="BA20" s="540"/>
      <c r="BB20" s="540"/>
      <c r="BC20" s="540"/>
      <c r="BD20" s="540"/>
      <c r="BE20" s="540"/>
      <c r="BF20" s="540"/>
      <c r="BG20" s="540"/>
      <c r="BH20" s="540"/>
      <c r="BI20" s="540"/>
      <c r="BJ20" s="540"/>
      <c r="BK20" s="540"/>
      <c r="BL20" s="540"/>
      <c r="BM20" s="540"/>
      <c r="BN20" s="540"/>
      <c r="BO20" s="526">
        <f ca="1">IF(ISERROR(IF(INDEX(Rig_Schedule_View!$I$11:$I$262,MATCH(Well_Data_NK_Upcoming!AG20,Rig_Schedule_View!$B$11:$B$262,0))=0,O20,(INDEX(Rig_Schedule_View!$I$11:$I$262,MATCH(Well_Data_NK_Upcoming!AG20,Rig_Schedule_View!$B$11:$B$262,0))))),O20,(IF(INDEX(Rig_Schedule_View!$I$11:$I$262,MATCH(Well_Data_NK_Upcoming!AG20,Rig_Schedule_View!$B$11:$B$262,0))=0,O20,(INDEX(Rig_Schedule_View!$I$11:$I$262,MATCH(Well_Data_NK_Upcoming!AG20,Rig_Schedule_View!$B$11:$B$262,0))))))</f>
        <v>42158.75</v>
      </c>
      <c r="BP20" s="526">
        <f ca="1">IF(ISERROR(IF(INDEX(Rig_Schedule_View!$J$11:$J$262,MATCH(Well_Data_NK_Upcoming!AG20,Rig_Schedule_View!$B$11:$B$262,0))=0,P20,(INDEX(Rig_Schedule_View!$J$11:$J$262,MATCH(Well_Data_NK_Upcoming!AG20,Rig_Schedule_View!$B$11:$B$262,0))))),P20,(IF(INDEX(Rig_Schedule_View!$J$11:$J$262,MATCH(Well_Data_NK_Upcoming!AG20,Rig_Schedule_View!$B$11:$B$262,0))=0,P20,(INDEX(Rig_Schedule_View!$J$11:$J$262,MATCH(Well_Data_NK_Upcoming!AG20,Rig_Schedule_View!$B$11:$B$262,0))))))</f>
        <v>42213.875</v>
      </c>
      <c r="BQ20" s="527"/>
      <c r="BR20" s="525"/>
      <c r="BS20" s="525"/>
      <c r="BT20" s="525"/>
      <c r="BU20" s="525"/>
      <c r="BV20" s="525"/>
      <c r="BW20" s="525"/>
      <c r="BX20" s="525"/>
      <c r="BY20" s="525"/>
      <c r="BZ20" s="525"/>
    </row>
    <row r="21" spans="1:78" x14ac:dyDescent="0.25">
      <c r="A21" s="540" t="s">
        <v>1422</v>
      </c>
      <c r="B21" s="540" t="s">
        <v>1422</v>
      </c>
      <c r="C21" s="540" t="s">
        <v>1699</v>
      </c>
      <c r="D21" s="533" t="s">
        <v>2199</v>
      </c>
      <c r="E21" s="540"/>
      <c r="F21" s="528" t="str">
        <f t="shared" si="0"/>
        <v>SA</v>
      </c>
      <c r="G21" s="540" t="s">
        <v>17</v>
      </c>
      <c r="H21" s="536" t="s">
        <v>513</v>
      </c>
      <c r="I21" s="540" t="s">
        <v>78</v>
      </c>
      <c r="J21" s="540" t="s">
        <v>34</v>
      </c>
      <c r="K21" s="540" t="s">
        <v>14</v>
      </c>
      <c r="L21" s="540" t="s">
        <v>1410</v>
      </c>
      <c r="M21" s="539"/>
      <c r="N21" s="540"/>
      <c r="O21" s="532">
        <v>42146.666666666664</v>
      </c>
      <c r="P21" s="531">
        <v>42214.083333333336</v>
      </c>
      <c r="Q21" s="540"/>
      <c r="R21" s="537">
        <f>IF(ISERROR(VLOOKUP(G21,'Planning and Target Times'!$L$1:$AP$6,MATCH(K21&amp;"_"&amp;L21&amp;"_"&amp;J21,INDEX('Planning and Target Times'!$L$1:$AP$6,1,0),0),0)+5),"",(VLOOKUP(G21,'Planning and Target Times'!$L$1:$AP$6,MATCH(K21&amp;"_"&amp;L21&amp;"_"&amp;J21,INDEX('Planning and Target Times'!$L$1:$AP$6,1,0),0),0)+5))</f>
        <v>68</v>
      </c>
      <c r="S21" s="528">
        <f t="shared" si="1"/>
        <v>63</v>
      </c>
      <c r="T21" s="538">
        <f>VLOOKUP(G21,'Planning and Target Times'!$A$7:$G$12,MATCH(K21&amp;"-"&amp;L21&amp;"-"&amp;J21,INDEX('Planning and Target Times'!$A$7:$G$12,1,0),0),0)</f>
        <v>35</v>
      </c>
      <c r="U21" s="540"/>
      <c r="V21" s="540"/>
      <c r="W21" s="540"/>
      <c r="X21" s="535" t="str">
        <f t="shared" si="2"/>
        <v>MA</v>
      </c>
      <c r="Y21" s="540">
        <v>13330</v>
      </c>
      <c r="Z21" s="540">
        <v>6103</v>
      </c>
      <c r="AA21" s="540">
        <v>7402</v>
      </c>
      <c r="AB21" s="540">
        <v>8389</v>
      </c>
      <c r="AC21" s="540"/>
      <c r="AD21" s="540"/>
      <c r="AE21" s="540">
        <v>4</v>
      </c>
      <c r="AF21" s="528"/>
      <c r="AG21" s="540" t="str">
        <f t="shared" si="3"/>
        <v>SA-0585-SA-MA-Inj-NW-HZ-Baker</v>
      </c>
      <c r="AH21" s="540" t="str">
        <f t="shared" si="4"/>
        <v>SA-0585-NDSC-15</v>
      </c>
      <c r="AI21" s="540" t="str">
        <f t="shared" si="5"/>
        <v>SA-0585-MA-NW-Inj</v>
      </c>
      <c r="AJ21" s="540" t="str">
        <f ca="1">IF(P21&gt;0,"RR",IF(O21&gt;0,0,COUNTIF($H$2:H21,H21)-IFERROR(COUNTIF(OFFSET($H$1,0,0,SUMPRODUCT(MAX(($H$2:H21=H21)*ROW($H$2:H21)*($O$2:O21&lt;&gt;""))),1),H21),0)))</f>
        <v>RR</v>
      </c>
      <c r="AK21" s="527"/>
      <c r="AL21" s="528" t="str">
        <f>VLOOKUP(G21,'Planning and Target Times'!$I$2:$J$7,2,0)</f>
        <v>Carbonate</v>
      </c>
      <c r="AM21" s="540"/>
      <c r="AN21" s="540"/>
      <c r="AO21" s="540"/>
      <c r="AP21" s="533">
        <f t="shared" si="6"/>
        <v>0</v>
      </c>
      <c r="AQ21" s="540"/>
      <c r="AR21" s="540"/>
      <c r="AS21" s="540"/>
      <c r="AT21" s="540"/>
      <c r="AU21" s="540"/>
      <c r="AV21" s="540"/>
      <c r="AW21" s="540"/>
      <c r="AX21" s="540"/>
      <c r="AY21" s="540"/>
      <c r="AZ21" s="540"/>
      <c r="BA21" s="540"/>
      <c r="BB21" s="540"/>
      <c r="BC21" s="540"/>
      <c r="BD21" s="540"/>
      <c r="BE21" s="540"/>
      <c r="BF21" s="540"/>
      <c r="BG21" s="540"/>
      <c r="BH21" s="540"/>
      <c r="BI21" s="540"/>
      <c r="BJ21" s="540"/>
      <c r="BK21" s="540"/>
      <c r="BL21" s="540"/>
      <c r="BM21" s="540"/>
      <c r="BN21" s="540"/>
      <c r="BO21" s="526">
        <f ca="1">IF(ISERROR(IF(INDEX(Rig_Schedule_View!$I$11:$I$262,MATCH(Well_Data_NK_Upcoming!AG21,Rig_Schedule_View!$B$11:$B$262,0))=0,O21,(INDEX(Rig_Schedule_View!$I$11:$I$262,MATCH(Well_Data_NK_Upcoming!AG21,Rig_Schedule_View!$B$11:$B$262,0))))),O21,(IF(INDEX(Rig_Schedule_View!$I$11:$I$262,MATCH(Well_Data_NK_Upcoming!AG21,Rig_Schedule_View!$B$11:$B$262,0))=0,O21,(INDEX(Rig_Schedule_View!$I$11:$I$262,MATCH(Well_Data_NK_Upcoming!AG21,Rig_Schedule_View!$B$11:$B$262,0))))))</f>
        <v>42146.666666666664</v>
      </c>
      <c r="BP21" s="526">
        <f ca="1">IF(ISERROR(IF(INDEX(Rig_Schedule_View!$J$11:$J$262,MATCH(Well_Data_NK_Upcoming!AG21,Rig_Schedule_View!$B$11:$B$262,0))=0,P21,(INDEX(Rig_Schedule_View!$J$11:$J$262,MATCH(Well_Data_NK_Upcoming!AG21,Rig_Schedule_View!$B$11:$B$262,0))))),P21,(IF(INDEX(Rig_Schedule_View!$J$11:$J$262,MATCH(Well_Data_NK_Upcoming!AG21,Rig_Schedule_View!$B$11:$B$262,0))=0,P21,(INDEX(Rig_Schedule_View!$J$11:$J$262,MATCH(Well_Data_NK_Upcoming!AG21,Rig_Schedule_View!$B$11:$B$262,0))))))</f>
        <v>42214.083333333336</v>
      </c>
      <c r="BQ21" s="527"/>
      <c r="BR21" s="525"/>
      <c r="BS21" s="525"/>
      <c r="BT21" s="525"/>
      <c r="BU21" s="525"/>
      <c r="BV21" s="525"/>
      <c r="BW21" s="525"/>
      <c r="BX21" s="525"/>
      <c r="BY21" s="525"/>
      <c r="BZ21" s="525"/>
    </row>
    <row r="22" spans="1:78" x14ac:dyDescent="0.25">
      <c r="A22" s="540" t="s">
        <v>1423</v>
      </c>
      <c r="B22" s="540" t="s">
        <v>1423</v>
      </c>
      <c r="C22" s="540" t="s">
        <v>1423</v>
      </c>
      <c r="D22" s="533" t="s">
        <v>2200</v>
      </c>
      <c r="E22" s="540"/>
      <c r="F22" s="528" t="str">
        <f t="shared" si="0"/>
        <v>RA</v>
      </c>
      <c r="G22" s="540" t="s">
        <v>44</v>
      </c>
      <c r="H22" s="536" t="s">
        <v>512</v>
      </c>
      <c r="I22" s="540" t="s">
        <v>78</v>
      </c>
      <c r="J22" s="540" t="s">
        <v>298</v>
      </c>
      <c r="K22" s="540" t="s">
        <v>14</v>
      </c>
      <c r="L22" s="540" t="s">
        <v>1410</v>
      </c>
      <c r="M22" s="539"/>
      <c r="N22" s="540"/>
      <c r="O22" s="532">
        <v>42154</v>
      </c>
      <c r="P22" s="531">
        <v>42215.854166666664</v>
      </c>
      <c r="Q22" s="540"/>
      <c r="R22" s="537">
        <f>IF(ISERROR(VLOOKUP(G22,'Planning and Target Times'!$L$1:$AP$6,MATCH(K22&amp;"_"&amp;L22&amp;"_"&amp;J22,INDEX('Planning and Target Times'!$L$1:$AP$6,1,0),0),0)+5),"",(VLOOKUP(G22,'Planning and Target Times'!$L$1:$AP$6,MATCH(K22&amp;"_"&amp;L22&amp;"_"&amp;J22,INDEX('Planning and Target Times'!$L$1:$AP$6,1,0),0),0)+5))</f>
        <v>103</v>
      </c>
      <c r="S22" s="528">
        <f t="shared" si="1"/>
        <v>98</v>
      </c>
      <c r="T22" s="538">
        <f>VLOOKUP(G22,'Planning and Target Times'!$A$7:$G$12,MATCH(K22&amp;"-"&amp;L22&amp;"-"&amp;J22,INDEX('Planning and Target Times'!$A$7:$G$12,1,0),0),0)</f>
        <v>75</v>
      </c>
      <c r="U22" s="540"/>
      <c r="V22" s="540"/>
      <c r="W22" s="540"/>
      <c r="X22" s="535" t="str">
        <f t="shared" si="2"/>
        <v>ZU/RT</v>
      </c>
      <c r="Y22" s="540">
        <v>10570</v>
      </c>
      <c r="Z22" s="540">
        <v>5930</v>
      </c>
      <c r="AA22" s="540">
        <v>9181</v>
      </c>
      <c r="AB22" s="540"/>
      <c r="AC22" s="540"/>
      <c r="AD22" s="540"/>
      <c r="AE22" s="540">
        <v>2</v>
      </c>
      <c r="AF22" s="528"/>
      <c r="AG22" s="540" t="str">
        <f t="shared" si="3"/>
        <v>RA-0570-RA-ZU-Prod-NW-HZ-Baker</v>
      </c>
      <c r="AH22" s="540" t="str">
        <f t="shared" si="4"/>
        <v>RA-0570-NDSC-16</v>
      </c>
      <c r="AI22" s="540" t="str">
        <f t="shared" si="5"/>
        <v>RA-0570-ZU-NW-Prod</v>
      </c>
      <c r="AJ22" s="540" t="str">
        <f ca="1">IF(P22&gt;0,"RR",IF(O22&gt;0,0,COUNTIF($H$2:H22,H22)-IFERROR(COUNTIF(OFFSET($H$1,0,0,SUMPRODUCT(MAX(($H$2:H22=H22)*ROW($H$2:H22)*($O$2:O22&lt;&gt;""))),1),H22),0)))</f>
        <v>RR</v>
      </c>
      <c r="AK22" s="527">
        <f>IF(ISERROR(VLOOKUP(G22,'Planning and Target Times'!$B$106:$D$110,MATCH(F22,INDEX('Planning and Target Times'!$B$106:$D$110,1,0),0),0)),"",(VLOOKUP(G22,'Planning and Target Times'!$B$106:$D$110,MATCH(F22,INDEX('Planning and Target Times'!$B$106:$D$110,1,0),0),0)))</f>
        <v>1560</v>
      </c>
      <c r="AL22" s="528" t="str">
        <f>VLOOKUP(G22,'Planning and Target Times'!$I$2:$J$7,2,0)</f>
        <v>Sandstone</v>
      </c>
      <c r="AM22" s="540"/>
      <c r="AN22" s="540"/>
      <c r="AO22" s="540"/>
      <c r="AP22" s="533">
        <f t="shared" si="6"/>
        <v>15.145631067961165</v>
      </c>
      <c r="AQ22" s="540"/>
      <c r="AR22" s="540"/>
      <c r="AS22" s="540"/>
      <c r="AT22" s="540"/>
      <c r="AU22" s="540"/>
      <c r="AV22" s="540"/>
      <c r="AW22" s="540"/>
      <c r="AX22" s="540"/>
      <c r="AY22" s="540"/>
      <c r="AZ22" s="540"/>
      <c r="BA22" s="540"/>
      <c r="BB22" s="540"/>
      <c r="BC22" s="540"/>
      <c r="BD22" s="540"/>
      <c r="BE22" s="540"/>
      <c r="BF22" s="540"/>
      <c r="BG22" s="540"/>
      <c r="BH22" s="540"/>
      <c r="BI22" s="540"/>
      <c r="BJ22" s="540"/>
      <c r="BK22" s="540"/>
      <c r="BL22" s="540"/>
      <c r="BM22" s="540"/>
      <c r="BN22" s="540"/>
      <c r="BO22" s="526">
        <f ca="1">IF(ISERROR(IF(INDEX(Rig_Schedule_View!$I$11:$I$262,MATCH(Well_Data_NK_Upcoming!AG22,Rig_Schedule_View!$B$11:$B$262,0))=0,O22,(INDEX(Rig_Schedule_View!$I$11:$I$262,MATCH(Well_Data_NK_Upcoming!AG22,Rig_Schedule_View!$B$11:$B$262,0))))),O22,(IF(INDEX(Rig_Schedule_View!$I$11:$I$262,MATCH(Well_Data_NK_Upcoming!AG22,Rig_Schedule_View!$B$11:$B$262,0))=0,O22,(INDEX(Rig_Schedule_View!$I$11:$I$262,MATCH(Well_Data_NK_Upcoming!AG22,Rig_Schedule_View!$B$11:$B$262,0))))))</f>
        <v>42154</v>
      </c>
      <c r="BP22" s="526">
        <f ca="1">IF(ISERROR(IF(INDEX(Rig_Schedule_View!$J$11:$J$262,MATCH(Well_Data_NK_Upcoming!AG22,Rig_Schedule_View!$B$11:$B$262,0))=0,P22,(INDEX(Rig_Schedule_View!$J$11:$J$262,MATCH(Well_Data_NK_Upcoming!AG22,Rig_Schedule_View!$B$11:$B$262,0))))),P22,(IF(INDEX(Rig_Schedule_View!$J$11:$J$262,MATCH(Well_Data_NK_Upcoming!AG22,Rig_Schedule_View!$B$11:$B$262,0))=0,P22,(INDEX(Rig_Schedule_View!$J$11:$J$262,MATCH(Well_Data_NK_Upcoming!AG22,Rig_Schedule_View!$B$11:$B$262,0))))))</f>
        <v>42215.854166666664</v>
      </c>
      <c r="BQ22" s="527"/>
      <c r="BR22" s="525"/>
      <c r="BS22" s="525"/>
      <c r="BT22" s="525"/>
      <c r="BU22" s="525"/>
      <c r="BV22" s="525"/>
      <c r="BW22" s="525"/>
      <c r="BX22" s="525"/>
      <c r="BY22" s="525"/>
      <c r="BZ22" s="525"/>
    </row>
    <row r="23" spans="1:78" x14ac:dyDescent="0.25">
      <c r="A23" s="540" t="s">
        <v>1418</v>
      </c>
      <c r="B23" s="540" t="s">
        <v>1418</v>
      </c>
      <c r="C23" s="540" t="s">
        <v>1693</v>
      </c>
      <c r="D23" s="533" t="s">
        <v>2201</v>
      </c>
      <c r="E23" s="540"/>
      <c r="F23" s="528" t="str">
        <f t="shared" si="0"/>
        <v>RA</v>
      </c>
      <c r="G23" s="540" t="s">
        <v>17</v>
      </c>
      <c r="H23" s="400" t="s">
        <v>12</v>
      </c>
      <c r="I23" s="540" t="s">
        <v>78</v>
      </c>
      <c r="J23" s="540" t="s">
        <v>298</v>
      </c>
      <c r="K23" s="540" t="s">
        <v>14</v>
      </c>
      <c r="L23" s="540" t="s">
        <v>1410</v>
      </c>
      <c r="M23" s="539"/>
      <c r="N23" s="540"/>
      <c r="O23" s="532">
        <v>42158.416666666664</v>
      </c>
      <c r="P23" s="531">
        <v>42217.208333333336</v>
      </c>
      <c r="Q23" s="540"/>
      <c r="R23" s="537">
        <f>IF(ISERROR(VLOOKUP(G23,'Planning and Target Times'!$L$1:$AP$6,MATCH(K23&amp;"_"&amp;L23&amp;"_"&amp;J23,INDEX('Planning and Target Times'!$L$1:$AP$6,1,0),0),0)+5),"",(VLOOKUP(G23,'Planning and Target Times'!$L$1:$AP$6,MATCH(K23&amp;"_"&amp;L23&amp;"_"&amp;J23,INDEX('Planning and Target Times'!$L$1:$AP$6,1,0),0),0)+5))</f>
        <v>75</v>
      </c>
      <c r="S23" s="528">
        <f t="shared" si="1"/>
        <v>70</v>
      </c>
      <c r="T23" s="538">
        <f>VLOOKUP(G23,'Planning and Target Times'!$A$7:$G$12,MATCH(K23&amp;"-"&amp;L23&amp;"-"&amp;J23,INDEX('Planning and Target Times'!$A$7:$G$12,1,0),0),0)</f>
        <v>35</v>
      </c>
      <c r="U23" s="540"/>
      <c r="V23" s="540"/>
      <c r="W23" s="540"/>
      <c r="X23" s="535" t="str">
        <f t="shared" si="2"/>
        <v>MA</v>
      </c>
      <c r="Y23" s="540">
        <v>12110</v>
      </c>
      <c r="Z23" s="540">
        <v>5988</v>
      </c>
      <c r="AA23" s="540">
        <v>7234</v>
      </c>
      <c r="AB23" s="540">
        <v>8013</v>
      </c>
      <c r="AC23" s="540"/>
      <c r="AD23" s="540"/>
      <c r="AE23" s="540">
        <v>2</v>
      </c>
      <c r="AF23" s="528"/>
      <c r="AG23" s="540" t="str">
        <f t="shared" si="3"/>
        <v>RA-0578-RA-MA-Prod-NW-HZ-Baker</v>
      </c>
      <c r="AH23" s="540" t="str">
        <f t="shared" si="4"/>
        <v>RA-0578-BWD-130</v>
      </c>
      <c r="AI23" s="540" t="str">
        <f t="shared" si="5"/>
        <v>RA-0578-MA-NW-Prod</v>
      </c>
      <c r="AJ23" s="540" t="str">
        <f ca="1">IF(P23&gt;0,"RR",IF(O23&gt;0,0,COUNTIF($H$2:H23,H23)-IFERROR(COUNTIF(OFFSET($H$1,0,0,SUMPRODUCT(MAX(($H$2:H23=H23)*ROW($H$2:H23)*($O$2:O23&lt;&gt;""))),1),H23),0)))</f>
        <v>RR</v>
      </c>
      <c r="AK23" s="527">
        <f>IF(ISERROR(VLOOKUP(G23,'Planning and Target Times'!$B$106:$D$110,MATCH(F23,INDEX('Planning and Target Times'!$B$106:$D$110,1,0),0),0)),"",(VLOOKUP(G23,'Planning and Target Times'!$B$106:$D$110,MATCH(F23,INDEX('Planning and Target Times'!$B$106:$D$110,1,0),0),0)))</f>
        <v>650</v>
      </c>
      <c r="AL23" s="528" t="str">
        <f>VLOOKUP(G23,'Planning and Target Times'!$I$2:$J$7,2,0)</f>
        <v>Carbonate</v>
      </c>
      <c r="AM23" s="540"/>
      <c r="AN23" s="540"/>
      <c r="AO23" s="540"/>
      <c r="AP23" s="533">
        <f t="shared" si="6"/>
        <v>8.6666666666666661</v>
      </c>
      <c r="AQ23" s="540"/>
      <c r="AR23" s="540"/>
      <c r="AS23" s="540"/>
      <c r="AT23" s="540"/>
      <c r="AU23" s="540"/>
      <c r="AV23" s="540"/>
      <c r="AW23" s="540"/>
      <c r="AX23" s="540"/>
      <c r="AY23" s="540"/>
      <c r="AZ23" s="540"/>
      <c r="BA23" s="540"/>
      <c r="BB23" s="540"/>
      <c r="BC23" s="540"/>
      <c r="BD23" s="540"/>
      <c r="BE23" s="540"/>
      <c r="BF23" s="540"/>
      <c r="BG23" s="540"/>
      <c r="BH23" s="540"/>
      <c r="BI23" s="540"/>
      <c r="BJ23" s="540"/>
      <c r="BK23" s="540"/>
      <c r="BL23" s="540"/>
      <c r="BM23" s="540"/>
      <c r="BN23" s="540"/>
      <c r="BO23" s="526">
        <f ca="1">IF(ISERROR(IF(INDEX(Rig_Schedule_View!$I$11:$I$262,MATCH(Well_Data_NK_Upcoming!AG23,Rig_Schedule_View!$B$11:$B$262,0))=0,O23,(INDEX(Rig_Schedule_View!$I$11:$I$262,MATCH(Well_Data_NK_Upcoming!AG23,Rig_Schedule_View!$B$11:$B$262,0))))),O23,(IF(INDEX(Rig_Schedule_View!$I$11:$I$262,MATCH(Well_Data_NK_Upcoming!AG23,Rig_Schedule_View!$B$11:$B$262,0))=0,O23,(INDEX(Rig_Schedule_View!$I$11:$I$262,MATCH(Well_Data_NK_Upcoming!AG23,Rig_Schedule_View!$B$11:$B$262,0))))))</f>
        <v>42158.416666666664</v>
      </c>
      <c r="BP23" s="526">
        <f ca="1">IF(ISERROR(IF(INDEX(Rig_Schedule_View!$J$11:$J$262,MATCH(Well_Data_NK_Upcoming!AG23,Rig_Schedule_View!$B$11:$B$262,0))=0,P23,(INDEX(Rig_Schedule_View!$J$11:$J$262,MATCH(Well_Data_NK_Upcoming!AG23,Rig_Schedule_View!$B$11:$B$262,0))))),P23,(IF(INDEX(Rig_Schedule_View!$J$11:$J$262,MATCH(Well_Data_NK_Upcoming!AG23,Rig_Schedule_View!$B$11:$B$262,0))=0,P23,(INDEX(Rig_Schedule_View!$J$11:$J$262,MATCH(Well_Data_NK_Upcoming!AG23,Rig_Schedule_View!$B$11:$B$262,0))))))</f>
        <v>42217.208333333336</v>
      </c>
      <c r="BQ23" s="527"/>
      <c r="BR23" s="525"/>
      <c r="BS23" s="525"/>
      <c r="BT23" s="525"/>
      <c r="BU23" s="525"/>
      <c r="BV23" s="525"/>
      <c r="BW23" s="525"/>
      <c r="BX23" s="525"/>
      <c r="BY23" s="525"/>
      <c r="BZ23" s="525"/>
    </row>
    <row r="24" spans="1:78" x14ac:dyDescent="0.25">
      <c r="A24" s="540" t="s">
        <v>1399</v>
      </c>
      <c r="B24" s="540" t="s">
        <v>1399</v>
      </c>
      <c r="C24" s="540" t="s">
        <v>1692</v>
      </c>
      <c r="D24" s="533" t="s">
        <v>2202</v>
      </c>
      <c r="E24" s="540"/>
      <c r="F24" s="528" t="str">
        <f t="shared" si="0"/>
        <v>SA</v>
      </c>
      <c r="G24" s="540" t="s">
        <v>17</v>
      </c>
      <c r="H24" s="536" t="s">
        <v>37</v>
      </c>
      <c r="I24" s="540" t="s">
        <v>20</v>
      </c>
      <c r="J24" s="540" t="s">
        <v>298</v>
      </c>
      <c r="K24" s="540" t="s">
        <v>14</v>
      </c>
      <c r="L24" s="540" t="s">
        <v>1410</v>
      </c>
      <c r="M24" s="539"/>
      <c r="N24" s="540"/>
      <c r="O24" s="532">
        <v>42148.4375</v>
      </c>
      <c r="P24" s="531">
        <v>42222.1875</v>
      </c>
      <c r="Q24" s="540"/>
      <c r="R24" s="537">
        <f>IF(ISERROR(VLOOKUP(G24,'Planning and Target Times'!$L$1:$AP$6,MATCH(K24&amp;"_"&amp;L24&amp;"_"&amp;J24,INDEX('Planning and Target Times'!$L$1:$AP$6,1,0),0),0)+5),"",(VLOOKUP(G24,'Planning and Target Times'!$L$1:$AP$6,MATCH(K24&amp;"_"&amp;L24&amp;"_"&amp;J24,INDEX('Planning and Target Times'!$L$1:$AP$6,1,0),0),0)+5))</f>
        <v>75</v>
      </c>
      <c r="S24" s="528">
        <f t="shared" si="1"/>
        <v>70</v>
      </c>
      <c r="T24" s="538">
        <f>VLOOKUP(G24,'Planning and Target Times'!$A$7:$G$12,MATCH(K24&amp;"-"&amp;L24&amp;"-"&amp;J24,INDEX('Planning and Target Times'!$A$7:$G$12,1,0),0),0)</f>
        <v>35</v>
      </c>
      <c r="U24" s="540"/>
      <c r="V24" s="540"/>
      <c r="W24" s="540"/>
      <c r="X24" s="535" t="str">
        <f t="shared" si="2"/>
        <v>MA</v>
      </c>
      <c r="Y24" s="540">
        <v>13900</v>
      </c>
      <c r="Z24" s="540">
        <v>6000</v>
      </c>
      <c r="AA24" s="540">
        <v>7222</v>
      </c>
      <c r="AB24" s="540">
        <v>8057</v>
      </c>
      <c r="AC24" s="540"/>
      <c r="AD24" s="540"/>
      <c r="AE24" s="540">
        <v>1</v>
      </c>
      <c r="AF24" s="528"/>
      <c r="AG24" s="540" t="str">
        <f t="shared" si="3"/>
        <v>SA-0583-SA-MA-Prod-NW-HZ-HAL</v>
      </c>
      <c r="AH24" s="540" t="str">
        <f t="shared" si="4"/>
        <v>SA-0583-SP-186</v>
      </c>
      <c r="AI24" s="540" t="str">
        <f t="shared" si="5"/>
        <v>SA-0583-MA-NW-Prod</v>
      </c>
      <c r="AJ24" s="540" t="str">
        <f ca="1">IF(P24&gt;0,"RR",IF(O24&gt;0,0,COUNTIF($H$2:H24,H24)-IFERROR(COUNTIF(OFFSET($H$1,0,0,SUMPRODUCT(MAX(($H$2:H24=H24)*ROW($H$2:H24)*($O$2:O24&lt;&gt;""))),1),H24),0)))</f>
        <v>RR</v>
      </c>
      <c r="AK24" s="527">
        <f>IF(ISERROR(VLOOKUP(G24,'Planning and Target Times'!$B$106:$D$110,MATCH(F24,INDEX('Planning and Target Times'!$B$106:$D$110,1,0),0),0)),"",(VLOOKUP(G24,'Planning and Target Times'!$B$106:$D$110,MATCH(F24,INDEX('Planning and Target Times'!$B$106:$D$110,1,0),0),0)))</f>
        <v>740</v>
      </c>
      <c r="AL24" s="528" t="str">
        <f>VLOOKUP(G24,'Planning and Target Times'!$I$2:$J$7,2,0)</f>
        <v>Carbonate</v>
      </c>
      <c r="AM24" s="540"/>
      <c r="AN24" s="540"/>
      <c r="AO24" s="540"/>
      <c r="AP24" s="533">
        <f t="shared" si="6"/>
        <v>9.8666666666666671</v>
      </c>
      <c r="AQ24" s="540"/>
      <c r="AR24" s="540"/>
      <c r="AS24" s="540"/>
      <c r="AT24" s="540"/>
      <c r="AU24" s="540"/>
      <c r="AV24" s="540"/>
      <c r="AW24" s="540"/>
      <c r="AX24" s="540"/>
      <c r="AY24" s="540"/>
      <c r="AZ24" s="540"/>
      <c r="BA24" s="540"/>
      <c r="BB24" s="540"/>
      <c r="BC24" s="540"/>
      <c r="BD24" s="540"/>
      <c r="BE24" s="540"/>
      <c r="BF24" s="540"/>
      <c r="BG24" s="540"/>
      <c r="BH24" s="540"/>
      <c r="BI24" s="540"/>
      <c r="BJ24" s="540"/>
      <c r="BK24" s="540"/>
      <c r="BL24" s="540"/>
      <c r="BM24" s="540"/>
      <c r="BN24" s="540"/>
      <c r="BO24" s="526">
        <f ca="1">IF(ISERROR(IF(INDEX(Rig_Schedule_View!$I$11:$I$262,MATCH(Well_Data_NK_Upcoming!AG24,Rig_Schedule_View!$B$11:$B$262,0))=0,O24,(INDEX(Rig_Schedule_View!$I$11:$I$262,MATCH(Well_Data_NK_Upcoming!AG24,Rig_Schedule_View!$B$11:$B$262,0))))),O24,(IF(INDEX(Rig_Schedule_View!$I$11:$I$262,MATCH(Well_Data_NK_Upcoming!AG24,Rig_Schedule_View!$B$11:$B$262,0))=0,O24,(INDEX(Rig_Schedule_View!$I$11:$I$262,MATCH(Well_Data_NK_Upcoming!AG24,Rig_Schedule_View!$B$11:$B$262,0))))))</f>
        <v>42148.4375</v>
      </c>
      <c r="BP24" s="526">
        <f ca="1">IF(ISERROR(IF(INDEX(Rig_Schedule_View!$J$11:$J$262,MATCH(Well_Data_NK_Upcoming!AG24,Rig_Schedule_View!$B$11:$B$262,0))=0,P24,(INDEX(Rig_Schedule_View!$J$11:$J$262,MATCH(Well_Data_NK_Upcoming!AG24,Rig_Schedule_View!$B$11:$B$262,0))))),P24,(IF(INDEX(Rig_Schedule_View!$J$11:$J$262,MATCH(Well_Data_NK_Upcoming!AG24,Rig_Schedule_View!$B$11:$B$262,0))=0,P24,(INDEX(Rig_Schedule_View!$J$11:$J$262,MATCH(Well_Data_NK_Upcoming!AG24,Rig_Schedule_View!$B$11:$B$262,0))))))</f>
        <v>42222.1875</v>
      </c>
      <c r="BQ24" s="527"/>
      <c r="BR24" s="525"/>
      <c r="BS24" s="525"/>
      <c r="BT24" s="525"/>
      <c r="BU24" s="525"/>
      <c r="BV24" s="525"/>
      <c r="BW24" s="525"/>
      <c r="BX24" s="525"/>
      <c r="BY24" s="525"/>
      <c r="BZ24" s="525"/>
    </row>
    <row r="25" spans="1:78" x14ac:dyDescent="0.25">
      <c r="A25" s="540" t="s">
        <v>1430</v>
      </c>
      <c r="B25" s="540" t="s">
        <v>1430</v>
      </c>
      <c r="C25" s="540" t="s">
        <v>1705</v>
      </c>
      <c r="D25" s="533" t="s">
        <v>2203</v>
      </c>
      <c r="E25" s="540"/>
      <c r="F25" s="528" t="str">
        <f t="shared" si="0"/>
        <v>SA</v>
      </c>
      <c r="G25" s="540" t="s">
        <v>22</v>
      </c>
      <c r="H25" s="536" t="s">
        <v>1415</v>
      </c>
      <c r="I25" s="540" t="s">
        <v>20</v>
      </c>
      <c r="J25" s="540" t="s">
        <v>298</v>
      </c>
      <c r="K25" s="540" t="s">
        <v>14</v>
      </c>
      <c r="L25" s="540" t="s">
        <v>1410</v>
      </c>
      <c r="M25" s="539"/>
      <c r="N25" s="540">
        <v>1</v>
      </c>
      <c r="O25" s="532">
        <v>42142.875</v>
      </c>
      <c r="P25" s="531">
        <v>42228.833333333336</v>
      </c>
      <c r="Q25" s="540"/>
      <c r="R25" s="537">
        <f>IF(ISERROR(VLOOKUP(G25,'Planning and Target Times'!$L$1:$AP$6,MATCH(K25&amp;"_"&amp;L25&amp;"_"&amp;J25,INDEX('Planning and Target Times'!$L$1:$AP$6,1,0),0),0)+5),"",(VLOOKUP(G25,'Planning and Target Times'!$L$1:$AP$6,MATCH(K25&amp;"_"&amp;L25&amp;"_"&amp;J25,INDEX('Planning and Target Times'!$L$1:$AP$6,1,0),0),0)+5))</f>
        <v>75</v>
      </c>
      <c r="S25" s="528">
        <f t="shared" si="1"/>
        <v>70</v>
      </c>
      <c r="T25" s="538">
        <f>VLOOKUP(G25,'Planning and Target Times'!$A$7:$G$12,MATCH(K25&amp;"-"&amp;L25&amp;"-"&amp;J25,INDEX('Planning and Target Times'!$A$7:$G$12,1,0),0),0)</f>
        <v>35</v>
      </c>
      <c r="U25" s="540"/>
      <c r="V25" s="540"/>
      <c r="W25" s="540"/>
      <c r="X25" s="535" t="str">
        <f t="shared" si="2"/>
        <v>LB</v>
      </c>
      <c r="Y25" s="540">
        <v>9850</v>
      </c>
      <c r="Z25" s="540">
        <v>5895</v>
      </c>
      <c r="AA25" s="540">
        <v>7860</v>
      </c>
      <c r="AB25" s="540">
        <v>8845</v>
      </c>
      <c r="AC25" s="540"/>
      <c r="AD25" s="540"/>
      <c r="AE25" s="540">
        <v>3</v>
      </c>
      <c r="AF25" s="528"/>
      <c r="AG25" s="540" t="str">
        <f t="shared" si="3"/>
        <v>SA-0581-SA-LB-Prod-NW-HZ-HAL</v>
      </c>
      <c r="AH25" s="540" t="str">
        <f t="shared" si="4"/>
        <v>SA-0581-SP-288</v>
      </c>
      <c r="AI25" s="540" t="str">
        <f t="shared" si="5"/>
        <v>SA-0581-LB-NW-Prod</v>
      </c>
      <c r="AJ25" s="540" t="str">
        <f ca="1">IF(P25&gt;0,"RR",IF(O25&gt;0,0,COUNTIF($H$2:H25,H25)-IFERROR(COUNTIF(OFFSET($H$1,0,0,SUMPRODUCT(MAX(($H$2:H25=H25)*ROW($H$2:H25)*($O$2:O25&lt;&gt;""))),1),H25),0)))</f>
        <v>RR</v>
      </c>
      <c r="AK25" s="527">
        <f>IF(ISERROR(VLOOKUP(G25,'Planning and Target Times'!$B$106:$D$110,MATCH(F25,INDEX('Planning and Target Times'!$B$106:$D$110,1,0),0),0)),"",(VLOOKUP(G25,'Planning and Target Times'!$B$106:$D$110,MATCH(F25,INDEX('Planning and Target Times'!$B$106:$D$110,1,0),0),0)))</f>
        <v>550</v>
      </c>
      <c r="AL25" s="528" t="str">
        <f>VLOOKUP(G25,'Planning and Target Times'!$I$2:$J$7,2,0)</f>
        <v>Sandstone</v>
      </c>
      <c r="AM25" s="540"/>
      <c r="AN25" s="540"/>
      <c r="AO25" s="540"/>
      <c r="AP25" s="533">
        <f t="shared" si="6"/>
        <v>7.333333333333333</v>
      </c>
      <c r="AQ25" s="540"/>
      <c r="AR25" s="540"/>
      <c r="AS25" s="540"/>
      <c r="AT25" s="540"/>
      <c r="AU25" s="540"/>
      <c r="AV25" s="540"/>
      <c r="AW25" s="540"/>
      <c r="AX25" s="540"/>
      <c r="AY25" s="540"/>
      <c r="AZ25" s="540"/>
      <c r="BA25" s="540"/>
      <c r="BB25" s="540"/>
      <c r="BC25" s="540"/>
      <c r="BD25" s="540"/>
      <c r="BE25" s="540"/>
      <c r="BF25" s="540"/>
      <c r="BG25" s="540"/>
      <c r="BH25" s="540"/>
      <c r="BI25" s="540"/>
      <c r="BJ25" s="540"/>
      <c r="BK25" s="540"/>
      <c r="BL25" s="540"/>
      <c r="BM25" s="540"/>
      <c r="BN25" s="540"/>
      <c r="BO25" s="526">
        <f ca="1">IF(ISERROR(IF(INDEX(Rig_Schedule_View!$I$11:$I$262,MATCH(Well_Data_NK_Upcoming!AG42,Rig_Schedule_View!$B$11:$B$262,0))=0,O25,(INDEX(Rig_Schedule_View!$I$11:$I$262,MATCH(Well_Data_NK_Upcoming!AG42,Rig_Schedule_View!$B$11:$B$262,0))))),O25,(IF(INDEX(Rig_Schedule_View!$I$11:$I$262,MATCH(Well_Data_NK_Upcoming!AG42,Rig_Schedule_View!$B$11:$B$262,0))=0,O25,(INDEX(Rig_Schedule_View!$I$11:$I$262,MATCH(Well_Data_NK_Upcoming!AG42,Rig_Schedule_View!$B$11:$B$262,0))))))</f>
        <v>42161</v>
      </c>
      <c r="BP25" s="526">
        <f ca="1">IF(ISERROR(IF(INDEX(Rig_Schedule_View!$J$11:$J$262,MATCH(Well_Data_NK_Upcoming!AG42,Rig_Schedule_View!$B$11:$B$262,0))=0,P25,(INDEX(Rig_Schedule_View!$J$11:$J$262,MATCH(Well_Data_NK_Upcoming!AG42,Rig_Schedule_View!$B$11:$B$262,0))))),P25,(IF(INDEX(Rig_Schedule_View!$J$11:$J$262,MATCH(Well_Data_NK_Upcoming!AG42,Rig_Schedule_View!$B$11:$B$262,0))=0,P25,(INDEX(Rig_Schedule_View!$J$11:$J$262,MATCH(Well_Data_NK_Upcoming!AG42,Rig_Schedule_View!$B$11:$B$262,0))))))</f>
        <v>42238</v>
      </c>
      <c r="BQ25" s="527"/>
      <c r="BR25" s="525"/>
      <c r="BS25" s="525"/>
      <c r="BT25" s="525"/>
      <c r="BU25" s="525"/>
      <c r="BV25" s="525"/>
      <c r="BW25" s="525"/>
      <c r="BX25" s="525"/>
      <c r="BY25" s="525"/>
      <c r="BZ25" s="525"/>
    </row>
    <row r="26" spans="1:78" x14ac:dyDescent="0.25">
      <c r="A26" s="540" t="s">
        <v>754</v>
      </c>
      <c r="B26" s="540" t="s">
        <v>754</v>
      </c>
      <c r="C26" s="540" t="s">
        <v>1392</v>
      </c>
      <c r="D26" s="533" t="s">
        <v>2252</v>
      </c>
      <c r="E26" s="540"/>
      <c r="F26" s="528" t="str">
        <f t="shared" si="0"/>
        <v>RA</v>
      </c>
      <c r="G26" s="540" t="s">
        <v>17</v>
      </c>
      <c r="H26" s="536" t="s">
        <v>513</v>
      </c>
      <c r="I26" s="540" t="s">
        <v>24</v>
      </c>
      <c r="J26" s="540" t="s">
        <v>298</v>
      </c>
      <c r="K26" s="540" t="s">
        <v>18</v>
      </c>
      <c r="L26" s="540" t="s">
        <v>1410</v>
      </c>
      <c r="M26" s="539"/>
      <c r="N26" s="540"/>
      <c r="O26" s="532">
        <v>42218.458333333336</v>
      </c>
      <c r="P26" s="531">
        <v>42237.791666666664</v>
      </c>
      <c r="Q26" s="540"/>
      <c r="R26" s="537">
        <f>IF(ISERROR(VLOOKUP(G26,'Planning and Target Times'!$L$1:$AP$6,MATCH(K26&amp;"_"&amp;L26&amp;"_"&amp;J26,INDEX('Planning and Target Times'!$L$1:$AP$6,1,0),0),0)+5),"",(VLOOKUP(G26,'Planning and Target Times'!$L$1:$AP$6,MATCH(K26&amp;"_"&amp;L26&amp;"_"&amp;J26,INDEX('Planning and Target Times'!$L$1:$AP$6,1,0),0),0)+5))</f>
        <v>61</v>
      </c>
      <c r="S26" s="528">
        <f t="shared" si="1"/>
        <v>56</v>
      </c>
      <c r="T26" s="538">
        <f>VLOOKUP(G26,'Planning and Target Times'!$A$7:$G$12,MATCH(K26&amp;"-"&amp;L26&amp;"-"&amp;J26,INDEX('Planning and Target Times'!$A$7:$G$12,1,0),0),0)</f>
        <v>27</v>
      </c>
      <c r="U26" s="540"/>
      <c r="V26" s="540"/>
      <c r="W26" s="540"/>
      <c r="X26" s="535" t="str">
        <f t="shared" si="2"/>
        <v>MA</v>
      </c>
      <c r="Y26" s="540">
        <v>9207</v>
      </c>
      <c r="Z26" s="540">
        <v>6120</v>
      </c>
      <c r="AA26" s="540">
        <v>6695</v>
      </c>
      <c r="AB26" s="540">
        <v>8377</v>
      </c>
      <c r="AC26" s="540"/>
      <c r="AD26" s="540"/>
      <c r="AE26" s="376">
        <v>2</v>
      </c>
      <c r="AF26" s="528"/>
      <c r="AG26" s="540" t="str">
        <f t="shared" si="3"/>
        <v>RA-0392-RA-MA-Prod-ST-HZ-SLB</v>
      </c>
      <c r="AH26" s="540" t="str">
        <f t="shared" si="4"/>
        <v>RA-0392-NDSC-15</v>
      </c>
      <c r="AI26" s="540" t="str">
        <f t="shared" si="5"/>
        <v>RA-0392-MA-ST-Prod</v>
      </c>
      <c r="AJ26" s="540" t="str">
        <f ca="1">IF(P26&gt;0,"RR",IF(O26&gt;0,0,COUNTIF($H$2:H26,H26)-IFERROR(COUNTIF(OFFSET($H$1,0,0,SUMPRODUCT(MAX(($H$2:H26=H26)*ROW($H$2:H26)*($O$2:O26&lt;&gt;""))),1),H26),0)))</f>
        <v>RR</v>
      </c>
      <c r="AK26" s="527">
        <f>IF(ISERROR(VLOOKUP(G26,'Planning and Target Times'!$B$106:$D$110,MATCH(F26,INDEX('Planning and Target Times'!$B$106:$D$110,1,0),0),0)),"",(VLOOKUP(G26,'Planning and Target Times'!$B$106:$D$110,MATCH(F26,INDEX('Planning and Target Times'!$B$106:$D$110,1,0),0),0)))</f>
        <v>650</v>
      </c>
      <c r="AL26" s="528" t="str">
        <f>VLOOKUP(G26,'Planning and Target Times'!$I$2:$J$7,2,0)</f>
        <v>Carbonate</v>
      </c>
      <c r="AM26" s="540"/>
      <c r="AN26" s="540"/>
      <c r="AO26" s="540"/>
      <c r="AP26" s="533">
        <f t="shared" si="6"/>
        <v>10.655737704918034</v>
      </c>
      <c r="AQ26" s="540"/>
      <c r="AR26" s="540"/>
      <c r="AS26" s="540"/>
      <c r="AT26" s="540"/>
      <c r="AU26" s="540"/>
      <c r="AV26" s="540"/>
      <c r="AW26" s="540"/>
      <c r="AX26" s="540"/>
      <c r="AY26" s="540"/>
      <c r="AZ26" s="540"/>
      <c r="BA26" s="540"/>
      <c r="BB26" s="540"/>
      <c r="BC26" s="540"/>
      <c r="BD26" s="540"/>
      <c r="BE26" s="540"/>
      <c r="BF26" s="540"/>
      <c r="BG26" s="540"/>
      <c r="BH26" s="540"/>
      <c r="BI26" s="540"/>
      <c r="BJ26" s="540"/>
      <c r="BK26" s="540"/>
      <c r="BL26" s="540"/>
      <c r="BM26" s="540"/>
      <c r="BN26" s="540"/>
      <c r="BO26" s="526" t="str">
        <f ca="1">IF(ISERROR(IF(INDEX(Rig_Schedule_View!$I$11:$I$262,MATCH(Well_Data_NK_Upcoming!AG30,Rig_Schedule_View!$B$11:$B$262,0))=0,O26,(INDEX(Rig_Schedule_View!$I$11:$I$262,MATCH(Well_Data_NK_Upcoming!AG30,Rig_Schedule_View!$B$11:$B$262,0))))),O26,(IF(INDEX(Rig_Schedule_View!$I$11:$I$262,MATCH(Well_Data_NK_Upcoming!AG30,Rig_Schedule_View!$B$11:$B$262,0))=0,O26,(INDEX(Rig_Schedule_View!$I$11:$I$262,MATCH(Well_Data_NK_Upcoming!AG30,Rig_Schedule_View!$B$11:$B$262,0))))))</f>
        <v>ETA-OCT</v>
      </c>
      <c r="BP26" s="526">
        <f ca="1">IF(ISERROR(IF(INDEX(Rig_Schedule_View!$J$11:$J$262,MATCH(Well_Data_NK_Upcoming!AG30,Rig_Schedule_View!$B$11:$B$262,0))=0,P26,(INDEX(Rig_Schedule_View!$J$11:$J$262,MATCH(Well_Data_NK_Upcoming!AG30,Rig_Schedule_View!$B$11:$B$262,0))))),P26,(IF(INDEX(Rig_Schedule_View!$J$11:$J$262,MATCH(Well_Data_NK_Upcoming!AG30,Rig_Schedule_View!$B$11:$B$262,0))=0,P26,(INDEX(Rig_Schedule_View!$J$11:$J$262,MATCH(Well_Data_NK_Upcoming!AG30,Rig_Schedule_View!$B$11:$B$262,0))))))</f>
        <v>42286</v>
      </c>
      <c r="BQ26" s="527"/>
      <c r="BR26" s="525"/>
      <c r="BS26" s="525"/>
      <c r="BT26" s="525"/>
      <c r="BU26" s="525"/>
      <c r="BV26" s="525"/>
      <c r="BW26" s="525"/>
      <c r="BX26" s="525"/>
      <c r="BY26" s="525"/>
      <c r="BZ26" s="525"/>
    </row>
    <row r="27" spans="1:78" x14ac:dyDescent="0.25">
      <c r="A27" s="540" t="s">
        <v>1615</v>
      </c>
      <c r="B27" s="540" t="s">
        <v>1615</v>
      </c>
      <c r="C27" s="466" t="s">
        <v>2247</v>
      </c>
      <c r="D27" s="533" t="s">
        <v>2248</v>
      </c>
      <c r="E27" s="540"/>
      <c r="F27" s="528" t="str">
        <f t="shared" si="0"/>
        <v>RA</v>
      </c>
      <c r="G27" s="540" t="s">
        <v>44</v>
      </c>
      <c r="H27" s="400" t="s">
        <v>12</v>
      </c>
      <c r="I27" s="540" t="s">
        <v>20</v>
      </c>
      <c r="J27" s="540" t="s">
        <v>298</v>
      </c>
      <c r="K27" s="540" t="s">
        <v>18</v>
      </c>
      <c r="L27" s="540" t="s">
        <v>1511</v>
      </c>
      <c r="M27" s="539"/>
      <c r="N27" s="540"/>
      <c r="O27" s="532">
        <v>42222.083333333336</v>
      </c>
      <c r="P27" s="540"/>
      <c r="Q27" s="540"/>
      <c r="R27" s="537">
        <f>IF(ISERROR(VLOOKUP(G27,'Planning and Target Times'!$L$1:$AP$6,MATCH(K27&amp;"_"&amp;L27&amp;"_"&amp;J27,INDEX('Planning and Target Times'!$L$1:$AP$6,1,0),0),0)+5),"",(VLOOKUP(G27,'Planning and Target Times'!$L$1:$AP$6,MATCH(K27&amp;"_"&amp;L27&amp;"_"&amp;J27,INDEX('Planning and Target Times'!$L$1:$AP$6,1,0),0),0)+5))</f>
        <v>35</v>
      </c>
      <c r="S27" s="528">
        <f t="shared" si="1"/>
        <v>30</v>
      </c>
      <c r="T27" s="538" t="e">
        <f>VLOOKUP(G27,'Planning and Target Times'!$A$7:$G$12,MATCH(K27&amp;"-"&amp;L27&amp;"-"&amp;J27,INDEX('Planning and Target Times'!$A$7:$G$12,1,0),0),0)</f>
        <v>#N/A</v>
      </c>
      <c r="U27" s="540"/>
      <c r="V27" s="540"/>
      <c r="W27" s="540"/>
      <c r="X27" s="535" t="str">
        <f t="shared" si="2"/>
        <v>ZU/RT</v>
      </c>
      <c r="Y27" s="540"/>
      <c r="Z27" s="540"/>
      <c r="AA27" s="540"/>
      <c r="AB27" s="540"/>
      <c r="AC27" s="540"/>
      <c r="AD27" s="540"/>
      <c r="AE27" s="540">
        <v>25</v>
      </c>
      <c r="AF27" s="405"/>
      <c r="AG27" s="540" t="str">
        <f t="shared" si="3"/>
        <v>RA-0179-RA-ZU-Prod-ST-V-HAL</v>
      </c>
      <c r="AH27" s="540" t="str">
        <f t="shared" si="4"/>
        <v>RA-0179-BWD-130</v>
      </c>
      <c r="AI27" s="540" t="str">
        <f t="shared" si="5"/>
        <v>RA-0179-ZU-ST-Prod</v>
      </c>
      <c r="AJ27" s="540">
        <f ca="1">IF(P27&gt;0,"RR",IF(O27&gt;0,0,COUNTIF($H$2:H27,H27)-IFERROR(COUNTIF(OFFSET($H$1,0,0,SUMPRODUCT(MAX(($H$2:H27=H27)*ROW($H$2:H27)*($O$2:O27&lt;&gt;""))),1),H27),0)))</f>
        <v>0</v>
      </c>
      <c r="AK27" s="527">
        <f>IF(ISERROR(VLOOKUP(G27,'Planning and Target Times'!$B$106:$D$110,MATCH(F27,INDEX('Planning and Target Times'!$B$106:$D$110,1,0),0),0)),"",(VLOOKUP(G27,'Planning and Target Times'!$B$106:$D$110,MATCH(F27,INDEX('Planning and Target Times'!$B$106:$D$110,1,0),0),0)))</f>
        <v>1560</v>
      </c>
      <c r="AL27" s="528" t="str">
        <f>VLOOKUP(G27,'Planning and Target Times'!$I$2:$J$7,2,0)</f>
        <v>Sandstone</v>
      </c>
      <c r="AM27" s="540"/>
      <c r="AN27" s="540"/>
      <c r="AO27" s="540"/>
      <c r="AP27" s="533">
        <f t="shared" si="6"/>
        <v>44.571428571428569</v>
      </c>
      <c r="AQ27" s="540"/>
      <c r="AR27" s="540"/>
      <c r="AS27" s="540"/>
      <c r="AT27" s="540"/>
      <c r="AU27" s="540"/>
      <c r="AV27" s="540"/>
      <c r="AW27" s="540"/>
      <c r="AX27" s="540"/>
      <c r="AY27" s="540"/>
      <c r="AZ27" s="540"/>
      <c r="BA27" s="540"/>
      <c r="BB27" s="540"/>
      <c r="BC27" s="540"/>
      <c r="BD27" s="540"/>
      <c r="BE27" s="540"/>
      <c r="BF27" s="540"/>
      <c r="BG27" s="540"/>
      <c r="BH27" s="540"/>
      <c r="BI27" s="540"/>
      <c r="BJ27" s="540"/>
      <c r="BK27" s="540"/>
      <c r="BL27" s="540"/>
      <c r="BM27" s="540"/>
      <c r="BN27" s="540"/>
      <c r="BO27" s="526">
        <f ca="1">IF(ISERROR(IF(INDEX(Rig_Schedule_View!$I$11:$I$262,MATCH(Well_Data_NK_Upcoming!AG25,Rig_Schedule_View!$B$11:$B$262,0))=0,O27,(INDEX(Rig_Schedule_View!$I$11:$I$262,MATCH(Well_Data_NK_Upcoming!AG25,Rig_Schedule_View!$B$11:$B$262,0))))),O27,(IF(INDEX(Rig_Schedule_View!$I$11:$I$262,MATCH(Well_Data_NK_Upcoming!AG25,Rig_Schedule_View!$B$11:$B$262,0))=0,O27,(INDEX(Rig_Schedule_View!$I$11:$I$262,MATCH(Well_Data_NK_Upcoming!AG25,Rig_Schedule_View!$B$11:$B$262,0))))))</f>
        <v>42222.083333333336</v>
      </c>
      <c r="BP27" s="526">
        <f ca="1">IF(ISERROR(IF(INDEX(Rig_Schedule_View!$J$11:$J$262,MATCH(Well_Data_NK_Upcoming!AG25,Rig_Schedule_View!$B$11:$B$262,0))=0,P27,(INDEX(Rig_Schedule_View!$J$11:$J$262,MATCH(Well_Data_NK_Upcoming!AG25,Rig_Schedule_View!$B$11:$B$262,0))))),P27,(IF(INDEX(Rig_Schedule_View!$J$11:$J$262,MATCH(Well_Data_NK_Upcoming!AG25,Rig_Schedule_View!$B$11:$B$262,0))=0,P27,(INDEX(Rig_Schedule_View!$J$11:$J$262,MATCH(Well_Data_NK_Upcoming!AG25,Rig_Schedule_View!$B$11:$B$262,0))))))</f>
        <v>0</v>
      </c>
      <c r="BQ27" s="527"/>
      <c r="BR27" s="525"/>
      <c r="BS27" s="525"/>
      <c r="BT27" s="525"/>
      <c r="BU27" s="525"/>
      <c r="BV27" s="525"/>
      <c r="BW27" s="525"/>
      <c r="BX27" s="525"/>
      <c r="BY27" s="525"/>
      <c r="BZ27" s="525"/>
    </row>
    <row r="28" spans="1:78" x14ac:dyDescent="0.25">
      <c r="A28" s="376" t="s">
        <v>1409</v>
      </c>
      <c r="B28" s="376" t="s">
        <v>1409</v>
      </c>
      <c r="C28" s="376" t="s">
        <v>1579</v>
      </c>
      <c r="D28" s="533" t="s">
        <v>2249</v>
      </c>
      <c r="E28" s="376"/>
      <c r="F28" s="528" t="str">
        <f t="shared" si="0"/>
        <v>RA</v>
      </c>
      <c r="G28" s="376" t="s">
        <v>29</v>
      </c>
      <c r="H28" s="390" t="s">
        <v>1171</v>
      </c>
      <c r="I28" s="376" t="s">
        <v>24</v>
      </c>
      <c r="J28" s="376" t="s">
        <v>298</v>
      </c>
      <c r="K28" s="376" t="s">
        <v>14</v>
      </c>
      <c r="L28" s="376" t="s">
        <v>1410</v>
      </c>
      <c r="M28" s="402"/>
      <c r="N28" s="376">
        <v>1</v>
      </c>
      <c r="O28" s="532">
        <v>42115.229166666664</v>
      </c>
      <c r="P28" s="376"/>
      <c r="Q28" s="376"/>
      <c r="R28" s="537">
        <f>IF(ISERROR(VLOOKUP(G28,'Planning and Target Times'!$L$1:$AP$6,MATCH(K28&amp;"_"&amp;L28&amp;"_"&amp;J28,INDEX('Planning and Target Times'!$L$1:$AP$6,1,0),0),0)+5),"",(VLOOKUP(G28,'Planning and Target Times'!$L$1:$AP$6,MATCH(K28&amp;"_"&amp;L28&amp;"_"&amp;J28,INDEX('Planning and Target Times'!$L$1:$AP$6,1,0),0),0)+5))</f>
        <v>75</v>
      </c>
      <c r="S28" s="528">
        <f t="shared" si="1"/>
        <v>70</v>
      </c>
      <c r="T28" s="538">
        <f>VLOOKUP(G28,'Planning and Target Times'!$A$7:$G$12,MATCH(K28&amp;"-"&amp;L28&amp;"-"&amp;J28,INDEX('Planning and Target Times'!$A$7:$G$12,1,0),0),0)</f>
        <v>35</v>
      </c>
      <c r="U28" s="376"/>
      <c r="V28" s="376"/>
      <c r="W28" s="376"/>
      <c r="X28" s="535" t="str">
        <f t="shared" si="2"/>
        <v>UB</v>
      </c>
      <c r="Y28" s="376"/>
      <c r="Z28" s="376"/>
      <c r="AA28" s="376"/>
      <c r="AB28" s="376"/>
      <c r="AC28" s="376"/>
      <c r="AD28" s="376"/>
      <c r="AE28" s="376">
        <v>35</v>
      </c>
      <c r="AF28" s="376"/>
      <c r="AG28" s="540" t="str">
        <f t="shared" si="3"/>
        <v>RA-0561-RA-UB-Prod-NW-HZ-SLB</v>
      </c>
      <c r="AH28" s="376" t="str">
        <f t="shared" si="4"/>
        <v>RA-0561-KDC-25</v>
      </c>
      <c r="AI28" s="376" t="str">
        <f t="shared" si="5"/>
        <v>RA-0561-UB-NW-Prod</v>
      </c>
      <c r="AJ28" s="540">
        <f ca="1">IF(P28&gt;0,"RR",IF(O28&gt;0,0,COUNTIF($H$2:H28,H28)-IFERROR(COUNTIF(OFFSET($H$1,0,0,SUMPRODUCT(MAX(($H$2:H28=H28)*ROW($H$2:H28)*($O$2:O28&lt;&gt;""))),1),H28),0)))</f>
        <v>0</v>
      </c>
      <c r="AK28" s="527">
        <f>IF(ISERROR(VLOOKUP(G28,'Planning and Target Times'!$B$106:$D$110,MATCH(F28,INDEX('Planning and Target Times'!$B$106:$D$110,1,0),0),0)),"",(VLOOKUP(G28,'Planning and Target Times'!$B$106:$D$110,MATCH(F28,INDEX('Planning and Target Times'!$B$106:$D$110,1,0),0),0)))</f>
        <v>940</v>
      </c>
      <c r="AL28" s="528" t="str">
        <f>VLOOKUP(G28,'Planning and Target Times'!$I$2:$J$7,2,0)</f>
        <v>Sandstone</v>
      </c>
      <c r="AM28" s="376"/>
      <c r="AN28" s="376"/>
      <c r="AO28" s="376"/>
      <c r="AP28" s="533">
        <f t="shared" si="6"/>
        <v>12.533333333333333</v>
      </c>
      <c r="AQ28" s="376"/>
      <c r="AR28" s="376"/>
      <c r="AS28" s="376"/>
      <c r="AT28" s="376"/>
      <c r="AU28" s="376"/>
      <c r="AV28" s="376"/>
      <c r="AW28" s="376"/>
      <c r="AX28" s="376"/>
      <c r="AY28" s="376"/>
      <c r="AZ28" s="376"/>
      <c r="BA28" s="376"/>
      <c r="BB28" s="376"/>
      <c r="BC28" s="376"/>
      <c r="BD28" s="376"/>
      <c r="BE28" s="376"/>
      <c r="BF28" s="376"/>
      <c r="BG28" s="376"/>
      <c r="BH28" s="376"/>
      <c r="BI28" s="376"/>
      <c r="BJ28" s="376"/>
      <c r="BK28" s="376"/>
      <c r="BL28" s="376"/>
      <c r="BM28" s="376"/>
      <c r="BN28" s="376"/>
      <c r="BO28" s="526">
        <f ca="1">IF(ISERROR(IF(INDEX(Rig_Schedule_View!$I$11:$I$262,MATCH(Well_Data_NK_Upcoming!AG26,Rig_Schedule_View!$B$11:$B$262,0))=0,O28,(INDEX(Rig_Schedule_View!$I$11:$I$262,MATCH(Well_Data_NK_Upcoming!AG26,Rig_Schedule_View!$B$11:$B$262,0))))),O28,(IF(INDEX(Rig_Schedule_View!$I$11:$I$262,MATCH(Well_Data_NK_Upcoming!AG26,Rig_Schedule_View!$B$11:$B$262,0))=0,O28,(INDEX(Rig_Schedule_View!$I$11:$I$262,MATCH(Well_Data_NK_Upcoming!AG26,Rig_Schedule_View!$B$11:$B$262,0))))))</f>
        <v>42115.229166666664</v>
      </c>
      <c r="BP28" s="526">
        <f ca="1">IF(ISERROR(IF(INDEX(Rig_Schedule_View!$J$11:$J$262,MATCH(Well_Data_NK_Upcoming!AG26,Rig_Schedule_View!$B$11:$B$262,0))=0,P28,(INDEX(Rig_Schedule_View!$J$11:$J$262,MATCH(Well_Data_NK_Upcoming!AG26,Rig_Schedule_View!$B$11:$B$262,0))))),P28,(IF(INDEX(Rig_Schedule_View!$J$11:$J$262,MATCH(Well_Data_NK_Upcoming!AG26,Rig_Schedule_View!$B$11:$B$262,0))=0,P28,(INDEX(Rig_Schedule_View!$J$11:$J$262,MATCH(Well_Data_NK_Upcoming!AG26,Rig_Schedule_View!$B$11:$B$262,0))))))</f>
        <v>0</v>
      </c>
      <c r="BQ28" s="527"/>
      <c r="BR28" s="525"/>
      <c r="BS28" s="525"/>
      <c r="BT28" s="525"/>
      <c r="BU28" s="525"/>
      <c r="BV28" s="525"/>
      <c r="BW28" s="525"/>
      <c r="BX28" s="525"/>
      <c r="BY28" s="525"/>
      <c r="BZ28" s="525"/>
    </row>
    <row r="29" spans="1:78" x14ac:dyDescent="0.25">
      <c r="A29" s="540" t="s">
        <v>1817</v>
      </c>
      <c r="B29" s="540" t="s">
        <v>1818</v>
      </c>
      <c r="C29" s="540" t="s">
        <v>2208</v>
      </c>
      <c r="D29" s="533" t="s">
        <v>2250</v>
      </c>
      <c r="E29" s="540"/>
      <c r="F29" s="528" t="str">
        <f t="shared" si="0"/>
        <v>SA</v>
      </c>
      <c r="G29" s="540" t="s">
        <v>17</v>
      </c>
      <c r="H29" s="400" t="s">
        <v>35</v>
      </c>
      <c r="I29" s="540" t="s">
        <v>16</v>
      </c>
      <c r="J29" s="540" t="s">
        <v>298</v>
      </c>
      <c r="K29" s="540" t="s">
        <v>18</v>
      </c>
      <c r="L29" s="540" t="s">
        <v>1410</v>
      </c>
      <c r="M29" s="539"/>
      <c r="N29" s="540"/>
      <c r="O29" s="532">
        <v>42215.854166666664</v>
      </c>
      <c r="P29" s="540"/>
      <c r="Q29" s="540"/>
      <c r="R29" s="537">
        <f>IF(ISERROR(VLOOKUP(G29,'Planning and Target Times'!$L$1:$AP$6,MATCH(K29&amp;"_"&amp;L29&amp;"_"&amp;J29,INDEX('Planning and Target Times'!$L$1:$AP$6,1,0),0),0)+5),"",(VLOOKUP(G29,'Planning and Target Times'!$L$1:$AP$6,MATCH(K29&amp;"_"&amp;L29&amp;"_"&amp;J29,INDEX('Planning and Target Times'!$L$1:$AP$6,1,0),0),0)+5))</f>
        <v>61</v>
      </c>
      <c r="S29" s="528">
        <f t="shared" si="1"/>
        <v>56</v>
      </c>
      <c r="T29" s="538">
        <f>VLOOKUP(G29,'Planning and Target Times'!$A$7:$G$12,MATCH(K29&amp;"-"&amp;L29&amp;"-"&amp;J29,INDEX('Planning and Target Times'!$A$7:$G$12,1,0),0),0)</f>
        <v>27</v>
      </c>
      <c r="U29" s="540"/>
      <c r="V29" s="540"/>
      <c r="W29" s="540"/>
      <c r="X29" s="535" t="str">
        <f t="shared" si="2"/>
        <v>MA</v>
      </c>
      <c r="Y29" s="540"/>
      <c r="Z29" s="540"/>
      <c r="AA29" s="540"/>
      <c r="AB29" s="540"/>
      <c r="AC29" s="540"/>
      <c r="AD29" s="540"/>
      <c r="AE29" s="540">
        <v>10</v>
      </c>
      <c r="AF29" s="528"/>
      <c r="AG29" s="540" t="str">
        <f t="shared" si="3"/>
        <v>SA-0495-SA-MA-Prod-ST-HZ-BHI</v>
      </c>
      <c r="AH29" s="540" t="str">
        <f t="shared" si="4"/>
        <v>SA-0495-KDC-26</v>
      </c>
      <c r="AI29" s="540" t="str">
        <f t="shared" si="5"/>
        <v>SA-0495-MA-ST-Prod</v>
      </c>
      <c r="AJ29" s="540">
        <f ca="1">IF(P29&gt;0,"RR",IF(O29&gt;0,0,COUNTIF($H$2:H29,H29)-IFERROR(COUNTIF(OFFSET($H$1,0,0,SUMPRODUCT(MAX(($H$2:H29=H29)*ROW($H$2:H29)*($O$2:O29&lt;&gt;""))),1),H29),0)))</f>
        <v>0</v>
      </c>
      <c r="AK29" s="527">
        <f>IF(ISERROR(VLOOKUP(G29,'Planning and Target Times'!$B$106:$D$110,MATCH(F29,INDEX('Planning and Target Times'!$B$106:$D$110,1,0),0),0)),"",(VLOOKUP(G29,'Planning and Target Times'!$B$106:$D$110,MATCH(F29,INDEX('Planning and Target Times'!$B$106:$D$110,1,0),0),0)))</f>
        <v>740</v>
      </c>
      <c r="AL29" s="528" t="str">
        <f>VLOOKUP(G29,'Planning and Target Times'!$I$2:$J$7,2,0)</f>
        <v>Carbonate</v>
      </c>
      <c r="AM29" s="540"/>
      <c r="AN29" s="540"/>
      <c r="AO29" s="540"/>
      <c r="AP29" s="533">
        <f t="shared" si="6"/>
        <v>12.131147540983607</v>
      </c>
      <c r="AQ29" s="540"/>
      <c r="AR29" s="540"/>
      <c r="AS29" s="540"/>
      <c r="AT29" s="540"/>
      <c r="AU29" s="540"/>
      <c r="AV29" s="540"/>
      <c r="AW29" s="540"/>
      <c r="AX29" s="540"/>
      <c r="AY29" s="540"/>
      <c r="AZ29" s="540"/>
      <c r="BA29" s="540"/>
      <c r="BB29" s="540"/>
      <c r="BC29" s="540"/>
      <c r="BD29" s="540"/>
      <c r="BE29" s="540"/>
      <c r="BF29" s="540"/>
      <c r="BG29" s="540"/>
      <c r="BH29" s="540"/>
      <c r="BI29" s="540"/>
      <c r="BJ29" s="540"/>
      <c r="BK29" s="540"/>
      <c r="BL29" s="540"/>
      <c r="BM29" s="540"/>
      <c r="BN29" s="540"/>
      <c r="BO29" s="526">
        <f ca="1">IF(ISERROR(IF(INDEX(Rig_Schedule_View!$I$11:$I$262,MATCH(Well_Data_NK_Upcoming!AG27,Rig_Schedule_View!$B$11:$B$262,0))=0,O29,(INDEX(Rig_Schedule_View!$I$11:$I$262,MATCH(Well_Data_NK_Upcoming!AG27,Rig_Schedule_View!$B$11:$B$262,0))))),O29,(IF(INDEX(Rig_Schedule_View!$I$11:$I$262,MATCH(Well_Data_NK_Upcoming!AG27,Rig_Schedule_View!$B$11:$B$262,0))=0,O29,(INDEX(Rig_Schedule_View!$I$11:$I$262,MATCH(Well_Data_NK_Upcoming!AG27,Rig_Schedule_View!$B$11:$B$262,0))))))</f>
        <v>42222.083333333336</v>
      </c>
      <c r="BP29" s="526">
        <f ca="1">IF(ISERROR(IF(INDEX(Rig_Schedule_View!$J$11:$J$262,MATCH(Well_Data_NK_Upcoming!AG27,Rig_Schedule_View!$B$11:$B$262,0))=0,P29,(INDEX(Rig_Schedule_View!$J$11:$J$262,MATCH(Well_Data_NK_Upcoming!AG27,Rig_Schedule_View!$B$11:$B$262,0))))),P29,(IF(INDEX(Rig_Schedule_View!$J$11:$J$262,MATCH(Well_Data_NK_Upcoming!AG27,Rig_Schedule_View!$B$11:$B$262,0))=0,P29,(INDEX(Rig_Schedule_View!$J$11:$J$262,MATCH(Well_Data_NK_Upcoming!AG27,Rig_Schedule_View!$B$11:$B$262,0))))))</f>
        <v>42258</v>
      </c>
      <c r="BQ29" s="527"/>
      <c r="BR29" s="525"/>
      <c r="BS29" s="525"/>
      <c r="BT29" s="525"/>
      <c r="BU29" s="525"/>
      <c r="BV29" s="525"/>
      <c r="BW29" s="525"/>
      <c r="BX29" s="525"/>
      <c r="BY29" s="525"/>
      <c r="BZ29" s="525"/>
    </row>
    <row r="30" spans="1:78" x14ac:dyDescent="0.25">
      <c r="A30" s="361" t="s">
        <v>1965</v>
      </c>
      <c r="B30" s="540"/>
      <c r="C30" s="540"/>
      <c r="D30" s="529" t="s">
        <v>2398</v>
      </c>
      <c r="E30" s="540"/>
      <c r="F30" s="528" t="str">
        <f t="shared" si="0"/>
        <v/>
      </c>
      <c r="G30" s="540"/>
      <c r="H30" s="536" t="s">
        <v>19</v>
      </c>
      <c r="I30" s="540"/>
      <c r="J30" s="540"/>
      <c r="K30" s="540"/>
      <c r="L30" s="540"/>
      <c r="M30" s="540"/>
      <c r="N30" s="540"/>
      <c r="O30" s="528" t="s">
        <v>1965</v>
      </c>
      <c r="P30" s="540"/>
      <c r="Q30" s="540"/>
      <c r="R30" s="537" t="str">
        <f>IF(ISERROR(VLOOKUP(G30,'Planning and Target Times'!$L$1:$AP$6,MATCH(K30&amp;"_"&amp;L30&amp;"_"&amp;J30,INDEX('Planning and Target Times'!$L$1:$AP$6,1,0),0),0)+5),"",(VLOOKUP(G30,'Planning and Target Times'!$L$1:$AP$6,MATCH(K30&amp;"_"&amp;L30&amp;"_"&amp;J30,INDEX('Planning and Target Times'!$L$1:$AP$6,1,0),0),0)+5))</f>
        <v/>
      </c>
      <c r="S30" s="528" t="str">
        <f t="shared" si="1"/>
        <v/>
      </c>
      <c r="T30" s="538" t="e">
        <f>VLOOKUP(G30,'Planning and Target Times'!$A$7:$G$12,MATCH(K30&amp;"-"&amp;L30&amp;"-"&amp;J30,INDEX('Planning and Target Times'!$A$7:$G$12,1,0),0),0)</f>
        <v>#N/A</v>
      </c>
      <c r="U30" s="540"/>
      <c r="V30" s="540"/>
      <c r="W30" s="540"/>
      <c r="X30" s="535">
        <f t="shared" si="2"/>
        <v>0</v>
      </c>
      <c r="Y30" s="540"/>
      <c r="Z30" s="540"/>
      <c r="AA30" s="540"/>
      <c r="AB30" s="540"/>
      <c r="AC30" s="540"/>
      <c r="AD30" s="540"/>
      <c r="AE30" s="394">
        <v>53</v>
      </c>
      <c r="AF30" s="535"/>
      <c r="AG30" s="540" t="str">
        <f t="shared" si="3"/>
        <v>ETA-OCT</v>
      </c>
      <c r="AH30" s="540" t="str">
        <f t="shared" si="4"/>
        <v>ETA-OCT-KDC-44</v>
      </c>
      <c r="AI30" s="540" t="str">
        <f t="shared" si="5"/>
        <v>ETA-OCT</v>
      </c>
      <c r="AJ30" s="540">
        <f ca="1">IF(P30&gt;0,"RR",IF(O30&gt;0,0,COUNTIF($H$2:H30,H30)-IFERROR(COUNTIF(OFFSET($H$1,0,0,SUMPRODUCT(MAX(($H$2:H30=H30)*ROW($H$2:H30)*($O$2:O30&lt;&gt;""))),1),H30),0)))</f>
        <v>0</v>
      </c>
      <c r="AK30" s="527" t="str">
        <f>IF(ISERROR(VLOOKUP(G30,'Planning and Target Times'!$B$106:$D$110,MATCH(F30,INDEX('Planning and Target Times'!$B$106:$D$110,1,0),0),0)),"",(VLOOKUP(G30,'Planning and Target Times'!$B$106:$D$110,MATCH(F30,INDEX('Planning and Target Times'!$B$106:$D$110,1,0),0),0)))</f>
        <v/>
      </c>
      <c r="AL30" s="528" t="e">
        <f>VLOOKUP(G30,'Planning and Target Times'!$I$2:$J$7,2,0)</f>
        <v>#N/A</v>
      </c>
      <c r="AM30" s="540"/>
      <c r="AN30" s="540"/>
      <c r="AO30" s="540"/>
      <c r="AP30" s="533" t="e">
        <f t="shared" si="6"/>
        <v>#VALUE!</v>
      </c>
      <c r="AQ30" s="540"/>
      <c r="AR30" s="540"/>
      <c r="AS30" s="540"/>
      <c r="AT30" s="540"/>
      <c r="AU30" s="540"/>
      <c r="AV30" s="540"/>
      <c r="AW30" s="540"/>
      <c r="AX30" s="540"/>
      <c r="AY30" s="540"/>
      <c r="AZ30" s="540"/>
      <c r="BA30" s="540"/>
      <c r="BB30" s="540"/>
      <c r="BC30" s="540"/>
      <c r="BD30" s="540"/>
      <c r="BE30" s="540"/>
      <c r="BF30" s="540"/>
      <c r="BG30" s="540"/>
      <c r="BH30" s="540"/>
      <c r="BI30" s="540"/>
      <c r="BJ30" s="540"/>
      <c r="BK30" s="540"/>
      <c r="BL30" s="540"/>
      <c r="BM30" s="540"/>
      <c r="BN30" s="540"/>
      <c r="BO30" s="526">
        <f ca="1">IF(ISERROR(IF(INDEX(Rig_Schedule_View!$I$11:$I$262,MATCH(Well_Data_NK_Upcoming!AG28,Rig_Schedule_View!$B$11:$B$262,0))=0,O30,(INDEX(Rig_Schedule_View!$I$11:$I$262,MATCH(Well_Data_NK_Upcoming!AG28,Rig_Schedule_View!$B$11:$B$262,0))))),O30,(IF(INDEX(Rig_Schedule_View!$I$11:$I$262,MATCH(Well_Data_NK_Upcoming!AG28,Rig_Schedule_View!$B$11:$B$262,0))=0,O30,(INDEX(Rig_Schedule_View!$I$11:$I$262,MATCH(Well_Data_NK_Upcoming!AG28,Rig_Schedule_View!$B$11:$B$262,0))))))</f>
        <v>42115.229166666664</v>
      </c>
      <c r="BP30" s="526">
        <f ca="1">IF(ISERROR(IF(INDEX(Rig_Schedule_View!$J$11:$J$262,MATCH(Well_Data_NK_Upcoming!AG28,Rig_Schedule_View!$B$11:$B$262,0))=0,P30,(INDEX(Rig_Schedule_View!$J$11:$J$262,MATCH(Well_Data_NK_Upcoming!AG28,Rig_Schedule_View!$B$11:$B$262,0))))),P30,(IF(INDEX(Rig_Schedule_View!$J$11:$J$262,MATCH(Well_Data_NK_Upcoming!AG28,Rig_Schedule_View!$B$11:$B$262,0))=0,P30,(INDEX(Rig_Schedule_View!$J$11:$J$262,MATCH(Well_Data_NK_Upcoming!AG28,Rig_Schedule_View!$B$11:$B$262,0))))))</f>
        <v>42268</v>
      </c>
      <c r="BQ30" s="527"/>
      <c r="BR30" s="525"/>
      <c r="BS30" s="525"/>
      <c r="BT30" s="525"/>
      <c r="BU30" s="525"/>
      <c r="BV30" s="525"/>
      <c r="BW30" s="525"/>
      <c r="BX30" s="525"/>
      <c r="BY30" s="525"/>
      <c r="BZ30" s="525"/>
    </row>
    <row r="31" spans="1:78" x14ac:dyDescent="0.25">
      <c r="A31" s="540" t="s">
        <v>1434</v>
      </c>
      <c r="B31" s="540" t="s">
        <v>1434</v>
      </c>
      <c r="C31" s="540" t="s">
        <v>1920</v>
      </c>
      <c r="D31" s="533" t="s">
        <v>2251</v>
      </c>
      <c r="E31" s="540"/>
      <c r="F31" s="528" t="str">
        <f t="shared" si="0"/>
        <v>SA</v>
      </c>
      <c r="G31" s="540" t="s">
        <v>17</v>
      </c>
      <c r="H31" s="400" t="s">
        <v>430</v>
      </c>
      <c r="I31" s="540" t="s">
        <v>16</v>
      </c>
      <c r="J31" s="540" t="s">
        <v>298</v>
      </c>
      <c r="K31" s="540" t="s">
        <v>14</v>
      </c>
      <c r="L31" s="540" t="s">
        <v>1410</v>
      </c>
      <c r="M31" s="539"/>
      <c r="N31" s="540"/>
      <c r="O31" s="532" t="s">
        <v>584</v>
      </c>
      <c r="P31" s="540"/>
      <c r="Q31" s="540"/>
      <c r="R31" s="537">
        <f>IF(ISERROR(VLOOKUP(G31,'Planning and Target Times'!$L$1:$AP$6,MATCH(K31&amp;"_"&amp;L31&amp;"_"&amp;J31,INDEX('Planning and Target Times'!$L$1:$AP$6,1,0),0),0)+5),"",(VLOOKUP(G31,'Planning and Target Times'!$L$1:$AP$6,MATCH(K31&amp;"_"&amp;L31&amp;"_"&amp;J31,INDEX('Planning and Target Times'!$L$1:$AP$6,1,0),0),0)+5))</f>
        <v>75</v>
      </c>
      <c r="S31" s="528">
        <f t="shared" si="1"/>
        <v>70</v>
      </c>
      <c r="T31" s="538">
        <f>VLOOKUP(G31,'Planning and Target Times'!$A$7:$G$12,MATCH(K31&amp;"-"&amp;L31&amp;"-"&amp;J31,INDEX('Planning and Target Times'!$A$7:$G$12,1,0),0),0)</f>
        <v>35</v>
      </c>
      <c r="U31" s="540"/>
      <c r="V31" s="540"/>
      <c r="W31" s="540"/>
      <c r="X31" s="535" t="str">
        <f t="shared" si="2"/>
        <v>MA</v>
      </c>
      <c r="Y31" s="540"/>
      <c r="Z31" s="540"/>
      <c r="AA31" s="540"/>
      <c r="AB31" s="540"/>
      <c r="AC31" s="540"/>
      <c r="AD31" s="540"/>
      <c r="AE31" s="528">
        <v>40</v>
      </c>
      <c r="AF31" s="528"/>
      <c r="AG31" s="540" t="str">
        <f t="shared" si="3"/>
        <v>SA-0587-SA-MA-Prod-NW-HZ-BHI</v>
      </c>
      <c r="AH31" s="540" t="str">
        <f t="shared" si="4"/>
        <v>SA-0587-KDC-49</v>
      </c>
      <c r="AI31" s="540" t="str">
        <f t="shared" si="5"/>
        <v>SA-0587-MA-NW-Prod</v>
      </c>
      <c r="AJ31" s="540">
        <f ca="1">IF(P31&gt;0,"RR",IF(O31&gt;0,0,COUNTIF($H$2:H31,H31)-IFERROR(COUNTIF(OFFSET($H$1,0,0,SUMPRODUCT(MAX(($H$2:H31=H31)*ROW($H$2:H31)*($O$2:O31&lt;&gt;""))),1),H31),0)))</f>
        <v>0</v>
      </c>
      <c r="AK31" s="527">
        <f>IF(ISERROR(VLOOKUP(G31,'Planning and Target Times'!$B$106:$D$110,MATCH(F31,INDEX('Planning and Target Times'!$B$106:$D$110,1,0),0),0)),"",(VLOOKUP(G31,'Planning and Target Times'!$B$106:$D$110,MATCH(F31,INDEX('Planning and Target Times'!$B$106:$D$110,1,0),0),0)))</f>
        <v>740</v>
      </c>
      <c r="AL31" s="528" t="str">
        <f>VLOOKUP(G31,'Planning and Target Times'!$I$2:$J$7,2,0)</f>
        <v>Carbonate</v>
      </c>
      <c r="AM31" s="540"/>
      <c r="AN31" s="540"/>
      <c r="AO31" s="540"/>
      <c r="AP31" s="533">
        <f t="shared" si="6"/>
        <v>9.8666666666666671</v>
      </c>
      <c r="AQ31" s="540"/>
      <c r="AR31" s="540"/>
      <c r="AS31" s="540"/>
      <c r="AT31" s="540"/>
      <c r="AU31" s="540"/>
      <c r="AV31" s="540"/>
      <c r="AW31" s="540"/>
      <c r="AX31" s="540"/>
      <c r="AY31" s="540"/>
      <c r="AZ31" s="540"/>
      <c r="BA31" s="540"/>
      <c r="BB31" s="540"/>
      <c r="BC31" s="540"/>
      <c r="BD31" s="540"/>
      <c r="BE31" s="540"/>
      <c r="BF31" s="540"/>
      <c r="BG31" s="540"/>
      <c r="BH31" s="540"/>
      <c r="BI31" s="540"/>
      <c r="BJ31" s="540"/>
      <c r="BK31" s="540"/>
      <c r="BL31" s="540"/>
      <c r="BM31" s="540"/>
      <c r="BN31" s="540"/>
      <c r="BO31" s="526">
        <f ca="1">IF(ISERROR(IF(INDEX(Rig_Schedule_View!$I$11:$I$262,MATCH(Well_Data_NK_Upcoming!AG29,Rig_Schedule_View!$B$11:$B$262,0))=0,O31,(INDEX(Rig_Schedule_View!$I$11:$I$262,MATCH(Well_Data_NK_Upcoming!AG29,Rig_Schedule_View!$B$11:$B$262,0))))),O31,(IF(INDEX(Rig_Schedule_View!$I$11:$I$262,MATCH(Well_Data_NK_Upcoming!AG29,Rig_Schedule_View!$B$11:$B$262,0))=0,O31,(INDEX(Rig_Schedule_View!$I$11:$I$262,MATCH(Well_Data_NK_Upcoming!AG29,Rig_Schedule_View!$B$11:$B$262,0))))))</f>
        <v>42215.854166666664</v>
      </c>
      <c r="BP31" s="526">
        <f ca="1">IF(ISERROR(IF(INDEX(Rig_Schedule_View!$J$11:$J$262,MATCH(Well_Data_NK_Upcoming!AG29,Rig_Schedule_View!$B$11:$B$262,0))=0,P31,(INDEX(Rig_Schedule_View!$J$11:$J$262,MATCH(Well_Data_NK_Upcoming!AG29,Rig_Schedule_View!$B$11:$B$262,0))))),P31,(IF(INDEX(Rig_Schedule_View!$J$11:$J$262,MATCH(Well_Data_NK_Upcoming!AG29,Rig_Schedule_View!$B$11:$B$262,0))=0,P31,(INDEX(Rig_Schedule_View!$J$11:$J$262,MATCH(Well_Data_NK_Upcoming!AG29,Rig_Schedule_View!$B$11:$B$262,0))))))</f>
        <v>42243</v>
      </c>
      <c r="BQ31" s="527"/>
      <c r="BR31" s="525"/>
      <c r="BS31" s="525"/>
      <c r="BT31" s="525"/>
      <c r="BU31" s="525"/>
      <c r="BV31" s="525"/>
      <c r="BW31" s="525"/>
      <c r="BX31" s="525"/>
      <c r="BY31" s="525"/>
      <c r="BZ31" s="525"/>
    </row>
    <row r="32" spans="1:78" x14ac:dyDescent="0.25">
      <c r="A32" s="540" t="s">
        <v>1447</v>
      </c>
      <c r="B32" s="540" t="s">
        <v>1447</v>
      </c>
      <c r="C32" s="540" t="s">
        <v>1447</v>
      </c>
      <c r="D32" s="529" t="s">
        <v>2280</v>
      </c>
      <c r="E32" s="540"/>
      <c r="F32" s="528" t="str">
        <f t="shared" si="0"/>
        <v>RA</v>
      </c>
      <c r="G32" s="540" t="s">
        <v>29</v>
      </c>
      <c r="H32" s="536" t="s">
        <v>513</v>
      </c>
      <c r="I32" s="540" t="s">
        <v>39</v>
      </c>
      <c r="J32" s="540" t="s">
        <v>298</v>
      </c>
      <c r="K32" s="540" t="s">
        <v>14</v>
      </c>
      <c r="L32" s="540" t="s">
        <v>1410</v>
      </c>
      <c r="M32" s="539"/>
      <c r="N32" s="540"/>
      <c r="O32" s="532" t="s">
        <v>584</v>
      </c>
      <c r="P32" s="540"/>
      <c r="Q32" s="540"/>
      <c r="R32" s="537">
        <f>IF(ISERROR(VLOOKUP(G32,'Planning and Target Times'!$L$1:$AP$6,MATCH(K32&amp;"_"&amp;L32&amp;"_"&amp;J32,INDEX('Planning and Target Times'!$L$1:$AP$6,1,0),0),0)+5),"",(VLOOKUP(G32,'Planning and Target Times'!$L$1:$AP$6,MATCH(K32&amp;"_"&amp;L32&amp;"_"&amp;J32,INDEX('Planning and Target Times'!$L$1:$AP$6,1,0),0),0)+5))</f>
        <v>75</v>
      </c>
      <c r="S32" s="528">
        <f t="shared" si="1"/>
        <v>70</v>
      </c>
      <c r="T32" s="538">
        <f>VLOOKUP(G32,'Planning and Target Times'!$A$7:$G$12,MATCH(K32&amp;"-"&amp;L32&amp;"-"&amp;J32,INDEX('Planning and Target Times'!$A$7:$G$12,1,0),0),0)</f>
        <v>35</v>
      </c>
      <c r="U32" s="540"/>
      <c r="V32" s="540"/>
      <c r="W32" s="540"/>
      <c r="X32" s="535" t="str">
        <f t="shared" si="2"/>
        <v>UB</v>
      </c>
      <c r="Y32" s="540"/>
      <c r="Z32" s="540"/>
      <c r="AA32" s="540"/>
      <c r="AB32" s="540"/>
      <c r="AC32" s="540"/>
      <c r="AD32" s="540"/>
      <c r="AE32" s="540" t="s">
        <v>91</v>
      </c>
      <c r="AF32" s="528"/>
      <c r="AG32" s="540" t="str">
        <f t="shared" si="3"/>
        <v>RA-0590-RA-UB-Prod-NW-HZ-WFD</v>
      </c>
      <c r="AH32" s="540" t="str">
        <f t="shared" si="4"/>
        <v>RA-0590-NDSC-15</v>
      </c>
      <c r="AI32" s="540" t="str">
        <f t="shared" si="5"/>
        <v>RA-0590-UB-NW-Prod</v>
      </c>
      <c r="AJ32" s="540">
        <f ca="1">IF(P32&gt;0,"RR",IF(O32&gt;0,0,COUNTIF($H$2:H32,H32)-IFERROR(COUNTIF(OFFSET($H$1,0,0,SUMPRODUCT(MAX(($H$2:H32=H32)*ROW($H$2:H32)*($O$2:O32&lt;&gt;""))),1),H32),0)))</f>
        <v>0</v>
      </c>
      <c r="AK32" s="527">
        <f>IF(ISERROR(VLOOKUP(G32,'Planning and Target Times'!$B$106:$D$110,MATCH(F32,INDEX('Planning and Target Times'!$B$106:$D$110,1,0),0),0)),"",(VLOOKUP(G32,'Planning and Target Times'!$B$106:$D$110,MATCH(F32,INDEX('Planning and Target Times'!$B$106:$D$110,1,0),0),0)))</f>
        <v>940</v>
      </c>
      <c r="AL32" s="528" t="str">
        <f>VLOOKUP(G32,'Planning and Target Times'!$I$2:$J$7,2,0)</f>
        <v>Sandstone</v>
      </c>
      <c r="AM32" s="540"/>
      <c r="AN32" s="540"/>
      <c r="AO32" s="540"/>
      <c r="AP32" s="533">
        <f t="shared" si="6"/>
        <v>12.533333333333333</v>
      </c>
      <c r="AQ32" s="540"/>
      <c r="AR32" s="540"/>
      <c r="AS32" s="540"/>
      <c r="AT32" s="540"/>
      <c r="AU32" s="540"/>
      <c r="AV32" s="540"/>
      <c r="AW32" s="540"/>
      <c r="AX32" s="540"/>
      <c r="AY32" s="540"/>
      <c r="AZ32" s="540"/>
      <c r="BA32" s="540"/>
      <c r="BB32" s="540"/>
      <c r="BC32" s="540"/>
      <c r="BD32" s="540"/>
      <c r="BE32" s="540"/>
      <c r="BF32" s="540"/>
      <c r="BG32" s="540"/>
      <c r="BH32" s="540"/>
      <c r="BI32" s="540"/>
      <c r="BJ32" s="540"/>
      <c r="BK32" s="540"/>
      <c r="BL32" s="540"/>
      <c r="BM32" s="540"/>
      <c r="BN32" s="540"/>
      <c r="BO32" s="526">
        <f ca="1">IF(ISERROR(IF(INDEX(Rig_Schedule_View!$I$11:$I$262,MATCH(Well_Data_NK_Upcoming!AG51,Rig_Schedule_View!$B$11:$B$262,0))=0,O32,(INDEX(Rig_Schedule_View!$I$11:$I$262,MATCH(Well_Data_NK_Upcoming!AG51,Rig_Schedule_View!$B$11:$B$262,0))))),O32,(IF(INDEX(Rig_Schedule_View!$I$11:$I$262,MATCH(Well_Data_NK_Upcoming!AG51,Rig_Schedule_View!$B$11:$B$262,0))=0,O32,(INDEX(Rig_Schedule_View!$I$11:$I$262,MATCH(Well_Data_NK_Upcoming!AG51,Rig_Schedule_View!$B$11:$B$262,0))))))</f>
        <v>42291</v>
      </c>
      <c r="BP32" s="526">
        <f ca="1">IF(ISERROR(IF(INDEX(Rig_Schedule_View!$J$11:$J$262,MATCH(Well_Data_NK_Upcoming!AG51,Rig_Schedule_View!$B$11:$B$262,0))=0,P32,(INDEX(Rig_Schedule_View!$J$11:$J$262,MATCH(Well_Data_NK_Upcoming!AG51,Rig_Schedule_View!$B$11:$B$262,0))))),P32,(IF(INDEX(Rig_Schedule_View!$J$11:$J$262,MATCH(Well_Data_NK_Upcoming!AG51,Rig_Schedule_View!$B$11:$B$262,0))=0,P32,(INDEX(Rig_Schedule_View!$J$11:$J$262,MATCH(Well_Data_NK_Upcoming!AG51,Rig_Schedule_View!$B$11:$B$262,0))))))</f>
        <v>42354</v>
      </c>
      <c r="BQ32" s="527"/>
      <c r="BR32" s="525"/>
      <c r="BS32" s="525"/>
      <c r="BT32" s="525"/>
      <c r="BU32" s="525"/>
      <c r="BV32" s="525"/>
      <c r="BW32" s="525"/>
      <c r="BX32" s="525"/>
      <c r="BY32" s="525"/>
      <c r="BZ32" s="525"/>
    </row>
    <row r="33" spans="1:78" x14ac:dyDescent="0.25">
      <c r="A33" s="540" t="s">
        <v>1593</v>
      </c>
      <c r="B33" s="540" t="s">
        <v>1593</v>
      </c>
      <c r="C33" s="540" t="s">
        <v>2209</v>
      </c>
      <c r="D33" s="533" t="s">
        <v>2253</v>
      </c>
      <c r="E33" s="540"/>
      <c r="F33" s="528" t="str">
        <f t="shared" si="0"/>
        <v>SA</v>
      </c>
      <c r="G33" s="540" t="s">
        <v>17</v>
      </c>
      <c r="H33" s="536" t="s">
        <v>512</v>
      </c>
      <c r="I33" s="540" t="s">
        <v>24</v>
      </c>
      <c r="J33" s="540" t="s">
        <v>298</v>
      </c>
      <c r="K33" s="540" t="s">
        <v>18</v>
      </c>
      <c r="L33" s="540" t="s">
        <v>1410</v>
      </c>
      <c r="M33" s="539"/>
      <c r="N33" s="540"/>
      <c r="O33" s="532">
        <v>42222.041666666664</v>
      </c>
      <c r="P33" s="540"/>
      <c r="Q33" s="540"/>
      <c r="R33" s="537">
        <f>IF(ISERROR(VLOOKUP(G33,'Planning and Target Times'!$L$1:$AP$6,MATCH(K33&amp;"_"&amp;L33&amp;"_"&amp;J33,INDEX('Planning and Target Times'!$L$1:$AP$6,1,0),0),0)+5),"",(VLOOKUP(G33,'Planning and Target Times'!$L$1:$AP$6,MATCH(K33&amp;"_"&amp;L33&amp;"_"&amp;J33,INDEX('Planning and Target Times'!$L$1:$AP$6,1,0),0),0)+5))</f>
        <v>61</v>
      </c>
      <c r="S33" s="528">
        <f t="shared" si="1"/>
        <v>56</v>
      </c>
      <c r="T33" s="538">
        <f>VLOOKUP(G33,'Planning and Target Times'!$A$7:$G$12,MATCH(K33&amp;"-"&amp;L33&amp;"-"&amp;J33,INDEX('Planning and Target Times'!$A$7:$G$12,1,0),0),0)</f>
        <v>27</v>
      </c>
      <c r="U33" s="540"/>
      <c r="V33" s="540"/>
      <c r="W33" s="540"/>
      <c r="X33" s="535" t="str">
        <f t="shared" si="2"/>
        <v>MA</v>
      </c>
      <c r="Y33" s="540"/>
      <c r="Z33" s="540"/>
      <c r="AA33" s="540"/>
      <c r="AB33" s="540"/>
      <c r="AC33" s="540"/>
      <c r="AD33" s="540"/>
      <c r="AE33" s="466">
        <v>14</v>
      </c>
      <c r="AF33" s="528"/>
      <c r="AG33" s="540" t="str">
        <f t="shared" si="3"/>
        <v>SA-0166-SA-MA-Prod-ST-HZ-SLB</v>
      </c>
      <c r="AH33" s="540" t="str">
        <f t="shared" si="4"/>
        <v>SA-0166-NDSC-16</v>
      </c>
      <c r="AI33" s="540" t="str">
        <f t="shared" si="5"/>
        <v>SA-0166-MA-ST-Prod</v>
      </c>
      <c r="AJ33" s="540">
        <f ca="1">IF(P33&gt;0,"RR",IF(O33&gt;0,0,COUNTIF($H$2:H33,H33)-IFERROR(COUNTIF(OFFSET($H$1,0,0,SUMPRODUCT(MAX(($H$2:H33=H33)*ROW($H$2:H33)*($O$2:O33&lt;&gt;""))),1),H33),0)))</f>
        <v>0</v>
      </c>
      <c r="AK33" s="527">
        <f>IF(ISERROR(VLOOKUP(G33,'Planning and Target Times'!$B$106:$D$110,MATCH(F33,INDEX('Planning and Target Times'!$B$106:$D$110,1,0),0),0)),"",(VLOOKUP(G33,'Planning and Target Times'!$B$106:$D$110,MATCH(F33,INDEX('Planning and Target Times'!$B$106:$D$110,1,0),0),0)))</f>
        <v>740</v>
      </c>
      <c r="AL33" s="528" t="str">
        <f>VLOOKUP(G33,'Planning and Target Times'!$I$2:$J$7,2,0)</f>
        <v>Carbonate</v>
      </c>
      <c r="AM33" s="540"/>
      <c r="AN33" s="540"/>
      <c r="AO33" s="540"/>
      <c r="AP33" s="533">
        <f t="shared" si="6"/>
        <v>12.131147540983607</v>
      </c>
      <c r="AQ33" s="540"/>
      <c r="AR33" s="540"/>
      <c r="AS33" s="540"/>
      <c r="AT33" s="540"/>
      <c r="AU33" s="540"/>
      <c r="AV33" s="540"/>
      <c r="AW33" s="540"/>
      <c r="AX33" s="540"/>
      <c r="AY33" s="540"/>
      <c r="AZ33" s="540"/>
      <c r="BA33" s="540"/>
      <c r="BB33" s="540"/>
      <c r="BC33" s="540"/>
      <c r="BD33" s="540"/>
      <c r="BE33" s="540"/>
      <c r="BF33" s="540"/>
      <c r="BG33" s="540"/>
      <c r="BH33" s="540"/>
      <c r="BI33" s="540"/>
      <c r="BJ33" s="540"/>
      <c r="BK33" s="540"/>
      <c r="BL33" s="540"/>
      <c r="BM33" s="540"/>
      <c r="BN33" s="540"/>
      <c r="BO33" s="526" t="str">
        <f ca="1">IF(ISERROR(IF(INDEX(Rig_Schedule_View!$I$11:$I$262,MATCH(Well_Data_NK_Upcoming!AG31,Rig_Schedule_View!$B$11:$B$262,0))=0,O33,(INDEX(Rig_Schedule_View!$I$11:$I$262,MATCH(Well_Data_NK_Upcoming!AG31,Rig_Schedule_View!$B$11:$B$262,0))))),O33,(IF(INDEX(Rig_Schedule_View!$I$11:$I$262,MATCH(Well_Data_NK_Upcoming!AG31,Rig_Schedule_View!$B$11:$B$262,0))=0,O33,(INDEX(Rig_Schedule_View!$I$11:$I$262,MATCH(Well_Data_NK_Upcoming!AG31,Rig_Schedule_View!$B$11:$B$262,0))))))</f>
        <v>RigMove</v>
      </c>
      <c r="BP33" s="526">
        <f ca="1">IF(ISERROR(IF(INDEX(Rig_Schedule_View!$J$11:$J$262,MATCH(Well_Data_NK_Upcoming!AG31,Rig_Schedule_View!$B$11:$B$262,0))=0,P33,(INDEX(Rig_Schedule_View!$J$11:$J$262,MATCH(Well_Data_NK_Upcoming!AG31,Rig_Schedule_View!$B$11:$B$262,0))))),P33,(IF(INDEX(Rig_Schedule_View!$J$11:$J$262,MATCH(Well_Data_NK_Upcoming!AG31,Rig_Schedule_View!$B$11:$B$262,0))=0,P33,(INDEX(Rig_Schedule_View!$J$11:$J$262,MATCH(Well_Data_NK_Upcoming!AG31,Rig_Schedule_View!$B$11:$B$262,0))))))</f>
        <v>42273</v>
      </c>
      <c r="BQ33" s="527"/>
      <c r="BR33" s="525"/>
      <c r="BS33" s="525"/>
      <c r="BT33" s="525"/>
      <c r="BU33" s="525"/>
      <c r="BV33" s="525"/>
      <c r="BW33" s="525"/>
      <c r="BX33" s="525"/>
      <c r="BY33" s="525"/>
      <c r="BZ33" s="525"/>
    </row>
    <row r="34" spans="1:78" x14ac:dyDescent="0.25">
      <c r="A34" s="540" t="s">
        <v>1424</v>
      </c>
      <c r="B34" s="540" t="s">
        <v>1424</v>
      </c>
      <c r="C34" s="540" t="s">
        <v>1424</v>
      </c>
      <c r="D34" s="533" t="s">
        <v>2254</v>
      </c>
      <c r="E34" s="540"/>
      <c r="F34" s="528" t="str">
        <f t="shared" si="0"/>
        <v>RA</v>
      </c>
      <c r="G34" s="540" t="s">
        <v>22</v>
      </c>
      <c r="H34" s="536" t="s">
        <v>511</v>
      </c>
      <c r="I34" s="540" t="s">
        <v>24</v>
      </c>
      <c r="J34" s="540" t="s">
        <v>298</v>
      </c>
      <c r="K34" s="540" t="s">
        <v>14</v>
      </c>
      <c r="L34" s="540" t="s">
        <v>1416</v>
      </c>
      <c r="M34" s="539"/>
      <c r="N34" s="540"/>
      <c r="O34" s="532">
        <v>42195</v>
      </c>
      <c r="P34" s="540"/>
      <c r="Q34" s="540"/>
      <c r="R34" s="537">
        <f>IF(ISERROR(VLOOKUP(G34,'Planning and Target Times'!$L$1:$AP$6,MATCH(K34&amp;"_"&amp;L34&amp;"_"&amp;J34,INDEX('Planning and Target Times'!$L$1:$AP$6,1,0),0),0)+5),"",(VLOOKUP(G34,'Planning and Target Times'!$L$1:$AP$6,MATCH(K34&amp;"_"&amp;L34&amp;"_"&amp;J34,INDEX('Planning and Target Times'!$L$1:$AP$6,1,0),0),0)+5))</f>
        <v>75</v>
      </c>
      <c r="S34" s="528">
        <f t="shared" ref="S34:S65" si="7">IF(ISERROR(R34-5),"",R34-5)</f>
        <v>70</v>
      </c>
      <c r="T34" s="538">
        <f>VLOOKUP(G34,'Planning and Target Times'!$A$7:$G$12,MATCH(K34&amp;"-"&amp;L34&amp;"-"&amp;J34,INDEX('Planning and Target Times'!$A$7:$G$12,1,0),0),0)</f>
        <v>33</v>
      </c>
      <c r="U34" s="540"/>
      <c r="V34" s="540"/>
      <c r="W34" s="540"/>
      <c r="X34" s="535" t="str">
        <f t="shared" ref="X34:X65" si="8">IF(OR(G34="ZU",G34="RT"),"ZU/RT",G34)</f>
        <v>LB</v>
      </c>
      <c r="Y34" s="540"/>
      <c r="Z34" s="540"/>
      <c r="AA34" s="540"/>
      <c r="AB34" s="540"/>
      <c r="AC34" s="540"/>
      <c r="AD34" s="540"/>
      <c r="AE34" s="540">
        <v>14</v>
      </c>
      <c r="AF34" s="528"/>
      <c r="AG34" s="540" t="str">
        <f t="shared" ref="AG34:AG65" si="9">SUBSTITUTE(TRIM(A34&amp;" "&amp;F34&amp;" "&amp;G34&amp;" "&amp;J34&amp;" "&amp;K34&amp;" "&amp;L34&amp;" "&amp;I34)," ","-")</f>
        <v>RA-0577-RA-LB-Prod-NW-SL-SLB</v>
      </c>
      <c r="AH34" s="540" t="str">
        <f t="shared" ref="AH34:AH65" si="10">IF(A34&lt;&gt;"",A34&amp;"-"&amp;H34,"")</f>
        <v>RA-0577-NDSC-17</v>
      </c>
      <c r="AI34" s="540" t="str">
        <f t="shared" ref="AI34:AI65" si="11">SUBSTITUTE(TRIM(A34&amp;" "&amp;G34&amp;" "&amp;K34&amp;" "&amp;J34)," ","-")</f>
        <v>RA-0577-LB-NW-Prod</v>
      </c>
      <c r="AJ34" s="540">
        <f ca="1">IF(P34&gt;0,"RR",IF(O34&gt;0,0,COUNTIF($H$2:H34,H34)-IFERROR(COUNTIF(OFFSET($H$1,0,0,SUMPRODUCT(MAX(($H$2:H34=H34)*ROW($H$2:H34)*($O$2:O34&lt;&gt;""))),1),H34),0)))</f>
        <v>0</v>
      </c>
      <c r="AK34" s="527">
        <f>IF(ISERROR(VLOOKUP(G34,'Planning and Target Times'!$B$106:$D$110,MATCH(F34,INDEX('Planning and Target Times'!$B$106:$D$110,1,0),0),0)),"",(VLOOKUP(G34,'Planning and Target Times'!$B$106:$D$110,MATCH(F34,INDEX('Planning and Target Times'!$B$106:$D$110,1,0),0),0)))</f>
        <v>900</v>
      </c>
      <c r="AL34" s="528" t="str">
        <f>VLOOKUP(G34,'Planning and Target Times'!$I$2:$J$7,2,0)</f>
        <v>Sandstone</v>
      </c>
      <c r="AM34" s="540"/>
      <c r="AN34" s="540"/>
      <c r="AO34" s="540"/>
      <c r="AP34" s="533">
        <f t="shared" ref="AP34:AP65" si="12">AK34/R34</f>
        <v>12</v>
      </c>
      <c r="AQ34" s="540"/>
      <c r="AR34" s="540"/>
      <c r="AS34" s="540"/>
      <c r="AT34" s="540"/>
      <c r="AU34" s="540"/>
      <c r="AV34" s="540"/>
      <c r="AW34" s="540"/>
      <c r="AX34" s="540"/>
      <c r="AY34" s="540"/>
      <c r="AZ34" s="540"/>
      <c r="BA34" s="540"/>
      <c r="BB34" s="540"/>
      <c r="BC34" s="540"/>
      <c r="BD34" s="540"/>
      <c r="BE34" s="540"/>
      <c r="BF34" s="540"/>
      <c r="BG34" s="540"/>
      <c r="BH34" s="540"/>
      <c r="BI34" s="540"/>
      <c r="BJ34" s="540"/>
      <c r="BK34" s="540"/>
      <c r="BL34" s="540"/>
      <c r="BM34" s="540"/>
      <c r="BN34" s="540"/>
      <c r="BO34" s="526" t="str">
        <f ca="1">IF(ISERROR(IF(INDEX(Rig_Schedule_View!$I$11:$I$262,MATCH(Well_Data_NK_Upcoming!AG32,Rig_Schedule_View!$B$11:$B$262,0))=0,O34,(INDEX(Rig_Schedule_View!$I$11:$I$262,MATCH(Well_Data_NK_Upcoming!AG32,Rig_Schedule_View!$B$11:$B$262,0))))),O34,(IF(INDEX(Rig_Schedule_View!$I$11:$I$262,MATCH(Well_Data_NK_Upcoming!AG32,Rig_Schedule_View!$B$11:$B$262,0))=0,O34,(INDEX(Rig_Schedule_View!$I$11:$I$262,MATCH(Well_Data_NK_Upcoming!AG32,Rig_Schedule_View!$B$11:$B$262,0))))))</f>
        <v>RigMove</v>
      </c>
      <c r="BP34" s="526" t="str">
        <f ca="1">IF(ISERROR(IF(INDEX(Rig_Schedule_View!$J$11:$J$262,MATCH(Well_Data_NK_Upcoming!AG32,Rig_Schedule_View!$B$11:$B$262,0))=0,P34,(INDEX(Rig_Schedule_View!$J$11:$J$262,MATCH(Well_Data_NK_Upcoming!AG32,Rig_Schedule_View!$B$11:$B$262,0))))),P34,(IF(INDEX(Rig_Schedule_View!$J$11:$J$262,MATCH(Well_Data_NK_Upcoming!AG32,Rig_Schedule_View!$B$11:$B$262,0))=0,P34,(INDEX(Rig_Schedule_View!$J$11:$J$262,MATCH(Well_Data_NK_Upcoming!AG32,Rig_Schedule_View!$B$11:$B$262,0))))))</f>
        <v/>
      </c>
      <c r="BQ34" s="527"/>
      <c r="BR34" s="525"/>
      <c r="BS34" s="525"/>
      <c r="BT34" s="525"/>
      <c r="BU34" s="525"/>
      <c r="BV34" s="525"/>
      <c r="BW34" s="525"/>
      <c r="BX34" s="525"/>
      <c r="BY34" s="525"/>
      <c r="BZ34" s="525"/>
    </row>
    <row r="35" spans="1:78" x14ac:dyDescent="0.25">
      <c r="A35" s="540" t="s">
        <v>1503</v>
      </c>
      <c r="B35" s="540" t="s">
        <v>1503</v>
      </c>
      <c r="C35" s="466" t="s">
        <v>1503</v>
      </c>
      <c r="D35" s="533" t="s">
        <v>2255</v>
      </c>
      <c r="E35" s="540"/>
      <c r="F35" s="528" t="str">
        <f t="shared" si="0"/>
        <v>RA</v>
      </c>
      <c r="G35" s="540" t="s">
        <v>29</v>
      </c>
      <c r="H35" s="536" t="s">
        <v>23</v>
      </c>
      <c r="I35" s="540" t="s">
        <v>24</v>
      </c>
      <c r="J35" s="540" t="s">
        <v>298</v>
      </c>
      <c r="K35" s="540" t="s">
        <v>14</v>
      </c>
      <c r="L35" s="540" t="s">
        <v>1416</v>
      </c>
      <c r="M35" s="539"/>
      <c r="N35" s="540"/>
      <c r="O35" s="532">
        <v>42195.166666666664</v>
      </c>
      <c r="P35" s="540"/>
      <c r="Q35" s="540"/>
      <c r="R35" s="537">
        <f>IF(ISERROR(VLOOKUP(G35,'Planning and Target Times'!$L$1:$AP$6,MATCH(K35&amp;"_"&amp;L35&amp;"_"&amp;J35,INDEX('Planning and Target Times'!$L$1:$AP$6,1,0),0),0)+5),"",(VLOOKUP(G35,'Planning and Target Times'!$L$1:$AP$6,MATCH(K35&amp;"_"&amp;L35&amp;"_"&amp;J35,INDEX('Planning and Target Times'!$L$1:$AP$6,1,0),0),0)+5))</f>
        <v>75</v>
      </c>
      <c r="S35" s="528">
        <f t="shared" si="7"/>
        <v>70</v>
      </c>
      <c r="T35" s="538">
        <f>VLOOKUP(G35,'Planning and Target Times'!$A$7:$G$12,MATCH(K35&amp;"-"&amp;L35&amp;"-"&amp;J35,INDEX('Planning and Target Times'!$A$7:$G$12,1,0),0),0)</f>
        <v>33</v>
      </c>
      <c r="U35" s="540"/>
      <c r="V35" s="540"/>
      <c r="W35" s="540"/>
      <c r="X35" s="535" t="str">
        <f t="shared" si="8"/>
        <v>UB</v>
      </c>
      <c r="Y35" s="540"/>
      <c r="Z35" s="540"/>
      <c r="AA35" s="540"/>
      <c r="AB35" s="540"/>
      <c r="AC35" s="540"/>
      <c r="AD35" s="540"/>
      <c r="AE35" s="540">
        <v>12</v>
      </c>
      <c r="AF35" s="528"/>
      <c r="AG35" s="540" t="str">
        <f t="shared" si="9"/>
        <v>RA-0592-RA-UB-Prod-NW-SL-SLB</v>
      </c>
      <c r="AH35" s="540" t="str">
        <f t="shared" si="10"/>
        <v>RA-0592-SP-158</v>
      </c>
      <c r="AI35" s="540" t="str">
        <f t="shared" si="11"/>
        <v>RA-0592-UB-NW-Prod</v>
      </c>
      <c r="AJ35" s="540">
        <f ca="1">IF(P35&gt;0,"RR",IF(O35&gt;0,0,COUNTIF($H$2:H35,H35)-IFERROR(COUNTIF(OFFSET($H$1,0,0,SUMPRODUCT(MAX(($H$2:H35=H35)*ROW($H$2:H35)*($O$2:O35&lt;&gt;""))),1),H35),0)))</f>
        <v>0</v>
      </c>
      <c r="AK35" s="527">
        <f>IF(ISERROR(VLOOKUP(G35,'Planning and Target Times'!$B$106:$D$110,MATCH(F35,INDEX('Planning and Target Times'!$B$106:$D$110,1,0),0),0)),"",(VLOOKUP(G35,'Planning and Target Times'!$B$106:$D$110,MATCH(F35,INDEX('Planning and Target Times'!$B$106:$D$110,1,0),0),0)))</f>
        <v>940</v>
      </c>
      <c r="AL35" s="528" t="str">
        <f>VLOOKUP(G35,'Planning and Target Times'!$I$2:$J$7,2,0)</f>
        <v>Sandstone</v>
      </c>
      <c r="AM35" s="540"/>
      <c r="AN35" s="540"/>
      <c r="AO35" s="540"/>
      <c r="AP35" s="533">
        <f t="shared" si="12"/>
        <v>12.533333333333333</v>
      </c>
      <c r="AQ35" s="540"/>
      <c r="AR35" s="540"/>
      <c r="AS35" s="540"/>
      <c r="AT35" s="540"/>
      <c r="AU35" s="540"/>
      <c r="AV35" s="540"/>
      <c r="AW35" s="540"/>
      <c r="AX35" s="540"/>
      <c r="AY35" s="540"/>
      <c r="AZ35" s="540"/>
      <c r="BA35" s="540"/>
      <c r="BB35" s="540"/>
      <c r="BC35" s="540"/>
      <c r="BD35" s="540"/>
      <c r="BE35" s="540"/>
      <c r="BF35" s="540"/>
      <c r="BG35" s="540"/>
      <c r="BH35" s="540"/>
      <c r="BI35" s="540"/>
      <c r="BJ35" s="540"/>
      <c r="BK35" s="540"/>
      <c r="BL35" s="540"/>
      <c r="BM35" s="540"/>
      <c r="BN35" s="540"/>
      <c r="BO35" s="526">
        <f ca="1">IF(ISERROR(IF(INDEX(Rig_Schedule_View!$I$11:$I$262,MATCH(Well_Data_NK_Upcoming!AG33,Rig_Schedule_View!$B$11:$B$262,0))=0,O35,(INDEX(Rig_Schedule_View!$I$11:$I$262,MATCH(Well_Data_NK_Upcoming!AG33,Rig_Schedule_View!$B$11:$B$262,0))))),O35,(IF(INDEX(Rig_Schedule_View!$I$11:$I$262,MATCH(Well_Data_NK_Upcoming!AG33,Rig_Schedule_View!$B$11:$B$262,0))=0,O35,(INDEX(Rig_Schedule_View!$I$11:$I$262,MATCH(Well_Data_NK_Upcoming!AG33,Rig_Schedule_View!$B$11:$B$262,0))))))</f>
        <v>42222.041666666664</v>
      </c>
      <c r="BP35" s="526">
        <f ca="1">IF(ISERROR(IF(INDEX(Rig_Schedule_View!$J$11:$J$262,MATCH(Well_Data_NK_Upcoming!AG33,Rig_Schedule_View!$B$11:$B$262,0))=0,P35,(INDEX(Rig_Schedule_View!$J$11:$J$262,MATCH(Well_Data_NK_Upcoming!AG33,Rig_Schedule_View!$B$11:$B$262,0))))),P35,(IF(INDEX(Rig_Schedule_View!$J$11:$J$262,MATCH(Well_Data_NK_Upcoming!AG33,Rig_Schedule_View!$B$11:$B$262,0))=0,P35,(INDEX(Rig_Schedule_View!$J$11:$J$262,MATCH(Well_Data_NK_Upcoming!AG33,Rig_Schedule_View!$B$11:$B$262,0))))))</f>
        <v>42247</v>
      </c>
      <c r="BQ35" s="527"/>
      <c r="BR35" s="525"/>
      <c r="BS35" s="525"/>
      <c r="BT35" s="525"/>
      <c r="BU35" s="525"/>
      <c r="BV35" s="525"/>
      <c r="BW35" s="525"/>
      <c r="BX35" s="525"/>
      <c r="BY35" s="525"/>
      <c r="BZ35" s="525"/>
    </row>
    <row r="36" spans="1:78" x14ac:dyDescent="0.25">
      <c r="A36" s="540" t="s">
        <v>746</v>
      </c>
      <c r="B36" s="540" t="s">
        <v>746</v>
      </c>
      <c r="C36" s="540" t="s">
        <v>1707</v>
      </c>
      <c r="D36" s="533" t="s">
        <v>2256</v>
      </c>
      <c r="E36" s="540"/>
      <c r="F36" s="528" t="str">
        <f t="shared" si="0"/>
        <v>RA</v>
      </c>
      <c r="G36" s="540" t="s">
        <v>17</v>
      </c>
      <c r="H36" s="536" t="s">
        <v>31</v>
      </c>
      <c r="I36" s="540" t="s">
        <v>24</v>
      </c>
      <c r="J36" s="540" t="s">
        <v>298</v>
      </c>
      <c r="K36" s="540" t="s">
        <v>18</v>
      </c>
      <c r="L36" s="540" t="s">
        <v>1410</v>
      </c>
      <c r="M36" s="539"/>
      <c r="N36" s="540"/>
      <c r="O36" s="532">
        <v>42194.958333333336</v>
      </c>
      <c r="P36" s="540"/>
      <c r="Q36" s="540"/>
      <c r="R36" s="537">
        <f>IF(ISERROR(VLOOKUP(G36,'Planning and Target Times'!$L$1:$AP$6,MATCH(K36&amp;"_"&amp;L36&amp;"_"&amp;J36,INDEX('Planning and Target Times'!$L$1:$AP$6,1,0),0),0)+5),"",(VLOOKUP(G36,'Planning and Target Times'!$L$1:$AP$6,MATCH(K36&amp;"_"&amp;L36&amp;"_"&amp;J36,INDEX('Planning and Target Times'!$L$1:$AP$6,1,0),0),0)+5))</f>
        <v>61</v>
      </c>
      <c r="S36" s="528">
        <f t="shared" si="7"/>
        <v>56</v>
      </c>
      <c r="T36" s="538">
        <f>VLOOKUP(G36,'Planning and Target Times'!$A$7:$G$12,MATCH(K36&amp;"-"&amp;L36&amp;"-"&amp;J36,INDEX('Planning and Target Times'!$A$7:$G$12,1,0),0),0)</f>
        <v>27</v>
      </c>
      <c r="U36" s="540"/>
      <c r="V36" s="540"/>
      <c r="W36" s="540"/>
      <c r="X36" s="535" t="str">
        <f t="shared" si="8"/>
        <v>MA</v>
      </c>
      <c r="Y36" s="540"/>
      <c r="Z36" s="540"/>
      <c r="AA36" s="540"/>
      <c r="AB36" s="540"/>
      <c r="AC36" s="540"/>
      <c r="AD36" s="540"/>
      <c r="AE36" s="540">
        <v>6</v>
      </c>
      <c r="AF36" s="528"/>
      <c r="AG36" s="540" t="str">
        <f t="shared" si="9"/>
        <v>RA-0046-RA-MA-Prod-ST-HZ-SLB</v>
      </c>
      <c r="AH36" s="540" t="str">
        <f t="shared" si="10"/>
        <v>RA-0046-SP-159</v>
      </c>
      <c r="AI36" s="540" t="str">
        <f t="shared" si="11"/>
        <v>RA-0046-MA-ST-Prod</v>
      </c>
      <c r="AJ36" s="540">
        <f ca="1">IF(P36&gt;0,"RR",IF(O36&gt;0,0,COUNTIF($H$2:H36,H36)-IFERROR(COUNTIF(OFFSET($H$1,0,0,SUMPRODUCT(MAX(($H$2:H36=H36)*ROW($H$2:H36)*($O$2:O36&lt;&gt;""))),1),H36),0)))</f>
        <v>0</v>
      </c>
      <c r="AK36" s="527">
        <f>IF(ISERROR(VLOOKUP(G36,'Planning and Target Times'!$B$106:$D$110,MATCH(F36,INDEX('Planning and Target Times'!$B$106:$D$110,1,0),0),0)),"",(VLOOKUP(G36,'Planning and Target Times'!$B$106:$D$110,MATCH(F36,INDEX('Planning and Target Times'!$B$106:$D$110,1,0),0),0)))</f>
        <v>650</v>
      </c>
      <c r="AL36" s="528" t="str">
        <f>VLOOKUP(G36,'Planning and Target Times'!$I$2:$J$7,2,0)</f>
        <v>Carbonate</v>
      </c>
      <c r="AM36" s="540"/>
      <c r="AN36" s="540"/>
      <c r="AO36" s="540"/>
      <c r="AP36" s="533">
        <f t="shared" si="12"/>
        <v>10.655737704918034</v>
      </c>
      <c r="AQ36" s="540"/>
      <c r="AR36" s="540"/>
      <c r="AS36" s="540"/>
      <c r="AT36" s="540"/>
      <c r="AU36" s="540"/>
      <c r="AV36" s="540"/>
      <c r="AW36" s="540"/>
      <c r="AX36" s="540"/>
      <c r="AY36" s="540"/>
      <c r="AZ36" s="540"/>
      <c r="BA36" s="540"/>
      <c r="BB36" s="540"/>
      <c r="BC36" s="540"/>
      <c r="BD36" s="540"/>
      <c r="BE36" s="540"/>
      <c r="BF36" s="540"/>
      <c r="BG36" s="540"/>
      <c r="BH36" s="540"/>
      <c r="BI36" s="540"/>
      <c r="BJ36" s="540"/>
      <c r="BK36" s="540"/>
      <c r="BL36" s="540"/>
      <c r="BM36" s="540"/>
      <c r="BN36" s="540"/>
      <c r="BO36" s="526">
        <f ca="1">IF(ISERROR(IF(INDEX(Rig_Schedule_View!$I$11:$I$262,MATCH(Well_Data_NK_Upcoming!AG34,Rig_Schedule_View!$B$11:$B$262,0))=0,O36,(INDEX(Rig_Schedule_View!$I$11:$I$262,MATCH(Well_Data_NK_Upcoming!AG34,Rig_Schedule_View!$B$11:$B$262,0))))),O36,(IF(INDEX(Rig_Schedule_View!$I$11:$I$262,MATCH(Well_Data_NK_Upcoming!AG34,Rig_Schedule_View!$B$11:$B$262,0))=0,O36,(INDEX(Rig_Schedule_View!$I$11:$I$262,MATCH(Well_Data_NK_Upcoming!AG34,Rig_Schedule_View!$B$11:$B$262,0))))))</f>
        <v>42195</v>
      </c>
      <c r="BP36" s="526">
        <f ca="1">IF(ISERROR(IF(INDEX(Rig_Schedule_View!$J$11:$J$262,MATCH(Well_Data_NK_Upcoming!AG34,Rig_Schedule_View!$B$11:$B$262,0))=0,P36,(INDEX(Rig_Schedule_View!$J$11:$J$262,MATCH(Well_Data_NK_Upcoming!AG34,Rig_Schedule_View!$B$11:$B$262,0))))),P36,(IF(INDEX(Rig_Schedule_View!$J$11:$J$262,MATCH(Well_Data_NK_Upcoming!AG34,Rig_Schedule_View!$B$11:$B$262,0))=0,P36,(INDEX(Rig_Schedule_View!$J$11:$J$262,MATCH(Well_Data_NK_Upcoming!AG34,Rig_Schedule_View!$B$11:$B$262,0))))))</f>
        <v>42247</v>
      </c>
      <c r="BQ36" s="527"/>
      <c r="BR36" s="525"/>
      <c r="BS36" s="525"/>
      <c r="BT36" s="525"/>
      <c r="BU36" s="525"/>
      <c r="BV36" s="525"/>
      <c r="BW36" s="525"/>
      <c r="BX36" s="525"/>
      <c r="BY36" s="525"/>
      <c r="BZ36" s="525"/>
    </row>
    <row r="37" spans="1:78" x14ac:dyDescent="0.25">
      <c r="A37" s="540" t="s">
        <v>1506</v>
      </c>
      <c r="B37" s="540" t="s">
        <v>1506</v>
      </c>
      <c r="C37" s="540" t="s">
        <v>1506</v>
      </c>
      <c r="D37" s="533" t="s">
        <v>2257</v>
      </c>
      <c r="E37" s="540"/>
      <c r="F37" s="528" t="str">
        <f t="shared" si="0"/>
        <v>RA</v>
      </c>
      <c r="G37" s="540" t="s">
        <v>44</v>
      </c>
      <c r="H37" s="536" t="s">
        <v>79</v>
      </c>
      <c r="I37" s="540" t="s">
        <v>16</v>
      </c>
      <c r="J37" s="540" t="s">
        <v>298</v>
      </c>
      <c r="K37" s="540" t="s">
        <v>14</v>
      </c>
      <c r="L37" s="540" t="s">
        <v>1416</v>
      </c>
      <c r="M37" s="539"/>
      <c r="N37" s="540"/>
      <c r="O37" s="532">
        <v>42206.75</v>
      </c>
      <c r="P37" s="540"/>
      <c r="Q37" s="540"/>
      <c r="R37" s="537">
        <f>IF(ISERROR(VLOOKUP(G37,'Planning and Target Times'!$L$1:$AP$6,MATCH(K37&amp;"_"&amp;L37&amp;"_"&amp;J37,INDEX('Planning and Target Times'!$L$1:$AP$6,1,0),0),0)+5),"",(VLOOKUP(G37,'Planning and Target Times'!$L$1:$AP$6,MATCH(K37&amp;"_"&amp;L37&amp;"_"&amp;J37,INDEX('Planning and Target Times'!$L$1:$AP$6,1,0),0),0)+5))</f>
        <v>103</v>
      </c>
      <c r="S37" s="528">
        <f t="shared" si="7"/>
        <v>98</v>
      </c>
      <c r="T37" s="538">
        <f>VLOOKUP(G37,'Planning and Target Times'!$A$7:$G$12,MATCH(K37&amp;"-"&amp;L37&amp;"-"&amp;J37,INDEX('Planning and Target Times'!$A$7:$G$12,1,0),0),0)</f>
        <v>75</v>
      </c>
      <c r="U37" s="540"/>
      <c r="V37" s="540"/>
      <c r="W37" s="540"/>
      <c r="X37" s="535" t="str">
        <f t="shared" si="8"/>
        <v>ZU/RT</v>
      </c>
      <c r="Y37" s="540"/>
      <c r="Z37" s="540"/>
      <c r="AA37" s="540"/>
      <c r="AB37" s="540"/>
      <c r="AC37" s="540"/>
      <c r="AD37" s="540"/>
      <c r="AE37" s="466">
        <v>45</v>
      </c>
      <c r="AF37" s="528"/>
      <c r="AG37" s="540" t="str">
        <f t="shared" si="9"/>
        <v>RA-0573-RA-ZU-Prod-NW-SL-BHI</v>
      </c>
      <c r="AH37" s="540" t="str">
        <f t="shared" si="10"/>
        <v>RA-0573-SP-185</v>
      </c>
      <c r="AI37" s="540" t="str">
        <f t="shared" si="11"/>
        <v>RA-0573-ZU-NW-Prod</v>
      </c>
      <c r="AJ37" s="540">
        <f ca="1">IF(P37&gt;0,"RR",IF(O37&gt;0,0,COUNTIF($H$2:H37,H37)-IFERROR(COUNTIF(OFFSET($H$1,0,0,SUMPRODUCT(MAX(($H$2:H37=H37)*ROW($H$2:H37)*($O$2:O37&lt;&gt;""))),1),H37),0)))</f>
        <v>0</v>
      </c>
      <c r="AK37" s="527">
        <f>IF(ISERROR(VLOOKUP(G37,'Planning and Target Times'!$B$106:$D$110,MATCH(F37,INDEX('Planning and Target Times'!$B$106:$D$110,1,0),0),0)),"",(VLOOKUP(G37,'Planning and Target Times'!$B$106:$D$110,MATCH(F37,INDEX('Planning and Target Times'!$B$106:$D$110,1,0),0),0)))</f>
        <v>1560</v>
      </c>
      <c r="AL37" s="528" t="str">
        <f>VLOOKUP(G37,'Planning and Target Times'!$I$2:$J$7,2,0)</f>
        <v>Sandstone</v>
      </c>
      <c r="AM37" s="540"/>
      <c r="AN37" s="540"/>
      <c r="AO37" s="540"/>
      <c r="AP37" s="533">
        <f t="shared" si="12"/>
        <v>15.145631067961165</v>
      </c>
      <c r="AQ37" s="540"/>
      <c r="AR37" s="540"/>
      <c r="AS37" s="540"/>
      <c r="AT37" s="540"/>
      <c r="AU37" s="540"/>
      <c r="AV37" s="540"/>
      <c r="AW37" s="540"/>
      <c r="AX37" s="540"/>
      <c r="AY37" s="540"/>
      <c r="AZ37" s="540"/>
      <c r="BA37" s="540"/>
      <c r="BB37" s="540"/>
      <c r="BC37" s="540"/>
      <c r="BD37" s="540"/>
      <c r="BE37" s="540"/>
      <c r="BF37" s="540"/>
      <c r="BG37" s="540"/>
      <c r="BH37" s="540"/>
      <c r="BI37" s="540"/>
      <c r="BJ37" s="540"/>
      <c r="BK37" s="540"/>
      <c r="BL37" s="540"/>
      <c r="BM37" s="540"/>
      <c r="BN37" s="540"/>
      <c r="BO37" s="526">
        <f ca="1">IF(ISERROR(IF(INDEX(Rig_Schedule_View!$I$11:$I$262,MATCH(Well_Data_NK_Upcoming!AG35,Rig_Schedule_View!$B$11:$B$262,0))=0,O37,(INDEX(Rig_Schedule_View!$I$11:$I$262,MATCH(Well_Data_NK_Upcoming!AG35,Rig_Schedule_View!$B$11:$B$262,0))))),O37,(IF(INDEX(Rig_Schedule_View!$I$11:$I$262,MATCH(Well_Data_NK_Upcoming!AG35,Rig_Schedule_View!$B$11:$B$262,0))=0,O37,(INDEX(Rig_Schedule_View!$I$11:$I$262,MATCH(Well_Data_NK_Upcoming!AG35,Rig_Schedule_View!$B$11:$B$262,0))))))</f>
        <v>42195.166666666664</v>
      </c>
      <c r="BP37" s="526">
        <f ca="1">IF(ISERROR(IF(INDEX(Rig_Schedule_View!$J$11:$J$262,MATCH(Well_Data_NK_Upcoming!AG35,Rig_Schedule_View!$B$11:$B$262,0))=0,P37,(INDEX(Rig_Schedule_View!$J$11:$J$262,MATCH(Well_Data_NK_Upcoming!AG35,Rig_Schedule_View!$B$11:$B$262,0))))),P37,(IF(INDEX(Rig_Schedule_View!$J$11:$J$262,MATCH(Well_Data_NK_Upcoming!AG35,Rig_Schedule_View!$B$11:$B$262,0))=0,P37,(INDEX(Rig_Schedule_View!$J$11:$J$262,MATCH(Well_Data_NK_Upcoming!AG35,Rig_Schedule_View!$B$11:$B$262,0))))))</f>
        <v>42245</v>
      </c>
      <c r="BQ37" s="527"/>
      <c r="BR37" s="525"/>
      <c r="BS37" s="525"/>
      <c r="BT37" s="525"/>
      <c r="BU37" s="525"/>
      <c r="BV37" s="525"/>
      <c r="BW37" s="525"/>
      <c r="BX37" s="525"/>
      <c r="BY37" s="525"/>
      <c r="BZ37" s="525"/>
    </row>
    <row r="38" spans="1:78" x14ac:dyDescent="0.25">
      <c r="A38" s="540" t="s">
        <v>760</v>
      </c>
      <c r="B38" s="540" t="s">
        <v>760</v>
      </c>
      <c r="C38" s="466" t="s">
        <v>2216</v>
      </c>
      <c r="D38" s="533" t="s">
        <v>2258</v>
      </c>
      <c r="E38" s="540"/>
      <c r="F38" s="528" t="str">
        <f t="shared" si="0"/>
        <v>SA</v>
      </c>
      <c r="G38" s="540" t="s">
        <v>22</v>
      </c>
      <c r="H38" s="536" t="s">
        <v>37</v>
      </c>
      <c r="I38" s="540" t="s">
        <v>16</v>
      </c>
      <c r="J38" s="540" t="s">
        <v>298</v>
      </c>
      <c r="K38" s="540" t="s">
        <v>18</v>
      </c>
      <c r="L38" s="540" t="s">
        <v>1416</v>
      </c>
      <c r="M38" s="539"/>
      <c r="N38" s="540"/>
      <c r="O38" s="532">
        <v>42224.833333333336</v>
      </c>
      <c r="P38" s="540"/>
      <c r="Q38" s="540"/>
      <c r="R38" s="537">
        <f>IF(ISERROR(VLOOKUP(G38,'Planning and Target Times'!$L$1:$AP$6,MATCH(K38&amp;"_"&amp;L38&amp;"_"&amp;J38,INDEX('Planning and Target Times'!$L$1:$AP$6,1,0),0),0)+5),"",(VLOOKUP(G38,'Planning and Target Times'!$L$1:$AP$6,MATCH(K38&amp;"_"&amp;L38&amp;"_"&amp;J38,INDEX('Planning and Target Times'!$L$1:$AP$6,1,0),0),0)+5))</f>
        <v>61</v>
      </c>
      <c r="S38" s="528">
        <f t="shared" si="7"/>
        <v>56</v>
      </c>
      <c r="T38" s="538" t="e">
        <f>VLOOKUP(G38,'Planning and Target Times'!$A$7:$G$12,MATCH(K38&amp;"-"&amp;L38&amp;"-"&amp;J38,INDEX('Planning and Target Times'!$A$7:$G$12,1,0),0),0)</f>
        <v>#N/A</v>
      </c>
      <c r="U38" s="540"/>
      <c r="V38" s="540"/>
      <c r="W38" s="540"/>
      <c r="X38" s="535" t="str">
        <f t="shared" si="8"/>
        <v>LB</v>
      </c>
      <c r="Y38" s="540"/>
      <c r="Z38" s="540"/>
      <c r="AA38" s="540"/>
      <c r="AB38" s="540"/>
      <c r="AC38" s="540"/>
      <c r="AD38" s="540"/>
      <c r="AE38" s="540">
        <v>20</v>
      </c>
      <c r="AF38" s="528"/>
      <c r="AG38" s="540" t="str">
        <f t="shared" si="9"/>
        <v>SA-0248-SA-LB-Prod-ST-SL-BHI</v>
      </c>
      <c r="AH38" s="540" t="str">
        <f t="shared" si="10"/>
        <v>SA-0248-SP-186</v>
      </c>
      <c r="AI38" s="540" t="str">
        <f t="shared" si="11"/>
        <v>SA-0248-LB-ST-Prod</v>
      </c>
      <c r="AJ38" s="540">
        <f ca="1">IF(P38&gt;0,"RR",IF(O38&gt;0,0,COUNTIF($H$2:H38,H38)-IFERROR(COUNTIF(OFFSET($H$1,0,0,SUMPRODUCT(MAX(($H$2:H38=H38)*ROW($H$2:H38)*($O$2:O38&lt;&gt;""))),1),H38),0)))</f>
        <v>0</v>
      </c>
      <c r="AK38" s="527">
        <f>IF(ISERROR(VLOOKUP(G38,'Planning and Target Times'!$B$106:$D$110,MATCH(F38,INDEX('Planning and Target Times'!$B$106:$D$110,1,0),0),0)),"",(VLOOKUP(G38,'Planning and Target Times'!$B$106:$D$110,MATCH(F38,INDEX('Planning and Target Times'!$B$106:$D$110,1,0),0),0)))</f>
        <v>550</v>
      </c>
      <c r="AL38" s="528" t="str">
        <f>VLOOKUP(G38,'Planning and Target Times'!$I$2:$J$7,2,0)</f>
        <v>Sandstone</v>
      </c>
      <c r="AM38" s="540"/>
      <c r="AN38" s="540"/>
      <c r="AO38" s="540"/>
      <c r="AP38" s="533">
        <f t="shared" si="12"/>
        <v>9.0163934426229506</v>
      </c>
      <c r="AQ38" s="540"/>
      <c r="AR38" s="540"/>
      <c r="AS38" s="540"/>
      <c r="AT38" s="540"/>
      <c r="AU38" s="540"/>
      <c r="AV38" s="540"/>
      <c r="AW38" s="540"/>
      <c r="AX38" s="540"/>
      <c r="AY38" s="540"/>
      <c r="AZ38" s="540"/>
      <c r="BA38" s="540"/>
      <c r="BB38" s="540"/>
      <c r="BC38" s="540"/>
      <c r="BD38" s="540"/>
      <c r="BE38" s="540"/>
      <c r="BF38" s="540"/>
      <c r="BG38" s="540"/>
      <c r="BH38" s="540"/>
      <c r="BI38" s="540"/>
      <c r="BJ38" s="540"/>
      <c r="BK38" s="540"/>
      <c r="BL38" s="540"/>
      <c r="BM38" s="540"/>
      <c r="BN38" s="540"/>
      <c r="BO38" s="526">
        <f ca="1">IF(ISERROR(IF(INDEX(Rig_Schedule_View!$I$11:$I$262,MATCH(Well_Data_NK_Upcoming!AG36,Rig_Schedule_View!$B$11:$B$262,0))=0,O38,(INDEX(Rig_Schedule_View!$I$11:$I$262,MATCH(Well_Data_NK_Upcoming!AG36,Rig_Schedule_View!$B$11:$B$262,0))))),O38,(IF(INDEX(Rig_Schedule_View!$I$11:$I$262,MATCH(Well_Data_NK_Upcoming!AG36,Rig_Schedule_View!$B$11:$B$262,0))=0,O38,(INDEX(Rig_Schedule_View!$I$11:$I$262,MATCH(Well_Data_NK_Upcoming!AG36,Rig_Schedule_View!$B$11:$B$262,0))))))</f>
        <v>42194.958333333336</v>
      </c>
      <c r="BP38" s="526">
        <f ca="1">IF(ISERROR(IF(INDEX(Rig_Schedule_View!$J$11:$J$262,MATCH(Well_Data_NK_Upcoming!AG36,Rig_Schedule_View!$B$11:$B$262,0))=0,P38,(INDEX(Rig_Schedule_View!$J$11:$J$262,MATCH(Well_Data_NK_Upcoming!AG36,Rig_Schedule_View!$B$11:$B$262,0))))),P38,(IF(INDEX(Rig_Schedule_View!$J$11:$J$262,MATCH(Well_Data_NK_Upcoming!AG36,Rig_Schedule_View!$B$11:$B$262,0))=0,P38,(INDEX(Rig_Schedule_View!$J$11:$J$262,MATCH(Well_Data_NK_Upcoming!AG36,Rig_Schedule_View!$B$11:$B$262,0))))))</f>
        <v>42239</v>
      </c>
      <c r="BQ38" s="527"/>
      <c r="BR38" s="525"/>
      <c r="BS38" s="525"/>
      <c r="BT38" s="525"/>
      <c r="BU38" s="525"/>
      <c r="BV38" s="525"/>
      <c r="BW38" s="525"/>
      <c r="BX38" s="525"/>
      <c r="BY38" s="525"/>
      <c r="BZ38" s="525"/>
    </row>
    <row r="39" spans="1:78" x14ac:dyDescent="0.25">
      <c r="A39" s="540" t="s">
        <v>1396</v>
      </c>
      <c r="B39" s="540" t="s">
        <v>1396</v>
      </c>
      <c r="C39" s="540" t="s">
        <v>1396</v>
      </c>
      <c r="D39" s="533" t="s">
        <v>2259</v>
      </c>
      <c r="E39" s="540"/>
      <c r="F39" s="528" t="str">
        <f t="shared" si="0"/>
        <v>RA</v>
      </c>
      <c r="G39" s="540" t="s">
        <v>29</v>
      </c>
      <c r="H39" s="536" t="s">
        <v>838</v>
      </c>
      <c r="I39" s="540" t="s">
        <v>39</v>
      </c>
      <c r="J39" s="540" t="s">
        <v>298</v>
      </c>
      <c r="K39" s="540" t="s">
        <v>14</v>
      </c>
      <c r="L39" s="540" t="s">
        <v>1416</v>
      </c>
      <c r="M39" s="539"/>
      <c r="N39" s="540"/>
      <c r="O39" s="532">
        <v>42127.625</v>
      </c>
      <c r="P39" s="540"/>
      <c r="Q39" s="540"/>
      <c r="R39" s="537">
        <f>IF(ISERROR(VLOOKUP(G39,'Planning and Target Times'!$L$1:$AP$6,MATCH(K39&amp;"_"&amp;L39&amp;"_"&amp;J39,INDEX('Planning and Target Times'!$L$1:$AP$6,1,0),0),0)+5),"",(VLOOKUP(G39,'Planning and Target Times'!$L$1:$AP$6,MATCH(K39&amp;"_"&amp;L39&amp;"_"&amp;J39,INDEX('Planning and Target Times'!$L$1:$AP$6,1,0),0),0)+5))</f>
        <v>75</v>
      </c>
      <c r="S39" s="528">
        <f t="shared" si="7"/>
        <v>70</v>
      </c>
      <c r="T39" s="538">
        <f>VLOOKUP(G39,'Planning and Target Times'!$A$7:$G$12,MATCH(K39&amp;"-"&amp;L39&amp;"-"&amp;J39,INDEX('Planning and Target Times'!$A$7:$G$12,1,0),0),0)</f>
        <v>33</v>
      </c>
      <c r="U39" s="540"/>
      <c r="V39" s="540"/>
      <c r="W39" s="540"/>
      <c r="X39" s="535" t="str">
        <f t="shared" si="8"/>
        <v>UB</v>
      </c>
      <c r="Y39" s="540"/>
      <c r="Z39" s="540"/>
      <c r="AA39" s="540"/>
      <c r="AB39" s="540"/>
      <c r="AC39" s="540"/>
      <c r="AD39" s="540"/>
      <c r="AE39" s="540">
        <v>10</v>
      </c>
      <c r="AF39" s="528"/>
      <c r="AG39" s="540" t="str">
        <f t="shared" si="9"/>
        <v>RA-0564-RA-UB-Prod-NW-SL-WFD</v>
      </c>
      <c r="AH39" s="540" t="str">
        <f t="shared" si="10"/>
        <v>RA-0564-SP-266</v>
      </c>
      <c r="AI39" s="540" t="str">
        <f t="shared" si="11"/>
        <v>RA-0564-UB-NW-Prod</v>
      </c>
      <c r="AJ39" s="540">
        <f ca="1">IF(P39&gt;0,"RR",IF(O39&gt;0,0,COUNTIF($H$2:H39,H39)-IFERROR(COUNTIF(OFFSET($H$1,0,0,SUMPRODUCT(MAX(($H$2:H39=H39)*ROW($H$2:H39)*($O$2:O39&lt;&gt;""))),1),H39),0)))</f>
        <v>0</v>
      </c>
      <c r="AK39" s="527">
        <f>IF(ISERROR(VLOOKUP(G39,'Planning and Target Times'!$B$106:$D$110,MATCH(F39,INDEX('Planning and Target Times'!$B$106:$D$110,1,0),0),0)),"",(VLOOKUP(G39,'Planning and Target Times'!$B$106:$D$110,MATCH(F39,INDEX('Planning and Target Times'!$B$106:$D$110,1,0),0),0)))</f>
        <v>940</v>
      </c>
      <c r="AL39" s="528" t="str">
        <f>VLOOKUP(G39,'Planning and Target Times'!$I$2:$J$7,2,0)</f>
        <v>Sandstone</v>
      </c>
      <c r="AM39" s="540"/>
      <c r="AN39" s="540"/>
      <c r="AO39" s="540"/>
      <c r="AP39" s="533">
        <f t="shared" si="12"/>
        <v>12.533333333333333</v>
      </c>
      <c r="AQ39" s="540"/>
      <c r="AR39" s="540"/>
      <c r="AS39" s="540"/>
      <c r="AT39" s="540"/>
      <c r="AU39" s="540"/>
      <c r="AV39" s="540"/>
      <c r="AW39" s="540"/>
      <c r="AX39" s="540"/>
      <c r="AY39" s="540"/>
      <c r="AZ39" s="540"/>
      <c r="BA39" s="540"/>
      <c r="BB39" s="540"/>
      <c r="BC39" s="540"/>
      <c r="BD39" s="540"/>
      <c r="BE39" s="540"/>
      <c r="BF39" s="540"/>
      <c r="BG39" s="540"/>
      <c r="BH39" s="540"/>
      <c r="BI39" s="540"/>
      <c r="BJ39" s="540"/>
      <c r="BK39" s="540"/>
      <c r="BL39" s="540"/>
      <c r="BM39" s="540"/>
      <c r="BN39" s="540"/>
      <c r="BO39" s="526">
        <f ca="1">IF(ISERROR(IF(INDEX(Rig_Schedule_View!$I$11:$I$262,MATCH(Well_Data_NK_Upcoming!AG37,Rig_Schedule_View!$B$11:$B$262,0))=0,O39,(INDEX(Rig_Schedule_View!$I$11:$I$262,MATCH(Well_Data_NK_Upcoming!AG37,Rig_Schedule_View!$B$11:$B$262,0))))),O39,(IF(INDEX(Rig_Schedule_View!$I$11:$I$262,MATCH(Well_Data_NK_Upcoming!AG37,Rig_Schedule_View!$B$11:$B$262,0))=0,O39,(INDEX(Rig_Schedule_View!$I$11:$I$262,MATCH(Well_Data_NK_Upcoming!AG37,Rig_Schedule_View!$B$11:$B$262,0))))))</f>
        <v>42206.75</v>
      </c>
      <c r="BP39" s="526">
        <f ca="1">IF(ISERROR(IF(INDEX(Rig_Schedule_View!$J$11:$J$262,MATCH(Well_Data_NK_Upcoming!AG37,Rig_Schedule_View!$B$11:$B$262,0))=0,P39,(INDEX(Rig_Schedule_View!$J$11:$J$262,MATCH(Well_Data_NK_Upcoming!AG37,Rig_Schedule_View!$B$11:$B$262,0))))),P39,(IF(INDEX(Rig_Schedule_View!$J$11:$J$262,MATCH(Well_Data_NK_Upcoming!AG37,Rig_Schedule_View!$B$11:$B$262,0))=0,P39,(INDEX(Rig_Schedule_View!$J$11:$J$262,MATCH(Well_Data_NK_Upcoming!AG37,Rig_Schedule_View!$B$11:$B$262,0))))))</f>
        <v>42278</v>
      </c>
      <c r="BQ39" s="527"/>
      <c r="BR39" s="525"/>
      <c r="BS39" s="525"/>
      <c r="BT39" s="525"/>
      <c r="BU39" s="525"/>
      <c r="BV39" s="525"/>
      <c r="BW39" s="525"/>
      <c r="BX39" s="525"/>
      <c r="BY39" s="525"/>
      <c r="BZ39" s="525"/>
    </row>
    <row r="40" spans="1:78" x14ac:dyDescent="0.25">
      <c r="A40" s="540" t="s">
        <v>1427</v>
      </c>
      <c r="B40" s="540" t="s">
        <v>1427</v>
      </c>
      <c r="C40" s="540" t="s">
        <v>1427</v>
      </c>
      <c r="D40" s="533" t="s">
        <v>2260</v>
      </c>
      <c r="E40" s="540"/>
      <c r="F40" s="528" t="str">
        <f t="shared" si="0"/>
        <v>RA</v>
      </c>
      <c r="G40" s="540" t="s">
        <v>22</v>
      </c>
      <c r="H40" s="536" t="s">
        <v>839</v>
      </c>
      <c r="I40" s="540" t="s">
        <v>39</v>
      </c>
      <c r="J40" s="540" t="s">
        <v>298</v>
      </c>
      <c r="K40" s="540" t="s">
        <v>14</v>
      </c>
      <c r="L40" s="540" t="s">
        <v>1416</v>
      </c>
      <c r="M40" s="539"/>
      <c r="N40" s="540">
        <v>1</v>
      </c>
      <c r="O40" s="532">
        <v>42205.5625</v>
      </c>
      <c r="P40" s="540"/>
      <c r="Q40" s="540"/>
      <c r="R40" s="537">
        <f>IF(ISERROR(VLOOKUP(G40,'Planning and Target Times'!$L$1:$AP$6,MATCH(K40&amp;"_"&amp;L40&amp;"_"&amp;J40,INDEX('Planning and Target Times'!$L$1:$AP$6,1,0),0),0)+5),"",(VLOOKUP(G40,'Planning and Target Times'!$L$1:$AP$6,MATCH(K40&amp;"_"&amp;L40&amp;"_"&amp;J40,INDEX('Planning and Target Times'!$L$1:$AP$6,1,0),0),0)+5))</f>
        <v>75</v>
      </c>
      <c r="S40" s="528">
        <f t="shared" si="7"/>
        <v>70</v>
      </c>
      <c r="T40" s="538">
        <f>VLOOKUP(G40,'Planning and Target Times'!$A$7:$G$12,MATCH(K40&amp;"-"&amp;L40&amp;"-"&amp;J40,INDEX('Planning and Target Times'!$A$7:$G$12,1,0),0),0)</f>
        <v>33</v>
      </c>
      <c r="U40" s="540"/>
      <c r="V40" s="540"/>
      <c r="W40" s="540"/>
      <c r="X40" s="535" t="str">
        <f t="shared" si="8"/>
        <v>LB</v>
      </c>
      <c r="Y40" s="540"/>
      <c r="Z40" s="540"/>
      <c r="AA40" s="540"/>
      <c r="AB40" s="540"/>
      <c r="AC40" s="540"/>
      <c r="AD40" s="540"/>
      <c r="AE40" s="376">
        <v>14</v>
      </c>
      <c r="AF40" s="528"/>
      <c r="AG40" s="540" t="str">
        <f t="shared" si="9"/>
        <v>RA-0580-RA-LB-Prod-NW-SL-WFD</v>
      </c>
      <c r="AH40" s="540" t="str">
        <f t="shared" si="10"/>
        <v>RA-0580-SP-267</v>
      </c>
      <c r="AI40" s="540" t="str">
        <f t="shared" si="11"/>
        <v>RA-0580-LB-NW-Prod</v>
      </c>
      <c r="AJ40" s="540">
        <f ca="1">IF(P40&gt;0,"RR",IF(O40&gt;0,0,COUNTIF($H$2:H40,H40)-IFERROR(COUNTIF(OFFSET($H$1,0,0,SUMPRODUCT(MAX(($H$2:H40=H40)*ROW($H$2:H40)*($O$2:O40&lt;&gt;""))),1),H40),0)))</f>
        <v>0</v>
      </c>
      <c r="AK40" s="527">
        <f>IF(ISERROR(VLOOKUP(G40,'Planning and Target Times'!$B$106:$D$110,MATCH(F40,INDEX('Planning and Target Times'!$B$106:$D$110,1,0),0),0)),"",(VLOOKUP(G40,'Planning and Target Times'!$B$106:$D$110,MATCH(F40,INDEX('Planning and Target Times'!$B$106:$D$110,1,0),0),0)))</f>
        <v>900</v>
      </c>
      <c r="AL40" s="528" t="str">
        <f>VLOOKUP(G40,'Planning and Target Times'!$I$2:$J$7,2,0)</f>
        <v>Sandstone</v>
      </c>
      <c r="AM40" s="540"/>
      <c r="AN40" s="540"/>
      <c r="AO40" s="540"/>
      <c r="AP40" s="533">
        <f t="shared" si="12"/>
        <v>12</v>
      </c>
      <c r="AQ40" s="540"/>
      <c r="AR40" s="540"/>
      <c r="AS40" s="540"/>
      <c r="AT40" s="540"/>
      <c r="AU40" s="540"/>
      <c r="AV40" s="540"/>
      <c r="AW40" s="540"/>
      <c r="AX40" s="540"/>
      <c r="AY40" s="540"/>
      <c r="AZ40" s="540"/>
      <c r="BA40" s="540"/>
      <c r="BB40" s="540"/>
      <c r="BC40" s="540"/>
      <c r="BD40" s="540"/>
      <c r="BE40" s="540"/>
      <c r="BF40" s="540"/>
      <c r="BG40" s="540"/>
      <c r="BH40" s="540"/>
      <c r="BI40" s="540"/>
      <c r="BJ40" s="540"/>
      <c r="BK40" s="540"/>
      <c r="BL40" s="540"/>
      <c r="BM40" s="540"/>
      <c r="BN40" s="540"/>
      <c r="BO40" s="526">
        <f ca="1">IF(ISERROR(IF(INDEX(Rig_Schedule_View!$I$11:$I$262,MATCH(Well_Data_NK_Upcoming!AG38,Rig_Schedule_View!$B$11:$B$262,0))=0,O40,(INDEX(Rig_Schedule_View!$I$11:$I$262,MATCH(Well_Data_NK_Upcoming!AG38,Rig_Schedule_View!$B$11:$B$262,0))))),O40,(IF(INDEX(Rig_Schedule_View!$I$11:$I$262,MATCH(Well_Data_NK_Upcoming!AG38,Rig_Schedule_View!$B$11:$B$262,0))=0,O40,(INDEX(Rig_Schedule_View!$I$11:$I$262,MATCH(Well_Data_NK_Upcoming!AG38,Rig_Schedule_View!$B$11:$B$262,0))))))</f>
        <v>42224.833333333336</v>
      </c>
      <c r="BP40" s="526">
        <f ca="1">IF(ISERROR(IF(INDEX(Rig_Schedule_View!$J$11:$J$262,MATCH(Well_Data_NK_Upcoming!AG38,Rig_Schedule_View!$B$11:$B$262,0))=0,P40,(INDEX(Rig_Schedule_View!$J$11:$J$262,MATCH(Well_Data_NK_Upcoming!AG38,Rig_Schedule_View!$B$11:$B$262,0))))),P40,(IF(INDEX(Rig_Schedule_View!$J$11:$J$262,MATCH(Well_Data_NK_Upcoming!AG38,Rig_Schedule_View!$B$11:$B$262,0))=0,P40,(INDEX(Rig_Schedule_View!$J$11:$J$262,MATCH(Well_Data_NK_Upcoming!AG38,Rig_Schedule_View!$B$11:$B$262,0))))))</f>
        <v>42253</v>
      </c>
      <c r="BQ40" s="527"/>
      <c r="BR40" s="525"/>
      <c r="BS40" s="525"/>
      <c r="BT40" s="525"/>
      <c r="BU40" s="525"/>
      <c r="BV40" s="525"/>
      <c r="BW40" s="525"/>
      <c r="BX40" s="525"/>
      <c r="BY40" s="525"/>
      <c r="BZ40" s="525"/>
    </row>
    <row r="41" spans="1:78" x14ac:dyDescent="0.25">
      <c r="A41" s="540" t="s">
        <v>1508</v>
      </c>
      <c r="B41" s="540" t="s">
        <v>1508</v>
      </c>
      <c r="C41" s="540" t="s">
        <v>1704</v>
      </c>
      <c r="D41" s="36" t="s">
        <v>2417</v>
      </c>
      <c r="E41" s="540"/>
      <c r="F41" s="528" t="str">
        <f t="shared" si="0"/>
        <v>SA</v>
      </c>
      <c r="G41" s="540" t="s">
        <v>17</v>
      </c>
      <c r="H41" s="536" t="s">
        <v>1412</v>
      </c>
      <c r="I41" s="540" t="s">
        <v>20</v>
      </c>
      <c r="J41" s="540" t="s">
        <v>298</v>
      </c>
      <c r="K41" s="540" t="s">
        <v>14</v>
      </c>
      <c r="L41" s="540" t="s">
        <v>1410</v>
      </c>
      <c r="M41" s="539"/>
      <c r="N41" s="540"/>
      <c r="O41" s="532">
        <v>42201.875</v>
      </c>
      <c r="P41" s="540"/>
      <c r="Q41" s="540"/>
      <c r="R41" s="537">
        <f>IF(ISERROR(VLOOKUP(G41,'Planning and Target Times'!$L$1:$AP$6,MATCH(K41&amp;"_"&amp;L41&amp;"_"&amp;J41,INDEX('Planning and Target Times'!$L$1:$AP$6,1,0),0),0)+5),"",(VLOOKUP(G41,'Planning and Target Times'!$L$1:$AP$6,MATCH(K41&amp;"_"&amp;L41&amp;"_"&amp;J41,INDEX('Planning and Target Times'!$L$1:$AP$6,1,0),0),0)+5))</f>
        <v>75</v>
      </c>
      <c r="S41" s="528">
        <f t="shared" si="7"/>
        <v>70</v>
      </c>
      <c r="T41" s="538">
        <f>VLOOKUP(G41,'Planning and Target Times'!$A$7:$G$12,MATCH(K41&amp;"-"&amp;L41&amp;"-"&amp;J41,INDEX('Planning and Target Times'!$A$7:$G$12,1,0),0),0)</f>
        <v>35</v>
      </c>
      <c r="U41" s="540"/>
      <c r="V41" s="540"/>
      <c r="W41" s="540"/>
      <c r="X41" s="535" t="str">
        <f t="shared" si="8"/>
        <v>MA</v>
      </c>
      <c r="Y41" s="540"/>
      <c r="Z41" s="540"/>
      <c r="AA41" s="540"/>
      <c r="AB41" s="540"/>
      <c r="AC41" s="540"/>
      <c r="AD41" s="540"/>
      <c r="AE41" s="540">
        <v>21</v>
      </c>
      <c r="AF41" s="528"/>
      <c r="AG41" s="540" t="str">
        <f t="shared" si="9"/>
        <v>SA-0599-SA-MA-Prod-NW-HZ-HAL</v>
      </c>
      <c r="AH41" s="540" t="str">
        <f t="shared" si="10"/>
        <v>SA-0599-SP-279</v>
      </c>
      <c r="AI41" s="540" t="str">
        <f t="shared" si="11"/>
        <v>SA-0599-MA-NW-Prod</v>
      </c>
      <c r="AJ41" s="540">
        <f ca="1">IF(P41&gt;0,"RR",IF(O41&gt;0,0,COUNTIF($H$2:H41,H41)-IFERROR(COUNTIF(OFFSET($H$1,0,0,SUMPRODUCT(MAX(($H$2:H41=H41)*ROW($H$2:H41)*($O$2:O41&lt;&gt;""))),1),H41),0)))</f>
        <v>0</v>
      </c>
      <c r="AK41" s="527">
        <f>IF(ISERROR(VLOOKUP(G41,'Planning and Target Times'!$B$106:$D$110,MATCH(F41,INDEX('Planning and Target Times'!$B$106:$D$110,1,0),0),0)),"",(VLOOKUP(G41,'Planning and Target Times'!$B$106:$D$110,MATCH(F41,INDEX('Planning and Target Times'!$B$106:$D$110,1,0),0),0)))</f>
        <v>740</v>
      </c>
      <c r="AL41" s="528" t="str">
        <f>VLOOKUP(G41,'Planning and Target Times'!$I$2:$J$7,2,0)</f>
        <v>Carbonate</v>
      </c>
      <c r="AM41" s="540"/>
      <c r="AN41" s="540"/>
      <c r="AO41" s="540"/>
      <c r="AP41" s="533">
        <f t="shared" si="12"/>
        <v>9.8666666666666671</v>
      </c>
      <c r="AQ41" s="540"/>
      <c r="AR41" s="540"/>
      <c r="AS41" s="540"/>
      <c r="AT41" s="540"/>
      <c r="AU41" s="540"/>
      <c r="AV41" s="540"/>
      <c r="AW41" s="540"/>
      <c r="AX41" s="540"/>
      <c r="AY41" s="540"/>
      <c r="AZ41" s="540"/>
      <c r="BA41" s="540"/>
      <c r="BB41" s="540"/>
      <c r="BC41" s="540"/>
      <c r="BD41" s="540"/>
      <c r="BE41" s="540"/>
      <c r="BF41" s="540"/>
      <c r="BG41" s="540"/>
      <c r="BH41" s="540"/>
      <c r="BI41" s="540"/>
      <c r="BJ41" s="540"/>
      <c r="BK41" s="540"/>
      <c r="BL41" s="540"/>
      <c r="BM41" s="540"/>
      <c r="BN41" s="540"/>
      <c r="BO41" s="526">
        <f ca="1">IF(ISERROR(IF(INDEX(Rig_Schedule_View!$I$11:$I$262,MATCH(Well_Data_NK_Upcoming!AG39,Rig_Schedule_View!$B$11:$B$262,0))=0,O41,(INDEX(Rig_Schedule_View!$I$11:$I$262,MATCH(Well_Data_NK_Upcoming!AG39,Rig_Schedule_View!$B$11:$B$262,0))))),O41,(IF(INDEX(Rig_Schedule_View!$I$11:$I$262,MATCH(Well_Data_NK_Upcoming!AG39,Rig_Schedule_View!$B$11:$B$262,0))=0,O41,(INDEX(Rig_Schedule_View!$I$11:$I$262,MATCH(Well_Data_NK_Upcoming!AG39,Rig_Schedule_View!$B$11:$B$262,0))))))</f>
        <v>42127.625</v>
      </c>
      <c r="BP41" s="526">
        <f ca="1">IF(ISERROR(IF(INDEX(Rig_Schedule_View!$J$11:$J$262,MATCH(Well_Data_NK_Upcoming!AG39,Rig_Schedule_View!$B$11:$B$262,0))=0,P41,(INDEX(Rig_Schedule_View!$J$11:$J$262,MATCH(Well_Data_NK_Upcoming!AG39,Rig_Schedule_View!$B$11:$B$262,0))))),P41,(IF(INDEX(Rig_Schedule_View!$J$11:$J$262,MATCH(Well_Data_NK_Upcoming!AG39,Rig_Schedule_View!$B$11:$B$262,0))=0,P41,(INDEX(Rig_Schedule_View!$J$11:$J$262,MATCH(Well_Data_NK_Upcoming!AG39,Rig_Schedule_View!$B$11:$B$262,0))))))</f>
        <v>42243</v>
      </c>
      <c r="BQ41" s="527"/>
      <c r="BR41" s="525"/>
      <c r="BS41" s="525"/>
      <c r="BT41" s="525"/>
      <c r="BU41" s="525"/>
      <c r="BV41" s="525"/>
      <c r="BW41" s="525"/>
      <c r="BX41" s="525"/>
      <c r="BY41" s="525"/>
      <c r="BZ41" s="525"/>
    </row>
    <row r="42" spans="1:78" x14ac:dyDescent="0.25">
      <c r="A42" s="540" t="s">
        <v>1428</v>
      </c>
      <c r="B42" s="540" t="s">
        <v>1428</v>
      </c>
      <c r="C42" s="540" t="s">
        <v>1589</v>
      </c>
      <c r="D42" s="533" t="s">
        <v>2261</v>
      </c>
      <c r="E42" s="540"/>
      <c r="F42" s="528" t="str">
        <f t="shared" si="0"/>
        <v>SA</v>
      </c>
      <c r="G42" s="540" t="s">
        <v>17</v>
      </c>
      <c r="H42" s="536" t="s">
        <v>1413</v>
      </c>
      <c r="I42" s="540" t="s">
        <v>24</v>
      </c>
      <c r="J42" s="540" t="s">
        <v>298</v>
      </c>
      <c r="K42" s="540" t="s">
        <v>14</v>
      </c>
      <c r="L42" s="540" t="s">
        <v>1410</v>
      </c>
      <c r="M42" s="539"/>
      <c r="N42" s="540"/>
      <c r="O42" s="532">
        <v>42161</v>
      </c>
      <c r="P42" s="540"/>
      <c r="Q42" s="540"/>
      <c r="R42" s="537">
        <f>IF(ISERROR(VLOOKUP(G42,'Planning and Target Times'!$L$1:$AP$6,MATCH(K42&amp;"_"&amp;L42&amp;"_"&amp;J42,INDEX('Planning and Target Times'!$L$1:$AP$6,1,0),0),0)+5),"",(VLOOKUP(G42,'Planning and Target Times'!$L$1:$AP$6,MATCH(K42&amp;"_"&amp;L42&amp;"_"&amp;J42,INDEX('Planning and Target Times'!$L$1:$AP$6,1,0),0),0)+5))</f>
        <v>75</v>
      </c>
      <c r="S42" s="528">
        <f t="shared" si="7"/>
        <v>70</v>
      </c>
      <c r="T42" s="538">
        <f>VLOOKUP(G42,'Planning and Target Times'!$A$7:$G$12,MATCH(K42&amp;"-"&amp;L42&amp;"-"&amp;J42,INDEX('Planning and Target Times'!$A$7:$G$12,1,0),0),0)</f>
        <v>35</v>
      </c>
      <c r="U42" s="540"/>
      <c r="V42" s="540"/>
      <c r="W42" s="540"/>
      <c r="X42" s="535" t="str">
        <f t="shared" si="8"/>
        <v>MA</v>
      </c>
      <c r="Y42" s="540"/>
      <c r="Z42" s="540"/>
      <c r="AA42" s="540"/>
      <c r="AB42" s="540"/>
      <c r="AC42" s="540"/>
      <c r="AD42" s="540"/>
      <c r="AE42" s="376">
        <v>5</v>
      </c>
      <c r="AF42" s="528"/>
      <c r="AG42" s="540" t="str">
        <f t="shared" si="9"/>
        <v>SA-0580-SA-MA-Prod-NW-HZ-SLB</v>
      </c>
      <c r="AH42" s="540" t="str">
        <f t="shared" si="10"/>
        <v>SA-0580-SP-282</v>
      </c>
      <c r="AI42" s="540" t="str">
        <f t="shared" si="11"/>
        <v>SA-0580-MA-NW-Prod</v>
      </c>
      <c r="AJ42" s="540">
        <f ca="1">IF(P42&gt;0,"RR",IF(O42&gt;0,0,COUNTIF($H$2:H42,H42)-IFERROR(COUNTIF(OFFSET($H$1,0,0,SUMPRODUCT(MAX(($H$2:H42=H42)*ROW($H$2:H42)*($O$2:O42&lt;&gt;""))),1),H42),0)))</f>
        <v>0</v>
      </c>
      <c r="AK42" s="527">
        <f>IF(ISERROR(VLOOKUP(G42,'Planning and Target Times'!$B$106:$D$110,MATCH(F42,INDEX('Planning and Target Times'!$B$106:$D$110,1,0),0),0)),"",(VLOOKUP(G42,'Planning and Target Times'!$B$106:$D$110,MATCH(F42,INDEX('Planning and Target Times'!$B$106:$D$110,1,0),0),0)))</f>
        <v>740</v>
      </c>
      <c r="AL42" s="528" t="str">
        <f>VLOOKUP(G42,'Planning and Target Times'!$I$2:$J$7,2,0)</f>
        <v>Carbonate</v>
      </c>
      <c r="AM42" s="540"/>
      <c r="AN42" s="540"/>
      <c r="AO42" s="540"/>
      <c r="AP42" s="533">
        <f t="shared" si="12"/>
        <v>9.8666666666666671</v>
      </c>
      <c r="AQ42" s="540"/>
      <c r="AR42" s="540"/>
      <c r="AS42" s="540"/>
      <c r="AT42" s="540"/>
      <c r="AU42" s="540"/>
      <c r="AV42" s="540"/>
      <c r="AW42" s="540"/>
      <c r="AX42" s="540"/>
      <c r="AY42" s="540"/>
      <c r="AZ42" s="540"/>
      <c r="BA42" s="540"/>
      <c r="BB42" s="540"/>
      <c r="BC42" s="540"/>
      <c r="BD42" s="540"/>
      <c r="BE42" s="540"/>
      <c r="BF42" s="540"/>
      <c r="BG42" s="540"/>
      <c r="BH42" s="540"/>
      <c r="BI42" s="540"/>
      <c r="BJ42" s="540"/>
      <c r="BK42" s="540"/>
      <c r="BL42" s="540"/>
      <c r="BM42" s="540"/>
      <c r="BN42" s="540"/>
      <c r="BO42" s="526">
        <f ca="1">IF(ISERROR(IF(INDEX(Rig_Schedule_View!$I$11:$I$262,MATCH(Well_Data_NK_Upcoming!AG40,Rig_Schedule_View!$B$11:$B$262,0))=0,O42,(INDEX(Rig_Schedule_View!$I$11:$I$262,MATCH(Well_Data_NK_Upcoming!AG40,Rig_Schedule_View!$B$11:$B$262,0))))),O42,(IF(INDEX(Rig_Schedule_View!$I$11:$I$262,MATCH(Well_Data_NK_Upcoming!AG40,Rig_Schedule_View!$B$11:$B$262,0))=0,O42,(INDEX(Rig_Schedule_View!$I$11:$I$262,MATCH(Well_Data_NK_Upcoming!AG40,Rig_Schedule_View!$B$11:$B$262,0))))))</f>
        <v>42205.5625</v>
      </c>
      <c r="BP42" s="526">
        <f ca="1">IF(ISERROR(IF(INDEX(Rig_Schedule_View!$J$11:$J$262,MATCH(Well_Data_NK_Upcoming!AG40,Rig_Schedule_View!$B$11:$B$262,0))=0,P42,(INDEX(Rig_Schedule_View!$J$11:$J$262,MATCH(Well_Data_NK_Upcoming!AG40,Rig_Schedule_View!$B$11:$B$262,0))))),P42,(IF(INDEX(Rig_Schedule_View!$J$11:$J$262,MATCH(Well_Data_NK_Upcoming!AG40,Rig_Schedule_View!$B$11:$B$262,0))=0,P42,(INDEX(Rig_Schedule_View!$J$11:$J$262,MATCH(Well_Data_NK_Upcoming!AG40,Rig_Schedule_View!$B$11:$B$262,0))))))</f>
        <v>42247</v>
      </c>
      <c r="BQ42" s="527"/>
      <c r="BR42" s="525"/>
      <c r="BS42" s="525"/>
      <c r="BT42" s="525"/>
      <c r="BU42" s="525"/>
      <c r="BV42" s="525"/>
      <c r="BW42" s="525"/>
      <c r="BX42" s="525"/>
      <c r="BY42" s="525"/>
      <c r="BZ42" s="525"/>
    </row>
    <row r="43" spans="1:78" x14ac:dyDescent="0.25">
      <c r="A43" s="540" t="s">
        <v>1621</v>
      </c>
      <c r="B43" s="540" t="s">
        <v>1621</v>
      </c>
      <c r="C43" s="540" t="s">
        <v>2210</v>
      </c>
      <c r="D43" s="533" t="s">
        <v>2262</v>
      </c>
      <c r="E43" s="540"/>
      <c r="F43" s="528" t="str">
        <f t="shared" si="0"/>
        <v>SA</v>
      </c>
      <c r="G43" s="540" t="s">
        <v>17</v>
      </c>
      <c r="H43" s="536" t="s">
        <v>1414</v>
      </c>
      <c r="I43" s="540" t="s">
        <v>16</v>
      </c>
      <c r="J43" s="540" t="s">
        <v>298</v>
      </c>
      <c r="K43" s="540" t="s">
        <v>18</v>
      </c>
      <c r="L43" s="540" t="s">
        <v>1410</v>
      </c>
      <c r="M43" s="539"/>
      <c r="N43" s="540"/>
      <c r="O43" s="532">
        <v>42208</v>
      </c>
      <c r="P43" s="540"/>
      <c r="Q43" s="540"/>
      <c r="R43" s="537">
        <f>IF(ISERROR(VLOOKUP(G43,'Planning and Target Times'!$L$1:$AP$6,MATCH(K43&amp;"_"&amp;L43&amp;"_"&amp;J43,INDEX('Planning and Target Times'!$L$1:$AP$6,1,0),0),0)+5),"",(VLOOKUP(G43,'Planning and Target Times'!$L$1:$AP$6,MATCH(K43&amp;"_"&amp;L43&amp;"_"&amp;J43,INDEX('Planning and Target Times'!$L$1:$AP$6,1,0),0),0)+5))</f>
        <v>61</v>
      </c>
      <c r="S43" s="528">
        <f t="shared" si="7"/>
        <v>56</v>
      </c>
      <c r="T43" s="538">
        <f>VLOOKUP(G43,'Planning and Target Times'!$A$7:$G$12,MATCH(K43&amp;"-"&amp;L43&amp;"-"&amp;J43,INDEX('Planning and Target Times'!$A$7:$G$12,1,0),0),0)</f>
        <v>27</v>
      </c>
      <c r="U43" s="540"/>
      <c r="V43" s="540"/>
      <c r="W43" s="540"/>
      <c r="X43" s="535" t="str">
        <f t="shared" si="8"/>
        <v>MA</v>
      </c>
      <c r="Y43" s="540"/>
      <c r="Z43" s="540"/>
      <c r="AA43" s="540"/>
      <c r="AB43" s="540"/>
      <c r="AC43" s="540"/>
      <c r="AD43" s="540"/>
      <c r="AE43" s="540">
        <v>7</v>
      </c>
      <c r="AF43" s="528"/>
      <c r="AG43" s="540" t="str">
        <f t="shared" si="9"/>
        <v>SA-0137-SA-MA-Prod-ST-HZ-BHI</v>
      </c>
      <c r="AH43" s="540" t="str">
        <f t="shared" si="10"/>
        <v>SA-0137-SP-283</v>
      </c>
      <c r="AI43" s="540" t="str">
        <f t="shared" si="11"/>
        <v>SA-0137-MA-ST-Prod</v>
      </c>
      <c r="AJ43" s="540">
        <f ca="1">IF(P43&gt;0,"RR",IF(O43&gt;0,0,COUNTIF($H$2:H43,H43)-IFERROR(COUNTIF(OFFSET($H$1,0,0,SUMPRODUCT(MAX(($H$2:H43=H43)*ROW($H$2:H43)*($O$2:O43&lt;&gt;""))),1),H43),0)))</f>
        <v>0</v>
      </c>
      <c r="AK43" s="527">
        <f>IF(ISERROR(VLOOKUP(G43,'Planning and Target Times'!$B$106:$D$110,MATCH(F43,INDEX('Planning and Target Times'!$B$106:$D$110,1,0),0),0)),"",(VLOOKUP(G43,'Planning and Target Times'!$B$106:$D$110,MATCH(F43,INDEX('Planning and Target Times'!$B$106:$D$110,1,0),0),0)))</f>
        <v>740</v>
      </c>
      <c r="AL43" s="528"/>
      <c r="AM43" s="540"/>
      <c r="AN43" s="540"/>
      <c r="AO43" s="540"/>
      <c r="AP43" s="533">
        <f t="shared" si="12"/>
        <v>12.131147540983607</v>
      </c>
      <c r="AQ43" s="540"/>
      <c r="AR43" s="540"/>
      <c r="AS43" s="540"/>
      <c r="AT43" s="540"/>
      <c r="AU43" s="540"/>
      <c r="AV43" s="540"/>
      <c r="AW43" s="540"/>
      <c r="AX43" s="540"/>
      <c r="AY43" s="540"/>
      <c r="AZ43" s="540"/>
      <c r="BA43" s="540"/>
      <c r="BB43" s="540"/>
      <c r="BC43" s="540"/>
      <c r="BD43" s="540"/>
      <c r="BE43" s="540"/>
      <c r="BF43" s="540"/>
      <c r="BG43" s="540"/>
      <c r="BH43" s="540"/>
      <c r="BI43" s="540"/>
      <c r="BJ43" s="540"/>
      <c r="BK43" s="540"/>
      <c r="BL43" s="540"/>
      <c r="BM43" s="540"/>
      <c r="BN43" s="540"/>
      <c r="BO43" s="526">
        <f ca="1">IF(ISERROR(IF(INDEX(Rig_Schedule_View!$I$11:$I$262,MATCH(Well_Data_NK_Upcoming!AG41,Rig_Schedule_View!$B$11:$B$262,0))=0,O43,(INDEX(Rig_Schedule_View!$I$11:$I$262,MATCH(Well_Data_NK_Upcoming!AG41,Rig_Schedule_View!$B$11:$B$262,0))))),O43,(IF(INDEX(Rig_Schedule_View!$I$11:$I$262,MATCH(Well_Data_NK_Upcoming!AG41,Rig_Schedule_View!$B$11:$B$262,0))=0,O43,(INDEX(Rig_Schedule_View!$I$11:$I$262,MATCH(Well_Data_NK_Upcoming!AG41,Rig_Schedule_View!$B$11:$B$262,0))))))</f>
        <v>42201.875</v>
      </c>
      <c r="BP43" s="526">
        <f ca="1">IF(ISERROR(IF(INDEX(Rig_Schedule_View!$J$11:$J$262,MATCH(Well_Data_NK_Upcoming!AG41,Rig_Schedule_View!$B$11:$B$262,0))=0,P43,(INDEX(Rig_Schedule_View!$J$11:$J$262,MATCH(Well_Data_NK_Upcoming!AG41,Rig_Schedule_View!$B$11:$B$262,0))))),P43,(IF(INDEX(Rig_Schedule_View!$J$11:$J$262,MATCH(Well_Data_NK_Upcoming!AG41,Rig_Schedule_View!$B$11:$B$262,0))=0,P43,(INDEX(Rig_Schedule_View!$J$11:$J$262,MATCH(Well_Data_NK_Upcoming!AG41,Rig_Schedule_View!$B$11:$B$262,0))))))</f>
        <v>42254</v>
      </c>
      <c r="BQ43" s="527"/>
      <c r="BR43" s="525"/>
      <c r="BS43" s="525"/>
      <c r="BT43" s="525"/>
      <c r="BU43" s="525"/>
      <c r="BV43" s="525"/>
      <c r="BW43" s="525"/>
      <c r="BX43" s="525"/>
      <c r="BY43" s="525"/>
      <c r="BZ43" s="525"/>
    </row>
    <row r="44" spans="1:78" x14ac:dyDescent="0.25">
      <c r="A44" s="540" t="s">
        <v>1596</v>
      </c>
      <c r="B44" s="540" t="s">
        <v>1596</v>
      </c>
      <c r="C44" s="540" t="s">
        <v>2207</v>
      </c>
      <c r="D44" s="533" t="s">
        <v>2263</v>
      </c>
      <c r="E44" s="540"/>
      <c r="F44" s="528" t="str">
        <f t="shared" si="0"/>
        <v>SA</v>
      </c>
      <c r="G44" s="540" t="s">
        <v>17</v>
      </c>
      <c r="H44" s="536" t="s">
        <v>1415</v>
      </c>
      <c r="I44" s="540" t="s">
        <v>24</v>
      </c>
      <c r="J44" s="540" t="s">
        <v>298</v>
      </c>
      <c r="K44" s="540" t="s">
        <v>18</v>
      </c>
      <c r="L44" s="540" t="s">
        <v>1410</v>
      </c>
      <c r="M44" s="539"/>
      <c r="N44" s="540"/>
      <c r="O44" s="532" t="s">
        <v>2413</v>
      </c>
      <c r="P44" s="540"/>
      <c r="Q44" s="540"/>
      <c r="R44" s="537">
        <f>IF(ISERROR(VLOOKUP(G44,'Planning and Target Times'!$L$1:$AP$6,MATCH(K44&amp;"_"&amp;L44&amp;"_"&amp;J44,INDEX('Planning and Target Times'!$L$1:$AP$6,1,0),0),0)+5),"",(VLOOKUP(G44,'Planning and Target Times'!$L$1:$AP$6,MATCH(K44&amp;"_"&amp;L44&amp;"_"&amp;J44,INDEX('Planning and Target Times'!$L$1:$AP$6,1,0),0),0)+5))</f>
        <v>61</v>
      </c>
      <c r="S44" s="528">
        <f t="shared" si="7"/>
        <v>56</v>
      </c>
      <c r="T44" s="538">
        <f>VLOOKUP(G44,'Planning and Target Times'!$A$7:$G$12,MATCH(K44&amp;"-"&amp;L44&amp;"-"&amp;J44,INDEX('Planning and Target Times'!$A$7:$G$12,1,0),0),0)</f>
        <v>27</v>
      </c>
      <c r="U44" s="540"/>
      <c r="V44" s="540"/>
      <c r="W44" s="540"/>
      <c r="X44" s="535" t="str">
        <f t="shared" si="8"/>
        <v>MA</v>
      </c>
      <c r="Y44" s="540"/>
      <c r="Z44" s="540"/>
      <c r="AA44" s="540"/>
      <c r="AB44" s="540"/>
      <c r="AC44" s="540"/>
      <c r="AD44" s="540"/>
      <c r="AE44" s="540">
        <v>42</v>
      </c>
      <c r="AF44" s="528"/>
      <c r="AG44" s="540" t="str">
        <f t="shared" si="9"/>
        <v>SA-0152-SA-MA-Prod-ST-HZ-SLB</v>
      </c>
      <c r="AH44" s="540" t="str">
        <f t="shared" si="10"/>
        <v>SA-0152-SP-288</v>
      </c>
      <c r="AI44" s="540" t="str">
        <f t="shared" si="11"/>
        <v>SA-0152-MA-ST-Prod</v>
      </c>
      <c r="AJ44" s="540">
        <f ca="1">IF(P44&gt;0,"RR",IF(O44&gt;0,0,COUNTIF($H$2:H44,H44)-IFERROR(COUNTIF(OFFSET($H$1,0,0,SUMPRODUCT(MAX(($H$2:H44=H44)*ROW($H$2:H44)*($O$2:O44&lt;&gt;""))),1),H44),0)))</f>
        <v>0</v>
      </c>
      <c r="AK44" s="527">
        <f>IF(ISERROR(VLOOKUP(G44,'Planning and Target Times'!$B$106:$D$110,MATCH(F44,INDEX('Planning and Target Times'!$B$106:$D$110,1,0),0),0)),"",(VLOOKUP(G44,'Planning and Target Times'!$B$106:$D$110,MATCH(F44,INDEX('Planning and Target Times'!$B$106:$D$110,1,0),0),0)))</f>
        <v>740</v>
      </c>
      <c r="AL44" s="528" t="str">
        <f>VLOOKUP(G44,'Planning and Target Times'!$I$2:$J$7,2,0)</f>
        <v>Carbonate</v>
      </c>
      <c r="AM44" s="540"/>
      <c r="AN44" s="540"/>
      <c r="AO44" s="540"/>
      <c r="AP44" s="533">
        <f t="shared" si="12"/>
        <v>12.131147540983607</v>
      </c>
      <c r="AQ44" s="540"/>
      <c r="AR44" s="540"/>
      <c r="AS44" s="540"/>
      <c r="AT44" s="540"/>
      <c r="AU44" s="540"/>
      <c r="AV44" s="540"/>
      <c r="AW44" s="540"/>
      <c r="AX44" s="540"/>
      <c r="AY44" s="540"/>
      <c r="AZ44" s="540"/>
      <c r="BA44" s="540"/>
      <c r="BB44" s="540"/>
      <c r="BC44" s="540"/>
      <c r="BD44" s="540"/>
      <c r="BE44" s="540"/>
      <c r="BF44" s="540"/>
      <c r="BG44" s="540"/>
      <c r="BH44" s="540"/>
      <c r="BI44" s="540"/>
      <c r="BJ44" s="540"/>
      <c r="BK44" s="540"/>
      <c r="BL44" s="540"/>
      <c r="BM44" s="540"/>
      <c r="BN44" s="540"/>
      <c r="BO44" s="526">
        <f ca="1">IF(ISERROR(IF(INDEX(Rig_Schedule_View!$I$11:$I$262,MATCH(Well_Data_NK_Upcoming!AG63,Rig_Schedule_View!$B$11:$B$262,0))=0,O44,(INDEX(Rig_Schedule_View!$I$11:$I$262,MATCH(Well_Data_NK_Upcoming!AG63,Rig_Schedule_View!$B$11:$B$262,0))))),O44,(IF(INDEX(Rig_Schedule_View!$I$11:$I$262,MATCH(Well_Data_NK_Upcoming!AG63,Rig_Schedule_View!$B$11:$B$262,0))=0,O44,(INDEX(Rig_Schedule_View!$I$11:$I$262,MATCH(Well_Data_NK_Upcoming!AG63,Rig_Schedule_View!$B$11:$B$262,0))))))</f>
        <v>42243</v>
      </c>
      <c r="BP44" s="526">
        <f ca="1">IF(ISERROR(IF(INDEX(Rig_Schedule_View!$J$11:$J$262,MATCH(Well_Data_NK_Upcoming!AG63,Rig_Schedule_View!$B$11:$B$262,0))=0,P44,(INDEX(Rig_Schedule_View!$J$11:$J$262,MATCH(Well_Data_NK_Upcoming!AG63,Rig_Schedule_View!$B$11:$B$262,0))))),P44,(IF(INDEX(Rig_Schedule_View!$J$11:$J$262,MATCH(Well_Data_NK_Upcoming!AG63,Rig_Schedule_View!$B$11:$B$262,0))=0,P44,(INDEX(Rig_Schedule_View!$J$11:$J$262,MATCH(Well_Data_NK_Upcoming!AG63,Rig_Schedule_View!$B$11:$B$262,0))))))</f>
        <v>42313</v>
      </c>
      <c r="BQ44" s="527"/>
      <c r="BR44" s="525"/>
      <c r="BS44" s="525"/>
      <c r="BT44" s="525"/>
      <c r="BU44" s="525"/>
      <c r="BV44" s="525"/>
      <c r="BW44" s="525"/>
      <c r="BX44" s="525"/>
      <c r="BY44" s="525"/>
      <c r="BZ44" s="525"/>
    </row>
    <row r="45" spans="1:78" ht="30" x14ac:dyDescent="0.25">
      <c r="A45" s="540" t="s">
        <v>1441</v>
      </c>
      <c r="B45" s="540" t="s">
        <v>1441</v>
      </c>
      <c r="C45" s="540" t="s">
        <v>1702</v>
      </c>
      <c r="D45" s="564" t="s">
        <v>2402</v>
      </c>
      <c r="E45" s="540"/>
      <c r="F45" s="528" t="str">
        <f t="shared" si="0"/>
        <v>SA</v>
      </c>
      <c r="G45" s="540" t="s">
        <v>22</v>
      </c>
      <c r="H45" s="536" t="s">
        <v>734</v>
      </c>
      <c r="I45" s="540" t="s">
        <v>24</v>
      </c>
      <c r="J45" s="540" t="s">
        <v>298</v>
      </c>
      <c r="K45" s="540" t="s">
        <v>14</v>
      </c>
      <c r="L45" s="540" t="s">
        <v>1410</v>
      </c>
      <c r="M45" s="539"/>
      <c r="N45" s="540">
        <v>1</v>
      </c>
      <c r="O45" s="532">
        <v>42191.041666666664</v>
      </c>
      <c r="P45" s="540"/>
      <c r="Q45" s="540"/>
      <c r="R45" s="537">
        <f>IF(ISERROR(VLOOKUP(G45,'Planning and Target Times'!$L$1:$AP$6,MATCH(K45&amp;"_"&amp;L45&amp;"_"&amp;J45,INDEX('Planning and Target Times'!$L$1:$AP$6,1,0),0),0)+5),"",(VLOOKUP(G45,'Planning and Target Times'!$L$1:$AP$6,MATCH(K45&amp;"_"&amp;L45&amp;"_"&amp;J45,INDEX('Planning and Target Times'!$L$1:$AP$6,1,0),0),0)+5))</f>
        <v>75</v>
      </c>
      <c r="S45" s="528">
        <f t="shared" si="7"/>
        <v>70</v>
      </c>
      <c r="T45" s="538">
        <f>VLOOKUP(G45,'Planning and Target Times'!$A$7:$G$12,MATCH(K45&amp;"-"&amp;L45&amp;"-"&amp;J45,INDEX('Planning and Target Times'!$A$7:$G$12,1,0),0),0)</f>
        <v>35</v>
      </c>
      <c r="U45" s="540"/>
      <c r="V45" s="540"/>
      <c r="W45" s="540"/>
      <c r="X45" s="535" t="str">
        <f t="shared" si="8"/>
        <v>LB</v>
      </c>
      <c r="Y45" s="540"/>
      <c r="Z45" s="540"/>
      <c r="AA45" s="540"/>
      <c r="AB45" s="540"/>
      <c r="AC45" s="540"/>
      <c r="AD45" s="540"/>
      <c r="AE45" s="540">
        <v>10</v>
      </c>
      <c r="AF45" s="528"/>
      <c r="AG45" s="540" t="str">
        <f t="shared" si="9"/>
        <v>SA-0582-SA-LB-Prod-NW-HZ-SLB</v>
      </c>
      <c r="AH45" s="540" t="str">
        <f t="shared" si="10"/>
        <v>SA-0582-SP-294</v>
      </c>
      <c r="AI45" s="540" t="str">
        <f t="shared" si="11"/>
        <v>SA-0582-LB-NW-Prod</v>
      </c>
      <c r="AJ45" s="540">
        <f ca="1">IF(P45&gt;0,"RR",IF(O45&gt;0,0,COUNTIF($H$2:H45,H45)-IFERROR(COUNTIF(OFFSET($H$1,0,0,SUMPRODUCT(MAX(($H$2:H45=H45)*ROW($H$2:H45)*($O$2:O45&lt;&gt;""))),1),H45),0)))</f>
        <v>0</v>
      </c>
      <c r="AK45" s="527">
        <f>IF(ISERROR(VLOOKUP(G45,'Planning and Target Times'!$B$106:$D$110,MATCH(F45,INDEX('Planning and Target Times'!$B$106:$D$110,1,0),0),0)),"",(VLOOKUP(G45,'Planning and Target Times'!$B$106:$D$110,MATCH(F45,INDEX('Planning and Target Times'!$B$106:$D$110,1,0),0),0)))</f>
        <v>550</v>
      </c>
      <c r="AL45" s="528" t="str">
        <f>VLOOKUP(G45,'Planning and Target Times'!$I$2:$J$7,2,0)</f>
        <v>Sandstone</v>
      </c>
      <c r="AM45" s="540"/>
      <c r="AN45" s="540"/>
      <c r="AO45" s="540"/>
      <c r="AP45" s="533">
        <f t="shared" si="12"/>
        <v>7.333333333333333</v>
      </c>
      <c r="AQ45" s="540"/>
      <c r="AR45" s="540"/>
      <c r="AS45" s="540"/>
      <c r="AT45" s="540"/>
      <c r="AU45" s="540"/>
      <c r="AV45" s="540"/>
      <c r="AW45" s="540"/>
      <c r="AX45" s="540"/>
      <c r="AY45" s="540"/>
      <c r="AZ45" s="540"/>
      <c r="BA45" s="540"/>
      <c r="BB45" s="540"/>
      <c r="BC45" s="540"/>
      <c r="BD45" s="540"/>
      <c r="BE45" s="540"/>
      <c r="BF45" s="540"/>
      <c r="BG45" s="540"/>
      <c r="BH45" s="540"/>
      <c r="BI45" s="540"/>
      <c r="BJ45" s="540"/>
      <c r="BK45" s="540"/>
      <c r="BL45" s="540"/>
      <c r="BM45" s="540"/>
      <c r="BN45" s="540"/>
      <c r="BO45" s="526">
        <f ca="1">IF(ISERROR(IF(INDEX(Rig_Schedule_View!$I$11:$I$262,MATCH(Well_Data_NK_Upcoming!AG43,Rig_Schedule_View!$B$11:$B$262,0))=0,O45,(INDEX(Rig_Schedule_View!$I$11:$I$262,MATCH(Well_Data_NK_Upcoming!AG43,Rig_Schedule_View!$B$11:$B$262,0))))),O45,(IF(INDEX(Rig_Schedule_View!$I$11:$I$262,MATCH(Well_Data_NK_Upcoming!AG43,Rig_Schedule_View!$B$11:$B$262,0))=0,O45,(INDEX(Rig_Schedule_View!$I$11:$I$262,MATCH(Well_Data_NK_Upcoming!AG43,Rig_Schedule_View!$B$11:$B$262,0))))))</f>
        <v>42208</v>
      </c>
      <c r="BP45" s="526">
        <f ca="1">IF(ISERROR(IF(INDEX(Rig_Schedule_View!$J$11:$J$262,MATCH(Well_Data_NK_Upcoming!AG43,Rig_Schedule_View!$B$11:$B$262,0))=0,P45,(INDEX(Rig_Schedule_View!$J$11:$J$262,MATCH(Well_Data_NK_Upcoming!AG43,Rig_Schedule_View!$B$11:$B$262,0))))),P45,(IF(INDEX(Rig_Schedule_View!$J$11:$J$262,MATCH(Well_Data_NK_Upcoming!AG43,Rig_Schedule_View!$B$11:$B$262,0))=0,P45,(INDEX(Rig_Schedule_View!$J$11:$J$262,MATCH(Well_Data_NK_Upcoming!AG43,Rig_Schedule_View!$B$11:$B$262,0))))))</f>
        <v>42240</v>
      </c>
      <c r="BQ45" s="527"/>
      <c r="BR45" s="525"/>
      <c r="BS45" s="525"/>
      <c r="BT45" s="525"/>
      <c r="BU45" s="525"/>
      <c r="BV45" s="525"/>
      <c r="BW45" s="525"/>
      <c r="BX45" s="525"/>
      <c r="BY45" s="525"/>
      <c r="BZ45" s="525"/>
    </row>
    <row r="46" spans="1:78" s="511" customFormat="1" x14ac:dyDescent="0.25">
      <c r="A46" s="540" t="s">
        <v>1442</v>
      </c>
      <c r="B46" s="540" t="s">
        <v>1442</v>
      </c>
      <c r="C46" s="540" t="s">
        <v>1442</v>
      </c>
      <c r="D46" s="533" t="s">
        <v>2264</v>
      </c>
      <c r="E46" s="540"/>
      <c r="F46" s="528" t="str">
        <f t="shared" si="0"/>
        <v>SA</v>
      </c>
      <c r="G46" s="540" t="s">
        <v>29</v>
      </c>
      <c r="H46" s="536" t="s">
        <v>735</v>
      </c>
      <c r="I46" s="540" t="s">
        <v>20</v>
      </c>
      <c r="J46" s="540" t="s">
        <v>298</v>
      </c>
      <c r="K46" s="540" t="s">
        <v>14</v>
      </c>
      <c r="L46" s="540" t="s">
        <v>1416</v>
      </c>
      <c r="M46" s="539"/>
      <c r="N46" s="540"/>
      <c r="O46" s="532">
        <v>42209.708333333336</v>
      </c>
      <c r="P46" s="540"/>
      <c r="Q46" s="540"/>
      <c r="R46" s="537">
        <f>IF(ISERROR(VLOOKUP(G46,'Planning and Target Times'!$L$1:$AP$6,MATCH(K46&amp;"_"&amp;L46&amp;"_"&amp;J46,INDEX('Planning and Target Times'!$L$1:$AP$6,1,0),0),0)+5),"",(VLOOKUP(G46,'Planning and Target Times'!$L$1:$AP$6,MATCH(K46&amp;"_"&amp;L46&amp;"_"&amp;J46,INDEX('Planning and Target Times'!$L$1:$AP$6,1,0),0),0)+5))</f>
        <v>75</v>
      </c>
      <c r="S46" s="528">
        <f t="shared" si="7"/>
        <v>70</v>
      </c>
      <c r="T46" s="538">
        <f>VLOOKUP(G46,'Planning and Target Times'!$A$7:$G$12,MATCH(K46&amp;"-"&amp;L46&amp;"-"&amp;J46,INDEX('Planning and Target Times'!$A$7:$G$12,1,0),0),0)</f>
        <v>33</v>
      </c>
      <c r="U46" s="540"/>
      <c r="V46" s="540"/>
      <c r="W46" s="540"/>
      <c r="X46" s="535" t="str">
        <f t="shared" si="8"/>
        <v>UB</v>
      </c>
      <c r="Y46" s="540"/>
      <c r="Z46" s="540"/>
      <c r="AA46" s="540"/>
      <c r="AB46" s="540"/>
      <c r="AC46" s="540"/>
      <c r="AD46" s="540"/>
      <c r="AE46" s="376">
        <v>14</v>
      </c>
      <c r="AF46" s="528"/>
      <c r="AG46" s="540" t="str">
        <f t="shared" si="9"/>
        <v>SA-0610-SA-UB-Prod-NW-SL-HAL</v>
      </c>
      <c r="AH46" s="540" t="str">
        <f t="shared" si="10"/>
        <v>SA-0610-SP-295</v>
      </c>
      <c r="AI46" s="540" t="str">
        <f t="shared" si="11"/>
        <v>SA-0610-UB-NW-Prod</v>
      </c>
      <c r="AJ46" s="540">
        <f ca="1">IF(P46&gt;0,"RR",IF(O46&gt;0,0,COUNTIF($H$2:H46,H46)-IFERROR(COUNTIF(OFFSET($H$1,0,0,SUMPRODUCT(MAX(($H$2:H46=H46)*ROW($H$2:H46)*($O$2:O46&lt;&gt;""))),1),H46),0)))</f>
        <v>0</v>
      </c>
      <c r="AK46" s="527">
        <f>IF(ISERROR(VLOOKUP(G46,'Planning and Target Times'!$B$106:$D$110,MATCH(F46,INDEX('Planning and Target Times'!$B$106:$D$110,1,0),0),0)),"",(VLOOKUP(G46,'Planning and Target Times'!$B$106:$D$110,MATCH(F46,INDEX('Planning and Target Times'!$B$106:$D$110,1,0),0),0)))</f>
        <v>630</v>
      </c>
      <c r="AL46" s="528" t="str">
        <f>VLOOKUP(G46,'Planning and Target Times'!$I$2:$J$7,2,0)</f>
        <v>Sandstone</v>
      </c>
      <c r="AM46" s="540"/>
      <c r="AN46" s="540"/>
      <c r="AO46" s="540"/>
      <c r="AP46" s="533">
        <f t="shared" si="12"/>
        <v>8.4</v>
      </c>
      <c r="AQ46" s="540"/>
      <c r="AR46" s="540"/>
      <c r="AS46" s="540"/>
      <c r="AT46" s="540"/>
      <c r="AU46" s="540"/>
      <c r="AV46" s="540"/>
      <c r="AW46" s="540"/>
      <c r="AX46" s="540"/>
      <c r="AY46" s="540"/>
      <c r="AZ46" s="540"/>
      <c r="BA46" s="540"/>
      <c r="BB46" s="540"/>
      <c r="BC46" s="540"/>
      <c r="BD46" s="540"/>
      <c r="BE46" s="540"/>
      <c r="BF46" s="540"/>
      <c r="BG46" s="540"/>
      <c r="BH46" s="540"/>
      <c r="BI46" s="540"/>
      <c r="BJ46" s="540"/>
      <c r="BK46" s="540"/>
      <c r="BL46" s="540"/>
      <c r="BM46" s="540"/>
      <c r="BN46" s="540"/>
      <c r="BO46" s="526" t="str">
        <f ca="1">IF(ISERROR(IF(INDEX(Rig_Schedule_View!$I$11:$I$262,MATCH(Well_Data_NK_Upcoming!AG44,Rig_Schedule_View!$B$11:$B$262,0))=0,O46,(INDEX(Rig_Schedule_View!$I$11:$I$262,MATCH(Well_Data_NK_Upcoming!AG44,Rig_Schedule_View!$B$11:$B$262,0))))),O46,(IF(INDEX(Rig_Schedule_View!$I$11:$I$262,MATCH(Well_Data_NK_Upcoming!AG44,Rig_Schedule_View!$B$11:$B$262,0))=0,O46,(INDEX(Rig_Schedule_View!$I$11:$I$262,MATCH(Well_Data_NK_Upcoming!AG44,Rig_Schedule_View!$B$11:$B$262,0))))))</f>
        <v xml:space="preserve"> 8/19/2015 3:00</v>
      </c>
      <c r="BP46" s="526">
        <f ca="1">IF(ISERROR(IF(INDEX(Rig_Schedule_View!$J$11:$J$262,MATCH(Well_Data_NK_Upcoming!AG44,Rig_Schedule_View!$B$11:$B$262,0))=0,P46,(INDEX(Rig_Schedule_View!$J$11:$J$262,MATCH(Well_Data_NK_Upcoming!AG44,Rig_Schedule_View!$B$11:$B$262,0))))),P46,(IF(INDEX(Rig_Schedule_View!$J$11:$J$262,MATCH(Well_Data_NK_Upcoming!AG44,Rig_Schedule_View!$B$11:$B$262,0))=0,P46,(INDEX(Rig_Schedule_View!$J$11:$J$262,MATCH(Well_Data_NK_Upcoming!AG44,Rig_Schedule_View!$B$11:$B$262,0))))))</f>
        <v>42275</v>
      </c>
      <c r="BQ46" s="527"/>
      <c r="BR46" s="525"/>
      <c r="BS46" s="525"/>
      <c r="BT46" s="525"/>
      <c r="BU46" s="525"/>
      <c r="BV46" s="525"/>
      <c r="BW46" s="525"/>
      <c r="BX46" s="525"/>
      <c r="BY46" s="525"/>
      <c r="BZ46" s="525"/>
    </row>
    <row r="47" spans="1:78" s="511" customFormat="1" x14ac:dyDescent="0.25">
      <c r="A47" s="540" t="s">
        <v>1969</v>
      </c>
      <c r="B47" s="540" t="s">
        <v>1614</v>
      </c>
      <c r="C47" s="540"/>
      <c r="D47" s="529" t="s">
        <v>2398</v>
      </c>
      <c r="E47" s="540"/>
      <c r="F47" s="528"/>
      <c r="G47" s="540"/>
      <c r="H47" s="536" t="s">
        <v>12</v>
      </c>
      <c r="I47" s="540"/>
      <c r="J47" s="540"/>
      <c r="K47" s="540"/>
      <c r="L47" s="540"/>
      <c r="M47" s="539"/>
      <c r="N47" s="540"/>
      <c r="O47" s="532"/>
      <c r="P47" s="540"/>
      <c r="Q47" s="540"/>
      <c r="R47" s="537" t="str">
        <f>IF(ISERROR(VLOOKUP(G47,'Planning and Target Times'!$L$1:$AP$6,MATCH(K47&amp;"_"&amp;L47&amp;"_"&amp;J47,INDEX('Planning and Target Times'!$L$1:$AP$6,1,0),0),0)+5),"",(VLOOKUP(G47,'Planning and Target Times'!$L$1:$AP$6,MATCH(K47&amp;"_"&amp;L47&amp;"_"&amp;J47,INDEX('Planning and Target Times'!$L$1:$AP$6,1,0),0),0)+5))</f>
        <v/>
      </c>
      <c r="S47" s="528" t="str">
        <f t="shared" si="7"/>
        <v/>
      </c>
      <c r="T47" s="538" t="e">
        <f>VLOOKUP(G47,'Planning and Target Times'!$A$7:$G$12,MATCH(K47&amp;"-"&amp;L47&amp;"-"&amp;J47,INDEX('Planning and Target Times'!$A$7:$G$12,1,0),0),0)</f>
        <v>#N/A</v>
      </c>
      <c r="U47" s="540"/>
      <c r="V47" s="540"/>
      <c r="W47" s="540"/>
      <c r="X47" s="535">
        <f t="shared" si="8"/>
        <v>0</v>
      </c>
      <c r="Y47" s="540"/>
      <c r="Z47" s="540"/>
      <c r="AA47" s="540"/>
      <c r="AB47" s="540"/>
      <c r="AC47" s="540"/>
      <c r="AD47" s="540"/>
      <c r="AE47" s="540" t="s">
        <v>91</v>
      </c>
      <c r="AF47" s="528"/>
      <c r="AG47" s="540" t="str">
        <f t="shared" si="9"/>
        <v>Rig-Exp-Aug</v>
      </c>
      <c r="AH47" s="540" t="str">
        <f t="shared" si="10"/>
        <v>Rig-Exp-Aug-BWD-130</v>
      </c>
      <c r="AI47" s="540" t="str">
        <f t="shared" si="11"/>
        <v>Rig-Exp-Aug</v>
      </c>
      <c r="AJ47" s="540">
        <f ca="1">IF(P47&gt;0,"RR",IF(O47&gt;0,0,COUNTIF($H$2:H47,H47)-IFERROR(COUNTIF(OFFSET($H$1,0,0,SUMPRODUCT(MAX(($H$2:H47=H47)*ROW($H$2:H47)*($O$2:O47&lt;&gt;""))),1),H47),0)))</f>
        <v>1</v>
      </c>
      <c r="AK47" s="527" t="str">
        <f>IF(ISERROR(VLOOKUP(G47,'Planning and Target Times'!$B$106:$D$110,MATCH(F47,INDEX('Planning and Target Times'!$B$106:$D$110,1,0),0),0)),"",(VLOOKUP(G47,'Planning and Target Times'!$B$106:$D$110,MATCH(F47,INDEX('Planning and Target Times'!$B$106:$D$110,1,0),0),0)))</f>
        <v/>
      </c>
      <c r="AL47" s="528" t="e">
        <f>VLOOKUP(G47,'Planning and Target Times'!$I$2:$J$7,2,0)</f>
        <v>#N/A</v>
      </c>
      <c r="AM47" s="540"/>
      <c r="AN47" s="540"/>
      <c r="AO47" s="540"/>
      <c r="AP47" s="533" t="e">
        <f t="shared" si="12"/>
        <v>#VALUE!</v>
      </c>
      <c r="AQ47" s="540"/>
      <c r="AR47" s="540"/>
      <c r="AS47" s="540"/>
      <c r="AT47" s="540"/>
      <c r="AU47" s="540"/>
      <c r="AV47" s="540"/>
      <c r="AW47" s="540"/>
      <c r="AX47" s="540"/>
      <c r="AY47" s="540"/>
      <c r="AZ47" s="540"/>
      <c r="BA47" s="540"/>
      <c r="BB47" s="540"/>
      <c r="BC47" s="540"/>
      <c r="BD47" s="540"/>
      <c r="BE47" s="540"/>
      <c r="BF47" s="540"/>
      <c r="BG47" s="540"/>
      <c r="BH47" s="540"/>
      <c r="BI47" s="540"/>
      <c r="BJ47" s="540"/>
      <c r="BK47" s="540"/>
      <c r="BL47" s="540"/>
      <c r="BM47" s="540"/>
      <c r="BN47" s="540"/>
      <c r="BO47" s="526">
        <f ca="1">IF(ISERROR(IF(INDEX(Rig_Schedule_View!$I$11:$I$262,MATCH(Well_Data_NK_Upcoming!AG45,Rig_Schedule_View!$B$11:$B$262,0))=0,O47,(INDEX(Rig_Schedule_View!$I$11:$I$262,MATCH(Well_Data_NK_Upcoming!AG45,Rig_Schedule_View!$B$11:$B$262,0))))),O47,(IF(INDEX(Rig_Schedule_View!$I$11:$I$262,MATCH(Well_Data_NK_Upcoming!AG45,Rig_Schedule_View!$B$11:$B$262,0))=0,O47,(INDEX(Rig_Schedule_View!$I$11:$I$262,MATCH(Well_Data_NK_Upcoming!AG45,Rig_Schedule_View!$B$11:$B$262,0))))))</f>
        <v>42191.041666666664</v>
      </c>
      <c r="BP47" s="526">
        <f ca="1">IF(ISERROR(IF(INDEX(Rig_Schedule_View!$J$11:$J$262,MATCH(Well_Data_NK_Upcoming!AG45,Rig_Schedule_View!$B$11:$B$262,0))=0,P47,(INDEX(Rig_Schedule_View!$J$11:$J$262,MATCH(Well_Data_NK_Upcoming!AG45,Rig_Schedule_View!$B$11:$B$262,0))))),P47,(IF(INDEX(Rig_Schedule_View!$J$11:$J$262,MATCH(Well_Data_NK_Upcoming!AG45,Rig_Schedule_View!$B$11:$B$262,0))=0,P47,(INDEX(Rig_Schedule_View!$J$11:$J$262,MATCH(Well_Data_NK_Upcoming!AG45,Rig_Schedule_View!$B$11:$B$262,0))))))</f>
        <v>42243</v>
      </c>
      <c r="BQ47" s="527"/>
      <c r="BR47" s="525"/>
      <c r="BS47" s="525"/>
      <c r="BT47" s="525"/>
      <c r="BU47" s="525"/>
      <c r="BV47" s="525"/>
      <c r="BW47" s="525"/>
      <c r="BX47" s="525"/>
      <c r="BY47" s="525"/>
      <c r="BZ47" s="525"/>
    </row>
    <row r="48" spans="1:78" s="524" customFormat="1" x14ac:dyDescent="0.25">
      <c r="A48" s="540" t="s">
        <v>1419</v>
      </c>
      <c r="B48" s="540" t="s">
        <v>1419</v>
      </c>
      <c r="C48" s="540" t="s">
        <v>2246</v>
      </c>
      <c r="D48" s="529" t="s">
        <v>2276</v>
      </c>
      <c r="E48" s="540"/>
      <c r="F48" s="528" t="str">
        <f t="shared" ref="F48:F79" si="13">LEFT(B48,2)</f>
        <v>RA</v>
      </c>
      <c r="G48" s="540" t="s">
        <v>29</v>
      </c>
      <c r="H48" s="536" t="s">
        <v>1171</v>
      </c>
      <c r="I48" s="540" t="s">
        <v>1420</v>
      </c>
      <c r="J48" s="540" t="s">
        <v>298</v>
      </c>
      <c r="K48" s="540" t="s">
        <v>14</v>
      </c>
      <c r="L48" s="540" t="s">
        <v>1410</v>
      </c>
      <c r="M48" s="539"/>
      <c r="N48" s="540"/>
      <c r="O48" s="532"/>
      <c r="P48" s="540"/>
      <c r="Q48" s="540"/>
      <c r="R48" s="537">
        <f>IF(ISERROR(VLOOKUP(G48,'Planning and Target Times'!$L$1:$AP$6,MATCH(K48&amp;"_"&amp;L48&amp;"_"&amp;J48,INDEX('Planning and Target Times'!$L$1:$AP$6,1,0),0),0)+5),"",(VLOOKUP(G48,'Planning and Target Times'!$L$1:$AP$6,MATCH(K48&amp;"_"&amp;L48&amp;"_"&amp;J48,INDEX('Planning and Target Times'!$L$1:$AP$6,1,0),0),0)+5))</f>
        <v>75</v>
      </c>
      <c r="S48" s="528">
        <f t="shared" si="7"/>
        <v>70</v>
      </c>
      <c r="T48" s="538">
        <f>VLOOKUP(G48,'Planning and Target Times'!$A$7:$G$12,MATCH(K48&amp;"-"&amp;L48&amp;"-"&amp;J48,INDEX('Planning and Target Times'!$A$7:$G$12,1,0),0),0)</f>
        <v>35</v>
      </c>
      <c r="U48" s="540"/>
      <c r="V48" s="540"/>
      <c r="W48" s="540"/>
      <c r="X48" s="535" t="str">
        <f t="shared" si="8"/>
        <v>UB</v>
      </c>
      <c r="Y48" s="540"/>
      <c r="Z48" s="540"/>
      <c r="AA48" s="540"/>
      <c r="AB48" s="540"/>
      <c r="AC48" s="540"/>
      <c r="AD48" s="540"/>
      <c r="AE48" s="540" t="s">
        <v>91</v>
      </c>
      <c r="AF48" s="528"/>
      <c r="AG48" s="540" t="str">
        <f t="shared" si="9"/>
        <v>RA-0581-RA-UB-Prod-NW-HZ-Sperry</v>
      </c>
      <c r="AH48" s="540" t="str">
        <f t="shared" si="10"/>
        <v>RA-0581-KDC-25</v>
      </c>
      <c r="AI48" s="540" t="str">
        <f t="shared" si="11"/>
        <v>RA-0581-UB-NW-Prod</v>
      </c>
      <c r="AJ48" s="540">
        <f ca="1">IF(P48&gt;0,"RR",IF(O48&gt;0,0,COUNTIF($H$2:H48,H48)-IFERROR(COUNTIF(OFFSET($H$1,0,0,SUMPRODUCT(MAX(($H$2:H48=H48)*ROW($H$2:H48)*($O$2:O48&lt;&gt;""))),1),H48),0)))</f>
        <v>1</v>
      </c>
      <c r="AK48" s="527">
        <f>IF(ISERROR(VLOOKUP(G48,'Planning and Target Times'!$B$106:$D$110,MATCH(F48,INDEX('Planning and Target Times'!$B$106:$D$110,1,0),0),0)),"",(VLOOKUP(G48,'Planning and Target Times'!$B$106:$D$110,MATCH(F48,INDEX('Planning and Target Times'!$B$106:$D$110,1,0),0),0)))</f>
        <v>940</v>
      </c>
      <c r="AL48" s="528" t="str">
        <f>VLOOKUP(G48,'Planning and Target Times'!$I$2:$J$7,2,0)</f>
        <v>Sandstone</v>
      </c>
      <c r="AM48" s="540"/>
      <c r="AN48" s="540"/>
      <c r="AO48" s="540"/>
      <c r="AP48" s="533">
        <f t="shared" si="12"/>
        <v>12.533333333333333</v>
      </c>
      <c r="AQ48" s="540"/>
      <c r="AR48" s="540"/>
      <c r="AS48" s="540"/>
      <c r="AT48" s="540"/>
      <c r="AU48" s="540"/>
      <c r="AV48" s="540"/>
      <c r="AW48" s="540"/>
      <c r="AX48" s="540"/>
      <c r="AY48" s="540"/>
      <c r="AZ48" s="540"/>
      <c r="BA48" s="540"/>
      <c r="BB48" s="540"/>
      <c r="BC48" s="540"/>
      <c r="BD48" s="540"/>
      <c r="BE48" s="540"/>
      <c r="BF48" s="540"/>
      <c r="BG48" s="540"/>
      <c r="BH48" s="540"/>
      <c r="BI48" s="540"/>
      <c r="BJ48" s="540"/>
      <c r="BK48" s="540"/>
      <c r="BL48" s="540"/>
      <c r="BM48" s="540"/>
      <c r="BN48" s="540"/>
      <c r="BO48" s="526">
        <f ca="1">IF(ISERROR(IF(INDEX(Rig_Schedule_View!$I$11:$I$262,MATCH(Well_Data_NK_Upcoming!AG46,Rig_Schedule_View!$B$11:$B$262,0))=0,O48,(INDEX(Rig_Schedule_View!$I$11:$I$262,MATCH(Well_Data_NK_Upcoming!AG46,Rig_Schedule_View!$B$11:$B$262,0))))),O48,(IF(INDEX(Rig_Schedule_View!$I$11:$I$262,MATCH(Well_Data_NK_Upcoming!AG46,Rig_Schedule_View!$B$11:$B$262,0))=0,O48,(INDEX(Rig_Schedule_View!$I$11:$I$262,MATCH(Well_Data_NK_Upcoming!AG46,Rig_Schedule_View!$B$11:$B$262,0))))))</f>
        <v>42209.708333333336</v>
      </c>
      <c r="BP48" s="526">
        <f ca="1">IF(ISERROR(IF(INDEX(Rig_Schedule_View!$J$11:$J$262,MATCH(Well_Data_NK_Upcoming!AG46,Rig_Schedule_View!$B$11:$B$262,0))=0,P48,(INDEX(Rig_Schedule_View!$J$11:$J$262,MATCH(Well_Data_NK_Upcoming!AG46,Rig_Schedule_View!$B$11:$B$262,0))))),P48,(IF(INDEX(Rig_Schedule_View!$J$11:$J$262,MATCH(Well_Data_NK_Upcoming!AG46,Rig_Schedule_View!$B$11:$B$262,0))=0,P48,(INDEX(Rig_Schedule_View!$J$11:$J$262,MATCH(Well_Data_NK_Upcoming!AG46,Rig_Schedule_View!$B$11:$B$262,0))))))</f>
        <v>42247</v>
      </c>
      <c r="BQ48" s="527"/>
      <c r="BR48" s="525"/>
      <c r="BS48" s="525"/>
      <c r="BT48" s="525"/>
      <c r="BU48" s="525"/>
      <c r="BV48" s="525"/>
      <c r="BW48" s="525"/>
      <c r="BX48" s="525"/>
      <c r="BY48" s="525"/>
      <c r="BZ48" s="525"/>
    </row>
    <row r="49" spans="1:78" s="409" customFormat="1" x14ac:dyDescent="0.25">
      <c r="A49" s="540" t="s">
        <v>1500</v>
      </c>
      <c r="B49" s="540" t="s">
        <v>1500</v>
      </c>
      <c r="C49" s="540"/>
      <c r="D49" s="529" t="s">
        <v>2277</v>
      </c>
      <c r="E49" s="540"/>
      <c r="F49" s="528" t="str">
        <f t="shared" si="13"/>
        <v>RA</v>
      </c>
      <c r="G49" s="540" t="s">
        <v>44</v>
      </c>
      <c r="H49" s="400" t="s">
        <v>35</v>
      </c>
      <c r="I49" s="540" t="s">
        <v>78</v>
      </c>
      <c r="J49" s="540" t="s">
        <v>298</v>
      </c>
      <c r="K49" s="540" t="s">
        <v>14</v>
      </c>
      <c r="L49" s="540" t="s">
        <v>1416</v>
      </c>
      <c r="M49" s="539"/>
      <c r="N49" s="540"/>
      <c r="O49" s="532"/>
      <c r="P49" s="540"/>
      <c r="Q49" s="540"/>
      <c r="R49" s="537">
        <f>IF(ISERROR(VLOOKUP(G49,'Planning and Target Times'!$L$1:$AP$6,MATCH(K49&amp;"_"&amp;L49&amp;"_"&amp;J49,INDEX('Planning and Target Times'!$L$1:$AP$6,1,0),0),0)+5),"",(VLOOKUP(G49,'Planning and Target Times'!$L$1:$AP$6,MATCH(K49&amp;"_"&amp;L49&amp;"_"&amp;J49,INDEX('Planning and Target Times'!$L$1:$AP$6,1,0),0),0)+5))</f>
        <v>103</v>
      </c>
      <c r="S49" s="528">
        <f t="shared" si="7"/>
        <v>98</v>
      </c>
      <c r="T49" s="538">
        <f>VLOOKUP(G49,'Planning and Target Times'!$A$7:$G$12,MATCH(K49&amp;"-"&amp;L49&amp;"-"&amp;J49,INDEX('Planning and Target Times'!$A$7:$G$12,1,0),0),0)</f>
        <v>75</v>
      </c>
      <c r="U49" s="540"/>
      <c r="V49" s="540"/>
      <c r="W49" s="540"/>
      <c r="X49" s="535" t="str">
        <f t="shared" si="8"/>
        <v>ZU/RT</v>
      </c>
      <c r="Y49" s="540"/>
      <c r="Z49" s="540"/>
      <c r="AA49" s="540"/>
      <c r="AB49" s="540"/>
      <c r="AC49" s="540"/>
      <c r="AD49" s="540"/>
      <c r="AE49" s="540" t="s">
        <v>91</v>
      </c>
      <c r="AF49" s="528"/>
      <c r="AG49" s="540" t="str">
        <f t="shared" si="9"/>
        <v>RA-0595-RA-ZU-Prod-NW-SL-Baker</v>
      </c>
      <c r="AH49" s="540" t="str">
        <f t="shared" si="10"/>
        <v>RA-0595-KDC-26</v>
      </c>
      <c r="AI49" s="540" t="str">
        <f t="shared" si="11"/>
        <v>RA-0595-ZU-NW-Prod</v>
      </c>
      <c r="AJ49" s="540">
        <f ca="1">IF(P49&gt;0,"RR",IF(O49&gt;0,0,COUNTIF($H$2:H49,H49)-IFERROR(COUNTIF(OFFSET($H$1,0,0,SUMPRODUCT(MAX(($H$2:H49=H49)*ROW($H$2:H49)*($O$2:O49&lt;&gt;""))),1),H49),0)))</f>
        <v>1</v>
      </c>
      <c r="AK49" s="527">
        <f>IF(ISERROR(VLOOKUP(G49,'Planning and Target Times'!$B$106:$D$110,MATCH(F49,INDEX('Planning and Target Times'!$B$106:$D$110,1,0),0),0)),"",(VLOOKUP(G49,'Planning and Target Times'!$B$106:$D$110,MATCH(F49,INDEX('Planning and Target Times'!$B$106:$D$110,1,0),0),0)))</f>
        <v>1560</v>
      </c>
      <c r="AL49" s="528" t="str">
        <f>VLOOKUP(G49,'Planning and Target Times'!$I$2:$J$7,2,0)</f>
        <v>Sandstone</v>
      </c>
      <c r="AM49" s="540"/>
      <c r="AN49" s="540"/>
      <c r="AO49" s="540"/>
      <c r="AP49" s="533">
        <f t="shared" si="12"/>
        <v>15.145631067961165</v>
      </c>
      <c r="AQ49" s="540"/>
      <c r="AR49" s="540"/>
      <c r="AS49" s="540"/>
      <c r="AT49" s="540"/>
      <c r="AU49" s="540"/>
      <c r="AV49" s="540"/>
      <c r="AW49" s="540"/>
      <c r="AX49" s="540"/>
      <c r="AY49" s="540"/>
      <c r="AZ49" s="540"/>
      <c r="BA49" s="540"/>
      <c r="BB49" s="540"/>
      <c r="BC49" s="540"/>
      <c r="BD49" s="540"/>
      <c r="BE49" s="540"/>
      <c r="BF49" s="540"/>
      <c r="BG49" s="540"/>
      <c r="BH49" s="540"/>
      <c r="BI49" s="540"/>
      <c r="BJ49" s="540"/>
      <c r="BK49" s="540"/>
      <c r="BL49" s="540"/>
      <c r="BM49" s="540"/>
      <c r="BN49" s="540"/>
      <c r="BO49" s="526" t="str">
        <f ca="1">IF(ISERROR(IF(INDEX(Rig_Schedule_View!$I$11:$I$262,MATCH(Well_Data_NK_Upcoming!AG47,Rig_Schedule_View!$B$11:$B$262,0))=0,O49,(INDEX(Rig_Schedule_View!$I$11:$I$262,MATCH(Well_Data_NK_Upcoming!AG47,Rig_Schedule_View!$B$11:$B$262,0))))),O49,(IF(INDEX(Rig_Schedule_View!$I$11:$I$262,MATCH(Well_Data_NK_Upcoming!AG47,Rig_Schedule_View!$B$11:$B$262,0))=0,O49,(INDEX(Rig_Schedule_View!$I$11:$I$262,MATCH(Well_Data_NK_Upcoming!AG47,Rig_Schedule_View!$B$11:$B$262,0))))))</f>
        <v/>
      </c>
      <c r="BP49" s="526" t="str">
        <f ca="1">IF(ISERROR(IF(INDEX(Rig_Schedule_View!$J$11:$J$262,MATCH(Well_Data_NK_Upcoming!AG47,Rig_Schedule_View!$B$11:$B$262,0))=0,P49,(INDEX(Rig_Schedule_View!$J$11:$J$262,MATCH(Well_Data_NK_Upcoming!AG47,Rig_Schedule_View!$B$11:$B$262,0))))),P49,(IF(INDEX(Rig_Schedule_View!$J$11:$J$262,MATCH(Well_Data_NK_Upcoming!AG47,Rig_Schedule_View!$B$11:$B$262,0))=0,P49,(INDEX(Rig_Schedule_View!$J$11:$J$262,MATCH(Well_Data_NK_Upcoming!AG47,Rig_Schedule_View!$B$11:$B$262,0))))))</f>
        <v/>
      </c>
      <c r="BQ49" s="527"/>
      <c r="BR49" s="525"/>
      <c r="BS49" s="525"/>
      <c r="BT49" s="525"/>
      <c r="BU49" s="525"/>
      <c r="BV49" s="525"/>
      <c r="BW49" s="525"/>
      <c r="BX49" s="525"/>
      <c r="BY49" s="525"/>
      <c r="BZ49" s="525"/>
    </row>
    <row r="50" spans="1:78" x14ac:dyDescent="0.25">
      <c r="A50" s="403" t="s">
        <v>1990</v>
      </c>
      <c r="B50" s="393"/>
      <c r="C50" s="540"/>
      <c r="D50" s="529" t="s">
        <v>2398</v>
      </c>
      <c r="E50" s="540"/>
      <c r="F50" s="528" t="str">
        <f t="shared" si="13"/>
        <v/>
      </c>
      <c r="G50" s="540"/>
      <c r="H50" s="536" t="s">
        <v>46</v>
      </c>
      <c r="I50" s="540"/>
      <c r="J50" s="540"/>
      <c r="K50" s="540"/>
      <c r="L50" s="540"/>
      <c r="M50" s="540"/>
      <c r="N50" s="540"/>
      <c r="O50" s="528"/>
      <c r="P50" s="540"/>
      <c r="Q50" s="540"/>
      <c r="R50" s="537" t="str">
        <f>IF(ISERROR(VLOOKUP(G50,'Planning and Target Times'!$L$1:$AP$6,MATCH(K50&amp;"_"&amp;L50&amp;"_"&amp;J50,INDEX('Planning and Target Times'!$L$1:$AP$6,1,0),0),0)+5),"",(VLOOKUP(G50,'Planning and Target Times'!$L$1:$AP$6,MATCH(K50&amp;"_"&amp;L50&amp;"_"&amp;J50,INDEX('Planning and Target Times'!$L$1:$AP$6,1,0),0),0)+5))</f>
        <v/>
      </c>
      <c r="S50" s="528" t="str">
        <f t="shared" si="7"/>
        <v/>
      </c>
      <c r="T50" s="538" t="e">
        <f>VLOOKUP(G50,'Planning and Target Times'!$A$7:$G$12,MATCH(K50&amp;"-"&amp;L50&amp;"-"&amp;J50,INDEX('Planning and Target Times'!$A$7:$G$12,1,0),0),0)</f>
        <v>#N/A</v>
      </c>
      <c r="U50" s="540"/>
      <c r="V50" s="540"/>
      <c r="W50" s="540"/>
      <c r="X50" s="535">
        <f t="shared" si="8"/>
        <v>0</v>
      </c>
      <c r="Y50" s="540"/>
      <c r="Z50" s="540"/>
      <c r="AA50" s="540"/>
      <c r="AB50" s="540"/>
      <c r="AC50" s="540"/>
      <c r="AD50" s="540"/>
      <c r="AE50" s="528" t="s">
        <v>91</v>
      </c>
      <c r="AF50" s="535"/>
      <c r="AG50" s="540" t="str">
        <f t="shared" si="9"/>
        <v>Rig_Expired</v>
      </c>
      <c r="AH50" s="540" t="str">
        <f t="shared" si="10"/>
        <v>Rig_Expired-KDC-28</v>
      </c>
      <c r="AI50" s="540" t="str">
        <f t="shared" si="11"/>
        <v>Rig_Expired</v>
      </c>
      <c r="AJ50" s="540">
        <f ca="1">IF(P50&gt;0,"RR",IF(O50&gt;0,0,COUNTIF($H$2:H50,H50)-IFERROR(COUNTIF(OFFSET($H$1,0,0,SUMPRODUCT(MAX(($H$2:H50=H50)*ROW($H$2:H50)*($O$2:O50&lt;&gt;""))),1),H50),0)))</f>
        <v>1</v>
      </c>
      <c r="AK50" s="527" t="str">
        <f>IF(ISERROR(VLOOKUP(G50,'Planning and Target Times'!$B$106:$D$110,MATCH(F50,INDEX('Planning and Target Times'!$B$106:$D$110,1,0),0),0)),"",(VLOOKUP(G50,'Planning and Target Times'!$B$106:$D$110,MATCH(F50,INDEX('Planning and Target Times'!$B$106:$D$110,1,0),0),0)))</f>
        <v/>
      </c>
      <c r="AL50" s="528" t="e">
        <f>VLOOKUP(G50,'Planning and Target Times'!$I$2:$J$7,2,0)</f>
        <v>#N/A</v>
      </c>
      <c r="AM50" s="540"/>
      <c r="AN50" s="540"/>
      <c r="AO50" s="540"/>
      <c r="AP50" s="533" t="e">
        <f t="shared" si="12"/>
        <v>#VALUE!</v>
      </c>
      <c r="AQ50" s="540"/>
      <c r="AR50" s="540"/>
      <c r="AS50" s="540"/>
      <c r="AT50" s="540"/>
      <c r="AU50" s="540"/>
      <c r="AV50" s="540"/>
      <c r="AW50" s="540"/>
      <c r="AX50" s="540"/>
      <c r="AY50" s="540"/>
      <c r="AZ50" s="540"/>
      <c r="BA50" s="540"/>
      <c r="BB50" s="540"/>
      <c r="BC50" s="540"/>
      <c r="BD50" s="540"/>
      <c r="BE50" s="540"/>
      <c r="BF50" s="540"/>
      <c r="BG50" s="540"/>
      <c r="BH50" s="540"/>
      <c r="BI50" s="540"/>
      <c r="BJ50" s="540"/>
      <c r="BK50" s="540"/>
      <c r="BL50" s="540"/>
      <c r="BM50" s="540"/>
      <c r="BN50" s="540"/>
      <c r="BO50" s="526">
        <f>IF(ISERROR(IF(INDEX(Rig_Schedule_View!$I$11:$I$262,MATCH(Well_Data_NK_Upcoming!#REF!,Rig_Schedule_View!$B$11:$B$262,0))=0,O50,(INDEX(Rig_Schedule_View!$I$11:$I$262,MATCH(Well_Data_NK_Upcoming!#REF!,Rig_Schedule_View!$B$11:$B$262,0))))),O50,(IF(INDEX(Rig_Schedule_View!$I$11:$I$262,MATCH(Well_Data_NK_Upcoming!#REF!,Rig_Schedule_View!$B$11:$B$262,0))=0,O50,(INDEX(Rig_Schedule_View!$I$11:$I$262,MATCH(Well_Data_NK_Upcoming!#REF!,Rig_Schedule_View!$B$11:$B$262,0))))))</f>
        <v>0</v>
      </c>
      <c r="BP50" s="526">
        <f>IF(ISERROR(IF(INDEX(Rig_Schedule_View!$J$11:$J$262,MATCH(Well_Data_NK_Upcoming!#REF!,Rig_Schedule_View!$B$11:$B$262,0))=0,P50,(INDEX(Rig_Schedule_View!$J$11:$J$262,MATCH(Well_Data_NK_Upcoming!#REF!,Rig_Schedule_View!$B$11:$B$262,0))))),P50,(IF(INDEX(Rig_Schedule_View!$J$11:$J$262,MATCH(Well_Data_NK_Upcoming!#REF!,Rig_Schedule_View!$B$11:$B$262,0))=0,P50,(INDEX(Rig_Schedule_View!$J$11:$J$262,MATCH(Well_Data_NK_Upcoming!#REF!,Rig_Schedule_View!$B$11:$B$262,0))))))</f>
        <v>0</v>
      </c>
      <c r="BQ50" s="527"/>
      <c r="BR50" s="525"/>
      <c r="BS50" s="525"/>
      <c r="BT50" s="525"/>
      <c r="BU50" s="525"/>
      <c r="BV50" s="525"/>
      <c r="BW50" s="525"/>
      <c r="BX50" s="525"/>
      <c r="BY50" s="525"/>
      <c r="BZ50" s="525"/>
    </row>
    <row r="51" spans="1:78" x14ac:dyDescent="0.25">
      <c r="A51" s="540" t="s">
        <v>1421</v>
      </c>
      <c r="B51" s="540" t="s">
        <v>1421</v>
      </c>
      <c r="C51" s="540" t="s">
        <v>2211</v>
      </c>
      <c r="D51" s="565" t="s">
        <v>2271</v>
      </c>
      <c r="E51" s="540"/>
      <c r="F51" s="528" t="str">
        <f t="shared" si="13"/>
        <v>SA</v>
      </c>
      <c r="G51" s="540" t="s">
        <v>17</v>
      </c>
      <c r="H51" s="400" t="s">
        <v>19</v>
      </c>
      <c r="I51" s="540"/>
      <c r="J51" s="540" t="s">
        <v>34</v>
      </c>
      <c r="K51" s="540" t="s">
        <v>14</v>
      </c>
      <c r="L51" s="540" t="s">
        <v>1410</v>
      </c>
      <c r="M51" s="539"/>
      <c r="N51" s="540"/>
      <c r="O51" s="532"/>
      <c r="P51" s="540"/>
      <c r="Q51" s="540"/>
      <c r="R51" s="537">
        <f>IF(ISERROR(VLOOKUP(G51,'Planning and Target Times'!$L$1:$AP$6,MATCH(K51&amp;"_"&amp;L51&amp;"_"&amp;J51,INDEX('Planning and Target Times'!$L$1:$AP$6,1,0),0),0)+5),"",(VLOOKUP(G51,'Planning and Target Times'!$L$1:$AP$6,MATCH(K51&amp;"_"&amp;L51&amp;"_"&amp;J51,INDEX('Planning and Target Times'!$L$1:$AP$6,1,0),0),0)+5))</f>
        <v>68</v>
      </c>
      <c r="S51" s="528">
        <f t="shared" si="7"/>
        <v>63</v>
      </c>
      <c r="T51" s="538">
        <f>VLOOKUP(G51,'Planning and Target Times'!$A$7:$G$12,MATCH(K51&amp;"-"&amp;L51&amp;"-"&amp;J51,INDEX('Planning and Target Times'!$A$7:$G$12,1,0),0),0)</f>
        <v>35</v>
      </c>
      <c r="U51" s="540"/>
      <c r="V51" s="540"/>
      <c r="W51" s="540"/>
      <c r="X51" s="535" t="str">
        <f t="shared" si="8"/>
        <v>MA</v>
      </c>
      <c r="Y51" s="540"/>
      <c r="Z51" s="540"/>
      <c r="AA51" s="540"/>
      <c r="AB51" s="540"/>
      <c r="AC51" s="540"/>
      <c r="AD51" s="540"/>
      <c r="AE51" s="540" t="s">
        <v>91</v>
      </c>
      <c r="AF51" s="528"/>
      <c r="AG51" s="540" t="str">
        <f t="shared" si="9"/>
        <v>SA-0589-SA-MA-Inj-NW-HZ</v>
      </c>
      <c r="AH51" s="540" t="str">
        <f t="shared" si="10"/>
        <v>SA-0589-KDC-44</v>
      </c>
      <c r="AI51" s="540" t="str">
        <f t="shared" si="11"/>
        <v>SA-0589-MA-NW-Inj</v>
      </c>
      <c r="AJ51" s="540">
        <f ca="1">IF(P51&gt;0,"RR",IF(O51&gt;0,0,COUNTIF($H$2:H51,H51)-IFERROR(COUNTIF(OFFSET($H$1,0,0,SUMPRODUCT(MAX(($H$2:H51=H51)*ROW($H$2:H51)*($O$2:O51&lt;&gt;""))),1),H51),0)))</f>
        <v>1</v>
      </c>
      <c r="AK51" s="527"/>
      <c r="AL51" s="528" t="str">
        <f>VLOOKUP(G51,'Planning and Target Times'!$I$2:$J$7,2,0)</f>
        <v>Carbonate</v>
      </c>
      <c r="AM51" s="540"/>
      <c r="AN51" s="540"/>
      <c r="AO51" s="540"/>
      <c r="AP51" s="533">
        <f t="shared" si="12"/>
        <v>0</v>
      </c>
      <c r="AQ51" s="540"/>
      <c r="AR51" s="540"/>
      <c r="AS51" s="540"/>
      <c r="AT51" s="540"/>
      <c r="AU51" s="540"/>
      <c r="AV51" s="540"/>
      <c r="AW51" s="540"/>
      <c r="AX51" s="540"/>
      <c r="AY51" s="540"/>
      <c r="AZ51" s="540"/>
      <c r="BA51" s="540"/>
      <c r="BB51" s="540"/>
      <c r="BC51" s="540"/>
      <c r="BD51" s="540"/>
      <c r="BE51" s="540"/>
      <c r="BF51" s="540"/>
      <c r="BG51" s="540"/>
      <c r="BH51" s="540"/>
      <c r="BI51" s="540"/>
      <c r="BJ51" s="540"/>
      <c r="BK51" s="540"/>
      <c r="BL51" s="540"/>
      <c r="BM51" s="540"/>
      <c r="BN51" s="540"/>
      <c r="BO51" s="526">
        <f ca="1">IF(ISERROR(IF(INDEX(Rig_Schedule_View!$I$11:$I$262,MATCH(Well_Data_NK_Upcoming!AG49,Rig_Schedule_View!$B$11:$B$262,0))=0,O51,(INDEX(Rig_Schedule_View!$I$11:$I$262,MATCH(Well_Data_NK_Upcoming!AG49,Rig_Schedule_View!$B$11:$B$262,0))))),O51,(IF(INDEX(Rig_Schedule_View!$I$11:$I$262,MATCH(Well_Data_NK_Upcoming!AG49,Rig_Schedule_View!$B$11:$B$262,0))=0,O51,(INDEX(Rig_Schedule_View!$I$11:$I$262,MATCH(Well_Data_NK_Upcoming!AG49,Rig_Schedule_View!$B$11:$B$262,0))))))</f>
        <v>42248</v>
      </c>
      <c r="BP51" s="526">
        <f ca="1">IF(ISERROR(IF(INDEX(Rig_Schedule_View!$J$11:$J$262,MATCH(Well_Data_NK_Upcoming!AG49,Rig_Schedule_View!$B$11:$B$262,0))=0,P51,(INDEX(Rig_Schedule_View!$J$11:$J$262,MATCH(Well_Data_NK_Upcoming!AG49,Rig_Schedule_View!$B$11:$B$262,0))))),P51,(IF(INDEX(Rig_Schedule_View!$J$11:$J$262,MATCH(Well_Data_NK_Upcoming!AG49,Rig_Schedule_View!$B$11:$B$262,0))=0,P51,(INDEX(Rig_Schedule_View!$J$11:$J$262,MATCH(Well_Data_NK_Upcoming!AG49,Rig_Schedule_View!$B$11:$B$262,0))))))</f>
        <v>42346</v>
      </c>
      <c r="BQ51" s="527"/>
      <c r="BR51" s="525"/>
      <c r="BS51" s="525"/>
      <c r="BT51" s="525"/>
      <c r="BU51" s="525"/>
      <c r="BV51" s="525"/>
      <c r="BW51" s="525"/>
      <c r="BX51" s="525"/>
      <c r="BY51" s="525"/>
      <c r="BZ51" s="525"/>
    </row>
    <row r="52" spans="1:78" x14ac:dyDescent="0.25">
      <c r="A52" s="540" t="s">
        <v>1502</v>
      </c>
      <c r="B52" s="540" t="s">
        <v>1502</v>
      </c>
      <c r="C52" s="540" t="s">
        <v>2212</v>
      </c>
      <c r="D52" s="529" t="s">
        <v>2279</v>
      </c>
      <c r="E52" s="540"/>
      <c r="F52" s="528" t="str">
        <f t="shared" si="13"/>
        <v>SA</v>
      </c>
      <c r="G52" s="540" t="s">
        <v>17</v>
      </c>
      <c r="H52" s="400" t="s">
        <v>430</v>
      </c>
      <c r="I52" s="540" t="s">
        <v>24</v>
      </c>
      <c r="J52" s="540" t="s">
        <v>298</v>
      </c>
      <c r="K52" s="540" t="s">
        <v>14</v>
      </c>
      <c r="L52" s="540" t="s">
        <v>1410</v>
      </c>
      <c r="M52" s="539"/>
      <c r="N52" s="540"/>
      <c r="O52" s="532"/>
      <c r="P52" s="540"/>
      <c r="Q52" s="540"/>
      <c r="R52" s="537">
        <f>IF(ISERROR(VLOOKUP(G52,'Planning and Target Times'!$L$1:$AP$6,MATCH(K52&amp;"_"&amp;L52&amp;"_"&amp;J52,INDEX('Planning and Target Times'!$L$1:$AP$6,1,0),0),0)+5),"",(VLOOKUP(G52,'Planning and Target Times'!$L$1:$AP$6,MATCH(K52&amp;"_"&amp;L52&amp;"_"&amp;J52,INDEX('Planning and Target Times'!$L$1:$AP$6,1,0),0),0)+5))</f>
        <v>75</v>
      </c>
      <c r="S52" s="528">
        <f t="shared" si="7"/>
        <v>70</v>
      </c>
      <c r="T52" s="538">
        <f>VLOOKUP(G52,'Planning and Target Times'!$A$7:$G$12,MATCH(K52&amp;"-"&amp;L52&amp;"-"&amp;J52,INDEX('Planning and Target Times'!$A$7:$G$12,1,0),0),0)</f>
        <v>35</v>
      </c>
      <c r="U52" s="540"/>
      <c r="V52" s="540"/>
      <c r="W52" s="540"/>
      <c r="X52" s="535" t="str">
        <f t="shared" si="8"/>
        <v>MA</v>
      </c>
      <c r="Y52" s="540"/>
      <c r="Z52" s="540"/>
      <c r="AA52" s="540"/>
      <c r="AB52" s="540"/>
      <c r="AC52" s="540"/>
      <c r="AD52" s="540"/>
      <c r="AE52" s="540" t="s">
        <v>91</v>
      </c>
      <c r="AF52" s="528"/>
      <c r="AG52" s="540" t="str">
        <f t="shared" si="9"/>
        <v>SA-0593-SA-MA-Prod-NW-HZ-SLB</v>
      </c>
      <c r="AH52" s="540" t="str">
        <f t="shared" si="10"/>
        <v>SA-0593-KDC-49</v>
      </c>
      <c r="AI52" s="540" t="str">
        <f t="shared" si="11"/>
        <v>SA-0593-MA-NW-Prod</v>
      </c>
      <c r="AJ52" s="540">
        <f ca="1">IF(P52&gt;0,"RR",IF(O52&gt;0,0,COUNTIF($H$2:H52,H52)-IFERROR(COUNTIF(OFFSET($H$1,0,0,SUMPRODUCT(MAX(($H$2:H52=H52)*ROW($H$2:H52)*($O$2:O52&lt;&gt;""))),1),H52),0)))</f>
        <v>1</v>
      </c>
      <c r="AK52" s="527">
        <f>IF(ISERROR(VLOOKUP(G52,'Planning and Target Times'!$B$106:$D$110,MATCH(F52,INDEX('Planning and Target Times'!$B$106:$D$110,1,0),0),0)),"",(VLOOKUP(G52,'Planning and Target Times'!$B$106:$D$110,MATCH(F52,INDEX('Planning and Target Times'!$B$106:$D$110,1,0),0),0)))</f>
        <v>740</v>
      </c>
      <c r="AL52" s="528" t="str">
        <f>VLOOKUP(G52,'Planning and Target Times'!$I$2:$J$7,2,0)</f>
        <v>Carbonate</v>
      </c>
      <c r="AM52" s="540"/>
      <c r="AN52" s="540"/>
      <c r="AO52" s="540"/>
      <c r="AP52" s="533">
        <f t="shared" si="12"/>
        <v>9.8666666666666671</v>
      </c>
      <c r="AQ52" s="540"/>
      <c r="AR52" s="540"/>
      <c r="AS52" s="540"/>
      <c r="AT52" s="540"/>
      <c r="AU52" s="540"/>
      <c r="AV52" s="540"/>
      <c r="AW52" s="540"/>
      <c r="AX52" s="540"/>
      <c r="AY52" s="540"/>
      <c r="AZ52" s="540"/>
      <c r="BA52" s="540"/>
      <c r="BB52" s="540"/>
      <c r="BC52" s="540"/>
      <c r="BD52" s="540"/>
      <c r="BE52" s="540"/>
      <c r="BF52" s="540"/>
      <c r="BG52" s="540"/>
      <c r="BH52" s="540"/>
      <c r="BI52" s="540"/>
      <c r="BJ52" s="540"/>
      <c r="BK52" s="540"/>
      <c r="BL52" s="540"/>
      <c r="BM52" s="540"/>
      <c r="BN52" s="540"/>
      <c r="BO52" s="526" t="str">
        <f ca="1">IF(ISERROR(IF(INDEX(Rig_Schedule_View!$I$11:$I$262,MATCH(Well_Data_NK_Upcoming!AG50,Rig_Schedule_View!$B$11:$B$262,0))=0,O52,(INDEX(Rig_Schedule_View!$I$11:$I$262,MATCH(Well_Data_NK_Upcoming!AG50,Rig_Schedule_View!$B$11:$B$262,0))))),O52,(IF(INDEX(Rig_Schedule_View!$I$11:$I$262,MATCH(Well_Data_NK_Upcoming!AG50,Rig_Schedule_View!$B$11:$B$262,0))=0,O52,(INDEX(Rig_Schedule_View!$I$11:$I$262,MATCH(Well_Data_NK_Upcoming!AG50,Rig_Schedule_View!$B$11:$B$262,0))))))</f>
        <v/>
      </c>
      <c r="BP52" s="526" t="str">
        <f ca="1">IF(ISERROR(IF(INDEX(Rig_Schedule_View!$J$11:$J$262,MATCH(Well_Data_NK_Upcoming!AG50,Rig_Schedule_View!$B$11:$B$262,0))=0,P52,(INDEX(Rig_Schedule_View!$J$11:$J$262,MATCH(Well_Data_NK_Upcoming!AG50,Rig_Schedule_View!$B$11:$B$262,0))))),P52,(IF(INDEX(Rig_Schedule_View!$J$11:$J$262,MATCH(Well_Data_NK_Upcoming!AG50,Rig_Schedule_View!$B$11:$B$262,0))=0,P52,(INDEX(Rig_Schedule_View!$J$11:$J$262,MATCH(Well_Data_NK_Upcoming!AG50,Rig_Schedule_View!$B$11:$B$262,0))))))</f>
        <v/>
      </c>
      <c r="BQ52" s="527"/>
      <c r="BR52" s="525"/>
      <c r="BS52" s="525"/>
      <c r="BT52" s="525"/>
      <c r="BU52" s="525"/>
      <c r="BV52" s="525"/>
      <c r="BW52" s="525"/>
      <c r="BX52" s="525"/>
      <c r="BY52" s="525"/>
      <c r="BZ52" s="525"/>
    </row>
    <row r="53" spans="1:78" x14ac:dyDescent="0.25">
      <c r="A53" s="540" t="s">
        <v>1504</v>
      </c>
      <c r="B53" s="540" t="s">
        <v>1504</v>
      </c>
      <c r="C53" s="540" t="s">
        <v>2418</v>
      </c>
      <c r="D53" s="529" t="s">
        <v>2294</v>
      </c>
      <c r="E53" s="540"/>
      <c r="F53" s="528" t="str">
        <f t="shared" si="13"/>
        <v>SA</v>
      </c>
      <c r="G53" s="540" t="s">
        <v>17</v>
      </c>
      <c r="H53" s="536" t="s">
        <v>513</v>
      </c>
      <c r="I53" s="540" t="s">
        <v>1420</v>
      </c>
      <c r="J53" s="540" t="s">
        <v>298</v>
      </c>
      <c r="K53" s="540" t="s">
        <v>14</v>
      </c>
      <c r="L53" s="540" t="s">
        <v>1410</v>
      </c>
      <c r="M53" s="539"/>
      <c r="N53" s="540"/>
      <c r="O53" s="532"/>
      <c r="P53" s="540"/>
      <c r="Q53" s="540"/>
      <c r="R53" s="537">
        <f>IF(ISERROR(VLOOKUP(G53,'Planning and Target Times'!$L$1:$AP$6,MATCH(K53&amp;"_"&amp;L53&amp;"_"&amp;J53,INDEX('Planning and Target Times'!$L$1:$AP$6,1,0),0),0)+5),"",(VLOOKUP(G53,'Planning and Target Times'!$L$1:$AP$6,MATCH(K53&amp;"_"&amp;L53&amp;"_"&amp;J53,INDEX('Planning and Target Times'!$L$1:$AP$6,1,0),0),0)+5))</f>
        <v>75</v>
      </c>
      <c r="S53" s="528">
        <f t="shared" si="7"/>
        <v>70</v>
      </c>
      <c r="T53" s="538">
        <f>VLOOKUP(G53,'Planning and Target Times'!$A$7:$G$12,MATCH(K53&amp;"-"&amp;L53&amp;"-"&amp;J53,INDEX('Planning and Target Times'!$A$7:$G$12,1,0),0),0)</f>
        <v>35</v>
      </c>
      <c r="U53" s="540"/>
      <c r="V53" s="540"/>
      <c r="W53" s="540"/>
      <c r="X53" s="535" t="str">
        <f t="shared" si="8"/>
        <v>MA</v>
      </c>
      <c r="Y53" s="540"/>
      <c r="Z53" s="540"/>
      <c r="AA53" s="540"/>
      <c r="AB53" s="540"/>
      <c r="AC53" s="540"/>
      <c r="AD53" s="540"/>
      <c r="AE53" s="540" t="s">
        <v>91</v>
      </c>
      <c r="AF53" s="528"/>
      <c r="AG53" s="540" t="str">
        <f t="shared" si="9"/>
        <v>SA-0603-SA-MA-Prod-NW-HZ-Sperry</v>
      </c>
      <c r="AH53" s="540" t="str">
        <f t="shared" si="10"/>
        <v>SA-0603-NDSC-15</v>
      </c>
      <c r="AI53" s="540" t="str">
        <f t="shared" si="11"/>
        <v>SA-0603-MA-NW-Prod</v>
      </c>
      <c r="AJ53" s="540">
        <f ca="1">IF(P53&gt;0,"RR",IF(O53&gt;0,0,COUNTIF($H$2:H53,H53)-IFERROR(COUNTIF(OFFSET($H$1,0,0,SUMPRODUCT(MAX(($H$2:H53=H53)*ROW($H$2:H53)*($O$2:O53&lt;&gt;""))),1),H53),0)))</f>
        <v>1</v>
      </c>
      <c r="AK53" s="527">
        <f>IF(ISERROR(VLOOKUP(G53,'Planning and Target Times'!$B$106:$D$110,MATCH(F53,INDEX('Planning and Target Times'!$B$106:$D$110,1,0),0),0)),"",(VLOOKUP(G53,'Planning and Target Times'!$B$106:$D$110,MATCH(F53,INDEX('Planning and Target Times'!$B$106:$D$110,1,0),0),0)))</f>
        <v>740</v>
      </c>
      <c r="AL53" s="528" t="str">
        <f>VLOOKUP(G53,'Planning and Target Times'!$I$2:$J$7,2,0)</f>
        <v>Carbonate</v>
      </c>
      <c r="AM53" s="540"/>
      <c r="AN53" s="540"/>
      <c r="AO53" s="540"/>
      <c r="AP53" s="533">
        <f t="shared" si="12"/>
        <v>9.8666666666666671</v>
      </c>
      <c r="AQ53" s="540"/>
      <c r="AR53" s="540"/>
      <c r="AS53" s="540"/>
      <c r="AT53" s="540"/>
      <c r="AU53" s="540"/>
      <c r="AV53" s="540"/>
      <c r="AW53" s="540"/>
      <c r="AX53" s="540"/>
      <c r="AY53" s="540"/>
      <c r="AZ53" s="540"/>
      <c r="BA53" s="540"/>
      <c r="BB53" s="540"/>
      <c r="BC53" s="540"/>
      <c r="BD53" s="540"/>
      <c r="BE53" s="540"/>
      <c r="BF53" s="540"/>
      <c r="BG53" s="540"/>
      <c r="BH53" s="540"/>
      <c r="BI53" s="540"/>
      <c r="BJ53" s="540"/>
      <c r="BK53" s="540"/>
      <c r="BL53" s="540"/>
      <c r="BM53" s="540"/>
      <c r="BN53" s="540"/>
      <c r="BO53" s="526" t="str">
        <f ca="1">IF(ISERROR(IF(INDEX(Rig_Schedule_View!$I$11:$I$262,MATCH(Well_Data_NK_Upcoming!AG70,Rig_Schedule_View!$B$11:$B$262,0))=0,O53,(INDEX(Rig_Schedule_View!$I$11:$I$262,MATCH(Well_Data_NK_Upcoming!AG70,Rig_Schedule_View!$B$11:$B$262,0))))),O53,(IF(INDEX(Rig_Schedule_View!$I$11:$I$262,MATCH(Well_Data_NK_Upcoming!AG70,Rig_Schedule_View!$B$11:$B$262,0))=0,O53,(INDEX(Rig_Schedule_View!$I$11:$I$262,MATCH(Well_Data_NK_Upcoming!AG70,Rig_Schedule_View!$B$11:$B$262,0))))))</f>
        <v/>
      </c>
      <c r="BP53" s="526" t="str">
        <f ca="1">IF(ISERROR(IF(INDEX(Rig_Schedule_View!$J$11:$J$262,MATCH(Well_Data_NK_Upcoming!AG70,Rig_Schedule_View!$B$11:$B$262,0))=0,P53,(INDEX(Rig_Schedule_View!$J$11:$J$262,MATCH(Well_Data_NK_Upcoming!AG70,Rig_Schedule_View!$B$11:$B$262,0))))),P53,(IF(INDEX(Rig_Schedule_View!$J$11:$J$262,MATCH(Well_Data_NK_Upcoming!AG70,Rig_Schedule_View!$B$11:$B$262,0))=0,P53,(INDEX(Rig_Schedule_View!$J$11:$J$262,MATCH(Well_Data_NK_Upcoming!AG70,Rig_Schedule_View!$B$11:$B$262,0))))))</f>
        <v/>
      </c>
      <c r="BQ53" s="527"/>
      <c r="BR53" s="525"/>
      <c r="BS53" s="525"/>
      <c r="BT53" s="525"/>
      <c r="BU53" s="525"/>
      <c r="BV53" s="525"/>
      <c r="BW53" s="525"/>
      <c r="BX53" s="525"/>
      <c r="BY53" s="525"/>
      <c r="BZ53" s="525"/>
    </row>
    <row r="54" spans="1:78" x14ac:dyDescent="0.25">
      <c r="A54" s="540" t="s">
        <v>1597</v>
      </c>
      <c r="B54" s="540" t="s">
        <v>1597</v>
      </c>
      <c r="C54" s="540" t="s">
        <v>2213</v>
      </c>
      <c r="D54" s="533" t="s">
        <v>2265</v>
      </c>
      <c r="E54" s="540"/>
      <c r="F54" s="528" t="str">
        <f t="shared" si="13"/>
        <v>RA</v>
      </c>
      <c r="G54" s="540" t="s">
        <v>17</v>
      </c>
      <c r="H54" s="536" t="s">
        <v>512</v>
      </c>
      <c r="I54" s="540" t="s">
        <v>24</v>
      </c>
      <c r="J54" s="540" t="s">
        <v>298</v>
      </c>
      <c r="K54" s="540" t="s">
        <v>18</v>
      </c>
      <c r="L54" s="540" t="s">
        <v>1410</v>
      </c>
      <c r="M54" s="539"/>
      <c r="N54" s="540"/>
      <c r="O54" s="532"/>
      <c r="P54" s="540"/>
      <c r="Q54" s="540"/>
      <c r="R54" s="537">
        <f>IF(ISERROR(VLOOKUP(G54,'Planning and Target Times'!$L$1:$AP$6,MATCH(K54&amp;"_"&amp;L54&amp;"_"&amp;J54,INDEX('Planning and Target Times'!$L$1:$AP$6,1,0),0),0)+5),"",(VLOOKUP(G54,'Planning and Target Times'!$L$1:$AP$6,MATCH(K54&amp;"_"&amp;L54&amp;"_"&amp;J54,INDEX('Planning and Target Times'!$L$1:$AP$6,1,0),0),0)+5))</f>
        <v>61</v>
      </c>
      <c r="S54" s="528">
        <f t="shared" si="7"/>
        <v>56</v>
      </c>
      <c r="T54" s="538">
        <f>VLOOKUP(G54,'Planning and Target Times'!$A$7:$G$12,MATCH(K54&amp;"-"&amp;L54&amp;"-"&amp;J54,INDEX('Planning and Target Times'!$A$7:$G$12,1,0),0),0)</f>
        <v>27</v>
      </c>
      <c r="U54" s="540"/>
      <c r="V54" s="540"/>
      <c r="W54" s="540"/>
      <c r="X54" s="535" t="str">
        <f t="shared" si="8"/>
        <v>MA</v>
      </c>
      <c r="Y54" s="540"/>
      <c r="Z54" s="540"/>
      <c r="AA54" s="540"/>
      <c r="AB54" s="540"/>
      <c r="AC54" s="540"/>
      <c r="AD54" s="540"/>
      <c r="AE54" s="540" t="s">
        <v>91</v>
      </c>
      <c r="AF54" s="528"/>
      <c r="AG54" s="540" t="str">
        <f t="shared" si="9"/>
        <v>RA-0311-RA-MA-Prod-ST-HZ-SLB</v>
      </c>
      <c r="AH54" s="540" t="str">
        <f t="shared" si="10"/>
        <v>RA-0311-NDSC-16</v>
      </c>
      <c r="AI54" s="540" t="str">
        <f t="shared" si="11"/>
        <v>RA-0311-MA-ST-Prod</v>
      </c>
      <c r="AJ54" s="540">
        <f ca="1">IF(P54&gt;0,"RR",IF(O54&gt;0,0,COUNTIF($H$2:H54,H54)-IFERROR(COUNTIF(OFFSET($H$1,0,0,SUMPRODUCT(MAX(($H$2:H54=H54)*ROW($H$2:H54)*($O$2:O54&lt;&gt;""))),1),H54),0)))</f>
        <v>1</v>
      </c>
      <c r="AK54" s="527">
        <f>IF(ISERROR(VLOOKUP(G54,'Planning and Target Times'!$B$106:$D$110,MATCH(F54,INDEX('Planning and Target Times'!$B$106:$D$110,1,0),0),0)),"",(VLOOKUP(G54,'Planning and Target Times'!$B$106:$D$110,MATCH(F54,INDEX('Planning and Target Times'!$B$106:$D$110,1,0),0),0)))</f>
        <v>650</v>
      </c>
      <c r="AL54" s="528" t="str">
        <f>VLOOKUP(G54,'Planning and Target Times'!$I$2:$J$7,2,0)</f>
        <v>Carbonate</v>
      </c>
      <c r="AM54" s="540"/>
      <c r="AN54" s="540"/>
      <c r="AO54" s="540"/>
      <c r="AP54" s="533">
        <f t="shared" si="12"/>
        <v>10.655737704918034</v>
      </c>
      <c r="AQ54" s="540"/>
      <c r="AR54" s="540"/>
      <c r="AS54" s="540"/>
      <c r="AT54" s="540"/>
      <c r="AU54" s="540"/>
      <c r="AV54" s="540"/>
      <c r="AW54" s="540"/>
      <c r="AX54" s="540"/>
      <c r="AY54" s="540"/>
      <c r="AZ54" s="540"/>
      <c r="BA54" s="540"/>
      <c r="BB54" s="540"/>
      <c r="BC54" s="540"/>
      <c r="BD54" s="540"/>
      <c r="BE54" s="540"/>
      <c r="BF54" s="540"/>
      <c r="BG54" s="540"/>
      <c r="BH54" s="540"/>
      <c r="BI54" s="540"/>
      <c r="BJ54" s="540"/>
      <c r="BK54" s="540"/>
      <c r="BL54" s="540"/>
      <c r="BM54" s="540"/>
      <c r="BN54" s="540"/>
      <c r="BO54" s="526">
        <f ca="1">IF(ISERROR(IF(INDEX(Rig_Schedule_View!$I$11:$I$262,MATCH(Well_Data_NK_Upcoming!AG52,Rig_Schedule_View!$B$11:$B$262,0))=0,O54,(INDEX(Rig_Schedule_View!$I$11:$I$262,MATCH(Well_Data_NK_Upcoming!AG52,Rig_Schedule_View!$B$11:$B$262,0))))),O54,(IF(INDEX(Rig_Schedule_View!$I$11:$I$262,MATCH(Well_Data_NK_Upcoming!AG52,Rig_Schedule_View!$B$11:$B$262,0))=0,O54,(INDEX(Rig_Schedule_View!$I$11:$I$262,MATCH(Well_Data_NK_Upcoming!AG52,Rig_Schedule_View!$B$11:$B$262,0))))))</f>
        <v>42278</v>
      </c>
      <c r="BP54" s="526">
        <f ca="1">IF(ISERROR(IF(INDEX(Rig_Schedule_View!$J$11:$J$262,MATCH(Well_Data_NK_Upcoming!AG52,Rig_Schedule_View!$B$11:$B$262,0))=0,P54,(INDEX(Rig_Schedule_View!$J$11:$J$262,MATCH(Well_Data_NK_Upcoming!AG52,Rig_Schedule_View!$B$11:$B$262,0))))),P54,(IF(INDEX(Rig_Schedule_View!$J$11:$J$262,MATCH(Well_Data_NK_Upcoming!AG52,Rig_Schedule_View!$B$11:$B$262,0))=0,P54,(INDEX(Rig_Schedule_View!$J$11:$J$262,MATCH(Well_Data_NK_Upcoming!AG52,Rig_Schedule_View!$B$11:$B$262,0))))))</f>
        <v>42348</v>
      </c>
      <c r="BQ54" s="527"/>
      <c r="BR54" s="525"/>
      <c r="BS54" s="525"/>
      <c r="BT54" s="525"/>
      <c r="BU54" s="525"/>
      <c r="BV54" s="525"/>
      <c r="BW54" s="525"/>
      <c r="BX54" s="525"/>
      <c r="BY54" s="525"/>
      <c r="BZ54" s="525"/>
    </row>
    <row r="55" spans="1:78" s="509" customFormat="1" x14ac:dyDescent="0.25">
      <c r="A55" s="540" t="s">
        <v>1435</v>
      </c>
      <c r="B55" s="540" t="s">
        <v>1435</v>
      </c>
      <c r="C55" s="540" t="s">
        <v>1435</v>
      </c>
      <c r="D55" s="533" t="s">
        <v>2266</v>
      </c>
      <c r="E55" s="540"/>
      <c r="F55" s="528" t="str">
        <f t="shared" si="13"/>
        <v>RA</v>
      </c>
      <c r="G55" s="540" t="s">
        <v>22</v>
      </c>
      <c r="H55" s="536" t="s">
        <v>511</v>
      </c>
      <c r="I55" s="540" t="s">
        <v>39</v>
      </c>
      <c r="J55" s="540" t="s">
        <v>298</v>
      </c>
      <c r="K55" s="540" t="s">
        <v>14</v>
      </c>
      <c r="L55" s="540" t="s">
        <v>1416</v>
      </c>
      <c r="M55" s="539"/>
      <c r="N55" s="540"/>
      <c r="O55" s="532"/>
      <c r="P55" s="540"/>
      <c r="Q55" s="540"/>
      <c r="R55" s="537">
        <f>IF(ISERROR(VLOOKUP(G55,'Planning and Target Times'!$L$1:$AP$6,MATCH(K55&amp;"_"&amp;L55&amp;"_"&amp;J55,INDEX('Planning and Target Times'!$L$1:$AP$6,1,0),0),0)+5),"",(VLOOKUP(G55,'Planning and Target Times'!$L$1:$AP$6,MATCH(K55&amp;"_"&amp;L55&amp;"_"&amp;J55,INDEX('Planning and Target Times'!$L$1:$AP$6,1,0),0),0)+5))</f>
        <v>75</v>
      </c>
      <c r="S55" s="528">
        <f t="shared" si="7"/>
        <v>70</v>
      </c>
      <c r="T55" s="538">
        <f>VLOOKUP(G55,'Planning and Target Times'!$A$7:$G$12,MATCH(K55&amp;"-"&amp;L55&amp;"-"&amp;J55,INDEX('Planning and Target Times'!$A$7:$G$12,1,0),0),0)</f>
        <v>33</v>
      </c>
      <c r="U55" s="540"/>
      <c r="V55" s="540"/>
      <c r="W55" s="540"/>
      <c r="X55" s="535" t="str">
        <f t="shared" si="8"/>
        <v>LB</v>
      </c>
      <c r="Y55" s="540"/>
      <c r="Z55" s="540"/>
      <c r="AA55" s="540"/>
      <c r="AB55" s="540"/>
      <c r="AC55" s="540"/>
      <c r="AD55" s="540"/>
      <c r="AE55" s="540" t="s">
        <v>91</v>
      </c>
      <c r="AF55" s="528"/>
      <c r="AG55" s="540" t="str">
        <f t="shared" si="9"/>
        <v>RA-0583-RA-LB-Prod-NW-SL-WFD</v>
      </c>
      <c r="AH55" s="540" t="str">
        <f t="shared" si="10"/>
        <v>RA-0583-NDSC-17</v>
      </c>
      <c r="AI55" s="540" t="str">
        <f t="shared" si="11"/>
        <v>RA-0583-LB-NW-Prod</v>
      </c>
      <c r="AJ55" s="540">
        <f ca="1">IF(P55&gt;0,"RR",IF(O55&gt;0,0,COUNTIF($H$2:H55,H55)-IFERROR(COUNTIF(OFFSET($H$1,0,0,SUMPRODUCT(MAX(($H$2:H55=H55)*ROW($H$2:H55)*($O$2:O55&lt;&gt;""))),1),H55),0)))</f>
        <v>1</v>
      </c>
      <c r="AK55" s="527">
        <f>IF(ISERROR(VLOOKUP(G55,'Planning and Target Times'!$B$106:$D$110,MATCH(F55,INDEX('Planning and Target Times'!$B$106:$D$110,1,0),0),0)),"",(VLOOKUP(G55,'Planning and Target Times'!$B$106:$D$110,MATCH(F55,INDEX('Planning and Target Times'!$B$106:$D$110,1,0),0),0)))</f>
        <v>900</v>
      </c>
      <c r="AL55" s="528" t="str">
        <f>VLOOKUP(G55,'Planning and Target Times'!$I$2:$J$7,2,0)</f>
        <v>Sandstone</v>
      </c>
      <c r="AM55" s="540"/>
      <c r="AN55" s="540"/>
      <c r="AO55" s="540"/>
      <c r="AP55" s="533">
        <f t="shared" si="12"/>
        <v>12</v>
      </c>
      <c r="AQ55" s="540"/>
      <c r="AR55" s="540"/>
      <c r="AS55" s="540"/>
      <c r="AT55" s="540"/>
      <c r="AU55" s="540"/>
      <c r="AV55" s="540"/>
      <c r="AW55" s="540"/>
      <c r="AX55" s="540"/>
      <c r="AY55" s="540"/>
      <c r="AZ55" s="540"/>
      <c r="BA55" s="540"/>
      <c r="BB55" s="540"/>
      <c r="BC55" s="540"/>
      <c r="BD55" s="540"/>
      <c r="BE55" s="540"/>
      <c r="BF55" s="540"/>
      <c r="BG55" s="540"/>
      <c r="BH55" s="540"/>
      <c r="BI55" s="540"/>
      <c r="BJ55" s="540"/>
      <c r="BK55" s="540"/>
      <c r="BL55" s="540"/>
      <c r="BM55" s="540"/>
      <c r="BN55" s="540"/>
      <c r="BO55" s="526" t="str">
        <f ca="1">IF(ISERROR(IF(INDEX(Rig_Schedule_View!$I$11:$I$262,MATCH(Well_Data_NK_Upcoming!AG53,Rig_Schedule_View!$B$11:$B$262,0))=0,O55,(INDEX(Rig_Schedule_View!$I$11:$I$262,MATCH(Well_Data_NK_Upcoming!AG53,Rig_Schedule_View!$B$11:$B$262,0))))),O55,(IF(INDEX(Rig_Schedule_View!$I$11:$I$262,MATCH(Well_Data_NK_Upcoming!AG53,Rig_Schedule_View!$B$11:$B$262,0))=0,O55,(INDEX(Rig_Schedule_View!$I$11:$I$262,MATCH(Well_Data_NK_Upcoming!AG53,Rig_Schedule_View!$B$11:$B$262,0))))))</f>
        <v/>
      </c>
      <c r="BP55" s="526" t="str">
        <f ca="1">IF(ISERROR(IF(INDEX(Rig_Schedule_View!$J$11:$J$262,MATCH(Well_Data_NK_Upcoming!AG53,Rig_Schedule_View!$B$11:$B$262,0))=0,P55,(INDEX(Rig_Schedule_View!$J$11:$J$262,MATCH(Well_Data_NK_Upcoming!AG53,Rig_Schedule_View!$B$11:$B$262,0))))),P55,(IF(INDEX(Rig_Schedule_View!$J$11:$J$262,MATCH(Well_Data_NK_Upcoming!AG53,Rig_Schedule_View!$B$11:$B$262,0))=0,P55,(INDEX(Rig_Schedule_View!$J$11:$J$262,MATCH(Well_Data_NK_Upcoming!AG53,Rig_Schedule_View!$B$11:$B$262,0))))))</f>
        <v/>
      </c>
      <c r="BQ55" s="527"/>
      <c r="BR55" s="525"/>
      <c r="BS55" s="525"/>
      <c r="BT55" s="525"/>
      <c r="BU55" s="525"/>
      <c r="BV55" s="525"/>
      <c r="BW55" s="525"/>
      <c r="BX55" s="525"/>
      <c r="BY55" s="525"/>
      <c r="BZ55" s="525"/>
    </row>
    <row r="56" spans="1:78" x14ac:dyDescent="0.25">
      <c r="A56" s="540" t="s">
        <v>219</v>
      </c>
      <c r="B56" s="540" t="s">
        <v>219</v>
      </c>
      <c r="C56" s="540" t="s">
        <v>2244</v>
      </c>
      <c r="D56" s="529" t="s">
        <v>2281</v>
      </c>
      <c r="E56" s="540"/>
      <c r="F56" s="528" t="str">
        <f t="shared" si="13"/>
        <v>RA</v>
      </c>
      <c r="G56" s="540" t="s">
        <v>29</v>
      </c>
      <c r="H56" s="536" t="s">
        <v>23</v>
      </c>
      <c r="I56" s="540" t="s">
        <v>24</v>
      </c>
      <c r="J56" s="540" t="s">
        <v>298</v>
      </c>
      <c r="K56" s="281" t="s">
        <v>18</v>
      </c>
      <c r="L56" s="540" t="s">
        <v>1410</v>
      </c>
      <c r="M56" s="539"/>
      <c r="N56" s="540"/>
      <c r="O56" s="532"/>
      <c r="P56" s="540"/>
      <c r="Q56" s="540"/>
      <c r="R56" s="537">
        <f>IF(ISERROR(VLOOKUP(G56,'Planning and Target Times'!$L$1:$AP$6,MATCH(K56&amp;"_"&amp;L56&amp;"_"&amp;J56,INDEX('Planning and Target Times'!$L$1:$AP$6,1,0),0),0)+5),"",(VLOOKUP(G56,'Planning and Target Times'!$L$1:$AP$6,MATCH(K56&amp;"_"&amp;L56&amp;"_"&amp;J56,INDEX('Planning and Target Times'!$L$1:$AP$6,1,0),0),0)+5))</f>
        <v>61</v>
      </c>
      <c r="S56" s="528">
        <f t="shared" si="7"/>
        <v>56</v>
      </c>
      <c r="T56" s="538">
        <f>VLOOKUP(G56,'Planning and Target Times'!$A$7:$G$12,MATCH(K56&amp;"-"&amp;L56&amp;"-"&amp;J56,INDEX('Planning and Target Times'!$A$7:$G$12,1,0),0),0)</f>
        <v>33</v>
      </c>
      <c r="U56" s="540"/>
      <c r="V56" s="540"/>
      <c r="W56" s="540"/>
      <c r="X56" s="535" t="str">
        <f t="shared" si="8"/>
        <v>UB</v>
      </c>
      <c r="Y56" s="540"/>
      <c r="Z56" s="540"/>
      <c r="AA56" s="540"/>
      <c r="AB56" s="540"/>
      <c r="AC56" s="540"/>
      <c r="AD56" s="540"/>
      <c r="AE56" s="540" t="s">
        <v>91</v>
      </c>
      <c r="AF56" s="528"/>
      <c r="AG56" s="540" t="str">
        <f t="shared" si="9"/>
        <v>RA-0518-RA-UB-Prod-ST-HZ-SLB</v>
      </c>
      <c r="AH56" s="540" t="str">
        <f t="shared" si="10"/>
        <v>RA-0518-SP-158</v>
      </c>
      <c r="AI56" s="540" t="str">
        <f t="shared" si="11"/>
        <v>RA-0518-UB-ST-Prod</v>
      </c>
      <c r="AJ56" s="540">
        <f ca="1">IF(P56&gt;0,"RR",IF(O56&gt;0,0,COUNTIF($H$2:H56,H56)-IFERROR(COUNTIF(OFFSET($H$1,0,0,SUMPRODUCT(MAX(($H$2:H56=H56)*ROW($H$2:H56)*($O$2:O56&lt;&gt;""))),1),H56),0)))</f>
        <v>1</v>
      </c>
      <c r="AK56" s="527">
        <f>IF(ISERROR(VLOOKUP(G56,'Planning and Target Times'!$B$106:$D$110,MATCH(F56,INDEX('Planning and Target Times'!$B$106:$D$110,1,0),0),0)),"",(VLOOKUP(G56,'Planning and Target Times'!$B$106:$D$110,MATCH(F56,INDEX('Planning and Target Times'!$B$106:$D$110,1,0),0),0)))</f>
        <v>940</v>
      </c>
      <c r="AL56" s="528" t="str">
        <f>VLOOKUP(G56,'Planning and Target Times'!$I$2:$J$7,2,0)</f>
        <v>Sandstone</v>
      </c>
      <c r="AM56" s="540"/>
      <c r="AN56" s="540"/>
      <c r="AO56" s="540"/>
      <c r="AP56" s="533">
        <f t="shared" si="12"/>
        <v>15.409836065573771</v>
      </c>
      <c r="AQ56" s="540"/>
      <c r="AR56" s="540"/>
      <c r="AS56" s="540"/>
      <c r="AT56" s="540"/>
      <c r="AU56" s="540"/>
      <c r="AV56" s="540"/>
      <c r="AW56" s="540"/>
      <c r="AX56" s="540"/>
      <c r="AY56" s="540"/>
      <c r="AZ56" s="540"/>
      <c r="BA56" s="540"/>
      <c r="BB56" s="540"/>
      <c r="BC56" s="540"/>
      <c r="BD56" s="540"/>
      <c r="BE56" s="540"/>
      <c r="BF56" s="540"/>
      <c r="BG56" s="540"/>
      <c r="BH56" s="540"/>
      <c r="BI56" s="540"/>
      <c r="BJ56" s="540"/>
      <c r="BK56" s="540"/>
      <c r="BL56" s="540"/>
      <c r="BM56" s="540"/>
      <c r="BN56" s="540"/>
      <c r="BO56" s="526">
        <f ca="1">IF(ISERROR(IF(INDEX(Rig_Schedule_View!$I$11:$I$262,MATCH(Well_Data_NK_Upcoming!AG54,Rig_Schedule_View!$B$11:$B$262,0))=0,O56,(INDEX(Rig_Schedule_View!$I$11:$I$262,MATCH(Well_Data_NK_Upcoming!AG54,Rig_Schedule_View!$B$11:$B$262,0))))),O56,(IF(INDEX(Rig_Schedule_View!$I$11:$I$262,MATCH(Well_Data_NK_Upcoming!AG54,Rig_Schedule_View!$B$11:$B$262,0))=0,O56,(INDEX(Rig_Schedule_View!$I$11:$I$262,MATCH(Well_Data_NK_Upcoming!AG54,Rig_Schedule_View!$B$11:$B$262,0))))))</f>
        <v>42252</v>
      </c>
      <c r="BP56" s="526">
        <f ca="1">IF(ISERROR(IF(INDEX(Rig_Schedule_View!$J$11:$J$262,MATCH(Well_Data_NK_Upcoming!AG54,Rig_Schedule_View!$B$11:$B$262,0))=0,P56,(INDEX(Rig_Schedule_View!$J$11:$J$262,MATCH(Well_Data_NK_Upcoming!AG54,Rig_Schedule_View!$B$11:$B$262,0))))),P56,(IF(INDEX(Rig_Schedule_View!$J$11:$J$262,MATCH(Well_Data_NK_Upcoming!AG54,Rig_Schedule_View!$B$11:$B$262,0))=0,P56,(INDEX(Rig_Schedule_View!$J$11:$J$262,MATCH(Well_Data_NK_Upcoming!AG54,Rig_Schedule_View!$B$11:$B$262,0))))))</f>
        <v>42308</v>
      </c>
      <c r="BQ56" s="527"/>
      <c r="BR56" s="525"/>
      <c r="BS56" s="525"/>
      <c r="BT56" s="525"/>
      <c r="BU56" s="525"/>
      <c r="BV56" s="525"/>
      <c r="BW56" s="525"/>
      <c r="BX56" s="525"/>
      <c r="BY56" s="525"/>
      <c r="BZ56" s="525"/>
    </row>
    <row r="57" spans="1:78" x14ac:dyDescent="0.25">
      <c r="A57" s="540" t="s">
        <v>745</v>
      </c>
      <c r="B57" s="540" t="s">
        <v>745</v>
      </c>
      <c r="C57" s="540" t="s">
        <v>2214</v>
      </c>
      <c r="D57" s="529" t="s">
        <v>2282</v>
      </c>
      <c r="E57" s="540"/>
      <c r="F57" s="528" t="str">
        <f t="shared" si="13"/>
        <v>RA</v>
      </c>
      <c r="G57" s="540" t="s">
        <v>17</v>
      </c>
      <c r="H57" s="536" t="s">
        <v>31</v>
      </c>
      <c r="I57" s="540" t="s">
        <v>1960</v>
      </c>
      <c r="J57" s="540" t="s">
        <v>298</v>
      </c>
      <c r="K57" s="540" t="s">
        <v>18</v>
      </c>
      <c r="L57" s="540" t="s">
        <v>1410</v>
      </c>
      <c r="M57" s="539"/>
      <c r="N57" s="540"/>
      <c r="O57" s="532"/>
      <c r="P57" s="540"/>
      <c r="Q57" s="540"/>
      <c r="R57" s="537">
        <f>IF(ISERROR(VLOOKUP(G57,'Planning and Target Times'!$L$1:$AP$6,MATCH(K57&amp;"_"&amp;L57&amp;"_"&amp;J57,INDEX('Planning and Target Times'!$L$1:$AP$6,1,0),0),0)+5),"",(VLOOKUP(G57,'Planning and Target Times'!$L$1:$AP$6,MATCH(K57&amp;"_"&amp;L57&amp;"_"&amp;J57,INDEX('Planning and Target Times'!$L$1:$AP$6,1,0),0),0)+5))</f>
        <v>61</v>
      </c>
      <c r="S57" s="528">
        <f t="shared" si="7"/>
        <v>56</v>
      </c>
      <c r="T57" s="538">
        <f>VLOOKUP(G57,'Planning and Target Times'!$A$7:$G$12,MATCH(K57&amp;"-"&amp;L57&amp;"-"&amp;J57,INDEX('Planning and Target Times'!$A$7:$G$12,1,0),0),0)</f>
        <v>27</v>
      </c>
      <c r="U57" s="540"/>
      <c r="V57" s="540"/>
      <c r="W57" s="540"/>
      <c r="X57" s="535" t="str">
        <f t="shared" si="8"/>
        <v>MA</v>
      </c>
      <c r="Y57" s="540"/>
      <c r="Z57" s="540"/>
      <c r="AA57" s="540"/>
      <c r="AB57" s="540"/>
      <c r="AC57" s="540"/>
      <c r="AD57" s="540"/>
      <c r="AE57" s="540" t="s">
        <v>91</v>
      </c>
      <c r="AF57" s="528"/>
      <c r="AG57" s="540" t="str">
        <f t="shared" si="9"/>
        <v>RA-0018-RA-MA-Prod-ST-HZ-Anadrill</v>
      </c>
      <c r="AH57" s="540" t="str">
        <f t="shared" si="10"/>
        <v>RA-0018-SP-159</v>
      </c>
      <c r="AI57" s="540" t="str">
        <f t="shared" si="11"/>
        <v>RA-0018-MA-ST-Prod</v>
      </c>
      <c r="AJ57" s="540">
        <f ca="1">IF(P57&gt;0,"RR",IF(O57&gt;0,0,COUNTIF($H$2:H57,H57)-IFERROR(COUNTIF(OFFSET($H$1,0,0,SUMPRODUCT(MAX(($H$2:H57=H57)*ROW($H$2:H57)*($O$2:O57&lt;&gt;""))),1),H57),0)))</f>
        <v>1</v>
      </c>
      <c r="AK57" s="527">
        <f>IF(ISERROR(VLOOKUP(G57,'Planning and Target Times'!$B$106:$D$110,MATCH(F57,INDEX('Planning and Target Times'!$B$106:$D$110,1,0),0),0)),"",(VLOOKUP(G57,'Planning and Target Times'!$B$106:$D$110,MATCH(F57,INDEX('Planning and Target Times'!$B$106:$D$110,1,0),0),0)))</f>
        <v>650</v>
      </c>
      <c r="AL57" s="528" t="str">
        <f>VLOOKUP(G57,'Planning and Target Times'!$I$2:$J$7,2,0)</f>
        <v>Carbonate</v>
      </c>
      <c r="AM57" s="540"/>
      <c r="AN57" s="540"/>
      <c r="AO57" s="540"/>
      <c r="AP57" s="533">
        <f t="shared" si="12"/>
        <v>10.655737704918034</v>
      </c>
      <c r="AQ57" s="540"/>
      <c r="AR57" s="540"/>
      <c r="AS57" s="540"/>
      <c r="AT57" s="540"/>
      <c r="AU57" s="540"/>
      <c r="AV57" s="540"/>
      <c r="AW57" s="540"/>
      <c r="AX57" s="540"/>
      <c r="AY57" s="540"/>
      <c r="AZ57" s="540"/>
      <c r="BA57" s="540"/>
      <c r="BB57" s="540"/>
      <c r="BC57" s="540"/>
      <c r="BD57" s="540"/>
      <c r="BE57" s="540"/>
      <c r="BF57" s="540"/>
      <c r="BG57" s="540"/>
      <c r="BH57" s="540"/>
      <c r="BI57" s="540"/>
      <c r="BJ57" s="540"/>
      <c r="BK57" s="540"/>
      <c r="BL57" s="540"/>
      <c r="BM57" s="540"/>
      <c r="BN57" s="540"/>
      <c r="BO57" s="526">
        <f ca="1">IF(ISERROR(IF(INDEX(Rig_Schedule_View!$I$11:$I$262,MATCH(Well_Data_NK_Upcoming!AG55,Rig_Schedule_View!$B$11:$B$262,0))=0,O57,(INDEX(Rig_Schedule_View!$I$11:$I$262,MATCH(Well_Data_NK_Upcoming!AG55,Rig_Schedule_View!$B$11:$B$262,0))))),O57,(IF(INDEX(Rig_Schedule_View!$I$11:$I$262,MATCH(Well_Data_NK_Upcoming!AG55,Rig_Schedule_View!$B$11:$B$262,0))=0,O57,(INDEX(Rig_Schedule_View!$I$11:$I$262,MATCH(Well_Data_NK_Upcoming!AG55,Rig_Schedule_View!$B$11:$B$262,0))))))</f>
        <v>42252</v>
      </c>
      <c r="BP57" s="526">
        <f ca="1">IF(ISERROR(IF(INDEX(Rig_Schedule_View!$J$11:$J$262,MATCH(Well_Data_NK_Upcoming!AG55,Rig_Schedule_View!$B$11:$B$262,0))=0,P57,(INDEX(Rig_Schedule_View!$J$11:$J$262,MATCH(Well_Data_NK_Upcoming!AG55,Rig_Schedule_View!$B$11:$B$262,0))))),P57,(IF(INDEX(Rig_Schedule_View!$J$11:$J$262,MATCH(Well_Data_NK_Upcoming!AG55,Rig_Schedule_View!$B$11:$B$262,0))=0,P57,(INDEX(Rig_Schedule_View!$J$11:$J$262,MATCH(Well_Data_NK_Upcoming!AG55,Rig_Schedule_View!$B$11:$B$262,0))))))</f>
        <v>42322</v>
      </c>
      <c r="BQ57" s="527"/>
      <c r="BR57" s="525"/>
      <c r="BS57" s="525"/>
      <c r="BT57" s="525"/>
      <c r="BU57" s="525"/>
      <c r="BV57" s="525"/>
      <c r="BW57" s="525"/>
      <c r="BX57" s="525"/>
      <c r="BY57" s="525"/>
      <c r="BZ57" s="525"/>
    </row>
    <row r="58" spans="1:78" x14ac:dyDescent="0.25">
      <c r="A58" s="540" t="s">
        <v>1507</v>
      </c>
      <c r="B58" s="540" t="s">
        <v>1507</v>
      </c>
      <c r="C58" s="540" t="s">
        <v>2240</v>
      </c>
      <c r="D58" s="565" t="s">
        <v>2401</v>
      </c>
      <c r="E58" s="540"/>
      <c r="F58" s="528" t="str">
        <f t="shared" si="13"/>
        <v>RA</v>
      </c>
      <c r="G58" s="540" t="s">
        <v>44</v>
      </c>
      <c r="H58" s="536" t="s">
        <v>79</v>
      </c>
      <c r="I58" s="540" t="s">
        <v>78</v>
      </c>
      <c r="J58" s="540" t="s">
        <v>298</v>
      </c>
      <c r="K58" s="540" t="s">
        <v>14</v>
      </c>
      <c r="L58" s="540" t="s">
        <v>1410</v>
      </c>
      <c r="M58" s="539"/>
      <c r="N58" s="540"/>
      <c r="O58" s="532"/>
      <c r="P58" s="540"/>
      <c r="Q58" s="540"/>
      <c r="R58" s="537">
        <f>IF(ISERROR(VLOOKUP(G58,'Planning and Target Times'!$L$1:$AP$6,MATCH(K58&amp;"_"&amp;L58&amp;"_"&amp;J58,INDEX('Planning and Target Times'!$L$1:$AP$6,1,0),0),0)+5),"",(VLOOKUP(G58,'Planning and Target Times'!$L$1:$AP$6,MATCH(K58&amp;"_"&amp;L58&amp;"_"&amp;J58,INDEX('Planning and Target Times'!$L$1:$AP$6,1,0),0),0)+5))</f>
        <v>103</v>
      </c>
      <c r="S58" s="528">
        <f t="shared" si="7"/>
        <v>98</v>
      </c>
      <c r="T58" s="538">
        <f>VLOOKUP(G58,'Planning and Target Times'!$A$7:$G$12,MATCH(K58&amp;"-"&amp;L58&amp;"-"&amp;J58,INDEX('Planning and Target Times'!$A$7:$G$12,1,0),0),0)</f>
        <v>75</v>
      </c>
      <c r="U58" s="540"/>
      <c r="V58" s="540"/>
      <c r="W58" s="540"/>
      <c r="X58" s="535" t="str">
        <f t="shared" si="8"/>
        <v>ZU/RT</v>
      </c>
      <c r="Y58" s="540"/>
      <c r="Z58" s="540"/>
      <c r="AA58" s="540"/>
      <c r="AB58" s="540"/>
      <c r="AC58" s="540"/>
      <c r="AD58" s="540"/>
      <c r="AE58" s="540" t="s">
        <v>91</v>
      </c>
      <c r="AF58" s="528"/>
      <c r="AG58" s="540" t="str">
        <f t="shared" si="9"/>
        <v>RA-0574-RA-ZU-Prod-NW-HZ-Baker</v>
      </c>
      <c r="AH58" s="540" t="str">
        <f t="shared" si="10"/>
        <v>RA-0574-SP-185</v>
      </c>
      <c r="AI58" s="540" t="str">
        <f t="shared" si="11"/>
        <v>RA-0574-ZU-NW-Prod</v>
      </c>
      <c r="AJ58" s="540">
        <f ca="1">IF(P58&gt;0,"RR",IF(O58&gt;0,0,COUNTIF($H$2:H58,H58)-IFERROR(COUNTIF(OFFSET($H$1,0,0,SUMPRODUCT(MAX(($H$2:H58=H58)*ROW($H$2:H58)*($O$2:O58&lt;&gt;""))),1),H58),0)))</f>
        <v>1</v>
      </c>
      <c r="AK58" s="527">
        <f>IF(ISERROR(VLOOKUP(G58,'Planning and Target Times'!$B$106:$D$110,MATCH(F58,INDEX('Planning and Target Times'!$B$106:$D$110,1,0),0),0)),"",(VLOOKUP(G58,'Planning and Target Times'!$B$106:$D$110,MATCH(F58,INDEX('Planning and Target Times'!$B$106:$D$110,1,0),0),0)))</f>
        <v>1560</v>
      </c>
      <c r="AL58" s="528" t="str">
        <f>VLOOKUP(G58,'Planning and Target Times'!$I$2:$J$7,2,0)</f>
        <v>Sandstone</v>
      </c>
      <c r="AM58" s="540"/>
      <c r="AN58" s="540"/>
      <c r="AO58" s="540"/>
      <c r="AP58" s="533">
        <f t="shared" si="12"/>
        <v>15.145631067961165</v>
      </c>
      <c r="AQ58" s="540"/>
      <c r="AR58" s="540"/>
      <c r="AS58" s="540"/>
      <c r="AT58" s="540"/>
      <c r="AU58" s="540"/>
      <c r="AV58" s="540"/>
      <c r="AW58" s="540"/>
      <c r="AX58" s="540"/>
      <c r="AY58" s="540"/>
      <c r="AZ58" s="540"/>
      <c r="BA58" s="540"/>
      <c r="BB58" s="540"/>
      <c r="BC58" s="540"/>
      <c r="BD58" s="540"/>
      <c r="BE58" s="540"/>
      <c r="BF58" s="540"/>
      <c r="BG58" s="540"/>
      <c r="BH58" s="540"/>
      <c r="BI58" s="540"/>
      <c r="BJ58" s="540"/>
      <c r="BK58" s="540"/>
      <c r="BL58" s="540"/>
      <c r="BM58" s="540"/>
      <c r="BN58" s="540"/>
      <c r="BO58" s="526">
        <f ca="1">IF(ISERROR(IF(INDEX(Rig_Schedule_View!$I$11:$I$262,MATCH(Well_Data_NK_Upcoming!AG56,Rig_Schedule_View!$B$11:$B$262,0))=0,O58,(INDEX(Rig_Schedule_View!$I$11:$I$262,MATCH(Well_Data_NK_Upcoming!AG56,Rig_Schedule_View!$B$11:$B$262,0))))),O58,(IF(INDEX(Rig_Schedule_View!$I$11:$I$262,MATCH(Well_Data_NK_Upcoming!AG56,Rig_Schedule_View!$B$11:$B$262,0))=0,O58,(INDEX(Rig_Schedule_View!$I$11:$I$262,MATCH(Well_Data_NK_Upcoming!AG56,Rig_Schedule_View!$B$11:$B$262,0))))))</f>
        <v>42250</v>
      </c>
      <c r="BP58" s="526">
        <f ca="1">IF(ISERROR(IF(INDEX(Rig_Schedule_View!$J$11:$J$262,MATCH(Well_Data_NK_Upcoming!AG56,Rig_Schedule_View!$B$11:$B$262,0))=0,P58,(INDEX(Rig_Schedule_View!$J$11:$J$262,MATCH(Well_Data_NK_Upcoming!AG56,Rig_Schedule_View!$B$11:$B$262,0))))),P58,(IF(INDEX(Rig_Schedule_View!$J$11:$J$262,MATCH(Well_Data_NK_Upcoming!AG56,Rig_Schedule_View!$B$11:$B$262,0))=0,P58,(INDEX(Rig_Schedule_View!$J$11:$J$262,MATCH(Well_Data_NK_Upcoming!AG56,Rig_Schedule_View!$B$11:$B$262,0))))))</f>
        <v>42306</v>
      </c>
      <c r="BQ58" s="527"/>
      <c r="BR58" s="525"/>
      <c r="BS58" s="525"/>
      <c r="BT58" s="525"/>
      <c r="BU58" s="525"/>
      <c r="BV58" s="525"/>
      <c r="BW58" s="525"/>
      <c r="BX58" s="525"/>
      <c r="BY58" s="525"/>
      <c r="BZ58" s="525"/>
    </row>
    <row r="59" spans="1:78" x14ac:dyDescent="0.25">
      <c r="A59" s="540" t="s">
        <v>1438</v>
      </c>
      <c r="B59" s="540" t="s">
        <v>1438</v>
      </c>
      <c r="C59" s="540"/>
      <c r="D59" s="529" t="s">
        <v>2283</v>
      </c>
      <c r="E59" s="540"/>
      <c r="F59" s="528" t="str">
        <f t="shared" si="13"/>
        <v>RA</v>
      </c>
      <c r="G59" s="540" t="s">
        <v>44</v>
      </c>
      <c r="H59" s="536" t="s">
        <v>37</v>
      </c>
      <c r="I59" s="540" t="s">
        <v>78</v>
      </c>
      <c r="J59" s="540" t="s">
        <v>298</v>
      </c>
      <c r="K59" s="540" t="s">
        <v>14</v>
      </c>
      <c r="L59" s="540" t="s">
        <v>1439</v>
      </c>
      <c r="M59" s="539"/>
      <c r="N59" s="540"/>
      <c r="O59" s="532"/>
      <c r="P59" s="540"/>
      <c r="Q59" s="540"/>
      <c r="R59" s="537">
        <f>IF(ISERROR(VLOOKUP(G59,'Planning and Target Times'!$L$1:$AP$6,MATCH(K59&amp;"_"&amp;L59&amp;"_"&amp;J59,INDEX('Planning and Target Times'!$L$1:$AP$6,1,0),0),0)+5),"",(VLOOKUP(G59,'Planning and Target Times'!$L$1:$AP$6,MATCH(K59&amp;"_"&amp;L59&amp;"_"&amp;J59,INDEX('Planning and Target Times'!$L$1:$AP$6,1,0),0),0)+5))</f>
        <v>150</v>
      </c>
      <c r="S59" s="528">
        <f t="shared" si="7"/>
        <v>145</v>
      </c>
      <c r="T59" s="538" t="e">
        <f>VLOOKUP(G59,'Planning and Target Times'!$A$7:$G$12,MATCH(K59&amp;"-"&amp;L59&amp;"-"&amp;J59,INDEX('Planning and Target Times'!$A$7:$G$12,1,0),0),0)</f>
        <v>#N/A</v>
      </c>
      <c r="U59" s="540"/>
      <c r="V59" s="540"/>
      <c r="W59" s="540"/>
      <c r="X59" s="535" t="str">
        <f t="shared" si="8"/>
        <v>ZU/RT</v>
      </c>
      <c r="Y59" s="540"/>
      <c r="Z59" s="540"/>
      <c r="AA59" s="540"/>
      <c r="AB59" s="540"/>
      <c r="AC59" s="540"/>
      <c r="AD59" s="540"/>
      <c r="AE59" s="540" t="s">
        <v>91</v>
      </c>
      <c r="AF59" s="406"/>
      <c r="AG59" s="540" t="str">
        <f t="shared" si="9"/>
        <v>RA-0563-RA-ZU-Prod-NW-ML-Baker</v>
      </c>
      <c r="AH59" s="540" t="str">
        <f t="shared" si="10"/>
        <v>RA-0563-SP-186</v>
      </c>
      <c r="AI59" s="540" t="str">
        <f t="shared" si="11"/>
        <v>RA-0563-ZU-NW-Prod</v>
      </c>
      <c r="AJ59" s="540">
        <f ca="1">IF(P59&gt;0,"RR",IF(O59&gt;0,0,COUNTIF($H$2:H59,H59)-IFERROR(COUNTIF(OFFSET($H$1,0,0,SUMPRODUCT(MAX(($H$2:H59=H59)*ROW($H$2:H59)*($O$2:O59&lt;&gt;""))),1),H59),0)))</f>
        <v>1</v>
      </c>
      <c r="AK59" s="527">
        <f>IF(ISERROR(VLOOKUP(G59,'Planning and Target Times'!$B$106:$D$110,MATCH(F59,INDEX('Planning and Target Times'!$B$106:$D$110,1,0),0),0)),"",(VLOOKUP(G59,'Planning and Target Times'!$B$106:$D$110,MATCH(F59,INDEX('Planning and Target Times'!$B$106:$D$110,1,0),0),0)))</f>
        <v>1560</v>
      </c>
      <c r="AL59" s="528" t="str">
        <f>VLOOKUP(G59,'Planning and Target Times'!$I$2:$J$7,2,0)</f>
        <v>Sandstone</v>
      </c>
      <c r="AM59" s="540"/>
      <c r="AN59" s="540"/>
      <c r="AO59" s="540"/>
      <c r="AP59" s="533">
        <f t="shared" si="12"/>
        <v>10.4</v>
      </c>
      <c r="AQ59" s="540"/>
      <c r="AR59" s="540"/>
      <c r="AS59" s="540"/>
      <c r="AT59" s="540"/>
      <c r="AU59" s="540"/>
      <c r="AV59" s="540"/>
      <c r="AW59" s="540"/>
      <c r="AX59" s="540"/>
      <c r="AY59" s="540"/>
      <c r="AZ59" s="540"/>
      <c r="BA59" s="540"/>
      <c r="BB59" s="540"/>
      <c r="BC59" s="540"/>
      <c r="BD59" s="540"/>
      <c r="BE59" s="540"/>
      <c r="BF59" s="540"/>
      <c r="BG59" s="540"/>
      <c r="BH59" s="540"/>
      <c r="BI59" s="540"/>
      <c r="BJ59" s="540"/>
      <c r="BK59" s="540"/>
      <c r="BL59" s="540"/>
      <c r="BM59" s="540"/>
      <c r="BN59" s="540"/>
      <c r="BO59" s="526">
        <f ca="1">IF(ISERROR(IF(INDEX(Rig_Schedule_View!$I$11:$I$262,MATCH(Well_Data_NK_Upcoming!AG57,Rig_Schedule_View!$B$11:$B$262,0))=0,O59,(INDEX(Rig_Schedule_View!$I$11:$I$262,MATCH(Well_Data_NK_Upcoming!AG57,Rig_Schedule_View!$B$11:$B$262,0))))),O59,(IF(INDEX(Rig_Schedule_View!$I$11:$I$262,MATCH(Well_Data_NK_Upcoming!AG57,Rig_Schedule_View!$B$11:$B$262,0))=0,O59,(INDEX(Rig_Schedule_View!$I$11:$I$262,MATCH(Well_Data_NK_Upcoming!AG57,Rig_Schedule_View!$B$11:$B$262,0))))))</f>
        <v>42244</v>
      </c>
      <c r="BP59" s="526">
        <f ca="1">IF(ISERROR(IF(INDEX(Rig_Schedule_View!$J$11:$J$262,MATCH(Well_Data_NK_Upcoming!AG57,Rig_Schedule_View!$B$11:$B$262,0))=0,P59,(INDEX(Rig_Schedule_View!$J$11:$J$262,MATCH(Well_Data_NK_Upcoming!AG57,Rig_Schedule_View!$B$11:$B$262,0))))),P59,(IF(INDEX(Rig_Schedule_View!$J$11:$J$262,MATCH(Well_Data_NK_Upcoming!AG57,Rig_Schedule_View!$B$11:$B$262,0))=0,P59,(INDEX(Rig_Schedule_View!$J$11:$J$262,MATCH(Well_Data_NK_Upcoming!AG57,Rig_Schedule_View!$B$11:$B$262,0))))))</f>
        <v>42300</v>
      </c>
      <c r="BQ59" s="527"/>
      <c r="BR59" s="525"/>
      <c r="BS59" s="525"/>
      <c r="BT59" s="525"/>
      <c r="BU59" s="525"/>
      <c r="BV59" s="525"/>
      <c r="BW59" s="525"/>
      <c r="BX59" s="525"/>
      <c r="BY59" s="525"/>
      <c r="BZ59" s="525"/>
    </row>
    <row r="60" spans="1:78" x14ac:dyDescent="0.25">
      <c r="A60" s="540" t="s">
        <v>1436</v>
      </c>
      <c r="B60" s="540" t="s">
        <v>1436</v>
      </c>
      <c r="C60" s="540" t="s">
        <v>1436</v>
      </c>
      <c r="D60" s="529" t="s">
        <v>2284</v>
      </c>
      <c r="E60" s="540"/>
      <c r="F60" s="528" t="str">
        <f t="shared" si="13"/>
        <v>RA</v>
      </c>
      <c r="G60" s="404" t="s">
        <v>22</v>
      </c>
      <c r="H60" s="536" t="s">
        <v>838</v>
      </c>
      <c r="I60" s="540" t="s">
        <v>1420</v>
      </c>
      <c r="J60" s="540" t="s">
        <v>298</v>
      </c>
      <c r="K60" s="540" t="s">
        <v>14</v>
      </c>
      <c r="L60" s="540" t="s">
        <v>1416</v>
      </c>
      <c r="M60" s="539"/>
      <c r="N60" s="540"/>
      <c r="O60" s="532"/>
      <c r="P60" s="540"/>
      <c r="Q60" s="540"/>
      <c r="R60" s="537">
        <f>IF(ISERROR(VLOOKUP(G60,'Planning and Target Times'!$L$1:$AP$6,MATCH(K60&amp;"_"&amp;L60&amp;"_"&amp;J60,INDEX('Planning and Target Times'!$L$1:$AP$6,1,0),0),0)+5),"",(VLOOKUP(G60,'Planning and Target Times'!$L$1:$AP$6,MATCH(K60&amp;"_"&amp;L60&amp;"_"&amp;J60,INDEX('Planning and Target Times'!$L$1:$AP$6,1,0),0),0)+5))</f>
        <v>75</v>
      </c>
      <c r="S60" s="528">
        <f t="shared" si="7"/>
        <v>70</v>
      </c>
      <c r="T60" s="538">
        <f>VLOOKUP(G60,'Planning and Target Times'!$A$7:$G$12,MATCH(K60&amp;"-"&amp;L60&amp;"-"&amp;J60,INDEX('Planning and Target Times'!$A$7:$G$12,1,0),0),0)</f>
        <v>33</v>
      </c>
      <c r="U60" s="540"/>
      <c r="V60" s="540"/>
      <c r="W60" s="540"/>
      <c r="X60" s="535" t="str">
        <f t="shared" si="8"/>
        <v>LB</v>
      </c>
      <c r="Y60" s="540"/>
      <c r="Z60" s="540"/>
      <c r="AA60" s="540"/>
      <c r="AB60" s="540"/>
      <c r="AC60" s="540"/>
      <c r="AD60" s="540"/>
      <c r="AE60" s="540" t="s">
        <v>91</v>
      </c>
      <c r="AF60" s="528"/>
      <c r="AG60" s="540" t="str">
        <f t="shared" si="9"/>
        <v>RA-0579-RA-LB-Prod-NW-SL-Sperry</v>
      </c>
      <c r="AH60" s="540" t="str">
        <f t="shared" si="10"/>
        <v>RA-0579-SP-266</v>
      </c>
      <c r="AI60" s="540" t="str">
        <f t="shared" si="11"/>
        <v>RA-0579-LB-NW-Prod</v>
      </c>
      <c r="AJ60" s="540">
        <f ca="1">IF(P60&gt;0,"RR",IF(O60&gt;0,0,COUNTIF($H$2:H60,H60)-IFERROR(COUNTIF(OFFSET($H$1,0,0,SUMPRODUCT(MAX(($H$2:H60=H60)*ROW($H$2:H60)*($O$2:O60&lt;&gt;""))),1),H60),0)))</f>
        <v>1</v>
      </c>
      <c r="AK60" s="527">
        <f>IF(ISERROR(VLOOKUP(G60,'Planning and Target Times'!$B$106:$D$110,MATCH(F60,INDEX('Planning and Target Times'!$B$106:$D$110,1,0),0),0)),"",(VLOOKUP(G60,'Planning and Target Times'!$B$106:$D$110,MATCH(F60,INDEX('Planning and Target Times'!$B$106:$D$110,1,0),0),0)))</f>
        <v>900</v>
      </c>
      <c r="AL60" s="528" t="str">
        <f>VLOOKUP(G60,'Planning and Target Times'!$I$2:$J$7,2,0)</f>
        <v>Sandstone</v>
      </c>
      <c r="AM60" s="540"/>
      <c r="AN60" s="540"/>
      <c r="AO60" s="540"/>
      <c r="AP60" s="533">
        <f t="shared" si="12"/>
        <v>12</v>
      </c>
      <c r="AQ60" s="540"/>
      <c r="AR60" s="540"/>
      <c r="AS60" s="540"/>
      <c r="AT60" s="540"/>
      <c r="AU60" s="540"/>
      <c r="AV60" s="540"/>
      <c r="AW60" s="540"/>
      <c r="AX60" s="540"/>
      <c r="AY60" s="540"/>
      <c r="AZ60" s="540"/>
      <c r="BA60" s="540"/>
      <c r="BB60" s="540"/>
      <c r="BC60" s="540"/>
      <c r="BD60" s="540"/>
      <c r="BE60" s="540"/>
      <c r="BF60" s="540"/>
      <c r="BG60" s="540"/>
      <c r="BH60" s="540"/>
      <c r="BI60" s="540"/>
      <c r="BJ60" s="540"/>
      <c r="BK60" s="540"/>
      <c r="BL60" s="540"/>
      <c r="BM60" s="540"/>
      <c r="BN60" s="540"/>
      <c r="BO60" s="526">
        <f ca="1">IF(ISERROR(IF(INDEX(Rig_Schedule_View!$I$11:$I$262,MATCH(Well_Data_NK_Upcoming!AG58,Rig_Schedule_View!$B$11:$B$262,0))=0,O60,(INDEX(Rig_Schedule_View!$I$11:$I$262,MATCH(Well_Data_NK_Upcoming!AG58,Rig_Schedule_View!$B$11:$B$262,0))))),O60,(IF(INDEX(Rig_Schedule_View!$I$11:$I$262,MATCH(Well_Data_NK_Upcoming!AG58,Rig_Schedule_View!$B$11:$B$262,0))=0,O60,(INDEX(Rig_Schedule_View!$I$11:$I$262,MATCH(Well_Data_NK_Upcoming!AG58,Rig_Schedule_View!$B$11:$B$262,0))))))</f>
        <v>42283</v>
      </c>
      <c r="BP60" s="526">
        <f ca="1">IF(ISERROR(IF(INDEX(Rig_Schedule_View!$J$11:$J$262,MATCH(Well_Data_NK_Upcoming!AG58,Rig_Schedule_View!$B$11:$B$262,0))=0,P60,(INDEX(Rig_Schedule_View!$J$11:$J$262,MATCH(Well_Data_NK_Upcoming!AG58,Rig_Schedule_View!$B$11:$B$262,0))))),P60,(IF(INDEX(Rig_Schedule_View!$J$11:$J$262,MATCH(Well_Data_NK_Upcoming!AG58,Rig_Schedule_View!$B$11:$B$262,0))=0,P60,(INDEX(Rig_Schedule_View!$J$11:$J$262,MATCH(Well_Data_NK_Upcoming!AG58,Rig_Schedule_View!$B$11:$B$262,0))))))</f>
        <v>42381</v>
      </c>
      <c r="BQ60" s="527"/>
      <c r="BR60" s="525"/>
      <c r="BS60" s="525"/>
      <c r="BT60" s="525"/>
      <c r="BU60" s="525"/>
      <c r="BV60" s="525"/>
      <c r="BW60" s="525"/>
      <c r="BX60" s="525"/>
      <c r="BY60" s="525"/>
      <c r="BZ60" s="525"/>
    </row>
    <row r="61" spans="1:78" x14ac:dyDescent="0.25">
      <c r="A61" s="540" t="s">
        <v>1437</v>
      </c>
      <c r="B61" s="540" t="s">
        <v>1437</v>
      </c>
      <c r="C61" s="540" t="s">
        <v>1437</v>
      </c>
      <c r="D61" s="529" t="s">
        <v>2285</v>
      </c>
      <c r="E61" s="540"/>
      <c r="F61" s="528" t="str">
        <f t="shared" si="13"/>
        <v>SA</v>
      </c>
      <c r="G61" s="540" t="s">
        <v>22</v>
      </c>
      <c r="H61" s="536" t="s">
        <v>839</v>
      </c>
      <c r="I61" s="540" t="s">
        <v>39</v>
      </c>
      <c r="J61" s="540" t="s">
        <v>298</v>
      </c>
      <c r="K61" s="540" t="s">
        <v>14</v>
      </c>
      <c r="L61" s="540" t="s">
        <v>1416</v>
      </c>
      <c r="M61" s="539"/>
      <c r="N61" s="540"/>
      <c r="O61" s="532"/>
      <c r="P61" s="540"/>
      <c r="Q61" s="540"/>
      <c r="R61" s="537">
        <f>IF(ISERROR(VLOOKUP(G61,'Planning and Target Times'!$L$1:$AP$6,MATCH(K61&amp;"_"&amp;L61&amp;"_"&amp;J61,INDEX('Planning and Target Times'!$L$1:$AP$6,1,0),0),0)+5),"",(VLOOKUP(G61,'Planning and Target Times'!$L$1:$AP$6,MATCH(K61&amp;"_"&amp;L61&amp;"_"&amp;J61,INDEX('Planning and Target Times'!$L$1:$AP$6,1,0),0),0)+5))</f>
        <v>75</v>
      </c>
      <c r="S61" s="528">
        <f t="shared" si="7"/>
        <v>70</v>
      </c>
      <c r="T61" s="538">
        <f>VLOOKUP(G61,'Planning and Target Times'!$A$7:$G$12,MATCH(K61&amp;"-"&amp;L61&amp;"-"&amp;J61,INDEX('Planning and Target Times'!$A$7:$G$12,1,0),0),0)</f>
        <v>33</v>
      </c>
      <c r="U61" s="540"/>
      <c r="V61" s="540"/>
      <c r="W61" s="540"/>
      <c r="X61" s="535" t="str">
        <f t="shared" si="8"/>
        <v>LB</v>
      </c>
      <c r="Y61" s="540"/>
      <c r="Z61" s="540"/>
      <c r="AA61" s="540"/>
      <c r="AB61" s="540"/>
      <c r="AC61" s="540"/>
      <c r="AD61" s="540"/>
      <c r="AE61" s="540" t="s">
        <v>91</v>
      </c>
      <c r="AF61" s="528"/>
      <c r="AG61" s="540" t="str">
        <f t="shared" si="9"/>
        <v>SA-0592-SA-LB-Prod-NW-SL-WFD</v>
      </c>
      <c r="AH61" s="540" t="str">
        <f t="shared" si="10"/>
        <v>SA-0592-SP-267</v>
      </c>
      <c r="AI61" s="540" t="str">
        <f t="shared" si="11"/>
        <v>SA-0592-LB-NW-Prod</v>
      </c>
      <c r="AJ61" s="540">
        <f ca="1">IF(P61&gt;0,"RR",IF(O61&gt;0,0,COUNTIF($H$2:H61,H61)-IFERROR(COUNTIF(OFFSET($H$1,0,0,SUMPRODUCT(MAX(($H$2:H61=H61)*ROW($H$2:H61)*($O$2:O61&lt;&gt;""))),1),H61),0)))</f>
        <v>1</v>
      </c>
      <c r="AK61" s="527">
        <f>IF(ISERROR(VLOOKUP(G61,'Planning and Target Times'!$B$106:$D$110,MATCH(F61,INDEX('Planning and Target Times'!$B$106:$D$110,1,0),0),0)),"",(VLOOKUP(G61,'Planning and Target Times'!$B$106:$D$110,MATCH(F61,INDEX('Planning and Target Times'!$B$106:$D$110,1,0),0),0)))</f>
        <v>550</v>
      </c>
      <c r="AL61" s="528" t="str">
        <f>VLOOKUP(G61,'Planning and Target Times'!$I$2:$J$7,2,0)</f>
        <v>Sandstone</v>
      </c>
      <c r="AM61" s="540"/>
      <c r="AN61" s="540"/>
      <c r="AO61" s="540"/>
      <c r="AP61" s="533">
        <f t="shared" si="12"/>
        <v>7.333333333333333</v>
      </c>
      <c r="AQ61" s="540"/>
      <c r="AR61" s="540"/>
      <c r="AS61" s="540"/>
      <c r="AT61" s="540"/>
      <c r="AU61" s="540"/>
      <c r="AV61" s="540"/>
      <c r="AW61" s="540"/>
      <c r="AX61" s="540"/>
      <c r="AY61" s="540"/>
      <c r="AZ61" s="540"/>
      <c r="BA61" s="540"/>
      <c r="BB61" s="540"/>
      <c r="BC61" s="540"/>
      <c r="BD61" s="540"/>
      <c r="BE61" s="540"/>
      <c r="BF61" s="540"/>
      <c r="BG61" s="540"/>
      <c r="BH61" s="540"/>
      <c r="BI61" s="540"/>
      <c r="BJ61" s="540"/>
      <c r="BK61" s="540"/>
      <c r="BL61" s="540"/>
      <c r="BM61" s="540"/>
      <c r="BN61" s="540"/>
      <c r="BO61" s="526">
        <f ca="1">IF(ISERROR(IF(INDEX(Rig_Schedule_View!$I$11:$I$262,MATCH(Well_Data_NK_Upcoming!AG59,Rig_Schedule_View!$B$11:$B$262,0))=0,O61,(INDEX(Rig_Schedule_View!$I$11:$I$262,MATCH(Well_Data_NK_Upcoming!AG59,Rig_Schedule_View!$B$11:$B$262,0))))),O61,(IF(INDEX(Rig_Schedule_View!$I$11:$I$262,MATCH(Well_Data_NK_Upcoming!AG59,Rig_Schedule_View!$B$11:$B$262,0))=0,O61,(INDEX(Rig_Schedule_View!$I$11:$I$262,MATCH(Well_Data_NK_Upcoming!AG59,Rig_Schedule_View!$B$11:$B$262,0))))))</f>
        <v>42258</v>
      </c>
      <c r="BP61" s="526">
        <f ca="1">IF(ISERROR(IF(INDEX(Rig_Schedule_View!$J$11:$J$262,MATCH(Well_Data_NK_Upcoming!AG59,Rig_Schedule_View!$B$11:$B$262,0))=0,P61,(INDEX(Rig_Schedule_View!$J$11:$J$262,MATCH(Well_Data_NK_Upcoming!AG59,Rig_Schedule_View!$B$11:$B$262,0))))),P61,(IF(INDEX(Rig_Schedule_View!$J$11:$J$262,MATCH(Well_Data_NK_Upcoming!AG59,Rig_Schedule_View!$B$11:$B$262,0))=0,P61,(INDEX(Rig_Schedule_View!$J$11:$J$262,MATCH(Well_Data_NK_Upcoming!AG59,Rig_Schedule_View!$B$11:$B$262,0))))))</f>
        <v>42403</v>
      </c>
      <c r="BQ61" s="527"/>
      <c r="BR61" s="525"/>
      <c r="BS61" s="525"/>
      <c r="BT61" s="525"/>
      <c r="BU61" s="525"/>
      <c r="BV61" s="525"/>
      <c r="BW61" s="525"/>
      <c r="BX61" s="525"/>
      <c r="BY61" s="525"/>
      <c r="BZ61" s="525"/>
    </row>
    <row r="62" spans="1:78" x14ac:dyDescent="0.25">
      <c r="A62" s="540" t="s">
        <v>1827</v>
      </c>
      <c r="B62" s="540" t="s">
        <v>1828</v>
      </c>
      <c r="C62" s="540" t="s">
        <v>2239</v>
      </c>
      <c r="D62" s="529" t="s">
        <v>2286</v>
      </c>
      <c r="E62" s="540"/>
      <c r="F62" s="528" t="str">
        <f t="shared" si="13"/>
        <v>RA</v>
      </c>
      <c r="G62" s="540" t="s">
        <v>22</v>
      </c>
      <c r="H62" s="536" t="s">
        <v>1412</v>
      </c>
      <c r="I62" s="540" t="s">
        <v>16</v>
      </c>
      <c r="J62" s="540" t="s">
        <v>298</v>
      </c>
      <c r="K62" s="540" t="s">
        <v>18</v>
      </c>
      <c r="L62" s="540" t="s">
        <v>1416</v>
      </c>
      <c r="M62" s="539"/>
      <c r="N62" s="540"/>
      <c r="O62" s="532"/>
      <c r="P62" s="540"/>
      <c r="Q62" s="540"/>
      <c r="R62" s="537">
        <f>IF(ISERROR(VLOOKUP(G62,'Planning and Target Times'!$L$1:$AP$6,MATCH(K62&amp;"_"&amp;L62&amp;"_"&amp;J62,INDEX('Planning and Target Times'!$L$1:$AP$6,1,0),0),0)+5),"",(VLOOKUP(G62,'Planning and Target Times'!$L$1:$AP$6,MATCH(K62&amp;"_"&amp;L62&amp;"_"&amp;J62,INDEX('Planning and Target Times'!$L$1:$AP$6,1,0),0),0)+5))</f>
        <v>61</v>
      </c>
      <c r="S62" s="528">
        <f t="shared" si="7"/>
        <v>56</v>
      </c>
      <c r="T62" s="538" t="e">
        <f>VLOOKUP(G62,'Planning and Target Times'!$A$7:$G$12,MATCH(K62&amp;"-"&amp;L62&amp;"-"&amp;J62,INDEX('Planning and Target Times'!$A$7:$G$12,1,0),0),0)</f>
        <v>#N/A</v>
      </c>
      <c r="U62" s="540"/>
      <c r="V62" s="540"/>
      <c r="W62" s="540"/>
      <c r="X62" s="535" t="str">
        <f t="shared" si="8"/>
        <v>LB</v>
      </c>
      <c r="Y62" s="540"/>
      <c r="Z62" s="540"/>
      <c r="AA62" s="540"/>
      <c r="AB62" s="540"/>
      <c r="AC62" s="540"/>
      <c r="AD62" s="540"/>
      <c r="AE62" s="540" t="s">
        <v>91</v>
      </c>
      <c r="AF62" s="528"/>
      <c r="AG62" s="540" t="str">
        <f t="shared" si="9"/>
        <v>RA-0192ST-RA-LB-Prod-ST-SL-BHI</v>
      </c>
      <c r="AH62" s="540" t="str">
        <f t="shared" si="10"/>
        <v>RA-0192ST-SP-279</v>
      </c>
      <c r="AI62" s="540" t="str">
        <f t="shared" si="11"/>
        <v>RA-0192ST-LB-ST-Prod</v>
      </c>
      <c r="AJ62" s="540">
        <f ca="1">IF(P62&gt;0,"RR",IF(O62&gt;0,0,COUNTIF($H$2:H62,H62)-IFERROR(COUNTIF(OFFSET($H$1,0,0,SUMPRODUCT(MAX(($H$2:H62=H62)*ROW($H$2:H62)*($O$2:O62&lt;&gt;""))),1),H62),0)))</f>
        <v>1</v>
      </c>
      <c r="AK62" s="527">
        <f>IF(ISERROR(VLOOKUP(G62,'Planning and Target Times'!$B$106:$D$110,MATCH(F62,INDEX('Planning and Target Times'!$B$106:$D$110,1,0),0),0)),"",(VLOOKUP(G62,'Planning and Target Times'!$B$106:$D$110,MATCH(F62,INDEX('Planning and Target Times'!$B$106:$D$110,1,0),0),0)))</f>
        <v>900</v>
      </c>
      <c r="AL62" s="528" t="str">
        <f>VLOOKUP(G62,'Planning and Target Times'!$I$2:$J$7,2,0)</f>
        <v>Sandstone</v>
      </c>
      <c r="AM62" s="540"/>
      <c r="AN62" s="540"/>
      <c r="AO62" s="540"/>
      <c r="AP62" s="533">
        <f t="shared" si="12"/>
        <v>14.754098360655737</v>
      </c>
      <c r="AQ62" s="540"/>
      <c r="AR62" s="540"/>
      <c r="AS62" s="540"/>
      <c r="AT62" s="540"/>
      <c r="AU62" s="540"/>
      <c r="AV62" s="540"/>
      <c r="AW62" s="540"/>
      <c r="AX62" s="540"/>
      <c r="AY62" s="540"/>
      <c r="AZ62" s="540"/>
      <c r="BA62" s="540"/>
      <c r="BB62" s="540"/>
      <c r="BC62" s="540"/>
      <c r="BD62" s="540"/>
      <c r="BE62" s="540"/>
      <c r="BF62" s="540"/>
      <c r="BG62" s="540"/>
      <c r="BH62" s="540"/>
      <c r="BI62" s="540"/>
      <c r="BJ62" s="540"/>
      <c r="BK62" s="540"/>
      <c r="BL62" s="540"/>
      <c r="BM62" s="540"/>
      <c r="BN62" s="540"/>
      <c r="BO62" s="526">
        <f ca="1">IF(ISERROR(IF(INDEX(Rig_Schedule_View!$I$11:$I$262,MATCH(Well_Data_NK_Upcoming!AG60,Rig_Schedule_View!$B$11:$B$262,0))=0,O62,(INDEX(Rig_Schedule_View!$I$11:$I$262,MATCH(Well_Data_NK_Upcoming!AG60,Rig_Schedule_View!$B$11:$B$262,0))))),O62,(IF(INDEX(Rig_Schedule_View!$I$11:$I$262,MATCH(Well_Data_NK_Upcoming!AG60,Rig_Schedule_View!$B$11:$B$262,0))=0,O62,(INDEX(Rig_Schedule_View!$I$11:$I$262,MATCH(Well_Data_NK_Upcoming!AG60,Rig_Schedule_View!$B$11:$B$262,0))))))</f>
        <v>42248</v>
      </c>
      <c r="BP62" s="526">
        <f ca="1">IF(ISERROR(IF(INDEX(Rig_Schedule_View!$J$11:$J$262,MATCH(Well_Data_NK_Upcoming!AG60,Rig_Schedule_View!$B$11:$B$262,0))=0,P62,(INDEX(Rig_Schedule_View!$J$11:$J$262,MATCH(Well_Data_NK_Upcoming!AG60,Rig_Schedule_View!$B$11:$B$262,0))))),P62,(IF(INDEX(Rig_Schedule_View!$J$11:$J$262,MATCH(Well_Data_NK_Upcoming!AG60,Rig_Schedule_View!$B$11:$B$262,0))=0,P62,(INDEX(Rig_Schedule_View!$J$11:$J$262,MATCH(Well_Data_NK_Upcoming!AG60,Rig_Schedule_View!$B$11:$B$262,0))))))</f>
        <v>42318</v>
      </c>
      <c r="BQ62" s="527"/>
      <c r="BR62" s="525"/>
      <c r="BS62" s="525"/>
      <c r="BT62" s="525"/>
      <c r="BU62" s="525"/>
      <c r="BV62" s="525"/>
      <c r="BW62" s="525"/>
      <c r="BX62" s="525"/>
      <c r="BY62" s="525"/>
      <c r="BZ62" s="525"/>
    </row>
    <row r="63" spans="1:78" x14ac:dyDescent="0.25">
      <c r="A63" s="540" t="s">
        <v>1505</v>
      </c>
      <c r="B63" s="540" t="s">
        <v>1505</v>
      </c>
      <c r="C63" s="540" t="s">
        <v>2272</v>
      </c>
      <c r="D63" s="565" t="s">
        <v>2274</v>
      </c>
      <c r="E63" s="540"/>
      <c r="F63" s="528" t="str">
        <f t="shared" si="13"/>
        <v>SA</v>
      </c>
      <c r="G63" s="540" t="s">
        <v>17</v>
      </c>
      <c r="H63" s="400" t="s">
        <v>1413</v>
      </c>
      <c r="I63" s="540" t="s">
        <v>24</v>
      </c>
      <c r="J63" s="540" t="s">
        <v>298</v>
      </c>
      <c r="K63" s="540" t="s">
        <v>14</v>
      </c>
      <c r="L63" s="540" t="s">
        <v>1410</v>
      </c>
      <c r="M63" s="539"/>
      <c r="N63" s="540"/>
      <c r="O63" s="532"/>
      <c r="P63" s="540"/>
      <c r="Q63" s="540"/>
      <c r="R63" s="537">
        <f>IF(ISERROR(VLOOKUP(G63,'Planning and Target Times'!$L$1:$AP$6,MATCH(K63&amp;"_"&amp;L63&amp;"_"&amp;J63,INDEX('Planning and Target Times'!$L$1:$AP$6,1,0),0),0)+5),"",(VLOOKUP(G63,'Planning and Target Times'!$L$1:$AP$6,MATCH(K63&amp;"_"&amp;L63&amp;"_"&amp;J63,INDEX('Planning and Target Times'!$L$1:$AP$6,1,0),0),0)+5))</f>
        <v>75</v>
      </c>
      <c r="S63" s="528">
        <f t="shared" si="7"/>
        <v>70</v>
      </c>
      <c r="T63" s="538">
        <f>VLOOKUP(G63,'Planning and Target Times'!$A$7:$G$12,MATCH(K63&amp;"-"&amp;L63&amp;"-"&amp;J63,INDEX('Planning and Target Times'!$A$7:$G$12,1,0),0),0)</f>
        <v>35</v>
      </c>
      <c r="U63" s="540"/>
      <c r="V63" s="540"/>
      <c r="W63" s="540"/>
      <c r="X63" s="535" t="str">
        <f t="shared" si="8"/>
        <v>MA</v>
      </c>
      <c r="Y63" s="540"/>
      <c r="Z63" s="540"/>
      <c r="AA63" s="540"/>
      <c r="AB63" s="540"/>
      <c r="AC63" s="540"/>
      <c r="AD63" s="540"/>
      <c r="AE63" s="540" t="s">
        <v>91</v>
      </c>
      <c r="AF63" s="528"/>
      <c r="AG63" s="540" t="str">
        <f t="shared" si="9"/>
        <v>SA-0602-SA-MA-Prod-NW-HZ-SLB</v>
      </c>
      <c r="AH63" s="540" t="str">
        <f t="shared" si="10"/>
        <v>SA-0602-SP-282</v>
      </c>
      <c r="AI63" s="540" t="str">
        <f t="shared" si="11"/>
        <v>SA-0602-MA-NW-Prod</v>
      </c>
      <c r="AJ63" s="540">
        <f ca="1">IF(P63&gt;0,"RR",IF(O63&gt;0,0,COUNTIF($H$2:H63,H63)-IFERROR(COUNTIF(OFFSET($H$1,0,0,SUMPRODUCT(MAX(($H$2:H63=H63)*ROW($H$2:H63)*($O$2:O63&lt;&gt;""))),1),H63),0)))</f>
        <v>1</v>
      </c>
      <c r="AK63" s="527">
        <f>IF(ISERROR(VLOOKUP(G63,'Planning and Target Times'!$B$106:$D$110,MATCH(F63,INDEX('Planning and Target Times'!$B$106:$D$110,1,0),0),0)),"",(VLOOKUP(G63,'Planning and Target Times'!$B$106:$D$110,MATCH(F63,INDEX('Planning and Target Times'!$B$106:$D$110,1,0),0),0)))</f>
        <v>740</v>
      </c>
      <c r="AL63" s="528" t="str">
        <f>VLOOKUP(G63,'Planning and Target Times'!$I$2:$J$7,2,0)</f>
        <v>Carbonate</v>
      </c>
      <c r="AM63" s="540"/>
      <c r="AN63" s="540"/>
      <c r="AO63" s="540"/>
      <c r="AP63" s="533">
        <f t="shared" si="12"/>
        <v>9.8666666666666671</v>
      </c>
      <c r="AQ63" s="540"/>
      <c r="AR63" s="540"/>
      <c r="AS63" s="540"/>
      <c r="AT63" s="540"/>
      <c r="AU63" s="540"/>
      <c r="AV63" s="540"/>
      <c r="AW63" s="540"/>
      <c r="AX63" s="540"/>
      <c r="AY63" s="540"/>
      <c r="AZ63" s="540"/>
      <c r="BA63" s="540"/>
      <c r="BB63" s="540"/>
      <c r="BC63" s="540"/>
      <c r="BD63" s="540"/>
      <c r="BE63" s="540"/>
      <c r="BF63" s="540"/>
      <c r="BG63" s="540"/>
      <c r="BH63" s="540"/>
      <c r="BI63" s="540"/>
      <c r="BJ63" s="540"/>
      <c r="BK63" s="540"/>
      <c r="BL63" s="540"/>
      <c r="BM63" s="540"/>
      <c r="BN63" s="540"/>
      <c r="BO63" s="526">
        <f ca="1">IF(ISERROR(IF(INDEX(Rig_Schedule_View!$I$11:$I$262,MATCH(Well_Data_NK_Upcoming!AG61,Rig_Schedule_View!$B$11:$B$262,0))=0,O63,(INDEX(Rig_Schedule_View!$I$11:$I$262,MATCH(Well_Data_NK_Upcoming!AG61,Rig_Schedule_View!$B$11:$B$262,0))))),O63,(IF(INDEX(Rig_Schedule_View!$I$11:$I$262,MATCH(Well_Data_NK_Upcoming!AG61,Rig_Schedule_View!$B$11:$B$262,0))=0,O63,(INDEX(Rig_Schedule_View!$I$11:$I$262,MATCH(Well_Data_NK_Upcoming!AG61,Rig_Schedule_View!$B$11:$B$262,0))))))</f>
        <v>42252</v>
      </c>
      <c r="BP63" s="526">
        <f ca="1">IF(ISERROR(IF(INDEX(Rig_Schedule_View!$J$11:$J$262,MATCH(Well_Data_NK_Upcoming!AG61,Rig_Schedule_View!$B$11:$B$262,0))=0,P63,(INDEX(Rig_Schedule_View!$J$11:$J$262,MATCH(Well_Data_NK_Upcoming!AG61,Rig_Schedule_View!$B$11:$B$262,0))))),P63,(IF(INDEX(Rig_Schedule_View!$J$11:$J$262,MATCH(Well_Data_NK_Upcoming!AG61,Rig_Schedule_View!$B$11:$B$262,0))=0,P63,(INDEX(Rig_Schedule_View!$J$11:$J$262,MATCH(Well_Data_NK_Upcoming!AG61,Rig_Schedule_View!$B$11:$B$262,0))))))</f>
        <v>42322</v>
      </c>
      <c r="BQ63" s="527"/>
      <c r="BR63" s="525"/>
      <c r="BS63" s="525"/>
      <c r="BT63" s="525"/>
      <c r="BU63" s="525"/>
      <c r="BV63" s="525"/>
      <c r="BW63" s="525"/>
      <c r="BX63" s="525"/>
      <c r="BY63" s="525"/>
      <c r="BZ63" s="525"/>
    </row>
    <row r="64" spans="1:78" x14ac:dyDescent="0.25">
      <c r="A64" s="540" t="s">
        <v>1618</v>
      </c>
      <c r="B64" s="540" t="s">
        <v>1618</v>
      </c>
      <c r="C64" s="540" t="s">
        <v>2419</v>
      </c>
      <c r="D64" s="529" t="s">
        <v>2287</v>
      </c>
      <c r="E64" s="540"/>
      <c r="F64" s="528" t="str">
        <f t="shared" si="13"/>
        <v>RA</v>
      </c>
      <c r="G64" s="540" t="s">
        <v>44</v>
      </c>
      <c r="H64" s="536" t="s">
        <v>1414</v>
      </c>
      <c r="I64" s="540"/>
      <c r="J64" s="540" t="s">
        <v>34</v>
      </c>
      <c r="K64" s="540" t="s">
        <v>18</v>
      </c>
      <c r="L64" s="540" t="s">
        <v>1511</v>
      </c>
      <c r="M64" s="539"/>
      <c r="N64" s="540"/>
      <c r="O64" s="532"/>
      <c r="P64" s="540"/>
      <c r="Q64" s="540"/>
      <c r="R64" s="537">
        <f>IF(ISERROR(VLOOKUP(G64,'Planning and Target Times'!$L$1:$AP$6,MATCH(K64&amp;"_"&amp;L64&amp;"_"&amp;J64,INDEX('Planning and Target Times'!$L$1:$AP$6,1,0),0),0)+5),"",(VLOOKUP(G64,'Planning and Target Times'!$L$1:$AP$6,MATCH(K64&amp;"_"&amp;L64&amp;"_"&amp;J64,INDEX('Planning and Target Times'!$L$1:$AP$6,1,0),0),0)+5))</f>
        <v>35</v>
      </c>
      <c r="S64" s="528">
        <f t="shared" si="7"/>
        <v>30</v>
      </c>
      <c r="T64" s="538" t="e">
        <f>VLOOKUP(G64,'Planning and Target Times'!$A$7:$G$12,MATCH(K64&amp;"-"&amp;L64&amp;"-"&amp;J64,INDEX('Planning and Target Times'!$A$7:$G$12,1,0),0),0)</f>
        <v>#N/A</v>
      </c>
      <c r="U64" s="540"/>
      <c r="V64" s="540"/>
      <c r="W64" s="540"/>
      <c r="X64" s="535" t="str">
        <f t="shared" si="8"/>
        <v>ZU/RT</v>
      </c>
      <c r="Y64" s="540"/>
      <c r="Z64" s="540"/>
      <c r="AA64" s="540"/>
      <c r="AB64" s="540"/>
      <c r="AC64" s="540"/>
      <c r="AD64" s="540"/>
      <c r="AE64" s="540" t="s">
        <v>91</v>
      </c>
      <c r="AF64" s="528"/>
      <c r="AG64" s="540" t="str">
        <f t="shared" si="9"/>
        <v>RA-0165-RA-ZU-Inj-ST-V</v>
      </c>
      <c r="AH64" s="540" t="str">
        <f t="shared" si="10"/>
        <v>RA-0165-SP-283</v>
      </c>
      <c r="AI64" s="540" t="str">
        <f t="shared" si="11"/>
        <v>RA-0165-ZU-ST-Inj</v>
      </c>
      <c r="AJ64" s="540">
        <f ca="1">IF(P64&gt;0,"RR",IF(O64&gt;0,0,COUNTIF($H$2:H64,H64)-IFERROR(COUNTIF(OFFSET($H$1,0,0,SUMPRODUCT(MAX(($H$2:H64=H64)*ROW($H$2:H64)*($O$2:O64&lt;&gt;""))),1),H64),0)))</f>
        <v>1</v>
      </c>
      <c r="AK64" s="527">
        <f>IF(ISERROR(VLOOKUP(G64,'Planning and Target Times'!$B$106:$D$110,MATCH(F64,INDEX('Planning and Target Times'!$B$106:$D$110,1,0),0),0)),"",(VLOOKUP(G64,'Planning and Target Times'!$B$106:$D$110,MATCH(F64,INDEX('Planning and Target Times'!$B$106:$D$110,1,0),0),0)))</f>
        <v>1560</v>
      </c>
      <c r="AL64" s="528" t="str">
        <f>VLOOKUP(G64,'Planning and Target Times'!$I$2:$J$7,2,0)</f>
        <v>Sandstone</v>
      </c>
      <c r="AM64" s="540"/>
      <c r="AN64" s="540"/>
      <c r="AO64" s="540"/>
      <c r="AP64" s="533">
        <f t="shared" si="12"/>
        <v>44.571428571428569</v>
      </c>
      <c r="AQ64" s="540"/>
      <c r="AR64" s="540"/>
      <c r="AS64" s="540"/>
      <c r="AT64" s="540"/>
      <c r="AU64" s="540"/>
      <c r="AV64" s="540"/>
      <c r="AW64" s="540"/>
      <c r="AX64" s="540"/>
      <c r="AY64" s="540"/>
      <c r="AZ64" s="540"/>
      <c r="BA64" s="540"/>
      <c r="BB64" s="540"/>
      <c r="BC64" s="540"/>
      <c r="BD64" s="540"/>
      <c r="BE64" s="540"/>
      <c r="BF64" s="540"/>
      <c r="BG64" s="540"/>
      <c r="BH64" s="540"/>
      <c r="BI64" s="540"/>
      <c r="BJ64" s="540"/>
      <c r="BK64" s="540"/>
      <c r="BL64" s="540"/>
      <c r="BM64" s="540"/>
      <c r="BN64" s="540"/>
      <c r="BO64" s="526">
        <f ca="1">IF(ISERROR(IF(INDEX(Rig_Schedule_View!$I$11:$I$262,MATCH(Well_Data_NK_Upcoming!AG62,Rig_Schedule_View!$B$11:$B$262,0))=0,O64,(INDEX(Rig_Schedule_View!$I$11:$I$262,MATCH(Well_Data_NK_Upcoming!AG62,Rig_Schedule_View!$B$11:$B$262,0))))),O64,(IF(INDEX(Rig_Schedule_View!$I$11:$I$262,MATCH(Well_Data_NK_Upcoming!AG62,Rig_Schedule_View!$B$11:$B$262,0))=0,O64,(INDEX(Rig_Schedule_View!$I$11:$I$262,MATCH(Well_Data_NK_Upcoming!AG62,Rig_Schedule_View!$B$11:$B$262,0))))))</f>
        <v>42259</v>
      </c>
      <c r="BP64" s="526">
        <f ca="1">IF(ISERROR(IF(INDEX(Rig_Schedule_View!$J$11:$J$262,MATCH(Well_Data_NK_Upcoming!AG62,Rig_Schedule_View!$B$11:$B$262,0))=0,P64,(INDEX(Rig_Schedule_View!$J$11:$J$262,MATCH(Well_Data_NK_Upcoming!AG62,Rig_Schedule_View!$B$11:$B$262,0))))),P64,(IF(INDEX(Rig_Schedule_View!$J$11:$J$262,MATCH(Well_Data_NK_Upcoming!AG62,Rig_Schedule_View!$B$11:$B$262,0))=0,P64,(INDEX(Rig_Schedule_View!$J$11:$J$262,MATCH(Well_Data_NK_Upcoming!AG62,Rig_Schedule_View!$B$11:$B$262,0))))))</f>
        <v>42315</v>
      </c>
      <c r="BQ64" s="527"/>
      <c r="BR64" s="525"/>
      <c r="BS64" s="525"/>
      <c r="BT64" s="525"/>
      <c r="BU64" s="525"/>
      <c r="BV64" s="525"/>
      <c r="BW64" s="525"/>
      <c r="BX64" s="525"/>
      <c r="BY64" s="525"/>
      <c r="BZ64" s="525"/>
    </row>
    <row r="65" spans="1:78" x14ac:dyDescent="0.25">
      <c r="A65" s="540" t="s">
        <v>1444</v>
      </c>
      <c r="B65" s="540" t="s">
        <v>1444</v>
      </c>
      <c r="C65" s="540"/>
      <c r="D65" s="529" t="s">
        <v>2288</v>
      </c>
      <c r="E65" s="540"/>
      <c r="F65" s="528" t="str">
        <f t="shared" si="13"/>
        <v>RA</v>
      </c>
      <c r="G65" s="540" t="s">
        <v>22</v>
      </c>
      <c r="H65" s="536" t="s">
        <v>1415</v>
      </c>
      <c r="I65" s="540" t="s">
        <v>39</v>
      </c>
      <c r="J65" s="540" t="s">
        <v>298</v>
      </c>
      <c r="K65" s="540" t="s">
        <v>14</v>
      </c>
      <c r="L65" s="540" t="s">
        <v>1416</v>
      </c>
      <c r="M65" s="539"/>
      <c r="N65" s="540"/>
      <c r="O65" s="532"/>
      <c r="P65" s="540"/>
      <c r="Q65" s="540"/>
      <c r="R65" s="537">
        <f>IF(ISERROR(VLOOKUP(G65,'Planning and Target Times'!$L$1:$AP$6,MATCH(K65&amp;"_"&amp;L65&amp;"_"&amp;J65,INDEX('Planning and Target Times'!$L$1:$AP$6,1,0),0),0)+5),"",(VLOOKUP(G65,'Planning and Target Times'!$L$1:$AP$6,MATCH(K65&amp;"_"&amp;L65&amp;"_"&amp;J65,INDEX('Planning and Target Times'!$L$1:$AP$6,1,0),0),0)+5))</f>
        <v>75</v>
      </c>
      <c r="S65" s="528">
        <f t="shared" si="7"/>
        <v>70</v>
      </c>
      <c r="T65" s="538">
        <f>VLOOKUP(G65,'Planning and Target Times'!$A$7:$G$12,MATCH(K65&amp;"-"&amp;L65&amp;"-"&amp;J65,INDEX('Planning and Target Times'!$A$7:$G$12,1,0),0),0)</f>
        <v>33</v>
      </c>
      <c r="U65" s="540"/>
      <c r="V65" s="540"/>
      <c r="W65" s="540"/>
      <c r="X65" s="535" t="str">
        <f t="shared" si="8"/>
        <v>LB</v>
      </c>
      <c r="Y65" s="540"/>
      <c r="Z65" s="540"/>
      <c r="AA65" s="540"/>
      <c r="AB65" s="540"/>
      <c r="AC65" s="540"/>
      <c r="AD65" s="540"/>
      <c r="AE65" s="540" t="s">
        <v>91</v>
      </c>
      <c r="AF65" s="528"/>
      <c r="AG65" s="540" t="str">
        <f t="shared" si="9"/>
        <v>RA-0575-RA-LB-Prod-NW-SL-WFD</v>
      </c>
      <c r="AH65" s="540" t="str">
        <f t="shared" si="10"/>
        <v>RA-0575-SP-288</v>
      </c>
      <c r="AI65" s="540" t="str">
        <f t="shared" si="11"/>
        <v>RA-0575-LB-NW-Prod</v>
      </c>
      <c r="AJ65" s="540">
        <f ca="1">IF(P65&gt;0,"RR",IF(O65&gt;0,0,COUNTIF($H$2:H65,H65)-IFERROR(COUNTIF(OFFSET($H$1,0,0,SUMPRODUCT(MAX(($H$2:H65=H65)*ROW($H$2:H65)*($O$2:O65&lt;&gt;""))),1),H65),0)))</f>
        <v>1</v>
      </c>
      <c r="AK65" s="527">
        <f>IF(ISERROR(VLOOKUP(G65,'Planning and Target Times'!$B$106:$D$110,MATCH(F65,INDEX('Planning and Target Times'!$B$106:$D$110,1,0),0),0)),"",(VLOOKUP(G65,'Planning and Target Times'!$B$106:$D$110,MATCH(F65,INDEX('Planning and Target Times'!$B$106:$D$110,1,0),0),0)))</f>
        <v>900</v>
      </c>
      <c r="AL65" s="528" t="str">
        <f>VLOOKUP(G65,'Planning and Target Times'!$I$2:$J$7,2,0)</f>
        <v>Sandstone</v>
      </c>
      <c r="AM65" s="540"/>
      <c r="AN65" s="540"/>
      <c r="AO65" s="540"/>
      <c r="AP65" s="533">
        <f t="shared" si="12"/>
        <v>12</v>
      </c>
      <c r="AQ65" s="540"/>
      <c r="AR65" s="540"/>
      <c r="AS65" s="540"/>
      <c r="AT65" s="540"/>
      <c r="AU65" s="540"/>
      <c r="AV65" s="540"/>
      <c r="AW65" s="540"/>
      <c r="AX65" s="540"/>
      <c r="AY65" s="540"/>
      <c r="AZ65" s="540"/>
      <c r="BA65" s="540"/>
      <c r="BB65" s="540"/>
      <c r="BC65" s="540"/>
      <c r="BD65" s="540"/>
      <c r="BE65" s="540"/>
      <c r="BF65" s="540"/>
      <c r="BG65" s="540"/>
      <c r="BH65" s="540"/>
      <c r="BI65" s="540"/>
      <c r="BJ65" s="540"/>
      <c r="BK65" s="540"/>
      <c r="BL65" s="540"/>
      <c r="BM65" s="540"/>
      <c r="BN65" s="540"/>
      <c r="BO65" s="526">
        <f ca="1">IF(ISERROR(IF(INDEX(Rig_Schedule_View!$I$11:$I$262,MATCH(Well_Data_NK_Upcoming!AG83,Rig_Schedule_View!$B$11:$B$262,0))=0,O65,(INDEX(Rig_Schedule_View!$I$11:$I$262,MATCH(Well_Data_NK_Upcoming!AG83,Rig_Schedule_View!$B$11:$B$262,0))))),O65,(IF(INDEX(Rig_Schedule_View!$I$11:$I$262,MATCH(Well_Data_NK_Upcoming!AG83,Rig_Schedule_View!$B$11:$B$262,0))=0,O65,(INDEX(Rig_Schedule_View!$I$11:$I$262,MATCH(Well_Data_NK_Upcoming!AG83,Rig_Schedule_View!$B$11:$B$262,0))))))</f>
        <v>42318</v>
      </c>
      <c r="BP65" s="526">
        <f ca="1">IF(ISERROR(IF(INDEX(Rig_Schedule_View!$J$11:$J$262,MATCH(Well_Data_NK_Upcoming!AG83,Rig_Schedule_View!$B$11:$B$262,0))=0,P65,(INDEX(Rig_Schedule_View!$J$11:$J$262,MATCH(Well_Data_NK_Upcoming!AG83,Rig_Schedule_View!$B$11:$B$262,0))))),P65,(IF(INDEX(Rig_Schedule_View!$J$11:$J$262,MATCH(Well_Data_NK_Upcoming!AG83,Rig_Schedule_View!$B$11:$B$262,0))=0,P65,(INDEX(Rig_Schedule_View!$J$11:$J$262,MATCH(Well_Data_NK_Upcoming!AG83,Rig_Schedule_View!$B$11:$B$262,0))))))</f>
        <v>42388</v>
      </c>
      <c r="BQ65" s="527"/>
      <c r="BR65" s="525"/>
      <c r="BS65" s="525"/>
      <c r="BT65" s="525"/>
      <c r="BU65" s="525"/>
      <c r="BV65" s="525"/>
      <c r="BW65" s="525"/>
      <c r="BX65" s="525"/>
      <c r="BY65" s="525"/>
      <c r="BZ65" s="525"/>
    </row>
    <row r="66" spans="1:78" x14ac:dyDescent="0.25">
      <c r="A66" s="540" t="s">
        <v>1445</v>
      </c>
      <c r="B66" s="540" t="s">
        <v>1445</v>
      </c>
      <c r="C66" s="540" t="s">
        <v>2243</v>
      </c>
      <c r="D66" s="533" t="s">
        <v>2267</v>
      </c>
      <c r="E66" s="540"/>
      <c r="F66" s="528" t="str">
        <f t="shared" si="13"/>
        <v>SA</v>
      </c>
      <c r="G66" s="540" t="s">
        <v>17</v>
      </c>
      <c r="H66" s="536" t="s">
        <v>734</v>
      </c>
      <c r="I66" s="540" t="s">
        <v>78</v>
      </c>
      <c r="J66" s="540" t="s">
        <v>298</v>
      </c>
      <c r="K66" s="540" t="s">
        <v>14</v>
      </c>
      <c r="L66" s="540" t="s">
        <v>1410</v>
      </c>
      <c r="M66" s="539"/>
      <c r="N66" s="540"/>
      <c r="O66" s="532"/>
      <c r="P66" s="540"/>
      <c r="Q66" s="540"/>
      <c r="R66" s="537">
        <f>IF(ISERROR(VLOOKUP(G66,'Planning and Target Times'!$L$1:$AP$6,MATCH(K66&amp;"_"&amp;L66&amp;"_"&amp;J66,INDEX('Planning and Target Times'!$L$1:$AP$6,1,0),0),0)+5),"",(VLOOKUP(G66,'Planning and Target Times'!$L$1:$AP$6,MATCH(K66&amp;"_"&amp;L66&amp;"_"&amp;J66,INDEX('Planning and Target Times'!$L$1:$AP$6,1,0),0),0)+5))</f>
        <v>75</v>
      </c>
      <c r="S66" s="528">
        <f t="shared" ref="S66:S97" si="14">IF(ISERROR(R66-5),"",R66-5)</f>
        <v>70</v>
      </c>
      <c r="T66" s="538">
        <f>VLOOKUP(G66,'Planning and Target Times'!$A$7:$G$12,MATCH(K66&amp;"-"&amp;L66&amp;"-"&amp;J66,INDEX('Planning and Target Times'!$A$7:$G$12,1,0),0),0)</f>
        <v>35</v>
      </c>
      <c r="U66" s="540"/>
      <c r="V66" s="540"/>
      <c r="W66" s="540"/>
      <c r="X66" s="535" t="str">
        <f t="shared" ref="X66:X81" si="15">IF(OR(G66="ZU",G66="RT"),"ZU/RT",G66)</f>
        <v>MA</v>
      </c>
      <c r="Y66" s="540"/>
      <c r="Z66" s="540"/>
      <c r="AA66" s="540"/>
      <c r="AB66" s="540"/>
      <c r="AC66" s="540"/>
      <c r="AD66" s="540"/>
      <c r="AE66" s="540" t="s">
        <v>91</v>
      </c>
      <c r="AF66" s="528"/>
      <c r="AG66" s="540" t="str">
        <f t="shared" ref="AG66:AG97" si="16">SUBSTITUTE(TRIM(A66&amp;" "&amp;F66&amp;" "&amp;G66&amp;" "&amp;J66&amp;" "&amp;K66&amp;" "&amp;L66&amp;" "&amp;I66)," ","-")</f>
        <v>SA-0586-SA-MA-Prod-NW-HZ-Baker</v>
      </c>
      <c r="AH66" s="540" t="str">
        <f t="shared" ref="AH66:AH97" si="17">IF(A66&lt;&gt;"",A66&amp;"-"&amp;H66,"")</f>
        <v>SA-0586-SP-294</v>
      </c>
      <c r="AI66" s="540" t="str">
        <f t="shared" ref="AI66:AI97" si="18">SUBSTITUTE(TRIM(A66&amp;" "&amp;G66&amp;" "&amp;K66&amp;" "&amp;J66)," ","-")</f>
        <v>SA-0586-MA-NW-Prod</v>
      </c>
      <c r="AJ66" s="540">
        <f ca="1">IF(P66&gt;0,"RR",IF(O66&gt;0,0,COUNTIF($H$2:H66,H66)-IFERROR(COUNTIF(OFFSET($H$1,0,0,SUMPRODUCT(MAX(($H$2:H66=H66)*ROW($H$2:H66)*($O$2:O66&lt;&gt;""))),1),H66),0)))</f>
        <v>1</v>
      </c>
      <c r="AK66" s="527">
        <f>IF(ISERROR(VLOOKUP(G66,'Planning and Target Times'!$B$106:$D$110,MATCH(F66,INDEX('Planning and Target Times'!$B$106:$D$110,1,0),0),0)),"",(VLOOKUP(G66,'Planning and Target Times'!$B$106:$D$110,MATCH(F66,INDEX('Planning and Target Times'!$B$106:$D$110,1,0),0),0)))</f>
        <v>740</v>
      </c>
      <c r="AL66" s="528" t="str">
        <f>VLOOKUP(G66,'Planning and Target Times'!$I$2:$J$7,2,0)</f>
        <v>Carbonate</v>
      </c>
      <c r="AM66" s="540"/>
      <c r="AN66" s="540"/>
      <c r="AO66" s="540"/>
      <c r="AP66" s="533">
        <f t="shared" ref="AP66:AP97" si="19">AK66/R66</f>
        <v>9.8666666666666671</v>
      </c>
      <c r="AQ66" s="540"/>
      <c r="AR66" s="540"/>
      <c r="AS66" s="540"/>
      <c r="AT66" s="540"/>
      <c r="AU66" s="540"/>
      <c r="AV66" s="540"/>
      <c r="AW66" s="540"/>
      <c r="AX66" s="540"/>
      <c r="AY66" s="540"/>
      <c r="AZ66" s="540"/>
      <c r="BA66" s="540"/>
      <c r="BB66" s="540"/>
      <c r="BC66" s="540"/>
      <c r="BD66" s="540"/>
      <c r="BE66" s="540"/>
      <c r="BF66" s="540"/>
      <c r="BG66" s="540"/>
      <c r="BH66" s="540"/>
      <c r="BI66" s="540"/>
      <c r="BJ66" s="540"/>
      <c r="BK66" s="540"/>
      <c r="BL66" s="540"/>
      <c r="BM66" s="540"/>
      <c r="BN66" s="540"/>
      <c r="BO66" s="526">
        <f ca="1">IF(ISERROR(IF(INDEX(Rig_Schedule_View!$I$11:$I$262,MATCH(Well_Data_NK_Upcoming!AG64,Rig_Schedule_View!$B$11:$B$262,0))=0,O66,(INDEX(Rig_Schedule_View!$I$11:$I$262,MATCH(Well_Data_NK_Upcoming!AG64,Rig_Schedule_View!$B$11:$B$262,0))))),O66,(IF(INDEX(Rig_Schedule_View!$I$11:$I$262,MATCH(Well_Data_NK_Upcoming!AG64,Rig_Schedule_View!$B$11:$B$262,0))=0,O66,(INDEX(Rig_Schedule_View!$I$11:$I$262,MATCH(Well_Data_NK_Upcoming!AG64,Rig_Schedule_View!$B$11:$B$262,0))))))</f>
        <v>42245</v>
      </c>
      <c r="BP66" s="526">
        <f ca="1">IF(ISERROR(IF(INDEX(Rig_Schedule_View!$J$11:$J$262,MATCH(Well_Data_NK_Upcoming!AG64,Rig_Schedule_View!$B$11:$B$262,0))=0,P66,(INDEX(Rig_Schedule_View!$J$11:$J$262,MATCH(Well_Data_NK_Upcoming!AG64,Rig_Schedule_View!$B$11:$B$262,0))))),P66,(IF(INDEX(Rig_Schedule_View!$J$11:$J$262,MATCH(Well_Data_NK_Upcoming!AG64,Rig_Schedule_View!$B$11:$B$262,0))=0,P66,(INDEX(Rig_Schedule_View!$J$11:$J$262,MATCH(Well_Data_NK_Upcoming!AG64,Rig_Schedule_View!$B$11:$B$262,0))))))</f>
        <v>42275</v>
      </c>
      <c r="BQ66" s="527"/>
      <c r="BR66" s="525"/>
      <c r="BS66" s="525"/>
      <c r="BT66" s="525"/>
      <c r="BU66" s="525"/>
      <c r="BV66" s="525"/>
      <c r="BW66" s="525"/>
      <c r="BX66" s="525"/>
      <c r="BY66" s="525"/>
      <c r="BZ66" s="525"/>
    </row>
    <row r="67" spans="1:78" x14ac:dyDescent="0.25">
      <c r="A67" s="540" t="s">
        <v>1446</v>
      </c>
      <c r="B67" s="540" t="s">
        <v>1446</v>
      </c>
      <c r="C67" s="540" t="s">
        <v>1446</v>
      </c>
      <c r="D67" s="529" t="s">
        <v>2289</v>
      </c>
      <c r="E67" s="540"/>
      <c r="F67" s="528" t="str">
        <f t="shared" si="13"/>
        <v>SA</v>
      </c>
      <c r="G67" s="540" t="s">
        <v>29</v>
      </c>
      <c r="H67" s="536" t="s">
        <v>735</v>
      </c>
      <c r="I67" s="540" t="s">
        <v>1420</v>
      </c>
      <c r="J67" s="540" t="s">
        <v>298</v>
      </c>
      <c r="K67" s="540" t="s">
        <v>14</v>
      </c>
      <c r="L67" s="540" t="s">
        <v>1416</v>
      </c>
      <c r="M67" s="539"/>
      <c r="N67" s="540"/>
      <c r="O67" s="532"/>
      <c r="P67" s="540"/>
      <c r="Q67" s="540"/>
      <c r="R67" s="537">
        <f>IF(ISERROR(VLOOKUP(G67,'Planning and Target Times'!$L$1:$AP$6,MATCH(K67&amp;"_"&amp;L67&amp;"_"&amp;J67,INDEX('Planning and Target Times'!$L$1:$AP$6,1,0),0),0)+5),"",(VLOOKUP(G67,'Planning and Target Times'!$L$1:$AP$6,MATCH(K67&amp;"_"&amp;L67&amp;"_"&amp;J67,INDEX('Planning and Target Times'!$L$1:$AP$6,1,0),0),0)+5))</f>
        <v>75</v>
      </c>
      <c r="S67" s="528">
        <f t="shared" si="14"/>
        <v>70</v>
      </c>
      <c r="T67" s="538">
        <f>VLOOKUP(G67,'Planning and Target Times'!$A$7:$G$12,MATCH(K67&amp;"-"&amp;L67&amp;"-"&amp;J67,INDEX('Planning and Target Times'!$A$7:$G$12,1,0),0),0)</f>
        <v>33</v>
      </c>
      <c r="U67" s="540"/>
      <c r="V67" s="540"/>
      <c r="W67" s="540"/>
      <c r="X67" s="535" t="str">
        <f t="shared" si="15"/>
        <v>UB</v>
      </c>
      <c r="Y67" s="540"/>
      <c r="Z67" s="540"/>
      <c r="AA67" s="540"/>
      <c r="AB67" s="540"/>
      <c r="AC67" s="540"/>
      <c r="AD67" s="540"/>
      <c r="AE67" s="540" t="s">
        <v>91</v>
      </c>
      <c r="AF67" s="528"/>
      <c r="AG67" s="540" t="str">
        <f t="shared" si="16"/>
        <v>SA-0611-SA-UB-Prod-NW-SL-Sperry</v>
      </c>
      <c r="AH67" s="540" t="str">
        <f t="shared" si="17"/>
        <v>SA-0611-SP-295</v>
      </c>
      <c r="AI67" s="540" t="str">
        <f t="shared" si="18"/>
        <v>SA-0611-UB-NW-Prod</v>
      </c>
      <c r="AJ67" s="540">
        <f ca="1">IF(P67&gt;0,"RR",IF(O67&gt;0,0,COUNTIF($H$2:H67,H67)-IFERROR(COUNTIF(OFFSET($H$1,0,0,SUMPRODUCT(MAX(($H$2:H67=H67)*ROW($H$2:H67)*($O$2:O67&lt;&gt;""))),1),H67),0)))</f>
        <v>1</v>
      </c>
      <c r="AK67" s="527">
        <f>IF(ISERROR(VLOOKUP(G67,'Planning and Target Times'!$B$106:$D$110,MATCH(F67,INDEX('Planning and Target Times'!$B$106:$D$110,1,0),0),0)),"",(VLOOKUP(G67,'Planning and Target Times'!$B$106:$D$110,MATCH(F67,INDEX('Planning and Target Times'!$B$106:$D$110,1,0),0),0)))</f>
        <v>630</v>
      </c>
      <c r="AL67" s="528" t="str">
        <f>VLOOKUP(G67,'Planning and Target Times'!$I$2:$J$7,2,0)</f>
        <v>Sandstone</v>
      </c>
      <c r="AM67" s="540"/>
      <c r="AN67" s="540"/>
      <c r="AO67" s="540"/>
      <c r="AP67" s="533">
        <f t="shared" si="19"/>
        <v>8.4</v>
      </c>
      <c r="AQ67" s="540"/>
      <c r="AR67" s="540"/>
      <c r="AS67" s="540"/>
      <c r="AT67" s="540"/>
      <c r="AU67" s="540"/>
      <c r="AV67" s="540"/>
      <c r="AW67" s="540"/>
      <c r="AX67" s="540"/>
      <c r="AY67" s="540"/>
      <c r="AZ67" s="540"/>
      <c r="BA67" s="540"/>
      <c r="BB67" s="540"/>
      <c r="BC67" s="540"/>
      <c r="BD67" s="540"/>
      <c r="BE67" s="540"/>
      <c r="BF67" s="540"/>
      <c r="BG67" s="540"/>
      <c r="BH67" s="540"/>
      <c r="BI67" s="540"/>
      <c r="BJ67" s="540"/>
      <c r="BK67" s="540"/>
      <c r="BL67" s="540"/>
      <c r="BM67" s="540"/>
      <c r="BN67" s="540"/>
      <c r="BO67" s="526">
        <f ca="1">IF(ISERROR(IF(INDEX(Rig_Schedule_View!$I$11:$I$262,MATCH(Well_Data_NK_Upcoming!AG65,Rig_Schedule_View!$B$11:$B$262,0))=0,O67,(INDEX(Rig_Schedule_View!$I$11:$I$262,MATCH(Well_Data_NK_Upcoming!AG65,Rig_Schedule_View!$B$11:$B$262,0))))),O67,(IF(INDEX(Rig_Schedule_View!$I$11:$I$262,MATCH(Well_Data_NK_Upcoming!AG65,Rig_Schedule_View!$B$11:$B$262,0))=0,O67,(INDEX(Rig_Schedule_View!$I$11:$I$262,MATCH(Well_Data_NK_Upcoming!AG65,Rig_Schedule_View!$B$11:$B$262,0))))))</f>
        <v>42280</v>
      </c>
      <c r="BP67" s="526">
        <f ca="1">IF(ISERROR(IF(INDEX(Rig_Schedule_View!$J$11:$J$262,MATCH(Well_Data_NK_Upcoming!AG65,Rig_Schedule_View!$B$11:$B$262,0))=0,P67,(INDEX(Rig_Schedule_View!$J$11:$J$262,MATCH(Well_Data_NK_Upcoming!AG65,Rig_Schedule_View!$B$11:$B$262,0))))),P67,(IF(INDEX(Rig_Schedule_View!$J$11:$J$262,MATCH(Well_Data_NK_Upcoming!AG65,Rig_Schedule_View!$B$11:$B$262,0))=0,P67,(INDEX(Rig_Schedule_View!$J$11:$J$262,MATCH(Well_Data_NK_Upcoming!AG65,Rig_Schedule_View!$B$11:$B$262,0))))))</f>
        <v>42350</v>
      </c>
      <c r="BQ67" s="527"/>
      <c r="BR67" s="525"/>
      <c r="BS67" s="525"/>
      <c r="BT67" s="525"/>
      <c r="BU67" s="525"/>
      <c r="BV67" s="525"/>
      <c r="BW67" s="525"/>
      <c r="BX67" s="525"/>
      <c r="BY67" s="525"/>
      <c r="BZ67" s="525"/>
    </row>
    <row r="68" spans="1:78" x14ac:dyDescent="0.25">
      <c r="A68" s="540" t="s">
        <v>1432</v>
      </c>
      <c r="B68" s="540" t="s">
        <v>1432</v>
      </c>
      <c r="C68" s="540"/>
      <c r="D68" s="529" t="s">
        <v>2290</v>
      </c>
      <c r="E68" s="540"/>
      <c r="F68" s="528" t="str">
        <f t="shared" si="13"/>
        <v>RA</v>
      </c>
      <c r="G68" s="540" t="s">
        <v>17</v>
      </c>
      <c r="H68" s="536" t="s">
        <v>1171</v>
      </c>
      <c r="I68" s="540" t="s">
        <v>1420</v>
      </c>
      <c r="J68" s="540" t="s">
        <v>298</v>
      </c>
      <c r="K68" s="540" t="s">
        <v>14</v>
      </c>
      <c r="L68" s="540" t="s">
        <v>1410</v>
      </c>
      <c r="M68" s="539"/>
      <c r="N68" s="540"/>
      <c r="O68" s="532"/>
      <c r="P68" s="540"/>
      <c r="Q68" s="540"/>
      <c r="R68" s="537">
        <f>IF(ISERROR(VLOOKUP(G68,'Planning and Target Times'!$L$1:$AP$6,MATCH(K68&amp;"_"&amp;L68&amp;"_"&amp;J68,INDEX('Planning and Target Times'!$L$1:$AP$6,1,0),0),0)+5),"",(VLOOKUP(G68,'Planning and Target Times'!$L$1:$AP$6,MATCH(K68&amp;"_"&amp;L68&amp;"_"&amp;J68,INDEX('Planning and Target Times'!$L$1:$AP$6,1,0),0),0)+5))</f>
        <v>75</v>
      </c>
      <c r="S68" s="528">
        <f t="shared" si="14"/>
        <v>70</v>
      </c>
      <c r="T68" s="538">
        <f>VLOOKUP(G68,'Planning and Target Times'!$A$7:$G$12,MATCH(K68&amp;"-"&amp;L68&amp;"-"&amp;J68,INDEX('Planning and Target Times'!$A$7:$G$12,1,0),0),0)</f>
        <v>35</v>
      </c>
      <c r="U68" s="540"/>
      <c r="V68" s="540"/>
      <c r="W68" s="540"/>
      <c r="X68" s="535" t="str">
        <f t="shared" si="15"/>
        <v>MA</v>
      </c>
      <c r="Y68" s="540"/>
      <c r="Z68" s="540"/>
      <c r="AA68" s="540"/>
      <c r="AB68" s="540"/>
      <c r="AC68" s="540"/>
      <c r="AD68" s="540"/>
      <c r="AE68" s="540" t="s">
        <v>91</v>
      </c>
      <c r="AF68" s="528"/>
      <c r="AG68" s="540" t="str">
        <f t="shared" si="16"/>
        <v>RA-0569-RA-MA-Prod-NW-HZ-Sperry</v>
      </c>
      <c r="AH68" s="540" t="str">
        <f t="shared" si="17"/>
        <v>RA-0569-KDC-25</v>
      </c>
      <c r="AI68" s="540" t="str">
        <f t="shared" si="18"/>
        <v>RA-0569-MA-NW-Prod</v>
      </c>
      <c r="AJ68" s="540">
        <f ca="1">IF(P68&gt;0,"RR",IF(O68&gt;0,0,COUNTIF($H$2:H68,H68)-IFERROR(COUNTIF(OFFSET($H$1,0,0,SUMPRODUCT(MAX(($H$2:H68=H68)*ROW($H$2:H68)*($O$2:O68&lt;&gt;""))),1),H68),0)))</f>
        <v>2</v>
      </c>
      <c r="AK68" s="527">
        <f>IF(ISERROR(VLOOKUP(G68,'Planning and Target Times'!$B$106:$D$110,MATCH(F68,INDEX('Planning and Target Times'!$B$106:$D$110,1,0),0),0)),"",(VLOOKUP(G68,'Planning and Target Times'!$B$106:$D$110,MATCH(F68,INDEX('Planning and Target Times'!$B$106:$D$110,1,0),0),0)))</f>
        <v>650</v>
      </c>
      <c r="AL68" s="528" t="str">
        <f>VLOOKUP(G68,'Planning and Target Times'!$I$2:$J$7,2,0)</f>
        <v>Carbonate</v>
      </c>
      <c r="AM68" s="540"/>
      <c r="AN68" s="540"/>
      <c r="AO68" s="540"/>
      <c r="AP68" s="533">
        <f t="shared" si="19"/>
        <v>8.6666666666666661</v>
      </c>
      <c r="AQ68" s="540"/>
      <c r="AR68" s="540"/>
      <c r="AS68" s="540"/>
      <c r="AT68" s="540"/>
      <c r="AU68" s="540"/>
      <c r="AV68" s="540"/>
      <c r="AW68" s="540"/>
      <c r="AX68" s="540"/>
      <c r="AY68" s="540"/>
      <c r="AZ68" s="540"/>
      <c r="BA68" s="540"/>
      <c r="BB68" s="540"/>
      <c r="BC68" s="540"/>
      <c r="BD68" s="540"/>
      <c r="BE68" s="540"/>
      <c r="BF68" s="540"/>
      <c r="BG68" s="540"/>
      <c r="BH68" s="540"/>
      <c r="BI68" s="540"/>
      <c r="BJ68" s="540"/>
      <c r="BK68" s="540"/>
      <c r="BL68" s="540"/>
      <c r="BM68" s="540"/>
      <c r="BN68" s="540"/>
      <c r="BO68" s="526">
        <f ca="1">IF(ISERROR(IF(INDEX(Rig_Schedule_View!$I$11:$I$262,MATCH(Well_Data_NK_Upcoming!AG66,Rig_Schedule_View!$B$11:$B$262,0))=0,O68,(INDEX(Rig_Schedule_View!$I$11:$I$262,MATCH(Well_Data_NK_Upcoming!AG66,Rig_Schedule_View!$B$11:$B$262,0))))),O68,(IF(INDEX(Rig_Schedule_View!$I$11:$I$262,MATCH(Well_Data_NK_Upcoming!AG66,Rig_Schedule_View!$B$11:$B$262,0))=0,O68,(INDEX(Rig_Schedule_View!$I$11:$I$262,MATCH(Well_Data_NK_Upcoming!AG66,Rig_Schedule_View!$B$11:$B$262,0))))))</f>
        <v>42248</v>
      </c>
      <c r="BP68" s="526">
        <f ca="1">IF(ISERROR(IF(INDEX(Rig_Schedule_View!$J$11:$J$262,MATCH(Well_Data_NK_Upcoming!AG66,Rig_Schedule_View!$B$11:$B$262,0))=0,P68,(INDEX(Rig_Schedule_View!$J$11:$J$262,MATCH(Well_Data_NK_Upcoming!AG66,Rig_Schedule_View!$B$11:$B$262,0))))),P68,(IF(INDEX(Rig_Schedule_View!$J$11:$J$262,MATCH(Well_Data_NK_Upcoming!AG66,Rig_Schedule_View!$B$11:$B$262,0))=0,P68,(INDEX(Rig_Schedule_View!$J$11:$J$262,MATCH(Well_Data_NK_Upcoming!AG66,Rig_Schedule_View!$B$11:$B$262,0))))))</f>
        <v>42318</v>
      </c>
      <c r="BQ68" s="527"/>
      <c r="BR68" s="525"/>
      <c r="BS68" s="525"/>
      <c r="BT68" s="525"/>
      <c r="BU68" s="525"/>
      <c r="BV68" s="525"/>
      <c r="BW68" s="525"/>
      <c r="BX68" s="525"/>
      <c r="BY68" s="525"/>
      <c r="BZ68" s="525"/>
    </row>
    <row r="69" spans="1:78" x14ac:dyDescent="0.25">
      <c r="A69" s="540" t="s">
        <v>1611</v>
      </c>
      <c r="B69" s="540" t="s">
        <v>1611</v>
      </c>
      <c r="C69" s="540"/>
      <c r="D69" s="529" t="s">
        <v>2322</v>
      </c>
      <c r="E69" s="540"/>
      <c r="F69" s="528" t="str">
        <f t="shared" si="13"/>
        <v>AD</v>
      </c>
      <c r="G69" s="540" t="s">
        <v>44</v>
      </c>
      <c r="H69" s="400" t="s">
        <v>35</v>
      </c>
      <c r="I69" s="540"/>
      <c r="J69" s="540" t="s">
        <v>34</v>
      </c>
      <c r="K69" s="540" t="s">
        <v>18</v>
      </c>
      <c r="L69" s="540" t="s">
        <v>1416</v>
      </c>
      <c r="M69" s="539"/>
      <c r="N69" s="540"/>
      <c r="O69" s="532"/>
      <c r="P69" s="540"/>
      <c r="Q69" s="540"/>
      <c r="R69" s="537">
        <f>IF(ISERROR(VLOOKUP(G69,'Planning and Target Times'!$L$1:$AP$6,MATCH(K69&amp;"_"&amp;L69&amp;"_"&amp;J69,INDEX('Planning and Target Times'!$L$1:$AP$6,1,0),0),0)+5),"",(VLOOKUP(G69,'Planning and Target Times'!$L$1:$AP$6,MATCH(K69&amp;"_"&amp;L69&amp;"_"&amp;J69,INDEX('Planning and Target Times'!$L$1:$AP$6,1,0),0),0)+5))</f>
        <v>61</v>
      </c>
      <c r="S69" s="528">
        <f t="shared" si="14"/>
        <v>56</v>
      </c>
      <c r="T69" s="538" t="e">
        <f>VLOOKUP(G69,'Planning and Target Times'!$A$7:$G$12,MATCH(K69&amp;"-"&amp;L69&amp;"-"&amp;J69,INDEX('Planning and Target Times'!$A$7:$G$12,1,0),0),0)</f>
        <v>#N/A</v>
      </c>
      <c r="U69" s="540"/>
      <c r="V69" s="540"/>
      <c r="W69" s="540"/>
      <c r="X69" s="535" t="str">
        <f t="shared" si="15"/>
        <v>ZU/RT</v>
      </c>
      <c r="Y69" s="540"/>
      <c r="Z69" s="540"/>
      <c r="AA69" s="540"/>
      <c r="AB69" s="540"/>
      <c r="AC69" s="540"/>
      <c r="AD69" s="540"/>
      <c r="AE69" s="540" t="s">
        <v>91</v>
      </c>
      <c r="AF69" s="528"/>
      <c r="AG69" s="540" t="str">
        <f t="shared" si="16"/>
        <v>AD-0008-AD-ZU-Inj-ST-SL</v>
      </c>
      <c r="AH69" s="540" t="str">
        <f t="shared" si="17"/>
        <v>AD-0008-KDC-26</v>
      </c>
      <c r="AI69" s="540" t="str">
        <f t="shared" si="18"/>
        <v>AD-0008-ZU-ST-Inj</v>
      </c>
      <c r="AJ69" s="540">
        <f ca="1">IF(P69&gt;0,"RR",IF(O69&gt;0,0,COUNTIF($H$2:H69,H69)-IFERROR(COUNTIF(OFFSET($H$1,0,0,SUMPRODUCT(MAX(($H$2:H69=H69)*ROW($H$2:H69)*($O$2:O69&lt;&gt;""))),1),H69),0)))</f>
        <v>2</v>
      </c>
      <c r="AK69" s="527"/>
      <c r="AL69" s="528" t="str">
        <f>VLOOKUP(G69,'Planning and Target Times'!$I$2:$J$7,2,0)</f>
        <v>Sandstone</v>
      </c>
      <c r="AM69" s="540"/>
      <c r="AN69" s="540"/>
      <c r="AO69" s="540"/>
      <c r="AP69" s="533">
        <f t="shared" si="19"/>
        <v>0</v>
      </c>
      <c r="AQ69" s="540"/>
      <c r="AR69" s="540"/>
      <c r="AS69" s="540"/>
      <c r="AT69" s="540"/>
      <c r="AU69" s="540"/>
      <c r="AV69" s="540"/>
      <c r="AW69" s="540"/>
      <c r="AX69" s="540"/>
      <c r="AY69" s="540"/>
      <c r="AZ69" s="540"/>
      <c r="BA69" s="540"/>
      <c r="BB69" s="540"/>
      <c r="BC69" s="540"/>
      <c r="BD69" s="540"/>
      <c r="BE69" s="540"/>
      <c r="BF69" s="540"/>
      <c r="BG69" s="540"/>
      <c r="BH69" s="540"/>
      <c r="BI69" s="540"/>
      <c r="BJ69" s="540"/>
      <c r="BK69" s="540"/>
      <c r="BL69" s="540"/>
      <c r="BM69" s="540"/>
      <c r="BN69" s="540"/>
      <c r="BO69" s="526">
        <f ca="1">IF(ISERROR(IF(INDEX(Rig_Schedule_View!$I$11:$I$262,MATCH(Well_Data_NK_Upcoming!AG105,Rig_Schedule_View!$B$11:$B$262,0))=0,O69,(INDEX(Rig_Schedule_View!$I$11:$I$262,MATCH(Well_Data_NK_Upcoming!AG105,Rig_Schedule_View!$B$11:$B$262,0))))),O69,(IF(INDEX(Rig_Schedule_View!$I$11:$I$262,MATCH(Well_Data_NK_Upcoming!AG105,Rig_Schedule_View!$B$11:$B$262,0))=0,O69,(INDEX(Rig_Schedule_View!$I$11:$I$262,MATCH(Well_Data_NK_Upcoming!AG105,Rig_Schedule_View!$B$11:$B$262,0))))))</f>
        <v>42416</v>
      </c>
      <c r="BP69" s="526">
        <f ca="1">IF(ISERROR(IF(INDEX(Rig_Schedule_View!$J$11:$J$262,MATCH(Well_Data_NK_Upcoming!AG105,Rig_Schedule_View!$B$11:$B$262,0))=0,P69,(INDEX(Rig_Schedule_View!$J$11:$J$262,MATCH(Well_Data_NK_Upcoming!AG105,Rig_Schedule_View!$B$11:$B$262,0))))),P69,(IF(INDEX(Rig_Schedule_View!$J$11:$J$262,MATCH(Well_Data_NK_Upcoming!AG105,Rig_Schedule_View!$B$11:$B$262,0))=0,P69,(INDEX(Rig_Schedule_View!$J$11:$J$262,MATCH(Well_Data_NK_Upcoming!AG105,Rig_Schedule_View!$B$11:$B$262,0))))))</f>
        <v>42486</v>
      </c>
      <c r="BQ69" s="527"/>
      <c r="BR69" s="525"/>
      <c r="BS69" s="525"/>
      <c r="BT69" s="525"/>
      <c r="BU69" s="525"/>
      <c r="BV69" s="525"/>
      <c r="BW69" s="525"/>
      <c r="BX69" s="525"/>
      <c r="BY69" s="525"/>
      <c r="BZ69" s="525"/>
    </row>
    <row r="70" spans="1:78" x14ac:dyDescent="0.25">
      <c r="A70" s="361" t="s">
        <v>1411</v>
      </c>
      <c r="B70" s="540" t="s">
        <v>1411</v>
      </c>
      <c r="C70" s="540"/>
      <c r="D70" s="529" t="s">
        <v>2398</v>
      </c>
      <c r="E70" s="540"/>
      <c r="F70" s="528" t="str">
        <f t="shared" si="13"/>
        <v/>
      </c>
      <c r="G70" s="540"/>
      <c r="H70" s="536" t="s">
        <v>46</v>
      </c>
      <c r="I70" s="540"/>
      <c r="J70" s="540"/>
      <c r="K70" s="540"/>
      <c r="L70" s="540"/>
      <c r="M70" s="540"/>
      <c r="N70" s="540"/>
      <c r="O70" s="528"/>
      <c r="P70" s="540"/>
      <c r="Q70" s="540"/>
      <c r="R70" s="537" t="str">
        <f>IF(ISERROR(VLOOKUP(G70,'Planning and Target Times'!$L$1:$AP$6,MATCH(K70&amp;"_"&amp;L70&amp;"_"&amp;J70,INDEX('Planning and Target Times'!$L$1:$AP$6,1,0),0),0)+5),"",(VLOOKUP(G70,'Planning and Target Times'!$L$1:$AP$6,MATCH(K70&amp;"_"&amp;L70&amp;"_"&amp;J70,INDEX('Planning and Target Times'!$L$1:$AP$6,1,0),0),0)+5))</f>
        <v/>
      </c>
      <c r="S70" s="528" t="str">
        <f t="shared" si="14"/>
        <v/>
      </c>
      <c r="T70" s="538" t="e">
        <f>VLOOKUP(G70,'Planning and Target Times'!$A$7:$G$12,MATCH(K70&amp;"-"&amp;L70&amp;"-"&amp;J70,INDEX('Planning and Target Times'!$A$7:$G$12,1,0),0),0)</f>
        <v>#N/A</v>
      </c>
      <c r="U70" s="540"/>
      <c r="V70" s="540"/>
      <c r="W70" s="540"/>
      <c r="X70" s="535">
        <f t="shared" si="15"/>
        <v>0</v>
      </c>
      <c r="Y70" s="540"/>
      <c r="Z70" s="540"/>
      <c r="AA70" s="540"/>
      <c r="AB70" s="540"/>
      <c r="AC70" s="540"/>
      <c r="AD70" s="540"/>
      <c r="AE70" s="528" t="s">
        <v>91</v>
      </c>
      <c r="AF70" s="535"/>
      <c r="AG70" s="540" t="str">
        <f t="shared" si="16"/>
        <v/>
      </c>
      <c r="AH70" s="540" t="str">
        <f t="shared" si="17"/>
        <v/>
      </c>
      <c r="AI70" s="540" t="str">
        <f t="shared" si="18"/>
        <v/>
      </c>
      <c r="AJ70" s="540">
        <f ca="1">IF(P70&gt;0,"RR",IF(O70&gt;0,0,COUNTIF($H$2:H70,H70)-IFERROR(COUNTIF(OFFSET($H$1,0,0,SUMPRODUCT(MAX(($H$2:H70=H70)*ROW($H$2:H70)*($O$2:O70&lt;&gt;""))),1),H70),0)))</f>
        <v>2</v>
      </c>
      <c r="AK70" s="527" t="str">
        <f>IF(ISERROR(VLOOKUP(G70,'Planning and Target Times'!$B$106:$D$110,MATCH(F70,INDEX('Planning and Target Times'!$B$106:$D$110,1,0),0),0)),"",(VLOOKUP(G70,'Planning and Target Times'!$B$106:$D$110,MATCH(F70,INDEX('Planning and Target Times'!$B$106:$D$110,1,0),0),0)))</f>
        <v/>
      </c>
      <c r="AL70" s="528" t="e">
        <f>VLOOKUP(G70,'Planning and Target Times'!$I$2:$J$7,2,0)</f>
        <v>#N/A</v>
      </c>
      <c r="AM70" s="540"/>
      <c r="AN70" s="540"/>
      <c r="AO70" s="540"/>
      <c r="AP70" s="533" t="e">
        <f t="shared" si="19"/>
        <v>#VALUE!</v>
      </c>
      <c r="AQ70" s="540"/>
      <c r="AR70" s="540"/>
      <c r="AS70" s="540"/>
      <c r="AT70" s="540"/>
      <c r="AU70" s="540"/>
      <c r="AV70" s="540"/>
      <c r="AW70" s="540"/>
      <c r="AX70" s="540"/>
      <c r="AY70" s="540"/>
      <c r="AZ70" s="540"/>
      <c r="BA70" s="540"/>
      <c r="BB70" s="540"/>
      <c r="BC70" s="540"/>
      <c r="BD70" s="540"/>
      <c r="BE70" s="540"/>
      <c r="BF70" s="540"/>
      <c r="BG70" s="540"/>
      <c r="BH70" s="540"/>
      <c r="BI70" s="540"/>
      <c r="BJ70" s="540"/>
      <c r="BK70" s="540"/>
      <c r="BL70" s="540"/>
      <c r="BM70" s="540"/>
      <c r="BN70" s="540"/>
      <c r="BO70" s="526">
        <f>IF(ISERROR(IF(INDEX(Rig_Schedule_View!$I$11:$I$262,MATCH(Well_Data_NK_Upcoming!#REF!,Rig_Schedule_View!$B$11:$B$262,0))=0,O70,(INDEX(Rig_Schedule_View!$I$11:$I$262,MATCH(Well_Data_NK_Upcoming!#REF!,Rig_Schedule_View!$B$11:$B$262,0))))),O70,(IF(INDEX(Rig_Schedule_View!$I$11:$I$262,MATCH(Well_Data_NK_Upcoming!#REF!,Rig_Schedule_View!$B$11:$B$262,0))=0,O70,(INDEX(Rig_Schedule_View!$I$11:$I$262,MATCH(Well_Data_NK_Upcoming!#REF!,Rig_Schedule_View!$B$11:$B$262,0))))))</f>
        <v>0</v>
      </c>
      <c r="BP70" s="526">
        <f>IF(ISERROR(IF(INDEX(Rig_Schedule_View!$J$11:$J$262,MATCH(Well_Data_NK_Upcoming!#REF!,Rig_Schedule_View!$B$11:$B$262,0))=0,P70,(INDEX(Rig_Schedule_View!$J$11:$J$262,MATCH(Well_Data_NK_Upcoming!#REF!,Rig_Schedule_View!$B$11:$B$262,0))))),P70,(IF(INDEX(Rig_Schedule_View!$J$11:$J$262,MATCH(Well_Data_NK_Upcoming!#REF!,Rig_Schedule_View!$B$11:$B$262,0))=0,P70,(INDEX(Rig_Schedule_View!$J$11:$J$262,MATCH(Well_Data_NK_Upcoming!#REF!,Rig_Schedule_View!$B$11:$B$262,0))))))</f>
        <v>0</v>
      </c>
      <c r="BQ70" s="527"/>
      <c r="BR70" s="525"/>
      <c r="BS70" s="525"/>
      <c r="BT70" s="525"/>
      <c r="BU70" s="525"/>
      <c r="BV70" s="525"/>
      <c r="BW70" s="525"/>
      <c r="BX70" s="525"/>
      <c r="BY70" s="525"/>
      <c r="BZ70" s="525"/>
    </row>
    <row r="71" spans="1:78" x14ac:dyDescent="0.25">
      <c r="A71" s="540" t="s">
        <v>1501</v>
      </c>
      <c r="B71" s="540" t="s">
        <v>1501</v>
      </c>
      <c r="C71" s="540"/>
      <c r="D71" s="529" t="s">
        <v>2292</v>
      </c>
      <c r="E71" s="540"/>
      <c r="F71" s="528" t="str">
        <f t="shared" si="13"/>
        <v>RA</v>
      </c>
      <c r="G71" s="540" t="s">
        <v>44</v>
      </c>
      <c r="H71" s="400" t="s">
        <v>19</v>
      </c>
      <c r="I71" s="540"/>
      <c r="J71" s="540" t="s">
        <v>298</v>
      </c>
      <c r="K71" s="540" t="s">
        <v>14</v>
      </c>
      <c r="L71" s="540" t="s">
        <v>1410</v>
      </c>
      <c r="M71" s="539"/>
      <c r="N71" s="540"/>
      <c r="O71" s="532"/>
      <c r="P71" s="540"/>
      <c r="Q71" s="540"/>
      <c r="R71" s="537">
        <f>IF(ISERROR(VLOOKUP(G71,'Planning and Target Times'!$L$1:$AP$6,MATCH(K71&amp;"_"&amp;L71&amp;"_"&amp;J71,INDEX('Planning and Target Times'!$L$1:$AP$6,1,0),0),0)+5),"",(VLOOKUP(G71,'Planning and Target Times'!$L$1:$AP$6,MATCH(K71&amp;"_"&amp;L71&amp;"_"&amp;J71,INDEX('Planning and Target Times'!$L$1:$AP$6,1,0),0),0)+5))</f>
        <v>103</v>
      </c>
      <c r="S71" s="528">
        <f t="shared" si="14"/>
        <v>98</v>
      </c>
      <c r="T71" s="538">
        <f>VLOOKUP(G71,'Planning and Target Times'!$A$7:$G$12,MATCH(K71&amp;"-"&amp;L71&amp;"-"&amp;J71,INDEX('Planning and Target Times'!$A$7:$G$12,1,0),0),0)</f>
        <v>75</v>
      </c>
      <c r="U71" s="540"/>
      <c r="V71" s="540"/>
      <c r="W71" s="540"/>
      <c r="X71" s="535" t="str">
        <f t="shared" si="15"/>
        <v>ZU/RT</v>
      </c>
      <c r="Y71" s="540"/>
      <c r="Z71" s="540"/>
      <c r="AA71" s="540"/>
      <c r="AB71" s="540"/>
      <c r="AC71" s="540"/>
      <c r="AD71" s="540"/>
      <c r="AE71" s="540" t="s">
        <v>91</v>
      </c>
      <c r="AF71" s="528"/>
      <c r="AG71" s="540" t="str">
        <f t="shared" si="16"/>
        <v>RA-0594-RA-ZU-Prod-NW-HZ</v>
      </c>
      <c r="AH71" s="540" t="str">
        <f t="shared" si="17"/>
        <v>RA-0594-KDC-44</v>
      </c>
      <c r="AI71" s="540" t="str">
        <f t="shared" si="18"/>
        <v>RA-0594-ZU-NW-Prod</v>
      </c>
      <c r="AJ71" s="540">
        <f ca="1">IF(P71&gt;0,"RR",IF(O71&gt;0,0,COUNTIF($H$2:H71,H71)-IFERROR(COUNTIF(OFFSET($H$1,0,0,SUMPRODUCT(MAX(($H$2:H71=H71)*ROW($H$2:H71)*($O$2:O71&lt;&gt;""))),1),H71),0)))</f>
        <v>2</v>
      </c>
      <c r="AK71" s="527">
        <f>IF(ISERROR(VLOOKUP(G71,'Planning and Target Times'!$B$106:$D$110,MATCH(F71,INDEX('Planning and Target Times'!$B$106:$D$110,1,0),0),0)),"",(VLOOKUP(G71,'Planning and Target Times'!$B$106:$D$110,MATCH(F71,INDEX('Planning and Target Times'!$B$106:$D$110,1,0),0),0)))</f>
        <v>1560</v>
      </c>
      <c r="AL71" s="528" t="str">
        <f>VLOOKUP(G71,'Planning and Target Times'!$I$2:$J$7,2,0)</f>
        <v>Sandstone</v>
      </c>
      <c r="AM71" s="540"/>
      <c r="AN71" s="540"/>
      <c r="AO71" s="540"/>
      <c r="AP71" s="533">
        <f t="shared" si="19"/>
        <v>15.145631067961165</v>
      </c>
      <c r="AQ71" s="540"/>
      <c r="AR71" s="540"/>
      <c r="AS71" s="540"/>
      <c r="AT71" s="540"/>
      <c r="AU71" s="540"/>
      <c r="AV71" s="540"/>
      <c r="AW71" s="540"/>
      <c r="AX71" s="540"/>
      <c r="AY71" s="540"/>
      <c r="AZ71" s="540"/>
      <c r="BA71" s="540"/>
      <c r="BB71" s="540"/>
      <c r="BC71" s="540"/>
      <c r="BD71" s="540"/>
      <c r="BE71" s="540"/>
      <c r="BF71" s="540"/>
      <c r="BG71" s="540"/>
      <c r="BH71" s="540"/>
      <c r="BI71" s="540"/>
      <c r="BJ71" s="540"/>
      <c r="BK71" s="540"/>
      <c r="BL71" s="540"/>
      <c r="BM71" s="540"/>
      <c r="BN71" s="540"/>
      <c r="BO71" s="526">
        <f ca="1">IF(ISERROR(IF(INDEX(Rig_Schedule_View!$I$11:$I$262,MATCH(Well_Data_NK_Upcoming!AG68,Rig_Schedule_View!$B$11:$B$262,0))=0,O71,(INDEX(Rig_Schedule_View!$I$11:$I$262,MATCH(Well_Data_NK_Upcoming!AG68,Rig_Schedule_View!$B$11:$B$262,0))))),O71,(IF(INDEX(Rig_Schedule_View!$I$11:$I$262,MATCH(Well_Data_NK_Upcoming!AG68,Rig_Schedule_View!$B$11:$B$262,0))=0,O71,(INDEX(Rig_Schedule_View!$I$11:$I$262,MATCH(Well_Data_NK_Upcoming!AG68,Rig_Schedule_View!$B$11:$B$262,0))))))</f>
        <v>42348</v>
      </c>
      <c r="BP71" s="526">
        <f ca="1">IF(ISERROR(IF(INDEX(Rig_Schedule_View!$J$11:$J$262,MATCH(Well_Data_NK_Upcoming!AG68,Rig_Schedule_View!$B$11:$B$262,0))=0,P71,(INDEX(Rig_Schedule_View!$J$11:$J$262,MATCH(Well_Data_NK_Upcoming!AG68,Rig_Schedule_View!$B$11:$B$262,0))))),P71,(IF(INDEX(Rig_Schedule_View!$J$11:$J$262,MATCH(Well_Data_NK_Upcoming!AG68,Rig_Schedule_View!$B$11:$B$262,0))=0,P71,(INDEX(Rig_Schedule_View!$J$11:$J$262,MATCH(Well_Data_NK_Upcoming!AG68,Rig_Schedule_View!$B$11:$B$262,0))))))</f>
        <v>42418</v>
      </c>
      <c r="BQ71" s="527"/>
      <c r="BR71" s="525"/>
      <c r="BS71" s="525"/>
      <c r="BT71" s="525"/>
      <c r="BU71" s="525"/>
      <c r="BV71" s="525"/>
      <c r="BW71" s="525"/>
      <c r="BX71" s="525"/>
      <c r="BY71" s="525"/>
      <c r="BZ71" s="525"/>
    </row>
    <row r="72" spans="1:78" x14ac:dyDescent="0.25">
      <c r="A72" s="540" t="s">
        <v>1723</v>
      </c>
      <c r="B72" s="540" t="s">
        <v>42</v>
      </c>
      <c r="C72" s="540"/>
      <c r="D72" s="529" t="s">
        <v>2293</v>
      </c>
      <c r="E72" s="540"/>
      <c r="F72" s="528" t="str">
        <f t="shared" si="13"/>
        <v>RA</v>
      </c>
      <c r="G72" s="540" t="s">
        <v>17</v>
      </c>
      <c r="H72" s="400" t="s">
        <v>430</v>
      </c>
      <c r="I72" s="540" t="s">
        <v>24</v>
      </c>
      <c r="J72" s="540" t="s">
        <v>298</v>
      </c>
      <c r="K72" s="540" t="s">
        <v>14</v>
      </c>
      <c r="L72" s="540" t="s">
        <v>1410</v>
      </c>
      <c r="M72" s="539"/>
      <c r="N72" s="540"/>
      <c r="O72" s="532"/>
      <c r="P72" s="540"/>
      <c r="Q72" s="540"/>
      <c r="R72" s="537">
        <f>IF(ISERROR(VLOOKUP(G72,'Planning and Target Times'!$L$1:$AP$6,MATCH(K72&amp;"_"&amp;L72&amp;"_"&amp;J72,INDEX('Planning and Target Times'!$L$1:$AP$6,1,0),0),0)+5),"",(VLOOKUP(G72,'Planning and Target Times'!$L$1:$AP$6,MATCH(K72&amp;"_"&amp;L72&amp;"_"&amp;J72,INDEX('Planning and Target Times'!$L$1:$AP$6,1,0),0),0)+5))</f>
        <v>75</v>
      </c>
      <c r="S72" s="528">
        <f t="shared" si="14"/>
        <v>70</v>
      </c>
      <c r="T72" s="538">
        <f>VLOOKUP(G72,'Planning and Target Times'!$A$7:$G$12,MATCH(K72&amp;"-"&amp;L72&amp;"-"&amp;J72,INDEX('Planning and Target Times'!$A$7:$G$12,1,0),0),0)</f>
        <v>35</v>
      </c>
      <c r="U72" s="540"/>
      <c r="V72" s="540"/>
      <c r="W72" s="540"/>
      <c r="X72" s="535" t="str">
        <f t="shared" si="15"/>
        <v>MA</v>
      </c>
      <c r="Y72" s="540"/>
      <c r="Z72" s="540"/>
      <c r="AA72" s="540"/>
      <c r="AB72" s="540"/>
      <c r="AC72" s="540"/>
      <c r="AD72" s="540"/>
      <c r="AE72" s="540" t="s">
        <v>91</v>
      </c>
      <c r="AF72" s="528"/>
      <c r="AG72" s="540" t="str">
        <f t="shared" si="16"/>
        <v>RA6-RA-MA-Prod-NW-HZ-SLB</v>
      </c>
      <c r="AH72" s="540" t="str">
        <f t="shared" si="17"/>
        <v>RA6-KDC-49</v>
      </c>
      <c r="AI72" s="540" t="str">
        <f t="shared" si="18"/>
        <v>RA6-MA-NW-Prod</v>
      </c>
      <c r="AJ72" s="540">
        <f ca="1">IF(P72&gt;0,"RR",IF(O72&gt;0,0,COUNTIF($H$2:H72,H72)-IFERROR(COUNTIF(OFFSET($H$1,0,0,SUMPRODUCT(MAX(($H$2:H72=H72)*ROW($H$2:H72)*($O$2:O72&lt;&gt;""))),1),H72),0)))</f>
        <v>2</v>
      </c>
      <c r="AK72" s="527">
        <f>IF(ISERROR(VLOOKUP(G72,'Planning and Target Times'!$B$106:$D$110,MATCH(F72,INDEX('Planning and Target Times'!$B$106:$D$110,1,0),0),0)),"",(VLOOKUP(G72,'Planning and Target Times'!$B$106:$D$110,MATCH(F72,INDEX('Planning and Target Times'!$B$106:$D$110,1,0),0),0)))</f>
        <v>650</v>
      </c>
      <c r="AL72" s="528" t="str">
        <f>VLOOKUP(G72,'Planning and Target Times'!$I$2:$J$7,2,0)</f>
        <v>Carbonate</v>
      </c>
      <c r="AM72" s="540"/>
      <c r="AN72" s="540"/>
      <c r="AO72" s="540"/>
      <c r="AP72" s="533">
        <f t="shared" si="19"/>
        <v>8.6666666666666661</v>
      </c>
      <c r="AQ72" s="540"/>
      <c r="AR72" s="540"/>
      <c r="AS72" s="540"/>
      <c r="AT72" s="540"/>
      <c r="AU72" s="540"/>
      <c r="AV72" s="540"/>
      <c r="AW72" s="540"/>
      <c r="AX72" s="540"/>
      <c r="AY72" s="540"/>
      <c r="AZ72" s="540"/>
      <c r="BA72" s="540"/>
      <c r="BB72" s="540"/>
      <c r="BC72" s="540"/>
      <c r="BD72" s="540"/>
      <c r="BE72" s="540"/>
      <c r="BF72" s="540"/>
      <c r="BG72" s="540"/>
      <c r="BH72" s="540"/>
      <c r="BI72" s="540"/>
      <c r="BJ72" s="540"/>
      <c r="BK72" s="540"/>
      <c r="BL72" s="540"/>
      <c r="BM72" s="540"/>
      <c r="BN72" s="540"/>
      <c r="BO72" s="526">
        <f ca="1">IF(ISERROR(IF(INDEX(Rig_Schedule_View!$I$11:$I$262,MATCH(Well_Data_NK_Upcoming!AG69,Rig_Schedule_View!$B$11:$B$262,0))=0,O72,(INDEX(Rig_Schedule_View!$I$11:$I$262,MATCH(Well_Data_NK_Upcoming!AG69,Rig_Schedule_View!$B$11:$B$262,0))))),O72,(IF(INDEX(Rig_Schedule_View!$I$11:$I$262,MATCH(Well_Data_NK_Upcoming!AG69,Rig_Schedule_View!$B$11:$B$262,0))=0,O72,(INDEX(Rig_Schedule_View!$I$11:$I$262,MATCH(Well_Data_NK_Upcoming!AG69,Rig_Schedule_View!$B$11:$B$262,0))))))</f>
        <v>42351</v>
      </c>
      <c r="BP72" s="526">
        <f ca="1">IF(ISERROR(IF(INDEX(Rig_Schedule_View!$J$11:$J$262,MATCH(Well_Data_NK_Upcoming!AG69,Rig_Schedule_View!$B$11:$B$262,0))=0,P72,(INDEX(Rig_Schedule_View!$J$11:$J$262,MATCH(Well_Data_NK_Upcoming!AG69,Rig_Schedule_View!$B$11:$B$262,0))))),P72,(IF(INDEX(Rig_Schedule_View!$J$11:$J$262,MATCH(Well_Data_NK_Upcoming!AG69,Rig_Schedule_View!$B$11:$B$262,0))=0,P72,(INDEX(Rig_Schedule_View!$J$11:$J$262,MATCH(Well_Data_NK_Upcoming!AG69,Rig_Schedule_View!$B$11:$B$262,0))))))</f>
        <v>42407</v>
      </c>
      <c r="BQ72" s="527"/>
      <c r="BR72" s="525"/>
      <c r="BS72" s="525"/>
      <c r="BT72" s="525"/>
      <c r="BU72" s="525"/>
      <c r="BV72" s="525"/>
      <c r="BW72" s="525"/>
      <c r="BX72" s="525"/>
      <c r="BY72" s="525"/>
      <c r="BZ72" s="525"/>
    </row>
    <row r="73" spans="1:78" x14ac:dyDescent="0.25">
      <c r="A73" s="540" t="s">
        <v>1759</v>
      </c>
      <c r="B73" s="540" t="s">
        <v>11</v>
      </c>
      <c r="C73" s="540"/>
      <c r="D73" s="529" t="s">
        <v>2307</v>
      </c>
      <c r="E73" s="540"/>
      <c r="F73" s="528" t="str">
        <f t="shared" si="13"/>
        <v>SA</v>
      </c>
      <c r="G73" s="540" t="s">
        <v>29</v>
      </c>
      <c r="H73" s="536" t="s">
        <v>513</v>
      </c>
      <c r="I73" s="540"/>
      <c r="J73" s="540" t="s">
        <v>298</v>
      </c>
      <c r="K73" s="540" t="s">
        <v>14</v>
      </c>
      <c r="L73" s="540" t="s">
        <v>1416</v>
      </c>
      <c r="M73" s="539"/>
      <c r="N73" s="540"/>
      <c r="O73" s="532"/>
      <c r="P73" s="540"/>
      <c r="Q73" s="540"/>
      <c r="R73" s="537">
        <f>IF(ISERROR(VLOOKUP(G73,'Planning and Target Times'!$L$1:$AP$6,MATCH(K73&amp;"_"&amp;L73&amp;"_"&amp;J73,INDEX('Planning and Target Times'!$L$1:$AP$6,1,0),0),0)+5),"",(VLOOKUP(G73,'Planning and Target Times'!$L$1:$AP$6,MATCH(K73&amp;"_"&amp;L73&amp;"_"&amp;J73,INDEX('Planning and Target Times'!$L$1:$AP$6,1,0),0),0)+5))</f>
        <v>75</v>
      </c>
      <c r="S73" s="528">
        <f t="shared" si="14"/>
        <v>70</v>
      </c>
      <c r="T73" s="538">
        <f>VLOOKUP(G73,'Planning and Target Times'!$A$7:$G$12,MATCH(K73&amp;"-"&amp;L73&amp;"-"&amp;J73,INDEX('Planning and Target Times'!$A$7:$G$12,1,0),0),0)</f>
        <v>33</v>
      </c>
      <c r="U73" s="540"/>
      <c r="V73" s="540"/>
      <c r="W73" s="540"/>
      <c r="X73" s="535" t="str">
        <f t="shared" si="15"/>
        <v>UB</v>
      </c>
      <c r="Y73" s="540"/>
      <c r="Z73" s="540"/>
      <c r="AA73" s="540"/>
      <c r="AB73" s="540"/>
      <c r="AC73" s="540"/>
      <c r="AD73" s="540"/>
      <c r="AE73" s="540" t="s">
        <v>91</v>
      </c>
      <c r="AF73" s="528"/>
      <c r="AG73" s="540" t="str">
        <f t="shared" si="16"/>
        <v>SA3-SA-UB-Prod-NW-SL</v>
      </c>
      <c r="AH73" s="540" t="str">
        <f t="shared" si="17"/>
        <v>SA3-NDSC-15</v>
      </c>
      <c r="AI73" s="540" t="str">
        <f t="shared" si="18"/>
        <v>SA3-UB-NW-Prod</v>
      </c>
      <c r="AJ73" s="540">
        <f ca="1">IF(P73&gt;0,"RR",IF(O73&gt;0,0,COUNTIF($H$2:H73,H73)-IFERROR(COUNTIF(OFFSET($H$1,0,0,SUMPRODUCT(MAX(($H$2:H73=H73)*ROW($H$2:H73)*($O$2:O73&lt;&gt;""))),1),H73),0)))</f>
        <v>2</v>
      </c>
      <c r="AK73" s="527">
        <f>IF(ISERROR(VLOOKUP(G73,'Planning and Target Times'!$B$106:$D$110,MATCH(F73,INDEX('Planning and Target Times'!$B$106:$D$110,1,0),0),0)),"",(VLOOKUP(G73,'Planning and Target Times'!$B$106:$D$110,MATCH(F73,INDEX('Planning and Target Times'!$B$106:$D$110,1,0),0),0)))</f>
        <v>630</v>
      </c>
      <c r="AL73" s="528" t="str">
        <f>VLOOKUP(G73,'Planning and Target Times'!$I$2:$J$7,2,0)</f>
        <v>Sandstone</v>
      </c>
      <c r="AM73" s="540"/>
      <c r="AN73" s="540"/>
      <c r="AO73" s="540"/>
      <c r="AP73" s="533">
        <f t="shared" si="19"/>
        <v>8.4</v>
      </c>
      <c r="AQ73" s="540"/>
      <c r="AR73" s="540"/>
      <c r="AS73" s="540"/>
      <c r="AT73" s="540"/>
      <c r="AU73" s="540"/>
      <c r="AV73" s="540"/>
      <c r="AW73" s="540"/>
      <c r="AX73" s="540"/>
      <c r="AY73" s="540"/>
      <c r="AZ73" s="540"/>
      <c r="BA73" s="540"/>
      <c r="BB73" s="540"/>
      <c r="BC73" s="540"/>
      <c r="BD73" s="540"/>
      <c r="BE73" s="540"/>
      <c r="BF73" s="540"/>
      <c r="BG73" s="540"/>
      <c r="BH73" s="540"/>
      <c r="BI73" s="540"/>
      <c r="BJ73" s="540"/>
      <c r="BK73" s="540"/>
      <c r="BL73" s="540"/>
      <c r="BM73" s="540"/>
      <c r="BN73" s="540"/>
      <c r="BO73" s="526" t="str">
        <f ca="1">IF(ISERROR(IF(INDEX(Rig_Schedule_View!$I$11:$I$262,MATCH(Well_Data_NK_Upcoming!AG90,Rig_Schedule_View!$B$11:$B$262,0))=0,O73,(INDEX(Rig_Schedule_View!$I$11:$I$262,MATCH(Well_Data_NK_Upcoming!AG90,Rig_Schedule_View!$B$11:$B$262,0))))),O73,(IF(INDEX(Rig_Schedule_View!$I$11:$I$262,MATCH(Well_Data_NK_Upcoming!AG90,Rig_Schedule_View!$B$11:$B$262,0))=0,O73,(INDEX(Rig_Schedule_View!$I$11:$I$262,MATCH(Well_Data_NK_Upcoming!AG90,Rig_Schedule_View!$B$11:$B$262,0))))))</f>
        <v/>
      </c>
      <c r="BP73" s="526" t="str">
        <f ca="1">IF(ISERROR(IF(INDEX(Rig_Schedule_View!$J$11:$J$262,MATCH(Well_Data_NK_Upcoming!AG90,Rig_Schedule_View!$B$11:$B$262,0))=0,P73,(INDEX(Rig_Schedule_View!$J$11:$J$262,MATCH(Well_Data_NK_Upcoming!AG90,Rig_Schedule_View!$B$11:$B$262,0))))),P73,(IF(INDEX(Rig_Schedule_View!$J$11:$J$262,MATCH(Well_Data_NK_Upcoming!AG90,Rig_Schedule_View!$B$11:$B$262,0))=0,P73,(INDEX(Rig_Schedule_View!$J$11:$J$262,MATCH(Well_Data_NK_Upcoming!AG90,Rig_Schedule_View!$B$11:$B$262,0))))))</f>
        <v/>
      </c>
      <c r="BQ73" s="527"/>
      <c r="BR73" s="525"/>
      <c r="BS73" s="525"/>
      <c r="BT73" s="525"/>
      <c r="BU73" s="525"/>
      <c r="BV73" s="525"/>
      <c r="BW73" s="525"/>
      <c r="BX73" s="525"/>
      <c r="BY73" s="525"/>
      <c r="BZ73" s="525"/>
    </row>
    <row r="74" spans="1:78" x14ac:dyDescent="0.25">
      <c r="A74" s="540" t="s">
        <v>1884</v>
      </c>
      <c r="B74" s="540" t="s">
        <v>1884</v>
      </c>
      <c r="C74" s="540"/>
      <c r="D74" s="529" t="s">
        <v>2295</v>
      </c>
      <c r="E74" s="540"/>
      <c r="F74" s="528" t="str">
        <f t="shared" si="13"/>
        <v>RA</v>
      </c>
      <c r="G74" s="540" t="s">
        <v>44</v>
      </c>
      <c r="H74" s="536" t="s">
        <v>512</v>
      </c>
      <c r="I74" s="540" t="s">
        <v>24</v>
      </c>
      <c r="J74" s="540" t="s">
        <v>298</v>
      </c>
      <c r="K74" s="540" t="s">
        <v>14</v>
      </c>
      <c r="L74" s="540" t="s">
        <v>1410</v>
      </c>
      <c r="M74" s="539"/>
      <c r="N74" s="540"/>
      <c r="O74" s="532"/>
      <c r="P74" s="540"/>
      <c r="Q74" s="540"/>
      <c r="R74" s="537">
        <f>IF(ISERROR(VLOOKUP(G74,'Planning and Target Times'!$L$1:$AP$6,MATCH(K74&amp;"_"&amp;L74&amp;"_"&amp;J74,INDEX('Planning and Target Times'!$L$1:$AP$6,1,0),0),0)+5),"",(VLOOKUP(G74,'Planning and Target Times'!$L$1:$AP$6,MATCH(K74&amp;"_"&amp;L74&amp;"_"&amp;J74,INDEX('Planning and Target Times'!$L$1:$AP$6,1,0),0),0)+5))</f>
        <v>103</v>
      </c>
      <c r="S74" s="528">
        <f t="shared" si="14"/>
        <v>98</v>
      </c>
      <c r="T74" s="538">
        <f>VLOOKUP(G74,'Planning and Target Times'!$A$7:$G$12,MATCH(K74&amp;"-"&amp;L74&amp;"-"&amp;J74,INDEX('Planning and Target Times'!$A$7:$G$12,1,0),0),0)</f>
        <v>75</v>
      </c>
      <c r="U74" s="540"/>
      <c r="V74" s="540"/>
      <c r="W74" s="540"/>
      <c r="X74" s="535" t="str">
        <f t="shared" si="15"/>
        <v>ZU/RT</v>
      </c>
      <c r="Y74" s="540"/>
      <c r="Z74" s="540"/>
      <c r="AA74" s="540"/>
      <c r="AB74" s="540"/>
      <c r="AC74" s="540"/>
      <c r="AD74" s="540"/>
      <c r="AE74" s="540" t="s">
        <v>91</v>
      </c>
      <c r="AF74" s="528"/>
      <c r="AG74" s="540" t="str">
        <f t="shared" si="16"/>
        <v>RA-0593-RA-ZU-Prod-NW-HZ-SLB</v>
      </c>
      <c r="AH74" s="540" t="str">
        <f t="shared" si="17"/>
        <v>RA-0593-NDSC-16</v>
      </c>
      <c r="AI74" s="540" t="str">
        <f t="shared" si="18"/>
        <v>RA-0593-ZU-NW-Prod</v>
      </c>
      <c r="AJ74" s="540">
        <f ca="1">IF(P74&gt;0,"RR",IF(O74&gt;0,0,COUNTIF($H$2:H74,H74)-IFERROR(COUNTIF(OFFSET($H$1,0,0,SUMPRODUCT(MAX(($H$2:H74=H74)*ROW($H$2:H74)*($O$2:O74&lt;&gt;""))),1),H74),0)))</f>
        <v>2</v>
      </c>
      <c r="AK74" s="527">
        <f>IF(ISERROR(VLOOKUP(G74,'Planning and Target Times'!$B$106:$D$110,MATCH(F74,INDEX('Planning and Target Times'!$B$106:$D$110,1,0),0),0)),"",(VLOOKUP(G74,'Planning and Target Times'!$B$106:$D$110,MATCH(F74,INDEX('Planning and Target Times'!$B$106:$D$110,1,0),0),0)))</f>
        <v>1560</v>
      </c>
      <c r="AL74" s="528" t="str">
        <f>VLOOKUP(G74,'Planning and Target Times'!$I$2:$J$7,2,0)</f>
        <v>Sandstone</v>
      </c>
      <c r="AM74" s="540"/>
      <c r="AN74" s="540"/>
      <c r="AO74" s="540"/>
      <c r="AP74" s="533">
        <f t="shared" si="19"/>
        <v>15.145631067961165</v>
      </c>
      <c r="AQ74" s="540"/>
      <c r="AR74" s="540"/>
      <c r="AS74" s="540"/>
      <c r="AT74" s="540"/>
      <c r="AU74" s="540"/>
      <c r="AV74" s="540"/>
      <c r="AW74" s="540"/>
      <c r="AX74" s="540"/>
      <c r="AY74" s="540"/>
      <c r="AZ74" s="540"/>
      <c r="BA74" s="540"/>
      <c r="BB74" s="540"/>
      <c r="BC74" s="540"/>
      <c r="BD74" s="540"/>
      <c r="BE74" s="540"/>
      <c r="BF74" s="540"/>
      <c r="BG74" s="540"/>
      <c r="BH74" s="540"/>
      <c r="BI74" s="540"/>
      <c r="BJ74" s="540"/>
      <c r="BK74" s="540"/>
      <c r="BL74" s="540"/>
      <c r="BM74" s="540"/>
      <c r="BN74" s="540"/>
      <c r="BO74" s="526">
        <f ca="1">IF(ISERROR(IF(INDEX(Rig_Schedule_View!$I$11:$I$262,MATCH(Well_Data_NK_Upcoming!AG71,Rig_Schedule_View!$B$11:$B$262,0))=0,O74,(INDEX(Rig_Schedule_View!$I$11:$I$262,MATCH(Well_Data_NK_Upcoming!AG71,Rig_Schedule_View!$B$11:$B$262,0))))),O74,(IF(INDEX(Rig_Schedule_View!$I$11:$I$262,MATCH(Well_Data_NK_Upcoming!AG71,Rig_Schedule_View!$B$11:$B$262,0))=0,O74,(INDEX(Rig_Schedule_View!$I$11:$I$262,MATCH(Well_Data_NK_Upcoming!AG71,Rig_Schedule_View!$B$11:$B$262,0))))))</f>
        <v>42359</v>
      </c>
      <c r="BP74" s="526">
        <f ca="1">IF(ISERROR(IF(INDEX(Rig_Schedule_View!$J$11:$J$262,MATCH(Well_Data_NK_Upcoming!AG71,Rig_Schedule_View!$B$11:$B$262,0))=0,P74,(INDEX(Rig_Schedule_View!$J$11:$J$262,MATCH(Well_Data_NK_Upcoming!AG71,Rig_Schedule_View!$B$11:$B$262,0))))),P74,(IF(INDEX(Rig_Schedule_View!$J$11:$J$262,MATCH(Well_Data_NK_Upcoming!AG71,Rig_Schedule_View!$B$11:$B$262,0))=0,P74,(INDEX(Rig_Schedule_View!$J$11:$J$262,MATCH(Well_Data_NK_Upcoming!AG71,Rig_Schedule_View!$B$11:$B$262,0))))))</f>
        <v>42457</v>
      </c>
      <c r="BQ74" s="527"/>
      <c r="BR74" s="525"/>
      <c r="BS74" s="525"/>
      <c r="BT74" s="525"/>
      <c r="BU74" s="525"/>
      <c r="BV74" s="525"/>
      <c r="BW74" s="525"/>
      <c r="BX74" s="525"/>
      <c r="BY74" s="525"/>
      <c r="BZ74" s="525"/>
    </row>
    <row r="75" spans="1:78" x14ac:dyDescent="0.25">
      <c r="A75" s="540" t="s">
        <v>1721</v>
      </c>
      <c r="B75" s="540" t="s">
        <v>42</v>
      </c>
      <c r="C75" s="540"/>
      <c r="D75" s="529" t="s">
        <v>2296</v>
      </c>
      <c r="E75" s="540"/>
      <c r="F75" s="528" t="str">
        <f t="shared" si="13"/>
        <v>RA</v>
      </c>
      <c r="G75" s="540" t="s">
        <v>17</v>
      </c>
      <c r="H75" s="536" t="s">
        <v>511</v>
      </c>
      <c r="I75" s="540" t="s">
        <v>24</v>
      </c>
      <c r="J75" s="540" t="s">
        <v>298</v>
      </c>
      <c r="K75" s="540" t="s">
        <v>14</v>
      </c>
      <c r="L75" s="540" t="s">
        <v>1410</v>
      </c>
      <c r="M75" s="539"/>
      <c r="N75" s="540"/>
      <c r="O75" s="532"/>
      <c r="P75" s="540"/>
      <c r="Q75" s="540"/>
      <c r="R75" s="537">
        <f>IF(ISERROR(VLOOKUP(G75,'Planning and Target Times'!$L$1:$AP$6,MATCH(K75&amp;"_"&amp;L75&amp;"_"&amp;J75,INDEX('Planning and Target Times'!$L$1:$AP$6,1,0),0),0)+5),"",(VLOOKUP(G75,'Planning and Target Times'!$L$1:$AP$6,MATCH(K75&amp;"_"&amp;L75&amp;"_"&amp;J75,INDEX('Planning and Target Times'!$L$1:$AP$6,1,0),0),0)+5))</f>
        <v>75</v>
      </c>
      <c r="S75" s="528">
        <f t="shared" si="14"/>
        <v>70</v>
      </c>
      <c r="T75" s="538">
        <f>VLOOKUP(G75,'Planning and Target Times'!$A$7:$G$12,MATCH(K75&amp;"-"&amp;L75&amp;"-"&amp;J75,INDEX('Planning and Target Times'!$A$7:$G$12,1,0),0),0)</f>
        <v>35</v>
      </c>
      <c r="U75" s="540"/>
      <c r="V75" s="540"/>
      <c r="W75" s="540"/>
      <c r="X75" s="535" t="str">
        <f t="shared" si="15"/>
        <v>MA</v>
      </c>
      <c r="Y75" s="540"/>
      <c r="Z75" s="540"/>
      <c r="AA75" s="540"/>
      <c r="AB75" s="540"/>
      <c r="AC75" s="540"/>
      <c r="AD75" s="540"/>
      <c r="AE75" s="540" t="s">
        <v>91</v>
      </c>
      <c r="AF75" s="528"/>
      <c r="AG75" s="540" t="str">
        <f t="shared" si="16"/>
        <v>RA3-RA-MA-Prod-NW-HZ-SLB</v>
      </c>
      <c r="AH75" s="540" t="str">
        <f t="shared" si="17"/>
        <v>RA3-NDSC-17</v>
      </c>
      <c r="AI75" s="540" t="str">
        <f t="shared" si="18"/>
        <v>RA3-MA-NW-Prod</v>
      </c>
      <c r="AJ75" s="540">
        <f ca="1">IF(P75&gt;0,"RR",IF(O75&gt;0,0,COUNTIF($H$2:H75,H75)-IFERROR(COUNTIF(OFFSET($H$1,0,0,SUMPRODUCT(MAX(($H$2:H75=H75)*ROW($H$2:H75)*($O$2:O75&lt;&gt;""))),1),H75),0)))</f>
        <v>2</v>
      </c>
      <c r="AK75" s="527">
        <f>IF(ISERROR(VLOOKUP(G75,'Planning and Target Times'!$B$106:$D$110,MATCH(F75,INDEX('Planning and Target Times'!$B$106:$D$110,1,0),0),0)),"",(VLOOKUP(G75,'Planning and Target Times'!$B$106:$D$110,MATCH(F75,INDEX('Planning and Target Times'!$B$106:$D$110,1,0),0),0)))</f>
        <v>650</v>
      </c>
      <c r="AL75" s="528" t="str">
        <f>VLOOKUP(G75,'Planning and Target Times'!$I$2:$J$7,2,0)</f>
        <v>Carbonate</v>
      </c>
      <c r="AM75" s="540"/>
      <c r="AN75" s="540"/>
      <c r="AO75" s="540"/>
      <c r="AP75" s="533">
        <f t="shared" si="19"/>
        <v>8.6666666666666661</v>
      </c>
      <c r="AQ75" s="540"/>
      <c r="AR75" s="540"/>
      <c r="AS75" s="540"/>
      <c r="AT75" s="540"/>
      <c r="AU75" s="540"/>
      <c r="AV75" s="540"/>
      <c r="AW75" s="540"/>
      <c r="AX75" s="540"/>
      <c r="AY75" s="540"/>
      <c r="AZ75" s="540"/>
      <c r="BA75" s="540"/>
      <c r="BB75" s="540"/>
      <c r="BC75" s="540"/>
      <c r="BD75" s="540"/>
      <c r="BE75" s="540"/>
      <c r="BF75" s="540"/>
      <c r="BG75" s="540"/>
      <c r="BH75" s="540"/>
      <c r="BI75" s="540"/>
      <c r="BJ75" s="540"/>
      <c r="BK75" s="540"/>
      <c r="BL75" s="540"/>
      <c r="BM75" s="540"/>
      <c r="BN75" s="540"/>
      <c r="BO75" s="526">
        <f ca="1">IF(ISERROR(IF(INDEX(Rig_Schedule_View!$I$11:$I$262,MATCH(Well_Data_NK_Upcoming!AG72,Rig_Schedule_View!$B$11:$B$262,0))=0,O75,(INDEX(Rig_Schedule_View!$I$11:$I$262,MATCH(Well_Data_NK_Upcoming!AG72,Rig_Schedule_View!$B$11:$B$262,0))))),O75,(IF(INDEX(Rig_Schedule_View!$I$11:$I$262,MATCH(Well_Data_NK_Upcoming!AG72,Rig_Schedule_View!$B$11:$B$262,0))=0,O75,(INDEX(Rig_Schedule_View!$I$11:$I$262,MATCH(Well_Data_NK_Upcoming!AG72,Rig_Schedule_View!$B$11:$B$262,0))))))</f>
        <v>42353</v>
      </c>
      <c r="BP75" s="526">
        <f ca="1">IF(ISERROR(IF(INDEX(Rig_Schedule_View!$J$11:$J$262,MATCH(Well_Data_NK_Upcoming!AG72,Rig_Schedule_View!$B$11:$B$262,0))=0,P75,(INDEX(Rig_Schedule_View!$J$11:$J$262,MATCH(Well_Data_NK_Upcoming!AG72,Rig_Schedule_View!$B$11:$B$262,0))))),P75,(IF(INDEX(Rig_Schedule_View!$J$11:$J$262,MATCH(Well_Data_NK_Upcoming!AG72,Rig_Schedule_View!$B$11:$B$262,0))=0,P75,(INDEX(Rig_Schedule_View!$J$11:$J$262,MATCH(Well_Data_NK_Upcoming!AG72,Rig_Schedule_View!$B$11:$B$262,0))))))</f>
        <v>42423</v>
      </c>
      <c r="BQ75" s="527"/>
      <c r="BR75" s="525"/>
      <c r="BS75" s="525"/>
      <c r="BT75" s="525"/>
      <c r="BU75" s="525"/>
      <c r="BV75" s="525"/>
      <c r="BW75" s="525"/>
      <c r="BX75" s="525"/>
      <c r="BY75" s="525"/>
      <c r="BZ75" s="525"/>
    </row>
    <row r="76" spans="1:78" x14ac:dyDescent="0.25">
      <c r="A76" s="540" t="s">
        <v>1820</v>
      </c>
      <c r="B76" s="540" t="s">
        <v>1821</v>
      </c>
      <c r="C76" s="540"/>
      <c r="D76" s="529" t="s">
        <v>2297</v>
      </c>
      <c r="E76" s="540"/>
      <c r="F76" s="528" t="str">
        <f t="shared" si="13"/>
        <v>RA</v>
      </c>
      <c r="G76" s="540" t="s">
        <v>17</v>
      </c>
      <c r="H76" s="536" t="s">
        <v>23</v>
      </c>
      <c r="I76" s="540" t="s">
        <v>24</v>
      </c>
      <c r="J76" s="540" t="s">
        <v>298</v>
      </c>
      <c r="K76" s="540" t="s">
        <v>18</v>
      </c>
      <c r="L76" s="540" t="s">
        <v>1410</v>
      </c>
      <c r="M76" s="539"/>
      <c r="N76" s="540"/>
      <c r="O76" s="532"/>
      <c r="P76" s="540"/>
      <c r="Q76" s="540"/>
      <c r="R76" s="537">
        <f>IF(ISERROR(VLOOKUP(G76,'Planning and Target Times'!$L$1:$AP$6,MATCH(K76&amp;"_"&amp;L76&amp;"_"&amp;J76,INDEX('Planning and Target Times'!$L$1:$AP$6,1,0),0),0)+5),"",(VLOOKUP(G76,'Planning and Target Times'!$L$1:$AP$6,MATCH(K76&amp;"_"&amp;L76&amp;"_"&amp;J76,INDEX('Planning and Target Times'!$L$1:$AP$6,1,0),0),0)+5))</f>
        <v>61</v>
      </c>
      <c r="S76" s="528">
        <f t="shared" si="14"/>
        <v>56</v>
      </c>
      <c r="T76" s="538">
        <f>VLOOKUP(G76,'Planning and Target Times'!$A$7:$G$12,MATCH(K76&amp;"-"&amp;L76&amp;"-"&amp;J76,INDEX('Planning and Target Times'!$A$7:$G$12,1,0),0),0)</f>
        <v>27</v>
      </c>
      <c r="U76" s="540"/>
      <c r="V76" s="540"/>
      <c r="W76" s="540"/>
      <c r="X76" s="535" t="str">
        <f t="shared" si="15"/>
        <v>MA</v>
      </c>
      <c r="Y76" s="540"/>
      <c r="Z76" s="540"/>
      <c r="AA76" s="540"/>
      <c r="AB76" s="540"/>
      <c r="AC76" s="540"/>
      <c r="AD76" s="540"/>
      <c r="AE76" s="540" t="s">
        <v>91</v>
      </c>
      <c r="AF76" s="528"/>
      <c r="AG76" s="540" t="str">
        <f t="shared" si="16"/>
        <v>RA-0396-RA-MA-Prod-ST-HZ-SLB</v>
      </c>
      <c r="AH76" s="540" t="str">
        <f t="shared" si="17"/>
        <v>RA-0396-SP-158</v>
      </c>
      <c r="AI76" s="540" t="str">
        <f t="shared" si="18"/>
        <v>RA-0396-MA-ST-Prod</v>
      </c>
      <c r="AJ76" s="540">
        <f ca="1">IF(P76&gt;0,"RR",IF(O76&gt;0,0,COUNTIF($H$2:H76,H76)-IFERROR(COUNTIF(OFFSET($H$1,0,0,SUMPRODUCT(MAX(($H$2:H76=H76)*ROW($H$2:H76)*($O$2:O76&lt;&gt;""))),1),H76),0)))</f>
        <v>2</v>
      </c>
      <c r="AK76" s="527">
        <f>IF(ISERROR(VLOOKUP(G76,'Planning and Target Times'!$B$106:$D$110,MATCH(F76,INDEX('Planning and Target Times'!$B$106:$D$110,1,0),0),0)),"",(VLOOKUP(G76,'Planning and Target Times'!$B$106:$D$110,MATCH(F76,INDEX('Planning and Target Times'!$B$106:$D$110,1,0),0),0)))</f>
        <v>650</v>
      </c>
      <c r="AL76" s="528" t="str">
        <f>VLOOKUP(G76,'Planning and Target Times'!$I$2:$J$7,2,0)</f>
        <v>Carbonate</v>
      </c>
      <c r="AM76" s="540"/>
      <c r="AN76" s="540"/>
      <c r="AO76" s="540"/>
      <c r="AP76" s="533">
        <f t="shared" si="19"/>
        <v>10.655737704918034</v>
      </c>
      <c r="AQ76" s="540"/>
      <c r="AR76" s="540"/>
      <c r="AS76" s="540"/>
      <c r="AT76" s="540"/>
      <c r="AU76" s="540"/>
      <c r="AV76" s="540"/>
      <c r="AW76" s="540"/>
      <c r="AX76" s="540"/>
      <c r="AY76" s="540"/>
      <c r="AZ76" s="540"/>
      <c r="BA76" s="540"/>
      <c r="BB76" s="540"/>
      <c r="BC76" s="540"/>
      <c r="BD76" s="540"/>
      <c r="BE76" s="540"/>
      <c r="BF76" s="540"/>
      <c r="BG76" s="540"/>
      <c r="BH76" s="540"/>
      <c r="BI76" s="540"/>
      <c r="BJ76" s="540"/>
      <c r="BK76" s="540"/>
      <c r="BL76" s="540"/>
      <c r="BM76" s="540"/>
      <c r="BN76" s="540"/>
      <c r="BO76" s="526" t="str">
        <f ca="1">IF(ISERROR(IF(INDEX(Rig_Schedule_View!$I$11:$I$262,MATCH(Well_Data_NK_Upcoming!AG73,Rig_Schedule_View!$B$11:$B$262,0))=0,O76,(INDEX(Rig_Schedule_View!$I$11:$I$262,MATCH(Well_Data_NK_Upcoming!AG73,Rig_Schedule_View!$B$11:$B$262,0))))),O76,(IF(INDEX(Rig_Schedule_View!$I$11:$I$262,MATCH(Well_Data_NK_Upcoming!AG73,Rig_Schedule_View!$B$11:$B$262,0))=0,O76,(INDEX(Rig_Schedule_View!$I$11:$I$262,MATCH(Well_Data_NK_Upcoming!AG73,Rig_Schedule_View!$B$11:$B$262,0))))))</f>
        <v/>
      </c>
      <c r="BP76" s="526" t="str">
        <f ca="1">IF(ISERROR(IF(INDEX(Rig_Schedule_View!$J$11:$J$262,MATCH(Well_Data_NK_Upcoming!AG73,Rig_Schedule_View!$B$11:$B$262,0))=0,P76,(INDEX(Rig_Schedule_View!$J$11:$J$262,MATCH(Well_Data_NK_Upcoming!AG73,Rig_Schedule_View!$B$11:$B$262,0))))),P76,(IF(INDEX(Rig_Schedule_View!$J$11:$J$262,MATCH(Well_Data_NK_Upcoming!AG73,Rig_Schedule_View!$B$11:$B$262,0))=0,P76,(INDEX(Rig_Schedule_View!$J$11:$J$262,MATCH(Well_Data_NK_Upcoming!AG73,Rig_Schedule_View!$B$11:$B$262,0))))))</f>
        <v/>
      </c>
      <c r="BQ76" s="527"/>
      <c r="BR76" s="525"/>
      <c r="BS76" s="525"/>
      <c r="BT76" s="525"/>
      <c r="BU76" s="525"/>
      <c r="BV76" s="525"/>
      <c r="BW76" s="525"/>
      <c r="BX76" s="525"/>
      <c r="BY76" s="525"/>
      <c r="BZ76" s="525"/>
    </row>
    <row r="77" spans="1:78" x14ac:dyDescent="0.25">
      <c r="A77" s="540" t="s">
        <v>750</v>
      </c>
      <c r="B77" s="540" t="s">
        <v>750</v>
      </c>
      <c r="C77" s="540" t="s">
        <v>2245</v>
      </c>
      <c r="D77" s="533" t="s">
        <v>2268</v>
      </c>
      <c r="E77" s="540"/>
      <c r="F77" s="528" t="str">
        <f t="shared" si="13"/>
        <v>RA</v>
      </c>
      <c r="G77" s="540" t="s">
        <v>17</v>
      </c>
      <c r="H77" s="536" t="s">
        <v>31</v>
      </c>
      <c r="I77" s="540" t="s">
        <v>1960</v>
      </c>
      <c r="J77" s="540" t="s">
        <v>34</v>
      </c>
      <c r="K77" s="540" t="s">
        <v>18</v>
      </c>
      <c r="L77" s="540" t="s">
        <v>1410</v>
      </c>
      <c r="M77" s="539"/>
      <c r="N77" s="540"/>
      <c r="O77" s="532"/>
      <c r="P77" s="540"/>
      <c r="Q77" s="540"/>
      <c r="R77" s="537">
        <f>IF(ISERROR(VLOOKUP(G77,'Planning and Target Times'!$L$1:$AP$6,MATCH(K77&amp;"_"&amp;L77&amp;"_"&amp;J77,INDEX('Planning and Target Times'!$L$1:$AP$6,1,0),0),0)+5),"",(VLOOKUP(G77,'Planning and Target Times'!$L$1:$AP$6,MATCH(K77&amp;"_"&amp;L77&amp;"_"&amp;J77,INDEX('Planning and Target Times'!$L$1:$AP$6,1,0),0),0)+5))</f>
        <v>54</v>
      </c>
      <c r="S77" s="528">
        <f t="shared" si="14"/>
        <v>49</v>
      </c>
      <c r="T77" s="538">
        <f>VLOOKUP(G77,'Planning and Target Times'!$A$7:$G$12,MATCH(K77&amp;"-"&amp;L77&amp;"-"&amp;J77,INDEX('Planning and Target Times'!$A$7:$G$12,1,0),0),0)</f>
        <v>25</v>
      </c>
      <c r="U77" s="540"/>
      <c r="V77" s="540"/>
      <c r="W77" s="540"/>
      <c r="X77" s="535" t="str">
        <f t="shared" si="15"/>
        <v>MA</v>
      </c>
      <c r="Y77" s="540"/>
      <c r="Z77" s="540"/>
      <c r="AA77" s="540"/>
      <c r="AB77" s="540"/>
      <c r="AC77" s="540"/>
      <c r="AD77" s="540"/>
      <c r="AE77" s="540" t="s">
        <v>91</v>
      </c>
      <c r="AF77" s="528"/>
      <c r="AG77" s="540" t="str">
        <f t="shared" si="16"/>
        <v>RA-0271-RA-MA-Inj-ST-HZ-Anadrill</v>
      </c>
      <c r="AH77" s="540" t="str">
        <f t="shared" si="17"/>
        <v>RA-0271-SP-159</v>
      </c>
      <c r="AI77" s="540" t="str">
        <f t="shared" si="18"/>
        <v>RA-0271-MA-ST-Inj</v>
      </c>
      <c r="AJ77" s="540">
        <f ca="1">IF(P77&gt;0,"RR",IF(O77&gt;0,0,COUNTIF($H$2:H77,H77)-IFERROR(COUNTIF(OFFSET($H$1,0,0,SUMPRODUCT(MAX(($H$2:H77=H77)*ROW($H$2:H77)*($O$2:O77&lt;&gt;""))),1),H77),0)))</f>
        <v>2</v>
      </c>
      <c r="AK77" s="527"/>
      <c r="AL77" s="528" t="str">
        <f>VLOOKUP(G77,'Planning and Target Times'!$I$2:$J$7,2,0)</f>
        <v>Carbonate</v>
      </c>
      <c r="AM77" s="540"/>
      <c r="AN77" s="540"/>
      <c r="AO77" s="540"/>
      <c r="AP77" s="533">
        <f t="shared" si="19"/>
        <v>0</v>
      </c>
      <c r="AQ77" s="540"/>
      <c r="AR77" s="540"/>
      <c r="AS77" s="540"/>
      <c r="AT77" s="540"/>
      <c r="AU77" s="540"/>
      <c r="AV77" s="540"/>
      <c r="AW77" s="540"/>
      <c r="AX77" s="540"/>
      <c r="AY77" s="540"/>
      <c r="AZ77" s="540"/>
      <c r="BA77" s="540"/>
      <c r="BB77" s="540"/>
      <c r="BC77" s="540"/>
      <c r="BD77" s="540"/>
      <c r="BE77" s="540"/>
      <c r="BF77" s="540"/>
      <c r="BG77" s="540"/>
      <c r="BH77" s="540"/>
      <c r="BI77" s="540"/>
      <c r="BJ77" s="540"/>
      <c r="BK77" s="540"/>
      <c r="BL77" s="540"/>
      <c r="BM77" s="540"/>
      <c r="BN77" s="540"/>
      <c r="BO77" s="526">
        <f ca="1">IF(ISERROR(IF(INDEX(Rig_Schedule_View!$I$11:$I$262,MATCH(Well_Data_NK_Upcoming!AG74,Rig_Schedule_View!$B$11:$B$262,0))=0,O77,(INDEX(Rig_Schedule_View!$I$11:$I$262,MATCH(Well_Data_NK_Upcoming!AG74,Rig_Schedule_View!$B$11:$B$262,0))))),O77,(IF(INDEX(Rig_Schedule_View!$I$11:$I$262,MATCH(Well_Data_NK_Upcoming!AG74,Rig_Schedule_View!$B$11:$B$262,0))=0,O77,(INDEX(Rig_Schedule_View!$I$11:$I$262,MATCH(Well_Data_NK_Upcoming!AG74,Rig_Schedule_View!$B$11:$B$262,0))))))</f>
        <v>42313</v>
      </c>
      <c r="BP77" s="526">
        <f ca="1">IF(ISERROR(IF(INDEX(Rig_Schedule_View!$J$11:$J$262,MATCH(Well_Data_NK_Upcoming!AG74,Rig_Schedule_View!$B$11:$B$262,0))=0,P77,(INDEX(Rig_Schedule_View!$J$11:$J$262,MATCH(Well_Data_NK_Upcoming!AG74,Rig_Schedule_View!$B$11:$B$262,0))))),P77,(IF(INDEX(Rig_Schedule_View!$J$11:$J$262,MATCH(Well_Data_NK_Upcoming!AG74,Rig_Schedule_View!$B$11:$B$262,0))=0,P77,(INDEX(Rig_Schedule_View!$J$11:$J$262,MATCH(Well_Data_NK_Upcoming!AG74,Rig_Schedule_View!$B$11:$B$262,0))))))</f>
        <v>42411</v>
      </c>
      <c r="BQ77" s="527"/>
      <c r="BR77" s="525"/>
      <c r="BS77" s="525"/>
      <c r="BT77" s="525"/>
      <c r="BU77" s="525"/>
      <c r="BV77" s="525"/>
      <c r="BW77" s="525"/>
      <c r="BX77" s="525"/>
      <c r="BY77" s="525"/>
      <c r="BZ77" s="525"/>
    </row>
    <row r="78" spans="1:78" x14ac:dyDescent="0.25">
      <c r="A78" s="540" t="s">
        <v>1448</v>
      </c>
      <c r="B78" s="540" t="s">
        <v>1448</v>
      </c>
      <c r="C78" s="540" t="s">
        <v>2241</v>
      </c>
      <c r="D78" s="533" t="s">
        <v>2269</v>
      </c>
      <c r="E78" s="540"/>
      <c r="F78" s="528" t="str">
        <f t="shared" si="13"/>
        <v>RA</v>
      </c>
      <c r="G78" s="540" t="s">
        <v>22</v>
      </c>
      <c r="H78" s="536" t="s">
        <v>79</v>
      </c>
      <c r="I78" s="540" t="s">
        <v>78</v>
      </c>
      <c r="J78" s="540" t="s">
        <v>298</v>
      </c>
      <c r="K78" s="540" t="s">
        <v>14</v>
      </c>
      <c r="L78" s="540" t="s">
        <v>1410</v>
      </c>
      <c r="M78" s="539"/>
      <c r="N78" s="540"/>
      <c r="O78" s="532"/>
      <c r="P78" s="540"/>
      <c r="Q78" s="540"/>
      <c r="R78" s="537">
        <f>IF(ISERROR(VLOOKUP(G78,'Planning and Target Times'!$L$1:$AP$6,MATCH(K78&amp;"_"&amp;L78&amp;"_"&amp;J78,INDEX('Planning and Target Times'!$L$1:$AP$6,1,0),0),0)+5),"",(VLOOKUP(G78,'Planning and Target Times'!$L$1:$AP$6,MATCH(K78&amp;"_"&amp;L78&amp;"_"&amp;J78,INDEX('Planning and Target Times'!$L$1:$AP$6,1,0),0),0)+5))</f>
        <v>75</v>
      </c>
      <c r="S78" s="528">
        <f t="shared" si="14"/>
        <v>70</v>
      </c>
      <c r="T78" s="538">
        <f>VLOOKUP(G78,'Planning and Target Times'!$A$7:$G$12,MATCH(K78&amp;"-"&amp;L78&amp;"-"&amp;J78,INDEX('Planning and Target Times'!$A$7:$G$12,1,0),0),0)</f>
        <v>35</v>
      </c>
      <c r="U78" s="540"/>
      <c r="V78" s="540"/>
      <c r="W78" s="540"/>
      <c r="X78" s="535" t="str">
        <f t="shared" si="15"/>
        <v>LB</v>
      </c>
      <c r="Y78" s="540"/>
      <c r="Z78" s="540"/>
      <c r="AA78" s="540"/>
      <c r="AB78" s="540"/>
      <c r="AC78" s="540"/>
      <c r="AD78" s="540"/>
      <c r="AE78" s="540" t="s">
        <v>91</v>
      </c>
      <c r="AF78" s="528"/>
      <c r="AG78" s="540" t="str">
        <f t="shared" si="16"/>
        <v>RA-0572-RA-LB-Prod-NW-HZ-Baker</v>
      </c>
      <c r="AH78" s="540" t="str">
        <f t="shared" si="17"/>
        <v>RA-0572-SP-185</v>
      </c>
      <c r="AI78" s="540" t="str">
        <f t="shared" si="18"/>
        <v>RA-0572-LB-NW-Prod</v>
      </c>
      <c r="AJ78" s="540">
        <f ca="1">IF(P78&gt;0,"RR",IF(O78&gt;0,0,COUNTIF($H$2:H78,H78)-IFERROR(COUNTIF(OFFSET($H$1,0,0,SUMPRODUCT(MAX(($H$2:H78=H78)*ROW($H$2:H78)*($O$2:O78&lt;&gt;""))),1),H78),0)))</f>
        <v>2</v>
      </c>
      <c r="AK78" s="527">
        <f>IF(ISERROR(VLOOKUP(G78,'Planning and Target Times'!$B$106:$D$110,MATCH(F78,INDEX('Planning and Target Times'!$B$106:$D$110,1,0),0),0)),"",(VLOOKUP(G78,'Planning and Target Times'!$B$106:$D$110,MATCH(F78,INDEX('Planning and Target Times'!$B$106:$D$110,1,0),0),0)))</f>
        <v>900</v>
      </c>
      <c r="AL78" s="528" t="str">
        <f>VLOOKUP(G78,'Planning and Target Times'!$I$2:$J$7,2,0)</f>
        <v>Sandstone</v>
      </c>
      <c r="AM78" s="540"/>
      <c r="AN78" s="540"/>
      <c r="AO78" s="540"/>
      <c r="AP78" s="533">
        <f t="shared" si="19"/>
        <v>12</v>
      </c>
      <c r="AQ78" s="540"/>
      <c r="AR78" s="540"/>
      <c r="AS78" s="540"/>
      <c r="AT78" s="540"/>
      <c r="AU78" s="540"/>
      <c r="AV78" s="540"/>
      <c r="AW78" s="540"/>
      <c r="AX78" s="540"/>
      <c r="AY78" s="540"/>
      <c r="AZ78" s="540"/>
      <c r="BA78" s="540"/>
      <c r="BB78" s="540"/>
      <c r="BC78" s="540"/>
      <c r="BD78" s="540"/>
      <c r="BE78" s="540"/>
      <c r="BF78" s="540"/>
      <c r="BG78" s="540"/>
      <c r="BH78" s="540"/>
      <c r="BI78" s="540"/>
      <c r="BJ78" s="540"/>
      <c r="BK78" s="540"/>
      <c r="BL78" s="540"/>
      <c r="BM78" s="540"/>
      <c r="BN78" s="540"/>
      <c r="BO78" s="526">
        <f ca="1">IF(ISERROR(IF(INDEX(Rig_Schedule_View!$I$11:$I$262,MATCH(Well_Data_NK_Upcoming!AG75,Rig_Schedule_View!$B$11:$B$262,0))=0,O78,(INDEX(Rig_Schedule_View!$I$11:$I$262,MATCH(Well_Data_NK_Upcoming!AG75,Rig_Schedule_View!$B$11:$B$262,0))))),O78,(IF(INDEX(Rig_Schedule_View!$I$11:$I$262,MATCH(Well_Data_NK_Upcoming!AG75,Rig_Schedule_View!$B$11:$B$262,0))=0,O78,(INDEX(Rig_Schedule_View!$I$11:$I$262,MATCH(Well_Data_NK_Upcoming!AG75,Rig_Schedule_View!$B$11:$B$262,0))))))</f>
        <v>42327</v>
      </c>
      <c r="BP78" s="526">
        <f ca="1">IF(ISERROR(IF(INDEX(Rig_Schedule_View!$J$11:$J$262,MATCH(Well_Data_NK_Upcoming!AG75,Rig_Schedule_View!$B$11:$B$262,0))=0,P78,(INDEX(Rig_Schedule_View!$J$11:$J$262,MATCH(Well_Data_NK_Upcoming!AG75,Rig_Schedule_View!$B$11:$B$262,0))))),P78,(IF(INDEX(Rig_Schedule_View!$J$11:$J$262,MATCH(Well_Data_NK_Upcoming!AG75,Rig_Schedule_View!$B$11:$B$262,0))=0,P78,(INDEX(Rig_Schedule_View!$J$11:$J$262,MATCH(Well_Data_NK_Upcoming!AG75,Rig_Schedule_View!$B$11:$B$262,0))))))</f>
        <v>42397</v>
      </c>
      <c r="BQ78" s="527"/>
      <c r="BR78" s="525"/>
      <c r="BS78" s="525"/>
      <c r="BT78" s="525"/>
      <c r="BU78" s="525"/>
      <c r="BV78" s="525"/>
      <c r="BW78" s="525"/>
      <c r="BX78" s="525"/>
      <c r="BY78" s="525"/>
      <c r="BZ78" s="525"/>
    </row>
    <row r="79" spans="1:78" x14ac:dyDescent="0.25">
      <c r="A79" s="540" t="s">
        <v>1763</v>
      </c>
      <c r="B79" s="540" t="s">
        <v>11</v>
      </c>
      <c r="C79" s="540"/>
      <c r="D79" s="529" t="s">
        <v>2298</v>
      </c>
      <c r="E79" s="540"/>
      <c r="F79" s="528" t="str">
        <f t="shared" si="13"/>
        <v>SA</v>
      </c>
      <c r="G79" s="540" t="s">
        <v>17</v>
      </c>
      <c r="H79" s="536" t="s">
        <v>37</v>
      </c>
      <c r="I79" s="540"/>
      <c r="J79" s="540" t="s">
        <v>298</v>
      </c>
      <c r="K79" s="540" t="s">
        <v>14</v>
      </c>
      <c r="L79" s="540" t="s">
        <v>1410</v>
      </c>
      <c r="M79" s="539"/>
      <c r="N79" s="540"/>
      <c r="O79" s="532"/>
      <c r="P79" s="540"/>
      <c r="Q79" s="540"/>
      <c r="R79" s="537">
        <f>IF(ISERROR(VLOOKUP(G79,'Planning and Target Times'!$L$1:$AP$6,MATCH(K79&amp;"_"&amp;L79&amp;"_"&amp;J79,INDEX('Planning and Target Times'!$L$1:$AP$6,1,0),0),0)+5),"",(VLOOKUP(G79,'Planning and Target Times'!$L$1:$AP$6,MATCH(K79&amp;"_"&amp;L79&amp;"_"&amp;J79,INDEX('Planning and Target Times'!$L$1:$AP$6,1,0),0),0)+5))</f>
        <v>75</v>
      </c>
      <c r="S79" s="528">
        <f t="shared" si="14"/>
        <v>70</v>
      </c>
      <c r="T79" s="538">
        <f>VLOOKUP(G79,'Planning and Target Times'!$A$7:$G$12,MATCH(K79&amp;"-"&amp;L79&amp;"-"&amp;J79,INDEX('Planning and Target Times'!$A$7:$G$12,1,0),0),0)</f>
        <v>35</v>
      </c>
      <c r="U79" s="540"/>
      <c r="V79" s="540"/>
      <c r="W79" s="540"/>
      <c r="X79" s="535" t="str">
        <f t="shared" si="15"/>
        <v>MA</v>
      </c>
      <c r="Y79" s="540"/>
      <c r="Z79" s="540"/>
      <c r="AA79" s="540"/>
      <c r="AB79" s="540"/>
      <c r="AC79" s="540"/>
      <c r="AD79" s="540"/>
      <c r="AE79" s="540" t="s">
        <v>91</v>
      </c>
      <c r="AF79" s="528"/>
      <c r="AG79" s="540" t="str">
        <f t="shared" si="16"/>
        <v>SA9-SA-MA-Prod-NW-HZ</v>
      </c>
      <c r="AH79" s="540" t="str">
        <f t="shared" si="17"/>
        <v>SA9-SP-186</v>
      </c>
      <c r="AI79" s="540" t="str">
        <f t="shared" si="18"/>
        <v>SA9-MA-NW-Prod</v>
      </c>
      <c r="AJ79" s="540">
        <f ca="1">IF(P79&gt;0,"RR",IF(O79&gt;0,0,COUNTIF($H$2:H79,H79)-IFERROR(COUNTIF(OFFSET($H$1,0,0,SUMPRODUCT(MAX(($H$2:H79=H79)*ROW($H$2:H79)*($O$2:O79&lt;&gt;""))),1),H79),0)))</f>
        <v>2</v>
      </c>
      <c r="AK79" s="527">
        <f>IF(ISERROR(VLOOKUP(G79,'Planning and Target Times'!$B$106:$D$110,MATCH(F79,INDEX('Planning and Target Times'!$B$106:$D$110,1,0),0),0)),"",(VLOOKUP(G79,'Planning and Target Times'!$B$106:$D$110,MATCH(F79,INDEX('Planning and Target Times'!$B$106:$D$110,1,0),0),0)))</f>
        <v>740</v>
      </c>
      <c r="AL79" s="528" t="str">
        <f>VLOOKUP(G79,'Planning and Target Times'!$I$2:$J$7,2,0)</f>
        <v>Carbonate</v>
      </c>
      <c r="AM79" s="540"/>
      <c r="AN79" s="540"/>
      <c r="AO79" s="540"/>
      <c r="AP79" s="533">
        <f t="shared" si="19"/>
        <v>9.8666666666666671</v>
      </c>
      <c r="AQ79" s="540"/>
      <c r="AR79" s="540"/>
      <c r="AS79" s="540"/>
      <c r="AT79" s="540"/>
      <c r="AU79" s="540"/>
      <c r="AV79" s="540"/>
      <c r="AW79" s="540"/>
      <c r="AX79" s="540"/>
      <c r="AY79" s="540"/>
      <c r="AZ79" s="540"/>
      <c r="BA79" s="540"/>
      <c r="BB79" s="540"/>
      <c r="BC79" s="540"/>
      <c r="BD79" s="540"/>
      <c r="BE79" s="540"/>
      <c r="BF79" s="540"/>
      <c r="BG79" s="540"/>
      <c r="BH79" s="540"/>
      <c r="BI79" s="540"/>
      <c r="BJ79" s="540"/>
      <c r="BK79" s="540"/>
      <c r="BL79" s="540"/>
      <c r="BM79" s="540"/>
      <c r="BN79" s="540"/>
      <c r="BO79" s="526">
        <f ca="1">IF(ISERROR(IF(INDEX(Rig_Schedule_View!$I$11:$I$262,MATCH(Well_Data_NK_Upcoming!AG76,Rig_Schedule_View!$B$11:$B$262,0))=0,O79,(INDEX(Rig_Schedule_View!$I$11:$I$262,MATCH(Well_Data_NK_Upcoming!AG76,Rig_Schedule_View!$B$11:$B$262,0))))),O79,(IF(INDEX(Rig_Schedule_View!$I$11:$I$262,MATCH(Well_Data_NK_Upcoming!AG76,Rig_Schedule_View!$B$11:$B$262,0))=0,O79,(INDEX(Rig_Schedule_View!$I$11:$I$262,MATCH(Well_Data_NK_Upcoming!AG76,Rig_Schedule_View!$B$11:$B$262,0))))))</f>
        <v>42311</v>
      </c>
      <c r="BP79" s="526">
        <f ca="1">IF(ISERROR(IF(INDEX(Rig_Schedule_View!$J$11:$J$262,MATCH(Well_Data_NK_Upcoming!AG76,Rig_Schedule_View!$B$11:$B$262,0))=0,P79,(INDEX(Rig_Schedule_View!$J$11:$J$262,MATCH(Well_Data_NK_Upcoming!AG76,Rig_Schedule_View!$B$11:$B$262,0))))),P79,(IF(INDEX(Rig_Schedule_View!$J$11:$J$262,MATCH(Well_Data_NK_Upcoming!AG76,Rig_Schedule_View!$B$11:$B$262,0))=0,P79,(INDEX(Rig_Schedule_View!$J$11:$J$262,MATCH(Well_Data_NK_Upcoming!AG76,Rig_Schedule_View!$B$11:$B$262,0))))))</f>
        <v>42367</v>
      </c>
      <c r="BQ79" s="527"/>
      <c r="BR79" s="525"/>
      <c r="BS79" s="525"/>
      <c r="BT79" s="525"/>
      <c r="BU79" s="525"/>
      <c r="BV79" s="525"/>
      <c r="BW79" s="525"/>
      <c r="BX79" s="525"/>
      <c r="BY79" s="525"/>
      <c r="BZ79" s="525"/>
    </row>
    <row r="80" spans="1:78" s="566" customFormat="1" x14ac:dyDescent="0.25">
      <c r="A80" s="540" t="s">
        <v>1509</v>
      </c>
      <c r="B80" s="540" t="s">
        <v>1509</v>
      </c>
      <c r="C80" s="540" t="s">
        <v>2273</v>
      </c>
      <c r="D80" s="565" t="s">
        <v>2275</v>
      </c>
      <c r="E80" s="540"/>
      <c r="F80" s="528" t="str">
        <f t="shared" ref="F80:F109" si="20">LEFT(B80,2)</f>
        <v>SA</v>
      </c>
      <c r="G80" s="540" t="s">
        <v>17</v>
      </c>
      <c r="H80" s="536" t="s">
        <v>838</v>
      </c>
      <c r="I80" s="540" t="s">
        <v>24</v>
      </c>
      <c r="J80" s="540" t="s">
        <v>298</v>
      </c>
      <c r="K80" s="540" t="s">
        <v>14</v>
      </c>
      <c r="L80" s="540" t="s">
        <v>1410</v>
      </c>
      <c r="M80" s="539"/>
      <c r="N80" s="540"/>
      <c r="O80" s="532"/>
      <c r="P80" s="540"/>
      <c r="Q80" s="540"/>
      <c r="R80" s="537">
        <f>IF(ISERROR(VLOOKUP(G80,'Planning and Target Times'!$L$1:$AP$6,MATCH(K80&amp;"_"&amp;L80&amp;"_"&amp;J80,INDEX('Planning and Target Times'!$L$1:$AP$6,1,0),0),0)+5),"",(VLOOKUP(G80,'Planning and Target Times'!$L$1:$AP$6,MATCH(K80&amp;"_"&amp;L80&amp;"_"&amp;J80,INDEX('Planning and Target Times'!$L$1:$AP$6,1,0),0),0)+5))</f>
        <v>75</v>
      </c>
      <c r="S80" s="528">
        <f t="shared" si="14"/>
        <v>70</v>
      </c>
      <c r="T80" s="538">
        <f>VLOOKUP(G80,'Planning and Target Times'!$A$7:$G$12,MATCH(K80&amp;"-"&amp;L80&amp;"-"&amp;J80,INDEX('Planning and Target Times'!$A$7:$G$12,1,0),0),0)</f>
        <v>35</v>
      </c>
      <c r="U80" s="540"/>
      <c r="V80" s="540"/>
      <c r="W80" s="540"/>
      <c r="X80" s="535" t="str">
        <f t="shared" si="15"/>
        <v>MA</v>
      </c>
      <c r="Y80" s="540"/>
      <c r="Z80" s="540"/>
      <c r="AA80" s="540"/>
      <c r="AB80" s="540"/>
      <c r="AC80" s="540"/>
      <c r="AD80" s="540"/>
      <c r="AE80" s="540" t="s">
        <v>91</v>
      </c>
      <c r="AF80" s="528"/>
      <c r="AG80" s="540" t="str">
        <f t="shared" si="16"/>
        <v>SA-0601-SA-MA-Prod-NW-HZ-SLB</v>
      </c>
      <c r="AH80" s="540" t="str">
        <f t="shared" si="17"/>
        <v>SA-0601-SP-266</v>
      </c>
      <c r="AI80" s="540" t="str">
        <f t="shared" si="18"/>
        <v>SA-0601-MA-NW-Prod</v>
      </c>
      <c r="AJ80" s="540">
        <f ca="1">IF(P80&gt;0,"RR",IF(O80&gt;0,0,COUNTIF($H$2:H80,H80)-IFERROR(COUNTIF(OFFSET($H$1,0,0,SUMPRODUCT(MAX(($H$2:H80=H80)*ROW($H$2:H80)*($O$2:O80&lt;&gt;""))),1),H80),0)))</f>
        <v>2</v>
      </c>
      <c r="AK80" s="527">
        <f>IF(ISERROR(VLOOKUP(G80,'Planning and Target Times'!$B$106:$D$110,MATCH(F80,INDEX('Planning and Target Times'!$B$106:$D$110,1,0),0),0)),"",(VLOOKUP(G80,'Planning and Target Times'!$B$106:$D$110,MATCH(F80,INDEX('Planning and Target Times'!$B$106:$D$110,1,0),0),0)))</f>
        <v>740</v>
      </c>
      <c r="AL80" s="528" t="str">
        <f>VLOOKUP(G80,'Planning and Target Times'!$I$2:$J$7,2,0)</f>
        <v>Carbonate</v>
      </c>
      <c r="AM80" s="540"/>
      <c r="AN80" s="540"/>
      <c r="AO80" s="540"/>
      <c r="AP80" s="533">
        <f t="shared" si="19"/>
        <v>9.8666666666666671</v>
      </c>
      <c r="AQ80" s="540"/>
      <c r="AR80" s="540"/>
      <c r="AS80" s="540"/>
      <c r="AT80" s="540"/>
      <c r="AU80" s="540"/>
      <c r="AV80" s="540"/>
      <c r="AW80" s="540"/>
      <c r="AX80" s="540"/>
      <c r="AY80" s="540"/>
      <c r="AZ80" s="540"/>
      <c r="BA80" s="540"/>
      <c r="BB80" s="540"/>
      <c r="BC80" s="540"/>
      <c r="BD80" s="540"/>
      <c r="BE80" s="540"/>
      <c r="BF80" s="540"/>
      <c r="BG80" s="540"/>
      <c r="BH80" s="540"/>
      <c r="BI80" s="540"/>
      <c r="BJ80" s="540"/>
      <c r="BK80" s="540"/>
      <c r="BL80" s="540"/>
      <c r="BM80" s="540"/>
      <c r="BN80" s="540"/>
      <c r="BO80" s="526">
        <f ca="1">IF(ISERROR(IF(INDEX(Rig_Schedule_View!$I$11:$I$262,MATCH(Well_Data_NK_Upcoming!AG77,Rig_Schedule_View!$B$11:$B$262,0))=0,O80,(INDEX(Rig_Schedule_View!$I$11:$I$262,MATCH(Well_Data_NK_Upcoming!AG77,Rig_Schedule_View!$B$11:$B$262,0))))),O80,(IF(INDEX(Rig_Schedule_View!$I$11:$I$262,MATCH(Well_Data_NK_Upcoming!AG77,Rig_Schedule_View!$B$11:$B$262,0))=0,O80,(INDEX(Rig_Schedule_View!$I$11:$I$262,MATCH(Well_Data_NK_Upcoming!AG77,Rig_Schedule_View!$B$11:$B$262,0))))))</f>
        <v>42305</v>
      </c>
      <c r="BP80" s="526">
        <f ca="1">IF(ISERROR(IF(INDEX(Rig_Schedule_View!$J$11:$J$262,MATCH(Well_Data_NK_Upcoming!AG77,Rig_Schedule_View!$B$11:$B$262,0))=0,P80,(INDEX(Rig_Schedule_View!$J$11:$J$262,MATCH(Well_Data_NK_Upcoming!AG77,Rig_Schedule_View!$B$11:$B$262,0))))),P80,(IF(INDEX(Rig_Schedule_View!$J$11:$J$262,MATCH(Well_Data_NK_Upcoming!AG77,Rig_Schedule_View!$B$11:$B$262,0))=0,P80,(INDEX(Rig_Schedule_View!$J$11:$J$262,MATCH(Well_Data_NK_Upcoming!AG77,Rig_Schedule_View!$B$11:$B$262,0))))))</f>
        <v>42354</v>
      </c>
      <c r="BQ80" s="527"/>
      <c r="BR80" s="525"/>
      <c r="BS80" s="525"/>
      <c r="BT80" s="525"/>
      <c r="BU80" s="525"/>
      <c r="BV80" s="525"/>
      <c r="BW80" s="525"/>
      <c r="BX80" s="525"/>
      <c r="BY80" s="525"/>
      <c r="BZ80" s="525"/>
    </row>
    <row r="81" spans="1:78" x14ac:dyDescent="0.25">
      <c r="A81" s="540" t="s">
        <v>1510</v>
      </c>
      <c r="B81" s="540" t="s">
        <v>1510</v>
      </c>
      <c r="C81" s="540"/>
      <c r="D81" s="529" t="s">
        <v>2299</v>
      </c>
      <c r="E81" s="540"/>
      <c r="F81" s="528" t="str">
        <f t="shared" si="20"/>
        <v>SA</v>
      </c>
      <c r="G81" s="540" t="s">
        <v>17</v>
      </c>
      <c r="H81" s="536" t="s">
        <v>839</v>
      </c>
      <c r="I81" s="540"/>
      <c r="J81" s="540" t="s">
        <v>34</v>
      </c>
      <c r="K81" s="540" t="s">
        <v>14</v>
      </c>
      <c r="L81" s="540" t="s">
        <v>1511</v>
      </c>
      <c r="M81" s="539"/>
      <c r="N81" s="540"/>
      <c r="O81" s="532"/>
      <c r="P81" s="540"/>
      <c r="Q81" s="540"/>
      <c r="R81" s="537">
        <f>IF(ISERROR(VLOOKUP(G81,'Planning and Target Times'!$L$1:$AP$6,MATCH(K81&amp;"_"&amp;L81&amp;"_"&amp;J81,INDEX('Planning and Target Times'!$L$1:$AP$6,1,0),0),0)+5),"",(VLOOKUP(G81,'Planning and Target Times'!$L$1:$AP$6,MATCH(K81&amp;"_"&amp;L81&amp;"_"&amp;J81,INDEX('Planning and Target Times'!$L$1:$AP$6,1,0),0),0)+5))</f>
        <v>75</v>
      </c>
      <c r="S81" s="528">
        <f t="shared" si="14"/>
        <v>70</v>
      </c>
      <c r="T81" s="538" t="e">
        <f>VLOOKUP(G81,'Planning and Target Times'!$A$7:$G$12,MATCH(K81&amp;"-"&amp;L81&amp;"-"&amp;J81,INDEX('Planning and Target Times'!$A$7:$G$12,1,0),0),0)</f>
        <v>#N/A</v>
      </c>
      <c r="U81" s="540"/>
      <c r="V81" s="540"/>
      <c r="W81" s="540"/>
      <c r="X81" s="535" t="str">
        <f t="shared" si="15"/>
        <v>MA</v>
      </c>
      <c r="Y81" s="540"/>
      <c r="Z81" s="540"/>
      <c r="AA81" s="540"/>
      <c r="AB81" s="540"/>
      <c r="AC81" s="540"/>
      <c r="AD81" s="540"/>
      <c r="AE81" s="540" t="s">
        <v>91</v>
      </c>
      <c r="AF81" s="528"/>
      <c r="AG81" s="540" t="str">
        <f t="shared" si="16"/>
        <v>SA-0558-SA-MA-Inj-NW-V</v>
      </c>
      <c r="AH81" s="540" t="str">
        <f t="shared" si="17"/>
        <v>SA-0558-SP-267</v>
      </c>
      <c r="AI81" s="540" t="str">
        <f t="shared" si="18"/>
        <v>SA-0558-MA-NW-Inj</v>
      </c>
      <c r="AJ81" s="540">
        <f ca="1">IF(P81&gt;0,"RR",IF(O81&gt;0,0,COUNTIF($H$2:H81,H81)-IFERROR(COUNTIF(OFFSET($H$1,0,0,SUMPRODUCT(MAX(($H$2:H81=H81)*ROW($H$2:H81)*($O$2:O81&lt;&gt;""))),1),H81),0)))</f>
        <v>2</v>
      </c>
      <c r="AK81" s="527"/>
      <c r="AL81" s="528" t="str">
        <f>VLOOKUP(G81,'Planning and Target Times'!$I$2:$J$7,2,0)</f>
        <v>Carbonate</v>
      </c>
      <c r="AM81" s="540"/>
      <c r="AN81" s="540"/>
      <c r="AO81" s="540"/>
      <c r="AP81" s="533">
        <f t="shared" si="19"/>
        <v>0</v>
      </c>
      <c r="AQ81" s="540"/>
      <c r="AR81" s="540"/>
      <c r="AS81" s="540"/>
      <c r="AT81" s="540"/>
      <c r="AU81" s="540"/>
      <c r="AV81" s="540"/>
      <c r="AW81" s="540"/>
      <c r="AX81" s="540"/>
      <c r="AY81" s="540"/>
      <c r="AZ81" s="540"/>
      <c r="BA81" s="540"/>
      <c r="BB81" s="540"/>
      <c r="BC81" s="540"/>
      <c r="BD81" s="540"/>
      <c r="BE81" s="540"/>
      <c r="BF81" s="540"/>
      <c r="BG81" s="540"/>
      <c r="BH81" s="540"/>
      <c r="BI81" s="540"/>
      <c r="BJ81" s="540"/>
      <c r="BK81" s="540"/>
      <c r="BL81" s="540"/>
      <c r="BM81" s="540"/>
      <c r="BN81" s="540"/>
      <c r="BO81" s="526">
        <f ca="1">IF(ISERROR(IF(INDEX(Rig_Schedule_View!$I$11:$I$262,MATCH(Well_Data_NK_Upcoming!AG78,Rig_Schedule_View!$B$11:$B$262,0))=0,O81,(INDEX(Rig_Schedule_View!$I$11:$I$262,MATCH(Well_Data_NK_Upcoming!AG78,Rig_Schedule_View!$B$11:$B$262,0))))),O81,(IF(INDEX(Rig_Schedule_View!$I$11:$I$262,MATCH(Well_Data_NK_Upcoming!AG78,Rig_Schedule_View!$B$11:$B$262,0))=0,O81,(INDEX(Rig_Schedule_View!$I$11:$I$262,MATCH(Well_Data_NK_Upcoming!AG78,Rig_Schedule_View!$B$11:$B$262,0))))))</f>
        <v>42386</v>
      </c>
      <c r="BP81" s="526">
        <f ca="1">IF(ISERROR(IF(INDEX(Rig_Schedule_View!$J$11:$J$262,MATCH(Well_Data_NK_Upcoming!AG78,Rig_Schedule_View!$B$11:$B$262,0))=0,P81,(INDEX(Rig_Schedule_View!$J$11:$J$262,MATCH(Well_Data_NK_Upcoming!AG78,Rig_Schedule_View!$B$11:$B$262,0))))),P81,(IF(INDEX(Rig_Schedule_View!$J$11:$J$262,MATCH(Well_Data_NK_Upcoming!AG78,Rig_Schedule_View!$B$11:$B$262,0))=0,P81,(INDEX(Rig_Schedule_View!$J$11:$J$262,MATCH(Well_Data_NK_Upcoming!AG78,Rig_Schedule_View!$B$11:$B$262,0))))))</f>
        <v>42456</v>
      </c>
      <c r="BQ81" s="527"/>
      <c r="BR81" s="525"/>
      <c r="BS81" s="525"/>
      <c r="BT81" s="525"/>
      <c r="BU81" s="525"/>
      <c r="BV81" s="525"/>
      <c r="BW81" s="525"/>
      <c r="BX81" s="525"/>
      <c r="BY81" s="525"/>
      <c r="BZ81" s="525"/>
    </row>
    <row r="82" spans="1:78" x14ac:dyDescent="0.25">
      <c r="A82" s="528" t="s">
        <v>1829</v>
      </c>
      <c r="B82" s="281" t="s">
        <v>42</v>
      </c>
      <c r="C82" s="281"/>
      <c r="D82" s="529" t="s">
        <v>2376</v>
      </c>
      <c r="E82" s="281"/>
      <c r="F82" s="528" t="str">
        <f t="shared" si="20"/>
        <v>RA</v>
      </c>
      <c r="G82" s="281" t="s">
        <v>29</v>
      </c>
      <c r="H82" s="536" t="s">
        <v>1412</v>
      </c>
      <c r="I82" s="281"/>
      <c r="J82" s="281" t="s">
        <v>298</v>
      </c>
      <c r="K82" s="281" t="s">
        <v>14</v>
      </c>
      <c r="L82" s="281" t="s">
        <v>1410</v>
      </c>
      <c r="M82" s="8"/>
      <c r="N82" s="281"/>
      <c r="O82" s="281"/>
      <c r="P82" s="281"/>
      <c r="Q82" s="281"/>
      <c r="R82" s="537">
        <f>IF(ISERROR(VLOOKUP(G82,'Planning and Target Times'!$L$1:$AP$6,MATCH(K82&amp;"_"&amp;L82&amp;"_"&amp;J82,INDEX('Planning and Target Times'!$L$1:$AP$6,1,0),0),0)+5),"",(VLOOKUP(G82,'Planning and Target Times'!$L$1:$AP$6,MATCH(K82&amp;"_"&amp;L82&amp;"_"&amp;J82,INDEX('Planning and Target Times'!$L$1:$AP$6,1,0),0),0)+5))</f>
        <v>75</v>
      </c>
      <c r="S82" s="528">
        <f t="shared" si="14"/>
        <v>70</v>
      </c>
      <c r="T82" s="538">
        <f>VLOOKUP(G82,'Planning and Target Times'!$A$7:$G$12,MATCH(K82&amp;"-"&amp;L82&amp;"-"&amp;J82,INDEX('Planning and Target Times'!$A$7:$G$12,1,0),0),0)</f>
        <v>35</v>
      </c>
      <c r="U82" s="281"/>
      <c r="V82" s="281"/>
      <c r="W82" s="281"/>
      <c r="X82" s="393"/>
      <c r="Y82" s="281"/>
      <c r="Z82" s="281"/>
      <c r="AA82" s="281"/>
      <c r="AB82" s="281"/>
      <c r="AC82" s="281"/>
      <c r="AD82" s="281"/>
      <c r="AE82" s="540" t="s">
        <v>91</v>
      </c>
      <c r="AF82" s="528"/>
      <c r="AG82" s="540" t="str">
        <f t="shared" si="16"/>
        <v>RA2--RA-UB-Prod-NW-HZ</v>
      </c>
      <c r="AH82" s="540" t="str">
        <f t="shared" si="17"/>
        <v>RA2--SP-279</v>
      </c>
      <c r="AI82" s="540" t="str">
        <f t="shared" si="18"/>
        <v>RA2--UB-NW-Prod</v>
      </c>
      <c r="AJ82" s="540">
        <f ca="1">IF(P82&gt;0,"RR",IF(O82&gt;0,0,COUNTIF($H$2:H82,H82)-IFERROR(COUNTIF(OFFSET($H$1,0,0,SUMPRODUCT(MAX(($H$2:H82=H82)*ROW($H$2:H82)*($O$2:O82&lt;&gt;""))),1),H82),0)))</f>
        <v>2</v>
      </c>
      <c r="AK82" s="527">
        <f>IF(ISERROR(VLOOKUP(G82,'Planning and Target Times'!$B$106:$D$110,MATCH(F82,INDEX('Planning and Target Times'!$B$106:$D$110,1,0),0),0)),"",(VLOOKUP(G82,'Planning and Target Times'!$B$106:$D$110,MATCH(F82,INDEX('Planning and Target Times'!$B$106:$D$110,1,0),0),0)))</f>
        <v>940</v>
      </c>
      <c r="AL82" s="281"/>
      <c r="AM82" s="281"/>
      <c r="AN82" s="281"/>
      <c r="AO82" s="281"/>
      <c r="AP82" s="533">
        <f t="shared" si="19"/>
        <v>12.533333333333333</v>
      </c>
      <c r="AQ82" s="281"/>
      <c r="AR82" s="281"/>
      <c r="AS82" s="281"/>
      <c r="AT82" s="281"/>
      <c r="AU82" s="281"/>
      <c r="AV82" s="281"/>
      <c r="AW82" s="281"/>
      <c r="AX82" s="281"/>
      <c r="AY82" s="281"/>
      <c r="AZ82" s="281"/>
      <c r="BA82" s="281"/>
      <c r="BB82" s="281"/>
      <c r="BC82" s="281"/>
      <c r="BD82" s="281"/>
      <c r="BE82" s="281"/>
      <c r="BF82" s="281"/>
      <c r="BG82" s="281"/>
      <c r="BH82" s="281"/>
      <c r="BI82" s="281"/>
      <c r="BJ82" s="281"/>
      <c r="BK82" s="281"/>
      <c r="BL82" s="281"/>
      <c r="BM82" s="281"/>
      <c r="BN82" s="281"/>
      <c r="BO82" s="526">
        <f ca="1">IF(ISERROR(IF(INDEX(Rig_Schedule_View!$I$11:$I$262,MATCH(Well_Data_NK_Upcoming!AG79,Rig_Schedule_View!$B$11:$B$262,0))=0,O82,(INDEX(Rig_Schedule_View!$I$11:$I$262,MATCH(Well_Data_NK_Upcoming!AG79,Rig_Schedule_View!$B$11:$B$262,0))))),O82,(IF(INDEX(Rig_Schedule_View!$I$11:$I$262,MATCH(Well_Data_NK_Upcoming!AG79,Rig_Schedule_View!$B$11:$B$262,0))=0,O82,(INDEX(Rig_Schedule_View!$I$11:$I$262,MATCH(Well_Data_NK_Upcoming!AG79,Rig_Schedule_View!$B$11:$B$262,0))))))</f>
        <v>42408</v>
      </c>
      <c r="BP82" s="526">
        <f ca="1">IF(ISERROR(IF(INDEX(Rig_Schedule_View!$J$11:$J$262,MATCH(Well_Data_NK_Upcoming!AG79,Rig_Schedule_View!$B$11:$B$262,0))=0,P82,(INDEX(Rig_Schedule_View!$J$11:$J$262,MATCH(Well_Data_NK_Upcoming!AG79,Rig_Schedule_View!$B$11:$B$262,0))))),P82,(IF(INDEX(Rig_Schedule_View!$J$11:$J$262,MATCH(Well_Data_NK_Upcoming!AG79,Rig_Schedule_View!$B$11:$B$262,0))=0,P82,(INDEX(Rig_Schedule_View!$J$11:$J$262,MATCH(Well_Data_NK_Upcoming!AG79,Rig_Schedule_View!$B$11:$B$262,0))))))</f>
        <v>42478</v>
      </c>
      <c r="BQ82" s="527"/>
      <c r="BR82" s="525"/>
      <c r="BS82" s="525"/>
      <c r="BT82" s="525"/>
      <c r="BU82" s="525"/>
      <c r="BV82" s="525"/>
      <c r="BW82" s="525"/>
      <c r="BX82" s="525"/>
      <c r="BY82" s="525"/>
      <c r="BZ82" s="525"/>
    </row>
    <row r="83" spans="1:78" x14ac:dyDescent="0.25">
      <c r="A83" s="540" t="s">
        <v>1826</v>
      </c>
      <c r="B83" s="540" t="s">
        <v>1826</v>
      </c>
      <c r="C83" s="540" t="s">
        <v>1826</v>
      </c>
      <c r="D83" s="529" t="s">
        <v>2301</v>
      </c>
      <c r="E83" s="540"/>
      <c r="F83" s="528" t="str">
        <f t="shared" si="20"/>
        <v>SA</v>
      </c>
      <c r="G83" s="540" t="s">
        <v>29</v>
      </c>
      <c r="H83" s="536" t="s">
        <v>1413</v>
      </c>
      <c r="I83" s="540"/>
      <c r="J83" s="540" t="s">
        <v>298</v>
      </c>
      <c r="K83" s="540" t="s">
        <v>14</v>
      </c>
      <c r="L83" s="540" t="s">
        <v>1410</v>
      </c>
      <c r="M83" s="539"/>
      <c r="N83" s="540"/>
      <c r="O83" s="532"/>
      <c r="P83" s="540"/>
      <c r="Q83" s="540"/>
      <c r="R83" s="537">
        <f>IF(ISERROR(VLOOKUP(G83,'Planning and Target Times'!$L$1:$AP$6,MATCH(K83&amp;"_"&amp;L83&amp;"_"&amp;J83,INDEX('Planning and Target Times'!$L$1:$AP$6,1,0),0),0)+5),"",(VLOOKUP(G83,'Planning and Target Times'!$L$1:$AP$6,MATCH(K83&amp;"_"&amp;L83&amp;"_"&amp;J83,INDEX('Planning and Target Times'!$L$1:$AP$6,1,0),0),0)+5))</f>
        <v>75</v>
      </c>
      <c r="S83" s="528">
        <f t="shared" si="14"/>
        <v>70</v>
      </c>
      <c r="T83" s="538">
        <f>VLOOKUP(G83,'Planning and Target Times'!$A$7:$G$12,MATCH(K83&amp;"-"&amp;L83&amp;"-"&amp;J83,INDEX('Planning and Target Times'!$A$7:$G$12,1,0),0),0)</f>
        <v>35</v>
      </c>
      <c r="U83" s="540"/>
      <c r="V83" s="540"/>
      <c r="W83" s="540"/>
      <c r="X83" s="535" t="str">
        <f t="shared" ref="X83:X114" si="21">IF(OR(G83="ZU",G83="RT"),"ZU/RT",G83)</f>
        <v>UB</v>
      </c>
      <c r="Y83" s="540"/>
      <c r="Z83" s="540"/>
      <c r="AA83" s="540"/>
      <c r="AB83" s="540"/>
      <c r="AC83" s="540"/>
      <c r="AD83" s="540"/>
      <c r="AE83" s="540" t="s">
        <v>91</v>
      </c>
      <c r="AF83" s="528"/>
      <c r="AG83" s="540" t="str">
        <f t="shared" si="16"/>
        <v>SA-0613-SA-UB-Prod-NW-HZ</v>
      </c>
      <c r="AH83" s="540" t="str">
        <f t="shared" si="17"/>
        <v>SA-0613-SP-282</v>
      </c>
      <c r="AI83" s="540" t="str">
        <f t="shared" si="18"/>
        <v>SA-0613-UB-NW-Prod</v>
      </c>
      <c r="AJ83" s="540">
        <f ca="1">IF(P83&gt;0,"RR",IF(O83&gt;0,0,COUNTIF($H$2:H83,H83)-IFERROR(COUNTIF(OFFSET($H$1,0,0,SUMPRODUCT(MAX(($H$2:H83=H83)*ROW($H$2:H83)*($O$2:O83&lt;&gt;""))),1),H83),0)))</f>
        <v>2</v>
      </c>
      <c r="AK83" s="527">
        <f>IF(ISERROR(VLOOKUP(G83,'Planning and Target Times'!$B$106:$D$110,MATCH(F83,INDEX('Planning and Target Times'!$B$106:$D$110,1,0),0),0)),"",(VLOOKUP(G83,'Planning and Target Times'!$B$106:$D$110,MATCH(F83,INDEX('Planning and Target Times'!$B$106:$D$110,1,0),0),0)))</f>
        <v>630</v>
      </c>
      <c r="AL83" s="528" t="str">
        <f>VLOOKUP(G83,'Planning and Target Times'!$I$2:$J$7,2,0)</f>
        <v>Sandstone</v>
      </c>
      <c r="AM83" s="540"/>
      <c r="AN83" s="540"/>
      <c r="AO83" s="540"/>
      <c r="AP83" s="533">
        <f t="shared" si="19"/>
        <v>8.4</v>
      </c>
      <c r="AQ83" s="540"/>
      <c r="AR83" s="540"/>
      <c r="AS83" s="540"/>
      <c r="AT83" s="540"/>
      <c r="AU83" s="540"/>
      <c r="AV83" s="540"/>
      <c r="AW83" s="540"/>
      <c r="AX83" s="540"/>
      <c r="AY83" s="540"/>
      <c r="AZ83" s="540"/>
      <c r="BA83" s="540"/>
      <c r="BB83" s="540"/>
      <c r="BC83" s="540"/>
      <c r="BD83" s="540"/>
      <c r="BE83" s="540"/>
      <c r="BF83" s="540"/>
      <c r="BG83" s="540"/>
      <c r="BH83" s="540"/>
      <c r="BI83" s="540"/>
      <c r="BJ83" s="540"/>
      <c r="BK83" s="540"/>
      <c r="BL83" s="540"/>
      <c r="BM83" s="540"/>
      <c r="BN83" s="540"/>
      <c r="BO83" s="526">
        <f ca="1">IF(ISERROR(IF(INDEX(Rig_Schedule_View!$I$11:$I$262,MATCH(Well_Data_NK_Upcoming!AG81,Rig_Schedule_View!$B$11:$B$262,0))=0,O83,(INDEX(Rig_Schedule_View!$I$11:$I$262,MATCH(Well_Data_NK_Upcoming!AG81,Rig_Schedule_View!$B$11:$B$262,0))))),O83,(IF(INDEX(Rig_Schedule_View!$I$11:$I$262,MATCH(Well_Data_NK_Upcoming!AG81,Rig_Schedule_View!$B$11:$B$262,0))=0,O83,(INDEX(Rig_Schedule_View!$I$11:$I$262,MATCH(Well_Data_NK_Upcoming!AG81,Rig_Schedule_View!$B$11:$B$262,0))))))</f>
        <v>42327</v>
      </c>
      <c r="BP83" s="526">
        <f ca="1">IF(ISERROR(IF(INDEX(Rig_Schedule_View!$J$11:$J$262,MATCH(Well_Data_NK_Upcoming!AG81,Rig_Schedule_View!$B$11:$B$262,0))=0,P83,(INDEX(Rig_Schedule_View!$J$11:$J$262,MATCH(Well_Data_NK_Upcoming!AG81,Rig_Schedule_View!$B$11:$B$262,0))))),P83,(IF(INDEX(Rig_Schedule_View!$J$11:$J$262,MATCH(Well_Data_NK_Upcoming!AG81,Rig_Schedule_View!$B$11:$B$262,0))=0,P83,(INDEX(Rig_Schedule_View!$J$11:$J$262,MATCH(Well_Data_NK_Upcoming!AG81,Rig_Schedule_View!$B$11:$B$262,0))))))</f>
        <v>42397</v>
      </c>
      <c r="BQ83" s="527"/>
      <c r="BR83" s="525"/>
      <c r="BS83" s="525"/>
      <c r="BT83" s="525"/>
      <c r="BU83" s="525"/>
      <c r="BV83" s="525"/>
      <c r="BW83" s="525"/>
      <c r="BX83" s="525"/>
      <c r="BY83" s="525"/>
      <c r="BZ83" s="525"/>
    </row>
    <row r="84" spans="1:78" x14ac:dyDescent="0.25">
      <c r="A84" s="540" t="s">
        <v>1600</v>
      </c>
      <c r="B84" s="540" t="s">
        <v>1600</v>
      </c>
      <c r="C84" s="540"/>
      <c r="D84" s="529" t="s">
        <v>2302</v>
      </c>
      <c r="E84" s="540"/>
      <c r="F84" s="528" t="str">
        <f t="shared" si="20"/>
        <v>RA</v>
      </c>
      <c r="G84" s="540" t="s">
        <v>17</v>
      </c>
      <c r="H84" s="536" t="s">
        <v>1414</v>
      </c>
      <c r="I84" s="540" t="s">
        <v>1420</v>
      </c>
      <c r="J84" s="540" t="s">
        <v>298</v>
      </c>
      <c r="K84" s="540" t="s">
        <v>18</v>
      </c>
      <c r="L84" s="540" t="s">
        <v>1410</v>
      </c>
      <c r="M84" s="539"/>
      <c r="N84" s="540"/>
      <c r="O84" s="532"/>
      <c r="P84" s="540"/>
      <c r="Q84" s="540"/>
      <c r="R84" s="537">
        <f>IF(ISERROR(VLOOKUP(G84,'Planning and Target Times'!$L$1:$AP$6,MATCH(K84&amp;"_"&amp;L84&amp;"_"&amp;J84,INDEX('Planning and Target Times'!$L$1:$AP$6,1,0),0),0)+5),"",(VLOOKUP(G84,'Planning and Target Times'!$L$1:$AP$6,MATCH(K84&amp;"_"&amp;L84&amp;"_"&amp;J84,INDEX('Planning and Target Times'!$L$1:$AP$6,1,0),0),0)+5))</f>
        <v>61</v>
      </c>
      <c r="S84" s="528">
        <f t="shared" si="14"/>
        <v>56</v>
      </c>
      <c r="T84" s="538">
        <f>VLOOKUP(G84,'Planning and Target Times'!$A$7:$G$12,MATCH(K84&amp;"-"&amp;L84&amp;"-"&amp;J84,INDEX('Planning and Target Times'!$A$7:$G$12,1,0),0),0)</f>
        <v>27</v>
      </c>
      <c r="U84" s="540"/>
      <c r="V84" s="540"/>
      <c r="W84" s="540"/>
      <c r="X84" s="535" t="str">
        <f t="shared" si="21"/>
        <v>MA</v>
      </c>
      <c r="Y84" s="540"/>
      <c r="Z84" s="540"/>
      <c r="AA84" s="540"/>
      <c r="AB84" s="540"/>
      <c r="AC84" s="540"/>
      <c r="AD84" s="540"/>
      <c r="AE84" s="540" t="s">
        <v>91</v>
      </c>
      <c r="AF84" s="528"/>
      <c r="AG84" s="540" t="str">
        <f t="shared" si="16"/>
        <v>RA-0241-RA-MA-Prod-ST-HZ-Sperry</v>
      </c>
      <c r="AH84" s="540" t="str">
        <f t="shared" si="17"/>
        <v>RA-0241-SP-283</v>
      </c>
      <c r="AI84" s="540" t="str">
        <f t="shared" si="18"/>
        <v>RA-0241-MA-ST-Prod</v>
      </c>
      <c r="AJ84" s="540">
        <f ca="1">IF(P84&gt;0,"RR",IF(O84&gt;0,0,COUNTIF($H$2:H84,H84)-IFERROR(COUNTIF(OFFSET($H$1,0,0,SUMPRODUCT(MAX(($H$2:H84=H84)*ROW($H$2:H84)*($O$2:O84&lt;&gt;""))),1),H84),0)))</f>
        <v>2</v>
      </c>
      <c r="AK84" s="527">
        <f>IF(ISERROR(VLOOKUP(G84,'Planning and Target Times'!$B$106:$D$110,MATCH(F84,INDEX('Planning and Target Times'!$B$106:$D$110,1,0),0),0)),"",(VLOOKUP(G84,'Planning and Target Times'!$B$106:$D$110,MATCH(F84,INDEX('Planning and Target Times'!$B$106:$D$110,1,0),0),0)))</f>
        <v>650</v>
      </c>
      <c r="AL84" s="528" t="str">
        <f>VLOOKUP(G84,'Planning and Target Times'!$I$2:$J$7,2,0)</f>
        <v>Carbonate</v>
      </c>
      <c r="AM84" s="540"/>
      <c r="AN84" s="540"/>
      <c r="AO84" s="540"/>
      <c r="AP84" s="533">
        <f t="shared" si="19"/>
        <v>10.655737704918034</v>
      </c>
      <c r="AQ84" s="540"/>
      <c r="AR84" s="540"/>
      <c r="AS84" s="540"/>
      <c r="AT84" s="540"/>
      <c r="AU84" s="540"/>
      <c r="AV84" s="540"/>
      <c r="AW84" s="540"/>
      <c r="AX84" s="540"/>
      <c r="AY84" s="540"/>
      <c r="AZ84" s="540"/>
      <c r="BA84" s="540"/>
      <c r="BB84" s="540"/>
      <c r="BC84" s="540"/>
      <c r="BD84" s="540"/>
      <c r="BE84" s="540"/>
      <c r="BF84" s="540"/>
      <c r="BG84" s="540"/>
      <c r="BH84" s="540"/>
      <c r="BI84" s="540"/>
      <c r="BJ84" s="540"/>
      <c r="BK84" s="540"/>
      <c r="BL84" s="540"/>
      <c r="BM84" s="540"/>
      <c r="BN84" s="540"/>
      <c r="BO84" s="526">
        <f ca="1">IF(ISERROR(IF(INDEX(Rig_Schedule_View!$I$11:$I$262,MATCH(Well_Data_NK_Upcoming!AG82,Rig_Schedule_View!$B$11:$B$262,0))=0,O84,(INDEX(Rig_Schedule_View!$I$11:$I$262,MATCH(Well_Data_NK_Upcoming!AG82,Rig_Schedule_View!$B$11:$B$262,0))))),O84,(IF(INDEX(Rig_Schedule_View!$I$11:$I$262,MATCH(Well_Data_NK_Upcoming!AG82,Rig_Schedule_View!$B$11:$B$262,0))=0,O84,(INDEX(Rig_Schedule_View!$I$11:$I$262,MATCH(Well_Data_NK_Upcoming!AG82,Rig_Schedule_View!$B$11:$B$262,0))))))</f>
        <v>42320</v>
      </c>
      <c r="BP84" s="526">
        <f ca="1">IF(ISERROR(IF(INDEX(Rig_Schedule_View!$J$11:$J$262,MATCH(Well_Data_NK_Upcoming!AG82,Rig_Schedule_View!$B$11:$B$262,0))=0,P84,(INDEX(Rig_Schedule_View!$J$11:$J$262,MATCH(Well_Data_NK_Upcoming!AG82,Rig_Schedule_View!$B$11:$B$262,0))))),P84,(IF(INDEX(Rig_Schedule_View!$J$11:$J$262,MATCH(Well_Data_NK_Upcoming!AG82,Rig_Schedule_View!$B$11:$B$262,0))=0,P84,(INDEX(Rig_Schedule_View!$J$11:$J$262,MATCH(Well_Data_NK_Upcoming!AG82,Rig_Schedule_View!$B$11:$B$262,0))))))</f>
        <v>42390</v>
      </c>
      <c r="BQ84" s="527"/>
      <c r="BR84" s="525"/>
      <c r="BS84" s="525"/>
      <c r="BT84" s="525"/>
      <c r="BU84" s="525"/>
      <c r="BV84" s="525"/>
      <c r="BW84" s="525"/>
      <c r="BX84" s="525"/>
      <c r="BY84" s="525"/>
      <c r="BZ84" s="525"/>
    </row>
    <row r="85" spans="1:78" x14ac:dyDescent="0.25">
      <c r="A85" s="540" t="s">
        <v>1619</v>
      </c>
      <c r="B85" s="540" t="s">
        <v>1619</v>
      </c>
      <c r="C85" s="540"/>
      <c r="D85" s="529" t="s">
        <v>2303</v>
      </c>
      <c r="E85" s="540"/>
      <c r="F85" s="528" t="str">
        <f t="shared" si="20"/>
        <v>SA</v>
      </c>
      <c r="G85" s="540" t="s">
        <v>17</v>
      </c>
      <c r="H85" s="536" t="s">
        <v>1415</v>
      </c>
      <c r="I85" s="540" t="s">
        <v>24</v>
      </c>
      <c r="J85" s="540" t="s">
        <v>298</v>
      </c>
      <c r="K85" s="540" t="s">
        <v>18</v>
      </c>
      <c r="L85" s="540" t="s">
        <v>1410</v>
      </c>
      <c r="M85" s="539"/>
      <c r="N85" s="540"/>
      <c r="O85" s="532"/>
      <c r="P85" s="540"/>
      <c r="Q85" s="540"/>
      <c r="R85" s="537">
        <f>IF(ISERROR(VLOOKUP(G85,'Planning and Target Times'!$L$1:$AP$6,MATCH(K85&amp;"_"&amp;L85&amp;"_"&amp;J85,INDEX('Planning and Target Times'!$L$1:$AP$6,1,0),0),0)+5),"",(VLOOKUP(G85,'Planning and Target Times'!$L$1:$AP$6,MATCH(K85&amp;"_"&amp;L85&amp;"_"&amp;J85,INDEX('Planning and Target Times'!$L$1:$AP$6,1,0),0),0)+5))</f>
        <v>61</v>
      </c>
      <c r="S85" s="528">
        <f t="shared" si="14"/>
        <v>56</v>
      </c>
      <c r="T85" s="538">
        <f>VLOOKUP(G85,'Planning and Target Times'!$A$7:$G$12,MATCH(K85&amp;"-"&amp;L85&amp;"-"&amp;J85,INDEX('Planning and Target Times'!$A$7:$G$12,1,0),0),0)</f>
        <v>27</v>
      </c>
      <c r="U85" s="540"/>
      <c r="V85" s="540"/>
      <c r="W85" s="540"/>
      <c r="X85" s="535" t="str">
        <f t="shared" si="21"/>
        <v>MA</v>
      </c>
      <c r="Y85" s="540"/>
      <c r="Z85" s="540"/>
      <c r="AA85" s="540"/>
      <c r="AB85" s="540"/>
      <c r="AC85" s="540"/>
      <c r="AD85" s="540"/>
      <c r="AE85" s="540" t="s">
        <v>91</v>
      </c>
      <c r="AF85" s="528"/>
      <c r="AG85" s="540" t="str">
        <f t="shared" si="16"/>
        <v>SA-0060-SA-MA-Prod-ST-HZ-SLB</v>
      </c>
      <c r="AH85" s="540" t="str">
        <f t="shared" si="17"/>
        <v>SA-0060-SP-288</v>
      </c>
      <c r="AI85" s="540" t="str">
        <f t="shared" si="18"/>
        <v>SA-0060-MA-ST-Prod</v>
      </c>
      <c r="AJ85" s="540">
        <f ca="1">IF(P85&gt;0,"RR",IF(O85&gt;0,0,COUNTIF($H$2:H85,H85)-IFERROR(COUNTIF(OFFSET($H$1,0,0,SUMPRODUCT(MAX(($H$2:H85=H85)*ROW($H$2:H85)*($O$2:O85&lt;&gt;""))),1),H85),0)))</f>
        <v>2</v>
      </c>
      <c r="AK85" s="527">
        <f>IF(ISERROR(VLOOKUP(G85,'Planning and Target Times'!$B$106:$D$110,MATCH(F85,INDEX('Planning and Target Times'!$B$106:$D$110,1,0),0),0)),"",(VLOOKUP(G85,'Planning and Target Times'!$B$106:$D$110,MATCH(F85,INDEX('Planning and Target Times'!$B$106:$D$110,1,0),0),0)))</f>
        <v>740</v>
      </c>
      <c r="AL85" s="528" t="str">
        <f>VLOOKUP(G85,'Planning and Target Times'!$I$2:$J$7,2,0)</f>
        <v>Carbonate</v>
      </c>
      <c r="AM85" s="540"/>
      <c r="AN85" s="540"/>
      <c r="AO85" s="540"/>
      <c r="AP85" s="533">
        <f t="shared" si="19"/>
        <v>12.131147540983607</v>
      </c>
      <c r="AQ85" s="540"/>
      <c r="AR85" s="540"/>
      <c r="AS85" s="540"/>
      <c r="AT85" s="540"/>
      <c r="AU85" s="540"/>
      <c r="AV85" s="540"/>
      <c r="AW85" s="540"/>
      <c r="AX85" s="540"/>
      <c r="AY85" s="540"/>
      <c r="AZ85" s="540"/>
      <c r="BA85" s="540"/>
      <c r="BB85" s="540"/>
      <c r="BC85" s="540"/>
      <c r="BD85" s="540"/>
      <c r="BE85" s="540"/>
      <c r="BF85" s="540"/>
      <c r="BG85" s="540"/>
      <c r="BH85" s="540"/>
      <c r="BI85" s="540"/>
      <c r="BJ85" s="540"/>
      <c r="BK85" s="540"/>
      <c r="BL85" s="540"/>
      <c r="BM85" s="540"/>
      <c r="BN85" s="540"/>
      <c r="BO85" s="526">
        <f ca="1">IF(ISERROR(IF(INDEX(Rig_Schedule_View!$I$11:$I$262,MATCH(Well_Data_NK_Upcoming!AG101,Rig_Schedule_View!$B$11:$B$262,0))=0,O85,(INDEX(Rig_Schedule_View!$I$11:$I$262,MATCH(Well_Data_NK_Upcoming!AG101,Rig_Schedule_View!$B$11:$B$262,0))))),O85,(IF(INDEX(Rig_Schedule_View!$I$11:$I$262,MATCH(Well_Data_NK_Upcoming!AG101,Rig_Schedule_View!$B$11:$B$262,0))=0,O85,(INDEX(Rig_Schedule_View!$I$11:$I$262,MATCH(Well_Data_NK_Upcoming!AG101,Rig_Schedule_View!$B$11:$B$262,0))))))</f>
        <v>42402</v>
      </c>
      <c r="BP85" s="526">
        <f ca="1">IF(ISERROR(IF(INDEX(Rig_Schedule_View!$J$11:$J$262,MATCH(Well_Data_NK_Upcoming!AG101,Rig_Schedule_View!$B$11:$B$262,0))=0,P85,(INDEX(Rig_Schedule_View!$J$11:$J$262,MATCH(Well_Data_NK_Upcoming!AG101,Rig_Schedule_View!$B$11:$B$262,0))))),P85,(IF(INDEX(Rig_Schedule_View!$J$11:$J$262,MATCH(Well_Data_NK_Upcoming!AG101,Rig_Schedule_View!$B$11:$B$262,0))=0,P85,(INDEX(Rig_Schedule_View!$J$11:$J$262,MATCH(Well_Data_NK_Upcoming!AG101,Rig_Schedule_View!$B$11:$B$262,0))))))</f>
        <v>42472</v>
      </c>
      <c r="BQ85" s="527"/>
      <c r="BR85" s="525"/>
      <c r="BS85" s="525"/>
      <c r="BT85" s="525"/>
      <c r="BU85" s="525"/>
      <c r="BV85" s="525"/>
      <c r="BW85" s="525"/>
      <c r="BX85" s="525"/>
      <c r="BY85" s="525"/>
      <c r="BZ85" s="525"/>
    </row>
    <row r="86" spans="1:78" x14ac:dyDescent="0.25">
      <c r="A86" s="540" t="s">
        <v>1819</v>
      </c>
      <c r="B86" s="540" t="s">
        <v>1819</v>
      </c>
      <c r="C86" s="540"/>
      <c r="D86" s="529" t="s">
        <v>2304</v>
      </c>
      <c r="E86" s="540"/>
      <c r="F86" s="528" t="str">
        <f t="shared" si="20"/>
        <v>SA</v>
      </c>
      <c r="G86" s="540" t="s">
        <v>29</v>
      </c>
      <c r="H86" s="536" t="s">
        <v>734</v>
      </c>
      <c r="I86" s="540"/>
      <c r="J86" s="540" t="s">
        <v>298</v>
      </c>
      <c r="K86" s="540" t="s">
        <v>14</v>
      </c>
      <c r="L86" s="540" t="s">
        <v>1416</v>
      </c>
      <c r="M86" s="539"/>
      <c r="N86" s="540"/>
      <c r="O86" s="532"/>
      <c r="P86" s="540"/>
      <c r="Q86" s="540"/>
      <c r="R86" s="537">
        <f>IF(ISERROR(VLOOKUP(G86,'Planning and Target Times'!$L$1:$AP$6,MATCH(K86&amp;"_"&amp;L86&amp;"_"&amp;J86,INDEX('Planning and Target Times'!$L$1:$AP$6,1,0),0),0)+5),"",(VLOOKUP(G86,'Planning and Target Times'!$L$1:$AP$6,MATCH(K86&amp;"_"&amp;L86&amp;"_"&amp;J86,INDEX('Planning and Target Times'!$L$1:$AP$6,1,0),0),0)+5))</f>
        <v>75</v>
      </c>
      <c r="S86" s="528">
        <f t="shared" si="14"/>
        <v>70</v>
      </c>
      <c r="T86" s="538">
        <f>VLOOKUP(G86,'Planning and Target Times'!$A$7:$G$12,MATCH(K86&amp;"-"&amp;L86&amp;"-"&amp;J86,INDEX('Planning and Target Times'!$A$7:$G$12,1,0),0),0)</f>
        <v>33</v>
      </c>
      <c r="U86" s="540"/>
      <c r="V86" s="540"/>
      <c r="W86" s="540"/>
      <c r="X86" s="535" t="str">
        <f t="shared" si="21"/>
        <v>UB</v>
      </c>
      <c r="Y86" s="540"/>
      <c r="Z86" s="540"/>
      <c r="AA86" s="540"/>
      <c r="AB86" s="540"/>
      <c r="AC86" s="540"/>
      <c r="AD86" s="540"/>
      <c r="AE86" s="540" t="s">
        <v>91</v>
      </c>
      <c r="AF86" s="528"/>
      <c r="AG86" s="540" t="str">
        <f t="shared" si="16"/>
        <v>SA-0612-SA-UB-Prod-NW-SL</v>
      </c>
      <c r="AH86" s="540" t="str">
        <f t="shared" si="17"/>
        <v>SA-0612-SP-294</v>
      </c>
      <c r="AI86" s="540" t="str">
        <f t="shared" si="18"/>
        <v>SA-0612-UB-NW-Prod</v>
      </c>
      <c r="AJ86" s="540">
        <f ca="1">IF(P86&gt;0,"RR",IF(O86&gt;0,0,COUNTIF($H$2:H86,H86)-IFERROR(COUNTIF(OFFSET($H$1,0,0,SUMPRODUCT(MAX(($H$2:H86=H86)*ROW($H$2:H86)*($O$2:O86&lt;&gt;""))),1),H86),0)))</f>
        <v>2</v>
      </c>
      <c r="AK86" s="527">
        <f>IF(ISERROR(VLOOKUP(G86,'Planning and Target Times'!$B$106:$D$110,MATCH(F86,INDEX('Planning and Target Times'!$B$106:$D$110,1,0),0),0)),"",(VLOOKUP(G86,'Planning and Target Times'!$B$106:$D$110,MATCH(F86,INDEX('Planning and Target Times'!$B$106:$D$110,1,0),0),0)))</f>
        <v>630</v>
      </c>
      <c r="AL86" s="528" t="str">
        <f>VLOOKUP(G86,'Planning and Target Times'!$I$2:$J$7,2,0)</f>
        <v>Sandstone</v>
      </c>
      <c r="AM86" s="540"/>
      <c r="AN86" s="540"/>
      <c r="AO86" s="540"/>
      <c r="AP86" s="533">
        <f t="shared" si="19"/>
        <v>8.4</v>
      </c>
      <c r="AQ86" s="540"/>
      <c r="AR86" s="540"/>
      <c r="AS86" s="540"/>
      <c r="AT86" s="540"/>
      <c r="AU86" s="540"/>
      <c r="AV86" s="540"/>
      <c r="AW86" s="540"/>
      <c r="AX86" s="540"/>
      <c r="AY86" s="540"/>
      <c r="AZ86" s="540"/>
      <c r="BA86" s="540"/>
      <c r="BB86" s="540"/>
      <c r="BC86" s="540"/>
      <c r="BD86" s="540"/>
      <c r="BE86" s="540"/>
      <c r="BF86" s="540"/>
      <c r="BG86" s="540"/>
      <c r="BH86" s="540"/>
      <c r="BI86" s="540"/>
      <c r="BJ86" s="540"/>
      <c r="BK86" s="540"/>
      <c r="BL86" s="540"/>
      <c r="BM86" s="540"/>
      <c r="BN86" s="540"/>
      <c r="BO86" s="526">
        <f ca="1">IF(ISERROR(IF(INDEX(Rig_Schedule_View!$I$11:$I$262,MATCH(Well_Data_NK_Upcoming!AG84,Rig_Schedule_View!$B$11:$B$262,0))=0,O86,(INDEX(Rig_Schedule_View!$I$11:$I$262,MATCH(Well_Data_NK_Upcoming!AG84,Rig_Schedule_View!$B$11:$B$262,0))))),O86,(IF(INDEX(Rig_Schedule_View!$I$11:$I$262,MATCH(Well_Data_NK_Upcoming!AG84,Rig_Schedule_View!$B$11:$B$262,0))=0,O86,(INDEX(Rig_Schedule_View!$I$11:$I$262,MATCH(Well_Data_NK_Upcoming!AG84,Rig_Schedule_View!$B$11:$B$262,0))))))</f>
        <v>42280</v>
      </c>
      <c r="BP86" s="526">
        <f ca="1">IF(ISERROR(IF(INDEX(Rig_Schedule_View!$J$11:$J$262,MATCH(Well_Data_NK_Upcoming!AG84,Rig_Schedule_View!$B$11:$B$262,0))=0,P86,(INDEX(Rig_Schedule_View!$J$11:$J$262,MATCH(Well_Data_NK_Upcoming!AG84,Rig_Schedule_View!$B$11:$B$262,0))))),P86,(IF(INDEX(Rig_Schedule_View!$J$11:$J$262,MATCH(Well_Data_NK_Upcoming!AG84,Rig_Schedule_View!$B$11:$B$262,0))=0,P86,(INDEX(Rig_Schedule_View!$J$11:$J$262,MATCH(Well_Data_NK_Upcoming!AG84,Rig_Schedule_View!$B$11:$B$262,0))))))</f>
        <v>42336</v>
      </c>
      <c r="BQ86" s="527"/>
      <c r="BR86" s="525"/>
      <c r="BS86" s="525"/>
      <c r="BT86" s="525"/>
      <c r="BU86" s="525"/>
      <c r="BV86" s="525"/>
      <c r="BW86" s="525"/>
      <c r="BX86" s="525"/>
      <c r="BY86" s="525"/>
      <c r="BZ86" s="525"/>
    </row>
    <row r="87" spans="1:78" x14ac:dyDescent="0.25">
      <c r="A87" s="540" t="s">
        <v>1592</v>
      </c>
      <c r="B87" s="540" t="s">
        <v>1592</v>
      </c>
      <c r="C87" s="540" t="s">
        <v>2242</v>
      </c>
      <c r="D87" s="533" t="s">
        <v>2270</v>
      </c>
      <c r="E87" s="540"/>
      <c r="F87" s="528" t="str">
        <f t="shared" si="20"/>
        <v>SA</v>
      </c>
      <c r="G87" s="540" t="s">
        <v>22</v>
      </c>
      <c r="H87" s="536" t="s">
        <v>735</v>
      </c>
      <c r="I87" s="540" t="s">
        <v>1420</v>
      </c>
      <c r="J87" s="540" t="s">
        <v>298</v>
      </c>
      <c r="K87" s="540" t="s">
        <v>14</v>
      </c>
      <c r="L87" s="540" t="s">
        <v>1410</v>
      </c>
      <c r="M87" s="539"/>
      <c r="N87" s="540"/>
      <c r="O87" s="532"/>
      <c r="P87" s="540"/>
      <c r="Q87" s="540"/>
      <c r="R87" s="537">
        <f>IF(ISERROR(VLOOKUP(G87,'Planning and Target Times'!$L$1:$AP$6,MATCH(K87&amp;"_"&amp;L87&amp;"_"&amp;J87,INDEX('Planning and Target Times'!$L$1:$AP$6,1,0),0),0)+5),"",(VLOOKUP(G87,'Planning and Target Times'!$L$1:$AP$6,MATCH(K87&amp;"_"&amp;L87&amp;"_"&amp;J87,INDEX('Planning and Target Times'!$L$1:$AP$6,1,0),0),0)+5))</f>
        <v>75</v>
      </c>
      <c r="S87" s="528">
        <f t="shared" si="14"/>
        <v>70</v>
      </c>
      <c r="T87" s="538">
        <f>VLOOKUP(G87,'Planning and Target Times'!$A$7:$G$12,MATCH(K87&amp;"-"&amp;L87&amp;"-"&amp;J87,INDEX('Planning and Target Times'!$A$7:$G$12,1,0),0),0)</f>
        <v>35</v>
      </c>
      <c r="U87" s="540"/>
      <c r="V87" s="540"/>
      <c r="W87" s="540"/>
      <c r="X87" s="535" t="str">
        <f t="shared" si="21"/>
        <v>LB</v>
      </c>
      <c r="Y87" s="540"/>
      <c r="Z87" s="540"/>
      <c r="AA87" s="540"/>
      <c r="AB87" s="540"/>
      <c r="AC87" s="540"/>
      <c r="AD87" s="540"/>
      <c r="AE87" s="540" t="s">
        <v>91</v>
      </c>
      <c r="AF87" s="528"/>
      <c r="AG87" s="540" t="str">
        <f t="shared" si="16"/>
        <v>SA-0591-SA-LB-Prod-NW-HZ-Sperry</v>
      </c>
      <c r="AH87" s="540" t="str">
        <f t="shared" si="17"/>
        <v>SA-0591-SP-295</v>
      </c>
      <c r="AI87" s="540" t="str">
        <f t="shared" si="18"/>
        <v>SA-0591-LB-NW-Prod</v>
      </c>
      <c r="AJ87" s="540">
        <f ca="1">IF(P87&gt;0,"RR",IF(O87&gt;0,0,COUNTIF($H$2:H87,H87)-IFERROR(COUNTIF(OFFSET($H$1,0,0,SUMPRODUCT(MAX(($H$2:H87=H87)*ROW($H$2:H87)*($O$2:O87&lt;&gt;""))),1),H87),0)))</f>
        <v>2</v>
      </c>
      <c r="AK87" s="527">
        <f>IF(ISERROR(VLOOKUP(G87,'Planning and Target Times'!$B$106:$D$110,MATCH(F87,INDEX('Planning and Target Times'!$B$106:$D$110,1,0),0),0)),"",(VLOOKUP(G87,'Planning and Target Times'!$B$106:$D$110,MATCH(F87,INDEX('Planning and Target Times'!$B$106:$D$110,1,0),0),0)))</f>
        <v>550</v>
      </c>
      <c r="AL87" s="528" t="str">
        <f>VLOOKUP(G87,'Planning and Target Times'!$I$2:$J$7,2,0)</f>
        <v>Sandstone</v>
      </c>
      <c r="AM87" s="540"/>
      <c r="AN87" s="540"/>
      <c r="AO87" s="540"/>
      <c r="AP87" s="533">
        <f t="shared" si="19"/>
        <v>7.333333333333333</v>
      </c>
      <c r="AQ87" s="540"/>
      <c r="AR87" s="540"/>
      <c r="AS87" s="540"/>
      <c r="AT87" s="540"/>
      <c r="AU87" s="540"/>
      <c r="AV87" s="540"/>
      <c r="AW87" s="540"/>
      <c r="AX87" s="540"/>
      <c r="AY87" s="540"/>
      <c r="AZ87" s="540"/>
      <c r="BA87" s="540"/>
      <c r="BB87" s="540"/>
      <c r="BC87" s="540"/>
      <c r="BD87" s="540"/>
      <c r="BE87" s="540"/>
      <c r="BF87" s="540"/>
      <c r="BG87" s="540"/>
      <c r="BH87" s="540"/>
      <c r="BI87" s="540"/>
      <c r="BJ87" s="540"/>
      <c r="BK87" s="540"/>
      <c r="BL87" s="540"/>
      <c r="BM87" s="540"/>
      <c r="BN87" s="540"/>
      <c r="BO87" s="526">
        <f ca="1">IF(ISERROR(IF(INDEX(Rig_Schedule_View!$I$11:$I$262,MATCH(Well_Data_NK_Upcoming!AG85,Rig_Schedule_View!$B$11:$B$262,0))=0,O87,(INDEX(Rig_Schedule_View!$I$11:$I$262,MATCH(Well_Data_NK_Upcoming!AG85,Rig_Schedule_View!$B$11:$B$262,0))))),O87,(IF(INDEX(Rig_Schedule_View!$I$11:$I$262,MATCH(Well_Data_NK_Upcoming!AG85,Rig_Schedule_View!$B$11:$B$262,0))=0,O87,(INDEX(Rig_Schedule_View!$I$11:$I$262,MATCH(Well_Data_NK_Upcoming!AG85,Rig_Schedule_View!$B$11:$B$262,0))))))</f>
        <v>42355</v>
      </c>
      <c r="BP87" s="526">
        <f ca="1">IF(ISERROR(IF(INDEX(Rig_Schedule_View!$J$11:$J$262,MATCH(Well_Data_NK_Upcoming!AG85,Rig_Schedule_View!$B$11:$B$262,0))=0,P87,(INDEX(Rig_Schedule_View!$J$11:$J$262,MATCH(Well_Data_NK_Upcoming!AG85,Rig_Schedule_View!$B$11:$B$262,0))))),P87,(IF(INDEX(Rig_Schedule_View!$J$11:$J$262,MATCH(Well_Data_NK_Upcoming!AG85,Rig_Schedule_View!$B$11:$B$262,0))=0,P87,(INDEX(Rig_Schedule_View!$J$11:$J$262,MATCH(Well_Data_NK_Upcoming!AG85,Rig_Schedule_View!$B$11:$B$262,0))))))</f>
        <v>42411</v>
      </c>
      <c r="BQ87" s="527"/>
      <c r="BR87" s="525"/>
      <c r="BS87" s="525"/>
      <c r="BT87" s="525"/>
      <c r="BU87" s="525"/>
      <c r="BV87" s="525"/>
      <c r="BW87" s="525"/>
      <c r="BX87" s="525"/>
      <c r="BY87" s="525"/>
      <c r="BZ87" s="525"/>
    </row>
    <row r="88" spans="1:78" x14ac:dyDescent="0.25">
      <c r="A88" s="540" t="s">
        <v>1722</v>
      </c>
      <c r="B88" s="540" t="s">
        <v>42</v>
      </c>
      <c r="C88" s="540"/>
      <c r="D88" s="529" t="s">
        <v>2305</v>
      </c>
      <c r="E88" s="540"/>
      <c r="F88" s="528" t="str">
        <f t="shared" si="20"/>
        <v>RA</v>
      </c>
      <c r="G88" s="540" t="s">
        <v>17</v>
      </c>
      <c r="H88" s="536" t="s">
        <v>1171</v>
      </c>
      <c r="I88" s="540" t="s">
        <v>24</v>
      </c>
      <c r="J88" s="540" t="s">
        <v>298</v>
      </c>
      <c r="K88" s="540" t="s">
        <v>14</v>
      </c>
      <c r="L88" s="540" t="s">
        <v>1410</v>
      </c>
      <c r="M88" s="539"/>
      <c r="N88" s="540"/>
      <c r="O88" s="532"/>
      <c r="P88" s="540"/>
      <c r="Q88" s="540"/>
      <c r="R88" s="537">
        <f>IF(ISERROR(VLOOKUP(G88,'Planning and Target Times'!$L$1:$AP$6,MATCH(K88&amp;"_"&amp;L88&amp;"_"&amp;J88,INDEX('Planning and Target Times'!$L$1:$AP$6,1,0),0),0)+5),"",(VLOOKUP(G88,'Planning and Target Times'!$L$1:$AP$6,MATCH(K88&amp;"_"&amp;L88&amp;"_"&amp;J88,INDEX('Planning and Target Times'!$L$1:$AP$6,1,0),0),0)+5))</f>
        <v>75</v>
      </c>
      <c r="S88" s="528">
        <f t="shared" si="14"/>
        <v>70</v>
      </c>
      <c r="T88" s="538">
        <f>VLOOKUP(G88,'Planning and Target Times'!$A$7:$G$12,MATCH(K88&amp;"-"&amp;L88&amp;"-"&amp;J88,INDEX('Planning and Target Times'!$A$7:$G$12,1,0),0),0)</f>
        <v>35</v>
      </c>
      <c r="U88" s="540"/>
      <c r="V88" s="540"/>
      <c r="W88" s="540"/>
      <c r="X88" s="535" t="str">
        <f t="shared" si="21"/>
        <v>MA</v>
      </c>
      <c r="Y88" s="540"/>
      <c r="Z88" s="540"/>
      <c r="AA88" s="540"/>
      <c r="AB88" s="540"/>
      <c r="AC88" s="540"/>
      <c r="AD88" s="540"/>
      <c r="AE88" s="540" t="s">
        <v>91</v>
      </c>
      <c r="AF88" s="528"/>
      <c r="AG88" s="540" t="str">
        <f t="shared" si="16"/>
        <v>RA5-RA-MA-Prod-NW-HZ-SLB</v>
      </c>
      <c r="AH88" s="540" t="str">
        <f t="shared" si="17"/>
        <v>RA5-KDC-25</v>
      </c>
      <c r="AI88" s="540" t="str">
        <f t="shared" si="18"/>
        <v>RA5-MA-NW-Prod</v>
      </c>
      <c r="AJ88" s="540">
        <f ca="1">IF(P88&gt;0,"RR",IF(O88&gt;0,0,COUNTIF($H$2:H88,H88)-IFERROR(COUNTIF(OFFSET($H$1,0,0,SUMPRODUCT(MAX(($H$2:H88=H88)*ROW($H$2:H88)*($O$2:O88&lt;&gt;""))),1),H88),0)))</f>
        <v>3</v>
      </c>
      <c r="AK88" s="527">
        <f>IF(ISERROR(VLOOKUP(G88,'Planning and Target Times'!$B$106:$D$110,MATCH(F88,INDEX('Planning and Target Times'!$B$106:$D$110,1,0),0),0)),"",(VLOOKUP(G88,'Planning and Target Times'!$B$106:$D$110,MATCH(F88,INDEX('Planning and Target Times'!$B$106:$D$110,1,0),0),0)))</f>
        <v>650</v>
      </c>
      <c r="AL88" s="528" t="str">
        <f>VLOOKUP(G88,'Planning and Target Times'!$I$2:$J$7,2,0)</f>
        <v>Carbonate</v>
      </c>
      <c r="AM88" s="540"/>
      <c r="AN88" s="540"/>
      <c r="AO88" s="540"/>
      <c r="AP88" s="533">
        <f t="shared" si="19"/>
        <v>8.6666666666666661</v>
      </c>
      <c r="AQ88" s="540"/>
      <c r="AR88" s="540"/>
      <c r="AS88" s="540"/>
      <c r="AT88" s="540"/>
      <c r="AU88" s="540"/>
      <c r="AV88" s="540"/>
      <c r="AW88" s="540"/>
      <c r="AX88" s="540"/>
      <c r="AY88" s="540"/>
      <c r="AZ88" s="540"/>
      <c r="BA88" s="540"/>
      <c r="BB88" s="540"/>
      <c r="BC88" s="540"/>
      <c r="BD88" s="540"/>
      <c r="BE88" s="540"/>
      <c r="BF88" s="540"/>
      <c r="BG88" s="540"/>
      <c r="BH88" s="540"/>
      <c r="BI88" s="540"/>
      <c r="BJ88" s="540"/>
      <c r="BK88" s="540"/>
      <c r="BL88" s="540"/>
      <c r="BM88" s="540"/>
      <c r="BN88" s="540"/>
      <c r="BO88" s="526">
        <f ca="1">IF(ISERROR(IF(INDEX(Rig_Schedule_View!$I$11:$I$262,MATCH(Well_Data_NK_Upcoming!AG86,Rig_Schedule_View!$B$11:$B$262,0))=0,O88,(INDEX(Rig_Schedule_View!$I$11:$I$262,MATCH(Well_Data_NK_Upcoming!AG86,Rig_Schedule_View!$B$11:$B$262,0))))),O88,(IF(INDEX(Rig_Schedule_View!$I$11:$I$262,MATCH(Well_Data_NK_Upcoming!AG86,Rig_Schedule_View!$B$11:$B$262,0))=0,O88,(INDEX(Rig_Schedule_View!$I$11:$I$262,MATCH(Well_Data_NK_Upcoming!AG86,Rig_Schedule_View!$B$11:$B$262,0))))))</f>
        <v>42323</v>
      </c>
      <c r="BP88" s="526">
        <f ca="1">IF(ISERROR(IF(INDEX(Rig_Schedule_View!$J$11:$J$262,MATCH(Well_Data_NK_Upcoming!AG86,Rig_Schedule_View!$B$11:$B$262,0))=0,P88,(INDEX(Rig_Schedule_View!$J$11:$J$262,MATCH(Well_Data_NK_Upcoming!AG86,Rig_Schedule_View!$B$11:$B$262,0))))),P88,(IF(INDEX(Rig_Schedule_View!$J$11:$J$262,MATCH(Well_Data_NK_Upcoming!AG86,Rig_Schedule_View!$B$11:$B$262,0))=0,P88,(INDEX(Rig_Schedule_View!$J$11:$J$262,MATCH(Well_Data_NK_Upcoming!AG86,Rig_Schedule_View!$B$11:$B$262,0))))))</f>
        <v>42393</v>
      </c>
      <c r="BQ88" s="527"/>
      <c r="BR88" s="525"/>
      <c r="BS88" s="525"/>
      <c r="BT88" s="525"/>
      <c r="BU88" s="525"/>
      <c r="BV88" s="525"/>
      <c r="BW88" s="525"/>
      <c r="BX88" s="525"/>
      <c r="BY88" s="525"/>
      <c r="BZ88" s="525"/>
    </row>
    <row r="89" spans="1:78" s="566" customFormat="1" x14ac:dyDescent="0.25">
      <c r="A89" s="540" t="s">
        <v>1761</v>
      </c>
      <c r="B89" s="540" t="s">
        <v>11</v>
      </c>
      <c r="C89" s="540"/>
      <c r="D89" s="529" t="s">
        <v>2337</v>
      </c>
      <c r="E89" s="540"/>
      <c r="F89" s="528" t="str">
        <f t="shared" si="20"/>
        <v>SA</v>
      </c>
      <c r="G89" s="540" t="s">
        <v>17</v>
      </c>
      <c r="H89" s="400" t="s">
        <v>35</v>
      </c>
      <c r="I89" s="540"/>
      <c r="J89" s="540" t="s">
        <v>34</v>
      </c>
      <c r="K89" s="540" t="s">
        <v>18</v>
      </c>
      <c r="L89" s="540" t="s">
        <v>1410</v>
      </c>
      <c r="M89" s="539"/>
      <c r="N89" s="540"/>
      <c r="O89" s="532"/>
      <c r="P89" s="540"/>
      <c r="Q89" s="540"/>
      <c r="R89" s="537">
        <f>IF(ISERROR(VLOOKUP(G89,'Planning and Target Times'!$L$1:$AP$6,MATCH(K89&amp;"_"&amp;L89&amp;"_"&amp;J89,INDEX('Planning and Target Times'!$L$1:$AP$6,1,0),0),0)+5),"",(VLOOKUP(G89,'Planning and Target Times'!$L$1:$AP$6,MATCH(K89&amp;"_"&amp;L89&amp;"_"&amp;J89,INDEX('Planning and Target Times'!$L$1:$AP$6,1,0),0),0)+5))</f>
        <v>54</v>
      </c>
      <c r="S89" s="528">
        <f t="shared" si="14"/>
        <v>49</v>
      </c>
      <c r="T89" s="538">
        <f>VLOOKUP(G89,'Planning and Target Times'!$A$7:$G$12,MATCH(K89&amp;"-"&amp;L89&amp;"-"&amp;J89,INDEX('Planning and Target Times'!$A$7:$G$12,1,0),0),0)</f>
        <v>25</v>
      </c>
      <c r="U89" s="540"/>
      <c r="V89" s="540"/>
      <c r="W89" s="540"/>
      <c r="X89" s="535" t="str">
        <f t="shared" si="21"/>
        <v>MA</v>
      </c>
      <c r="Y89" s="540"/>
      <c r="Z89" s="540"/>
      <c r="AA89" s="540"/>
      <c r="AB89" s="540"/>
      <c r="AC89" s="540"/>
      <c r="AD89" s="540"/>
      <c r="AE89" s="540" t="s">
        <v>91</v>
      </c>
      <c r="AF89" s="528"/>
      <c r="AG89" s="540" t="str">
        <f t="shared" si="16"/>
        <v>SA5-SA-MA-Inj-ST-HZ</v>
      </c>
      <c r="AH89" s="540" t="str">
        <f t="shared" si="17"/>
        <v>SA5-KDC-26</v>
      </c>
      <c r="AI89" s="540" t="str">
        <f t="shared" si="18"/>
        <v>SA5-MA-ST-Inj</v>
      </c>
      <c r="AJ89" s="540">
        <f ca="1">IF(P89&gt;0,"RR",IF(O89&gt;0,0,COUNTIF($H$2:H89,H89)-IFERROR(COUNTIF(OFFSET($H$1,0,0,SUMPRODUCT(MAX(($H$2:H89=H89)*ROW($H$2:H89)*($O$2:O89&lt;&gt;""))),1),H89),0)))</f>
        <v>3</v>
      </c>
      <c r="AK89" s="527"/>
      <c r="AL89" s="528" t="str">
        <f>VLOOKUP(G89,'Planning and Target Times'!$I$2:$J$7,2,0)</f>
        <v>Carbonate</v>
      </c>
      <c r="AM89" s="540"/>
      <c r="AN89" s="540"/>
      <c r="AO89" s="540"/>
      <c r="AP89" s="533">
        <f t="shared" si="19"/>
        <v>0</v>
      </c>
      <c r="AQ89" s="540"/>
      <c r="AR89" s="540"/>
      <c r="AS89" s="540"/>
      <c r="AT89" s="540"/>
      <c r="AU89" s="540"/>
      <c r="AV89" s="540"/>
      <c r="AW89" s="540"/>
      <c r="AX89" s="540"/>
      <c r="AY89" s="540"/>
      <c r="AZ89" s="540"/>
      <c r="BA89" s="540"/>
      <c r="BB89" s="540"/>
      <c r="BC89" s="540"/>
      <c r="BD89" s="540"/>
      <c r="BE89" s="540"/>
      <c r="BF89" s="540"/>
      <c r="BG89" s="540"/>
      <c r="BH89" s="540"/>
      <c r="BI89" s="540"/>
      <c r="BJ89" s="540"/>
      <c r="BK89" s="540"/>
      <c r="BL89" s="540"/>
      <c r="BM89" s="540"/>
      <c r="BN89" s="540"/>
      <c r="BO89" s="526">
        <f ca="1">IF(ISERROR(IF(INDEX(Rig_Schedule_View!$I$11:$I$262,MATCH(Well_Data_NK_Upcoming!AG124,Rig_Schedule_View!$B$11:$B$262,0))=0,O89,(INDEX(Rig_Schedule_View!$I$11:$I$262,MATCH(Well_Data_NK_Upcoming!AG124,Rig_Schedule_View!$B$11:$B$262,0))))),O89,(IF(INDEX(Rig_Schedule_View!$I$11:$I$262,MATCH(Well_Data_NK_Upcoming!AG124,Rig_Schedule_View!$B$11:$B$262,0))=0,O89,(INDEX(Rig_Schedule_View!$I$11:$I$262,MATCH(Well_Data_NK_Upcoming!AG124,Rig_Schedule_View!$B$11:$B$262,0))))))</f>
        <v>42491</v>
      </c>
      <c r="BP89" s="526">
        <f ca="1">IF(ISERROR(IF(INDEX(Rig_Schedule_View!$J$11:$J$262,MATCH(Well_Data_NK_Upcoming!AG124,Rig_Schedule_View!$B$11:$B$262,0))=0,P89,(INDEX(Rig_Schedule_View!$J$11:$J$262,MATCH(Well_Data_NK_Upcoming!AG124,Rig_Schedule_View!$B$11:$B$262,0))))),P89,(IF(INDEX(Rig_Schedule_View!$J$11:$J$262,MATCH(Well_Data_NK_Upcoming!AG124,Rig_Schedule_View!$B$11:$B$262,0))=0,P89,(INDEX(Rig_Schedule_View!$J$11:$J$262,MATCH(Well_Data_NK_Upcoming!AG124,Rig_Schedule_View!$B$11:$B$262,0))))))</f>
        <v>42561</v>
      </c>
      <c r="BQ89" s="527"/>
      <c r="BR89" s="525"/>
      <c r="BS89" s="525"/>
      <c r="BT89" s="525"/>
      <c r="BU89" s="525"/>
      <c r="BV89" s="525"/>
      <c r="BW89" s="525"/>
      <c r="BX89" s="525"/>
      <c r="BY89" s="525"/>
      <c r="BZ89" s="525"/>
    </row>
    <row r="90" spans="1:78" x14ac:dyDescent="0.25">
      <c r="A90" s="403"/>
      <c r="B90" s="393"/>
      <c r="C90" s="540"/>
      <c r="D90" s="529" t="s">
        <v>2398</v>
      </c>
      <c r="E90" s="540"/>
      <c r="F90" s="528" t="str">
        <f t="shared" si="20"/>
        <v/>
      </c>
      <c r="G90" s="540"/>
      <c r="H90" s="536" t="s">
        <v>46</v>
      </c>
      <c r="I90" s="540"/>
      <c r="J90" s="540"/>
      <c r="K90" s="540"/>
      <c r="L90" s="540"/>
      <c r="M90" s="540"/>
      <c r="N90" s="540"/>
      <c r="O90" s="528"/>
      <c r="P90" s="540"/>
      <c r="Q90" s="540"/>
      <c r="R90" s="537" t="str">
        <f>IF(ISERROR(VLOOKUP(G90,'Planning and Target Times'!$L$1:$AP$6,MATCH(K90&amp;"_"&amp;L90&amp;"_"&amp;J90,INDEX('Planning and Target Times'!$L$1:$AP$6,1,0),0),0)+5),"",(VLOOKUP(G90,'Planning and Target Times'!$L$1:$AP$6,MATCH(K90&amp;"_"&amp;L90&amp;"_"&amp;J90,INDEX('Planning and Target Times'!$L$1:$AP$6,1,0),0),0)+5))</f>
        <v/>
      </c>
      <c r="S90" s="528" t="str">
        <f t="shared" si="14"/>
        <v/>
      </c>
      <c r="T90" s="538" t="e">
        <f>VLOOKUP(G90,'Planning and Target Times'!$A$7:$G$12,MATCH(K90&amp;"-"&amp;L90&amp;"-"&amp;J90,INDEX('Planning and Target Times'!$A$7:$G$12,1,0),0),0)</f>
        <v>#N/A</v>
      </c>
      <c r="U90" s="540"/>
      <c r="V90" s="540"/>
      <c r="W90" s="540"/>
      <c r="X90" s="535">
        <f t="shared" si="21"/>
        <v>0</v>
      </c>
      <c r="Y90" s="540"/>
      <c r="Z90" s="540"/>
      <c r="AA90" s="540"/>
      <c r="AB90" s="540"/>
      <c r="AC90" s="540"/>
      <c r="AD90" s="540"/>
      <c r="AE90" s="528" t="s">
        <v>91</v>
      </c>
      <c r="AF90" s="535"/>
      <c r="AG90" s="540" t="str">
        <f t="shared" si="16"/>
        <v/>
      </c>
      <c r="AH90" s="540" t="str">
        <f t="shared" si="17"/>
        <v/>
      </c>
      <c r="AI90" s="540" t="str">
        <f t="shared" si="18"/>
        <v/>
      </c>
      <c r="AJ90" s="540">
        <f ca="1">IF(P90&gt;0,"RR",IF(O90&gt;0,0,COUNTIF($H$2:H90,H90)-IFERROR(COUNTIF(OFFSET($H$1,0,0,SUMPRODUCT(MAX(($H$2:H90=H90)*ROW($H$2:H90)*($O$2:O90&lt;&gt;""))),1),H90),0)))</f>
        <v>3</v>
      </c>
      <c r="AK90" s="527" t="str">
        <f>IF(ISERROR(VLOOKUP(G90,'Planning and Target Times'!$B$106:$D$110,MATCH(F90,INDEX('Planning and Target Times'!$B$106:$D$110,1,0),0),0)),"",(VLOOKUP(G90,'Planning and Target Times'!$B$106:$D$110,MATCH(F90,INDEX('Planning and Target Times'!$B$106:$D$110,1,0),0),0)))</f>
        <v/>
      </c>
      <c r="AL90" s="528" t="e">
        <f>VLOOKUP(G90,'Planning and Target Times'!$I$2:$J$7,2,0)</f>
        <v>#N/A</v>
      </c>
      <c r="AM90" s="540"/>
      <c r="AN90" s="540"/>
      <c r="AO90" s="540"/>
      <c r="AP90" s="533" t="e">
        <f t="shared" si="19"/>
        <v>#VALUE!</v>
      </c>
      <c r="AQ90" s="540"/>
      <c r="AR90" s="540"/>
      <c r="AS90" s="540"/>
      <c r="AT90" s="540"/>
      <c r="AU90" s="540"/>
      <c r="AV90" s="540"/>
      <c r="AW90" s="540"/>
      <c r="AX90" s="540"/>
      <c r="AY90" s="540"/>
      <c r="AZ90" s="540"/>
      <c r="BA90" s="540"/>
      <c r="BB90" s="540"/>
      <c r="BC90" s="540"/>
      <c r="BD90" s="540"/>
      <c r="BE90" s="540"/>
      <c r="BF90" s="540"/>
      <c r="BG90" s="540"/>
      <c r="BH90" s="540"/>
      <c r="BI90" s="540"/>
      <c r="BJ90" s="540"/>
      <c r="BK90" s="540"/>
      <c r="BL90" s="540"/>
      <c r="BM90" s="540"/>
      <c r="BN90" s="540"/>
      <c r="BO90" s="526">
        <f>IF(ISERROR(IF(INDEX(Rig_Schedule_View!$I$11:$I$262,MATCH(Well_Data_NK_Upcoming!#REF!,Rig_Schedule_View!$B$11:$B$262,0))=0,O90,(INDEX(Rig_Schedule_View!$I$11:$I$262,MATCH(Well_Data_NK_Upcoming!#REF!,Rig_Schedule_View!$B$11:$B$262,0))))),O90,(IF(INDEX(Rig_Schedule_View!$I$11:$I$262,MATCH(Well_Data_NK_Upcoming!#REF!,Rig_Schedule_View!$B$11:$B$262,0))=0,O90,(INDEX(Rig_Schedule_View!$I$11:$I$262,MATCH(Well_Data_NK_Upcoming!#REF!,Rig_Schedule_View!$B$11:$B$262,0))))))</f>
        <v>0</v>
      </c>
      <c r="BP90" s="526">
        <f>IF(ISERROR(IF(INDEX(Rig_Schedule_View!$J$11:$J$262,MATCH(Well_Data_NK_Upcoming!#REF!,Rig_Schedule_View!$B$11:$B$262,0))=0,P90,(INDEX(Rig_Schedule_View!$J$11:$J$262,MATCH(Well_Data_NK_Upcoming!#REF!,Rig_Schedule_View!$B$11:$B$262,0))))),P90,(IF(INDEX(Rig_Schedule_View!$J$11:$J$262,MATCH(Well_Data_NK_Upcoming!#REF!,Rig_Schedule_View!$B$11:$B$262,0))=0,P90,(INDEX(Rig_Schedule_View!$J$11:$J$262,MATCH(Well_Data_NK_Upcoming!#REF!,Rig_Schedule_View!$B$11:$B$262,0))))))</f>
        <v>0</v>
      </c>
      <c r="BQ90" s="527"/>
      <c r="BR90" s="525"/>
      <c r="BS90" s="525"/>
      <c r="BT90" s="525"/>
      <c r="BU90" s="525"/>
      <c r="BV90" s="525"/>
      <c r="BW90" s="525"/>
      <c r="BX90" s="525"/>
      <c r="BY90" s="525"/>
      <c r="BZ90" s="525"/>
    </row>
    <row r="91" spans="1:78" x14ac:dyDescent="0.25">
      <c r="A91" s="540" t="s">
        <v>1433</v>
      </c>
      <c r="B91" s="540" t="s">
        <v>1433</v>
      </c>
      <c r="C91" s="540"/>
      <c r="D91" s="529" t="s">
        <v>2278</v>
      </c>
      <c r="E91" s="540"/>
      <c r="F91" s="528" t="str">
        <f t="shared" si="20"/>
        <v>RQ</v>
      </c>
      <c r="G91" s="540" t="s">
        <v>44</v>
      </c>
      <c r="H91" s="400" t="s">
        <v>19</v>
      </c>
      <c r="I91" s="540"/>
      <c r="J91" s="540" t="s">
        <v>298</v>
      </c>
      <c r="K91" s="540" t="s">
        <v>14</v>
      </c>
      <c r="L91" s="540"/>
      <c r="M91" s="539"/>
      <c r="N91" s="540"/>
      <c r="O91" s="532"/>
      <c r="P91" s="540"/>
      <c r="Q91" s="540"/>
      <c r="R91" s="537">
        <f>IF(ISERROR(VLOOKUP(G91,'Planning and Target Times'!$L$1:$AP$6,MATCH(K91&amp;"_"&amp;L91&amp;"_"&amp;J91,INDEX('Planning and Target Times'!$L$1:$AP$6,1,0),0),0)+5),"",(VLOOKUP(G91,'Planning and Target Times'!$L$1:$AP$6,MATCH(K91&amp;"_"&amp;L91&amp;"_"&amp;J91,INDEX('Planning and Target Times'!$L$1:$AP$6,1,0),0),0)+5))</f>
        <v>103</v>
      </c>
      <c r="S91" s="528">
        <f t="shared" si="14"/>
        <v>98</v>
      </c>
      <c r="T91" s="538" t="e">
        <f>VLOOKUP(G91,'Planning and Target Times'!$A$7:$G$12,MATCH(K91&amp;"-"&amp;L91&amp;"-"&amp;J91,INDEX('Planning and Target Times'!$A$7:$G$12,1,0),0),0)</f>
        <v>#N/A</v>
      </c>
      <c r="U91" s="540"/>
      <c r="V91" s="540"/>
      <c r="W91" s="540"/>
      <c r="X91" s="535" t="str">
        <f t="shared" si="21"/>
        <v>ZU/RT</v>
      </c>
      <c r="Y91" s="540"/>
      <c r="Z91" s="540"/>
      <c r="AA91" s="540"/>
      <c r="AB91" s="540"/>
      <c r="AC91" s="540"/>
      <c r="AD91" s="540"/>
      <c r="AE91" s="540" t="s">
        <v>91</v>
      </c>
      <c r="AF91" s="528"/>
      <c r="AG91" s="540" t="str">
        <f t="shared" si="16"/>
        <v>RQ-0181-RQ-ZU-Prod-NW</v>
      </c>
      <c r="AH91" s="540" t="str">
        <f t="shared" si="17"/>
        <v>RQ-0181-KDC-44</v>
      </c>
      <c r="AI91" s="540" t="str">
        <f t="shared" si="18"/>
        <v>RQ-0181-ZU-NW-Prod</v>
      </c>
      <c r="AJ91" s="540">
        <f ca="1">IF(P91&gt;0,"RR",IF(O91&gt;0,0,COUNTIF($H$2:H91,H91)-IFERROR(COUNTIF(OFFSET($H$1,0,0,SUMPRODUCT(MAX(($H$2:H91=H91)*ROW($H$2:H91)*($O$2:O91&lt;&gt;""))),1),H91),0)))</f>
        <v>3</v>
      </c>
      <c r="AK91" s="527" t="str">
        <f>IF(ISERROR(VLOOKUP(G91,'Planning and Target Times'!$B$106:$D$110,MATCH(F91,INDEX('Planning and Target Times'!$B$106:$D$110,1,0),0),0)),"",(VLOOKUP(G91,'Planning and Target Times'!$B$106:$D$110,MATCH(F91,INDEX('Planning and Target Times'!$B$106:$D$110,1,0),0),0)))</f>
        <v/>
      </c>
      <c r="AL91" s="528" t="str">
        <f>VLOOKUP(G91,'Planning and Target Times'!$I$2:$J$7,2,0)</f>
        <v>Sandstone</v>
      </c>
      <c r="AM91" s="540"/>
      <c r="AN91" s="540"/>
      <c r="AO91" s="540"/>
      <c r="AP91" s="533" t="e">
        <f t="shared" si="19"/>
        <v>#VALUE!</v>
      </c>
      <c r="AQ91" s="540"/>
      <c r="AR91" s="540"/>
      <c r="AS91" s="540"/>
      <c r="AT91" s="540"/>
      <c r="AU91" s="540"/>
      <c r="AV91" s="540"/>
      <c r="AW91" s="540"/>
      <c r="AX91" s="540"/>
      <c r="AY91" s="540"/>
      <c r="AZ91" s="540"/>
      <c r="BA91" s="540"/>
      <c r="BB91" s="540"/>
      <c r="BC91" s="540"/>
      <c r="BD91" s="540"/>
      <c r="BE91" s="540"/>
      <c r="BF91" s="540"/>
      <c r="BG91" s="540"/>
      <c r="BH91" s="540"/>
      <c r="BI91" s="540"/>
      <c r="BJ91" s="540"/>
      <c r="BK91" s="540"/>
      <c r="BL91" s="540"/>
      <c r="BM91" s="540"/>
      <c r="BN91" s="540"/>
      <c r="BO91" s="526">
        <f ca="1">IF(ISERROR(IF(INDEX(Rig_Schedule_View!$I$11:$I$262,MATCH(Well_Data_NK_Upcoming!AG87,Rig_Schedule_View!$B$11:$B$262,0))=0,O91,(INDEX(Rig_Schedule_View!$I$11:$I$262,MATCH(Well_Data_NK_Upcoming!AG87,Rig_Schedule_View!$B$11:$B$262,0))))),O91,(IF(INDEX(Rig_Schedule_View!$I$11:$I$262,MATCH(Well_Data_NK_Upcoming!AG87,Rig_Schedule_View!$B$11:$B$262,0))=0,O91,(INDEX(Rig_Schedule_View!$I$11:$I$262,MATCH(Well_Data_NK_Upcoming!AG87,Rig_Schedule_View!$B$11:$B$262,0))))))</f>
        <v>42327</v>
      </c>
      <c r="BP91" s="526">
        <f ca="1">IF(ISERROR(IF(INDEX(Rig_Schedule_View!$J$11:$J$262,MATCH(Well_Data_NK_Upcoming!AG87,Rig_Schedule_View!$B$11:$B$262,0))=0,P91,(INDEX(Rig_Schedule_View!$J$11:$J$262,MATCH(Well_Data_NK_Upcoming!AG87,Rig_Schedule_View!$B$11:$B$262,0))))),P91,(IF(INDEX(Rig_Schedule_View!$J$11:$J$262,MATCH(Well_Data_NK_Upcoming!AG87,Rig_Schedule_View!$B$11:$B$262,0))=0,P91,(INDEX(Rig_Schedule_View!$J$11:$J$262,MATCH(Well_Data_NK_Upcoming!AG87,Rig_Schedule_View!$B$11:$B$262,0))))))</f>
        <v>42397</v>
      </c>
      <c r="BQ91" s="527"/>
      <c r="BR91" s="525"/>
      <c r="BS91" s="525"/>
      <c r="BT91" s="525"/>
      <c r="BU91" s="525"/>
      <c r="BV91" s="525"/>
      <c r="BW91" s="525"/>
      <c r="BX91" s="525"/>
      <c r="BY91" s="525"/>
      <c r="BZ91" s="525"/>
    </row>
    <row r="92" spans="1:78" x14ac:dyDescent="0.25">
      <c r="A92" s="540" t="s">
        <v>1966</v>
      </c>
      <c r="B92" s="540" t="s">
        <v>1966</v>
      </c>
      <c r="C92" s="540"/>
      <c r="D92" s="529" t="s">
        <v>2306</v>
      </c>
      <c r="E92" s="540"/>
      <c r="F92" s="528" t="str">
        <f t="shared" si="20"/>
        <v>RA</v>
      </c>
      <c r="G92" s="540" t="s">
        <v>44</v>
      </c>
      <c r="H92" s="400" t="s">
        <v>430</v>
      </c>
      <c r="I92" s="540" t="s">
        <v>24</v>
      </c>
      <c r="J92" s="540" t="s">
        <v>298</v>
      </c>
      <c r="K92" s="540" t="s">
        <v>14</v>
      </c>
      <c r="L92" s="540" t="s">
        <v>1410</v>
      </c>
      <c r="M92" s="539"/>
      <c r="N92" s="540"/>
      <c r="O92" s="532"/>
      <c r="P92" s="540"/>
      <c r="Q92" s="540"/>
      <c r="R92" s="537">
        <f>IF(ISERROR(VLOOKUP(G92,'Planning and Target Times'!$L$1:$AP$6,MATCH(K92&amp;"_"&amp;L92&amp;"_"&amp;J92,INDEX('Planning and Target Times'!$L$1:$AP$6,1,0),0),0)+5),"",(VLOOKUP(G92,'Planning and Target Times'!$L$1:$AP$6,MATCH(K92&amp;"_"&amp;L92&amp;"_"&amp;J92,INDEX('Planning and Target Times'!$L$1:$AP$6,1,0),0),0)+5))</f>
        <v>103</v>
      </c>
      <c r="S92" s="528">
        <f t="shared" si="14"/>
        <v>98</v>
      </c>
      <c r="T92" s="538">
        <f>VLOOKUP(G92,'Planning and Target Times'!$A$7:$G$12,MATCH(K92&amp;"-"&amp;L92&amp;"-"&amp;J92,INDEX('Planning and Target Times'!$A$7:$G$12,1,0),0),0)</f>
        <v>75</v>
      </c>
      <c r="U92" s="540"/>
      <c r="V92" s="540"/>
      <c r="W92" s="540"/>
      <c r="X92" s="535" t="str">
        <f t="shared" si="21"/>
        <v>ZU/RT</v>
      </c>
      <c r="Y92" s="540"/>
      <c r="Z92" s="540"/>
      <c r="AA92" s="540"/>
      <c r="AB92" s="540"/>
      <c r="AC92" s="540"/>
      <c r="AD92" s="540"/>
      <c r="AE92" s="540" t="s">
        <v>91</v>
      </c>
      <c r="AF92" s="528"/>
      <c r="AG92" s="540" t="str">
        <f t="shared" si="16"/>
        <v>RA-0596-RA-ZU-Prod-NW-HZ-SLB</v>
      </c>
      <c r="AH92" s="540" t="str">
        <f t="shared" si="17"/>
        <v>RA-0596-KDC-49</v>
      </c>
      <c r="AI92" s="540" t="str">
        <f t="shared" si="18"/>
        <v>RA-0596-ZU-NW-Prod</v>
      </c>
      <c r="AJ92" s="540">
        <f ca="1">IF(P92&gt;0,"RR",IF(O92&gt;0,0,COUNTIF($H$2:H92,H92)-IFERROR(COUNTIF(OFFSET($H$1,0,0,SUMPRODUCT(MAX(($H$2:H92=H92)*ROW($H$2:H92)*($O$2:O92&lt;&gt;""))),1),H92),0)))</f>
        <v>3</v>
      </c>
      <c r="AK92" s="527">
        <f>IF(ISERROR(VLOOKUP(G92,'Planning and Target Times'!$B$106:$D$110,MATCH(F92,INDEX('Planning and Target Times'!$B$106:$D$110,1,0),0),0)),"",(VLOOKUP(G92,'Planning and Target Times'!$B$106:$D$110,MATCH(F92,INDEX('Planning and Target Times'!$B$106:$D$110,1,0),0),0)))</f>
        <v>1560</v>
      </c>
      <c r="AL92" s="528" t="str">
        <f>VLOOKUP(G92,'Planning and Target Times'!$I$2:$J$7,2,0)</f>
        <v>Sandstone</v>
      </c>
      <c r="AM92" s="540"/>
      <c r="AN92" s="540"/>
      <c r="AO92" s="540"/>
      <c r="AP92" s="533">
        <f t="shared" si="19"/>
        <v>15.145631067961165</v>
      </c>
      <c r="AQ92" s="540"/>
      <c r="AR92" s="540"/>
      <c r="AS92" s="540"/>
      <c r="AT92" s="540"/>
      <c r="AU92" s="540"/>
      <c r="AV92" s="540"/>
      <c r="AW92" s="540"/>
      <c r="AX92" s="540"/>
      <c r="AY92" s="540"/>
      <c r="AZ92" s="540"/>
      <c r="BA92" s="540"/>
      <c r="BB92" s="540"/>
      <c r="BC92" s="540"/>
      <c r="BD92" s="540"/>
      <c r="BE92" s="540"/>
      <c r="BF92" s="540"/>
      <c r="BG92" s="540"/>
      <c r="BH92" s="540"/>
      <c r="BI92" s="540"/>
      <c r="BJ92" s="540"/>
      <c r="BK92" s="540"/>
      <c r="BL92" s="540"/>
      <c r="BM92" s="540"/>
      <c r="BN92" s="540"/>
      <c r="BO92" s="526">
        <f ca="1">IF(ISERROR(IF(INDEX(Rig_Schedule_View!$I$11:$I$262,MATCH(Well_Data_NK_Upcoming!AG89,Rig_Schedule_View!$B$11:$B$262,0))=0,O92,(INDEX(Rig_Schedule_View!$I$11:$I$262,MATCH(Well_Data_NK_Upcoming!AG89,Rig_Schedule_View!$B$11:$B$262,0))))),O92,(IF(INDEX(Rig_Schedule_View!$I$11:$I$262,MATCH(Well_Data_NK_Upcoming!AG89,Rig_Schedule_View!$B$11:$B$262,0))=0,O92,(INDEX(Rig_Schedule_View!$I$11:$I$262,MATCH(Well_Data_NK_Upcoming!AG89,Rig_Schedule_View!$B$11:$B$262,0))))))</f>
        <v>42412</v>
      </c>
      <c r="BP92" s="526">
        <f ca="1">IF(ISERROR(IF(INDEX(Rig_Schedule_View!$J$11:$J$262,MATCH(Well_Data_NK_Upcoming!AG89,Rig_Schedule_View!$B$11:$B$262,0))=0,P92,(INDEX(Rig_Schedule_View!$J$11:$J$262,MATCH(Well_Data_NK_Upcoming!AG89,Rig_Schedule_View!$B$11:$B$262,0))))),P92,(IF(INDEX(Rig_Schedule_View!$J$11:$J$262,MATCH(Well_Data_NK_Upcoming!AG89,Rig_Schedule_View!$B$11:$B$262,0))=0,P92,(INDEX(Rig_Schedule_View!$J$11:$J$262,MATCH(Well_Data_NK_Upcoming!AG89,Rig_Schedule_View!$B$11:$B$262,0))))))</f>
        <v>42461</v>
      </c>
      <c r="BQ92" s="527"/>
      <c r="BR92" s="525"/>
      <c r="BS92" s="525"/>
      <c r="BT92" s="525"/>
      <c r="BU92" s="525"/>
      <c r="BV92" s="525"/>
      <c r="BW92" s="525"/>
      <c r="BX92" s="525"/>
      <c r="BY92" s="525"/>
      <c r="BZ92" s="525"/>
    </row>
    <row r="93" spans="1:78" x14ac:dyDescent="0.25">
      <c r="A93" s="540" t="s">
        <v>1622</v>
      </c>
      <c r="B93" s="540" t="s">
        <v>1622</v>
      </c>
      <c r="C93" s="540"/>
      <c r="D93" s="529" t="s">
        <v>2324</v>
      </c>
      <c r="E93" s="540"/>
      <c r="F93" s="528" t="str">
        <f t="shared" si="20"/>
        <v>SA</v>
      </c>
      <c r="G93" s="540" t="s">
        <v>22</v>
      </c>
      <c r="H93" s="536" t="s">
        <v>513</v>
      </c>
      <c r="I93" s="540"/>
      <c r="J93" s="540" t="s">
        <v>298</v>
      </c>
      <c r="K93" s="540" t="s">
        <v>18</v>
      </c>
      <c r="L93" s="540" t="s">
        <v>1410</v>
      </c>
      <c r="M93" s="539"/>
      <c r="N93" s="540"/>
      <c r="O93" s="532"/>
      <c r="P93" s="540"/>
      <c r="Q93" s="540"/>
      <c r="R93" s="537">
        <f>IF(ISERROR(VLOOKUP(G93,'Planning and Target Times'!$L$1:$AP$6,MATCH(K93&amp;"_"&amp;L93&amp;"_"&amp;J93,INDEX('Planning and Target Times'!$L$1:$AP$6,1,0),0),0)+5),"",(VLOOKUP(G93,'Planning and Target Times'!$L$1:$AP$6,MATCH(K93&amp;"_"&amp;L93&amp;"_"&amp;J93,INDEX('Planning and Target Times'!$L$1:$AP$6,1,0),0),0)+5))</f>
        <v>75</v>
      </c>
      <c r="S93" s="528">
        <f t="shared" si="14"/>
        <v>70</v>
      </c>
      <c r="T93" s="538" t="str">
        <f>VLOOKUP(G93,'Planning and Target Times'!$A$7:$G$12,MATCH(K93&amp;"-"&amp;L93&amp;"-"&amp;J93,INDEX('Planning and Target Times'!$A$7:$G$12,1,0),0),0)</f>
        <v>N/A</v>
      </c>
      <c r="U93" s="540"/>
      <c r="V93" s="540"/>
      <c r="W93" s="540"/>
      <c r="X93" s="535" t="str">
        <f t="shared" si="21"/>
        <v>LB</v>
      </c>
      <c r="Y93" s="540"/>
      <c r="Z93" s="540"/>
      <c r="AA93" s="540"/>
      <c r="AB93" s="540"/>
      <c r="AC93" s="540"/>
      <c r="AD93" s="540"/>
      <c r="AE93" s="540" t="s">
        <v>91</v>
      </c>
      <c r="AF93" s="528"/>
      <c r="AG93" s="540" t="str">
        <f t="shared" si="16"/>
        <v>SA-0471-SA-LB-Prod-ST-HZ</v>
      </c>
      <c r="AH93" s="540" t="str">
        <f t="shared" si="17"/>
        <v>SA-0471-NDSC-15</v>
      </c>
      <c r="AI93" s="540" t="str">
        <f t="shared" si="18"/>
        <v>SA-0471-LB-ST-Prod</v>
      </c>
      <c r="AJ93" s="540">
        <f ca="1">IF(P93&gt;0,"RR",IF(O93&gt;0,0,COUNTIF($H$2:H93,H93)-IFERROR(COUNTIF(OFFSET($H$1,0,0,SUMPRODUCT(MAX(($H$2:H93=H93)*ROW($H$2:H93)*($O$2:O93&lt;&gt;""))),1),H93),0)))</f>
        <v>3</v>
      </c>
      <c r="AK93" s="527">
        <f>IF(ISERROR(VLOOKUP(G93,'Planning and Target Times'!$B$106:$D$110,MATCH(F93,INDEX('Planning and Target Times'!$B$106:$D$110,1,0),0),0)),"",(VLOOKUP(G93,'Planning and Target Times'!$B$106:$D$110,MATCH(F93,INDEX('Planning and Target Times'!$B$106:$D$110,1,0),0),0)))</f>
        <v>550</v>
      </c>
      <c r="AL93" s="528" t="str">
        <f>VLOOKUP(G93,'Planning and Target Times'!$I$2:$J$7,2,0)</f>
        <v>Sandstone</v>
      </c>
      <c r="AM93" s="540"/>
      <c r="AN93" s="540"/>
      <c r="AO93" s="540"/>
      <c r="AP93" s="533">
        <f t="shared" si="19"/>
        <v>7.333333333333333</v>
      </c>
      <c r="AQ93" s="540"/>
      <c r="AR93" s="540"/>
      <c r="AS93" s="540"/>
      <c r="AT93" s="540"/>
      <c r="AU93" s="540"/>
      <c r="AV93" s="540"/>
      <c r="AW93" s="540"/>
      <c r="AX93" s="540"/>
      <c r="AY93" s="540"/>
      <c r="AZ93" s="540"/>
      <c r="BA93" s="540"/>
      <c r="BB93" s="540"/>
      <c r="BC93" s="540"/>
      <c r="BD93" s="540"/>
      <c r="BE93" s="540"/>
      <c r="BF93" s="540"/>
      <c r="BG93" s="540"/>
      <c r="BH93" s="540"/>
      <c r="BI93" s="540"/>
      <c r="BJ93" s="540"/>
      <c r="BK93" s="540"/>
      <c r="BL93" s="540"/>
      <c r="BM93" s="540"/>
      <c r="BN93" s="540"/>
      <c r="BO93" s="526">
        <f ca="1">IF(ISERROR(IF(INDEX(Rig_Schedule_View!$I$11:$I$262,MATCH(Well_Data_NK_Upcoming!AG109,Rig_Schedule_View!$B$11:$B$262,0))=0,O93,(INDEX(Rig_Schedule_View!$I$11:$I$262,MATCH(Well_Data_NK_Upcoming!AG109,Rig_Schedule_View!$B$11:$B$262,0))))),O93,(IF(INDEX(Rig_Schedule_View!$I$11:$I$262,MATCH(Well_Data_NK_Upcoming!AG109,Rig_Schedule_View!$B$11:$B$262,0))=0,O93,(INDEX(Rig_Schedule_View!$I$11:$I$262,MATCH(Well_Data_NK_Upcoming!AG109,Rig_Schedule_View!$B$11:$B$262,0))))))</f>
        <v>42466</v>
      </c>
      <c r="BP93" s="526">
        <f ca="1">IF(ISERROR(IF(INDEX(Rig_Schedule_View!$J$11:$J$262,MATCH(Well_Data_NK_Upcoming!AG109,Rig_Schedule_View!$B$11:$B$262,0))=0,P93,(INDEX(Rig_Schedule_View!$J$11:$J$262,MATCH(Well_Data_NK_Upcoming!AG109,Rig_Schedule_View!$B$11:$B$262,0))))),P93,(IF(INDEX(Rig_Schedule_View!$J$11:$J$262,MATCH(Well_Data_NK_Upcoming!AG109,Rig_Schedule_View!$B$11:$B$262,0))=0,P93,(INDEX(Rig_Schedule_View!$J$11:$J$262,MATCH(Well_Data_NK_Upcoming!AG109,Rig_Schedule_View!$B$11:$B$262,0))))))</f>
        <v>42536</v>
      </c>
      <c r="BQ93" s="527"/>
      <c r="BR93" s="525"/>
      <c r="BS93" s="525"/>
      <c r="BT93" s="525"/>
      <c r="BU93" s="525"/>
      <c r="BV93" s="525"/>
      <c r="BW93" s="525"/>
      <c r="BX93" s="525"/>
      <c r="BY93" s="525"/>
      <c r="BZ93" s="525"/>
    </row>
    <row r="94" spans="1:78" x14ac:dyDescent="0.25">
      <c r="A94" s="540" t="s">
        <v>1724</v>
      </c>
      <c r="B94" s="540" t="s">
        <v>42</v>
      </c>
      <c r="C94" s="540"/>
      <c r="D94" s="529" t="s">
        <v>2308</v>
      </c>
      <c r="E94" s="540"/>
      <c r="F94" s="528" t="str">
        <f t="shared" si="20"/>
        <v>RA</v>
      </c>
      <c r="G94" s="540" t="s">
        <v>44</v>
      </c>
      <c r="H94" s="536" t="s">
        <v>512</v>
      </c>
      <c r="I94" s="540" t="s">
        <v>24</v>
      </c>
      <c r="J94" s="540" t="s">
        <v>298</v>
      </c>
      <c r="K94" s="540"/>
      <c r="L94" s="540"/>
      <c r="M94" s="539"/>
      <c r="N94" s="540"/>
      <c r="O94" s="532"/>
      <c r="P94" s="540"/>
      <c r="Q94" s="540"/>
      <c r="R94" s="537">
        <f>IF(ISERROR(VLOOKUP(G94,'Planning and Target Times'!$L$1:$AP$6,MATCH(K94&amp;"_"&amp;L94&amp;"_"&amp;J94,INDEX('Planning and Target Times'!$L$1:$AP$6,1,0),0),0)+5),"",(VLOOKUP(G94,'Planning and Target Times'!$L$1:$AP$6,MATCH(K94&amp;"_"&amp;L94&amp;"_"&amp;J94,INDEX('Planning and Target Times'!$L$1:$AP$6,1,0),0),0)+5))</f>
        <v>103</v>
      </c>
      <c r="S94" s="528">
        <f t="shared" si="14"/>
        <v>98</v>
      </c>
      <c r="T94" s="538" t="e">
        <f>VLOOKUP(G94,'Planning and Target Times'!$A$7:$G$12,MATCH(K94&amp;"-"&amp;L94&amp;"-"&amp;J94,INDEX('Planning and Target Times'!$A$7:$G$12,1,0),0),0)</f>
        <v>#N/A</v>
      </c>
      <c r="U94" s="540"/>
      <c r="V94" s="540"/>
      <c r="W94" s="540"/>
      <c r="X94" s="535" t="str">
        <f t="shared" si="21"/>
        <v>ZU/RT</v>
      </c>
      <c r="Y94" s="540"/>
      <c r="Z94" s="540"/>
      <c r="AA94" s="540"/>
      <c r="AB94" s="540"/>
      <c r="AC94" s="540"/>
      <c r="AD94" s="540"/>
      <c r="AE94" s="540" t="s">
        <v>91</v>
      </c>
      <c r="AF94" s="528"/>
      <c r="AG94" s="540" t="str">
        <f t="shared" si="16"/>
        <v>RA10-RA-ZU-Prod-SLB</v>
      </c>
      <c r="AH94" s="540" t="str">
        <f t="shared" si="17"/>
        <v>RA10-NDSC-16</v>
      </c>
      <c r="AI94" s="540" t="str">
        <f t="shared" si="18"/>
        <v>RA10-ZU-Prod</v>
      </c>
      <c r="AJ94" s="540">
        <f ca="1">IF(P94&gt;0,"RR",IF(O94&gt;0,0,COUNTIF($H$2:H94,H94)-IFERROR(COUNTIF(OFFSET($H$1,0,0,SUMPRODUCT(MAX(($H$2:H94=H94)*ROW($H$2:H94)*($O$2:O94&lt;&gt;""))),1),H94),0)))</f>
        <v>3</v>
      </c>
      <c r="AK94" s="527">
        <f>IF(ISERROR(VLOOKUP(G94,'Planning and Target Times'!$B$106:$D$110,MATCH(F94,INDEX('Planning and Target Times'!$B$106:$D$110,1,0),0),0)),"",(VLOOKUP(G94,'Planning and Target Times'!$B$106:$D$110,MATCH(F94,INDEX('Planning and Target Times'!$B$106:$D$110,1,0),0),0)))</f>
        <v>1560</v>
      </c>
      <c r="AL94" s="528" t="str">
        <f>VLOOKUP(G94,'Planning and Target Times'!$I$2:$J$7,2,0)</f>
        <v>Sandstone</v>
      </c>
      <c r="AM94" s="540"/>
      <c r="AN94" s="540"/>
      <c r="AO94" s="540"/>
      <c r="AP94" s="533">
        <f t="shared" si="19"/>
        <v>15.145631067961165</v>
      </c>
      <c r="AQ94" s="540"/>
      <c r="AR94" s="540"/>
      <c r="AS94" s="540"/>
      <c r="AT94" s="540"/>
      <c r="AU94" s="540"/>
      <c r="AV94" s="540"/>
      <c r="AW94" s="540"/>
      <c r="AX94" s="540"/>
      <c r="AY94" s="540"/>
      <c r="AZ94" s="540"/>
      <c r="BA94" s="540"/>
      <c r="BB94" s="540"/>
      <c r="BC94" s="540"/>
      <c r="BD94" s="540"/>
      <c r="BE94" s="540"/>
      <c r="BF94" s="540"/>
      <c r="BG94" s="540"/>
      <c r="BH94" s="540"/>
      <c r="BI94" s="540"/>
      <c r="BJ94" s="540"/>
      <c r="BK94" s="540"/>
      <c r="BL94" s="540"/>
      <c r="BM94" s="540"/>
      <c r="BN94" s="540"/>
      <c r="BO94" s="526">
        <f ca="1">IF(ISERROR(IF(INDEX(Rig_Schedule_View!$I$11:$I$262,MATCH(Well_Data_NK_Upcoming!AG91,Rig_Schedule_View!$B$11:$B$262,0))=0,O94,(INDEX(Rig_Schedule_View!$I$11:$I$262,MATCH(Well_Data_NK_Upcoming!AG91,Rig_Schedule_View!$B$11:$B$262,0))))),O94,(IF(INDEX(Rig_Schedule_View!$I$11:$I$262,MATCH(Well_Data_NK_Upcoming!AG91,Rig_Schedule_View!$B$11:$B$262,0))=0,O94,(INDEX(Rig_Schedule_View!$I$11:$I$262,MATCH(Well_Data_NK_Upcoming!AG91,Rig_Schedule_View!$B$11:$B$262,0))))))</f>
        <v>42462</v>
      </c>
      <c r="BP94" s="526">
        <f ca="1">IF(ISERROR(IF(INDEX(Rig_Schedule_View!$J$11:$J$262,MATCH(Well_Data_NK_Upcoming!AG91,Rig_Schedule_View!$B$11:$B$262,0))=0,P94,(INDEX(Rig_Schedule_View!$J$11:$J$262,MATCH(Well_Data_NK_Upcoming!AG91,Rig_Schedule_View!$B$11:$B$262,0))))),P94,(IF(INDEX(Rig_Schedule_View!$J$11:$J$262,MATCH(Well_Data_NK_Upcoming!AG91,Rig_Schedule_View!$B$11:$B$262,0))=0,P94,(INDEX(Rig_Schedule_View!$J$11:$J$262,MATCH(Well_Data_NK_Upcoming!AG91,Rig_Schedule_View!$B$11:$B$262,0))))))</f>
        <v>42560</v>
      </c>
      <c r="BQ94" s="527"/>
      <c r="BR94" s="525"/>
      <c r="BS94" s="525"/>
      <c r="BT94" s="525"/>
      <c r="BU94" s="525"/>
      <c r="BV94" s="525"/>
      <c r="BW94" s="525"/>
      <c r="BX94" s="525"/>
      <c r="BY94" s="525"/>
      <c r="BZ94" s="525"/>
    </row>
    <row r="95" spans="1:78" x14ac:dyDescent="0.25">
      <c r="A95" s="540" t="s">
        <v>1598</v>
      </c>
      <c r="B95" s="540" t="s">
        <v>1598</v>
      </c>
      <c r="C95" s="540"/>
      <c r="D95" s="529" t="s">
        <v>2309</v>
      </c>
      <c r="E95" s="540"/>
      <c r="F95" s="528" t="str">
        <f t="shared" si="20"/>
        <v>RA</v>
      </c>
      <c r="G95" s="540" t="s">
        <v>29</v>
      </c>
      <c r="H95" s="536" t="s">
        <v>511</v>
      </c>
      <c r="I95" s="540" t="s">
        <v>39</v>
      </c>
      <c r="J95" s="540" t="s">
        <v>298</v>
      </c>
      <c r="K95" s="540" t="s">
        <v>14</v>
      </c>
      <c r="L95" s="540" t="s">
        <v>1410</v>
      </c>
      <c r="M95" s="539"/>
      <c r="N95" s="540"/>
      <c r="O95" s="532"/>
      <c r="P95" s="540"/>
      <c r="Q95" s="540"/>
      <c r="R95" s="537">
        <f>IF(ISERROR(VLOOKUP(G95,'Planning and Target Times'!$L$1:$AP$6,MATCH(K95&amp;"_"&amp;L95&amp;"_"&amp;J95,INDEX('Planning and Target Times'!$L$1:$AP$6,1,0),0),0)+5),"",(VLOOKUP(G95,'Planning and Target Times'!$L$1:$AP$6,MATCH(K95&amp;"_"&amp;L95&amp;"_"&amp;J95,INDEX('Planning and Target Times'!$L$1:$AP$6,1,0),0),0)+5))</f>
        <v>75</v>
      </c>
      <c r="S95" s="528">
        <f t="shared" si="14"/>
        <v>70</v>
      </c>
      <c r="T95" s="538">
        <f>VLOOKUP(G95,'Planning and Target Times'!$A$7:$G$12,MATCH(K95&amp;"-"&amp;L95&amp;"-"&amp;J95,INDEX('Planning and Target Times'!$A$7:$G$12,1,0),0),0)</f>
        <v>35</v>
      </c>
      <c r="U95" s="540"/>
      <c r="V95" s="540"/>
      <c r="W95" s="540"/>
      <c r="X95" s="535" t="str">
        <f t="shared" si="21"/>
        <v>UB</v>
      </c>
      <c r="Y95" s="540"/>
      <c r="Z95" s="540"/>
      <c r="AA95" s="540"/>
      <c r="AB95" s="540"/>
      <c r="AC95" s="540"/>
      <c r="AD95" s="540"/>
      <c r="AE95" s="540" t="s">
        <v>91</v>
      </c>
      <c r="AF95" s="528"/>
      <c r="AG95" s="540" t="str">
        <f t="shared" si="16"/>
        <v>RA-0582-RA-UB-Prod-NW-HZ-WFD</v>
      </c>
      <c r="AH95" s="540" t="str">
        <f t="shared" si="17"/>
        <v>RA-0582-NDSC-17</v>
      </c>
      <c r="AI95" s="540" t="str">
        <f t="shared" si="18"/>
        <v>RA-0582-UB-NW-Prod</v>
      </c>
      <c r="AJ95" s="540">
        <f ca="1">IF(P95&gt;0,"RR",IF(O95&gt;0,0,COUNTIF($H$2:H95,H95)-IFERROR(COUNTIF(OFFSET($H$1,0,0,SUMPRODUCT(MAX(($H$2:H95=H95)*ROW($H$2:H95)*($O$2:O95&lt;&gt;""))),1),H95),0)))</f>
        <v>3</v>
      </c>
      <c r="AK95" s="527">
        <f>IF(ISERROR(VLOOKUP(G95,'Planning and Target Times'!$B$106:$D$110,MATCH(F95,INDEX('Planning and Target Times'!$B$106:$D$110,1,0),0),0)),"",(VLOOKUP(G95,'Planning and Target Times'!$B$106:$D$110,MATCH(F95,INDEX('Planning and Target Times'!$B$106:$D$110,1,0),0),0)))</f>
        <v>940</v>
      </c>
      <c r="AL95" s="528" t="str">
        <f>VLOOKUP(G95,'Planning and Target Times'!$I$2:$J$7,2,0)</f>
        <v>Sandstone</v>
      </c>
      <c r="AM95" s="540"/>
      <c r="AN95" s="540"/>
      <c r="AO95" s="540"/>
      <c r="AP95" s="533">
        <f t="shared" si="19"/>
        <v>12.533333333333333</v>
      </c>
      <c r="AQ95" s="540"/>
      <c r="AR95" s="540"/>
      <c r="AS95" s="540"/>
      <c r="AT95" s="540"/>
      <c r="AU95" s="540"/>
      <c r="AV95" s="540"/>
      <c r="AW95" s="540"/>
      <c r="AX95" s="540"/>
      <c r="AY95" s="540"/>
      <c r="AZ95" s="540"/>
      <c r="BA95" s="540"/>
      <c r="BB95" s="540"/>
      <c r="BC95" s="540"/>
      <c r="BD95" s="540"/>
      <c r="BE95" s="540"/>
      <c r="BF95" s="540"/>
      <c r="BG95" s="540"/>
      <c r="BH95" s="540"/>
      <c r="BI95" s="540"/>
      <c r="BJ95" s="540"/>
      <c r="BK95" s="540"/>
      <c r="BL95" s="540"/>
      <c r="BM95" s="540"/>
      <c r="BN95" s="540"/>
      <c r="BO95" s="526">
        <f ca="1">IF(ISERROR(IF(INDEX(Rig_Schedule_View!$I$11:$I$262,MATCH(Well_Data_NK_Upcoming!AG92,Rig_Schedule_View!$B$11:$B$262,0))=0,O95,(INDEX(Rig_Schedule_View!$I$11:$I$262,MATCH(Well_Data_NK_Upcoming!AG92,Rig_Schedule_View!$B$11:$B$262,0))))),O95,(IF(INDEX(Rig_Schedule_View!$I$11:$I$262,MATCH(Well_Data_NK_Upcoming!AG92,Rig_Schedule_View!$B$11:$B$262,0))=0,O95,(INDEX(Rig_Schedule_View!$I$11:$I$262,MATCH(Well_Data_NK_Upcoming!AG92,Rig_Schedule_View!$B$11:$B$262,0))))))</f>
        <v>42428</v>
      </c>
      <c r="BP95" s="526">
        <f ca="1">IF(ISERROR(IF(INDEX(Rig_Schedule_View!$J$11:$J$262,MATCH(Well_Data_NK_Upcoming!AG92,Rig_Schedule_View!$B$11:$B$262,0))=0,P95,(INDEX(Rig_Schedule_View!$J$11:$J$262,MATCH(Well_Data_NK_Upcoming!AG92,Rig_Schedule_View!$B$11:$B$262,0))))),P95,(IF(INDEX(Rig_Schedule_View!$J$11:$J$262,MATCH(Well_Data_NK_Upcoming!AG92,Rig_Schedule_View!$B$11:$B$262,0))=0,P95,(INDEX(Rig_Schedule_View!$J$11:$J$262,MATCH(Well_Data_NK_Upcoming!AG92,Rig_Schedule_View!$B$11:$B$262,0))))))</f>
        <v>42526</v>
      </c>
      <c r="BQ95" s="527"/>
      <c r="BR95" s="525"/>
      <c r="BS95" s="525"/>
      <c r="BT95" s="525"/>
      <c r="BU95" s="525"/>
      <c r="BV95" s="525"/>
      <c r="BW95" s="525"/>
      <c r="BX95" s="525"/>
      <c r="BY95" s="525"/>
      <c r="BZ95" s="525"/>
    </row>
    <row r="96" spans="1:78" x14ac:dyDescent="0.25">
      <c r="A96" s="540" t="s">
        <v>1757</v>
      </c>
      <c r="B96" s="540" t="s">
        <v>11</v>
      </c>
      <c r="C96" s="540"/>
      <c r="D96" s="529" t="s">
        <v>2310</v>
      </c>
      <c r="E96" s="540"/>
      <c r="F96" s="528" t="str">
        <f t="shared" si="20"/>
        <v>SA</v>
      </c>
      <c r="G96" s="540" t="s">
        <v>17</v>
      </c>
      <c r="H96" s="536" t="s">
        <v>23</v>
      </c>
      <c r="I96" s="540"/>
      <c r="J96" s="540" t="s">
        <v>298</v>
      </c>
      <c r="K96" s="540" t="s">
        <v>14</v>
      </c>
      <c r="L96" s="540" t="s">
        <v>1410</v>
      </c>
      <c r="M96" s="539"/>
      <c r="N96" s="540"/>
      <c r="O96" s="532"/>
      <c r="P96" s="540"/>
      <c r="Q96" s="540"/>
      <c r="R96" s="537">
        <f>IF(ISERROR(VLOOKUP(G96,'Planning and Target Times'!$L$1:$AP$6,MATCH(K96&amp;"_"&amp;L96&amp;"_"&amp;J96,INDEX('Planning and Target Times'!$L$1:$AP$6,1,0),0),0)+5),"",(VLOOKUP(G96,'Planning and Target Times'!$L$1:$AP$6,MATCH(K96&amp;"_"&amp;L96&amp;"_"&amp;J96,INDEX('Planning and Target Times'!$L$1:$AP$6,1,0),0),0)+5))</f>
        <v>75</v>
      </c>
      <c r="S96" s="528">
        <f t="shared" si="14"/>
        <v>70</v>
      </c>
      <c r="T96" s="538">
        <f>VLOOKUP(G96,'Planning and Target Times'!$A$7:$G$12,MATCH(K96&amp;"-"&amp;L96&amp;"-"&amp;J96,INDEX('Planning and Target Times'!$A$7:$G$12,1,0),0),0)</f>
        <v>35</v>
      </c>
      <c r="U96" s="540"/>
      <c r="V96" s="540"/>
      <c r="W96" s="540"/>
      <c r="X96" s="535" t="str">
        <f t="shared" si="21"/>
        <v>MA</v>
      </c>
      <c r="Y96" s="540"/>
      <c r="Z96" s="540"/>
      <c r="AA96" s="540"/>
      <c r="AB96" s="540"/>
      <c r="AC96" s="540"/>
      <c r="AD96" s="540"/>
      <c r="AE96" s="540" t="s">
        <v>91</v>
      </c>
      <c r="AF96" s="528"/>
      <c r="AG96" s="540" t="str">
        <f t="shared" si="16"/>
        <v>SA1-SA-MA-Prod-NW-HZ</v>
      </c>
      <c r="AH96" s="540" t="str">
        <f t="shared" si="17"/>
        <v>SA1-SP-158</v>
      </c>
      <c r="AI96" s="540" t="str">
        <f t="shared" si="18"/>
        <v>SA1-MA-NW-Prod</v>
      </c>
      <c r="AJ96" s="540">
        <f ca="1">IF(P96&gt;0,"RR",IF(O96&gt;0,0,COUNTIF($H$2:H96,H96)-IFERROR(COUNTIF(OFFSET($H$1,0,0,SUMPRODUCT(MAX(($H$2:H96=H96)*ROW($H$2:H96)*($O$2:O96&lt;&gt;""))),1),H96),0)))</f>
        <v>3</v>
      </c>
      <c r="AK96" s="527">
        <f>IF(ISERROR(VLOOKUP(G96,'Planning and Target Times'!$B$106:$D$110,MATCH(F96,INDEX('Planning and Target Times'!$B$106:$D$110,1,0),0),0)),"",(VLOOKUP(G96,'Planning and Target Times'!$B$106:$D$110,MATCH(F96,INDEX('Planning and Target Times'!$B$106:$D$110,1,0),0),0)))</f>
        <v>740</v>
      </c>
      <c r="AL96" s="528" t="str">
        <f>VLOOKUP(G96,'Planning and Target Times'!$I$2:$J$7,2,0)</f>
        <v>Carbonate</v>
      </c>
      <c r="AM96" s="540"/>
      <c r="AN96" s="540"/>
      <c r="AO96" s="540"/>
      <c r="AP96" s="533">
        <f t="shared" si="19"/>
        <v>9.8666666666666671</v>
      </c>
      <c r="AQ96" s="540"/>
      <c r="AR96" s="540"/>
      <c r="AS96" s="540"/>
      <c r="AT96" s="540"/>
      <c r="AU96" s="540"/>
      <c r="AV96" s="540"/>
      <c r="AW96" s="540"/>
      <c r="AX96" s="540"/>
      <c r="AY96" s="540"/>
      <c r="AZ96" s="540"/>
      <c r="BA96" s="540"/>
      <c r="BB96" s="540"/>
      <c r="BC96" s="540"/>
      <c r="BD96" s="540"/>
      <c r="BE96" s="540"/>
      <c r="BF96" s="540"/>
      <c r="BG96" s="540"/>
      <c r="BH96" s="540"/>
      <c r="BI96" s="540"/>
      <c r="BJ96" s="540"/>
      <c r="BK96" s="540"/>
      <c r="BL96" s="540"/>
      <c r="BM96" s="540"/>
      <c r="BN96" s="540"/>
      <c r="BO96" s="526" t="str">
        <f ca="1">IF(ISERROR(IF(INDEX(Rig_Schedule_View!$I$11:$I$262,MATCH(Well_Data_NK_Upcoming!AG93,Rig_Schedule_View!$B$11:$B$262,0))=0,O96,(INDEX(Rig_Schedule_View!$I$11:$I$262,MATCH(Well_Data_NK_Upcoming!AG93,Rig_Schedule_View!$B$11:$B$262,0))))),O96,(IF(INDEX(Rig_Schedule_View!$I$11:$I$262,MATCH(Well_Data_NK_Upcoming!AG93,Rig_Schedule_View!$B$11:$B$262,0))=0,O96,(INDEX(Rig_Schedule_View!$I$11:$I$262,MATCH(Well_Data_NK_Upcoming!AG93,Rig_Schedule_View!$B$11:$B$262,0))))))</f>
        <v/>
      </c>
      <c r="BP96" s="526" t="str">
        <f ca="1">IF(ISERROR(IF(INDEX(Rig_Schedule_View!$J$11:$J$262,MATCH(Well_Data_NK_Upcoming!AG93,Rig_Schedule_View!$B$11:$B$262,0))=0,P96,(INDEX(Rig_Schedule_View!$J$11:$J$262,MATCH(Well_Data_NK_Upcoming!AG93,Rig_Schedule_View!$B$11:$B$262,0))))),P96,(IF(INDEX(Rig_Schedule_View!$J$11:$J$262,MATCH(Well_Data_NK_Upcoming!AG93,Rig_Schedule_View!$B$11:$B$262,0))=0,P96,(INDEX(Rig_Schedule_View!$J$11:$J$262,MATCH(Well_Data_NK_Upcoming!AG93,Rig_Schedule_View!$B$11:$B$262,0))))))</f>
        <v/>
      </c>
      <c r="BQ96" s="527"/>
      <c r="BR96" s="525"/>
      <c r="BS96" s="525"/>
      <c r="BT96" s="525"/>
      <c r="BU96" s="525"/>
      <c r="BV96" s="525"/>
      <c r="BW96" s="525"/>
      <c r="BX96" s="525"/>
      <c r="BY96" s="525"/>
      <c r="BZ96" s="525"/>
    </row>
    <row r="97" spans="1:78" x14ac:dyDescent="0.25">
      <c r="A97" s="540" t="s">
        <v>1823</v>
      </c>
      <c r="B97" s="540" t="s">
        <v>1824</v>
      </c>
      <c r="C97" s="540"/>
      <c r="D97" s="529" t="s">
        <v>2311</v>
      </c>
      <c r="E97" s="540"/>
      <c r="F97" s="528" t="str">
        <f t="shared" si="20"/>
        <v>RA</v>
      </c>
      <c r="G97" s="540" t="s">
        <v>17</v>
      </c>
      <c r="H97" s="536" t="s">
        <v>31</v>
      </c>
      <c r="I97" s="540" t="s">
        <v>24</v>
      </c>
      <c r="J97" s="540" t="s">
        <v>298</v>
      </c>
      <c r="K97" s="540" t="s">
        <v>18</v>
      </c>
      <c r="L97" s="540" t="s">
        <v>1410</v>
      </c>
      <c r="M97" s="539"/>
      <c r="N97" s="540"/>
      <c r="O97" s="532"/>
      <c r="P97" s="540"/>
      <c r="Q97" s="540"/>
      <c r="R97" s="537">
        <f>IF(ISERROR(VLOOKUP(G97,'Planning and Target Times'!$L$1:$AP$6,MATCH(K97&amp;"_"&amp;L97&amp;"_"&amp;J97,INDEX('Planning and Target Times'!$L$1:$AP$6,1,0),0),0)+5),"",(VLOOKUP(G97,'Planning and Target Times'!$L$1:$AP$6,MATCH(K97&amp;"_"&amp;L97&amp;"_"&amp;J97,INDEX('Planning and Target Times'!$L$1:$AP$6,1,0),0),0)+5))</f>
        <v>61</v>
      </c>
      <c r="S97" s="528">
        <f t="shared" si="14"/>
        <v>56</v>
      </c>
      <c r="T97" s="538">
        <f>VLOOKUP(G97,'Planning and Target Times'!$A$7:$G$12,MATCH(K97&amp;"-"&amp;L97&amp;"-"&amp;J97,INDEX('Planning and Target Times'!$A$7:$G$12,1,0),0),0)</f>
        <v>27</v>
      </c>
      <c r="U97" s="540"/>
      <c r="V97" s="540"/>
      <c r="W97" s="540"/>
      <c r="X97" s="535" t="str">
        <f t="shared" si="21"/>
        <v>MA</v>
      </c>
      <c r="Y97" s="540"/>
      <c r="Z97" s="540"/>
      <c r="AA97" s="540"/>
      <c r="AB97" s="540"/>
      <c r="AC97" s="540"/>
      <c r="AD97" s="540"/>
      <c r="AE97" s="540" t="s">
        <v>91</v>
      </c>
      <c r="AF97" s="528"/>
      <c r="AG97" s="540" t="str">
        <f t="shared" si="16"/>
        <v>RA-0166-RA-MA-Prod-ST-HZ-SLB</v>
      </c>
      <c r="AH97" s="540" t="str">
        <f t="shared" si="17"/>
        <v>RA-0166-SP-159</v>
      </c>
      <c r="AI97" s="540" t="str">
        <f t="shared" si="18"/>
        <v>RA-0166-MA-ST-Prod</v>
      </c>
      <c r="AJ97" s="540">
        <f ca="1">IF(P97&gt;0,"RR",IF(O97&gt;0,0,COUNTIF($H$2:H97,H97)-IFERROR(COUNTIF(OFFSET($H$1,0,0,SUMPRODUCT(MAX(($H$2:H97=H97)*ROW($H$2:H97)*($O$2:O97&lt;&gt;""))),1),H97),0)))</f>
        <v>3</v>
      </c>
      <c r="AK97" s="527">
        <f>IF(ISERROR(VLOOKUP(G97,'Planning and Target Times'!$B$106:$D$110,MATCH(F97,INDEX('Planning and Target Times'!$B$106:$D$110,1,0),0),0)),"",(VLOOKUP(G97,'Planning and Target Times'!$B$106:$D$110,MATCH(F97,INDEX('Planning and Target Times'!$B$106:$D$110,1,0),0),0)))</f>
        <v>650</v>
      </c>
      <c r="AL97" s="528" t="str">
        <f>VLOOKUP(G97,'Planning and Target Times'!$I$2:$J$7,2,0)</f>
        <v>Carbonate</v>
      </c>
      <c r="AM97" s="540"/>
      <c r="AN97" s="540"/>
      <c r="AO97" s="540"/>
      <c r="AP97" s="533">
        <f t="shared" si="19"/>
        <v>10.655737704918034</v>
      </c>
      <c r="AQ97" s="540"/>
      <c r="AR97" s="540"/>
      <c r="AS97" s="540"/>
      <c r="AT97" s="540"/>
      <c r="AU97" s="540"/>
      <c r="AV97" s="540"/>
      <c r="AW97" s="540"/>
      <c r="AX97" s="540"/>
      <c r="AY97" s="540"/>
      <c r="AZ97" s="540"/>
      <c r="BA97" s="540"/>
      <c r="BB97" s="540"/>
      <c r="BC97" s="540"/>
      <c r="BD97" s="540"/>
      <c r="BE97" s="540"/>
      <c r="BF97" s="540"/>
      <c r="BG97" s="540"/>
      <c r="BH97" s="540"/>
      <c r="BI97" s="540"/>
      <c r="BJ97" s="540"/>
      <c r="BK97" s="540"/>
      <c r="BL97" s="540"/>
      <c r="BM97" s="540"/>
      <c r="BN97" s="540"/>
      <c r="BO97" s="526">
        <f ca="1">IF(ISERROR(IF(INDEX(Rig_Schedule_View!$I$11:$I$262,MATCH(Well_Data_NK_Upcoming!AG94,Rig_Schedule_View!$B$11:$B$262,0))=0,O97,(INDEX(Rig_Schedule_View!$I$11:$I$262,MATCH(Well_Data_NK_Upcoming!AG94,Rig_Schedule_View!$B$11:$B$262,0))))),O97,(IF(INDEX(Rig_Schedule_View!$I$11:$I$262,MATCH(Well_Data_NK_Upcoming!AG94,Rig_Schedule_View!$B$11:$B$262,0))=0,O97,(INDEX(Rig_Schedule_View!$I$11:$I$262,MATCH(Well_Data_NK_Upcoming!AG94,Rig_Schedule_View!$B$11:$B$262,0))))))</f>
        <v>42416</v>
      </c>
      <c r="BP97" s="526">
        <f ca="1">IF(ISERROR(IF(INDEX(Rig_Schedule_View!$J$11:$J$262,MATCH(Well_Data_NK_Upcoming!AG94,Rig_Schedule_View!$B$11:$B$262,0))=0,P97,(INDEX(Rig_Schedule_View!$J$11:$J$262,MATCH(Well_Data_NK_Upcoming!AG94,Rig_Schedule_View!$B$11:$B$262,0))))),P97,(IF(INDEX(Rig_Schedule_View!$J$11:$J$262,MATCH(Well_Data_NK_Upcoming!AG94,Rig_Schedule_View!$B$11:$B$262,0))=0,P97,(INDEX(Rig_Schedule_View!$J$11:$J$262,MATCH(Well_Data_NK_Upcoming!AG94,Rig_Schedule_View!$B$11:$B$262,0))))))</f>
        <v>42514</v>
      </c>
      <c r="BQ97" s="527"/>
      <c r="BR97" s="525"/>
      <c r="BS97" s="525"/>
      <c r="BT97" s="525"/>
      <c r="BU97" s="525"/>
      <c r="BV97" s="525"/>
      <c r="BW97" s="525"/>
      <c r="BX97" s="525"/>
      <c r="BY97" s="525"/>
      <c r="BZ97" s="525"/>
    </row>
    <row r="98" spans="1:78" x14ac:dyDescent="0.25">
      <c r="A98" s="540" t="s">
        <v>1443</v>
      </c>
      <c r="B98" s="540" t="s">
        <v>1443</v>
      </c>
      <c r="C98" s="540"/>
      <c r="D98" s="529" t="s">
        <v>2312</v>
      </c>
      <c r="E98" s="540"/>
      <c r="F98" s="528" t="str">
        <f t="shared" si="20"/>
        <v>RA</v>
      </c>
      <c r="G98" s="540" t="s">
        <v>17</v>
      </c>
      <c r="H98" s="536" t="s">
        <v>79</v>
      </c>
      <c r="I98" s="540" t="s">
        <v>78</v>
      </c>
      <c r="J98" s="540" t="s">
        <v>298</v>
      </c>
      <c r="K98" s="540" t="s">
        <v>14</v>
      </c>
      <c r="L98" s="540" t="s">
        <v>1410</v>
      </c>
      <c r="M98" s="539"/>
      <c r="N98" s="540"/>
      <c r="O98" s="532"/>
      <c r="P98" s="540"/>
      <c r="Q98" s="540"/>
      <c r="R98" s="537">
        <f>IF(ISERROR(VLOOKUP(G98,'Planning and Target Times'!$L$1:$AP$6,MATCH(K98&amp;"_"&amp;L98&amp;"_"&amp;J98,INDEX('Planning and Target Times'!$L$1:$AP$6,1,0),0),0)+5),"",(VLOOKUP(G98,'Planning and Target Times'!$L$1:$AP$6,MATCH(K98&amp;"_"&amp;L98&amp;"_"&amp;J98,INDEX('Planning and Target Times'!$L$1:$AP$6,1,0),0),0)+5))</f>
        <v>75</v>
      </c>
      <c r="S98" s="528">
        <f t="shared" ref="S98:S129" si="22">IF(ISERROR(R98-5),"",R98-5)</f>
        <v>70</v>
      </c>
      <c r="T98" s="538">
        <f>VLOOKUP(G98,'Planning and Target Times'!$A$7:$G$12,MATCH(K98&amp;"-"&amp;L98&amp;"-"&amp;J98,INDEX('Planning and Target Times'!$A$7:$G$12,1,0),0),0)</f>
        <v>35</v>
      </c>
      <c r="U98" s="540"/>
      <c r="V98" s="540"/>
      <c r="W98" s="540"/>
      <c r="X98" s="535" t="str">
        <f t="shared" si="21"/>
        <v>MA</v>
      </c>
      <c r="Y98" s="540"/>
      <c r="Z98" s="540"/>
      <c r="AA98" s="540"/>
      <c r="AB98" s="540"/>
      <c r="AC98" s="540"/>
      <c r="AD98" s="540"/>
      <c r="AE98" s="540" t="s">
        <v>91</v>
      </c>
      <c r="AF98" s="528"/>
      <c r="AG98" s="540" t="str">
        <f t="shared" ref="AG98:AG129" si="23">SUBSTITUTE(TRIM(A98&amp;" "&amp;F98&amp;" "&amp;G98&amp;" "&amp;J98&amp;" "&amp;K98&amp;" "&amp;L98&amp;" "&amp;I98)," ","-")</f>
        <v>RA-0571-RA-MA-Prod-NW-HZ-Baker</v>
      </c>
      <c r="AH98" s="540" t="str">
        <f t="shared" ref="AH98:AH129" si="24">IF(A98&lt;&gt;"",A98&amp;"-"&amp;H98,"")</f>
        <v>RA-0571-SP-185</v>
      </c>
      <c r="AI98" s="540" t="str">
        <f t="shared" ref="AI98:AI129" si="25">SUBSTITUTE(TRIM(A98&amp;" "&amp;G98&amp;" "&amp;K98&amp;" "&amp;J98)," ","-")</f>
        <v>RA-0571-MA-NW-Prod</v>
      </c>
      <c r="AJ98" s="540">
        <f ca="1">IF(P98&gt;0,"RR",IF(O98&gt;0,0,COUNTIF($H$2:H98,H98)-IFERROR(COUNTIF(OFFSET($H$1,0,0,SUMPRODUCT(MAX(($H$2:H98=H98)*ROW($H$2:H98)*($O$2:O98&lt;&gt;""))),1),H98),0)))</f>
        <v>3</v>
      </c>
      <c r="AK98" s="527">
        <f>IF(ISERROR(VLOOKUP(G98,'Planning and Target Times'!$B$106:$D$110,MATCH(F98,INDEX('Planning and Target Times'!$B$106:$D$110,1,0),0),0)),"",(VLOOKUP(G98,'Planning and Target Times'!$B$106:$D$110,MATCH(F98,INDEX('Planning and Target Times'!$B$106:$D$110,1,0),0),0)))</f>
        <v>650</v>
      </c>
      <c r="AL98" s="528" t="str">
        <f>VLOOKUP(G98,'Planning and Target Times'!$I$2:$J$7,2,0)</f>
        <v>Carbonate</v>
      </c>
      <c r="AM98" s="540"/>
      <c r="AN98" s="540"/>
      <c r="AO98" s="540"/>
      <c r="AP98" s="533">
        <f t="shared" ref="AP98:AP129" si="26">AK98/R98</f>
        <v>8.6666666666666661</v>
      </c>
      <c r="AQ98" s="540"/>
      <c r="AR98" s="540"/>
      <c r="AS98" s="540"/>
      <c r="AT98" s="540"/>
      <c r="AU98" s="540"/>
      <c r="AV98" s="540"/>
      <c r="AW98" s="540"/>
      <c r="AX98" s="540"/>
      <c r="AY98" s="540"/>
      <c r="AZ98" s="540"/>
      <c r="BA98" s="540"/>
      <c r="BB98" s="540"/>
      <c r="BC98" s="540"/>
      <c r="BD98" s="540"/>
      <c r="BE98" s="540"/>
      <c r="BF98" s="540"/>
      <c r="BG98" s="540"/>
      <c r="BH98" s="540"/>
      <c r="BI98" s="540"/>
      <c r="BJ98" s="540"/>
      <c r="BK98" s="540"/>
      <c r="BL98" s="540"/>
      <c r="BM98" s="540"/>
      <c r="BN98" s="540"/>
      <c r="BO98" s="526">
        <f ca="1">IF(ISERROR(IF(INDEX(Rig_Schedule_View!$I$11:$I$262,MATCH(Well_Data_NK_Upcoming!AG95,Rig_Schedule_View!$B$11:$B$262,0))=0,O98,(INDEX(Rig_Schedule_View!$I$11:$I$262,MATCH(Well_Data_NK_Upcoming!AG95,Rig_Schedule_View!$B$11:$B$262,0))))),O98,(IF(INDEX(Rig_Schedule_View!$I$11:$I$262,MATCH(Well_Data_NK_Upcoming!AG95,Rig_Schedule_View!$B$11:$B$262,0))=0,O98,(INDEX(Rig_Schedule_View!$I$11:$I$262,MATCH(Well_Data_NK_Upcoming!AG95,Rig_Schedule_View!$B$11:$B$262,0))))))</f>
        <v>42402</v>
      </c>
      <c r="BP98" s="526">
        <f ca="1">IF(ISERROR(IF(INDEX(Rig_Schedule_View!$J$11:$J$262,MATCH(Well_Data_NK_Upcoming!AG95,Rig_Schedule_View!$B$11:$B$262,0))=0,P98,(INDEX(Rig_Schedule_View!$J$11:$J$262,MATCH(Well_Data_NK_Upcoming!AG95,Rig_Schedule_View!$B$11:$B$262,0))))),P98,(IF(INDEX(Rig_Schedule_View!$J$11:$J$262,MATCH(Well_Data_NK_Upcoming!AG95,Rig_Schedule_View!$B$11:$B$262,0))=0,P98,(INDEX(Rig_Schedule_View!$J$11:$J$262,MATCH(Well_Data_NK_Upcoming!AG95,Rig_Schedule_View!$B$11:$B$262,0))))))</f>
        <v>42472</v>
      </c>
      <c r="BQ98" s="527"/>
      <c r="BR98" s="525"/>
      <c r="BS98" s="525"/>
      <c r="BT98" s="525"/>
      <c r="BU98" s="525"/>
      <c r="BV98" s="525"/>
      <c r="BW98" s="525"/>
      <c r="BX98" s="525"/>
      <c r="BY98" s="525"/>
      <c r="BZ98" s="525"/>
    </row>
    <row r="99" spans="1:78" x14ac:dyDescent="0.25">
      <c r="A99" s="540" t="s">
        <v>1773</v>
      </c>
      <c r="B99" s="540" t="s">
        <v>11</v>
      </c>
      <c r="C99" s="540"/>
      <c r="D99" s="529" t="s">
        <v>2313</v>
      </c>
      <c r="E99" s="540"/>
      <c r="F99" s="528" t="str">
        <f t="shared" si="20"/>
        <v>SA</v>
      </c>
      <c r="G99" s="540" t="s">
        <v>17</v>
      </c>
      <c r="H99" s="536" t="s">
        <v>37</v>
      </c>
      <c r="I99" s="540"/>
      <c r="J99" s="540" t="s">
        <v>298</v>
      </c>
      <c r="K99" s="540" t="s">
        <v>14</v>
      </c>
      <c r="L99" s="540" t="s">
        <v>1410</v>
      </c>
      <c r="M99" s="539"/>
      <c r="N99" s="540"/>
      <c r="O99" s="532"/>
      <c r="P99" s="540"/>
      <c r="Q99" s="540"/>
      <c r="R99" s="537">
        <f>IF(ISERROR(VLOOKUP(G99,'Planning and Target Times'!$L$1:$AP$6,MATCH(K99&amp;"_"&amp;L99&amp;"_"&amp;J99,INDEX('Planning and Target Times'!$L$1:$AP$6,1,0),0),0)+5),"",(VLOOKUP(G99,'Planning and Target Times'!$L$1:$AP$6,MATCH(K99&amp;"_"&amp;L99&amp;"_"&amp;J99,INDEX('Planning and Target Times'!$L$1:$AP$6,1,0),0),0)+5))</f>
        <v>75</v>
      </c>
      <c r="S99" s="528">
        <f t="shared" si="22"/>
        <v>70</v>
      </c>
      <c r="T99" s="538">
        <f>VLOOKUP(G99,'Planning and Target Times'!$A$7:$G$12,MATCH(K99&amp;"-"&amp;L99&amp;"-"&amp;J99,INDEX('Planning and Target Times'!$A$7:$G$12,1,0),0),0)</f>
        <v>35</v>
      </c>
      <c r="U99" s="540"/>
      <c r="V99" s="540"/>
      <c r="W99" s="540"/>
      <c r="X99" s="535" t="str">
        <f t="shared" si="21"/>
        <v>MA</v>
      </c>
      <c r="Y99" s="540"/>
      <c r="Z99" s="540"/>
      <c r="AA99" s="540"/>
      <c r="AB99" s="540"/>
      <c r="AC99" s="540"/>
      <c r="AD99" s="540"/>
      <c r="AE99" s="540" t="s">
        <v>91</v>
      </c>
      <c r="AF99" s="528"/>
      <c r="AG99" s="540" t="str">
        <f t="shared" si="23"/>
        <v>SA21-SA-MA-Prod-NW-HZ</v>
      </c>
      <c r="AH99" s="540" t="str">
        <f t="shared" si="24"/>
        <v>SA21-SP-186</v>
      </c>
      <c r="AI99" s="540" t="str">
        <f t="shared" si="25"/>
        <v>SA21-MA-NW-Prod</v>
      </c>
      <c r="AJ99" s="540">
        <f ca="1">IF(P99&gt;0,"RR",IF(O99&gt;0,0,COUNTIF($H$2:H99,H99)-IFERROR(COUNTIF(OFFSET($H$1,0,0,SUMPRODUCT(MAX(($H$2:H99=H99)*ROW($H$2:H99)*($O$2:O99&lt;&gt;""))),1),H99),0)))</f>
        <v>3</v>
      </c>
      <c r="AK99" s="527">
        <f>IF(ISERROR(VLOOKUP(G99,'Planning and Target Times'!$B$106:$D$110,MATCH(F99,INDEX('Planning and Target Times'!$B$106:$D$110,1,0),0),0)),"",(VLOOKUP(G99,'Planning and Target Times'!$B$106:$D$110,MATCH(F99,INDEX('Planning and Target Times'!$B$106:$D$110,1,0),0),0)))</f>
        <v>740</v>
      </c>
      <c r="AL99" s="528" t="str">
        <f>VLOOKUP(G99,'Planning and Target Times'!$I$2:$J$7,2,0)</f>
        <v>Carbonate</v>
      </c>
      <c r="AM99" s="540"/>
      <c r="AN99" s="540"/>
      <c r="AO99" s="540"/>
      <c r="AP99" s="533">
        <f t="shared" si="26"/>
        <v>9.8666666666666671</v>
      </c>
      <c r="AQ99" s="540"/>
      <c r="AR99" s="540"/>
      <c r="AS99" s="540"/>
      <c r="AT99" s="540"/>
      <c r="AU99" s="540"/>
      <c r="AV99" s="540"/>
      <c r="AW99" s="540"/>
      <c r="AX99" s="540"/>
      <c r="AY99" s="540"/>
      <c r="AZ99" s="540"/>
      <c r="BA99" s="540"/>
      <c r="BB99" s="540"/>
      <c r="BC99" s="540"/>
      <c r="BD99" s="540"/>
      <c r="BE99" s="540"/>
      <c r="BF99" s="540"/>
      <c r="BG99" s="540"/>
      <c r="BH99" s="540"/>
      <c r="BI99" s="540"/>
      <c r="BJ99" s="540"/>
      <c r="BK99" s="540"/>
      <c r="BL99" s="540"/>
      <c r="BM99" s="540"/>
      <c r="BN99" s="540"/>
      <c r="BO99" s="526">
        <f ca="1">IF(ISERROR(IF(INDEX(Rig_Schedule_View!$I$11:$I$262,MATCH(Well_Data_NK_Upcoming!AG96,Rig_Schedule_View!$B$11:$B$262,0))=0,O99,(INDEX(Rig_Schedule_View!$I$11:$I$262,MATCH(Well_Data_NK_Upcoming!AG96,Rig_Schedule_View!$B$11:$B$262,0))))),O99,(IF(INDEX(Rig_Schedule_View!$I$11:$I$262,MATCH(Well_Data_NK_Upcoming!AG96,Rig_Schedule_View!$B$11:$B$262,0))=0,O99,(INDEX(Rig_Schedule_View!$I$11:$I$262,MATCH(Well_Data_NK_Upcoming!AG96,Rig_Schedule_View!$B$11:$B$262,0))))))</f>
        <v>42372</v>
      </c>
      <c r="BP99" s="526">
        <f ca="1">IF(ISERROR(IF(INDEX(Rig_Schedule_View!$J$11:$J$262,MATCH(Well_Data_NK_Upcoming!AG96,Rig_Schedule_View!$B$11:$B$262,0))=0,P99,(INDEX(Rig_Schedule_View!$J$11:$J$262,MATCH(Well_Data_NK_Upcoming!AG96,Rig_Schedule_View!$B$11:$B$262,0))))),P99,(IF(INDEX(Rig_Schedule_View!$J$11:$J$262,MATCH(Well_Data_NK_Upcoming!AG96,Rig_Schedule_View!$B$11:$B$262,0))=0,P99,(INDEX(Rig_Schedule_View!$J$11:$J$262,MATCH(Well_Data_NK_Upcoming!AG96,Rig_Schedule_View!$B$11:$B$262,0))))))</f>
        <v>42442</v>
      </c>
      <c r="BQ99" s="527"/>
      <c r="BR99" s="525"/>
      <c r="BS99" s="525"/>
      <c r="BT99" s="525"/>
      <c r="BU99" s="525"/>
      <c r="BV99" s="525"/>
      <c r="BW99" s="525"/>
      <c r="BX99" s="525"/>
      <c r="BY99" s="525"/>
      <c r="BZ99" s="525"/>
    </row>
    <row r="100" spans="1:78" x14ac:dyDescent="0.25">
      <c r="A100" s="540" t="s">
        <v>1449</v>
      </c>
      <c r="B100" s="540" t="s">
        <v>1449</v>
      </c>
      <c r="C100" s="540"/>
      <c r="D100" s="529" t="s">
        <v>2314</v>
      </c>
      <c r="E100" s="540"/>
      <c r="F100" s="528" t="str">
        <f t="shared" si="20"/>
        <v>SA</v>
      </c>
      <c r="G100" s="540" t="s">
        <v>22</v>
      </c>
      <c r="H100" s="536" t="s">
        <v>838</v>
      </c>
      <c r="I100" s="540" t="s">
        <v>39</v>
      </c>
      <c r="J100" s="540" t="s">
        <v>298</v>
      </c>
      <c r="K100" s="540" t="s">
        <v>14</v>
      </c>
      <c r="L100" s="540" t="s">
        <v>1416</v>
      </c>
      <c r="M100" s="539"/>
      <c r="N100" s="540"/>
      <c r="O100" s="532"/>
      <c r="P100" s="540"/>
      <c r="Q100" s="540"/>
      <c r="R100" s="537">
        <f>IF(ISERROR(VLOOKUP(G100,'Planning and Target Times'!$L$1:$AP$6,MATCH(K100&amp;"_"&amp;L100&amp;"_"&amp;J100,INDEX('Planning and Target Times'!$L$1:$AP$6,1,0),0),0)+5),"",(VLOOKUP(G100,'Planning and Target Times'!$L$1:$AP$6,MATCH(K100&amp;"_"&amp;L100&amp;"_"&amp;J100,INDEX('Planning and Target Times'!$L$1:$AP$6,1,0),0),0)+5))</f>
        <v>75</v>
      </c>
      <c r="S100" s="528">
        <f t="shared" si="22"/>
        <v>70</v>
      </c>
      <c r="T100" s="538">
        <f>VLOOKUP(G100,'Planning and Target Times'!$A$7:$G$12,MATCH(K100&amp;"-"&amp;L100&amp;"-"&amp;J100,INDEX('Planning and Target Times'!$A$7:$G$12,1,0),0),0)</f>
        <v>33</v>
      </c>
      <c r="U100" s="540"/>
      <c r="V100" s="540"/>
      <c r="W100" s="540"/>
      <c r="X100" s="535" t="str">
        <f t="shared" si="21"/>
        <v>LB</v>
      </c>
      <c r="Y100" s="540"/>
      <c r="Z100" s="540"/>
      <c r="AA100" s="540"/>
      <c r="AB100" s="540"/>
      <c r="AC100" s="540"/>
      <c r="AD100" s="540"/>
      <c r="AE100" s="540" t="s">
        <v>91</v>
      </c>
      <c r="AF100" s="528"/>
      <c r="AG100" s="540" t="str">
        <f t="shared" si="23"/>
        <v>SA-0590-SA-LB-Prod-NW-SL-WFD</v>
      </c>
      <c r="AH100" s="540" t="str">
        <f t="shared" si="24"/>
        <v>SA-0590-SP-266</v>
      </c>
      <c r="AI100" s="540" t="str">
        <f t="shared" si="25"/>
        <v>SA-0590-LB-NW-Prod</v>
      </c>
      <c r="AJ100" s="540">
        <f ca="1">IF(P100&gt;0,"RR",IF(O100&gt;0,0,COUNTIF($H$2:H100,H100)-IFERROR(COUNTIF(OFFSET($H$1,0,0,SUMPRODUCT(MAX(($H$2:H100=H100)*ROW($H$2:H100)*($O$2:O100&lt;&gt;""))),1),H100),0)))</f>
        <v>3</v>
      </c>
      <c r="AK100" s="527">
        <f>IF(ISERROR(VLOOKUP(G100,'Planning and Target Times'!$B$106:$D$110,MATCH(F100,INDEX('Planning and Target Times'!$B$106:$D$110,1,0),0),0)),"",(VLOOKUP(G100,'Planning and Target Times'!$B$106:$D$110,MATCH(F100,INDEX('Planning and Target Times'!$B$106:$D$110,1,0),0),0)))</f>
        <v>550</v>
      </c>
      <c r="AL100" s="528" t="str">
        <f>VLOOKUP(G100,'Planning and Target Times'!$I$2:$J$7,2,0)</f>
        <v>Sandstone</v>
      </c>
      <c r="AM100" s="540"/>
      <c r="AN100" s="540"/>
      <c r="AO100" s="540"/>
      <c r="AP100" s="533">
        <f t="shared" si="26"/>
        <v>7.333333333333333</v>
      </c>
      <c r="AQ100" s="540"/>
      <c r="AR100" s="540"/>
      <c r="AS100" s="540"/>
      <c r="AT100" s="540"/>
      <c r="AU100" s="540"/>
      <c r="AV100" s="540"/>
      <c r="AW100" s="540"/>
      <c r="AX100" s="540"/>
      <c r="AY100" s="540"/>
      <c r="AZ100" s="540"/>
      <c r="BA100" s="540"/>
      <c r="BB100" s="540"/>
      <c r="BC100" s="540"/>
      <c r="BD100" s="540"/>
      <c r="BE100" s="540"/>
      <c r="BF100" s="540"/>
      <c r="BG100" s="540"/>
      <c r="BH100" s="540"/>
      <c r="BI100" s="540"/>
      <c r="BJ100" s="540"/>
      <c r="BK100" s="540"/>
      <c r="BL100" s="540"/>
      <c r="BM100" s="540"/>
      <c r="BN100" s="540"/>
      <c r="BO100" s="526">
        <f ca="1">IF(ISERROR(IF(INDEX(Rig_Schedule_View!$I$11:$I$262,MATCH(Well_Data_NK_Upcoming!AG97,Rig_Schedule_View!$B$11:$B$262,0))=0,O100,(INDEX(Rig_Schedule_View!$I$11:$I$262,MATCH(Well_Data_NK_Upcoming!AG97,Rig_Schedule_View!$B$11:$B$262,0))))),O100,(IF(INDEX(Rig_Schedule_View!$I$11:$I$262,MATCH(Well_Data_NK_Upcoming!AG97,Rig_Schedule_View!$B$11:$B$262,0))=0,O100,(INDEX(Rig_Schedule_View!$I$11:$I$262,MATCH(Well_Data_NK_Upcoming!AG97,Rig_Schedule_View!$B$11:$B$262,0))))))</f>
        <v>42359</v>
      </c>
      <c r="BP100" s="526">
        <f ca="1">IF(ISERROR(IF(INDEX(Rig_Schedule_View!$J$11:$J$262,MATCH(Well_Data_NK_Upcoming!AG97,Rig_Schedule_View!$B$11:$B$262,0))=0,P100,(INDEX(Rig_Schedule_View!$J$11:$J$262,MATCH(Well_Data_NK_Upcoming!AG97,Rig_Schedule_View!$B$11:$B$262,0))))),P100,(IF(INDEX(Rig_Schedule_View!$J$11:$J$262,MATCH(Well_Data_NK_Upcoming!AG97,Rig_Schedule_View!$B$11:$B$262,0))=0,P100,(INDEX(Rig_Schedule_View!$J$11:$J$262,MATCH(Well_Data_NK_Upcoming!AG97,Rig_Schedule_View!$B$11:$B$262,0))))))</f>
        <v>42415</v>
      </c>
      <c r="BQ100" s="527"/>
      <c r="BR100" s="525"/>
      <c r="BS100" s="525"/>
      <c r="BT100" s="525"/>
      <c r="BU100" s="525"/>
      <c r="BV100" s="525"/>
      <c r="BW100" s="525"/>
      <c r="BX100" s="525"/>
      <c r="BY100" s="525"/>
      <c r="BZ100" s="525"/>
    </row>
    <row r="101" spans="1:78" x14ac:dyDescent="0.25">
      <c r="A101" s="540" t="s">
        <v>1616</v>
      </c>
      <c r="B101" s="540" t="s">
        <v>1616</v>
      </c>
      <c r="C101" s="540"/>
      <c r="D101" s="529" t="s">
        <v>2315</v>
      </c>
      <c r="E101" s="540"/>
      <c r="F101" s="528" t="str">
        <f t="shared" si="20"/>
        <v>SA</v>
      </c>
      <c r="G101" s="540" t="s">
        <v>17</v>
      </c>
      <c r="H101" s="536" t="s">
        <v>839</v>
      </c>
      <c r="I101" s="540"/>
      <c r="J101" s="540" t="s">
        <v>34</v>
      </c>
      <c r="K101" s="540" t="s">
        <v>14</v>
      </c>
      <c r="L101" s="540" t="s">
        <v>1511</v>
      </c>
      <c r="M101" s="539"/>
      <c r="N101" s="540"/>
      <c r="O101" s="532"/>
      <c r="P101" s="540"/>
      <c r="Q101" s="540"/>
      <c r="R101" s="537">
        <f>IF(ISERROR(VLOOKUP(G101,'Planning and Target Times'!$L$1:$AP$6,MATCH(K101&amp;"_"&amp;L101&amp;"_"&amp;J101,INDEX('Planning and Target Times'!$L$1:$AP$6,1,0),0),0)+5),"",(VLOOKUP(G101,'Planning and Target Times'!$L$1:$AP$6,MATCH(K101&amp;"_"&amp;L101&amp;"_"&amp;J101,INDEX('Planning and Target Times'!$L$1:$AP$6,1,0),0),0)+5))</f>
        <v>75</v>
      </c>
      <c r="S101" s="528">
        <f t="shared" si="22"/>
        <v>70</v>
      </c>
      <c r="T101" s="538" t="e">
        <f>VLOOKUP(G101,'Planning and Target Times'!$A$7:$G$12,MATCH(K101&amp;"-"&amp;L101&amp;"-"&amp;J101,INDEX('Planning and Target Times'!$A$7:$G$12,1,0),0),0)</f>
        <v>#N/A</v>
      </c>
      <c r="U101" s="540"/>
      <c r="V101" s="540"/>
      <c r="W101" s="540"/>
      <c r="X101" s="535" t="str">
        <f t="shared" si="21"/>
        <v>MA</v>
      </c>
      <c r="Y101" s="540"/>
      <c r="Z101" s="540"/>
      <c r="AA101" s="540"/>
      <c r="AB101" s="540"/>
      <c r="AC101" s="540"/>
      <c r="AD101" s="540"/>
      <c r="AE101" s="540" t="s">
        <v>91</v>
      </c>
      <c r="AF101" s="528"/>
      <c r="AG101" s="540" t="str">
        <f t="shared" si="23"/>
        <v>SA-0557-SA-MA-Inj-NW-V</v>
      </c>
      <c r="AH101" s="540" t="str">
        <f t="shared" si="24"/>
        <v>SA-0557-SP-267</v>
      </c>
      <c r="AI101" s="540" t="str">
        <f t="shared" si="25"/>
        <v>SA-0557-MA-NW-Inj</v>
      </c>
      <c r="AJ101" s="540">
        <f ca="1">IF(P101&gt;0,"RR",IF(O101&gt;0,0,COUNTIF($H$2:H101,H101)-IFERROR(COUNTIF(OFFSET($H$1,0,0,SUMPRODUCT(MAX(($H$2:H101=H101)*ROW($H$2:H101)*($O$2:O101&lt;&gt;""))),1),H101),0)))</f>
        <v>3</v>
      </c>
      <c r="AK101" s="527"/>
      <c r="AL101" s="528" t="str">
        <f>VLOOKUP(G101,'Planning and Target Times'!$I$2:$J$7,2,0)</f>
        <v>Carbonate</v>
      </c>
      <c r="AM101" s="540"/>
      <c r="AN101" s="540"/>
      <c r="AO101" s="540"/>
      <c r="AP101" s="533">
        <f t="shared" si="26"/>
        <v>0</v>
      </c>
      <c r="AQ101" s="540"/>
      <c r="AR101" s="540"/>
      <c r="AS101" s="540"/>
      <c r="AT101" s="540"/>
      <c r="AU101" s="540"/>
      <c r="AV101" s="540"/>
      <c r="AW101" s="540"/>
      <c r="AX101" s="540"/>
      <c r="AY101" s="540"/>
      <c r="AZ101" s="540"/>
      <c r="BA101" s="540"/>
      <c r="BB101" s="540"/>
      <c r="BC101" s="540"/>
      <c r="BD101" s="540"/>
      <c r="BE101" s="540"/>
      <c r="BF101" s="540"/>
      <c r="BG101" s="540"/>
      <c r="BH101" s="540"/>
      <c r="BI101" s="540"/>
      <c r="BJ101" s="540"/>
      <c r="BK101" s="540"/>
      <c r="BL101" s="540"/>
      <c r="BM101" s="540"/>
      <c r="BN101" s="540"/>
      <c r="BO101" s="526">
        <f ca="1">IF(ISERROR(IF(INDEX(Rig_Schedule_View!$I$11:$I$262,MATCH(Well_Data_NK_Upcoming!AG98,Rig_Schedule_View!$B$11:$B$262,0))=0,O101,(INDEX(Rig_Schedule_View!$I$11:$I$262,MATCH(Well_Data_NK_Upcoming!AG98,Rig_Schedule_View!$B$11:$B$262,0))))),O101,(IF(INDEX(Rig_Schedule_View!$I$11:$I$262,MATCH(Well_Data_NK_Upcoming!AG98,Rig_Schedule_View!$B$11:$B$262,0))=0,O101,(INDEX(Rig_Schedule_View!$I$11:$I$262,MATCH(Well_Data_NK_Upcoming!AG98,Rig_Schedule_View!$B$11:$B$262,0))))))</f>
        <v>42461</v>
      </c>
      <c r="BP101" s="526">
        <f ca="1">IF(ISERROR(IF(INDEX(Rig_Schedule_View!$J$11:$J$262,MATCH(Well_Data_NK_Upcoming!AG98,Rig_Schedule_View!$B$11:$B$262,0))=0,P101,(INDEX(Rig_Schedule_View!$J$11:$J$262,MATCH(Well_Data_NK_Upcoming!AG98,Rig_Schedule_View!$B$11:$B$262,0))))),P101,(IF(INDEX(Rig_Schedule_View!$J$11:$J$262,MATCH(Well_Data_NK_Upcoming!AG98,Rig_Schedule_View!$B$11:$B$262,0))=0,P101,(INDEX(Rig_Schedule_View!$J$11:$J$262,MATCH(Well_Data_NK_Upcoming!AG98,Rig_Schedule_View!$B$11:$B$262,0))))))</f>
        <v>42531</v>
      </c>
      <c r="BQ101" s="527"/>
      <c r="BR101" s="525"/>
      <c r="BS101" s="525"/>
      <c r="BT101" s="525"/>
      <c r="BU101" s="525"/>
      <c r="BV101" s="525"/>
      <c r="BW101" s="525"/>
      <c r="BX101" s="525"/>
      <c r="BY101" s="525"/>
      <c r="BZ101" s="525"/>
    </row>
    <row r="102" spans="1:78" x14ac:dyDescent="0.25">
      <c r="A102" s="540" t="s">
        <v>1764</v>
      </c>
      <c r="B102" s="540" t="s">
        <v>11</v>
      </c>
      <c r="C102" s="540"/>
      <c r="D102" s="529" t="s">
        <v>2300</v>
      </c>
      <c r="E102" s="540"/>
      <c r="F102" s="528" t="str">
        <f t="shared" si="20"/>
        <v>SA</v>
      </c>
      <c r="G102" s="540" t="s">
        <v>29</v>
      </c>
      <c r="H102" s="536" t="s">
        <v>1412</v>
      </c>
      <c r="I102" s="540"/>
      <c r="J102" s="540" t="s">
        <v>34</v>
      </c>
      <c r="K102" s="540" t="s">
        <v>14</v>
      </c>
      <c r="L102" s="540" t="s">
        <v>1416</v>
      </c>
      <c r="M102" s="539"/>
      <c r="N102" s="540"/>
      <c r="O102" s="532"/>
      <c r="P102" s="540"/>
      <c r="Q102" s="540"/>
      <c r="R102" s="537">
        <f>IF(ISERROR(VLOOKUP(G102,'Planning and Target Times'!$L$1:$AP$6,MATCH(K102&amp;"_"&amp;L102&amp;"_"&amp;J102,INDEX('Planning and Target Times'!$L$1:$AP$6,1,0),0),0)+5),"",(VLOOKUP(G102,'Planning and Target Times'!$L$1:$AP$6,MATCH(K102&amp;"_"&amp;L102&amp;"_"&amp;J102,INDEX('Planning and Target Times'!$L$1:$AP$6,1,0),0),0)+5))</f>
        <v>75</v>
      </c>
      <c r="S102" s="528">
        <f t="shared" si="22"/>
        <v>70</v>
      </c>
      <c r="T102" s="538" t="e">
        <f>VLOOKUP(G102,'Planning and Target Times'!$A$7:$G$12,MATCH(K102&amp;"-"&amp;L102&amp;"-"&amp;J102,INDEX('Planning and Target Times'!$A$7:$G$12,1,0),0),0)</f>
        <v>#N/A</v>
      </c>
      <c r="U102" s="540"/>
      <c r="V102" s="540"/>
      <c r="W102" s="540"/>
      <c r="X102" s="535" t="str">
        <f t="shared" si="21"/>
        <v>UB</v>
      </c>
      <c r="Y102" s="540"/>
      <c r="Z102" s="540"/>
      <c r="AA102" s="540"/>
      <c r="AB102" s="540"/>
      <c r="AC102" s="540"/>
      <c r="AD102" s="540"/>
      <c r="AE102" s="540" t="s">
        <v>91</v>
      </c>
      <c r="AF102" s="528"/>
      <c r="AG102" s="540" t="str">
        <f t="shared" si="23"/>
        <v>SA10-SA-UB-Inj-NW-SL</v>
      </c>
      <c r="AH102" s="540" t="str">
        <f t="shared" si="24"/>
        <v>SA10-SP-279</v>
      </c>
      <c r="AI102" s="540" t="str">
        <f t="shared" si="25"/>
        <v>SA10-UB-NW-Inj</v>
      </c>
      <c r="AJ102" s="540">
        <f ca="1">IF(P102&gt;0,"RR",IF(O102&gt;0,0,COUNTIF($H$2:H102,H102)-IFERROR(COUNTIF(OFFSET($H$1,0,0,SUMPRODUCT(MAX(($H$2:H102=H102)*ROW($H$2:H102)*($O$2:O102&lt;&gt;""))),1),H102),0)))</f>
        <v>3</v>
      </c>
      <c r="AK102" s="527"/>
      <c r="AL102" s="528" t="str">
        <f>VLOOKUP(G102,'Planning and Target Times'!$I$2:$J$7,2,0)</f>
        <v>Sandstone</v>
      </c>
      <c r="AM102" s="540"/>
      <c r="AN102" s="540"/>
      <c r="AO102" s="540"/>
      <c r="AP102" s="533">
        <f t="shared" si="26"/>
        <v>0</v>
      </c>
      <c r="AQ102" s="540"/>
      <c r="AR102" s="540"/>
      <c r="AS102" s="540"/>
      <c r="AT102" s="540"/>
      <c r="AU102" s="540"/>
      <c r="AV102" s="540"/>
      <c r="AW102" s="540"/>
      <c r="AX102" s="540"/>
      <c r="AY102" s="540"/>
      <c r="AZ102" s="540"/>
      <c r="BA102" s="540"/>
      <c r="BB102" s="540"/>
      <c r="BC102" s="540"/>
      <c r="BD102" s="540"/>
      <c r="BE102" s="540"/>
      <c r="BF102" s="540"/>
      <c r="BG102" s="540"/>
      <c r="BH102" s="540"/>
      <c r="BI102" s="540"/>
      <c r="BJ102" s="540"/>
      <c r="BK102" s="540"/>
      <c r="BL102" s="540"/>
      <c r="BM102" s="540"/>
      <c r="BN102" s="540"/>
      <c r="BO102" s="526">
        <f ca="1">IF(ISERROR(IF(INDEX(Rig_Schedule_View!$I$11:$I$262,MATCH(Well_Data_NK_Upcoming!AG79,Rig_Schedule_View!$B$11:$B$262,0))=0,O102,(INDEX(Rig_Schedule_View!$I$11:$I$262,MATCH(Well_Data_NK_Upcoming!AG79,Rig_Schedule_View!$B$11:$B$262,0))))),O102,(IF(INDEX(Rig_Schedule_View!$I$11:$I$262,MATCH(Well_Data_NK_Upcoming!AG79,Rig_Schedule_View!$B$11:$B$262,0))=0,O102,(INDEX(Rig_Schedule_View!$I$11:$I$262,MATCH(Well_Data_NK_Upcoming!AG79,Rig_Schedule_View!$B$11:$B$262,0))))))</f>
        <v>42408</v>
      </c>
      <c r="BP102" s="526">
        <f ca="1">IF(ISERROR(IF(INDEX(Rig_Schedule_View!$J$11:$J$262,MATCH(Well_Data_NK_Upcoming!AG79,Rig_Schedule_View!$B$11:$B$262,0))=0,P102,(INDEX(Rig_Schedule_View!$J$11:$J$262,MATCH(Well_Data_NK_Upcoming!AG79,Rig_Schedule_View!$B$11:$B$262,0))))),P102,(IF(INDEX(Rig_Schedule_View!$J$11:$J$262,MATCH(Well_Data_NK_Upcoming!AG79,Rig_Schedule_View!$B$11:$B$262,0))=0,P102,(INDEX(Rig_Schedule_View!$J$11:$J$262,MATCH(Well_Data_NK_Upcoming!AG79,Rig_Schedule_View!$B$11:$B$262,0))))))</f>
        <v>42478</v>
      </c>
      <c r="BQ102" s="527"/>
      <c r="BR102" s="525"/>
      <c r="BS102" s="525"/>
      <c r="BT102" s="525"/>
      <c r="BU102" s="525"/>
      <c r="BV102" s="525"/>
      <c r="BW102" s="525"/>
      <c r="BX102" s="525"/>
      <c r="BY102" s="525"/>
      <c r="BZ102" s="525"/>
    </row>
    <row r="103" spans="1:78" x14ac:dyDescent="0.25">
      <c r="A103" s="540" t="s">
        <v>1758</v>
      </c>
      <c r="B103" s="540" t="s">
        <v>11</v>
      </c>
      <c r="C103" s="540"/>
      <c r="D103" s="529" t="s">
        <v>2316</v>
      </c>
      <c r="E103" s="540"/>
      <c r="F103" s="528" t="str">
        <f t="shared" si="20"/>
        <v>SA</v>
      </c>
      <c r="G103" s="540" t="s">
        <v>22</v>
      </c>
      <c r="H103" s="536" t="s">
        <v>1413</v>
      </c>
      <c r="I103" s="540"/>
      <c r="J103" s="540" t="s">
        <v>298</v>
      </c>
      <c r="K103" s="540" t="s">
        <v>14</v>
      </c>
      <c r="L103" s="540" t="s">
        <v>1416</v>
      </c>
      <c r="M103" s="539"/>
      <c r="N103" s="540"/>
      <c r="O103" s="532"/>
      <c r="P103" s="540"/>
      <c r="Q103" s="540"/>
      <c r="R103" s="537">
        <f>IF(ISERROR(VLOOKUP(G103,'Planning and Target Times'!$L$1:$AP$6,MATCH(K103&amp;"_"&amp;L103&amp;"_"&amp;J103,INDEX('Planning and Target Times'!$L$1:$AP$6,1,0),0),0)+5),"",(VLOOKUP(G103,'Planning and Target Times'!$L$1:$AP$6,MATCH(K103&amp;"_"&amp;L103&amp;"_"&amp;J103,INDEX('Planning and Target Times'!$L$1:$AP$6,1,0),0),0)+5))</f>
        <v>75</v>
      </c>
      <c r="S103" s="528">
        <f t="shared" si="22"/>
        <v>70</v>
      </c>
      <c r="T103" s="538">
        <f>VLOOKUP(G103,'Planning and Target Times'!$A$7:$G$12,MATCH(K103&amp;"-"&amp;L103&amp;"-"&amp;J103,INDEX('Planning and Target Times'!$A$7:$G$12,1,0),0),0)</f>
        <v>33</v>
      </c>
      <c r="U103" s="540"/>
      <c r="V103" s="540"/>
      <c r="W103" s="540"/>
      <c r="X103" s="535" t="str">
        <f t="shared" si="21"/>
        <v>LB</v>
      </c>
      <c r="Y103" s="540"/>
      <c r="Z103" s="540"/>
      <c r="AA103" s="540"/>
      <c r="AB103" s="540"/>
      <c r="AC103" s="540"/>
      <c r="AD103" s="540"/>
      <c r="AE103" s="540" t="s">
        <v>91</v>
      </c>
      <c r="AF103" s="528"/>
      <c r="AG103" s="540" t="str">
        <f t="shared" si="23"/>
        <v>SA2-SA-LB-Prod-NW-SL</v>
      </c>
      <c r="AH103" s="540" t="str">
        <f t="shared" si="24"/>
        <v>SA2-SP-282</v>
      </c>
      <c r="AI103" s="540" t="str">
        <f t="shared" si="25"/>
        <v>SA2-LB-NW-Prod</v>
      </c>
      <c r="AJ103" s="540">
        <f ca="1">IF(P103&gt;0,"RR",IF(O103&gt;0,0,COUNTIF($H$2:H103,H103)-IFERROR(COUNTIF(OFFSET($H$1,0,0,SUMPRODUCT(MAX(($H$2:H103=H103)*ROW($H$2:H103)*($O$2:O103&lt;&gt;""))),1),H103),0)))</f>
        <v>3</v>
      </c>
      <c r="AK103" s="527"/>
      <c r="AL103" s="528" t="str">
        <f>VLOOKUP(G103,'Planning and Target Times'!$I$2:$J$7,2,0)</f>
        <v>Sandstone</v>
      </c>
      <c r="AM103" s="540"/>
      <c r="AN103" s="540"/>
      <c r="AO103" s="540"/>
      <c r="AP103" s="533">
        <f t="shared" si="26"/>
        <v>0</v>
      </c>
      <c r="AQ103" s="540"/>
      <c r="AR103" s="540"/>
      <c r="AS103" s="540"/>
      <c r="AT103" s="540"/>
      <c r="AU103" s="540"/>
      <c r="AV103" s="540"/>
      <c r="AW103" s="540"/>
      <c r="AX103" s="540"/>
      <c r="AY103" s="540"/>
      <c r="AZ103" s="540"/>
      <c r="BA103" s="540"/>
      <c r="BB103" s="540"/>
      <c r="BC103" s="540"/>
      <c r="BD103" s="540"/>
      <c r="BE103" s="540"/>
      <c r="BF103" s="540"/>
      <c r="BG103" s="540"/>
      <c r="BH103" s="540"/>
      <c r="BI103" s="540"/>
      <c r="BJ103" s="540"/>
      <c r="BK103" s="540"/>
      <c r="BL103" s="540"/>
      <c r="BM103" s="540"/>
      <c r="BN103" s="540"/>
      <c r="BO103" s="526">
        <f ca="1">IF(ISERROR(IF(INDEX(Rig_Schedule_View!$I$11:$I$262,MATCH(Well_Data_NK_Upcoming!AG99,Rig_Schedule_View!$B$11:$B$262,0))=0,O103,(INDEX(Rig_Schedule_View!$I$11:$I$262,MATCH(Well_Data_NK_Upcoming!AG99,Rig_Schedule_View!$B$11:$B$262,0))))),O103,(IF(INDEX(Rig_Schedule_View!$I$11:$I$262,MATCH(Well_Data_NK_Upcoming!AG99,Rig_Schedule_View!$B$11:$B$262,0))=0,O103,(INDEX(Rig_Schedule_View!$I$11:$I$262,MATCH(Well_Data_NK_Upcoming!AG99,Rig_Schedule_View!$B$11:$B$262,0))))))</f>
        <v>42483</v>
      </c>
      <c r="BP103" s="526">
        <f ca="1">IF(ISERROR(IF(INDEX(Rig_Schedule_View!$J$11:$J$262,MATCH(Well_Data_NK_Upcoming!AG99,Rig_Schedule_View!$B$11:$B$262,0))=0,P103,(INDEX(Rig_Schedule_View!$J$11:$J$262,MATCH(Well_Data_NK_Upcoming!AG99,Rig_Schedule_View!$B$11:$B$262,0))))),P103,(IF(INDEX(Rig_Schedule_View!$J$11:$J$262,MATCH(Well_Data_NK_Upcoming!AG99,Rig_Schedule_View!$B$11:$B$262,0))=0,P103,(INDEX(Rig_Schedule_View!$J$11:$J$262,MATCH(Well_Data_NK_Upcoming!AG99,Rig_Schedule_View!$B$11:$B$262,0))))))</f>
        <v>42553</v>
      </c>
      <c r="BQ103" s="527"/>
      <c r="BR103" s="525"/>
      <c r="BS103" s="525"/>
      <c r="BT103" s="525"/>
      <c r="BU103" s="525"/>
      <c r="BV103" s="525"/>
      <c r="BW103" s="525"/>
      <c r="BX103" s="525"/>
      <c r="BY103" s="525"/>
      <c r="BZ103" s="525"/>
    </row>
    <row r="104" spans="1:78" x14ac:dyDescent="0.25">
      <c r="A104" s="540" t="s">
        <v>1765</v>
      </c>
      <c r="B104" s="540" t="s">
        <v>11</v>
      </c>
      <c r="C104" s="540"/>
      <c r="D104" s="529" t="s">
        <v>2317</v>
      </c>
      <c r="E104" s="540"/>
      <c r="F104" s="528" t="str">
        <f t="shared" si="20"/>
        <v>SA</v>
      </c>
      <c r="G104" s="540" t="s">
        <v>29</v>
      </c>
      <c r="H104" s="536" t="s">
        <v>1414</v>
      </c>
      <c r="I104" s="540"/>
      <c r="J104" s="540" t="s">
        <v>298</v>
      </c>
      <c r="K104" s="540" t="s">
        <v>14</v>
      </c>
      <c r="L104" s="540" t="s">
        <v>1416</v>
      </c>
      <c r="M104" s="539"/>
      <c r="N104" s="540"/>
      <c r="O104" s="532"/>
      <c r="P104" s="540"/>
      <c r="Q104" s="540"/>
      <c r="R104" s="537">
        <f>IF(ISERROR(VLOOKUP(G104,'Planning and Target Times'!$L$1:$AP$6,MATCH(K104&amp;"_"&amp;L104&amp;"_"&amp;J104,INDEX('Planning and Target Times'!$L$1:$AP$6,1,0),0),0)+5),"",(VLOOKUP(G104,'Planning and Target Times'!$L$1:$AP$6,MATCH(K104&amp;"_"&amp;L104&amp;"_"&amp;J104,INDEX('Planning and Target Times'!$L$1:$AP$6,1,0),0),0)+5))</f>
        <v>75</v>
      </c>
      <c r="S104" s="528">
        <f t="shared" si="22"/>
        <v>70</v>
      </c>
      <c r="T104" s="538">
        <f>VLOOKUP(G104,'Planning and Target Times'!$A$7:$G$12,MATCH(K104&amp;"-"&amp;L104&amp;"-"&amp;J104,INDEX('Planning and Target Times'!$A$7:$G$12,1,0),0),0)</f>
        <v>33</v>
      </c>
      <c r="U104" s="540"/>
      <c r="V104" s="540"/>
      <c r="W104" s="540"/>
      <c r="X104" s="535" t="str">
        <f t="shared" si="21"/>
        <v>UB</v>
      </c>
      <c r="Y104" s="540"/>
      <c r="Z104" s="540"/>
      <c r="AA104" s="540"/>
      <c r="AB104" s="540"/>
      <c r="AC104" s="540"/>
      <c r="AD104" s="540"/>
      <c r="AE104" s="540" t="s">
        <v>91</v>
      </c>
      <c r="AF104" s="528"/>
      <c r="AG104" s="540" t="str">
        <f t="shared" si="23"/>
        <v>SA12-SA-UB-Prod-NW-SL</v>
      </c>
      <c r="AH104" s="540" t="str">
        <f t="shared" si="24"/>
        <v>SA12-SP-283</v>
      </c>
      <c r="AI104" s="540" t="str">
        <f t="shared" si="25"/>
        <v>SA12-UB-NW-Prod</v>
      </c>
      <c r="AJ104" s="540">
        <f ca="1">IF(P104&gt;0,"RR",IF(O104&gt;0,0,COUNTIF($H$2:H104,H104)-IFERROR(COUNTIF(OFFSET($H$1,0,0,SUMPRODUCT(MAX(($H$2:H104=H104)*ROW($H$2:H104)*($O$2:O104&lt;&gt;""))),1),H104),0)))</f>
        <v>3</v>
      </c>
      <c r="AK104" s="527">
        <f>IF(ISERROR(VLOOKUP(G104,'Planning and Target Times'!$B$106:$D$110,MATCH(F104,INDEX('Planning and Target Times'!$B$106:$D$110,1,0),0),0)),"",(VLOOKUP(G104,'Planning and Target Times'!$B$106:$D$110,MATCH(F104,INDEX('Planning and Target Times'!$B$106:$D$110,1,0),0),0)))</f>
        <v>630</v>
      </c>
      <c r="AL104" s="528" t="str">
        <f>VLOOKUP(G104,'Planning and Target Times'!$I$2:$J$7,2,0)</f>
        <v>Sandstone</v>
      </c>
      <c r="AM104" s="540"/>
      <c r="AN104" s="540"/>
      <c r="AO104" s="540"/>
      <c r="AP104" s="533">
        <f t="shared" si="26"/>
        <v>8.4</v>
      </c>
      <c r="AQ104" s="540"/>
      <c r="AR104" s="540"/>
      <c r="AS104" s="540"/>
      <c r="AT104" s="540"/>
      <c r="AU104" s="540"/>
      <c r="AV104" s="540"/>
      <c r="AW104" s="540"/>
      <c r="AX104" s="540"/>
      <c r="AY104" s="540"/>
      <c r="AZ104" s="540"/>
      <c r="BA104" s="540"/>
      <c r="BB104" s="540"/>
      <c r="BC104" s="540"/>
      <c r="BD104" s="540"/>
      <c r="BE104" s="540"/>
      <c r="BF104" s="540"/>
      <c r="BG104" s="540"/>
      <c r="BH104" s="540"/>
      <c r="BI104" s="540"/>
      <c r="BJ104" s="540"/>
      <c r="BK104" s="540"/>
      <c r="BL104" s="540"/>
      <c r="BM104" s="540"/>
      <c r="BN104" s="540"/>
      <c r="BO104" s="526">
        <f ca="1">IF(ISERROR(IF(INDEX(Rig_Schedule_View!$I$11:$I$262,MATCH(Well_Data_NK_Upcoming!AG100,Rig_Schedule_View!$B$11:$B$262,0))=0,O104,(INDEX(Rig_Schedule_View!$I$11:$I$262,MATCH(Well_Data_NK_Upcoming!AG100,Rig_Schedule_View!$B$11:$B$262,0))))),O104,(IF(INDEX(Rig_Schedule_View!$I$11:$I$262,MATCH(Well_Data_NK_Upcoming!AG100,Rig_Schedule_View!$B$11:$B$262,0))=0,O104,(INDEX(Rig_Schedule_View!$I$11:$I$262,MATCH(Well_Data_NK_Upcoming!AG100,Rig_Schedule_View!$B$11:$B$262,0))))))</f>
        <v>42398</v>
      </c>
      <c r="BP104" s="526">
        <f ca="1">IF(ISERROR(IF(INDEX(Rig_Schedule_View!$J$11:$J$262,MATCH(Well_Data_NK_Upcoming!AG100,Rig_Schedule_View!$B$11:$B$262,0))=0,P104,(INDEX(Rig_Schedule_View!$J$11:$J$262,MATCH(Well_Data_NK_Upcoming!AG100,Rig_Schedule_View!$B$11:$B$262,0))))),P104,(IF(INDEX(Rig_Schedule_View!$J$11:$J$262,MATCH(Well_Data_NK_Upcoming!AG100,Rig_Schedule_View!$B$11:$B$262,0))=0,P104,(INDEX(Rig_Schedule_View!$J$11:$J$262,MATCH(Well_Data_NK_Upcoming!AG100,Rig_Schedule_View!$B$11:$B$262,0))))))</f>
        <v>42468</v>
      </c>
      <c r="BQ104" s="527"/>
      <c r="BR104" s="525"/>
      <c r="BS104" s="525"/>
      <c r="BT104" s="525"/>
      <c r="BU104" s="525"/>
      <c r="BV104" s="525"/>
      <c r="BW104" s="525"/>
      <c r="BX104" s="525"/>
      <c r="BY104" s="525"/>
      <c r="BZ104" s="525"/>
    </row>
    <row r="105" spans="1:78" x14ac:dyDescent="0.25">
      <c r="A105" s="540" t="s">
        <v>1726</v>
      </c>
      <c r="B105" s="540" t="s">
        <v>42</v>
      </c>
      <c r="C105" s="540"/>
      <c r="D105" s="529" t="s">
        <v>2318</v>
      </c>
      <c r="E105" s="540"/>
      <c r="F105" s="528" t="str">
        <f t="shared" si="20"/>
        <v>RA</v>
      </c>
      <c r="G105" s="540" t="s">
        <v>22</v>
      </c>
      <c r="H105" s="536" t="s">
        <v>1415</v>
      </c>
      <c r="I105" s="540" t="s">
        <v>24</v>
      </c>
      <c r="J105" s="540" t="s">
        <v>298</v>
      </c>
      <c r="K105" s="540" t="s">
        <v>14</v>
      </c>
      <c r="L105" s="540" t="s">
        <v>1410</v>
      </c>
      <c r="M105" s="539"/>
      <c r="N105" s="540"/>
      <c r="O105" s="532"/>
      <c r="P105" s="540"/>
      <c r="Q105" s="540"/>
      <c r="R105" s="537">
        <f>IF(ISERROR(VLOOKUP(G105,'Planning and Target Times'!$L$1:$AP$6,MATCH(K105&amp;"_"&amp;L105&amp;"_"&amp;J105,INDEX('Planning and Target Times'!$L$1:$AP$6,1,0),0),0)+5),"",(VLOOKUP(G105,'Planning and Target Times'!$L$1:$AP$6,MATCH(K105&amp;"_"&amp;L105&amp;"_"&amp;J105,INDEX('Planning and Target Times'!$L$1:$AP$6,1,0),0),0)+5))</f>
        <v>75</v>
      </c>
      <c r="S105" s="528">
        <f t="shared" si="22"/>
        <v>70</v>
      </c>
      <c r="T105" s="538">
        <f>VLOOKUP(G105,'Planning and Target Times'!$A$7:$G$12,MATCH(K105&amp;"-"&amp;L105&amp;"-"&amp;J105,INDEX('Planning and Target Times'!$A$7:$G$12,1,0),0),0)</f>
        <v>35</v>
      </c>
      <c r="U105" s="540"/>
      <c r="V105" s="540"/>
      <c r="W105" s="540"/>
      <c r="X105" s="535" t="str">
        <f t="shared" si="21"/>
        <v>LB</v>
      </c>
      <c r="Y105" s="540"/>
      <c r="Z105" s="540"/>
      <c r="AA105" s="540"/>
      <c r="AB105" s="540"/>
      <c r="AC105" s="540"/>
      <c r="AD105" s="540"/>
      <c r="AE105" s="540" t="s">
        <v>91</v>
      </c>
      <c r="AF105" s="528"/>
      <c r="AG105" s="540" t="str">
        <f t="shared" si="23"/>
        <v>RA12-RA-LB-Prod-NW-HZ-SLB</v>
      </c>
      <c r="AH105" s="540" t="str">
        <f t="shared" si="24"/>
        <v>RA12-SP-288</v>
      </c>
      <c r="AI105" s="540" t="str">
        <f t="shared" si="25"/>
        <v>RA12-LB-NW-Prod</v>
      </c>
      <c r="AJ105" s="540">
        <f ca="1">IF(P105&gt;0,"RR",IF(O105&gt;0,0,COUNTIF($H$2:H105,H105)-IFERROR(COUNTIF(OFFSET($H$1,0,0,SUMPRODUCT(MAX(($H$2:H105=H105)*ROW($H$2:H105)*($O$2:O105&lt;&gt;""))),1),H105),0)))</f>
        <v>3</v>
      </c>
      <c r="AK105" s="527">
        <f>IF(ISERROR(VLOOKUP(G105,'Planning and Target Times'!$B$106:$D$110,MATCH(F105,INDEX('Planning and Target Times'!$B$106:$D$110,1,0),0),0)),"",(VLOOKUP(G105,'Planning and Target Times'!$B$106:$D$110,MATCH(F105,INDEX('Planning and Target Times'!$B$106:$D$110,1,0),0),0)))</f>
        <v>900</v>
      </c>
      <c r="AL105" s="528" t="str">
        <f>VLOOKUP(G105,'Planning and Target Times'!$I$2:$J$7,2,0)</f>
        <v>Sandstone</v>
      </c>
      <c r="AM105" s="540"/>
      <c r="AN105" s="540"/>
      <c r="AO105" s="540"/>
      <c r="AP105" s="533">
        <f t="shared" si="26"/>
        <v>12</v>
      </c>
      <c r="AQ105" s="540"/>
      <c r="AR105" s="540"/>
      <c r="AS105" s="540"/>
      <c r="AT105" s="540"/>
      <c r="AU105" s="540"/>
      <c r="AV105" s="540"/>
      <c r="AW105" s="540"/>
      <c r="AX105" s="540"/>
      <c r="AY105" s="540"/>
      <c r="AZ105" s="540"/>
      <c r="BA105" s="540"/>
      <c r="BB105" s="540"/>
      <c r="BC105" s="540"/>
      <c r="BD105" s="540"/>
      <c r="BE105" s="540"/>
      <c r="BF105" s="540"/>
      <c r="BG105" s="540"/>
      <c r="BH105" s="540"/>
      <c r="BI105" s="540"/>
      <c r="BJ105" s="540"/>
      <c r="BK105" s="540"/>
      <c r="BL105" s="540"/>
      <c r="BM105" s="540"/>
      <c r="BN105" s="540"/>
      <c r="BO105" s="526">
        <f ca="1">IF(ISERROR(IF(INDEX(Rig_Schedule_View!$I$11:$I$262,MATCH(Well_Data_NK_Upcoming!AG120,Rig_Schedule_View!$B$11:$B$262,0))=0,O105,(INDEX(Rig_Schedule_View!$I$11:$I$262,MATCH(Well_Data_NK_Upcoming!AG120,Rig_Schedule_View!$B$11:$B$262,0))))),O105,(IF(INDEX(Rig_Schedule_View!$I$11:$I$262,MATCH(Well_Data_NK_Upcoming!AG120,Rig_Schedule_View!$B$11:$B$262,0))=0,O105,(INDEX(Rig_Schedule_View!$I$11:$I$262,MATCH(Well_Data_NK_Upcoming!AG120,Rig_Schedule_View!$B$11:$B$262,0))))))</f>
        <v>42473</v>
      </c>
      <c r="BP105" s="526">
        <f ca="1">IF(ISERROR(IF(INDEX(Rig_Schedule_View!$J$11:$J$262,MATCH(Well_Data_NK_Upcoming!AG120,Rig_Schedule_View!$B$11:$B$262,0))=0,P105,(INDEX(Rig_Schedule_View!$J$11:$J$262,MATCH(Well_Data_NK_Upcoming!AG120,Rig_Schedule_View!$B$11:$B$262,0))))),P105,(IF(INDEX(Rig_Schedule_View!$J$11:$J$262,MATCH(Well_Data_NK_Upcoming!AG120,Rig_Schedule_View!$B$11:$B$262,0))=0,P105,(INDEX(Rig_Schedule_View!$J$11:$J$262,MATCH(Well_Data_NK_Upcoming!AG120,Rig_Schedule_View!$B$11:$B$262,0))))))</f>
        <v>42543</v>
      </c>
      <c r="BQ105" s="527"/>
      <c r="BR105" s="525"/>
      <c r="BS105" s="525"/>
      <c r="BT105" s="525"/>
      <c r="BU105" s="525"/>
      <c r="BV105" s="525"/>
      <c r="BW105" s="525"/>
      <c r="BX105" s="525"/>
      <c r="BY105" s="525"/>
      <c r="BZ105" s="525"/>
    </row>
    <row r="106" spans="1:78" x14ac:dyDescent="0.25">
      <c r="A106" s="540" t="s">
        <v>1760</v>
      </c>
      <c r="B106" s="540" t="s">
        <v>11</v>
      </c>
      <c r="C106" s="540"/>
      <c r="D106" s="529" t="s">
        <v>2319</v>
      </c>
      <c r="E106" s="540"/>
      <c r="F106" s="528" t="str">
        <f t="shared" si="20"/>
        <v>SA</v>
      </c>
      <c r="G106" s="540" t="s">
        <v>17</v>
      </c>
      <c r="H106" s="536" t="s">
        <v>734</v>
      </c>
      <c r="I106" s="540"/>
      <c r="J106" s="540" t="s">
        <v>298</v>
      </c>
      <c r="K106" s="540" t="s">
        <v>14</v>
      </c>
      <c r="L106" s="540" t="s">
        <v>1410</v>
      </c>
      <c r="M106" s="539"/>
      <c r="N106" s="540"/>
      <c r="O106" s="532"/>
      <c r="P106" s="540"/>
      <c r="Q106" s="540"/>
      <c r="R106" s="537">
        <f>IF(ISERROR(VLOOKUP(G106,'Planning and Target Times'!$L$1:$AP$6,MATCH(K106&amp;"_"&amp;L106&amp;"_"&amp;J106,INDEX('Planning and Target Times'!$L$1:$AP$6,1,0),0),0)+5),"",(VLOOKUP(G106,'Planning and Target Times'!$L$1:$AP$6,MATCH(K106&amp;"_"&amp;L106&amp;"_"&amp;J106,INDEX('Planning and Target Times'!$L$1:$AP$6,1,0),0),0)+5))</f>
        <v>75</v>
      </c>
      <c r="S106" s="528">
        <f t="shared" si="22"/>
        <v>70</v>
      </c>
      <c r="T106" s="538">
        <f>VLOOKUP(G106,'Planning and Target Times'!$A$7:$G$12,MATCH(K106&amp;"-"&amp;L106&amp;"-"&amp;J106,INDEX('Planning and Target Times'!$A$7:$G$12,1,0),0),0)</f>
        <v>35</v>
      </c>
      <c r="U106" s="540"/>
      <c r="V106" s="540"/>
      <c r="W106" s="540"/>
      <c r="X106" s="535" t="str">
        <f t="shared" si="21"/>
        <v>MA</v>
      </c>
      <c r="Y106" s="540"/>
      <c r="Z106" s="540"/>
      <c r="AA106" s="540"/>
      <c r="AB106" s="540"/>
      <c r="AC106" s="540"/>
      <c r="AD106" s="540"/>
      <c r="AE106" s="540" t="s">
        <v>91</v>
      </c>
      <c r="AF106" s="528"/>
      <c r="AG106" s="540" t="str">
        <f t="shared" si="23"/>
        <v>SA4-SA-MA-Prod-NW-HZ</v>
      </c>
      <c r="AH106" s="540" t="str">
        <f t="shared" si="24"/>
        <v>SA4-SP-294</v>
      </c>
      <c r="AI106" s="540" t="str">
        <f t="shared" si="25"/>
        <v>SA4-MA-NW-Prod</v>
      </c>
      <c r="AJ106" s="540">
        <f ca="1">IF(P106&gt;0,"RR",IF(O106&gt;0,0,COUNTIF($H$2:H106,H106)-IFERROR(COUNTIF(OFFSET($H$1,0,0,SUMPRODUCT(MAX(($H$2:H106=H106)*ROW($H$2:H106)*($O$2:O106&lt;&gt;""))),1),H106),0)))</f>
        <v>3</v>
      </c>
      <c r="AK106" s="527">
        <f>IF(ISERROR(VLOOKUP(G106,'Planning and Target Times'!$B$106:$D$110,MATCH(F106,INDEX('Planning and Target Times'!$B$106:$D$110,1,0),0),0)),"",(VLOOKUP(G106,'Planning and Target Times'!$B$106:$D$110,MATCH(F106,INDEX('Planning and Target Times'!$B$106:$D$110,1,0),0),0)))</f>
        <v>740</v>
      </c>
      <c r="AL106" s="528" t="str">
        <f>VLOOKUP(G106,'Planning and Target Times'!$I$2:$J$7,2,0)</f>
        <v>Carbonate</v>
      </c>
      <c r="AM106" s="540"/>
      <c r="AN106" s="540"/>
      <c r="AO106" s="540"/>
      <c r="AP106" s="533">
        <f t="shared" si="26"/>
        <v>9.8666666666666671</v>
      </c>
      <c r="AQ106" s="540"/>
      <c r="AR106" s="540"/>
      <c r="AS106" s="540"/>
      <c r="AT106" s="540"/>
      <c r="AU106" s="540"/>
      <c r="AV106" s="540"/>
      <c r="AW106" s="540"/>
      <c r="AX106" s="540"/>
      <c r="AY106" s="540"/>
      <c r="AZ106" s="540"/>
      <c r="BA106" s="540"/>
      <c r="BB106" s="540"/>
      <c r="BC106" s="540"/>
      <c r="BD106" s="540"/>
      <c r="BE106" s="540"/>
      <c r="BF106" s="540"/>
      <c r="BG106" s="540"/>
      <c r="BH106" s="540"/>
      <c r="BI106" s="540"/>
      <c r="BJ106" s="540"/>
      <c r="BK106" s="540"/>
      <c r="BL106" s="540"/>
      <c r="BM106" s="540"/>
      <c r="BN106" s="540"/>
      <c r="BO106" s="526">
        <f ca="1">IF(ISERROR(IF(INDEX(Rig_Schedule_View!$I$11:$I$262,MATCH(Well_Data_NK_Upcoming!AG102,Rig_Schedule_View!$B$11:$B$262,0))=0,O106,(INDEX(Rig_Schedule_View!$I$11:$I$262,MATCH(Well_Data_NK_Upcoming!AG102,Rig_Schedule_View!$B$11:$B$262,0))))),O106,(IF(INDEX(Rig_Schedule_View!$I$11:$I$262,MATCH(Well_Data_NK_Upcoming!AG102,Rig_Schedule_View!$B$11:$B$262,0))=0,O106,(INDEX(Rig_Schedule_View!$I$11:$I$262,MATCH(Well_Data_NK_Upcoming!AG102,Rig_Schedule_View!$B$11:$B$262,0))))))</f>
        <v>42395</v>
      </c>
      <c r="BP106" s="526">
        <f ca="1">IF(ISERROR(IF(INDEX(Rig_Schedule_View!$J$11:$J$262,MATCH(Well_Data_NK_Upcoming!AG102,Rig_Schedule_View!$B$11:$B$262,0))=0,P106,(INDEX(Rig_Schedule_View!$J$11:$J$262,MATCH(Well_Data_NK_Upcoming!AG102,Rig_Schedule_View!$B$11:$B$262,0))))),P106,(IF(INDEX(Rig_Schedule_View!$J$11:$J$262,MATCH(Well_Data_NK_Upcoming!AG102,Rig_Schedule_View!$B$11:$B$262,0))=0,P106,(INDEX(Rig_Schedule_View!$J$11:$J$262,MATCH(Well_Data_NK_Upcoming!AG102,Rig_Schedule_View!$B$11:$B$262,0))))))</f>
        <v>42465</v>
      </c>
      <c r="BQ106" s="527"/>
      <c r="BR106" s="525"/>
      <c r="BS106" s="525"/>
      <c r="BT106" s="525"/>
      <c r="BU106" s="525"/>
      <c r="BV106" s="525"/>
      <c r="BW106" s="525"/>
      <c r="BX106" s="525"/>
      <c r="BY106" s="525"/>
      <c r="BZ106" s="525"/>
    </row>
    <row r="107" spans="1:78" x14ac:dyDescent="0.25">
      <c r="A107" s="540" t="s">
        <v>1767</v>
      </c>
      <c r="B107" s="540" t="s">
        <v>11</v>
      </c>
      <c r="C107" s="540"/>
      <c r="D107" s="529" t="s">
        <v>2320</v>
      </c>
      <c r="E107" s="540"/>
      <c r="F107" s="528" t="str">
        <f t="shared" si="20"/>
        <v>SA</v>
      </c>
      <c r="G107" s="540" t="s">
        <v>17</v>
      </c>
      <c r="H107" s="536" t="s">
        <v>735</v>
      </c>
      <c r="I107" s="540"/>
      <c r="J107" s="540" t="s">
        <v>34</v>
      </c>
      <c r="K107" s="540" t="s">
        <v>18</v>
      </c>
      <c r="L107" s="540" t="s">
        <v>1410</v>
      </c>
      <c r="M107" s="539"/>
      <c r="N107" s="540"/>
      <c r="O107" s="532"/>
      <c r="P107" s="540"/>
      <c r="Q107" s="540"/>
      <c r="R107" s="537">
        <f>IF(ISERROR(VLOOKUP(G107,'Planning and Target Times'!$L$1:$AP$6,MATCH(K107&amp;"_"&amp;L107&amp;"_"&amp;J107,INDEX('Planning and Target Times'!$L$1:$AP$6,1,0),0),0)+5),"",(VLOOKUP(G107,'Planning and Target Times'!$L$1:$AP$6,MATCH(K107&amp;"_"&amp;L107&amp;"_"&amp;J107,INDEX('Planning and Target Times'!$L$1:$AP$6,1,0),0),0)+5))</f>
        <v>54</v>
      </c>
      <c r="S107" s="528">
        <f t="shared" si="22"/>
        <v>49</v>
      </c>
      <c r="T107" s="538">
        <f>VLOOKUP(G107,'Planning and Target Times'!$A$7:$G$12,MATCH(K107&amp;"-"&amp;L107&amp;"-"&amp;J107,INDEX('Planning and Target Times'!$A$7:$G$12,1,0),0),0)</f>
        <v>25</v>
      </c>
      <c r="U107" s="540"/>
      <c r="V107" s="540"/>
      <c r="W107" s="540"/>
      <c r="X107" s="535" t="str">
        <f t="shared" si="21"/>
        <v>MA</v>
      </c>
      <c r="Y107" s="540"/>
      <c r="Z107" s="540"/>
      <c r="AA107" s="540"/>
      <c r="AB107" s="540"/>
      <c r="AC107" s="540"/>
      <c r="AD107" s="540"/>
      <c r="AE107" s="540" t="s">
        <v>91</v>
      </c>
      <c r="AF107" s="528"/>
      <c r="AG107" s="540" t="str">
        <f t="shared" si="23"/>
        <v>SA14-SA-MA-Inj-ST-HZ</v>
      </c>
      <c r="AH107" s="540" t="str">
        <f t="shared" si="24"/>
        <v>SA14-SP-295</v>
      </c>
      <c r="AI107" s="540" t="str">
        <f t="shared" si="25"/>
        <v>SA14-MA-ST-Inj</v>
      </c>
      <c r="AJ107" s="540">
        <f ca="1">IF(P107&gt;0,"RR",IF(O107&gt;0,0,COUNTIF($H$2:H107,H107)-IFERROR(COUNTIF(OFFSET($H$1,0,0,SUMPRODUCT(MAX(($H$2:H107=H107)*ROW($H$2:H107)*($O$2:O107&lt;&gt;""))),1),H107),0)))</f>
        <v>3</v>
      </c>
      <c r="AK107" s="527"/>
      <c r="AL107" s="528" t="str">
        <f>VLOOKUP(G107,'Planning and Target Times'!$I$2:$J$7,2,0)</f>
        <v>Carbonate</v>
      </c>
      <c r="AM107" s="540"/>
      <c r="AN107" s="540"/>
      <c r="AO107" s="540"/>
      <c r="AP107" s="533">
        <f t="shared" si="26"/>
        <v>0</v>
      </c>
      <c r="AQ107" s="540"/>
      <c r="AR107" s="540"/>
      <c r="AS107" s="540"/>
      <c r="AT107" s="540"/>
      <c r="AU107" s="540"/>
      <c r="AV107" s="540"/>
      <c r="AW107" s="540"/>
      <c r="AX107" s="540"/>
      <c r="AY107" s="540"/>
      <c r="AZ107" s="540"/>
      <c r="BA107" s="540"/>
      <c r="BB107" s="540"/>
      <c r="BC107" s="540"/>
      <c r="BD107" s="540"/>
      <c r="BE107" s="540"/>
      <c r="BF107" s="540"/>
      <c r="BG107" s="540"/>
      <c r="BH107" s="540"/>
      <c r="BI107" s="540"/>
      <c r="BJ107" s="540"/>
      <c r="BK107" s="540"/>
      <c r="BL107" s="540"/>
      <c r="BM107" s="540"/>
      <c r="BN107" s="540"/>
      <c r="BO107" s="526">
        <f ca="1">IF(ISERROR(IF(INDEX(Rig_Schedule_View!$I$11:$I$262,MATCH(Well_Data_NK_Upcoming!AG103,Rig_Schedule_View!$B$11:$B$262,0))=0,O107,(INDEX(Rig_Schedule_View!$I$11:$I$262,MATCH(Well_Data_NK_Upcoming!AG103,Rig_Schedule_View!$B$11:$B$262,0))))),O107,(IF(INDEX(Rig_Schedule_View!$I$11:$I$262,MATCH(Well_Data_NK_Upcoming!AG103,Rig_Schedule_View!$B$11:$B$262,0))=0,O107,(INDEX(Rig_Schedule_View!$I$11:$I$262,MATCH(Well_Data_NK_Upcoming!AG103,Rig_Schedule_View!$B$11:$B$262,0))))))</f>
        <v>42393</v>
      </c>
      <c r="BP107" s="526">
        <f ca="1">IF(ISERROR(IF(INDEX(Rig_Schedule_View!$J$11:$J$262,MATCH(Well_Data_NK_Upcoming!AG103,Rig_Schedule_View!$B$11:$B$262,0))=0,P107,(INDEX(Rig_Schedule_View!$J$11:$J$262,MATCH(Well_Data_NK_Upcoming!AG103,Rig_Schedule_View!$B$11:$B$262,0))))),P107,(IF(INDEX(Rig_Schedule_View!$J$11:$J$262,MATCH(Well_Data_NK_Upcoming!AG103,Rig_Schedule_View!$B$11:$B$262,0))=0,P107,(INDEX(Rig_Schedule_View!$J$11:$J$262,MATCH(Well_Data_NK_Upcoming!AG103,Rig_Schedule_View!$B$11:$B$262,0))))))</f>
        <v>42463</v>
      </c>
      <c r="BQ107" s="527"/>
      <c r="BR107" s="525"/>
      <c r="BS107" s="525"/>
      <c r="BT107" s="525"/>
      <c r="BU107" s="525"/>
      <c r="BV107" s="525"/>
      <c r="BW107" s="525"/>
      <c r="BX107" s="525"/>
      <c r="BY107" s="525"/>
      <c r="BZ107" s="525"/>
    </row>
    <row r="108" spans="1:78" x14ac:dyDescent="0.25">
      <c r="A108" s="540" t="s">
        <v>1599</v>
      </c>
      <c r="B108" s="540" t="s">
        <v>1599</v>
      </c>
      <c r="C108" s="540"/>
      <c r="D108" s="529" t="s">
        <v>2321</v>
      </c>
      <c r="E108" s="540"/>
      <c r="F108" s="528" t="str">
        <f t="shared" si="20"/>
        <v>SA</v>
      </c>
      <c r="G108" s="540" t="s">
        <v>17</v>
      </c>
      <c r="H108" s="536" t="s">
        <v>1171</v>
      </c>
      <c r="I108" s="540" t="s">
        <v>78</v>
      </c>
      <c r="J108" s="540" t="s">
        <v>298</v>
      </c>
      <c r="K108" s="540" t="s">
        <v>18</v>
      </c>
      <c r="L108" s="540" t="s">
        <v>1410</v>
      </c>
      <c r="M108" s="539"/>
      <c r="N108" s="540"/>
      <c r="O108" s="532"/>
      <c r="P108" s="540"/>
      <c r="Q108" s="540"/>
      <c r="R108" s="537">
        <f>IF(ISERROR(VLOOKUP(G108,'Planning and Target Times'!$L$1:$AP$6,MATCH(K108&amp;"_"&amp;L108&amp;"_"&amp;J108,INDEX('Planning and Target Times'!$L$1:$AP$6,1,0),0),0)+5),"",(VLOOKUP(G108,'Planning and Target Times'!$L$1:$AP$6,MATCH(K108&amp;"_"&amp;L108&amp;"_"&amp;J108,INDEX('Planning and Target Times'!$L$1:$AP$6,1,0),0),0)+5))</f>
        <v>61</v>
      </c>
      <c r="S108" s="528">
        <f t="shared" si="22"/>
        <v>56</v>
      </c>
      <c r="T108" s="538">
        <f>VLOOKUP(G108,'Planning and Target Times'!$A$7:$G$12,MATCH(K108&amp;"-"&amp;L108&amp;"-"&amp;J108,INDEX('Planning and Target Times'!$A$7:$G$12,1,0),0),0)</f>
        <v>27</v>
      </c>
      <c r="U108" s="540"/>
      <c r="V108" s="540"/>
      <c r="W108" s="540"/>
      <c r="X108" s="535" t="str">
        <f t="shared" si="21"/>
        <v>MA</v>
      </c>
      <c r="Y108" s="540"/>
      <c r="Z108" s="540"/>
      <c r="AA108" s="540"/>
      <c r="AB108" s="540"/>
      <c r="AC108" s="540"/>
      <c r="AD108" s="540"/>
      <c r="AE108" s="540" t="s">
        <v>91</v>
      </c>
      <c r="AF108" s="528"/>
      <c r="AG108" s="540" t="str">
        <f t="shared" si="23"/>
        <v>SA-0142-SA-MA-Prod-ST-HZ-Baker</v>
      </c>
      <c r="AH108" s="540" t="str">
        <f t="shared" si="24"/>
        <v>SA-0142-KDC-25</v>
      </c>
      <c r="AI108" s="540" t="str">
        <f t="shared" si="25"/>
        <v>SA-0142-MA-ST-Prod</v>
      </c>
      <c r="AJ108" s="540">
        <f ca="1">IF(P108&gt;0,"RR",IF(O108&gt;0,0,COUNTIF($H$2:H108,H108)-IFERROR(COUNTIF(OFFSET($H$1,0,0,SUMPRODUCT(MAX(($H$2:H108=H108)*ROW($H$2:H108)*($O$2:O108&lt;&gt;""))),1),H108),0)))</f>
        <v>4</v>
      </c>
      <c r="AK108" s="527">
        <f>IF(ISERROR(VLOOKUP(G108,'Planning and Target Times'!$B$106:$D$110,MATCH(F108,INDEX('Planning and Target Times'!$B$106:$D$110,1,0),0),0)),"",(VLOOKUP(G108,'Planning and Target Times'!$B$106:$D$110,MATCH(F108,INDEX('Planning and Target Times'!$B$106:$D$110,1,0),0),0)))</f>
        <v>740</v>
      </c>
      <c r="AL108" s="528" t="str">
        <f>VLOOKUP(G108,'Planning and Target Times'!$I$2:$J$7,2,0)</f>
        <v>Carbonate</v>
      </c>
      <c r="AM108" s="540"/>
      <c r="AN108" s="540"/>
      <c r="AO108" s="540"/>
      <c r="AP108" s="533">
        <f t="shared" si="26"/>
        <v>12.131147540983607</v>
      </c>
      <c r="AQ108" s="540"/>
      <c r="AR108" s="540"/>
      <c r="AS108" s="540"/>
      <c r="AT108" s="540"/>
      <c r="AU108" s="540"/>
      <c r="AV108" s="540"/>
      <c r="AW108" s="540"/>
      <c r="AX108" s="540"/>
      <c r="AY108" s="540"/>
      <c r="AZ108" s="540"/>
      <c r="BA108" s="540"/>
      <c r="BB108" s="540"/>
      <c r="BC108" s="540"/>
      <c r="BD108" s="540"/>
      <c r="BE108" s="540"/>
      <c r="BF108" s="540"/>
      <c r="BG108" s="540"/>
      <c r="BH108" s="540"/>
      <c r="BI108" s="540"/>
      <c r="BJ108" s="540"/>
      <c r="BK108" s="540"/>
      <c r="BL108" s="540"/>
      <c r="BM108" s="540"/>
      <c r="BN108" s="540"/>
      <c r="BO108" s="526">
        <f ca="1">IF(ISERROR(IF(INDEX(Rig_Schedule_View!$I$11:$I$262,MATCH(Well_Data_NK_Upcoming!AG104,Rig_Schedule_View!$B$11:$B$262,0))=0,O108,(INDEX(Rig_Schedule_View!$I$11:$I$262,MATCH(Well_Data_NK_Upcoming!AG104,Rig_Schedule_View!$B$11:$B$262,0))))),O108,(IF(INDEX(Rig_Schedule_View!$I$11:$I$262,MATCH(Well_Data_NK_Upcoming!AG104,Rig_Schedule_View!$B$11:$B$262,0))=0,O108,(INDEX(Rig_Schedule_View!$I$11:$I$262,MATCH(Well_Data_NK_Upcoming!AG104,Rig_Schedule_View!$B$11:$B$262,0))))))</f>
        <v>42341</v>
      </c>
      <c r="BP108" s="526">
        <f ca="1">IF(ISERROR(IF(INDEX(Rig_Schedule_View!$J$11:$J$262,MATCH(Well_Data_NK_Upcoming!AG104,Rig_Schedule_View!$B$11:$B$262,0))=0,P108,(INDEX(Rig_Schedule_View!$J$11:$J$262,MATCH(Well_Data_NK_Upcoming!AG104,Rig_Schedule_View!$B$11:$B$262,0))))),P108,(IF(INDEX(Rig_Schedule_View!$J$11:$J$262,MATCH(Well_Data_NK_Upcoming!AG104,Rig_Schedule_View!$B$11:$B$262,0))=0,P108,(INDEX(Rig_Schedule_View!$J$11:$J$262,MATCH(Well_Data_NK_Upcoming!AG104,Rig_Schedule_View!$B$11:$B$262,0))))))</f>
        <v>42411</v>
      </c>
      <c r="BQ108" s="527"/>
      <c r="BR108" s="525"/>
      <c r="BS108" s="525"/>
      <c r="BT108" s="525"/>
      <c r="BU108" s="525"/>
      <c r="BV108" s="525"/>
      <c r="BW108" s="525"/>
      <c r="BX108" s="525"/>
      <c r="BY108" s="525"/>
      <c r="BZ108" s="525"/>
    </row>
    <row r="109" spans="1:78" x14ac:dyDescent="0.25">
      <c r="A109" s="540" t="s">
        <v>1769</v>
      </c>
      <c r="B109" s="540" t="s">
        <v>11</v>
      </c>
      <c r="C109" s="540"/>
      <c r="D109" s="529" t="s">
        <v>2354</v>
      </c>
      <c r="E109" s="540"/>
      <c r="F109" s="528" t="str">
        <f t="shared" si="20"/>
        <v>SA</v>
      </c>
      <c r="G109" s="540" t="s">
        <v>17</v>
      </c>
      <c r="H109" s="400" t="s">
        <v>35</v>
      </c>
      <c r="I109" s="540"/>
      <c r="J109" s="540" t="s">
        <v>298</v>
      </c>
      <c r="K109" s="540" t="s">
        <v>14</v>
      </c>
      <c r="L109" s="540" t="s">
        <v>1410</v>
      </c>
      <c r="M109" s="539"/>
      <c r="N109" s="540"/>
      <c r="O109" s="532"/>
      <c r="P109" s="540"/>
      <c r="Q109" s="540"/>
      <c r="R109" s="537">
        <f>IF(ISERROR(VLOOKUP(G109,'Planning and Target Times'!$L$1:$AP$6,MATCH(K109&amp;"_"&amp;L109&amp;"_"&amp;J109,INDEX('Planning and Target Times'!$L$1:$AP$6,1,0),0),0)+5),"",(VLOOKUP(G109,'Planning and Target Times'!$L$1:$AP$6,MATCH(K109&amp;"_"&amp;L109&amp;"_"&amp;J109,INDEX('Planning and Target Times'!$L$1:$AP$6,1,0),0),0)+5))</f>
        <v>75</v>
      </c>
      <c r="S109" s="528">
        <f t="shared" si="22"/>
        <v>70</v>
      </c>
      <c r="T109" s="538">
        <f>VLOOKUP(G109,'Planning and Target Times'!$A$7:$G$12,MATCH(K109&amp;"-"&amp;L109&amp;"-"&amp;J109,INDEX('Planning and Target Times'!$A$7:$G$12,1,0),0),0)</f>
        <v>35</v>
      </c>
      <c r="U109" s="540"/>
      <c r="V109" s="540"/>
      <c r="W109" s="540"/>
      <c r="X109" s="535" t="str">
        <f t="shared" si="21"/>
        <v>MA</v>
      </c>
      <c r="Y109" s="540"/>
      <c r="Z109" s="540"/>
      <c r="AA109" s="540"/>
      <c r="AB109" s="540"/>
      <c r="AC109" s="540"/>
      <c r="AD109" s="540"/>
      <c r="AE109" s="540" t="s">
        <v>91</v>
      </c>
      <c r="AF109" s="528"/>
      <c r="AG109" s="540" t="str">
        <f t="shared" si="23"/>
        <v>SA17-SA-MA-Prod-NW-HZ</v>
      </c>
      <c r="AH109" s="540" t="str">
        <f t="shared" si="24"/>
        <v>SA17-KDC-26</v>
      </c>
      <c r="AI109" s="540" t="str">
        <f t="shared" si="25"/>
        <v>SA17-MA-NW-Prod</v>
      </c>
      <c r="AJ109" s="540">
        <f ca="1">IF(P109&gt;0,"RR",IF(O109&gt;0,0,COUNTIF($H$2:H109,H109)-IFERROR(COUNTIF(OFFSET($H$1,0,0,SUMPRODUCT(MAX(($H$2:H109=H109)*ROW($H$2:H109)*($O$2:O109&lt;&gt;""))),1),H109),0)))</f>
        <v>4</v>
      </c>
      <c r="AK109" s="527">
        <f>IF(ISERROR(VLOOKUP(G109,'Planning and Target Times'!$B$106:$D$110,MATCH(F109,INDEX('Planning and Target Times'!$B$106:$D$110,1,0),0),0)),"",(VLOOKUP(G109,'Planning and Target Times'!$B$106:$D$110,MATCH(F109,INDEX('Planning and Target Times'!$B$106:$D$110,1,0),0),0)))</f>
        <v>740</v>
      </c>
      <c r="AL109" s="528" t="str">
        <f>VLOOKUP(G109,'Planning and Target Times'!$I$2:$J$7,2,0)</f>
        <v>Carbonate</v>
      </c>
      <c r="AM109" s="540"/>
      <c r="AN109" s="540"/>
      <c r="AO109" s="540"/>
      <c r="AP109" s="533">
        <f t="shared" si="26"/>
        <v>9.8666666666666671</v>
      </c>
      <c r="AQ109" s="540"/>
      <c r="AR109" s="540"/>
      <c r="AS109" s="540"/>
      <c r="AT109" s="540"/>
      <c r="AU109" s="540"/>
      <c r="AV109" s="540"/>
      <c r="AW109" s="540"/>
      <c r="AX109" s="540"/>
      <c r="AY109" s="540"/>
      <c r="AZ109" s="540"/>
      <c r="BA109" s="540"/>
      <c r="BB109" s="540"/>
      <c r="BC109" s="540"/>
      <c r="BD109" s="540"/>
      <c r="BE109" s="540"/>
      <c r="BF109" s="540"/>
      <c r="BG109" s="540"/>
      <c r="BH109" s="540"/>
      <c r="BI109" s="540"/>
      <c r="BJ109" s="540"/>
      <c r="BK109" s="540"/>
      <c r="BL109" s="540"/>
      <c r="BM109" s="540"/>
      <c r="BN109" s="540"/>
      <c r="BO109" s="526">
        <f ca="1">IF(ISERROR(IF(INDEX(Rig_Schedule_View!$I$11:$I$262,MATCH(Well_Data_NK_Upcoming!AG141,Rig_Schedule_View!$B$11:$B$262,0))=0,O109,(INDEX(Rig_Schedule_View!$I$11:$I$262,MATCH(Well_Data_NK_Upcoming!AG141,Rig_Schedule_View!$B$11:$B$262,0))))),O109,(IF(INDEX(Rig_Schedule_View!$I$11:$I$262,MATCH(Well_Data_NK_Upcoming!AG141,Rig_Schedule_View!$B$11:$B$262,0))=0,O109,(INDEX(Rig_Schedule_View!$I$11:$I$262,MATCH(Well_Data_NK_Upcoming!AG141,Rig_Schedule_View!$B$11:$B$262,0))))))</f>
        <v>42566</v>
      </c>
      <c r="BP109" s="526">
        <f ca="1">IF(ISERROR(IF(INDEX(Rig_Schedule_View!$J$11:$J$262,MATCH(Well_Data_NK_Upcoming!AG141,Rig_Schedule_View!$B$11:$B$262,0))=0,P109,(INDEX(Rig_Schedule_View!$J$11:$J$262,MATCH(Well_Data_NK_Upcoming!AG141,Rig_Schedule_View!$B$11:$B$262,0))))),P109,(IF(INDEX(Rig_Schedule_View!$J$11:$J$262,MATCH(Well_Data_NK_Upcoming!AG141,Rig_Schedule_View!$B$11:$B$262,0))=0,P109,(INDEX(Rig_Schedule_View!$J$11:$J$262,MATCH(Well_Data_NK_Upcoming!AG141,Rig_Schedule_View!$B$11:$B$262,0))))))</f>
        <v>42636</v>
      </c>
      <c r="BQ109" s="527"/>
      <c r="BR109" s="525"/>
      <c r="BS109" s="525"/>
      <c r="BT109" s="525"/>
      <c r="BU109" s="525"/>
      <c r="BV109" s="525"/>
      <c r="BW109" s="525"/>
      <c r="BX109" s="525"/>
      <c r="BY109" s="525"/>
      <c r="BZ109" s="525"/>
    </row>
    <row r="110" spans="1:78" x14ac:dyDescent="0.25">
      <c r="A110" s="540"/>
      <c r="B110" s="540"/>
      <c r="C110" s="540"/>
      <c r="D110" s="529" t="s">
        <v>2398</v>
      </c>
      <c r="E110" s="540"/>
      <c r="F110" s="528"/>
      <c r="G110" s="540"/>
      <c r="H110" s="400" t="s">
        <v>46</v>
      </c>
      <c r="I110" s="540"/>
      <c r="J110" s="528"/>
      <c r="K110" s="528"/>
      <c r="L110" s="528"/>
      <c r="M110" s="539"/>
      <c r="N110" s="540"/>
      <c r="O110" s="532"/>
      <c r="P110" s="540"/>
      <c r="Q110" s="540"/>
      <c r="R110" s="537" t="str">
        <f>IF(ISERROR(VLOOKUP(G110,'Planning and Target Times'!$L$1:$AP$6,MATCH(K110&amp;"_"&amp;L110&amp;"_"&amp;J110,INDEX('Planning and Target Times'!$L$1:$AP$6,1,0),0),0)+5),"",(VLOOKUP(G110,'Planning and Target Times'!$L$1:$AP$6,MATCH(K110&amp;"_"&amp;L110&amp;"_"&amp;J110,INDEX('Planning and Target Times'!$L$1:$AP$6,1,0),0),0)+5))</f>
        <v/>
      </c>
      <c r="S110" s="528" t="str">
        <f t="shared" si="22"/>
        <v/>
      </c>
      <c r="T110" s="538" t="e">
        <f>VLOOKUP(G110,'Planning and Target Times'!$A$7:$G$12,MATCH(K110&amp;"-"&amp;L110&amp;"-"&amp;J110,INDEX('Planning and Target Times'!$A$7:$G$12,1,0),0),0)</f>
        <v>#N/A</v>
      </c>
      <c r="U110" s="540"/>
      <c r="V110" s="540"/>
      <c r="W110" s="540"/>
      <c r="X110" s="535">
        <f t="shared" si="21"/>
        <v>0</v>
      </c>
      <c r="Y110" s="540"/>
      <c r="Z110" s="540"/>
      <c r="AA110" s="540"/>
      <c r="AB110" s="540"/>
      <c r="AC110" s="540"/>
      <c r="AD110" s="540"/>
      <c r="AE110" s="540" t="s">
        <v>1989</v>
      </c>
      <c r="AF110" s="528"/>
      <c r="AG110" s="540" t="str">
        <f t="shared" si="23"/>
        <v/>
      </c>
      <c r="AH110" s="540" t="str">
        <f t="shared" si="24"/>
        <v/>
      </c>
      <c r="AI110" s="540" t="str">
        <f t="shared" si="25"/>
        <v/>
      </c>
      <c r="AJ110" s="540">
        <f ca="1">IF(P110&gt;0,"RR",IF(O110&gt;0,0,COUNTIF($H$2:H110,H110)-IFERROR(COUNTIF(OFFSET($H$1,0,0,SUMPRODUCT(MAX(($H$2:H110=H110)*ROW($H$2:H110)*($O$2:O110&lt;&gt;""))),1),H110),0)))</f>
        <v>4</v>
      </c>
      <c r="AK110" s="527" t="str">
        <f>IF(ISERROR(VLOOKUP(G110,'Planning and Target Times'!$B$106:$D$110,MATCH(F110,INDEX('Planning and Target Times'!$B$106:$D$110,1,0),0),0)),"",(VLOOKUP(G110,'Planning and Target Times'!$B$106:$D$110,MATCH(F110,INDEX('Planning and Target Times'!$B$106:$D$110,1,0),0),0)))</f>
        <v/>
      </c>
      <c r="AL110" s="528" t="e">
        <f>VLOOKUP(G110,'Planning and Target Times'!$I$2:$J$7,2,0)</f>
        <v>#N/A</v>
      </c>
      <c r="AM110" s="540"/>
      <c r="AN110" s="540"/>
      <c r="AO110" s="540"/>
      <c r="AP110" s="533" t="e">
        <f t="shared" si="26"/>
        <v>#VALUE!</v>
      </c>
      <c r="AQ110" s="540"/>
      <c r="AR110" s="540"/>
      <c r="AS110" s="540"/>
      <c r="AT110" s="540"/>
      <c r="AU110" s="540"/>
      <c r="AV110" s="540"/>
      <c r="AW110" s="540"/>
      <c r="AX110" s="540"/>
      <c r="AY110" s="540"/>
      <c r="AZ110" s="540"/>
      <c r="BA110" s="540"/>
      <c r="BB110" s="540"/>
      <c r="BC110" s="540"/>
      <c r="BD110" s="540"/>
      <c r="BE110" s="540"/>
      <c r="BF110" s="540"/>
      <c r="BG110" s="540"/>
      <c r="BH110" s="540"/>
      <c r="BI110" s="540"/>
      <c r="BJ110" s="540"/>
      <c r="BK110" s="540"/>
      <c r="BL110" s="540"/>
      <c r="BM110" s="540"/>
      <c r="BN110" s="540"/>
      <c r="BO110" s="526">
        <f ca="1">IF(ISERROR(IF(INDEX(Rig_Schedule_View!$I$11:$I$262,MATCH(Well_Data_NK_Upcoming!AG106,Rig_Schedule_View!$B$11:$B$262,0))=0,O110,(INDEX(Rig_Schedule_View!$I$11:$I$262,MATCH(Well_Data_NK_Upcoming!AG106,Rig_Schedule_View!$B$11:$B$262,0))))),O110,(IF(INDEX(Rig_Schedule_View!$I$11:$I$262,MATCH(Well_Data_NK_Upcoming!AG106,Rig_Schedule_View!$B$11:$B$262,0))=0,O110,(INDEX(Rig_Schedule_View!$I$11:$I$262,MATCH(Well_Data_NK_Upcoming!AG106,Rig_Schedule_View!$B$11:$B$262,0))))))</f>
        <v>42398</v>
      </c>
      <c r="BP110" s="526">
        <f ca="1">IF(ISERROR(IF(INDEX(Rig_Schedule_View!$J$11:$J$262,MATCH(Well_Data_NK_Upcoming!AG106,Rig_Schedule_View!$B$11:$B$262,0))=0,P110,(INDEX(Rig_Schedule_View!$J$11:$J$262,MATCH(Well_Data_NK_Upcoming!AG106,Rig_Schedule_View!$B$11:$B$262,0))))),P110,(IF(INDEX(Rig_Schedule_View!$J$11:$J$262,MATCH(Well_Data_NK_Upcoming!AG106,Rig_Schedule_View!$B$11:$B$262,0))=0,P110,(INDEX(Rig_Schedule_View!$J$11:$J$262,MATCH(Well_Data_NK_Upcoming!AG106,Rig_Schedule_View!$B$11:$B$262,0))))))</f>
        <v>42468</v>
      </c>
      <c r="BQ110" s="527"/>
      <c r="BR110" s="525"/>
      <c r="BS110" s="525"/>
      <c r="BT110" s="525"/>
      <c r="BU110" s="525"/>
      <c r="BV110" s="525"/>
      <c r="BW110" s="525"/>
      <c r="BX110" s="525"/>
      <c r="BY110" s="525"/>
      <c r="BZ110" s="525"/>
    </row>
    <row r="111" spans="1:78" x14ac:dyDescent="0.25">
      <c r="A111" s="540" t="s">
        <v>1613</v>
      </c>
      <c r="B111" s="540" t="s">
        <v>1613</v>
      </c>
      <c r="C111" s="540"/>
      <c r="D111" s="529" t="s">
        <v>2398</v>
      </c>
      <c r="E111" s="540"/>
      <c r="F111" s="528"/>
      <c r="G111" s="540"/>
      <c r="H111" s="400" t="s">
        <v>19</v>
      </c>
      <c r="I111" s="540"/>
      <c r="J111" s="540"/>
      <c r="K111" s="540"/>
      <c r="L111" s="540"/>
      <c r="M111" s="539"/>
      <c r="N111" s="540"/>
      <c r="O111" s="532"/>
      <c r="P111" s="540"/>
      <c r="Q111" s="540"/>
      <c r="R111" s="537" t="str">
        <f>IF(ISERROR(VLOOKUP(G111,'Planning and Target Times'!$L$1:$AP$6,MATCH(K111&amp;"_"&amp;L111&amp;"_"&amp;J111,INDEX('Planning and Target Times'!$L$1:$AP$6,1,0),0),0)+5),"",(VLOOKUP(G111,'Planning and Target Times'!$L$1:$AP$6,MATCH(K111&amp;"_"&amp;L111&amp;"_"&amp;J111,INDEX('Planning and Target Times'!$L$1:$AP$6,1,0),0),0)+5))</f>
        <v/>
      </c>
      <c r="S111" s="528" t="str">
        <f t="shared" si="22"/>
        <v/>
      </c>
      <c r="T111" s="538" t="e">
        <f>VLOOKUP(G111,'Planning and Target Times'!$A$7:$G$12,MATCH(K111&amp;"-"&amp;L111&amp;"-"&amp;J111,INDEX('Planning and Target Times'!$A$7:$G$12,1,0),0),0)</f>
        <v>#N/A</v>
      </c>
      <c r="U111" s="540"/>
      <c r="V111" s="540"/>
      <c r="W111" s="540"/>
      <c r="X111" s="535">
        <f t="shared" si="21"/>
        <v>0</v>
      </c>
      <c r="Y111" s="540"/>
      <c r="Z111" s="540"/>
      <c r="AA111" s="540"/>
      <c r="AB111" s="540"/>
      <c r="AC111" s="540"/>
      <c r="AD111" s="540"/>
      <c r="AE111" s="71">
        <v>90</v>
      </c>
      <c r="AF111" s="406"/>
      <c r="AG111" s="540" t="str">
        <f t="shared" si="23"/>
        <v>Rig-mov-exploration</v>
      </c>
      <c r="AH111" s="540" t="str">
        <f t="shared" si="24"/>
        <v>Rig-mov-exploration-KDC-44</v>
      </c>
      <c r="AI111" s="540" t="str">
        <f t="shared" si="25"/>
        <v>Rig-mov-exploration</v>
      </c>
      <c r="AJ111" s="540">
        <f ca="1">IF(P111&gt;0,"RR",IF(O111&gt;0,0,COUNTIF($H$2:H111,H111)-IFERROR(COUNTIF(OFFSET($H$1,0,0,SUMPRODUCT(MAX(($H$2:H111=H111)*ROW($H$2:H111)*($O$2:O111&lt;&gt;""))),1),H111),0)))</f>
        <v>4</v>
      </c>
      <c r="AK111" s="527" t="str">
        <f>IF(ISERROR(VLOOKUP(G111,'Planning and Target Times'!$B$106:$D$110,MATCH(F111,INDEX('Planning and Target Times'!$B$106:$D$110,1,0),0),0)),"",(VLOOKUP(G111,'Planning and Target Times'!$B$106:$D$110,MATCH(F111,INDEX('Planning and Target Times'!$B$106:$D$110,1,0),0),0)))</f>
        <v/>
      </c>
      <c r="AL111" s="528" t="e">
        <f>VLOOKUP(G111,'Planning and Target Times'!$I$2:$J$7,2,0)</f>
        <v>#N/A</v>
      </c>
      <c r="AM111" s="540"/>
      <c r="AN111" s="540"/>
      <c r="AO111" s="540"/>
      <c r="AP111" s="533" t="e">
        <f t="shared" si="26"/>
        <v>#VALUE!</v>
      </c>
      <c r="AQ111" s="540"/>
      <c r="AR111" s="540"/>
      <c r="AS111" s="540"/>
      <c r="AT111" s="540"/>
      <c r="AU111" s="540"/>
      <c r="AV111" s="540"/>
      <c r="AW111" s="540"/>
      <c r="AX111" s="540"/>
      <c r="AY111" s="540"/>
      <c r="AZ111" s="540"/>
      <c r="BA111" s="540"/>
      <c r="BB111" s="540"/>
      <c r="BC111" s="540"/>
      <c r="BD111" s="540"/>
      <c r="BE111" s="540"/>
      <c r="BF111" s="540"/>
      <c r="BG111" s="540"/>
      <c r="BH111" s="540"/>
      <c r="BI111" s="540"/>
      <c r="BJ111" s="540"/>
      <c r="BK111" s="540"/>
      <c r="BL111" s="540"/>
      <c r="BM111" s="540"/>
      <c r="BN111" s="540"/>
      <c r="BO111" s="526">
        <f ca="1">IF(ISERROR(IF(INDEX(Rig_Schedule_View!$I$11:$I$262,MATCH(Well_Data_NK_Upcoming!AG107,Rig_Schedule_View!$B$11:$B$262,0))=0,O111,(INDEX(Rig_Schedule_View!$I$11:$I$262,MATCH(Well_Data_NK_Upcoming!AG107,Rig_Schedule_View!$B$11:$B$262,0))))),O111,(IF(INDEX(Rig_Schedule_View!$I$11:$I$262,MATCH(Well_Data_NK_Upcoming!AG107,Rig_Schedule_View!$B$11:$B$262,0))=0,O111,(INDEX(Rig_Schedule_View!$I$11:$I$262,MATCH(Well_Data_NK_Upcoming!AG107,Rig_Schedule_View!$B$11:$B$262,0))))))</f>
        <v>42402</v>
      </c>
      <c r="BP111" s="526">
        <f ca="1">IF(ISERROR(IF(INDEX(Rig_Schedule_View!$J$11:$J$262,MATCH(Well_Data_NK_Upcoming!AG107,Rig_Schedule_View!$B$11:$B$262,0))=0,P111,(INDEX(Rig_Schedule_View!$J$11:$J$262,MATCH(Well_Data_NK_Upcoming!AG107,Rig_Schedule_View!$B$11:$B$262,0))))),P111,(IF(INDEX(Rig_Schedule_View!$J$11:$J$262,MATCH(Well_Data_NK_Upcoming!AG107,Rig_Schedule_View!$B$11:$B$262,0))=0,P111,(INDEX(Rig_Schedule_View!$J$11:$J$262,MATCH(Well_Data_NK_Upcoming!AG107,Rig_Schedule_View!$B$11:$B$262,0))))))</f>
        <v>42451</v>
      </c>
      <c r="BQ111" s="527"/>
      <c r="BR111" s="525"/>
      <c r="BS111" s="525"/>
      <c r="BT111" s="525"/>
      <c r="BU111" s="525"/>
      <c r="BV111" s="525"/>
      <c r="BW111" s="525"/>
      <c r="BX111" s="525"/>
      <c r="BY111" s="525"/>
      <c r="BZ111" s="525"/>
    </row>
    <row r="112" spans="1:78" x14ac:dyDescent="0.25">
      <c r="A112" s="540" t="s">
        <v>1770</v>
      </c>
      <c r="B112" s="540" t="s">
        <v>11</v>
      </c>
      <c r="C112" s="540"/>
      <c r="D112" s="529" t="s">
        <v>2323</v>
      </c>
      <c r="E112" s="540"/>
      <c r="F112" s="528" t="str">
        <f>LEFT(B112,2)</f>
        <v>SA</v>
      </c>
      <c r="G112" s="540" t="s">
        <v>17</v>
      </c>
      <c r="H112" s="400" t="s">
        <v>430</v>
      </c>
      <c r="I112" s="540"/>
      <c r="J112" s="540" t="s">
        <v>34</v>
      </c>
      <c r="K112" s="540" t="s">
        <v>14</v>
      </c>
      <c r="L112" s="540" t="s">
        <v>1410</v>
      </c>
      <c r="M112" s="539"/>
      <c r="N112" s="540"/>
      <c r="O112" s="532"/>
      <c r="P112" s="540"/>
      <c r="Q112" s="540"/>
      <c r="R112" s="537">
        <f>IF(ISERROR(VLOOKUP(G112,'Planning and Target Times'!$L$1:$AP$6,MATCH(K112&amp;"_"&amp;L112&amp;"_"&amp;J112,INDEX('Planning and Target Times'!$L$1:$AP$6,1,0),0),0)+5),"",(VLOOKUP(G112,'Planning and Target Times'!$L$1:$AP$6,MATCH(K112&amp;"_"&amp;L112&amp;"_"&amp;J112,INDEX('Planning and Target Times'!$L$1:$AP$6,1,0),0),0)+5))</f>
        <v>68</v>
      </c>
      <c r="S112" s="528">
        <f t="shared" si="22"/>
        <v>63</v>
      </c>
      <c r="T112" s="538">
        <f>VLOOKUP(G112,'Planning and Target Times'!$A$7:$G$12,MATCH(K112&amp;"-"&amp;L112&amp;"-"&amp;J112,INDEX('Planning and Target Times'!$A$7:$G$12,1,0),0),0)</f>
        <v>35</v>
      </c>
      <c r="U112" s="540"/>
      <c r="V112" s="540"/>
      <c r="W112" s="540"/>
      <c r="X112" s="535" t="str">
        <f t="shared" si="21"/>
        <v>MA</v>
      </c>
      <c r="Y112" s="540"/>
      <c r="Z112" s="540"/>
      <c r="AA112" s="540"/>
      <c r="AB112" s="540"/>
      <c r="AC112" s="540"/>
      <c r="AD112" s="540"/>
      <c r="AE112" s="540" t="s">
        <v>91</v>
      </c>
      <c r="AF112" s="528"/>
      <c r="AG112" s="540" t="str">
        <f t="shared" si="23"/>
        <v>SA18-SA-MA-Inj-NW-HZ</v>
      </c>
      <c r="AH112" s="540" t="str">
        <f t="shared" si="24"/>
        <v>SA18-KDC-49</v>
      </c>
      <c r="AI112" s="540" t="str">
        <f t="shared" si="25"/>
        <v>SA18-MA-NW-Inj</v>
      </c>
      <c r="AJ112" s="540">
        <f ca="1">IF(P112&gt;0,"RR",IF(O112&gt;0,0,COUNTIF($H$2:H112,H112)-IFERROR(COUNTIF(OFFSET($H$1,0,0,SUMPRODUCT(MAX(($H$2:H112=H112)*ROW($H$2:H112)*($O$2:O112&lt;&gt;""))),1),H112),0)))</f>
        <v>4</v>
      </c>
      <c r="AK112" s="527"/>
      <c r="AL112" s="528" t="str">
        <f>VLOOKUP(G112,'Planning and Target Times'!$I$2:$J$7,2,0)</f>
        <v>Carbonate</v>
      </c>
      <c r="AM112" s="540"/>
      <c r="AN112" s="540"/>
      <c r="AO112" s="540"/>
      <c r="AP112" s="533">
        <f t="shared" si="26"/>
        <v>0</v>
      </c>
      <c r="AQ112" s="540"/>
      <c r="AR112" s="540"/>
      <c r="AS112" s="540"/>
      <c r="AT112" s="540"/>
      <c r="AU112" s="540"/>
      <c r="AV112" s="540"/>
      <c r="AW112" s="540"/>
      <c r="AX112" s="540"/>
      <c r="AY112" s="540"/>
      <c r="AZ112" s="540"/>
      <c r="BA112" s="540"/>
      <c r="BB112" s="540"/>
      <c r="BC112" s="540"/>
      <c r="BD112" s="540"/>
      <c r="BE112" s="540"/>
      <c r="BF112" s="540"/>
      <c r="BG112" s="540"/>
      <c r="BH112" s="540"/>
      <c r="BI112" s="540"/>
      <c r="BJ112" s="540"/>
      <c r="BK112" s="540"/>
      <c r="BL112" s="540"/>
      <c r="BM112" s="540"/>
      <c r="BN112" s="540"/>
      <c r="BO112" s="526">
        <f ca="1">IF(ISERROR(IF(INDEX(Rig_Schedule_View!$I$11:$I$262,MATCH(Well_Data_NK_Upcoming!AG108,Rig_Schedule_View!$B$11:$B$262,0))=0,O112,(INDEX(Rig_Schedule_View!$I$11:$I$262,MATCH(Well_Data_NK_Upcoming!AG108,Rig_Schedule_View!$B$11:$B$262,0))))),O112,(IF(INDEX(Rig_Schedule_View!$I$11:$I$262,MATCH(Well_Data_NK_Upcoming!AG108,Rig_Schedule_View!$B$11:$B$262,0))=0,O112,(INDEX(Rig_Schedule_View!$I$11:$I$262,MATCH(Well_Data_NK_Upcoming!AG108,Rig_Schedule_View!$B$11:$B$262,0))))))</f>
        <v>42498</v>
      </c>
      <c r="BP112" s="526">
        <f ca="1">IF(ISERROR(IF(INDEX(Rig_Schedule_View!$J$11:$J$262,MATCH(Well_Data_NK_Upcoming!AG108,Rig_Schedule_View!$B$11:$B$262,0))=0,P112,(INDEX(Rig_Schedule_View!$J$11:$J$262,MATCH(Well_Data_NK_Upcoming!AG108,Rig_Schedule_View!$B$11:$B$262,0))))),P112,(IF(INDEX(Rig_Schedule_View!$J$11:$J$262,MATCH(Well_Data_NK_Upcoming!AG108,Rig_Schedule_View!$B$11:$B$262,0))=0,P112,(INDEX(Rig_Schedule_View!$J$11:$J$262,MATCH(Well_Data_NK_Upcoming!AG108,Rig_Schedule_View!$B$11:$B$262,0))))))</f>
        <v>42554</v>
      </c>
      <c r="BQ112" s="527"/>
      <c r="BR112" s="525"/>
      <c r="BS112" s="525"/>
      <c r="BT112" s="525"/>
      <c r="BU112" s="525"/>
      <c r="BV112" s="525"/>
      <c r="BW112" s="525"/>
      <c r="BX112" s="525"/>
      <c r="BY112" s="525"/>
      <c r="BZ112" s="525"/>
    </row>
    <row r="113" spans="1:78" x14ac:dyDescent="0.25">
      <c r="A113" s="540" t="s">
        <v>1733</v>
      </c>
      <c r="B113" s="540" t="s">
        <v>42</v>
      </c>
      <c r="C113" s="540"/>
      <c r="D113" s="529" t="s">
        <v>2340</v>
      </c>
      <c r="E113" s="540"/>
      <c r="F113" s="528" t="str">
        <f>LEFT(B113,2)</f>
        <v>RA</v>
      </c>
      <c r="G113" s="540" t="s">
        <v>44</v>
      </c>
      <c r="H113" s="536" t="s">
        <v>513</v>
      </c>
      <c r="I113" s="540" t="s">
        <v>24</v>
      </c>
      <c r="J113" s="540" t="s">
        <v>298</v>
      </c>
      <c r="K113" s="540" t="s">
        <v>14</v>
      </c>
      <c r="L113" s="540" t="s">
        <v>1410</v>
      </c>
      <c r="M113" s="539"/>
      <c r="N113" s="540"/>
      <c r="O113" s="532"/>
      <c r="P113" s="540"/>
      <c r="Q113" s="540"/>
      <c r="R113" s="537">
        <f>IF(ISERROR(VLOOKUP(G113,'Planning and Target Times'!$L$1:$AP$6,MATCH(K113&amp;"_"&amp;L113&amp;"_"&amp;J113,INDEX('Planning and Target Times'!$L$1:$AP$6,1,0),0),0)+5),"",(VLOOKUP(G113,'Planning and Target Times'!$L$1:$AP$6,MATCH(K113&amp;"_"&amp;L113&amp;"_"&amp;J113,INDEX('Planning and Target Times'!$L$1:$AP$6,1,0),0),0)+5))</f>
        <v>103</v>
      </c>
      <c r="S113" s="528">
        <f t="shared" si="22"/>
        <v>98</v>
      </c>
      <c r="T113" s="538">
        <f>VLOOKUP(G113,'Planning and Target Times'!$A$7:$G$12,MATCH(K113&amp;"-"&amp;L113&amp;"-"&amp;J113,INDEX('Planning and Target Times'!$A$7:$G$12,1,0),0),0)</f>
        <v>75</v>
      </c>
      <c r="U113" s="540"/>
      <c r="V113" s="540"/>
      <c r="W113" s="540"/>
      <c r="X113" s="535" t="str">
        <f t="shared" si="21"/>
        <v>ZU/RT</v>
      </c>
      <c r="Y113" s="540"/>
      <c r="Z113" s="540"/>
      <c r="AA113" s="540"/>
      <c r="AB113" s="540"/>
      <c r="AC113" s="540"/>
      <c r="AD113" s="540"/>
      <c r="AE113" s="540" t="s">
        <v>91</v>
      </c>
      <c r="AF113" s="528"/>
      <c r="AG113" s="540" t="str">
        <f t="shared" si="23"/>
        <v>RA19-RA-ZU-Prod-NW-HZ-SLB</v>
      </c>
      <c r="AH113" s="540" t="str">
        <f t="shared" si="24"/>
        <v>RA19-NDSC-15</v>
      </c>
      <c r="AI113" s="540" t="str">
        <f t="shared" si="25"/>
        <v>RA19-ZU-NW-Prod</v>
      </c>
      <c r="AJ113" s="540">
        <f ca="1">IF(P113&gt;0,"RR",IF(O113&gt;0,0,COUNTIF($H$2:H113,H113)-IFERROR(COUNTIF(OFFSET($H$1,0,0,SUMPRODUCT(MAX(($H$2:H113=H113)*ROW($H$2:H113)*($O$2:O113&lt;&gt;""))),1),H113),0)))</f>
        <v>4</v>
      </c>
      <c r="AK113" s="527">
        <f>IF(ISERROR(VLOOKUP(G113,'Planning and Target Times'!$B$106:$D$110,MATCH(F113,INDEX('Planning and Target Times'!$B$106:$D$110,1,0),0),0)),"",(VLOOKUP(G113,'Planning and Target Times'!$B$106:$D$110,MATCH(F113,INDEX('Planning and Target Times'!$B$106:$D$110,1,0),0),0)))</f>
        <v>1560</v>
      </c>
      <c r="AL113" s="528" t="str">
        <f>VLOOKUP(G113,'Planning and Target Times'!$I$2:$J$7,2,0)</f>
        <v>Sandstone</v>
      </c>
      <c r="AM113" s="540"/>
      <c r="AN113" s="540"/>
      <c r="AO113" s="540"/>
      <c r="AP113" s="533">
        <f t="shared" si="26"/>
        <v>15.145631067961165</v>
      </c>
      <c r="AQ113" s="540"/>
      <c r="AR113" s="540"/>
      <c r="AS113" s="540"/>
      <c r="AT113" s="540"/>
      <c r="AU113" s="540"/>
      <c r="AV113" s="540"/>
      <c r="AW113" s="540"/>
      <c r="AX113" s="540"/>
      <c r="AY113" s="540"/>
      <c r="AZ113" s="540"/>
      <c r="BA113" s="540"/>
      <c r="BB113" s="540"/>
      <c r="BC113" s="540"/>
      <c r="BD113" s="540"/>
      <c r="BE113" s="540"/>
      <c r="BF113" s="540"/>
      <c r="BG113" s="540"/>
      <c r="BH113" s="540"/>
      <c r="BI113" s="540"/>
      <c r="BJ113" s="540"/>
      <c r="BK113" s="540"/>
      <c r="BL113" s="540"/>
      <c r="BM113" s="540"/>
      <c r="BN113" s="540"/>
      <c r="BO113" s="526">
        <f ca="1">IF(ISERROR(IF(INDEX(Rig_Schedule_View!$I$11:$I$262,MATCH(Well_Data_NK_Upcoming!AG127,Rig_Schedule_View!$B$11:$B$262,0))=0,O113,(INDEX(Rig_Schedule_View!$I$11:$I$262,MATCH(Well_Data_NK_Upcoming!AG127,Rig_Schedule_View!$B$11:$B$262,0))))),O113,(IF(INDEX(Rig_Schedule_View!$I$11:$I$262,MATCH(Well_Data_NK_Upcoming!AG127,Rig_Schedule_View!$B$11:$B$262,0))=0,O113,(INDEX(Rig_Schedule_View!$I$11:$I$262,MATCH(Well_Data_NK_Upcoming!AG127,Rig_Schedule_View!$B$11:$B$262,0))))))</f>
        <v>42559</v>
      </c>
      <c r="BP113" s="526">
        <f ca="1">IF(ISERROR(IF(INDEX(Rig_Schedule_View!$J$11:$J$262,MATCH(Well_Data_NK_Upcoming!AG127,Rig_Schedule_View!$B$11:$B$262,0))=0,P113,(INDEX(Rig_Schedule_View!$J$11:$J$262,MATCH(Well_Data_NK_Upcoming!AG127,Rig_Schedule_View!$B$11:$B$262,0))))),P113,(IF(INDEX(Rig_Schedule_View!$J$11:$J$262,MATCH(Well_Data_NK_Upcoming!AG127,Rig_Schedule_View!$B$11:$B$262,0))=0,P113,(INDEX(Rig_Schedule_View!$J$11:$J$262,MATCH(Well_Data_NK_Upcoming!AG127,Rig_Schedule_View!$B$11:$B$262,0))))))</f>
        <v>42608</v>
      </c>
      <c r="BQ113" s="527"/>
      <c r="BR113" s="525"/>
      <c r="BS113" s="525"/>
      <c r="BT113" s="525"/>
      <c r="BU113" s="525"/>
      <c r="BV113" s="525"/>
      <c r="BW113" s="525"/>
      <c r="BX113" s="525"/>
      <c r="BY113" s="525"/>
      <c r="BZ113" s="525"/>
    </row>
    <row r="114" spans="1:78" x14ac:dyDescent="0.25">
      <c r="A114" s="540" t="s">
        <v>1771</v>
      </c>
      <c r="B114" s="540" t="s">
        <v>11</v>
      </c>
      <c r="C114" s="540"/>
      <c r="D114" s="529" t="s">
        <v>2325</v>
      </c>
      <c r="E114" s="540"/>
      <c r="F114" s="528" t="str">
        <f>LEFT(B114,2)</f>
        <v>SA</v>
      </c>
      <c r="G114" s="540" t="s">
        <v>17</v>
      </c>
      <c r="H114" s="536" t="s">
        <v>512</v>
      </c>
      <c r="I114" s="540"/>
      <c r="J114" s="540" t="s">
        <v>298</v>
      </c>
      <c r="K114" s="540" t="s">
        <v>14</v>
      </c>
      <c r="L114" s="540" t="s">
        <v>1410</v>
      </c>
      <c r="M114" s="539"/>
      <c r="N114" s="540"/>
      <c r="O114" s="532"/>
      <c r="P114" s="540"/>
      <c r="Q114" s="540"/>
      <c r="R114" s="537">
        <f>IF(ISERROR(VLOOKUP(G114,'Planning and Target Times'!$L$1:$AP$6,MATCH(K114&amp;"_"&amp;L114&amp;"_"&amp;J114,INDEX('Planning and Target Times'!$L$1:$AP$6,1,0),0),0)+5),"",(VLOOKUP(G114,'Planning and Target Times'!$L$1:$AP$6,MATCH(K114&amp;"_"&amp;L114&amp;"_"&amp;J114,INDEX('Planning and Target Times'!$L$1:$AP$6,1,0),0),0)+5))</f>
        <v>75</v>
      </c>
      <c r="S114" s="528">
        <f t="shared" si="22"/>
        <v>70</v>
      </c>
      <c r="T114" s="538">
        <f>VLOOKUP(G114,'Planning and Target Times'!$A$7:$G$12,MATCH(K114&amp;"-"&amp;L114&amp;"-"&amp;J114,INDEX('Planning and Target Times'!$A$7:$G$12,1,0),0),0)</f>
        <v>35</v>
      </c>
      <c r="U114" s="540"/>
      <c r="V114" s="540"/>
      <c r="W114" s="540"/>
      <c r="X114" s="535" t="str">
        <f t="shared" si="21"/>
        <v>MA</v>
      </c>
      <c r="Y114" s="540"/>
      <c r="Z114" s="540"/>
      <c r="AA114" s="540"/>
      <c r="AB114" s="540"/>
      <c r="AC114" s="540"/>
      <c r="AD114" s="540"/>
      <c r="AE114" s="540" t="s">
        <v>91</v>
      </c>
      <c r="AF114" s="528"/>
      <c r="AG114" s="540" t="str">
        <f t="shared" si="23"/>
        <v>SA19-SA-MA-Prod-NW-HZ</v>
      </c>
      <c r="AH114" s="540" t="str">
        <f t="shared" si="24"/>
        <v>SA19-NDSC-16</v>
      </c>
      <c r="AI114" s="540" t="str">
        <f t="shared" si="25"/>
        <v>SA19-MA-NW-Prod</v>
      </c>
      <c r="AJ114" s="540">
        <f ca="1">IF(P114&gt;0,"RR",IF(O114&gt;0,0,COUNTIF($H$2:H114,H114)-IFERROR(COUNTIF(OFFSET($H$1,0,0,SUMPRODUCT(MAX(($H$2:H114=H114)*ROW($H$2:H114)*($O$2:O114&lt;&gt;""))),1),H114),0)))</f>
        <v>4</v>
      </c>
      <c r="AK114" s="527">
        <f>IF(ISERROR(VLOOKUP(G114,'Planning and Target Times'!$B$106:$D$110,MATCH(F114,INDEX('Planning and Target Times'!$B$106:$D$110,1,0),0),0)),"",(VLOOKUP(G114,'Planning and Target Times'!$B$106:$D$110,MATCH(F114,INDEX('Planning and Target Times'!$B$106:$D$110,1,0),0),0)))</f>
        <v>740</v>
      </c>
      <c r="AL114" s="528" t="str">
        <f>VLOOKUP(G114,'Planning and Target Times'!$I$2:$J$7,2,0)</f>
        <v>Carbonate</v>
      </c>
      <c r="AM114" s="540"/>
      <c r="AN114" s="540"/>
      <c r="AO114" s="540"/>
      <c r="AP114" s="533">
        <f t="shared" si="26"/>
        <v>9.8666666666666671</v>
      </c>
      <c r="AQ114" s="540"/>
      <c r="AR114" s="540"/>
      <c r="AS114" s="540"/>
      <c r="AT114" s="540"/>
      <c r="AU114" s="540"/>
      <c r="AV114" s="540"/>
      <c r="AW114" s="540"/>
      <c r="AX114" s="540"/>
      <c r="AY114" s="540"/>
      <c r="AZ114" s="540"/>
      <c r="BA114" s="540"/>
      <c r="BB114" s="540"/>
      <c r="BC114" s="540"/>
      <c r="BD114" s="540"/>
      <c r="BE114" s="540"/>
      <c r="BF114" s="540"/>
      <c r="BG114" s="540"/>
      <c r="BH114" s="540"/>
      <c r="BI114" s="540"/>
      <c r="BJ114" s="540"/>
      <c r="BK114" s="540"/>
      <c r="BL114" s="540"/>
      <c r="BM114" s="540"/>
      <c r="BN114" s="540"/>
      <c r="BO114" s="526" t="str">
        <f ca="1">IF(ISERROR(IF(INDEX(Rig_Schedule_View!$I$11:$I$262,MATCH(Well_Data_NK_Upcoming!AG110,Rig_Schedule_View!$B$11:$B$262,0))=0,O114,(INDEX(Rig_Schedule_View!$I$11:$I$262,MATCH(Well_Data_NK_Upcoming!AG110,Rig_Schedule_View!$B$11:$B$262,0))))),O114,(IF(INDEX(Rig_Schedule_View!$I$11:$I$262,MATCH(Well_Data_NK_Upcoming!AG110,Rig_Schedule_View!$B$11:$B$262,0))=0,O114,(INDEX(Rig_Schedule_View!$I$11:$I$262,MATCH(Well_Data_NK_Upcoming!AG110,Rig_Schedule_View!$B$11:$B$262,0))))))</f>
        <v/>
      </c>
      <c r="BP114" s="526" t="str">
        <f ca="1">IF(ISERROR(IF(INDEX(Rig_Schedule_View!$J$11:$J$262,MATCH(Well_Data_NK_Upcoming!AG110,Rig_Schedule_View!$B$11:$B$262,0))=0,P114,(INDEX(Rig_Schedule_View!$J$11:$J$262,MATCH(Well_Data_NK_Upcoming!AG110,Rig_Schedule_View!$B$11:$B$262,0))))),P114,(IF(INDEX(Rig_Schedule_View!$J$11:$J$262,MATCH(Well_Data_NK_Upcoming!AG110,Rig_Schedule_View!$B$11:$B$262,0))=0,P114,(INDEX(Rig_Schedule_View!$J$11:$J$262,MATCH(Well_Data_NK_Upcoming!AG110,Rig_Schedule_View!$B$11:$B$262,0))))))</f>
        <v/>
      </c>
      <c r="BQ114" s="527"/>
      <c r="BR114" s="525"/>
      <c r="BS114" s="525"/>
      <c r="BT114" s="525"/>
      <c r="BU114" s="525"/>
      <c r="BV114" s="525"/>
      <c r="BW114" s="525"/>
      <c r="BX114" s="525"/>
      <c r="BY114" s="525"/>
      <c r="BZ114" s="525"/>
    </row>
    <row r="115" spans="1:78" x14ac:dyDescent="0.25">
      <c r="A115" s="540" t="s">
        <v>1968</v>
      </c>
      <c r="B115" s="540" t="s">
        <v>42</v>
      </c>
      <c r="C115" s="540"/>
      <c r="D115" s="529" t="s">
        <v>2326</v>
      </c>
      <c r="E115" s="540"/>
      <c r="F115" s="528" t="str">
        <f>LEFT(B115,2)</f>
        <v>RA</v>
      </c>
      <c r="G115" s="540" t="s">
        <v>17</v>
      </c>
      <c r="H115" s="536" t="s">
        <v>511</v>
      </c>
      <c r="I115" s="540"/>
      <c r="J115" s="540" t="s">
        <v>298</v>
      </c>
      <c r="K115" s="540"/>
      <c r="L115" s="540"/>
      <c r="M115" s="539"/>
      <c r="N115" s="540"/>
      <c r="O115" s="532"/>
      <c r="P115" s="540"/>
      <c r="Q115" s="540"/>
      <c r="R115" s="537">
        <f>IF(ISERROR(VLOOKUP(G115,'Planning and Target Times'!$L$1:$AP$6,MATCH(K115&amp;"_"&amp;L115&amp;"_"&amp;J115,INDEX('Planning and Target Times'!$L$1:$AP$6,1,0),0),0)+5),"",(VLOOKUP(G115,'Planning and Target Times'!$L$1:$AP$6,MATCH(K115&amp;"_"&amp;L115&amp;"_"&amp;J115,INDEX('Planning and Target Times'!$L$1:$AP$6,1,0),0),0)+5))</f>
        <v>75</v>
      </c>
      <c r="S115" s="528">
        <f t="shared" si="22"/>
        <v>70</v>
      </c>
      <c r="T115" s="538" t="e">
        <f>VLOOKUP(G115,'Planning and Target Times'!$A$7:$G$12,MATCH(K115&amp;"-"&amp;L115&amp;"-"&amp;J115,INDEX('Planning and Target Times'!$A$7:$G$12,1,0),0),0)</f>
        <v>#N/A</v>
      </c>
      <c r="U115" s="540"/>
      <c r="V115" s="540"/>
      <c r="W115" s="540"/>
      <c r="X115" s="535" t="str">
        <f t="shared" ref="X115:X146" si="27">IF(OR(G115="ZU",G115="RT"),"ZU/RT",G115)</f>
        <v>MA</v>
      </c>
      <c r="Y115" s="540"/>
      <c r="Z115" s="540"/>
      <c r="AA115" s="540"/>
      <c r="AB115" s="540"/>
      <c r="AC115" s="540"/>
      <c r="AD115" s="540"/>
      <c r="AE115" s="540" t="s">
        <v>91</v>
      </c>
      <c r="AF115" s="528"/>
      <c r="AG115" s="540" t="str">
        <f t="shared" si="23"/>
        <v>RA4-RA-MA-Prod</v>
      </c>
      <c r="AH115" s="540" t="str">
        <f t="shared" si="24"/>
        <v>RA4-NDSC-17</v>
      </c>
      <c r="AI115" s="540" t="str">
        <f t="shared" si="25"/>
        <v>RA4-MA-Prod</v>
      </c>
      <c r="AJ115" s="540">
        <f ca="1">IF(P115&gt;0,"RR",IF(O115&gt;0,0,COUNTIF($H$2:H115,H115)-IFERROR(COUNTIF(OFFSET($H$1,0,0,SUMPRODUCT(MAX(($H$2:H115=H115)*ROW($H$2:H115)*($O$2:O115&lt;&gt;""))),1),H115),0)))</f>
        <v>4</v>
      </c>
      <c r="AK115" s="527"/>
      <c r="AL115" s="528" t="str">
        <f>VLOOKUP(G115,'Planning and Target Times'!$I$2:$J$7,2,0)</f>
        <v>Carbonate</v>
      </c>
      <c r="AM115" s="540"/>
      <c r="AN115" s="540"/>
      <c r="AO115" s="540"/>
      <c r="AP115" s="533">
        <f t="shared" si="26"/>
        <v>0</v>
      </c>
      <c r="AQ115" s="540"/>
      <c r="AR115" s="540"/>
      <c r="AS115" s="540"/>
      <c r="AT115" s="540"/>
      <c r="AU115" s="540"/>
      <c r="AV115" s="540"/>
      <c r="AW115" s="540"/>
      <c r="AX115" s="540"/>
      <c r="AY115" s="540"/>
      <c r="AZ115" s="540"/>
      <c r="BA115" s="540"/>
      <c r="BB115" s="540"/>
      <c r="BC115" s="540"/>
      <c r="BD115" s="540"/>
      <c r="BE115" s="540"/>
      <c r="BF115" s="540"/>
      <c r="BG115" s="540"/>
      <c r="BH115" s="540"/>
      <c r="BI115" s="540"/>
      <c r="BJ115" s="540"/>
      <c r="BK115" s="540"/>
      <c r="BL115" s="540"/>
      <c r="BM115" s="540"/>
      <c r="BN115" s="540"/>
      <c r="BO115" s="526" t="str">
        <f ca="1">IF(ISERROR(IF(INDEX(Rig_Schedule_View!$I$11:$I$262,MATCH(Well_Data_NK_Upcoming!AG111,Rig_Schedule_View!$B$11:$B$262,0))=0,O115,(INDEX(Rig_Schedule_View!$I$11:$I$262,MATCH(Well_Data_NK_Upcoming!AG111,Rig_Schedule_View!$B$11:$B$262,0))))),O115,(IF(INDEX(Rig_Schedule_View!$I$11:$I$262,MATCH(Well_Data_NK_Upcoming!AG111,Rig_Schedule_View!$B$11:$B$262,0))=0,O115,(INDEX(Rig_Schedule_View!$I$11:$I$262,MATCH(Well_Data_NK_Upcoming!AG111,Rig_Schedule_View!$B$11:$B$262,0))))))</f>
        <v/>
      </c>
      <c r="BP115" s="526" t="str">
        <f ca="1">IF(ISERROR(IF(INDEX(Rig_Schedule_View!$J$11:$J$262,MATCH(Well_Data_NK_Upcoming!AG111,Rig_Schedule_View!$B$11:$B$262,0))=0,P115,(INDEX(Rig_Schedule_View!$J$11:$J$262,MATCH(Well_Data_NK_Upcoming!AG111,Rig_Schedule_View!$B$11:$B$262,0))))),P115,(IF(INDEX(Rig_Schedule_View!$J$11:$J$262,MATCH(Well_Data_NK_Upcoming!AG111,Rig_Schedule_View!$B$11:$B$262,0))=0,P115,(INDEX(Rig_Schedule_View!$J$11:$J$262,MATCH(Well_Data_NK_Upcoming!AG111,Rig_Schedule_View!$B$11:$B$262,0))))))</f>
        <v/>
      </c>
      <c r="BQ115" s="527"/>
      <c r="BR115" s="525"/>
      <c r="BS115" s="525"/>
      <c r="BT115" s="525"/>
      <c r="BU115" s="525"/>
      <c r="BV115" s="525"/>
      <c r="BW115" s="525"/>
      <c r="BX115" s="525"/>
      <c r="BY115" s="525"/>
      <c r="BZ115" s="525"/>
    </row>
    <row r="116" spans="1:78" x14ac:dyDescent="0.25">
      <c r="A116" s="540" t="s">
        <v>1822</v>
      </c>
      <c r="B116" s="540" t="s">
        <v>1614</v>
      </c>
      <c r="C116" s="540"/>
      <c r="D116" s="529" t="s">
        <v>2398</v>
      </c>
      <c r="E116" s="540"/>
      <c r="F116" s="528"/>
      <c r="G116" s="540"/>
      <c r="H116" s="536" t="s">
        <v>23</v>
      </c>
      <c r="I116" s="540"/>
      <c r="J116" s="540"/>
      <c r="K116" s="540"/>
      <c r="L116" s="540"/>
      <c r="M116" s="539"/>
      <c r="N116" s="540"/>
      <c r="O116" s="532"/>
      <c r="P116" s="540"/>
      <c r="Q116" s="540"/>
      <c r="R116" s="537" t="str">
        <f>IF(ISERROR(VLOOKUP(G116,'Planning and Target Times'!$L$1:$AP$6,MATCH(K116&amp;"_"&amp;L116&amp;"_"&amp;J116,INDEX('Planning and Target Times'!$L$1:$AP$6,1,0),0),0)+5),"",(VLOOKUP(G116,'Planning and Target Times'!$L$1:$AP$6,MATCH(K116&amp;"_"&amp;L116&amp;"_"&amp;J116,INDEX('Planning and Target Times'!$L$1:$AP$6,1,0),0),0)+5))</f>
        <v/>
      </c>
      <c r="S116" s="528" t="str">
        <f t="shared" si="22"/>
        <v/>
      </c>
      <c r="T116" s="538" t="e">
        <f>VLOOKUP(G116,'Planning and Target Times'!$A$7:$G$12,MATCH(K116&amp;"-"&amp;L116&amp;"-"&amp;J116,INDEX('Planning and Target Times'!$A$7:$G$12,1,0),0),0)</f>
        <v>#N/A</v>
      </c>
      <c r="U116" s="540"/>
      <c r="V116" s="540"/>
      <c r="W116" s="540"/>
      <c r="X116" s="535">
        <f t="shared" si="27"/>
        <v>0</v>
      </c>
      <c r="Y116" s="540"/>
      <c r="Z116" s="540"/>
      <c r="AA116" s="540"/>
      <c r="AB116" s="540"/>
      <c r="AC116" s="540"/>
      <c r="AD116" s="540"/>
      <c r="AE116" s="540" t="s">
        <v>91</v>
      </c>
      <c r="AF116" s="406"/>
      <c r="AG116" s="540" t="str">
        <f t="shared" si="23"/>
        <v>Rig-Exp-13Jan2016</v>
      </c>
      <c r="AH116" s="540" t="str">
        <f t="shared" si="24"/>
        <v>Rig-Exp-13Jan2016-SP-158</v>
      </c>
      <c r="AI116" s="540" t="str">
        <f t="shared" si="25"/>
        <v>Rig-Exp-13Jan2016</v>
      </c>
      <c r="AJ116" s="540">
        <f ca="1">IF(P116&gt;0,"RR",IF(O116&gt;0,0,COUNTIF($H$2:H116,H116)-IFERROR(COUNTIF(OFFSET($H$1,0,0,SUMPRODUCT(MAX(($H$2:H116=H116)*ROW($H$2:H116)*($O$2:O116&lt;&gt;""))),1),H116),0)))</f>
        <v>4</v>
      </c>
      <c r="AK116" s="527" t="str">
        <f>IF(ISERROR(VLOOKUP(G116,'Planning and Target Times'!$B$106:$D$110,MATCH(F116,INDEX('Planning and Target Times'!$B$106:$D$110,1,0),0),0)),"",(VLOOKUP(G116,'Planning and Target Times'!$B$106:$D$110,MATCH(F116,INDEX('Planning and Target Times'!$B$106:$D$110,1,0),0),0)))</f>
        <v/>
      </c>
      <c r="AL116" s="528" t="e">
        <f>VLOOKUP(G116,'Planning and Target Times'!$I$2:$J$7,2,0)</f>
        <v>#N/A</v>
      </c>
      <c r="AM116" s="540"/>
      <c r="AN116" s="540"/>
      <c r="AO116" s="540"/>
      <c r="AP116" s="533" t="e">
        <f t="shared" si="26"/>
        <v>#VALUE!</v>
      </c>
      <c r="AQ116" s="540"/>
      <c r="AR116" s="540"/>
      <c r="AS116" s="540"/>
      <c r="AT116" s="540"/>
      <c r="AU116" s="540"/>
      <c r="AV116" s="540"/>
      <c r="AW116" s="540"/>
      <c r="AX116" s="540"/>
      <c r="AY116" s="540"/>
      <c r="AZ116" s="540"/>
      <c r="BA116" s="540"/>
      <c r="BB116" s="540"/>
      <c r="BC116" s="540"/>
      <c r="BD116" s="540"/>
      <c r="BE116" s="540"/>
      <c r="BF116" s="540"/>
      <c r="BG116" s="540"/>
      <c r="BH116" s="540"/>
      <c r="BI116" s="540"/>
      <c r="BJ116" s="540"/>
      <c r="BK116" s="540"/>
      <c r="BL116" s="540"/>
      <c r="BM116" s="540"/>
      <c r="BN116" s="540"/>
      <c r="BO116" s="526">
        <f ca="1">IF(ISERROR(IF(INDEX(Rig_Schedule_View!$I$11:$I$262,MATCH(Well_Data_NK_Upcoming!AG112,Rig_Schedule_View!$B$11:$B$262,0))=0,O116,(INDEX(Rig_Schedule_View!$I$11:$I$262,MATCH(Well_Data_NK_Upcoming!AG112,Rig_Schedule_View!$B$11:$B$262,0))))),O116,(IF(INDEX(Rig_Schedule_View!$I$11:$I$262,MATCH(Well_Data_NK_Upcoming!AG112,Rig_Schedule_View!$B$11:$B$262,0))=0,O116,(INDEX(Rig_Schedule_View!$I$11:$I$262,MATCH(Well_Data_NK_Upcoming!AG112,Rig_Schedule_View!$B$11:$B$262,0))))))</f>
        <v>42531</v>
      </c>
      <c r="BP116" s="526">
        <f ca="1">IF(ISERROR(IF(INDEX(Rig_Schedule_View!$J$11:$J$262,MATCH(Well_Data_NK_Upcoming!AG112,Rig_Schedule_View!$B$11:$B$262,0))=0,P116,(INDEX(Rig_Schedule_View!$J$11:$J$262,MATCH(Well_Data_NK_Upcoming!AG112,Rig_Schedule_View!$B$11:$B$262,0))))),P116,(IF(INDEX(Rig_Schedule_View!$J$11:$J$262,MATCH(Well_Data_NK_Upcoming!AG112,Rig_Schedule_View!$B$11:$B$262,0))=0,P116,(INDEX(Rig_Schedule_View!$J$11:$J$262,MATCH(Well_Data_NK_Upcoming!AG112,Rig_Schedule_View!$B$11:$B$262,0))))))</f>
        <v>42594</v>
      </c>
      <c r="BQ116" s="527"/>
      <c r="BR116" s="525"/>
      <c r="BS116" s="525"/>
      <c r="BT116" s="525"/>
      <c r="BU116" s="525"/>
      <c r="BV116" s="525"/>
      <c r="BW116" s="525"/>
      <c r="BX116" s="525"/>
      <c r="BY116" s="525"/>
      <c r="BZ116" s="525"/>
    </row>
    <row r="117" spans="1:78" x14ac:dyDescent="0.25">
      <c r="A117" s="540" t="s">
        <v>1825</v>
      </c>
      <c r="B117" s="540" t="s">
        <v>1614</v>
      </c>
      <c r="C117" s="540"/>
      <c r="D117" s="529" t="s">
        <v>2398</v>
      </c>
      <c r="E117" s="540"/>
      <c r="F117" s="528"/>
      <c r="G117" s="540"/>
      <c r="H117" s="536" t="s">
        <v>31</v>
      </c>
      <c r="I117" s="540"/>
      <c r="J117" s="540"/>
      <c r="K117" s="540"/>
      <c r="L117" s="540"/>
      <c r="M117" s="539"/>
      <c r="N117" s="540"/>
      <c r="O117" s="532"/>
      <c r="P117" s="540"/>
      <c r="Q117" s="540"/>
      <c r="R117" s="537" t="str">
        <f>IF(ISERROR(VLOOKUP(G117,'Planning and Target Times'!$L$1:$AP$6,MATCH(K117&amp;"_"&amp;L117&amp;"_"&amp;J117,INDEX('Planning and Target Times'!$L$1:$AP$6,1,0),0),0)+5),"",(VLOOKUP(G117,'Planning and Target Times'!$L$1:$AP$6,MATCH(K117&amp;"_"&amp;L117&amp;"_"&amp;J117,INDEX('Planning and Target Times'!$L$1:$AP$6,1,0),0),0)+5))</f>
        <v/>
      </c>
      <c r="S117" s="528" t="str">
        <f t="shared" si="22"/>
        <v/>
      </c>
      <c r="T117" s="538" t="e">
        <f>VLOOKUP(G117,'Planning and Target Times'!$A$7:$G$12,MATCH(K117&amp;"-"&amp;L117&amp;"-"&amp;J117,INDEX('Planning and Target Times'!$A$7:$G$12,1,0),0),0)</f>
        <v>#N/A</v>
      </c>
      <c r="U117" s="540"/>
      <c r="V117" s="540"/>
      <c r="W117" s="540"/>
      <c r="X117" s="535">
        <f t="shared" si="27"/>
        <v>0</v>
      </c>
      <c r="Y117" s="540"/>
      <c r="Z117" s="540"/>
      <c r="AA117" s="540"/>
      <c r="AB117" s="540"/>
      <c r="AC117" s="540"/>
      <c r="AD117" s="540"/>
      <c r="AE117" s="540" t="s">
        <v>91</v>
      </c>
      <c r="AF117" s="406"/>
      <c r="AG117" s="540" t="str">
        <f t="shared" si="23"/>
        <v>Rig-Exp14Feb2016</v>
      </c>
      <c r="AH117" s="540" t="str">
        <f t="shared" si="24"/>
        <v>Rig-Exp14Feb2016-SP-159</v>
      </c>
      <c r="AI117" s="540" t="str">
        <f t="shared" si="25"/>
        <v>Rig-Exp14Feb2016</v>
      </c>
      <c r="AJ117" s="540">
        <f ca="1">IF(P117&gt;0,"RR",IF(O117&gt;0,0,COUNTIF($H$2:H117,H117)-IFERROR(COUNTIF(OFFSET($H$1,0,0,SUMPRODUCT(MAX(($H$2:H117=H117)*ROW($H$2:H117)*($O$2:O117&lt;&gt;""))),1),H117),0)))</f>
        <v>4</v>
      </c>
      <c r="AK117" s="527" t="str">
        <f>IF(ISERROR(VLOOKUP(G117,'Planning and Target Times'!$B$106:$D$110,MATCH(F117,INDEX('Planning and Target Times'!$B$106:$D$110,1,0),0),0)),"",(VLOOKUP(G117,'Planning and Target Times'!$B$106:$D$110,MATCH(F117,INDEX('Planning and Target Times'!$B$106:$D$110,1,0),0),0)))</f>
        <v/>
      </c>
      <c r="AL117" s="528" t="e">
        <f>VLOOKUP(G117,'Planning and Target Times'!$I$2:$J$7,2,0)</f>
        <v>#N/A</v>
      </c>
      <c r="AM117" s="540"/>
      <c r="AN117" s="540"/>
      <c r="AO117" s="540"/>
      <c r="AP117" s="533" t="e">
        <f t="shared" si="26"/>
        <v>#VALUE!</v>
      </c>
      <c r="AQ117" s="540"/>
      <c r="AR117" s="540"/>
      <c r="AS117" s="540"/>
      <c r="AT117" s="540"/>
      <c r="AU117" s="540"/>
      <c r="AV117" s="540"/>
      <c r="AW117" s="540"/>
      <c r="AX117" s="540"/>
      <c r="AY117" s="540"/>
      <c r="AZ117" s="540"/>
      <c r="BA117" s="540"/>
      <c r="BB117" s="540"/>
      <c r="BC117" s="540"/>
      <c r="BD117" s="540"/>
      <c r="BE117" s="540"/>
      <c r="BF117" s="540"/>
      <c r="BG117" s="540"/>
      <c r="BH117" s="540"/>
      <c r="BI117" s="540"/>
      <c r="BJ117" s="540"/>
      <c r="BK117" s="540"/>
      <c r="BL117" s="540"/>
      <c r="BM117" s="540"/>
      <c r="BN117" s="540"/>
      <c r="BO117" s="526" t="str">
        <f ca="1">IF(ISERROR(IF(INDEX(Rig_Schedule_View!$I$11:$I$262,MATCH(Well_Data_NK_Upcoming!AG113,Rig_Schedule_View!$B$11:$B$262,0))=0,O117,(INDEX(Rig_Schedule_View!$I$11:$I$262,MATCH(Well_Data_NK_Upcoming!AG113,Rig_Schedule_View!$B$11:$B$262,0))))),O117,(IF(INDEX(Rig_Schedule_View!$I$11:$I$262,MATCH(Well_Data_NK_Upcoming!AG113,Rig_Schedule_View!$B$11:$B$262,0))=0,O117,(INDEX(Rig_Schedule_View!$I$11:$I$262,MATCH(Well_Data_NK_Upcoming!AG113,Rig_Schedule_View!$B$11:$B$262,0))))))</f>
        <v/>
      </c>
      <c r="BP117" s="526" t="str">
        <f ca="1">IF(ISERROR(IF(INDEX(Rig_Schedule_View!$J$11:$J$262,MATCH(Well_Data_NK_Upcoming!AG113,Rig_Schedule_View!$B$11:$B$262,0))=0,P117,(INDEX(Rig_Schedule_View!$J$11:$J$262,MATCH(Well_Data_NK_Upcoming!AG113,Rig_Schedule_View!$B$11:$B$262,0))))),P117,(IF(INDEX(Rig_Schedule_View!$J$11:$J$262,MATCH(Well_Data_NK_Upcoming!AG113,Rig_Schedule_View!$B$11:$B$262,0))=0,P117,(INDEX(Rig_Schedule_View!$J$11:$J$262,MATCH(Well_Data_NK_Upcoming!AG113,Rig_Schedule_View!$B$11:$B$262,0))))))</f>
        <v/>
      </c>
      <c r="BQ117" s="527"/>
      <c r="BR117" s="525"/>
      <c r="BS117" s="525"/>
      <c r="BT117" s="525"/>
      <c r="BU117" s="525"/>
      <c r="BV117" s="525"/>
      <c r="BW117" s="525"/>
      <c r="BX117" s="525"/>
      <c r="BY117" s="525"/>
      <c r="BZ117" s="525"/>
    </row>
    <row r="118" spans="1:78" x14ac:dyDescent="0.25">
      <c r="A118" s="540" t="s">
        <v>1736</v>
      </c>
      <c r="B118" s="540" t="s">
        <v>42</v>
      </c>
      <c r="C118" s="540"/>
      <c r="D118" s="529" t="s">
        <v>2327</v>
      </c>
      <c r="E118" s="540"/>
      <c r="F118" s="528" t="str">
        <f t="shared" ref="F118:F149" si="28">LEFT(B118,2)</f>
        <v>RA</v>
      </c>
      <c r="G118" s="540" t="s">
        <v>29</v>
      </c>
      <c r="H118" s="536" t="s">
        <v>79</v>
      </c>
      <c r="I118" s="540" t="s">
        <v>24</v>
      </c>
      <c r="J118" s="540" t="s">
        <v>298</v>
      </c>
      <c r="K118" s="540" t="s">
        <v>14</v>
      </c>
      <c r="L118" s="540" t="s">
        <v>1410</v>
      </c>
      <c r="M118" s="539"/>
      <c r="N118" s="540"/>
      <c r="O118" s="532"/>
      <c r="P118" s="540"/>
      <c r="Q118" s="540"/>
      <c r="R118" s="537">
        <f>IF(ISERROR(VLOOKUP(G118,'Planning and Target Times'!$L$1:$AP$6,MATCH(K118&amp;"_"&amp;L118&amp;"_"&amp;J118,INDEX('Planning and Target Times'!$L$1:$AP$6,1,0),0),0)+5),"",(VLOOKUP(G118,'Planning and Target Times'!$L$1:$AP$6,MATCH(K118&amp;"_"&amp;L118&amp;"_"&amp;J118,INDEX('Planning and Target Times'!$L$1:$AP$6,1,0),0),0)+5))</f>
        <v>75</v>
      </c>
      <c r="S118" s="528">
        <f t="shared" si="22"/>
        <v>70</v>
      </c>
      <c r="T118" s="538">
        <f>VLOOKUP(G118,'Planning and Target Times'!$A$7:$G$12,MATCH(K118&amp;"-"&amp;L118&amp;"-"&amp;J118,INDEX('Planning and Target Times'!$A$7:$G$12,1,0),0),0)</f>
        <v>35</v>
      </c>
      <c r="U118" s="540"/>
      <c r="V118" s="540"/>
      <c r="W118" s="540"/>
      <c r="X118" s="535" t="str">
        <f t="shared" si="27"/>
        <v>UB</v>
      </c>
      <c r="Y118" s="540"/>
      <c r="Z118" s="540"/>
      <c r="AA118" s="540"/>
      <c r="AB118" s="540"/>
      <c r="AC118" s="540"/>
      <c r="AD118" s="540"/>
      <c r="AE118" s="540" t="s">
        <v>91</v>
      </c>
      <c r="AF118" s="528"/>
      <c r="AG118" s="540" t="str">
        <f t="shared" si="23"/>
        <v>RA22-RA-UB-Prod-NW-HZ-SLB</v>
      </c>
      <c r="AH118" s="540" t="str">
        <f t="shared" si="24"/>
        <v>RA22-SP-185</v>
      </c>
      <c r="AI118" s="540" t="str">
        <f t="shared" si="25"/>
        <v>RA22-UB-NW-Prod</v>
      </c>
      <c r="AJ118" s="540">
        <f ca="1">IF(P118&gt;0,"RR",IF(O118&gt;0,0,COUNTIF($H$2:H118,H118)-IFERROR(COUNTIF(OFFSET($H$1,0,0,SUMPRODUCT(MAX(($H$2:H118=H118)*ROW($H$2:H118)*($O$2:O118&lt;&gt;""))),1),H118),0)))</f>
        <v>4</v>
      </c>
      <c r="AK118" s="527"/>
      <c r="AL118" s="528" t="str">
        <f>VLOOKUP(G118,'Planning and Target Times'!$I$2:$J$7,2,0)</f>
        <v>Sandstone</v>
      </c>
      <c r="AM118" s="540"/>
      <c r="AN118" s="540"/>
      <c r="AO118" s="540"/>
      <c r="AP118" s="533">
        <f t="shared" si="26"/>
        <v>0</v>
      </c>
      <c r="AQ118" s="540"/>
      <c r="AR118" s="540"/>
      <c r="AS118" s="540"/>
      <c r="AT118" s="540"/>
      <c r="AU118" s="540"/>
      <c r="AV118" s="540"/>
      <c r="AW118" s="540"/>
      <c r="AX118" s="540"/>
      <c r="AY118" s="540"/>
      <c r="AZ118" s="540"/>
      <c r="BA118" s="540"/>
      <c r="BB118" s="540"/>
      <c r="BC118" s="540"/>
      <c r="BD118" s="540"/>
      <c r="BE118" s="540"/>
      <c r="BF118" s="540"/>
      <c r="BG118" s="540"/>
      <c r="BH118" s="540"/>
      <c r="BI118" s="540"/>
      <c r="BJ118" s="540"/>
      <c r="BK118" s="540"/>
      <c r="BL118" s="540"/>
      <c r="BM118" s="540"/>
      <c r="BN118" s="540"/>
      <c r="BO118" s="526">
        <f ca="1">IF(ISERROR(IF(INDEX(Rig_Schedule_View!$I$11:$I$262,MATCH(Well_Data_NK_Upcoming!AG114,Rig_Schedule_View!$B$11:$B$262,0))=0,O118,(INDEX(Rig_Schedule_View!$I$11:$I$262,MATCH(Well_Data_NK_Upcoming!AG114,Rig_Schedule_View!$B$11:$B$262,0))))),O118,(IF(INDEX(Rig_Schedule_View!$I$11:$I$262,MATCH(Well_Data_NK_Upcoming!AG114,Rig_Schedule_View!$B$11:$B$262,0))=0,O118,(INDEX(Rig_Schedule_View!$I$11:$I$262,MATCH(Well_Data_NK_Upcoming!AG114,Rig_Schedule_View!$B$11:$B$262,0))))))</f>
        <v>42519</v>
      </c>
      <c r="BP118" s="526">
        <f ca="1">IF(ISERROR(IF(INDEX(Rig_Schedule_View!$J$11:$J$262,MATCH(Well_Data_NK_Upcoming!AG114,Rig_Schedule_View!$B$11:$B$262,0))=0,P118,(INDEX(Rig_Schedule_View!$J$11:$J$262,MATCH(Well_Data_NK_Upcoming!AG114,Rig_Schedule_View!$B$11:$B$262,0))))),P118,(IF(INDEX(Rig_Schedule_View!$J$11:$J$262,MATCH(Well_Data_NK_Upcoming!AG114,Rig_Schedule_View!$B$11:$B$262,0))=0,P118,(INDEX(Rig_Schedule_View!$J$11:$J$262,MATCH(Well_Data_NK_Upcoming!AG114,Rig_Schedule_View!$B$11:$B$262,0))))))</f>
        <v>42589</v>
      </c>
      <c r="BQ118" s="527"/>
      <c r="BR118" s="525"/>
      <c r="BS118" s="525"/>
      <c r="BT118" s="525"/>
      <c r="BU118" s="525"/>
      <c r="BV118" s="525"/>
      <c r="BW118" s="525"/>
      <c r="BX118" s="525"/>
      <c r="BY118" s="525"/>
      <c r="BZ118" s="525"/>
    </row>
    <row r="119" spans="1:78" x14ac:dyDescent="0.25">
      <c r="A119" s="540" t="s">
        <v>1781</v>
      </c>
      <c r="B119" s="540" t="s">
        <v>11</v>
      </c>
      <c r="C119" s="540"/>
      <c r="D119" s="529" t="s">
        <v>2328</v>
      </c>
      <c r="E119" s="540"/>
      <c r="F119" s="528" t="str">
        <f t="shared" si="28"/>
        <v>SA</v>
      </c>
      <c r="G119" s="540" t="s">
        <v>17</v>
      </c>
      <c r="H119" s="536" t="s">
        <v>37</v>
      </c>
      <c r="I119" s="540"/>
      <c r="J119" s="540" t="s">
        <v>298</v>
      </c>
      <c r="K119" s="540" t="s">
        <v>14</v>
      </c>
      <c r="L119" s="540" t="s">
        <v>1410</v>
      </c>
      <c r="M119" s="539"/>
      <c r="N119" s="540"/>
      <c r="O119" s="532"/>
      <c r="P119" s="540"/>
      <c r="Q119" s="540"/>
      <c r="R119" s="537">
        <f>IF(ISERROR(VLOOKUP(G119,'Planning and Target Times'!$L$1:$AP$6,MATCH(K119&amp;"_"&amp;L119&amp;"_"&amp;J119,INDEX('Planning and Target Times'!$L$1:$AP$6,1,0),0),0)+5),"",(VLOOKUP(G119,'Planning and Target Times'!$L$1:$AP$6,MATCH(K119&amp;"_"&amp;L119&amp;"_"&amp;J119,INDEX('Planning and Target Times'!$L$1:$AP$6,1,0),0),0)+5))</f>
        <v>75</v>
      </c>
      <c r="S119" s="528">
        <f t="shared" si="22"/>
        <v>70</v>
      </c>
      <c r="T119" s="538">
        <f>VLOOKUP(G119,'Planning and Target Times'!$A$7:$G$12,MATCH(K119&amp;"-"&amp;L119&amp;"-"&amp;J119,INDEX('Planning and Target Times'!$A$7:$G$12,1,0),0),0)</f>
        <v>35</v>
      </c>
      <c r="U119" s="540"/>
      <c r="V119" s="540"/>
      <c r="W119" s="540"/>
      <c r="X119" s="535" t="str">
        <f t="shared" si="27"/>
        <v>MA</v>
      </c>
      <c r="Y119" s="540"/>
      <c r="Z119" s="540"/>
      <c r="AA119" s="540"/>
      <c r="AB119" s="540"/>
      <c r="AC119" s="540"/>
      <c r="AD119" s="540"/>
      <c r="AE119" s="540" t="s">
        <v>91</v>
      </c>
      <c r="AF119" s="528"/>
      <c r="AG119" s="540" t="str">
        <f t="shared" si="23"/>
        <v>SA40-SA-MA-Prod-NW-HZ</v>
      </c>
      <c r="AH119" s="540" t="str">
        <f t="shared" si="24"/>
        <v>SA40-SP-186</v>
      </c>
      <c r="AI119" s="540" t="str">
        <f t="shared" si="25"/>
        <v>SA40-MA-NW-Prod</v>
      </c>
      <c r="AJ119" s="540">
        <f ca="1">IF(P119&gt;0,"RR",IF(O119&gt;0,0,COUNTIF($H$2:H119,H119)-IFERROR(COUNTIF(OFFSET($H$1,0,0,SUMPRODUCT(MAX(($H$2:H119=H119)*ROW($H$2:H119)*($O$2:O119&lt;&gt;""))),1),H119),0)))</f>
        <v>4</v>
      </c>
      <c r="AK119" s="527">
        <f>IF(ISERROR(VLOOKUP(G119,'Planning and Target Times'!$B$106:$D$110,MATCH(F119,INDEX('Planning and Target Times'!$B$106:$D$110,1,0),0),0)),"",(VLOOKUP(G119,'Planning and Target Times'!$B$106:$D$110,MATCH(F119,INDEX('Planning and Target Times'!$B$106:$D$110,1,0),0),0)))</f>
        <v>740</v>
      </c>
      <c r="AL119" s="528" t="str">
        <f>VLOOKUP(G119,'Planning and Target Times'!$I$2:$J$7,2,0)</f>
        <v>Carbonate</v>
      </c>
      <c r="AM119" s="540"/>
      <c r="AN119" s="540"/>
      <c r="AO119" s="540"/>
      <c r="AP119" s="533">
        <f t="shared" si="26"/>
        <v>9.8666666666666671</v>
      </c>
      <c r="AQ119" s="540"/>
      <c r="AR119" s="540"/>
      <c r="AS119" s="540"/>
      <c r="AT119" s="540"/>
      <c r="AU119" s="540"/>
      <c r="AV119" s="540"/>
      <c r="AW119" s="540"/>
      <c r="AX119" s="540"/>
      <c r="AY119" s="540"/>
      <c r="AZ119" s="540"/>
      <c r="BA119" s="540"/>
      <c r="BB119" s="540"/>
      <c r="BC119" s="540"/>
      <c r="BD119" s="540"/>
      <c r="BE119" s="540"/>
      <c r="BF119" s="540"/>
      <c r="BG119" s="540"/>
      <c r="BH119" s="540"/>
      <c r="BI119" s="540"/>
      <c r="BJ119" s="540"/>
      <c r="BK119" s="540"/>
      <c r="BL119" s="540"/>
      <c r="BM119" s="540"/>
      <c r="BN119" s="540"/>
      <c r="BO119" s="526">
        <f ca="1">IF(ISERROR(IF(INDEX(Rig_Schedule_View!$I$11:$I$262,MATCH(Well_Data_NK_Upcoming!AG115,Rig_Schedule_View!$B$11:$B$262,0))=0,O119,(INDEX(Rig_Schedule_View!$I$11:$I$262,MATCH(Well_Data_NK_Upcoming!AG115,Rig_Schedule_View!$B$11:$B$262,0))))),O119,(IF(INDEX(Rig_Schedule_View!$I$11:$I$262,MATCH(Well_Data_NK_Upcoming!AG115,Rig_Schedule_View!$B$11:$B$262,0))=0,O119,(INDEX(Rig_Schedule_View!$I$11:$I$262,MATCH(Well_Data_NK_Upcoming!AG115,Rig_Schedule_View!$B$11:$B$262,0))))))</f>
        <v>42477</v>
      </c>
      <c r="BP119" s="526">
        <f ca="1">IF(ISERROR(IF(INDEX(Rig_Schedule_View!$J$11:$J$262,MATCH(Well_Data_NK_Upcoming!AG115,Rig_Schedule_View!$B$11:$B$262,0))=0,P119,(INDEX(Rig_Schedule_View!$J$11:$J$262,MATCH(Well_Data_NK_Upcoming!AG115,Rig_Schedule_View!$B$11:$B$262,0))))),P119,(IF(INDEX(Rig_Schedule_View!$J$11:$J$262,MATCH(Well_Data_NK_Upcoming!AG115,Rig_Schedule_View!$B$11:$B$262,0))=0,P119,(INDEX(Rig_Schedule_View!$J$11:$J$262,MATCH(Well_Data_NK_Upcoming!AG115,Rig_Schedule_View!$B$11:$B$262,0))))))</f>
        <v>42547</v>
      </c>
      <c r="BQ119" s="527"/>
      <c r="BR119" s="525"/>
      <c r="BS119" s="525"/>
      <c r="BT119" s="525"/>
      <c r="BU119" s="525"/>
      <c r="BV119" s="525"/>
      <c r="BW119" s="525"/>
      <c r="BX119" s="525"/>
      <c r="BY119" s="525"/>
      <c r="BZ119" s="525"/>
    </row>
    <row r="120" spans="1:78" x14ac:dyDescent="0.25">
      <c r="A120" s="540" t="s">
        <v>1725</v>
      </c>
      <c r="B120" s="540" t="s">
        <v>42</v>
      </c>
      <c r="C120" s="540"/>
      <c r="D120" s="529" t="s">
        <v>2329</v>
      </c>
      <c r="E120" s="540"/>
      <c r="F120" s="528" t="str">
        <f t="shared" si="28"/>
        <v>RA</v>
      </c>
      <c r="G120" s="540" t="s">
        <v>17</v>
      </c>
      <c r="H120" s="536" t="s">
        <v>838</v>
      </c>
      <c r="I120" s="540" t="s">
        <v>24</v>
      </c>
      <c r="J120" s="540" t="s">
        <v>298</v>
      </c>
      <c r="K120" s="540" t="s">
        <v>14</v>
      </c>
      <c r="L120" s="540" t="s">
        <v>1410</v>
      </c>
      <c r="M120" s="539"/>
      <c r="N120" s="540"/>
      <c r="O120" s="532"/>
      <c r="P120" s="540"/>
      <c r="Q120" s="540"/>
      <c r="R120" s="537">
        <f>IF(ISERROR(VLOOKUP(G120,'Planning and Target Times'!$L$1:$AP$6,MATCH(K120&amp;"_"&amp;L120&amp;"_"&amp;J120,INDEX('Planning and Target Times'!$L$1:$AP$6,1,0),0),0)+5),"",(VLOOKUP(G120,'Planning and Target Times'!$L$1:$AP$6,MATCH(K120&amp;"_"&amp;L120&amp;"_"&amp;J120,INDEX('Planning and Target Times'!$L$1:$AP$6,1,0),0),0)+5))</f>
        <v>75</v>
      </c>
      <c r="S120" s="528">
        <f t="shared" si="22"/>
        <v>70</v>
      </c>
      <c r="T120" s="538">
        <f>VLOOKUP(G120,'Planning and Target Times'!$A$7:$G$12,MATCH(K120&amp;"-"&amp;L120&amp;"-"&amp;J120,INDEX('Planning and Target Times'!$A$7:$G$12,1,0),0),0)</f>
        <v>35</v>
      </c>
      <c r="U120" s="540"/>
      <c r="V120" s="540"/>
      <c r="W120" s="540"/>
      <c r="X120" s="535" t="str">
        <f t="shared" si="27"/>
        <v>MA</v>
      </c>
      <c r="Y120" s="540"/>
      <c r="Z120" s="540"/>
      <c r="AA120" s="540"/>
      <c r="AB120" s="540"/>
      <c r="AC120" s="540"/>
      <c r="AD120" s="540"/>
      <c r="AE120" s="540" t="s">
        <v>91</v>
      </c>
      <c r="AF120" s="528"/>
      <c r="AG120" s="540" t="str">
        <f t="shared" si="23"/>
        <v>RA11-RA-MA-Prod-NW-HZ-SLB</v>
      </c>
      <c r="AH120" s="540" t="str">
        <f t="shared" si="24"/>
        <v>RA11-SP-266</v>
      </c>
      <c r="AI120" s="540" t="str">
        <f t="shared" si="25"/>
        <v>RA11-MA-NW-Prod</v>
      </c>
      <c r="AJ120" s="540">
        <f ca="1">IF(P120&gt;0,"RR",IF(O120&gt;0,0,COUNTIF($H$2:H120,H120)-IFERROR(COUNTIF(OFFSET($H$1,0,0,SUMPRODUCT(MAX(($H$2:H120=H120)*ROW($H$2:H120)*($O$2:O120&lt;&gt;""))),1),H120),0)))</f>
        <v>4</v>
      </c>
      <c r="AK120" s="527">
        <f>IF(ISERROR(VLOOKUP(G120,'Planning and Target Times'!$B$106:$D$110,MATCH(F120,INDEX('Planning and Target Times'!$B$106:$D$110,1,0),0),0)),"",(VLOOKUP(G120,'Planning and Target Times'!$B$106:$D$110,MATCH(F120,INDEX('Planning and Target Times'!$B$106:$D$110,1,0),0),0)))</f>
        <v>650</v>
      </c>
      <c r="AL120" s="528" t="str">
        <f>VLOOKUP(G120,'Planning and Target Times'!$I$2:$J$7,2,0)</f>
        <v>Carbonate</v>
      </c>
      <c r="AM120" s="540"/>
      <c r="AN120" s="540"/>
      <c r="AO120" s="540"/>
      <c r="AP120" s="533">
        <f t="shared" si="26"/>
        <v>8.6666666666666661</v>
      </c>
      <c r="AQ120" s="540"/>
      <c r="AR120" s="540"/>
      <c r="AS120" s="540"/>
      <c r="AT120" s="540"/>
      <c r="AU120" s="540"/>
      <c r="AV120" s="540"/>
      <c r="AW120" s="540"/>
      <c r="AX120" s="540"/>
      <c r="AY120" s="540"/>
      <c r="AZ120" s="540"/>
      <c r="BA120" s="540"/>
      <c r="BB120" s="540"/>
      <c r="BC120" s="540"/>
      <c r="BD120" s="540"/>
      <c r="BE120" s="540"/>
      <c r="BF120" s="540"/>
      <c r="BG120" s="540"/>
      <c r="BH120" s="540"/>
      <c r="BI120" s="540"/>
      <c r="BJ120" s="540"/>
      <c r="BK120" s="540"/>
      <c r="BL120" s="540"/>
      <c r="BM120" s="540"/>
      <c r="BN120" s="540"/>
      <c r="BO120" s="526" t="str">
        <f ca="1">IF(ISERROR(IF(INDEX(Rig_Schedule_View!$I$11:$I$262,MATCH(Well_Data_NK_Upcoming!AG116,Rig_Schedule_View!$B$11:$B$262,0))=0,O120,(INDEX(Rig_Schedule_View!$I$11:$I$262,MATCH(Well_Data_NK_Upcoming!AG116,Rig_Schedule_View!$B$11:$B$262,0))))),O120,(IF(INDEX(Rig_Schedule_View!$I$11:$I$262,MATCH(Well_Data_NK_Upcoming!AG116,Rig_Schedule_View!$B$11:$B$262,0))=0,O120,(INDEX(Rig_Schedule_View!$I$11:$I$262,MATCH(Well_Data_NK_Upcoming!AG116,Rig_Schedule_View!$B$11:$B$262,0))))))</f>
        <v/>
      </c>
      <c r="BP120" s="526" t="str">
        <f ca="1">IF(ISERROR(IF(INDEX(Rig_Schedule_View!$J$11:$J$262,MATCH(Well_Data_NK_Upcoming!AG116,Rig_Schedule_View!$B$11:$B$262,0))=0,P120,(INDEX(Rig_Schedule_View!$J$11:$J$262,MATCH(Well_Data_NK_Upcoming!AG116,Rig_Schedule_View!$B$11:$B$262,0))))),P120,(IF(INDEX(Rig_Schedule_View!$J$11:$J$262,MATCH(Well_Data_NK_Upcoming!AG116,Rig_Schedule_View!$B$11:$B$262,0))=0,P120,(INDEX(Rig_Schedule_View!$J$11:$J$262,MATCH(Well_Data_NK_Upcoming!AG116,Rig_Schedule_View!$B$11:$B$262,0))))))</f>
        <v/>
      </c>
      <c r="BQ120" s="527"/>
      <c r="BR120" s="525"/>
      <c r="BS120" s="525"/>
      <c r="BT120" s="525"/>
      <c r="BU120" s="525"/>
      <c r="BV120" s="525"/>
      <c r="BW120" s="525"/>
      <c r="BX120" s="525"/>
      <c r="BY120" s="525"/>
      <c r="BZ120" s="525"/>
    </row>
    <row r="121" spans="1:78" x14ac:dyDescent="0.25">
      <c r="A121" s="540" t="s">
        <v>1617</v>
      </c>
      <c r="B121" s="540" t="s">
        <v>1617</v>
      </c>
      <c r="C121" s="540"/>
      <c r="D121" s="529" t="s">
        <v>2330</v>
      </c>
      <c r="E121" s="540"/>
      <c r="F121" s="528" t="str">
        <f t="shared" si="28"/>
        <v>SA</v>
      </c>
      <c r="G121" s="540" t="s">
        <v>17</v>
      </c>
      <c r="H121" s="536" t="s">
        <v>839</v>
      </c>
      <c r="I121" s="540"/>
      <c r="J121" s="540" t="s">
        <v>34</v>
      </c>
      <c r="K121" s="540" t="s">
        <v>14</v>
      </c>
      <c r="L121" s="540" t="s">
        <v>1511</v>
      </c>
      <c r="M121" s="539"/>
      <c r="N121" s="540"/>
      <c r="O121" s="532"/>
      <c r="P121" s="540"/>
      <c r="Q121" s="540"/>
      <c r="R121" s="537">
        <f>IF(ISERROR(VLOOKUP(G121,'Planning and Target Times'!$L$1:$AP$6,MATCH(K121&amp;"_"&amp;L121&amp;"_"&amp;J121,INDEX('Planning and Target Times'!$L$1:$AP$6,1,0),0),0)+5),"",(VLOOKUP(G121,'Planning and Target Times'!$L$1:$AP$6,MATCH(K121&amp;"_"&amp;L121&amp;"_"&amp;J121,INDEX('Planning and Target Times'!$L$1:$AP$6,1,0),0),0)+5))</f>
        <v>75</v>
      </c>
      <c r="S121" s="528">
        <f t="shared" si="22"/>
        <v>70</v>
      </c>
      <c r="T121" s="538" t="e">
        <f>VLOOKUP(G121,'Planning and Target Times'!$A$7:$G$12,MATCH(K121&amp;"-"&amp;L121&amp;"-"&amp;J121,INDEX('Planning and Target Times'!$A$7:$G$12,1,0),0),0)</f>
        <v>#N/A</v>
      </c>
      <c r="U121" s="540"/>
      <c r="V121" s="540"/>
      <c r="W121" s="540"/>
      <c r="X121" s="535" t="str">
        <f t="shared" si="27"/>
        <v>MA</v>
      </c>
      <c r="Y121" s="540"/>
      <c r="Z121" s="540"/>
      <c r="AA121" s="540"/>
      <c r="AB121" s="540"/>
      <c r="AC121" s="540"/>
      <c r="AD121" s="540"/>
      <c r="AE121" s="540" t="s">
        <v>91</v>
      </c>
      <c r="AF121" s="528"/>
      <c r="AG121" s="540" t="str">
        <f t="shared" si="23"/>
        <v>SA-0560-SA-MA-Inj-NW-V</v>
      </c>
      <c r="AH121" s="540" t="str">
        <f t="shared" si="24"/>
        <v>SA-0560-SP-267</v>
      </c>
      <c r="AI121" s="540" t="str">
        <f t="shared" si="25"/>
        <v>SA-0560-MA-NW-Inj</v>
      </c>
      <c r="AJ121" s="540">
        <f ca="1">IF(P121&gt;0,"RR",IF(O121&gt;0,0,COUNTIF($H$2:H121,H121)-IFERROR(COUNTIF(OFFSET($H$1,0,0,SUMPRODUCT(MAX(($H$2:H121=H121)*ROW($H$2:H121)*($O$2:O121&lt;&gt;""))),1),H121),0)))</f>
        <v>4</v>
      </c>
      <c r="AK121" s="527"/>
      <c r="AL121" s="528" t="str">
        <f>VLOOKUP(G121,'Planning and Target Times'!$I$2:$J$7,2,0)</f>
        <v>Carbonate</v>
      </c>
      <c r="AM121" s="540"/>
      <c r="AN121" s="540"/>
      <c r="AO121" s="540"/>
      <c r="AP121" s="533">
        <f t="shared" si="26"/>
        <v>0</v>
      </c>
      <c r="AQ121" s="540"/>
      <c r="AR121" s="540"/>
      <c r="AS121" s="540"/>
      <c r="AT121" s="540"/>
      <c r="AU121" s="540"/>
      <c r="AV121" s="540"/>
      <c r="AW121" s="540"/>
      <c r="AX121" s="540"/>
      <c r="AY121" s="540"/>
      <c r="AZ121" s="540"/>
      <c r="BA121" s="540"/>
      <c r="BB121" s="540"/>
      <c r="BC121" s="540"/>
      <c r="BD121" s="540"/>
      <c r="BE121" s="540"/>
      <c r="BF121" s="540"/>
      <c r="BG121" s="540"/>
      <c r="BH121" s="540"/>
      <c r="BI121" s="540"/>
      <c r="BJ121" s="540"/>
      <c r="BK121" s="540"/>
      <c r="BL121" s="540"/>
      <c r="BM121" s="540"/>
      <c r="BN121" s="540"/>
      <c r="BO121" s="526" t="str">
        <f ca="1">IF(ISERROR(IF(INDEX(Rig_Schedule_View!$I$11:$I$262,MATCH(Well_Data_NK_Upcoming!AG117,Rig_Schedule_View!$B$11:$B$262,0))=0,O121,(INDEX(Rig_Schedule_View!$I$11:$I$262,MATCH(Well_Data_NK_Upcoming!AG117,Rig_Schedule_View!$B$11:$B$262,0))))),O121,(IF(INDEX(Rig_Schedule_View!$I$11:$I$262,MATCH(Well_Data_NK_Upcoming!AG117,Rig_Schedule_View!$B$11:$B$262,0))=0,O121,(INDEX(Rig_Schedule_View!$I$11:$I$262,MATCH(Well_Data_NK_Upcoming!AG117,Rig_Schedule_View!$B$11:$B$262,0))))))</f>
        <v/>
      </c>
      <c r="BP121" s="526" t="str">
        <f ca="1">IF(ISERROR(IF(INDEX(Rig_Schedule_View!$J$11:$J$262,MATCH(Well_Data_NK_Upcoming!AG117,Rig_Schedule_View!$B$11:$B$262,0))=0,P121,(INDEX(Rig_Schedule_View!$J$11:$J$262,MATCH(Well_Data_NK_Upcoming!AG117,Rig_Schedule_View!$B$11:$B$262,0))))),P121,(IF(INDEX(Rig_Schedule_View!$J$11:$J$262,MATCH(Well_Data_NK_Upcoming!AG117,Rig_Schedule_View!$B$11:$B$262,0))=0,P121,(INDEX(Rig_Schedule_View!$J$11:$J$262,MATCH(Well_Data_NK_Upcoming!AG117,Rig_Schedule_View!$B$11:$B$262,0))))))</f>
        <v/>
      </c>
      <c r="BQ121" s="527"/>
      <c r="BR121" s="525"/>
      <c r="BS121" s="525"/>
      <c r="BT121" s="525"/>
      <c r="BU121" s="525"/>
      <c r="BV121" s="525"/>
      <c r="BW121" s="525"/>
      <c r="BX121" s="525"/>
      <c r="BY121" s="525"/>
      <c r="BZ121" s="525"/>
    </row>
    <row r="122" spans="1:78" x14ac:dyDescent="0.25">
      <c r="A122" s="540" t="s">
        <v>1759</v>
      </c>
      <c r="B122" s="540" t="s">
        <v>11</v>
      </c>
      <c r="C122" s="540"/>
      <c r="D122" s="529" t="s">
        <v>2331</v>
      </c>
      <c r="E122" s="540"/>
      <c r="F122" s="528" t="str">
        <f t="shared" si="28"/>
        <v>SA</v>
      </c>
      <c r="G122" s="540" t="s">
        <v>22</v>
      </c>
      <c r="H122" s="536" t="s">
        <v>1413</v>
      </c>
      <c r="I122" s="540"/>
      <c r="J122" s="540" t="s">
        <v>298</v>
      </c>
      <c r="K122" s="540"/>
      <c r="L122" s="540" t="s">
        <v>1410</v>
      </c>
      <c r="M122" s="539"/>
      <c r="N122" s="540"/>
      <c r="O122" s="532"/>
      <c r="P122" s="540"/>
      <c r="Q122" s="540"/>
      <c r="R122" s="537">
        <f>IF(ISERROR(VLOOKUP(G122,'Planning and Target Times'!$L$1:$AP$6,MATCH(K122&amp;"_"&amp;L122&amp;"_"&amp;J122,INDEX('Planning and Target Times'!$L$1:$AP$6,1,0),0),0)+5),"",(VLOOKUP(G122,'Planning and Target Times'!$L$1:$AP$6,MATCH(K122&amp;"_"&amp;L122&amp;"_"&amp;J122,INDEX('Planning and Target Times'!$L$1:$AP$6,1,0),0),0)+5))</f>
        <v>75</v>
      </c>
      <c r="S122" s="528">
        <f t="shared" si="22"/>
        <v>70</v>
      </c>
      <c r="T122" s="538" t="e">
        <f>VLOOKUP(G122,'Planning and Target Times'!$A$7:$G$12,MATCH(K122&amp;"-"&amp;L122&amp;"-"&amp;J122,INDEX('Planning and Target Times'!$A$7:$G$12,1,0),0),0)</f>
        <v>#N/A</v>
      </c>
      <c r="U122" s="540"/>
      <c r="V122" s="540"/>
      <c r="W122" s="540"/>
      <c r="X122" s="535" t="str">
        <f t="shared" si="27"/>
        <v>LB</v>
      </c>
      <c r="Y122" s="540"/>
      <c r="Z122" s="540"/>
      <c r="AA122" s="540"/>
      <c r="AB122" s="540"/>
      <c r="AC122" s="540"/>
      <c r="AD122" s="540"/>
      <c r="AE122" s="540" t="s">
        <v>91</v>
      </c>
      <c r="AF122" s="528"/>
      <c r="AG122" s="540" t="str">
        <f t="shared" si="23"/>
        <v>SA3-SA-LB-Prod-HZ</v>
      </c>
      <c r="AH122" s="540" t="str">
        <f t="shared" si="24"/>
        <v>SA3-SP-282</v>
      </c>
      <c r="AI122" s="540" t="str">
        <f t="shared" si="25"/>
        <v>SA3-LB-Prod</v>
      </c>
      <c r="AJ122" s="540">
        <f ca="1">IF(P122&gt;0,"RR",IF(O122&gt;0,0,COUNTIF($H$2:H122,H122)-IFERROR(COUNTIF(OFFSET($H$1,0,0,SUMPRODUCT(MAX(($H$2:H122=H122)*ROW($H$2:H122)*($O$2:O122&lt;&gt;""))),1),H122),0)))</f>
        <v>4</v>
      </c>
      <c r="AK122" s="527">
        <f>IF(ISERROR(VLOOKUP(G122,'Planning and Target Times'!$B$106:$D$110,MATCH(F122,INDEX('Planning and Target Times'!$B$106:$D$110,1,0),0),0)),"",(VLOOKUP(G122,'Planning and Target Times'!$B$106:$D$110,MATCH(F122,INDEX('Planning and Target Times'!$B$106:$D$110,1,0),0),0)))</f>
        <v>550</v>
      </c>
      <c r="AL122" s="528" t="str">
        <f>VLOOKUP(G122,'Planning and Target Times'!$I$2:$J$7,2,0)</f>
        <v>Sandstone</v>
      </c>
      <c r="AM122" s="540"/>
      <c r="AN122" s="540"/>
      <c r="AO122" s="540"/>
      <c r="AP122" s="533">
        <f t="shared" si="26"/>
        <v>7.333333333333333</v>
      </c>
      <c r="AQ122" s="540"/>
      <c r="AR122" s="540"/>
      <c r="AS122" s="540"/>
      <c r="AT122" s="540"/>
      <c r="AU122" s="540"/>
      <c r="AV122" s="540"/>
      <c r="AW122" s="540"/>
      <c r="AX122" s="540"/>
      <c r="AY122" s="540"/>
      <c r="AZ122" s="540"/>
      <c r="BA122" s="540"/>
      <c r="BB122" s="540"/>
      <c r="BC122" s="540"/>
      <c r="BD122" s="540"/>
      <c r="BE122" s="540"/>
      <c r="BF122" s="540"/>
      <c r="BG122" s="540"/>
      <c r="BH122" s="540"/>
      <c r="BI122" s="540"/>
      <c r="BJ122" s="540"/>
      <c r="BK122" s="540"/>
      <c r="BL122" s="540"/>
      <c r="BM122" s="540"/>
      <c r="BN122" s="540"/>
      <c r="BO122" s="526">
        <f ca="1">IF(ISERROR(IF(INDEX(Rig_Schedule_View!$I$11:$I$262,MATCH(Well_Data_NK_Upcoming!AG118,Rig_Schedule_View!$B$11:$B$262,0))=0,O122,(INDEX(Rig_Schedule_View!$I$11:$I$262,MATCH(Well_Data_NK_Upcoming!AG118,Rig_Schedule_View!$B$11:$B$262,0))))),O122,(IF(INDEX(Rig_Schedule_View!$I$11:$I$262,MATCH(Well_Data_NK_Upcoming!AG118,Rig_Schedule_View!$B$11:$B$262,0))=0,O122,(INDEX(Rig_Schedule_View!$I$11:$I$262,MATCH(Well_Data_NK_Upcoming!AG118,Rig_Schedule_View!$B$11:$B$262,0))))))</f>
        <v>42536</v>
      </c>
      <c r="BP122" s="526">
        <f ca="1">IF(ISERROR(IF(INDEX(Rig_Schedule_View!$J$11:$J$262,MATCH(Well_Data_NK_Upcoming!AG118,Rig_Schedule_View!$B$11:$B$262,0))=0,P122,(INDEX(Rig_Schedule_View!$J$11:$J$262,MATCH(Well_Data_NK_Upcoming!AG118,Rig_Schedule_View!$B$11:$B$262,0))))),P122,(IF(INDEX(Rig_Schedule_View!$J$11:$J$262,MATCH(Well_Data_NK_Upcoming!AG118,Rig_Schedule_View!$B$11:$B$262,0))=0,P122,(INDEX(Rig_Schedule_View!$J$11:$J$262,MATCH(Well_Data_NK_Upcoming!AG118,Rig_Schedule_View!$B$11:$B$262,0))))))</f>
        <v>42606</v>
      </c>
      <c r="BQ122" s="527"/>
      <c r="BR122" s="525"/>
      <c r="BS122" s="525"/>
      <c r="BT122" s="525"/>
      <c r="BU122" s="525"/>
      <c r="BV122" s="525"/>
      <c r="BW122" s="525"/>
      <c r="BX122" s="525"/>
      <c r="BY122" s="525"/>
      <c r="BZ122" s="525"/>
    </row>
    <row r="123" spans="1:78" x14ac:dyDescent="0.25">
      <c r="A123" s="540" t="s">
        <v>1775</v>
      </c>
      <c r="B123" s="540" t="s">
        <v>11</v>
      </c>
      <c r="C123" s="540"/>
      <c r="D123" s="529" t="s">
        <v>2332</v>
      </c>
      <c r="E123" s="540"/>
      <c r="F123" s="528" t="str">
        <f t="shared" si="28"/>
        <v>SA</v>
      </c>
      <c r="G123" s="540" t="s">
        <v>17</v>
      </c>
      <c r="H123" s="536" t="s">
        <v>1414</v>
      </c>
      <c r="I123" s="540"/>
      <c r="J123" s="540" t="s">
        <v>298</v>
      </c>
      <c r="K123" s="540" t="s">
        <v>14</v>
      </c>
      <c r="L123" s="540" t="s">
        <v>1410</v>
      </c>
      <c r="M123" s="539"/>
      <c r="N123" s="540"/>
      <c r="O123" s="532"/>
      <c r="P123" s="540"/>
      <c r="Q123" s="540"/>
      <c r="R123" s="537">
        <f>IF(ISERROR(VLOOKUP(G123,'Planning and Target Times'!$L$1:$AP$6,MATCH(K123&amp;"_"&amp;L123&amp;"_"&amp;J123,INDEX('Planning and Target Times'!$L$1:$AP$6,1,0),0),0)+5),"",(VLOOKUP(G123,'Planning and Target Times'!$L$1:$AP$6,MATCH(K123&amp;"_"&amp;L123&amp;"_"&amp;J123,INDEX('Planning and Target Times'!$L$1:$AP$6,1,0),0),0)+5))</f>
        <v>75</v>
      </c>
      <c r="S123" s="528">
        <f t="shared" si="22"/>
        <v>70</v>
      </c>
      <c r="T123" s="538">
        <f>VLOOKUP(G123,'Planning and Target Times'!$A$7:$G$12,MATCH(K123&amp;"-"&amp;L123&amp;"-"&amp;J123,INDEX('Planning and Target Times'!$A$7:$G$12,1,0),0),0)</f>
        <v>35</v>
      </c>
      <c r="U123" s="540"/>
      <c r="V123" s="540"/>
      <c r="W123" s="540"/>
      <c r="X123" s="535" t="str">
        <f t="shared" si="27"/>
        <v>MA</v>
      </c>
      <c r="Y123" s="540"/>
      <c r="Z123" s="540"/>
      <c r="AA123" s="540"/>
      <c r="AB123" s="540"/>
      <c r="AC123" s="540"/>
      <c r="AD123" s="540"/>
      <c r="AE123" s="540" t="s">
        <v>91</v>
      </c>
      <c r="AF123" s="528"/>
      <c r="AG123" s="540" t="str">
        <f t="shared" si="23"/>
        <v>SA25-SA-MA-Prod-NW-HZ</v>
      </c>
      <c r="AH123" s="540" t="str">
        <f t="shared" si="24"/>
        <v>SA25-SP-283</v>
      </c>
      <c r="AI123" s="540" t="str">
        <f t="shared" si="25"/>
        <v>SA25-MA-NW-Prod</v>
      </c>
      <c r="AJ123" s="540">
        <f ca="1">IF(P123&gt;0,"RR",IF(O123&gt;0,0,COUNTIF($H$2:H123,H123)-IFERROR(COUNTIF(OFFSET($H$1,0,0,SUMPRODUCT(MAX(($H$2:H123=H123)*ROW($H$2:H123)*($O$2:O123&lt;&gt;""))),1),H123),0)))</f>
        <v>4</v>
      </c>
      <c r="AK123" s="527">
        <f>IF(ISERROR(VLOOKUP(G123,'Planning and Target Times'!$B$106:$D$110,MATCH(F123,INDEX('Planning and Target Times'!$B$106:$D$110,1,0),0),0)),"",(VLOOKUP(G123,'Planning and Target Times'!$B$106:$D$110,MATCH(F123,INDEX('Planning and Target Times'!$B$106:$D$110,1,0),0),0)))</f>
        <v>740</v>
      </c>
      <c r="AL123" s="528" t="str">
        <f>VLOOKUP(G123,'Planning and Target Times'!$I$2:$J$7,2,0)</f>
        <v>Carbonate</v>
      </c>
      <c r="AM123" s="540"/>
      <c r="AN123" s="540"/>
      <c r="AO123" s="540"/>
      <c r="AP123" s="533">
        <f t="shared" si="26"/>
        <v>9.8666666666666671</v>
      </c>
      <c r="AQ123" s="540"/>
      <c r="AR123" s="540"/>
      <c r="AS123" s="540"/>
      <c r="AT123" s="540"/>
      <c r="AU123" s="540"/>
      <c r="AV123" s="540"/>
      <c r="AW123" s="540"/>
      <c r="AX123" s="540"/>
      <c r="AY123" s="540"/>
      <c r="AZ123" s="540"/>
      <c r="BA123" s="540"/>
      <c r="BB123" s="540"/>
      <c r="BC123" s="540"/>
      <c r="BD123" s="540"/>
      <c r="BE123" s="540"/>
      <c r="BF123" s="540"/>
      <c r="BG123" s="540"/>
      <c r="BH123" s="540"/>
      <c r="BI123" s="540"/>
      <c r="BJ123" s="540"/>
      <c r="BK123" s="540"/>
      <c r="BL123" s="540"/>
      <c r="BM123" s="540"/>
      <c r="BN123" s="540"/>
      <c r="BO123" s="526">
        <f ca="1">IF(ISERROR(IF(INDEX(Rig_Schedule_View!$I$11:$I$262,MATCH(Well_Data_NK_Upcoming!AG119,Rig_Schedule_View!$B$11:$B$262,0))=0,O123,(INDEX(Rig_Schedule_View!$I$11:$I$262,MATCH(Well_Data_NK_Upcoming!AG119,Rig_Schedule_View!$B$11:$B$262,0))))),O123,(IF(INDEX(Rig_Schedule_View!$I$11:$I$262,MATCH(Well_Data_NK_Upcoming!AG119,Rig_Schedule_View!$B$11:$B$262,0))=0,O123,(INDEX(Rig_Schedule_View!$I$11:$I$262,MATCH(Well_Data_NK_Upcoming!AG119,Rig_Schedule_View!$B$11:$B$262,0))))))</f>
        <v>42558</v>
      </c>
      <c r="BP123" s="526">
        <f ca="1">IF(ISERROR(IF(INDEX(Rig_Schedule_View!$J$11:$J$262,MATCH(Well_Data_NK_Upcoming!AG119,Rig_Schedule_View!$B$11:$B$262,0))=0,P123,(INDEX(Rig_Schedule_View!$J$11:$J$262,MATCH(Well_Data_NK_Upcoming!AG119,Rig_Schedule_View!$B$11:$B$262,0))))),P123,(IF(INDEX(Rig_Schedule_View!$J$11:$J$262,MATCH(Well_Data_NK_Upcoming!AG119,Rig_Schedule_View!$B$11:$B$262,0))=0,P123,(INDEX(Rig_Schedule_View!$J$11:$J$262,MATCH(Well_Data_NK_Upcoming!AG119,Rig_Schedule_View!$B$11:$B$262,0))))))</f>
        <v>42628</v>
      </c>
      <c r="BQ123" s="527"/>
      <c r="BR123" s="525"/>
      <c r="BS123" s="525"/>
      <c r="BT123" s="525"/>
      <c r="BU123" s="525"/>
      <c r="BV123" s="525"/>
      <c r="BW123" s="525"/>
      <c r="BX123" s="525"/>
      <c r="BY123" s="525"/>
      <c r="BZ123" s="525"/>
    </row>
    <row r="124" spans="1:78" x14ac:dyDescent="0.25">
      <c r="A124" s="540" t="s">
        <v>1776</v>
      </c>
      <c r="B124" s="540" t="s">
        <v>11</v>
      </c>
      <c r="C124" s="540"/>
      <c r="D124" s="529" t="s">
        <v>2333</v>
      </c>
      <c r="E124" s="540"/>
      <c r="F124" s="528" t="str">
        <f t="shared" si="28"/>
        <v>SA</v>
      </c>
      <c r="G124" s="540" t="s">
        <v>17</v>
      </c>
      <c r="H124" s="536" t="s">
        <v>1415</v>
      </c>
      <c r="I124" s="540"/>
      <c r="J124" s="540" t="s">
        <v>298</v>
      </c>
      <c r="K124" s="540" t="s">
        <v>14</v>
      </c>
      <c r="L124" s="540" t="s">
        <v>1410</v>
      </c>
      <c r="M124" s="539"/>
      <c r="N124" s="540"/>
      <c r="O124" s="532"/>
      <c r="P124" s="540"/>
      <c r="Q124" s="540"/>
      <c r="R124" s="537">
        <f>IF(ISERROR(VLOOKUP(G124,'Planning and Target Times'!$L$1:$AP$6,MATCH(K124&amp;"_"&amp;L124&amp;"_"&amp;J124,INDEX('Planning and Target Times'!$L$1:$AP$6,1,0),0),0)+5),"",(VLOOKUP(G124,'Planning and Target Times'!$L$1:$AP$6,MATCH(K124&amp;"_"&amp;L124&amp;"_"&amp;J124,INDEX('Planning and Target Times'!$L$1:$AP$6,1,0),0),0)+5))</f>
        <v>75</v>
      </c>
      <c r="S124" s="528">
        <f t="shared" si="22"/>
        <v>70</v>
      </c>
      <c r="T124" s="538">
        <f>VLOOKUP(G124,'Planning and Target Times'!$A$7:$G$12,MATCH(K124&amp;"-"&amp;L124&amp;"-"&amp;J124,INDEX('Planning and Target Times'!$A$7:$G$12,1,0),0),0)</f>
        <v>35</v>
      </c>
      <c r="U124" s="540"/>
      <c r="V124" s="540"/>
      <c r="W124" s="540"/>
      <c r="X124" s="535" t="str">
        <f t="shared" si="27"/>
        <v>MA</v>
      </c>
      <c r="Y124" s="540"/>
      <c r="Z124" s="540"/>
      <c r="AA124" s="540"/>
      <c r="AB124" s="540"/>
      <c r="AC124" s="540"/>
      <c r="AD124" s="540"/>
      <c r="AE124" s="540" t="s">
        <v>91</v>
      </c>
      <c r="AF124" s="528"/>
      <c r="AG124" s="540" t="str">
        <f t="shared" si="23"/>
        <v>SA26-SA-MA-Prod-NW-HZ</v>
      </c>
      <c r="AH124" s="540" t="str">
        <f t="shared" si="24"/>
        <v>SA26-SP-288</v>
      </c>
      <c r="AI124" s="540" t="str">
        <f t="shared" si="25"/>
        <v>SA26-MA-NW-Prod</v>
      </c>
      <c r="AJ124" s="540">
        <f ca="1">IF(P124&gt;0,"RR",IF(O124&gt;0,0,COUNTIF($H$2:H124,H124)-IFERROR(COUNTIF(OFFSET($H$1,0,0,SUMPRODUCT(MAX(($H$2:H124=H124)*ROW($H$2:H124)*($O$2:O124&lt;&gt;""))),1),H124),0)))</f>
        <v>4</v>
      </c>
      <c r="AK124" s="527">
        <f>IF(ISERROR(VLOOKUP(G124,'Planning and Target Times'!$B$106:$D$110,MATCH(F124,INDEX('Planning and Target Times'!$B$106:$D$110,1,0),0),0)),"",(VLOOKUP(G124,'Planning and Target Times'!$B$106:$D$110,MATCH(F124,INDEX('Planning and Target Times'!$B$106:$D$110,1,0),0),0)))</f>
        <v>740</v>
      </c>
      <c r="AL124" s="528" t="str">
        <f>VLOOKUP(G124,'Planning and Target Times'!$I$2:$J$7,2,0)</f>
        <v>Carbonate</v>
      </c>
      <c r="AM124" s="540"/>
      <c r="AN124" s="540"/>
      <c r="AO124" s="540"/>
      <c r="AP124" s="533">
        <f t="shared" si="26"/>
        <v>9.8666666666666671</v>
      </c>
      <c r="AQ124" s="540"/>
      <c r="AR124" s="540"/>
      <c r="AS124" s="540"/>
      <c r="AT124" s="540"/>
      <c r="AU124" s="540"/>
      <c r="AV124" s="540"/>
      <c r="AW124" s="540"/>
      <c r="AX124" s="540"/>
      <c r="AY124" s="540"/>
      <c r="AZ124" s="540"/>
      <c r="BA124" s="540"/>
      <c r="BB124" s="540"/>
      <c r="BC124" s="540"/>
      <c r="BD124" s="540"/>
      <c r="BE124" s="540"/>
      <c r="BF124" s="540"/>
      <c r="BG124" s="540"/>
      <c r="BH124" s="540"/>
      <c r="BI124" s="540"/>
      <c r="BJ124" s="540"/>
      <c r="BK124" s="540"/>
      <c r="BL124" s="540"/>
      <c r="BM124" s="540"/>
      <c r="BN124" s="540"/>
      <c r="BO124" s="526">
        <f ca="1">IF(ISERROR(IF(INDEX(Rig_Schedule_View!$I$11:$I$262,MATCH(Well_Data_NK_Upcoming!AG137,Rig_Schedule_View!$B$11:$B$262,0))=0,O124,(INDEX(Rig_Schedule_View!$I$11:$I$262,MATCH(Well_Data_NK_Upcoming!AG137,Rig_Schedule_View!$B$11:$B$262,0))))),O124,(IF(INDEX(Rig_Schedule_View!$I$11:$I$262,MATCH(Well_Data_NK_Upcoming!AG137,Rig_Schedule_View!$B$11:$B$262,0))=0,O124,(INDEX(Rig_Schedule_View!$I$11:$I$262,MATCH(Well_Data_NK_Upcoming!AG137,Rig_Schedule_View!$B$11:$B$262,0))))))</f>
        <v>42633</v>
      </c>
      <c r="BP124" s="526">
        <f ca="1">IF(ISERROR(IF(INDEX(Rig_Schedule_View!$J$11:$J$262,MATCH(Well_Data_NK_Upcoming!AG137,Rig_Schedule_View!$B$11:$B$262,0))=0,P124,(INDEX(Rig_Schedule_View!$J$11:$J$262,MATCH(Well_Data_NK_Upcoming!AG137,Rig_Schedule_View!$B$11:$B$262,0))))),P124,(IF(INDEX(Rig_Schedule_View!$J$11:$J$262,MATCH(Well_Data_NK_Upcoming!AG137,Rig_Schedule_View!$B$11:$B$262,0))=0,P124,(INDEX(Rig_Schedule_View!$J$11:$J$262,MATCH(Well_Data_NK_Upcoming!AG137,Rig_Schedule_View!$B$11:$B$262,0))))))</f>
        <v>42696</v>
      </c>
      <c r="BQ124" s="527"/>
      <c r="BR124" s="525"/>
      <c r="BS124" s="525"/>
      <c r="BT124" s="525"/>
      <c r="BU124" s="525"/>
      <c r="BV124" s="525"/>
      <c r="BW124" s="525"/>
      <c r="BX124" s="525"/>
      <c r="BY124" s="525"/>
      <c r="BZ124" s="525"/>
    </row>
    <row r="125" spans="1:78" x14ac:dyDescent="0.25">
      <c r="A125" s="540" t="s">
        <v>1766</v>
      </c>
      <c r="B125" s="540" t="s">
        <v>11</v>
      </c>
      <c r="C125" s="540"/>
      <c r="D125" s="529" t="s">
        <v>2334</v>
      </c>
      <c r="E125" s="540"/>
      <c r="F125" s="528" t="str">
        <f t="shared" si="28"/>
        <v>SA</v>
      </c>
      <c r="G125" s="540" t="s">
        <v>17</v>
      </c>
      <c r="H125" s="536" t="s">
        <v>734</v>
      </c>
      <c r="I125" s="540"/>
      <c r="J125" s="540" t="s">
        <v>298</v>
      </c>
      <c r="K125" s="540" t="s">
        <v>14</v>
      </c>
      <c r="L125" s="540" t="s">
        <v>1410</v>
      </c>
      <c r="M125" s="539"/>
      <c r="N125" s="540"/>
      <c r="O125" s="532"/>
      <c r="P125" s="540"/>
      <c r="Q125" s="540"/>
      <c r="R125" s="537">
        <f>IF(ISERROR(VLOOKUP(G125,'Planning and Target Times'!$L$1:$AP$6,MATCH(K125&amp;"_"&amp;L125&amp;"_"&amp;J125,INDEX('Planning and Target Times'!$L$1:$AP$6,1,0),0),0)+5),"",(VLOOKUP(G125,'Planning and Target Times'!$L$1:$AP$6,MATCH(K125&amp;"_"&amp;L125&amp;"_"&amp;J125,INDEX('Planning and Target Times'!$L$1:$AP$6,1,0),0),0)+5))</f>
        <v>75</v>
      </c>
      <c r="S125" s="528">
        <f t="shared" si="22"/>
        <v>70</v>
      </c>
      <c r="T125" s="538">
        <f>VLOOKUP(G125,'Planning and Target Times'!$A$7:$G$12,MATCH(K125&amp;"-"&amp;L125&amp;"-"&amp;J125,INDEX('Planning and Target Times'!$A$7:$G$12,1,0),0),0)</f>
        <v>35</v>
      </c>
      <c r="U125" s="540"/>
      <c r="V125" s="540"/>
      <c r="W125" s="540"/>
      <c r="X125" s="535" t="str">
        <f t="shared" si="27"/>
        <v>MA</v>
      </c>
      <c r="Y125" s="540"/>
      <c r="Z125" s="540"/>
      <c r="AA125" s="540"/>
      <c r="AB125" s="540"/>
      <c r="AC125" s="540"/>
      <c r="AD125" s="540"/>
      <c r="AE125" s="540" t="s">
        <v>91</v>
      </c>
      <c r="AF125" s="528"/>
      <c r="AG125" s="540" t="str">
        <f t="shared" si="23"/>
        <v>SA13-SA-MA-Prod-NW-HZ</v>
      </c>
      <c r="AH125" s="540" t="str">
        <f t="shared" si="24"/>
        <v>SA13-SP-294</v>
      </c>
      <c r="AI125" s="540" t="str">
        <f t="shared" si="25"/>
        <v>SA13-MA-NW-Prod</v>
      </c>
      <c r="AJ125" s="540">
        <f ca="1">IF(P125&gt;0,"RR",IF(O125&gt;0,0,COUNTIF($H$2:H125,H125)-IFERROR(COUNTIF(OFFSET($H$1,0,0,SUMPRODUCT(MAX(($H$2:H125=H125)*ROW($H$2:H125)*($O$2:O125&lt;&gt;""))),1),H125),0)))</f>
        <v>4</v>
      </c>
      <c r="AK125" s="527">
        <f>IF(ISERROR(VLOOKUP(G125,'Planning and Target Times'!$B$106:$D$110,MATCH(F125,INDEX('Planning and Target Times'!$B$106:$D$110,1,0),0),0)),"",(VLOOKUP(G125,'Planning and Target Times'!$B$106:$D$110,MATCH(F125,INDEX('Planning and Target Times'!$B$106:$D$110,1,0),0),0)))</f>
        <v>740</v>
      </c>
      <c r="AL125" s="528" t="str">
        <f>VLOOKUP(G125,'Planning and Target Times'!$I$2:$J$7,2,0)</f>
        <v>Carbonate</v>
      </c>
      <c r="AM125" s="540"/>
      <c r="AN125" s="540"/>
      <c r="AO125" s="540"/>
      <c r="AP125" s="533">
        <f t="shared" si="26"/>
        <v>9.8666666666666671</v>
      </c>
      <c r="AQ125" s="540"/>
      <c r="AR125" s="540"/>
      <c r="AS125" s="540"/>
      <c r="AT125" s="540"/>
      <c r="AU125" s="540"/>
      <c r="AV125" s="540"/>
      <c r="AW125" s="540"/>
      <c r="AX125" s="540"/>
      <c r="AY125" s="540"/>
      <c r="AZ125" s="540"/>
      <c r="BA125" s="540"/>
      <c r="BB125" s="540"/>
      <c r="BC125" s="540"/>
      <c r="BD125" s="540"/>
      <c r="BE125" s="540"/>
      <c r="BF125" s="540"/>
      <c r="BG125" s="540"/>
      <c r="BH125" s="540"/>
      <c r="BI125" s="540"/>
      <c r="BJ125" s="540"/>
      <c r="BK125" s="540"/>
      <c r="BL125" s="540"/>
      <c r="BM125" s="540"/>
      <c r="BN125" s="540"/>
      <c r="BO125" s="526">
        <f ca="1">IF(ISERROR(IF(INDEX(Rig_Schedule_View!$I$11:$I$262,MATCH(Well_Data_NK_Upcoming!AG121,Rig_Schedule_View!$B$11:$B$262,0))=0,O125,(INDEX(Rig_Schedule_View!$I$11:$I$262,MATCH(Well_Data_NK_Upcoming!AG121,Rig_Schedule_View!$B$11:$B$262,0))))),O125,(IF(INDEX(Rig_Schedule_View!$I$11:$I$262,MATCH(Well_Data_NK_Upcoming!AG121,Rig_Schedule_View!$B$11:$B$262,0))=0,O125,(INDEX(Rig_Schedule_View!$I$11:$I$262,MATCH(Well_Data_NK_Upcoming!AG121,Rig_Schedule_View!$B$11:$B$262,0))))))</f>
        <v>42477</v>
      </c>
      <c r="BP125" s="526">
        <f ca="1">IF(ISERROR(IF(INDEX(Rig_Schedule_View!$J$11:$J$262,MATCH(Well_Data_NK_Upcoming!AG121,Rig_Schedule_View!$B$11:$B$262,0))=0,P125,(INDEX(Rig_Schedule_View!$J$11:$J$262,MATCH(Well_Data_NK_Upcoming!AG121,Rig_Schedule_View!$B$11:$B$262,0))))),P125,(IF(INDEX(Rig_Schedule_View!$J$11:$J$262,MATCH(Well_Data_NK_Upcoming!AG121,Rig_Schedule_View!$B$11:$B$262,0))=0,P125,(INDEX(Rig_Schedule_View!$J$11:$J$262,MATCH(Well_Data_NK_Upcoming!AG121,Rig_Schedule_View!$B$11:$B$262,0))))))</f>
        <v>42547</v>
      </c>
      <c r="BQ125" s="527"/>
      <c r="BR125" s="525"/>
      <c r="BS125" s="525"/>
      <c r="BT125" s="525"/>
      <c r="BU125" s="525"/>
      <c r="BV125" s="525"/>
      <c r="BW125" s="525"/>
      <c r="BX125" s="525"/>
      <c r="BY125" s="525"/>
      <c r="BZ125" s="525"/>
    </row>
    <row r="126" spans="1:78" x14ac:dyDescent="0.25">
      <c r="A126" s="540" t="s">
        <v>1777</v>
      </c>
      <c r="B126" s="540" t="s">
        <v>11</v>
      </c>
      <c r="C126" s="540"/>
      <c r="D126" s="529" t="s">
        <v>2335</v>
      </c>
      <c r="E126" s="540"/>
      <c r="F126" s="528" t="str">
        <f t="shared" si="28"/>
        <v>SA</v>
      </c>
      <c r="G126" s="540" t="s">
        <v>17</v>
      </c>
      <c r="H126" s="536" t="s">
        <v>735</v>
      </c>
      <c r="I126" s="540"/>
      <c r="J126" s="540" t="s">
        <v>298</v>
      </c>
      <c r="K126" s="540" t="s">
        <v>14</v>
      </c>
      <c r="L126" s="540" t="s">
        <v>1410</v>
      </c>
      <c r="M126" s="539"/>
      <c r="N126" s="540"/>
      <c r="O126" s="532"/>
      <c r="P126" s="540"/>
      <c r="Q126" s="540"/>
      <c r="R126" s="537">
        <f>IF(ISERROR(VLOOKUP(G126,'Planning and Target Times'!$L$1:$AP$6,MATCH(K126&amp;"_"&amp;L126&amp;"_"&amp;J126,INDEX('Planning and Target Times'!$L$1:$AP$6,1,0),0),0)+5),"",(VLOOKUP(G126,'Planning and Target Times'!$L$1:$AP$6,MATCH(K126&amp;"_"&amp;L126&amp;"_"&amp;J126,INDEX('Planning and Target Times'!$L$1:$AP$6,1,0),0),0)+5))</f>
        <v>75</v>
      </c>
      <c r="S126" s="528">
        <f t="shared" si="22"/>
        <v>70</v>
      </c>
      <c r="T126" s="538">
        <f>VLOOKUP(G126,'Planning and Target Times'!$A$7:$G$12,MATCH(K126&amp;"-"&amp;L126&amp;"-"&amp;J126,INDEX('Planning and Target Times'!$A$7:$G$12,1,0),0),0)</f>
        <v>35</v>
      </c>
      <c r="U126" s="540"/>
      <c r="V126" s="540"/>
      <c r="W126" s="540"/>
      <c r="X126" s="535" t="str">
        <f t="shared" si="27"/>
        <v>MA</v>
      </c>
      <c r="Y126" s="540"/>
      <c r="Z126" s="540"/>
      <c r="AA126" s="540"/>
      <c r="AB126" s="540"/>
      <c r="AC126" s="540"/>
      <c r="AD126" s="540"/>
      <c r="AE126" s="540" t="s">
        <v>91</v>
      </c>
      <c r="AF126" s="528"/>
      <c r="AG126" s="540" t="str">
        <f t="shared" si="23"/>
        <v>SA27-SA-MA-Prod-NW-HZ</v>
      </c>
      <c r="AH126" s="540" t="str">
        <f t="shared" si="24"/>
        <v>SA27-SP-295</v>
      </c>
      <c r="AI126" s="540" t="str">
        <f t="shared" si="25"/>
        <v>SA27-MA-NW-Prod</v>
      </c>
      <c r="AJ126" s="540">
        <f ca="1">IF(P126&gt;0,"RR",IF(O126&gt;0,0,COUNTIF($H$2:H126,H126)-IFERROR(COUNTIF(OFFSET($H$1,0,0,SUMPRODUCT(MAX(($H$2:H126=H126)*ROW($H$2:H126)*($O$2:O126&lt;&gt;""))),1),H126),0)))</f>
        <v>4</v>
      </c>
      <c r="AK126" s="527">
        <f>IF(ISERROR(VLOOKUP(G126,'Planning and Target Times'!$B$106:$D$110,MATCH(F126,INDEX('Planning and Target Times'!$B$106:$D$110,1,0),0),0)),"",(VLOOKUP(G126,'Planning and Target Times'!$B$106:$D$110,MATCH(F126,INDEX('Planning and Target Times'!$B$106:$D$110,1,0),0),0)))</f>
        <v>740</v>
      </c>
      <c r="AL126" s="528" t="str">
        <f>VLOOKUP(G126,'Planning and Target Times'!$I$2:$J$7,2,0)</f>
        <v>Carbonate</v>
      </c>
      <c r="AM126" s="540"/>
      <c r="AN126" s="540"/>
      <c r="AO126" s="540"/>
      <c r="AP126" s="533">
        <f t="shared" si="26"/>
        <v>9.8666666666666671</v>
      </c>
      <c r="AQ126" s="540"/>
      <c r="AR126" s="540"/>
      <c r="AS126" s="540"/>
      <c r="AT126" s="540"/>
      <c r="AU126" s="540"/>
      <c r="AV126" s="540"/>
      <c r="AW126" s="540"/>
      <c r="AX126" s="540"/>
      <c r="AY126" s="540"/>
      <c r="AZ126" s="540"/>
      <c r="BA126" s="540"/>
      <c r="BB126" s="540"/>
      <c r="BC126" s="540"/>
      <c r="BD126" s="540"/>
      <c r="BE126" s="540"/>
      <c r="BF126" s="540"/>
      <c r="BG126" s="540"/>
      <c r="BH126" s="540"/>
      <c r="BI126" s="540"/>
      <c r="BJ126" s="540"/>
      <c r="BK126" s="540"/>
      <c r="BL126" s="540"/>
      <c r="BM126" s="540"/>
      <c r="BN126" s="540"/>
      <c r="BO126" s="526">
        <f ca="1">IF(ISERROR(IF(INDEX(Rig_Schedule_View!$I$11:$I$262,MATCH(Well_Data_NK_Upcoming!AG122,Rig_Schedule_View!$B$11:$B$262,0))=0,O126,(INDEX(Rig_Schedule_View!$I$11:$I$262,MATCH(Well_Data_NK_Upcoming!AG122,Rig_Schedule_View!$B$11:$B$262,0))))),O126,(IF(INDEX(Rig_Schedule_View!$I$11:$I$262,MATCH(Well_Data_NK_Upcoming!AG122,Rig_Schedule_View!$B$11:$B$262,0))=0,O126,(INDEX(Rig_Schedule_View!$I$11:$I$262,MATCH(Well_Data_NK_Upcoming!AG122,Rig_Schedule_View!$B$11:$B$262,0))))))</f>
        <v>42468</v>
      </c>
      <c r="BP126" s="526">
        <f ca="1">IF(ISERROR(IF(INDEX(Rig_Schedule_View!$J$11:$J$262,MATCH(Well_Data_NK_Upcoming!AG122,Rig_Schedule_View!$B$11:$B$262,0))=0,P126,(INDEX(Rig_Schedule_View!$J$11:$J$262,MATCH(Well_Data_NK_Upcoming!AG122,Rig_Schedule_View!$B$11:$B$262,0))))),P126,(IF(INDEX(Rig_Schedule_View!$J$11:$J$262,MATCH(Well_Data_NK_Upcoming!AG122,Rig_Schedule_View!$B$11:$B$262,0))=0,P126,(INDEX(Rig_Schedule_View!$J$11:$J$262,MATCH(Well_Data_NK_Upcoming!AG122,Rig_Schedule_View!$B$11:$B$262,0))))))</f>
        <v>42538</v>
      </c>
      <c r="BQ126" s="527"/>
      <c r="BR126" s="525"/>
      <c r="BS126" s="525"/>
      <c r="BT126" s="525"/>
      <c r="BU126" s="525"/>
      <c r="BV126" s="525"/>
      <c r="BW126" s="525"/>
      <c r="BX126" s="525"/>
      <c r="BY126" s="525"/>
      <c r="BZ126" s="525"/>
    </row>
    <row r="127" spans="1:78" x14ac:dyDescent="0.25">
      <c r="A127" s="540" t="s">
        <v>1768</v>
      </c>
      <c r="B127" s="540" t="s">
        <v>11</v>
      </c>
      <c r="C127" s="540"/>
      <c r="D127" s="529" t="s">
        <v>2336</v>
      </c>
      <c r="E127" s="540"/>
      <c r="F127" s="528" t="str">
        <f t="shared" si="28"/>
        <v>SA</v>
      </c>
      <c r="G127" s="540" t="s">
        <v>17</v>
      </c>
      <c r="H127" s="536" t="s">
        <v>1171</v>
      </c>
      <c r="I127" s="540"/>
      <c r="J127" s="540" t="s">
        <v>34</v>
      </c>
      <c r="K127" s="540" t="s">
        <v>18</v>
      </c>
      <c r="L127" s="540" t="s">
        <v>1410</v>
      </c>
      <c r="M127" s="539"/>
      <c r="N127" s="540"/>
      <c r="O127" s="532"/>
      <c r="P127" s="540"/>
      <c r="Q127" s="540"/>
      <c r="R127" s="537">
        <f>IF(ISERROR(VLOOKUP(G127,'Planning and Target Times'!$L$1:$AP$6,MATCH(K127&amp;"_"&amp;L127&amp;"_"&amp;J127,INDEX('Planning and Target Times'!$L$1:$AP$6,1,0),0),0)+5),"",(VLOOKUP(G127,'Planning and Target Times'!$L$1:$AP$6,MATCH(K127&amp;"_"&amp;L127&amp;"_"&amp;J127,INDEX('Planning and Target Times'!$L$1:$AP$6,1,0),0),0)+5))</f>
        <v>54</v>
      </c>
      <c r="S127" s="528">
        <f t="shared" si="22"/>
        <v>49</v>
      </c>
      <c r="T127" s="538">
        <f>VLOOKUP(G127,'Planning and Target Times'!$A$7:$G$12,MATCH(K127&amp;"-"&amp;L127&amp;"-"&amp;J127,INDEX('Planning and Target Times'!$A$7:$G$12,1,0),0),0)</f>
        <v>25</v>
      </c>
      <c r="U127" s="540"/>
      <c r="V127" s="540"/>
      <c r="W127" s="540"/>
      <c r="X127" s="535" t="str">
        <f t="shared" si="27"/>
        <v>MA</v>
      </c>
      <c r="Y127" s="540"/>
      <c r="Z127" s="540"/>
      <c r="AA127" s="540"/>
      <c r="AB127" s="540"/>
      <c r="AC127" s="540"/>
      <c r="AD127" s="540"/>
      <c r="AE127" s="540" t="s">
        <v>91</v>
      </c>
      <c r="AF127" s="528"/>
      <c r="AG127" s="540" t="str">
        <f t="shared" si="23"/>
        <v>SA15-SA-MA-Inj-ST-HZ</v>
      </c>
      <c r="AH127" s="540" t="str">
        <f t="shared" si="24"/>
        <v>SA15-KDC-25</v>
      </c>
      <c r="AI127" s="540" t="str">
        <f t="shared" si="25"/>
        <v>SA15-MA-ST-Inj</v>
      </c>
      <c r="AJ127" s="540">
        <f ca="1">IF(P127&gt;0,"RR",IF(O127&gt;0,0,COUNTIF($H$2:H127,H127)-IFERROR(COUNTIF(OFFSET($H$1,0,0,SUMPRODUCT(MAX(($H$2:H127=H127)*ROW($H$2:H127)*($O$2:O127&lt;&gt;""))),1),H127),0)))</f>
        <v>5</v>
      </c>
      <c r="AK127" s="527"/>
      <c r="AL127" s="528" t="str">
        <f>VLOOKUP(G127,'Planning and Target Times'!$I$2:$J$7,2,0)</f>
        <v>Carbonate</v>
      </c>
      <c r="AM127" s="540"/>
      <c r="AN127" s="540"/>
      <c r="AO127" s="540"/>
      <c r="AP127" s="533">
        <f t="shared" si="26"/>
        <v>0</v>
      </c>
      <c r="AQ127" s="540"/>
      <c r="AR127" s="540"/>
      <c r="AS127" s="540"/>
      <c r="AT127" s="540"/>
      <c r="AU127" s="540"/>
      <c r="AV127" s="540"/>
      <c r="AW127" s="540"/>
      <c r="AX127" s="540"/>
      <c r="AY127" s="540"/>
      <c r="AZ127" s="540"/>
      <c r="BA127" s="540"/>
      <c r="BB127" s="540"/>
      <c r="BC127" s="540"/>
      <c r="BD127" s="540"/>
      <c r="BE127" s="540"/>
      <c r="BF127" s="540"/>
      <c r="BG127" s="540"/>
      <c r="BH127" s="540"/>
      <c r="BI127" s="540"/>
      <c r="BJ127" s="540"/>
      <c r="BK127" s="540"/>
      <c r="BL127" s="540"/>
      <c r="BM127" s="540"/>
      <c r="BN127" s="540"/>
      <c r="BO127" s="526">
        <f ca="1">IF(ISERROR(IF(INDEX(Rig_Schedule_View!$I$11:$I$262,MATCH(Well_Data_NK_Upcoming!AG123,Rig_Schedule_View!$B$11:$B$262,0))=0,O127,(INDEX(Rig_Schedule_View!$I$11:$I$262,MATCH(Well_Data_NK_Upcoming!AG123,Rig_Schedule_View!$B$11:$B$262,0))))),O127,(IF(INDEX(Rig_Schedule_View!$I$11:$I$262,MATCH(Well_Data_NK_Upcoming!AG123,Rig_Schedule_View!$B$11:$B$262,0))=0,O127,(INDEX(Rig_Schedule_View!$I$11:$I$262,MATCH(Well_Data_NK_Upcoming!AG123,Rig_Schedule_View!$B$11:$B$262,0))))))</f>
        <v>42416</v>
      </c>
      <c r="BP127" s="526">
        <f ca="1">IF(ISERROR(IF(INDEX(Rig_Schedule_View!$J$11:$J$262,MATCH(Well_Data_NK_Upcoming!AG123,Rig_Schedule_View!$B$11:$B$262,0))=0,P127,(INDEX(Rig_Schedule_View!$J$11:$J$262,MATCH(Well_Data_NK_Upcoming!AG123,Rig_Schedule_View!$B$11:$B$262,0))))),P127,(IF(INDEX(Rig_Schedule_View!$J$11:$J$262,MATCH(Well_Data_NK_Upcoming!AG123,Rig_Schedule_View!$B$11:$B$262,0))=0,P127,(INDEX(Rig_Schedule_View!$J$11:$J$262,MATCH(Well_Data_NK_Upcoming!AG123,Rig_Schedule_View!$B$11:$B$262,0))))))</f>
        <v>42486</v>
      </c>
      <c r="BQ127" s="527"/>
      <c r="BR127" s="525"/>
      <c r="BS127" s="525"/>
      <c r="BT127" s="525"/>
      <c r="BU127" s="525"/>
      <c r="BV127" s="525"/>
      <c r="BW127" s="525"/>
      <c r="BX127" s="525"/>
      <c r="BY127" s="525"/>
      <c r="BZ127" s="525"/>
    </row>
    <row r="128" spans="1:78" x14ac:dyDescent="0.25">
      <c r="A128" s="540" t="s">
        <v>1731</v>
      </c>
      <c r="B128" s="540" t="s">
        <v>42</v>
      </c>
      <c r="C128" s="540"/>
      <c r="D128" s="529" t="s">
        <v>2371</v>
      </c>
      <c r="E128" s="540"/>
      <c r="F128" s="528" t="str">
        <f t="shared" si="28"/>
        <v>RA</v>
      </c>
      <c r="G128" s="540" t="s">
        <v>17</v>
      </c>
      <c r="H128" s="400" t="s">
        <v>35</v>
      </c>
      <c r="I128" s="540" t="s">
        <v>24</v>
      </c>
      <c r="J128" s="540" t="s">
        <v>34</v>
      </c>
      <c r="K128" s="540" t="s">
        <v>14</v>
      </c>
      <c r="L128" s="540" t="s">
        <v>1410</v>
      </c>
      <c r="M128" s="539"/>
      <c r="N128" s="540"/>
      <c r="O128" s="532"/>
      <c r="P128" s="540"/>
      <c r="Q128" s="540"/>
      <c r="R128" s="537">
        <f>IF(ISERROR(VLOOKUP(G128,'Planning and Target Times'!$L$1:$AP$6,MATCH(K128&amp;"_"&amp;L128&amp;"_"&amp;J128,INDEX('Planning and Target Times'!$L$1:$AP$6,1,0),0),0)+5),"",(VLOOKUP(G128,'Planning and Target Times'!$L$1:$AP$6,MATCH(K128&amp;"_"&amp;L128&amp;"_"&amp;J128,INDEX('Planning and Target Times'!$L$1:$AP$6,1,0),0),0)+5))</f>
        <v>68</v>
      </c>
      <c r="S128" s="528">
        <f t="shared" si="22"/>
        <v>63</v>
      </c>
      <c r="T128" s="538">
        <f>VLOOKUP(G128,'Planning and Target Times'!$A$7:$G$12,MATCH(K128&amp;"-"&amp;L128&amp;"-"&amp;J128,INDEX('Planning and Target Times'!$A$7:$G$12,1,0),0),0)</f>
        <v>35</v>
      </c>
      <c r="U128" s="540"/>
      <c r="V128" s="540"/>
      <c r="W128" s="540"/>
      <c r="X128" s="535" t="str">
        <f t="shared" si="27"/>
        <v>MA</v>
      </c>
      <c r="Y128" s="540"/>
      <c r="Z128" s="540"/>
      <c r="AA128" s="540"/>
      <c r="AB128" s="540"/>
      <c r="AC128" s="540"/>
      <c r="AD128" s="540"/>
      <c r="AE128" s="540" t="s">
        <v>91</v>
      </c>
      <c r="AF128" s="528"/>
      <c r="AG128" s="540" t="str">
        <f t="shared" si="23"/>
        <v>RA17-RA-MA-Inj-NW-HZ-SLB</v>
      </c>
      <c r="AH128" s="540" t="str">
        <f t="shared" si="24"/>
        <v>RA17-KDC-26</v>
      </c>
      <c r="AI128" s="540" t="str">
        <f t="shared" si="25"/>
        <v>RA17-MA-NW-Inj</v>
      </c>
      <c r="AJ128" s="540">
        <f ca="1">IF(P128&gt;0,"RR",IF(O128&gt;0,0,COUNTIF($H$2:H128,H128)-IFERROR(COUNTIF(OFFSET($H$1,0,0,SUMPRODUCT(MAX(($H$2:H128=H128)*ROW($H$2:H128)*($O$2:O128&lt;&gt;""))),1),H128),0)))</f>
        <v>5</v>
      </c>
      <c r="AK128" s="527"/>
      <c r="AL128" s="528" t="str">
        <f>VLOOKUP(G128,'Planning and Target Times'!$I$2:$J$7,2,0)</f>
        <v>Carbonate</v>
      </c>
      <c r="AM128" s="540"/>
      <c r="AN128" s="540"/>
      <c r="AO128" s="540"/>
      <c r="AP128" s="533">
        <f t="shared" si="26"/>
        <v>0</v>
      </c>
      <c r="AQ128" s="540"/>
      <c r="AR128" s="540"/>
      <c r="AS128" s="540"/>
      <c r="AT128" s="540"/>
      <c r="AU128" s="540"/>
      <c r="AV128" s="540"/>
      <c r="AW128" s="540"/>
      <c r="AX128" s="540"/>
      <c r="AY128" s="540"/>
      <c r="AZ128" s="540"/>
      <c r="BA128" s="540"/>
      <c r="BB128" s="540"/>
      <c r="BC128" s="540"/>
      <c r="BD128" s="540"/>
      <c r="BE128" s="540"/>
      <c r="BF128" s="540"/>
      <c r="BG128" s="540"/>
      <c r="BH128" s="540"/>
      <c r="BI128" s="540"/>
      <c r="BJ128" s="540"/>
      <c r="BK128" s="540"/>
      <c r="BL128" s="540"/>
      <c r="BM128" s="540"/>
      <c r="BN128" s="540"/>
      <c r="BO128" s="526">
        <f ca="1">IF(ISERROR(IF(INDEX(Rig_Schedule_View!$I$11:$I$262,MATCH(Well_Data_NK_Upcoming!AG158,Rig_Schedule_View!$B$11:$B$262,0))=0,O128,(INDEX(Rig_Schedule_View!$I$11:$I$262,MATCH(Well_Data_NK_Upcoming!AG158,Rig_Schedule_View!$B$11:$B$262,0))))),O128,(IF(INDEX(Rig_Schedule_View!$I$11:$I$262,MATCH(Well_Data_NK_Upcoming!AG158,Rig_Schedule_View!$B$11:$B$262,0))=0,O128,(INDEX(Rig_Schedule_View!$I$11:$I$262,MATCH(Well_Data_NK_Upcoming!AG158,Rig_Schedule_View!$B$11:$B$262,0))))))</f>
        <v>42641</v>
      </c>
      <c r="BP128" s="526">
        <f ca="1">IF(ISERROR(IF(INDEX(Rig_Schedule_View!$J$11:$J$262,MATCH(Well_Data_NK_Upcoming!AG158,Rig_Schedule_View!$B$11:$B$262,0))=0,P128,(INDEX(Rig_Schedule_View!$J$11:$J$262,MATCH(Well_Data_NK_Upcoming!AG158,Rig_Schedule_View!$B$11:$B$262,0))))),P128,(IF(INDEX(Rig_Schedule_View!$J$11:$J$262,MATCH(Well_Data_NK_Upcoming!AG158,Rig_Schedule_View!$B$11:$B$262,0))=0,P128,(INDEX(Rig_Schedule_View!$J$11:$J$262,MATCH(Well_Data_NK_Upcoming!AG158,Rig_Schedule_View!$B$11:$B$262,0))))))</f>
        <v>42711</v>
      </c>
      <c r="BQ128" s="527"/>
      <c r="BR128" s="525"/>
      <c r="BS128" s="525"/>
      <c r="BT128" s="525"/>
      <c r="BU128" s="525"/>
      <c r="BV128" s="525"/>
      <c r="BW128" s="525"/>
      <c r="BX128" s="525"/>
      <c r="BY128" s="525"/>
      <c r="BZ128" s="525"/>
    </row>
    <row r="129" spans="1:78" x14ac:dyDescent="0.25">
      <c r="A129" s="540" t="s">
        <v>1727</v>
      </c>
      <c r="B129" s="540" t="s">
        <v>42</v>
      </c>
      <c r="C129" s="540"/>
      <c r="D129" s="529" t="s">
        <v>2338</v>
      </c>
      <c r="E129" s="540"/>
      <c r="F129" s="528" t="str">
        <f t="shared" si="28"/>
        <v>RA</v>
      </c>
      <c r="G129" s="540" t="s">
        <v>17</v>
      </c>
      <c r="H129" s="400" t="s">
        <v>19</v>
      </c>
      <c r="I129" s="540" t="s">
        <v>24</v>
      </c>
      <c r="J129" s="540" t="s">
        <v>298</v>
      </c>
      <c r="K129" s="540" t="s">
        <v>14</v>
      </c>
      <c r="L129" s="540" t="s">
        <v>1410</v>
      </c>
      <c r="M129" s="539"/>
      <c r="N129" s="540"/>
      <c r="O129" s="532"/>
      <c r="P129" s="540"/>
      <c r="Q129" s="540"/>
      <c r="R129" s="537">
        <f>IF(ISERROR(VLOOKUP(G129,'Planning and Target Times'!$L$1:$AP$6,MATCH(K129&amp;"_"&amp;L129&amp;"_"&amp;J129,INDEX('Planning and Target Times'!$L$1:$AP$6,1,0),0),0)+5),"",(VLOOKUP(G129,'Planning and Target Times'!$L$1:$AP$6,MATCH(K129&amp;"_"&amp;L129&amp;"_"&amp;J129,INDEX('Planning and Target Times'!$L$1:$AP$6,1,0),0),0)+5))</f>
        <v>75</v>
      </c>
      <c r="S129" s="528">
        <f t="shared" si="22"/>
        <v>70</v>
      </c>
      <c r="T129" s="538">
        <f>VLOOKUP(G129,'Planning and Target Times'!$A$7:$G$12,MATCH(K129&amp;"-"&amp;L129&amp;"-"&amp;J129,INDEX('Planning and Target Times'!$A$7:$G$12,1,0),0),0)</f>
        <v>35</v>
      </c>
      <c r="U129" s="540"/>
      <c r="V129" s="540"/>
      <c r="W129" s="540"/>
      <c r="X129" s="535" t="str">
        <f t="shared" si="27"/>
        <v>MA</v>
      </c>
      <c r="Y129" s="540"/>
      <c r="Z129" s="540"/>
      <c r="AA129" s="540"/>
      <c r="AB129" s="540"/>
      <c r="AC129" s="540"/>
      <c r="AD129" s="540"/>
      <c r="AE129" s="540" t="s">
        <v>91</v>
      </c>
      <c r="AF129" s="528"/>
      <c r="AG129" s="540" t="str">
        <f t="shared" si="23"/>
        <v>RA13-RA-MA-Prod-NW-HZ-SLB</v>
      </c>
      <c r="AH129" s="540" t="str">
        <f t="shared" si="24"/>
        <v>RA13-KDC-44</v>
      </c>
      <c r="AI129" s="540" t="str">
        <f t="shared" si="25"/>
        <v>RA13-MA-NW-Prod</v>
      </c>
      <c r="AJ129" s="540">
        <f ca="1">IF(P129&gt;0,"RR",IF(O129&gt;0,0,COUNTIF($H$2:H129,H129)-IFERROR(COUNTIF(OFFSET($H$1,0,0,SUMPRODUCT(MAX(($H$2:H129=H129)*ROW($H$2:H129)*($O$2:O129&lt;&gt;""))),1),H129),0)))</f>
        <v>5</v>
      </c>
      <c r="AK129" s="527">
        <f>IF(ISERROR(VLOOKUP(G129,'Planning and Target Times'!$B$106:$D$110,MATCH(F129,INDEX('Planning and Target Times'!$B$106:$D$110,1,0),0),0)),"",(VLOOKUP(G129,'Planning and Target Times'!$B$106:$D$110,MATCH(F129,INDEX('Planning and Target Times'!$B$106:$D$110,1,0),0),0)))</f>
        <v>650</v>
      </c>
      <c r="AL129" s="528" t="str">
        <f>VLOOKUP(G129,'Planning and Target Times'!$I$2:$J$7,2,0)</f>
        <v>Carbonate</v>
      </c>
      <c r="AM129" s="540"/>
      <c r="AN129" s="540"/>
      <c r="AO129" s="540"/>
      <c r="AP129" s="533">
        <f t="shared" si="26"/>
        <v>8.6666666666666661</v>
      </c>
      <c r="AQ129" s="540"/>
      <c r="AR129" s="540"/>
      <c r="AS129" s="540"/>
      <c r="AT129" s="540"/>
      <c r="AU129" s="540"/>
      <c r="AV129" s="540"/>
      <c r="AW129" s="540"/>
      <c r="AX129" s="540"/>
      <c r="AY129" s="540"/>
      <c r="AZ129" s="540"/>
      <c r="BA129" s="540"/>
      <c r="BB129" s="540"/>
      <c r="BC129" s="540"/>
      <c r="BD129" s="540"/>
      <c r="BE129" s="540"/>
      <c r="BF129" s="540"/>
      <c r="BG129" s="540"/>
      <c r="BH129" s="540"/>
      <c r="BI129" s="540"/>
      <c r="BJ129" s="540"/>
      <c r="BK129" s="540"/>
      <c r="BL129" s="540"/>
      <c r="BM129" s="540"/>
      <c r="BN129" s="540"/>
      <c r="BO129" s="526">
        <f ca="1">IF(ISERROR(IF(INDEX(Rig_Schedule_View!$I$11:$I$262,MATCH(Well_Data_NK_Upcoming!AG125,Rig_Schedule_View!$B$11:$B$262,0))=0,O129,(INDEX(Rig_Schedule_View!$I$11:$I$262,MATCH(Well_Data_NK_Upcoming!AG125,Rig_Schedule_View!$B$11:$B$262,0))))),O129,(IF(INDEX(Rig_Schedule_View!$I$11:$I$262,MATCH(Well_Data_NK_Upcoming!AG125,Rig_Schedule_View!$B$11:$B$262,0))=0,O129,(INDEX(Rig_Schedule_View!$I$11:$I$262,MATCH(Well_Data_NK_Upcoming!AG125,Rig_Schedule_View!$B$11:$B$262,0))))))</f>
        <v>42473</v>
      </c>
      <c r="BP129" s="526">
        <f ca="1">IF(ISERROR(IF(INDEX(Rig_Schedule_View!$J$11:$J$262,MATCH(Well_Data_NK_Upcoming!AG125,Rig_Schedule_View!$B$11:$B$262,0))=0,P129,(INDEX(Rig_Schedule_View!$J$11:$J$262,MATCH(Well_Data_NK_Upcoming!AG125,Rig_Schedule_View!$B$11:$B$262,0))))),P129,(IF(INDEX(Rig_Schedule_View!$J$11:$J$262,MATCH(Well_Data_NK_Upcoming!AG125,Rig_Schedule_View!$B$11:$B$262,0))=0,P129,(INDEX(Rig_Schedule_View!$J$11:$J$262,MATCH(Well_Data_NK_Upcoming!AG125,Rig_Schedule_View!$B$11:$B$262,0))))))</f>
        <v>42543</v>
      </c>
      <c r="BQ129" s="527"/>
      <c r="BR129" s="525"/>
      <c r="BS129" s="525"/>
      <c r="BT129" s="525"/>
      <c r="BU129" s="525"/>
      <c r="BV129" s="525"/>
      <c r="BW129" s="525"/>
      <c r="BX129" s="525"/>
      <c r="BY129" s="525"/>
      <c r="BZ129" s="525"/>
    </row>
    <row r="130" spans="1:78" x14ac:dyDescent="0.25">
      <c r="A130" s="540" t="s">
        <v>1732</v>
      </c>
      <c r="B130" s="540" t="s">
        <v>42</v>
      </c>
      <c r="C130" s="540"/>
      <c r="D130" s="529" t="s">
        <v>2339</v>
      </c>
      <c r="E130" s="540"/>
      <c r="F130" s="528" t="str">
        <f t="shared" si="28"/>
        <v>RA</v>
      </c>
      <c r="G130" s="540" t="s">
        <v>22</v>
      </c>
      <c r="H130" s="400" t="s">
        <v>430</v>
      </c>
      <c r="I130" s="540" t="s">
        <v>24</v>
      </c>
      <c r="J130" s="540" t="s">
        <v>298</v>
      </c>
      <c r="K130" s="540" t="s">
        <v>14</v>
      </c>
      <c r="L130" s="540" t="s">
        <v>1416</v>
      </c>
      <c r="M130" s="539"/>
      <c r="N130" s="540"/>
      <c r="O130" s="532"/>
      <c r="P130" s="540"/>
      <c r="Q130" s="540"/>
      <c r="R130" s="537">
        <f>IF(ISERROR(VLOOKUP(G130,'Planning and Target Times'!$L$1:$AP$6,MATCH(K130&amp;"_"&amp;L130&amp;"_"&amp;J130,INDEX('Planning and Target Times'!$L$1:$AP$6,1,0),0),0)+5),"",(VLOOKUP(G130,'Planning and Target Times'!$L$1:$AP$6,MATCH(K130&amp;"_"&amp;L130&amp;"_"&amp;J130,INDEX('Planning and Target Times'!$L$1:$AP$6,1,0),0),0)+5))</f>
        <v>75</v>
      </c>
      <c r="S130" s="528">
        <f t="shared" ref="S130:S161" si="29">IF(ISERROR(R130-5),"",R130-5)</f>
        <v>70</v>
      </c>
      <c r="T130" s="538">
        <f>VLOOKUP(G130,'Planning and Target Times'!$A$7:$G$12,MATCH(K130&amp;"-"&amp;L130&amp;"-"&amp;J130,INDEX('Planning and Target Times'!$A$7:$G$12,1,0),0),0)</f>
        <v>33</v>
      </c>
      <c r="U130" s="540"/>
      <c r="V130" s="540"/>
      <c r="W130" s="540"/>
      <c r="X130" s="535" t="str">
        <f t="shared" si="27"/>
        <v>LB</v>
      </c>
      <c r="Y130" s="540"/>
      <c r="Z130" s="540"/>
      <c r="AA130" s="540"/>
      <c r="AB130" s="540"/>
      <c r="AC130" s="540"/>
      <c r="AD130" s="540"/>
      <c r="AE130" s="540" t="s">
        <v>91</v>
      </c>
      <c r="AF130" s="528"/>
      <c r="AG130" s="540" t="str">
        <f t="shared" ref="AG130:AG161" si="30">SUBSTITUTE(TRIM(A130&amp;" "&amp;F130&amp;" "&amp;G130&amp;" "&amp;J130&amp;" "&amp;K130&amp;" "&amp;L130&amp;" "&amp;I130)," ","-")</f>
        <v>RA18-RA-LB-Prod-NW-SL-SLB</v>
      </c>
      <c r="AH130" s="540" t="str">
        <f t="shared" ref="AH130:AH161" si="31">IF(A130&lt;&gt;"",A130&amp;"-"&amp;H130,"")</f>
        <v>RA18-KDC-49</v>
      </c>
      <c r="AI130" s="540" t="str">
        <f t="shared" ref="AI130:AI161" si="32">SUBSTITUTE(TRIM(A130&amp;" "&amp;G130&amp;" "&amp;K130&amp;" "&amp;J130)," ","-")</f>
        <v>RA18-LB-NW-Prod</v>
      </c>
      <c r="AJ130" s="540">
        <f ca="1">IF(P130&gt;0,"RR",IF(O130&gt;0,0,COUNTIF($H$2:H130,H130)-IFERROR(COUNTIF(OFFSET($H$1,0,0,SUMPRODUCT(MAX(($H$2:H130=H130)*ROW($H$2:H130)*($O$2:O130&lt;&gt;""))),1),H130),0)))</f>
        <v>5</v>
      </c>
      <c r="AK130" s="527">
        <f>IF(ISERROR(VLOOKUP(G130,'Planning and Target Times'!$B$106:$D$110,MATCH(F130,INDEX('Planning and Target Times'!$B$106:$D$110,1,0),0),0)),"",(VLOOKUP(G130,'Planning and Target Times'!$B$106:$D$110,MATCH(F130,INDEX('Planning and Target Times'!$B$106:$D$110,1,0),0),0)))</f>
        <v>900</v>
      </c>
      <c r="AL130" s="528" t="str">
        <f>VLOOKUP(G130,'Planning and Target Times'!$I$2:$J$7,2,0)</f>
        <v>Sandstone</v>
      </c>
      <c r="AM130" s="540"/>
      <c r="AN130" s="540"/>
      <c r="AO130" s="540"/>
      <c r="AP130" s="533">
        <f t="shared" ref="AP130:AP161" si="33">AK130/R130</f>
        <v>12</v>
      </c>
      <c r="AQ130" s="540"/>
      <c r="AR130" s="540"/>
      <c r="AS130" s="540"/>
      <c r="AT130" s="540"/>
      <c r="AU130" s="540"/>
      <c r="AV130" s="540"/>
      <c r="AW130" s="540"/>
      <c r="AX130" s="540"/>
      <c r="AY130" s="540"/>
      <c r="AZ130" s="540"/>
      <c r="BA130" s="540"/>
      <c r="BB130" s="540"/>
      <c r="BC130" s="540"/>
      <c r="BD130" s="540"/>
      <c r="BE130" s="540"/>
      <c r="BF130" s="540"/>
      <c r="BG130" s="540"/>
      <c r="BH130" s="540"/>
      <c r="BI130" s="540"/>
      <c r="BJ130" s="540"/>
      <c r="BK130" s="540"/>
      <c r="BL130" s="540"/>
      <c r="BM130" s="540"/>
      <c r="BN130" s="540"/>
      <c r="BO130" s="526">
        <f ca="1">IF(ISERROR(IF(INDEX(Rig_Schedule_View!$I$11:$I$262,MATCH(Well_Data_NK_Upcoming!AG126,Rig_Schedule_View!$B$11:$B$262,0))=0,O130,(INDEX(Rig_Schedule_View!$I$11:$I$262,MATCH(Well_Data_NK_Upcoming!AG126,Rig_Schedule_View!$B$11:$B$262,0))))),O130,(IF(INDEX(Rig_Schedule_View!$I$11:$I$262,MATCH(Well_Data_NK_Upcoming!AG126,Rig_Schedule_View!$B$11:$B$262,0))=0,O130,(INDEX(Rig_Schedule_View!$I$11:$I$262,MATCH(Well_Data_NK_Upcoming!AG126,Rig_Schedule_View!$B$11:$B$262,0))))))</f>
        <v>42456</v>
      </c>
      <c r="BP130" s="526">
        <f ca="1">IF(ISERROR(IF(INDEX(Rig_Schedule_View!$J$11:$J$262,MATCH(Well_Data_NK_Upcoming!AG126,Rig_Schedule_View!$B$11:$B$262,0))=0,P130,(INDEX(Rig_Schedule_View!$J$11:$J$262,MATCH(Well_Data_NK_Upcoming!AG126,Rig_Schedule_View!$B$11:$B$262,0))))),P130,(IF(INDEX(Rig_Schedule_View!$J$11:$J$262,MATCH(Well_Data_NK_Upcoming!AG126,Rig_Schedule_View!$B$11:$B$262,0))=0,P130,(INDEX(Rig_Schedule_View!$J$11:$J$262,MATCH(Well_Data_NK_Upcoming!AG126,Rig_Schedule_View!$B$11:$B$262,0))))))</f>
        <v>42526</v>
      </c>
      <c r="BQ130" s="527"/>
      <c r="BR130" s="525"/>
      <c r="BS130" s="525"/>
      <c r="BT130" s="525"/>
      <c r="BU130" s="525"/>
      <c r="BV130" s="525"/>
      <c r="BW130" s="525"/>
      <c r="BX130" s="525"/>
      <c r="BY130" s="525"/>
      <c r="BZ130" s="525"/>
    </row>
    <row r="131" spans="1:78" x14ac:dyDescent="0.25">
      <c r="A131" s="540" t="s">
        <v>1787</v>
      </c>
      <c r="B131" s="540" t="s">
        <v>11</v>
      </c>
      <c r="C131" s="540"/>
      <c r="D131" s="529" t="s">
        <v>2357</v>
      </c>
      <c r="E131" s="540"/>
      <c r="F131" s="528" t="str">
        <f t="shared" si="28"/>
        <v>SA</v>
      </c>
      <c r="G131" s="540" t="s">
        <v>17</v>
      </c>
      <c r="H131" s="536" t="s">
        <v>513</v>
      </c>
      <c r="I131" s="540"/>
      <c r="J131" s="540" t="s">
        <v>34</v>
      </c>
      <c r="K131" s="540" t="s">
        <v>14</v>
      </c>
      <c r="L131" s="540" t="s">
        <v>1410</v>
      </c>
      <c r="M131" s="539"/>
      <c r="N131" s="540"/>
      <c r="O131" s="532"/>
      <c r="P131" s="540"/>
      <c r="Q131" s="540"/>
      <c r="R131" s="537">
        <f>IF(ISERROR(VLOOKUP(G131,'Planning and Target Times'!$L$1:$AP$6,MATCH(K131&amp;"_"&amp;L131&amp;"_"&amp;J131,INDEX('Planning and Target Times'!$L$1:$AP$6,1,0),0),0)+5),"",(VLOOKUP(G131,'Planning and Target Times'!$L$1:$AP$6,MATCH(K131&amp;"_"&amp;L131&amp;"_"&amp;J131,INDEX('Planning and Target Times'!$L$1:$AP$6,1,0),0),0)+5))</f>
        <v>68</v>
      </c>
      <c r="S131" s="528">
        <f t="shared" si="29"/>
        <v>63</v>
      </c>
      <c r="T131" s="538">
        <f>VLOOKUP(G131,'Planning and Target Times'!$A$7:$G$12,MATCH(K131&amp;"-"&amp;L131&amp;"-"&amp;J131,INDEX('Planning and Target Times'!$A$7:$G$12,1,0),0),0)</f>
        <v>35</v>
      </c>
      <c r="U131" s="540"/>
      <c r="V131" s="540"/>
      <c r="W131" s="540"/>
      <c r="X131" s="535" t="str">
        <f t="shared" si="27"/>
        <v>MA</v>
      </c>
      <c r="Y131" s="540"/>
      <c r="Z131" s="540"/>
      <c r="AA131" s="540"/>
      <c r="AB131" s="540"/>
      <c r="AC131" s="540"/>
      <c r="AD131" s="540"/>
      <c r="AE131" s="540" t="s">
        <v>91</v>
      </c>
      <c r="AF131" s="528"/>
      <c r="AG131" s="540" t="str">
        <f t="shared" si="30"/>
        <v>SA47-SA-MA-Inj-NW-HZ</v>
      </c>
      <c r="AH131" s="540" t="str">
        <f t="shared" si="31"/>
        <v>SA47-NDSC-15</v>
      </c>
      <c r="AI131" s="540" t="str">
        <f t="shared" si="32"/>
        <v>SA47-MA-NW-Inj</v>
      </c>
      <c r="AJ131" s="540">
        <f ca="1">IF(P131&gt;0,"RR",IF(O131&gt;0,0,COUNTIF($H$2:H131,H131)-IFERROR(COUNTIF(OFFSET($H$1,0,0,SUMPRODUCT(MAX(($H$2:H131=H131)*ROW($H$2:H131)*($O$2:O131&lt;&gt;""))),1),H131),0)))</f>
        <v>5</v>
      </c>
      <c r="AK131" s="527"/>
      <c r="AL131" s="528" t="str">
        <f>VLOOKUP(G131,'Planning and Target Times'!$I$2:$J$7,2,0)</f>
        <v>Carbonate</v>
      </c>
      <c r="AM131" s="540"/>
      <c r="AN131" s="540"/>
      <c r="AO131" s="540"/>
      <c r="AP131" s="533">
        <f t="shared" si="33"/>
        <v>0</v>
      </c>
      <c r="AQ131" s="540"/>
      <c r="AR131" s="540"/>
      <c r="AS131" s="540"/>
      <c r="AT131" s="540"/>
      <c r="AU131" s="540"/>
      <c r="AV131" s="540"/>
      <c r="AW131" s="540"/>
      <c r="AX131" s="540"/>
      <c r="AY131" s="540"/>
      <c r="AZ131" s="540"/>
      <c r="BA131" s="540"/>
      <c r="BB131" s="540"/>
      <c r="BC131" s="540"/>
      <c r="BD131" s="540"/>
      <c r="BE131" s="540"/>
      <c r="BF131" s="540"/>
      <c r="BG131" s="540"/>
      <c r="BH131" s="540"/>
      <c r="BI131" s="540"/>
      <c r="BJ131" s="540"/>
      <c r="BK131" s="540"/>
      <c r="BL131" s="540"/>
      <c r="BM131" s="540"/>
      <c r="BN131" s="540"/>
      <c r="BO131" s="526">
        <f ca="1">IF(ISERROR(IF(INDEX(Rig_Schedule_View!$I$11:$I$262,MATCH(Well_Data_NK_Upcoming!AG144,Rig_Schedule_View!$B$11:$B$262,0))=0,O131,(INDEX(Rig_Schedule_View!$I$11:$I$262,MATCH(Well_Data_NK_Upcoming!AG144,Rig_Schedule_View!$B$11:$B$262,0))))),O131,(IF(INDEX(Rig_Schedule_View!$I$11:$I$262,MATCH(Well_Data_NK_Upcoming!AG144,Rig_Schedule_View!$B$11:$B$262,0))=0,O131,(INDEX(Rig_Schedule_View!$I$11:$I$262,MATCH(Well_Data_NK_Upcoming!AG144,Rig_Schedule_View!$B$11:$B$262,0))))))</f>
        <v>42613</v>
      </c>
      <c r="BP131" s="526">
        <f ca="1">IF(ISERROR(IF(INDEX(Rig_Schedule_View!$J$11:$J$262,MATCH(Well_Data_NK_Upcoming!AG144,Rig_Schedule_View!$B$11:$B$262,0))=0,P131,(INDEX(Rig_Schedule_View!$J$11:$J$262,MATCH(Well_Data_NK_Upcoming!AG144,Rig_Schedule_View!$B$11:$B$262,0))))),P131,(IF(INDEX(Rig_Schedule_View!$J$11:$J$262,MATCH(Well_Data_NK_Upcoming!AG144,Rig_Schedule_View!$B$11:$B$262,0))=0,P131,(INDEX(Rig_Schedule_View!$J$11:$J$262,MATCH(Well_Data_NK_Upcoming!AG144,Rig_Schedule_View!$B$11:$B$262,0))))))</f>
        <v>42683</v>
      </c>
      <c r="BQ131" s="527"/>
      <c r="BR131" s="525"/>
      <c r="BS131" s="525"/>
      <c r="BT131" s="525"/>
      <c r="BU131" s="525"/>
      <c r="BV131" s="525"/>
      <c r="BW131" s="525"/>
      <c r="BX131" s="525"/>
      <c r="BY131" s="525"/>
      <c r="BZ131" s="525"/>
    </row>
    <row r="132" spans="1:78" x14ac:dyDescent="0.25">
      <c r="A132" s="540" t="s">
        <v>1734</v>
      </c>
      <c r="B132" s="540" t="s">
        <v>42</v>
      </c>
      <c r="C132" s="540"/>
      <c r="D132" s="529" t="s">
        <v>2341</v>
      </c>
      <c r="E132" s="540"/>
      <c r="F132" s="528" t="str">
        <f t="shared" si="28"/>
        <v>RA</v>
      </c>
      <c r="G132" s="540" t="s">
        <v>22</v>
      </c>
      <c r="H132" s="536" t="s">
        <v>512</v>
      </c>
      <c r="I132" s="540" t="s">
        <v>24</v>
      </c>
      <c r="J132" s="540" t="s">
        <v>298</v>
      </c>
      <c r="K132" s="540" t="s">
        <v>14</v>
      </c>
      <c r="L132" s="540" t="s">
        <v>1416</v>
      </c>
      <c r="M132" s="539"/>
      <c r="N132" s="540"/>
      <c r="O132" s="532"/>
      <c r="P132" s="540"/>
      <c r="Q132" s="540"/>
      <c r="R132" s="537">
        <f>IF(ISERROR(VLOOKUP(G132,'Planning and Target Times'!$L$1:$AP$6,MATCH(K132&amp;"_"&amp;L132&amp;"_"&amp;J132,INDEX('Planning and Target Times'!$L$1:$AP$6,1,0),0),0)+5),"",(VLOOKUP(G132,'Planning and Target Times'!$L$1:$AP$6,MATCH(K132&amp;"_"&amp;L132&amp;"_"&amp;J132,INDEX('Planning and Target Times'!$L$1:$AP$6,1,0),0),0)+5))</f>
        <v>75</v>
      </c>
      <c r="S132" s="528">
        <f t="shared" si="29"/>
        <v>70</v>
      </c>
      <c r="T132" s="538">
        <f>VLOOKUP(G132,'Planning and Target Times'!$A$7:$G$12,MATCH(K132&amp;"-"&amp;L132&amp;"-"&amp;J132,INDEX('Planning and Target Times'!$A$7:$G$12,1,0),0),0)</f>
        <v>33</v>
      </c>
      <c r="U132" s="540"/>
      <c r="V132" s="540"/>
      <c r="W132" s="540"/>
      <c r="X132" s="535" t="str">
        <f t="shared" si="27"/>
        <v>LB</v>
      </c>
      <c r="Y132" s="540"/>
      <c r="Z132" s="540"/>
      <c r="AA132" s="540"/>
      <c r="AB132" s="540"/>
      <c r="AC132" s="540"/>
      <c r="AD132" s="540"/>
      <c r="AE132" s="540" t="s">
        <v>91</v>
      </c>
      <c r="AF132" s="528"/>
      <c r="AG132" s="540" t="str">
        <f t="shared" si="30"/>
        <v>RA20-RA-LB-Prod-NW-SL-SLB</v>
      </c>
      <c r="AH132" s="540" t="str">
        <f t="shared" si="31"/>
        <v>RA20-NDSC-16</v>
      </c>
      <c r="AI132" s="540" t="str">
        <f t="shared" si="32"/>
        <v>RA20-LB-NW-Prod</v>
      </c>
      <c r="AJ132" s="540">
        <f ca="1">IF(P132&gt;0,"RR",IF(O132&gt;0,0,COUNTIF($H$2:H132,H132)-IFERROR(COUNTIF(OFFSET($H$1,0,0,SUMPRODUCT(MAX(($H$2:H132=H132)*ROW($H$2:H132)*($O$2:O132&lt;&gt;""))),1),H132),0)))</f>
        <v>5</v>
      </c>
      <c r="AK132" s="527">
        <f>IF(ISERROR(VLOOKUP(G132,'Planning and Target Times'!$B$106:$D$110,MATCH(F132,INDEX('Planning and Target Times'!$B$106:$D$110,1,0),0),0)),"",(VLOOKUP(G132,'Planning and Target Times'!$B$106:$D$110,MATCH(F132,INDEX('Planning and Target Times'!$B$106:$D$110,1,0),0),0)))</f>
        <v>900</v>
      </c>
      <c r="AL132" s="528" t="str">
        <f>VLOOKUP(G132,'Planning and Target Times'!$I$2:$J$7,2,0)</f>
        <v>Sandstone</v>
      </c>
      <c r="AM132" s="540"/>
      <c r="AN132" s="540"/>
      <c r="AO132" s="540"/>
      <c r="AP132" s="533">
        <f t="shared" si="33"/>
        <v>12</v>
      </c>
      <c r="AQ132" s="540"/>
      <c r="AR132" s="540"/>
      <c r="AS132" s="540"/>
      <c r="AT132" s="540"/>
      <c r="AU132" s="540"/>
      <c r="AV132" s="540"/>
      <c r="AW132" s="540"/>
      <c r="AX132" s="540"/>
      <c r="AY132" s="540"/>
      <c r="AZ132" s="540"/>
      <c r="BA132" s="540"/>
      <c r="BB132" s="540"/>
      <c r="BC132" s="540"/>
      <c r="BD132" s="540"/>
      <c r="BE132" s="540"/>
      <c r="BF132" s="540"/>
      <c r="BG132" s="540"/>
      <c r="BH132" s="540"/>
      <c r="BI132" s="540"/>
      <c r="BJ132" s="540"/>
      <c r="BK132" s="540"/>
      <c r="BL132" s="540"/>
      <c r="BM132" s="540"/>
      <c r="BN132" s="540"/>
      <c r="BO132" s="526">
        <f ca="1">IF(ISERROR(IF(INDEX(Rig_Schedule_View!$I$11:$I$262,MATCH(Well_Data_NK_Upcoming!AG128,Rig_Schedule_View!$B$11:$B$262,0))=0,O132,(INDEX(Rig_Schedule_View!$I$11:$I$262,MATCH(Well_Data_NK_Upcoming!AG128,Rig_Schedule_View!$B$11:$B$262,0))))),O132,(IF(INDEX(Rig_Schedule_View!$I$11:$I$262,MATCH(Well_Data_NK_Upcoming!AG128,Rig_Schedule_View!$B$11:$B$262,0))=0,O132,(INDEX(Rig_Schedule_View!$I$11:$I$262,MATCH(Well_Data_NK_Upcoming!AG128,Rig_Schedule_View!$B$11:$B$262,0))))))</f>
        <v>42541</v>
      </c>
      <c r="BP132" s="526">
        <f ca="1">IF(ISERROR(IF(INDEX(Rig_Schedule_View!$J$11:$J$262,MATCH(Well_Data_NK_Upcoming!AG128,Rig_Schedule_View!$B$11:$B$262,0))=0,P132,(INDEX(Rig_Schedule_View!$J$11:$J$262,MATCH(Well_Data_NK_Upcoming!AG128,Rig_Schedule_View!$B$11:$B$262,0))))),P132,(IF(INDEX(Rig_Schedule_View!$J$11:$J$262,MATCH(Well_Data_NK_Upcoming!AG128,Rig_Schedule_View!$B$11:$B$262,0))=0,P132,(INDEX(Rig_Schedule_View!$J$11:$J$262,MATCH(Well_Data_NK_Upcoming!AG128,Rig_Schedule_View!$B$11:$B$262,0))))))</f>
        <v>42604</v>
      </c>
      <c r="BQ132" s="527"/>
      <c r="BR132" s="525"/>
      <c r="BS132" s="525"/>
      <c r="BT132" s="525"/>
      <c r="BU132" s="525"/>
      <c r="BV132" s="525"/>
      <c r="BW132" s="525"/>
      <c r="BX132" s="525"/>
      <c r="BY132" s="525"/>
      <c r="BZ132" s="525"/>
    </row>
    <row r="133" spans="1:78" x14ac:dyDescent="0.25">
      <c r="A133" s="540" t="s">
        <v>1772</v>
      </c>
      <c r="B133" s="540" t="s">
        <v>11</v>
      </c>
      <c r="C133" s="540"/>
      <c r="D133" s="529" t="s">
        <v>2342</v>
      </c>
      <c r="E133" s="540"/>
      <c r="F133" s="528" t="str">
        <f t="shared" si="28"/>
        <v>SA</v>
      </c>
      <c r="G133" s="540" t="s">
        <v>17</v>
      </c>
      <c r="H133" s="536" t="s">
        <v>511</v>
      </c>
      <c r="I133" s="540"/>
      <c r="J133" s="540" t="s">
        <v>298</v>
      </c>
      <c r="K133" s="540" t="s">
        <v>14</v>
      </c>
      <c r="L133" s="540" t="s">
        <v>1410</v>
      </c>
      <c r="M133" s="539"/>
      <c r="N133" s="540"/>
      <c r="O133" s="532"/>
      <c r="P133" s="540"/>
      <c r="Q133" s="540"/>
      <c r="R133" s="537">
        <f>IF(ISERROR(VLOOKUP(G133,'Planning and Target Times'!$L$1:$AP$6,MATCH(K133&amp;"_"&amp;L133&amp;"_"&amp;J133,INDEX('Planning and Target Times'!$L$1:$AP$6,1,0),0),0)+5),"",(VLOOKUP(G133,'Planning and Target Times'!$L$1:$AP$6,MATCH(K133&amp;"_"&amp;L133&amp;"_"&amp;J133,INDEX('Planning and Target Times'!$L$1:$AP$6,1,0),0),0)+5))</f>
        <v>75</v>
      </c>
      <c r="S133" s="528">
        <f t="shared" si="29"/>
        <v>70</v>
      </c>
      <c r="T133" s="538">
        <f>VLOOKUP(G133,'Planning and Target Times'!$A$7:$G$12,MATCH(K133&amp;"-"&amp;L133&amp;"-"&amp;J133,INDEX('Planning and Target Times'!$A$7:$G$12,1,0),0),0)</f>
        <v>35</v>
      </c>
      <c r="U133" s="540"/>
      <c r="V133" s="540"/>
      <c r="W133" s="540"/>
      <c r="X133" s="535" t="str">
        <f t="shared" si="27"/>
        <v>MA</v>
      </c>
      <c r="Y133" s="540"/>
      <c r="Z133" s="540"/>
      <c r="AA133" s="540"/>
      <c r="AB133" s="540"/>
      <c r="AC133" s="540"/>
      <c r="AD133" s="540"/>
      <c r="AE133" s="540" t="s">
        <v>91</v>
      </c>
      <c r="AF133" s="528"/>
      <c r="AG133" s="540" t="str">
        <f t="shared" si="30"/>
        <v>SA20-SA-MA-Prod-NW-HZ</v>
      </c>
      <c r="AH133" s="540" t="str">
        <f t="shared" si="31"/>
        <v>SA20-NDSC-17</v>
      </c>
      <c r="AI133" s="540" t="str">
        <f t="shared" si="32"/>
        <v>SA20-MA-NW-Prod</v>
      </c>
      <c r="AJ133" s="540">
        <f ca="1">IF(P133&gt;0,"RR",IF(O133&gt;0,0,COUNTIF($H$2:H133,H133)-IFERROR(COUNTIF(OFFSET($H$1,0,0,SUMPRODUCT(MAX(($H$2:H133=H133)*ROW($H$2:H133)*($O$2:O133&lt;&gt;""))),1),H133),0)))</f>
        <v>5</v>
      </c>
      <c r="AK133" s="527">
        <f>IF(ISERROR(VLOOKUP(G133,'Planning and Target Times'!$B$106:$D$110,MATCH(F133,INDEX('Planning and Target Times'!$B$106:$D$110,1,0),0),0)),"",(VLOOKUP(G133,'Planning and Target Times'!$B$106:$D$110,MATCH(F133,INDEX('Planning and Target Times'!$B$106:$D$110,1,0),0),0)))</f>
        <v>740</v>
      </c>
      <c r="AL133" s="528" t="str">
        <f>VLOOKUP(G133,'Planning and Target Times'!$I$2:$J$7,2,0)</f>
        <v>Carbonate</v>
      </c>
      <c r="AM133" s="540"/>
      <c r="AN133" s="540"/>
      <c r="AO133" s="540"/>
      <c r="AP133" s="533">
        <f t="shared" si="33"/>
        <v>9.8666666666666671</v>
      </c>
      <c r="AQ133" s="540"/>
      <c r="AR133" s="540"/>
      <c r="AS133" s="540"/>
      <c r="AT133" s="540"/>
      <c r="AU133" s="540"/>
      <c r="AV133" s="540"/>
      <c r="AW133" s="540"/>
      <c r="AX133" s="540"/>
      <c r="AY133" s="540"/>
      <c r="AZ133" s="540"/>
      <c r="BA133" s="540"/>
      <c r="BB133" s="540"/>
      <c r="BC133" s="540"/>
      <c r="BD133" s="540"/>
      <c r="BE133" s="540"/>
      <c r="BF133" s="540"/>
      <c r="BG133" s="540"/>
      <c r="BH133" s="540"/>
      <c r="BI133" s="540"/>
      <c r="BJ133" s="540"/>
      <c r="BK133" s="540"/>
      <c r="BL133" s="540"/>
      <c r="BM133" s="540"/>
      <c r="BN133" s="540"/>
      <c r="BO133" s="526" t="str">
        <f ca="1">IF(ISERROR(IF(INDEX(Rig_Schedule_View!$I$11:$I$262,MATCH(Well_Data_NK_Upcoming!AG129,Rig_Schedule_View!$B$11:$B$262,0))=0,O133,(INDEX(Rig_Schedule_View!$I$11:$I$262,MATCH(Well_Data_NK_Upcoming!AG129,Rig_Schedule_View!$B$11:$B$262,0))))),O133,(IF(INDEX(Rig_Schedule_View!$I$11:$I$262,MATCH(Well_Data_NK_Upcoming!AG129,Rig_Schedule_View!$B$11:$B$262,0))=0,O133,(INDEX(Rig_Schedule_View!$I$11:$I$262,MATCH(Well_Data_NK_Upcoming!AG129,Rig_Schedule_View!$B$11:$B$262,0))))))</f>
        <v/>
      </c>
      <c r="BP133" s="526" t="str">
        <f ca="1">IF(ISERROR(IF(INDEX(Rig_Schedule_View!$J$11:$J$262,MATCH(Well_Data_NK_Upcoming!AG129,Rig_Schedule_View!$B$11:$B$262,0))=0,P133,(INDEX(Rig_Schedule_View!$J$11:$J$262,MATCH(Well_Data_NK_Upcoming!AG129,Rig_Schedule_View!$B$11:$B$262,0))))),P133,(IF(INDEX(Rig_Schedule_View!$J$11:$J$262,MATCH(Well_Data_NK_Upcoming!AG129,Rig_Schedule_View!$B$11:$B$262,0))=0,P133,(INDEX(Rig_Schedule_View!$J$11:$J$262,MATCH(Well_Data_NK_Upcoming!AG129,Rig_Schedule_View!$B$11:$B$262,0))))))</f>
        <v/>
      </c>
      <c r="BQ133" s="527"/>
      <c r="BR133" s="525"/>
      <c r="BS133" s="525"/>
      <c r="BT133" s="525"/>
      <c r="BU133" s="525"/>
      <c r="BV133" s="525"/>
      <c r="BW133" s="525"/>
      <c r="BX133" s="525"/>
      <c r="BY133" s="525"/>
      <c r="BZ133" s="525"/>
    </row>
    <row r="134" spans="1:78" x14ac:dyDescent="0.25">
      <c r="A134" s="540" t="s">
        <v>1762</v>
      </c>
      <c r="B134" s="540" t="s">
        <v>11</v>
      </c>
      <c r="C134" s="540"/>
      <c r="D134" s="529" t="s">
        <v>2343</v>
      </c>
      <c r="E134" s="540"/>
      <c r="F134" s="528" t="str">
        <f t="shared" si="28"/>
        <v>SA</v>
      </c>
      <c r="G134" s="540" t="s">
        <v>29</v>
      </c>
      <c r="H134" s="536" t="s">
        <v>23</v>
      </c>
      <c r="I134" s="540"/>
      <c r="J134" s="540" t="s">
        <v>298</v>
      </c>
      <c r="K134" s="540" t="s">
        <v>14</v>
      </c>
      <c r="L134" s="540" t="s">
        <v>1416</v>
      </c>
      <c r="M134" s="539"/>
      <c r="N134" s="540"/>
      <c r="O134" s="532"/>
      <c r="P134" s="540"/>
      <c r="Q134" s="540"/>
      <c r="R134" s="537">
        <f>IF(ISERROR(VLOOKUP(G134,'Planning and Target Times'!$L$1:$AP$6,MATCH(K134&amp;"_"&amp;L134&amp;"_"&amp;J134,INDEX('Planning and Target Times'!$L$1:$AP$6,1,0),0),0)+5),"",(VLOOKUP(G134,'Planning and Target Times'!$L$1:$AP$6,MATCH(K134&amp;"_"&amp;L134&amp;"_"&amp;J134,INDEX('Planning and Target Times'!$L$1:$AP$6,1,0),0),0)+5))</f>
        <v>75</v>
      </c>
      <c r="S134" s="528">
        <f t="shared" si="29"/>
        <v>70</v>
      </c>
      <c r="T134" s="538">
        <f>VLOOKUP(G134,'Planning and Target Times'!$A$7:$G$12,MATCH(K134&amp;"-"&amp;L134&amp;"-"&amp;J134,INDEX('Planning and Target Times'!$A$7:$G$12,1,0),0),0)</f>
        <v>33</v>
      </c>
      <c r="U134" s="540"/>
      <c r="V134" s="540"/>
      <c r="W134" s="540"/>
      <c r="X134" s="535" t="str">
        <f t="shared" si="27"/>
        <v>UB</v>
      </c>
      <c r="Y134" s="540"/>
      <c r="Z134" s="540"/>
      <c r="AA134" s="540"/>
      <c r="AB134" s="540"/>
      <c r="AC134" s="540"/>
      <c r="AD134" s="540"/>
      <c r="AE134" s="540" t="s">
        <v>91</v>
      </c>
      <c r="AF134" s="528"/>
      <c r="AG134" s="540" t="str">
        <f t="shared" si="30"/>
        <v>SA8-SA-UB-Prod-NW-SL</v>
      </c>
      <c r="AH134" s="540" t="str">
        <f t="shared" si="31"/>
        <v>SA8-SP-158</v>
      </c>
      <c r="AI134" s="540" t="str">
        <f t="shared" si="32"/>
        <v>SA8-UB-NW-Prod</v>
      </c>
      <c r="AJ134" s="540">
        <f ca="1">IF(P134&gt;0,"RR",IF(O134&gt;0,0,COUNTIF($H$2:H134,H134)-IFERROR(COUNTIF(OFFSET($H$1,0,0,SUMPRODUCT(MAX(($H$2:H134=H134)*ROW($H$2:H134)*($O$2:O134&lt;&gt;""))),1),H134),0)))</f>
        <v>5</v>
      </c>
      <c r="AK134" s="527">
        <f>IF(ISERROR(VLOOKUP(G134,'Planning and Target Times'!$B$106:$D$110,MATCH(F134,INDEX('Planning and Target Times'!$B$106:$D$110,1,0),0),0)),"",(VLOOKUP(G134,'Planning and Target Times'!$B$106:$D$110,MATCH(F134,INDEX('Planning and Target Times'!$B$106:$D$110,1,0),0),0)))</f>
        <v>630</v>
      </c>
      <c r="AL134" s="528" t="str">
        <f>VLOOKUP(G134,'Planning and Target Times'!$I$2:$J$7,2,0)</f>
        <v>Sandstone</v>
      </c>
      <c r="AM134" s="540"/>
      <c r="AN134" s="540"/>
      <c r="AO134" s="540"/>
      <c r="AP134" s="533">
        <f t="shared" si="33"/>
        <v>8.4</v>
      </c>
      <c r="AQ134" s="540"/>
      <c r="AR134" s="540"/>
      <c r="AS134" s="540"/>
      <c r="AT134" s="540"/>
      <c r="AU134" s="540"/>
      <c r="AV134" s="540"/>
      <c r="AW134" s="540"/>
      <c r="AX134" s="540"/>
      <c r="AY134" s="540"/>
      <c r="AZ134" s="540"/>
      <c r="BA134" s="540"/>
      <c r="BB134" s="540"/>
      <c r="BC134" s="540"/>
      <c r="BD134" s="540"/>
      <c r="BE134" s="540"/>
      <c r="BF134" s="540"/>
      <c r="BG134" s="540"/>
      <c r="BH134" s="540"/>
      <c r="BI134" s="540"/>
      <c r="BJ134" s="540"/>
      <c r="BK134" s="540"/>
      <c r="BL134" s="540"/>
      <c r="BM134" s="540"/>
      <c r="BN134" s="540"/>
      <c r="BO134" s="526">
        <f ca="1">IF(ISERROR(IF(INDEX(Rig_Schedule_View!$I$11:$I$262,MATCH(Well_Data_NK_Upcoming!AG130,Rig_Schedule_View!$B$11:$B$262,0))=0,O134,(INDEX(Rig_Schedule_View!$I$11:$I$262,MATCH(Well_Data_NK_Upcoming!AG130,Rig_Schedule_View!$B$11:$B$262,0))))),O134,(IF(INDEX(Rig_Schedule_View!$I$11:$I$262,MATCH(Well_Data_NK_Upcoming!AG130,Rig_Schedule_View!$B$11:$B$262,0))=0,O134,(INDEX(Rig_Schedule_View!$I$11:$I$262,MATCH(Well_Data_NK_Upcoming!AG130,Rig_Schedule_View!$B$11:$B$262,0))))))</f>
        <v>42599</v>
      </c>
      <c r="BP134" s="526">
        <f ca="1">IF(ISERROR(IF(INDEX(Rig_Schedule_View!$J$11:$J$262,MATCH(Well_Data_NK_Upcoming!AG130,Rig_Schedule_View!$B$11:$B$262,0))=0,P134,(INDEX(Rig_Schedule_View!$J$11:$J$262,MATCH(Well_Data_NK_Upcoming!AG130,Rig_Schedule_View!$B$11:$B$262,0))))),P134,(IF(INDEX(Rig_Schedule_View!$J$11:$J$262,MATCH(Well_Data_NK_Upcoming!AG130,Rig_Schedule_View!$B$11:$B$262,0))=0,P134,(INDEX(Rig_Schedule_View!$J$11:$J$262,MATCH(Well_Data_NK_Upcoming!AG130,Rig_Schedule_View!$B$11:$B$262,0))))))</f>
        <v>42669</v>
      </c>
      <c r="BQ134" s="527"/>
      <c r="BR134" s="525"/>
      <c r="BS134" s="525"/>
      <c r="BT134" s="525"/>
      <c r="BU134" s="525"/>
      <c r="BV134" s="525"/>
      <c r="BW134" s="525"/>
      <c r="BX134" s="525"/>
      <c r="BY134" s="525"/>
      <c r="BZ134" s="525"/>
    </row>
    <row r="135" spans="1:78" x14ac:dyDescent="0.25">
      <c r="A135" s="540" t="s">
        <v>1729</v>
      </c>
      <c r="B135" s="540" t="s">
        <v>42</v>
      </c>
      <c r="C135" s="540"/>
      <c r="D135" s="529" t="s">
        <v>2344</v>
      </c>
      <c r="E135" s="540"/>
      <c r="F135" s="528" t="str">
        <f t="shared" si="28"/>
        <v>RA</v>
      </c>
      <c r="G135" s="540" t="s">
        <v>44</v>
      </c>
      <c r="H135" s="536" t="s">
        <v>31</v>
      </c>
      <c r="I135" s="540" t="s">
        <v>24</v>
      </c>
      <c r="J135" s="540" t="s">
        <v>34</v>
      </c>
      <c r="K135" s="540" t="s">
        <v>14</v>
      </c>
      <c r="L135" s="540" t="s">
        <v>1410</v>
      </c>
      <c r="M135" s="539"/>
      <c r="N135" s="540"/>
      <c r="O135" s="532"/>
      <c r="P135" s="540"/>
      <c r="Q135" s="540"/>
      <c r="R135" s="537" t="str">
        <f>IF(ISERROR(VLOOKUP(G135,'Planning and Target Times'!$L$1:$AP$6,MATCH(K135&amp;"_"&amp;L135&amp;"_"&amp;J135,INDEX('Planning and Target Times'!$L$1:$AP$6,1,0),0),0)+5),"",(VLOOKUP(G135,'Planning and Target Times'!$L$1:$AP$6,MATCH(K135&amp;"_"&amp;L135&amp;"_"&amp;J135,INDEX('Planning and Target Times'!$L$1:$AP$6,1,0),0),0)+5))</f>
        <v/>
      </c>
      <c r="S135" s="528" t="str">
        <f t="shared" si="29"/>
        <v/>
      </c>
      <c r="T135" s="538">
        <f>VLOOKUP(G135,'Planning and Target Times'!$A$7:$G$12,MATCH(K135&amp;"-"&amp;L135&amp;"-"&amp;J135,INDEX('Planning and Target Times'!$A$7:$G$12,1,0),0),0)</f>
        <v>30</v>
      </c>
      <c r="U135" s="540"/>
      <c r="V135" s="540"/>
      <c r="W135" s="540"/>
      <c r="X135" s="535" t="str">
        <f t="shared" si="27"/>
        <v>ZU/RT</v>
      </c>
      <c r="Y135" s="540"/>
      <c r="Z135" s="540"/>
      <c r="AA135" s="540"/>
      <c r="AB135" s="540"/>
      <c r="AC135" s="540"/>
      <c r="AD135" s="540"/>
      <c r="AE135" s="540" t="s">
        <v>91</v>
      </c>
      <c r="AF135" s="528"/>
      <c r="AG135" s="540" t="str">
        <f t="shared" si="30"/>
        <v>RA15-RA-ZU-Inj-NW-HZ-SLB</v>
      </c>
      <c r="AH135" s="540" t="str">
        <f t="shared" si="31"/>
        <v>RA15-SP-159</v>
      </c>
      <c r="AI135" s="540" t="str">
        <f t="shared" si="32"/>
        <v>RA15-ZU-NW-Inj</v>
      </c>
      <c r="AJ135" s="540">
        <f ca="1">IF(P135&gt;0,"RR",IF(O135&gt;0,0,COUNTIF($H$2:H135,H135)-IFERROR(COUNTIF(OFFSET($H$1,0,0,SUMPRODUCT(MAX(($H$2:H135=H135)*ROW($H$2:H135)*($O$2:O135&lt;&gt;""))),1),H135),0)))</f>
        <v>5</v>
      </c>
      <c r="AK135" s="527"/>
      <c r="AL135" s="528" t="str">
        <f>VLOOKUP(G135,'Planning and Target Times'!$I$2:$J$7,2,0)</f>
        <v>Sandstone</v>
      </c>
      <c r="AM135" s="540"/>
      <c r="AN135" s="540"/>
      <c r="AO135" s="540"/>
      <c r="AP135" s="533" t="e">
        <f t="shared" si="33"/>
        <v>#VALUE!</v>
      </c>
      <c r="AQ135" s="540"/>
      <c r="AR135" s="540"/>
      <c r="AS135" s="540"/>
      <c r="AT135" s="540"/>
      <c r="AU135" s="540"/>
      <c r="AV135" s="540"/>
      <c r="AW135" s="540"/>
      <c r="AX135" s="540"/>
      <c r="AY135" s="540"/>
      <c r="AZ135" s="540"/>
      <c r="BA135" s="540"/>
      <c r="BB135" s="540"/>
      <c r="BC135" s="540"/>
      <c r="BD135" s="540"/>
      <c r="BE135" s="540"/>
      <c r="BF135" s="540"/>
      <c r="BG135" s="540"/>
      <c r="BH135" s="540"/>
      <c r="BI135" s="540"/>
      <c r="BJ135" s="540"/>
      <c r="BK135" s="540"/>
      <c r="BL135" s="540"/>
      <c r="BM135" s="540"/>
      <c r="BN135" s="540"/>
      <c r="BO135" s="526" t="str">
        <f ca="1">IF(ISERROR(IF(INDEX(Rig_Schedule_View!$I$11:$I$262,MATCH(Well_Data_NK_Upcoming!AG131,Rig_Schedule_View!$B$11:$B$262,0))=0,O135,(INDEX(Rig_Schedule_View!$I$11:$I$262,MATCH(Well_Data_NK_Upcoming!AG131,Rig_Schedule_View!$B$11:$B$262,0))))),O135,(IF(INDEX(Rig_Schedule_View!$I$11:$I$262,MATCH(Well_Data_NK_Upcoming!AG131,Rig_Schedule_View!$B$11:$B$262,0))=0,O135,(INDEX(Rig_Schedule_View!$I$11:$I$262,MATCH(Well_Data_NK_Upcoming!AG131,Rig_Schedule_View!$B$11:$B$262,0))))))</f>
        <v/>
      </c>
      <c r="BP135" s="526" t="str">
        <f ca="1">IF(ISERROR(IF(INDEX(Rig_Schedule_View!$J$11:$J$262,MATCH(Well_Data_NK_Upcoming!AG131,Rig_Schedule_View!$B$11:$B$262,0))=0,P135,(INDEX(Rig_Schedule_View!$J$11:$J$262,MATCH(Well_Data_NK_Upcoming!AG131,Rig_Schedule_View!$B$11:$B$262,0))))),P135,(IF(INDEX(Rig_Schedule_View!$J$11:$J$262,MATCH(Well_Data_NK_Upcoming!AG131,Rig_Schedule_View!$B$11:$B$262,0))=0,P135,(INDEX(Rig_Schedule_View!$J$11:$J$262,MATCH(Well_Data_NK_Upcoming!AG131,Rig_Schedule_View!$B$11:$B$262,0))))))</f>
        <v/>
      </c>
      <c r="BQ135" s="527"/>
      <c r="BR135" s="525"/>
      <c r="BS135" s="525"/>
      <c r="BT135" s="525"/>
      <c r="BU135" s="525"/>
      <c r="BV135" s="525"/>
      <c r="BW135" s="525"/>
      <c r="BX135" s="525"/>
      <c r="BY135" s="525"/>
      <c r="BZ135" s="525"/>
    </row>
    <row r="136" spans="1:78" x14ac:dyDescent="0.25">
      <c r="A136" s="540" t="s">
        <v>1789</v>
      </c>
      <c r="B136" s="540" t="s">
        <v>11</v>
      </c>
      <c r="C136" s="540"/>
      <c r="D136" s="529" t="s">
        <v>2345</v>
      </c>
      <c r="E136" s="540"/>
      <c r="F136" s="528" t="str">
        <f t="shared" si="28"/>
        <v>SA</v>
      </c>
      <c r="G136" s="540" t="s">
        <v>29</v>
      </c>
      <c r="H136" s="536" t="s">
        <v>79</v>
      </c>
      <c r="I136" s="540"/>
      <c r="J136" s="540" t="s">
        <v>34</v>
      </c>
      <c r="K136" s="540" t="s">
        <v>14</v>
      </c>
      <c r="L136" s="540" t="s">
        <v>1416</v>
      </c>
      <c r="M136" s="539"/>
      <c r="N136" s="540"/>
      <c r="O136" s="532"/>
      <c r="P136" s="540"/>
      <c r="Q136" s="540"/>
      <c r="R136" s="537">
        <f>IF(ISERROR(VLOOKUP(G136,'Planning and Target Times'!$L$1:$AP$6,MATCH(K136&amp;"_"&amp;L136&amp;"_"&amp;J136,INDEX('Planning and Target Times'!$L$1:$AP$6,1,0),0),0)+5),"",(VLOOKUP(G136,'Planning and Target Times'!$L$1:$AP$6,MATCH(K136&amp;"_"&amp;L136&amp;"_"&amp;J136,INDEX('Planning and Target Times'!$L$1:$AP$6,1,0),0),0)+5))</f>
        <v>75</v>
      </c>
      <c r="S136" s="528">
        <f t="shared" si="29"/>
        <v>70</v>
      </c>
      <c r="T136" s="538" t="e">
        <f>VLOOKUP(G136,'Planning and Target Times'!$A$7:$G$12,MATCH(K136&amp;"-"&amp;L136&amp;"-"&amp;J136,INDEX('Planning and Target Times'!$A$7:$G$12,1,0),0),0)</f>
        <v>#N/A</v>
      </c>
      <c r="U136" s="540"/>
      <c r="V136" s="540"/>
      <c r="W136" s="540"/>
      <c r="X136" s="535" t="str">
        <f t="shared" si="27"/>
        <v>UB</v>
      </c>
      <c r="Y136" s="540"/>
      <c r="Z136" s="540"/>
      <c r="AA136" s="540"/>
      <c r="AB136" s="540"/>
      <c r="AC136" s="540"/>
      <c r="AD136" s="540"/>
      <c r="AE136" s="540" t="s">
        <v>91</v>
      </c>
      <c r="AF136" s="528"/>
      <c r="AG136" s="540" t="str">
        <f t="shared" si="30"/>
        <v>SA49-SA-UB-Inj-NW-SL</v>
      </c>
      <c r="AH136" s="540" t="str">
        <f t="shared" si="31"/>
        <v>SA49-SP-185</v>
      </c>
      <c r="AI136" s="540" t="str">
        <f t="shared" si="32"/>
        <v>SA49-UB-NW-Inj</v>
      </c>
      <c r="AJ136" s="540">
        <f ca="1">IF(P136&gt;0,"RR",IF(O136&gt;0,0,COUNTIF($H$2:H136,H136)-IFERROR(COUNTIF(OFFSET($H$1,0,0,SUMPRODUCT(MAX(($H$2:H136=H136)*ROW($H$2:H136)*($O$2:O136&lt;&gt;""))),1),H136),0)))</f>
        <v>5</v>
      </c>
      <c r="AK136" s="527">
        <f>IF(ISERROR(VLOOKUP(G136,'Planning and Target Times'!$B$106:$D$110,MATCH(F136,INDEX('Planning and Target Times'!$B$106:$D$110,1,0),0),0)),"",(VLOOKUP(G136,'Planning and Target Times'!$B$106:$D$110,MATCH(F136,INDEX('Planning and Target Times'!$B$106:$D$110,1,0),0),0)))</f>
        <v>630</v>
      </c>
      <c r="AL136" s="528" t="str">
        <f>VLOOKUP(G136,'Planning and Target Times'!$I$2:$J$7,2,0)</f>
        <v>Sandstone</v>
      </c>
      <c r="AM136" s="540"/>
      <c r="AN136" s="540"/>
      <c r="AO136" s="540"/>
      <c r="AP136" s="533">
        <f t="shared" si="33"/>
        <v>8.4</v>
      </c>
      <c r="AQ136" s="540"/>
      <c r="AR136" s="540"/>
      <c r="AS136" s="540"/>
      <c r="AT136" s="540"/>
      <c r="AU136" s="540"/>
      <c r="AV136" s="540"/>
      <c r="AW136" s="540"/>
      <c r="AX136" s="540"/>
      <c r="AY136" s="540"/>
      <c r="AZ136" s="540"/>
      <c r="BA136" s="540"/>
      <c r="BB136" s="540"/>
      <c r="BC136" s="540"/>
      <c r="BD136" s="540"/>
      <c r="BE136" s="540"/>
      <c r="BF136" s="540"/>
      <c r="BG136" s="540"/>
      <c r="BH136" s="540"/>
      <c r="BI136" s="540"/>
      <c r="BJ136" s="540"/>
      <c r="BK136" s="540"/>
      <c r="BL136" s="540"/>
      <c r="BM136" s="540"/>
      <c r="BN136" s="540"/>
      <c r="BO136" s="526">
        <f ca="1">IF(ISERROR(IF(INDEX(Rig_Schedule_View!$I$11:$I$262,MATCH(Well_Data_NK_Upcoming!AG132,Rig_Schedule_View!$B$11:$B$262,0))=0,O136,(INDEX(Rig_Schedule_View!$I$11:$I$262,MATCH(Well_Data_NK_Upcoming!AG132,Rig_Schedule_View!$B$11:$B$262,0))))),O136,(IF(INDEX(Rig_Schedule_View!$I$11:$I$262,MATCH(Well_Data_NK_Upcoming!AG132,Rig_Schedule_View!$B$11:$B$262,0))=0,O136,(INDEX(Rig_Schedule_View!$I$11:$I$262,MATCH(Well_Data_NK_Upcoming!AG132,Rig_Schedule_View!$B$11:$B$262,0))))))</f>
        <v>42594</v>
      </c>
      <c r="BP136" s="526">
        <f ca="1">IF(ISERROR(IF(INDEX(Rig_Schedule_View!$J$11:$J$262,MATCH(Well_Data_NK_Upcoming!AG132,Rig_Schedule_View!$B$11:$B$262,0))=0,P136,(INDEX(Rig_Schedule_View!$J$11:$J$262,MATCH(Well_Data_NK_Upcoming!AG132,Rig_Schedule_View!$B$11:$B$262,0))))),P136,(IF(INDEX(Rig_Schedule_View!$J$11:$J$262,MATCH(Well_Data_NK_Upcoming!AG132,Rig_Schedule_View!$B$11:$B$262,0))=0,P136,(INDEX(Rig_Schedule_View!$J$11:$J$262,MATCH(Well_Data_NK_Upcoming!AG132,Rig_Schedule_View!$B$11:$B$262,0))))))</f>
        <v>42664</v>
      </c>
      <c r="BQ136" s="527"/>
      <c r="BR136" s="525"/>
      <c r="BS136" s="525"/>
      <c r="BT136" s="525"/>
      <c r="BU136" s="525"/>
      <c r="BV136" s="525"/>
      <c r="BW136" s="525"/>
      <c r="BX136" s="525"/>
      <c r="BY136" s="525"/>
      <c r="BZ136" s="525"/>
    </row>
    <row r="137" spans="1:78" x14ac:dyDescent="0.25">
      <c r="A137" s="540" t="s">
        <v>1743</v>
      </c>
      <c r="B137" s="540" t="s">
        <v>42</v>
      </c>
      <c r="C137" s="540"/>
      <c r="D137" s="529" t="s">
        <v>2346</v>
      </c>
      <c r="E137" s="540"/>
      <c r="F137" s="528" t="str">
        <f t="shared" si="28"/>
        <v>RA</v>
      </c>
      <c r="G137" s="540" t="s">
        <v>17</v>
      </c>
      <c r="H137" s="536" t="s">
        <v>37</v>
      </c>
      <c r="I137" s="540" t="s">
        <v>24</v>
      </c>
      <c r="J137" s="540" t="s">
        <v>34</v>
      </c>
      <c r="K137" s="540" t="s">
        <v>14</v>
      </c>
      <c r="L137" s="540" t="s">
        <v>1410</v>
      </c>
      <c r="M137" s="539"/>
      <c r="N137" s="540"/>
      <c r="O137" s="532"/>
      <c r="P137" s="540"/>
      <c r="Q137" s="540"/>
      <c r="R137" s="537">
        <f>IF(ISERROR(VLOOKUP(G137,'Planning and Target Times'!$L$1:$AP$6,MATCH(K137&amp;"_"&amp;L137&amp;"_"&amp;J137,INDEX('Planning and Target Times'!$L$1:$AP$6,1,0),0),0)+5),"",(VLOOKUP(G137,'Planning and Target Times'!$L$1:$AP$6,MATCH(K137&amp;"_"&amp;L137&amp;"_"&amp;J137,INDEX('Planning and Target Times'!$L$1:$AP$6,1,0),0),0)+5))</f>
        <v>68</v>
      </c>
      <c r="S137" s="528">
        <f t="shared" si="29"/>
        <v>63</v>
      </c>
      <c r="T137" s="538">
        <f>VLOOKUP(G137,'Planning and Target Times'!$A$7:$G$12,MATCH(K137&amp;"-"&amp;L137&amp;"-"&amp;J137,INDEX('Planning and Target Times'!$A$7:$G$12,1,0),0),0)</f>
        <v>35</v>
      </c>
      <c r="U137" s="540"/>
      <c r="V137" s="540"/>
      <c r="W137" s="540"/>
      <c r="X137" s="535" t="str">
        <f t="shared" si="27"/>
        <v>MA</v>
      </c>
      <c r="Y137" s="540"/>
      <c r="Z137" s="540"/>
      <c r="AA137" s="540"/>
      <c r="AB137" s="540"/>
      <c r="AC137" s="540"/>
      <c r="AD137" s="540"/>
      <c r="AE137" s="540" t="s">
        <v>91</v>
      </c>
      <c r="AF137" s="528"/>
      <c r="AG137" s="540" t="str">
        <f t="shared" si="30"/>
        <v>RA29-RA-MA-Inj-NW-HZ-SLB</v>
      </c>
      <c r="AH137" s="540" t="str">
        <f t="shared" si="31"/>
        <v>RA29-SP-186</v>
      </c>
      <c r="AI137" s="540" t="str">
        <f t="shared" si="32"/>
        <v>RA29-MA-NW-Inj</v>
      </c>
      <c r="AJ137" s="540">
        <f ca="1">IF(P137&gt;0,"RR",IF(O137&gt;0,0,COUNTIF($H$2:H137,H137)-IFERROR(COUNTIF(OFFSET($H$1,0,0,SUMPRODUCT(MAX(($H$2:H137=H137)*ROW($H$2:H137)*($O$2:O137&lt;&gt;""))),1),H137),0)))</f>
        <v>5</v>
      </c>
      <c r="AK137" s="527"/>
      <c r="AL137" s="528" t="str">
        <f>VLOOKUP(G137,'Planning and Target Times'!$I$2:$J$7,2,0)</f>
        <v>Carbonate</v>
      </c>
      <c r="AM137" s="540"/>
      <c r="AN137" s="540"/>
      <c r="AO137" s="540"/>
      <c r="AP137" s="533">
        <f t="shared" si="33"/>
        <v>0</v>
      </c>
      <c r="AQ137" s="540"/>
      <c r="AR137" s="540"/>
      <c r="AS137" s="540"/>
      <c r="AT137" s="540"/>
      <c r="AU137" s="540"/>
      <c r="AV137" s="540"/>
      <c r="AW137" s="540"/>
      <c r="AX137" s="540"/>
      <c r="AY137" s="540"/>
      <c r="AZ137" s="540"/>
      <c r="BA137" s="540"/>
      <c r="BB137" s="540"/>
      <c r="BC137" s="540"/>
      <c r="BD137" s="540"/>
      <c r="BE137" s="540"/>
      <c r="BF137" s="540"/>
      <c r="BG137" s="540"/>
      <c r="BH137" s="540"/>
      <c r="BI137" s="540"/>
      <c r="BJ137" s="540"/>
      <c r="BK137" s="540"/>
      <c r="BL137" s="540"/>
      <c r="BM137" s="540"/>
      <c r="BN137" s="540"/>
      <c r="BO137" s="526">
        <f ca="1">IF(ISERROR(IF(INDEX(Rig_Schedule_View!$I$11:$I$262,MATCH(Well_Data_NK_Upcoming!AG133,Rig_Schedule_View!$B$11:$B$262,0))=0,O137,(INDEX(Rig_Schedule_View!$I$11:$I$262,MATCH(Well_Data_NK_Upcoming!AG133,Rig_Schedule_View!$B$11:$B$262,0))))),O137,(IF(INDEX(Rig_Schedule_View!$I$11:$I$262,MATCH(Well_Data_NK_Upcoming!AG133,Rig_Schedule_View!$B$11:$B$262,0))=0,O137,(INDEX(Rig_Schedule_View!$I$11:$I$262,MATCH(Well_Data_NK_Upcoming!AG133,Rig_Schedule_View!$B$11:$B$262,0))))))</f>
        <v>42552</v>
      </c>
      <c r="BP137" s="526">
        <f ca="1">IF(ISERROR(IF(INDEX(Rig_Schedule_View!$J$11:$J$262,MATCH(Well_Data_NK_Upcoming!AG133,Rig_Schedule_View!$B$11:$B$262,0))=0,P137,(INDEX(Rig_Schedule_View!$J$11:$J$262,MATCH(Well_Data_NK_Upcoming!AG133,Rig_Schedule_View!$B$11:$B$262,0))))),P137,(IF(INDEX(Rig_Schedule_View!$J$11:$J$262,MATCH(Well_Data_NK_Upcoming!AG133,Rig_Schedule_View!$B$11:$B$262,0))=0,P137,(INDEX(Rig_Schedule_View!$J$11:$J$262,MATCH(Well_Data_NK_Upcoming!AG133,Rig_Schedule_View!$B$11:$B$262,0))))))</f>
        <v>42622</v>
      </c>
      <c r="BQ137" s="527"/>
      <c r="BR137" s="525"/>
      <c r="BS137" s="525"/>
      <c r="BT137" s="525"/>
      <c r="BU137" s="525"/>
      <c r="BV137" s="525"/>
      <c r="BW137" s="525"/>
      <c r="BX137" s="525"/>
      <c r="BY137" s="525"/>
      <c r="BZ137" s="525"/>
    </row>
    <row r="138" spans="1:78" x14ac:dyDescent="0.25">
      <c r="A138" s="540" t="s">
        <v>1774</v>
      </c>
      <c r="B138" s="540" t="s">
        <v>11</v>
      </c>
      <c r="C138" s="540"/>
      <c r="D138" s="529" t="s">
        <v>2347</v>
      </c>
      <c r="E138" s="540"/>
      <c r="F138" s="528" t="str">
        <f t="shared" si="28"/>
        <v>SA</v>
      </c>
      <c r="G138" s="540" t="s">
        <v>17</v>
      </c>
      <c r="H138" s="536" t="s">
        <v>838</v>
      </c>
      <c r="I138" s="540"/>
      <c r="J138" s="540" t="s">
        <v>298</v>
      </c>
      <c r="K138" s="540" t="s">
        <v>14</v>
      </c>
      <c r="L138" s="540" t="s">
        <v>1410</v>
      </c>
      <c r="M138" s="539"/>
      <c r="N138" s="540"/>
      <c r="O138" s="532"/>
      <c r="P138" s="540"/>
      <c r="Q138" s="540"/>
      <c r="R138" s="537">
        <f>IF(ISERROR(VLOOKUP(G138,'Planning and Target Times'!$L$1:$AP$6,MATCH(K138&amp;"_"&amp;L138&amp;"_"&amp;J138,INDEX('Planning and Target Times'!$L$1:$AP$6,1,0),0),0)+5),"",(VLOOKUP(G138,'Planning and Target Times'!$L$1:$AP$6,MATCH(K138&amp;"_"&amp;L138&amp;"_"&amp;J138,INDEX('Planning and Target Times'!$L$1:$AP$6,1,0),0),0)+5))</f>
        <v>75</v>
      </c>
      <c r="S138" s="528">
        <f t="shared" si="29"/>
        <v>70</v>
      </c>
      <c r="T138" s="538">
        <f>VLOOKUP(G138,'Planning and Target Times'!$A$7:$G$12,MATCH(K138&amp;"-"&amp;L138&amp;"-"&amp;J138,INDEX('Planning and Target Times'!$A$7:$G$12,1,0),0),0)</f>
        <v>35</v>
      </c>
      <c r="U138" s="540"/>
      <c r="V138" s="540"/>
      <c r="W138" s="540"/>
      <c r="X138" s="535" t="str">
        <f t="shared" si="27"/>
        <v>MA</v>
      </c>
      <c r="Y138" s="540"/>
      <c r="Z138" s="540"/>
      <c r="AA138" s="540"/>
      <c r="AB138" s="540"/>
      <c r="AC138" s="540"/>
      <c r="AD138" s="540"/>
      <c r="AE138" s="540" t="s">
        <v>91</v>
      </c>
      <c r="AF138" s="528"/>
      <c r="AG138" s="540" t="str">
        <f t="shared" si="30"/>
        <v>SA22-SA-MA-Prod-NW-HZ</v>
      </c>
      <c r="AH138" s="540" t="str">
        <f t="shared" si="31"/>
        <v>SA22-SP-266</v>
      </c>
      <c r="AI138" s="540" t="str">
        <f t="shared" si="32"/>
        <v>SA22-MA-NW-Prod</v>
      </c>
      <c r="AJ138" s="540">
        <f ca="1">IF(P138&gt;0,"RR",IF(O138&gt;0,0,COUNTIF($H$2:H138,H138)-IFERROR(COUNTIF(OFFSET($H$1,0,0,SUMPRODUCT(MAX(($H$2:H138=H138)*ROW($H$2:H138)*($O$2:O138&lt;&gt;""))),1),H138),0)))</f>
        <v>5</v>
      </c>
      <c r="AK138" s="527">
        <f>IF(ISERROR(VLOOKUP(G138,'Planning and Target Times'!$B$106:$D$110,MATCH(F138,INDEX('Planning and Target Times'!$B$106:$D$110,1,0),0),0)),"",(VLOOKUP(G138,'Planning and Target Times'!$B$106:$D$110,MATCH(F138,INDEX('Planning and Target Times'!$B$106:$D$110,1,0),0),0)))</f>
        <v>740</v>
      </c>
      <c r="AL138" s="528" t="str">
        <f>VLOOKUP(G138,'Planning and Target Times'!$I$2:$J$7,2,0)</f>
        <v>Carbonate</v>
      </c>
      <c r="AM138" s="540"/>
      <c r="AN138" s="540"/>
      <c r="AO138" s="540"/>
      <c r="AP138" s="533">
        <f t="shared" si="33"/>
        <v>9.8666666666666671</v>
      </c>
      <c r="AQ138" s="540"/>
      <c r="AR138" s="540"/>
      <c r="AS138" s="540"/>
      <c r="AT138" s="540"/>
      <c r="AU138" s="540"/>
      <c r="AV138" s="540"/>
      <c r="AW138" s="540"/>
      <c r="AX138" s="540"/>
      <c r="AY138" s="540"/>
      <c r="AZ138" s="540"/>
      <c r="BA138" s="540"/>
      <c r="BB138" s="540"/>
      <c r="BC138" s="540"/>
      <c r="BD138" s="540"/>
      <c r="BE138" s="540"/>
      <c r="BF138" s="540"/>
      <c r="BG138" s="540"/>
      <c r="BH138" s="540"/>
      <c r="BI138" s="540"/>
      <c r="BJ138" s="540"/>
      <c r="BK138" s="540"/>
      <c r="BL138" s="540"/>
      <c r="BM138" s="540"/>
      <c r="BN138" s="540"/>
      <c r="BO138" s="526" t="str">
        <f ca="1">IF(ISERROR(IF(INDEX(Rig_Schedule_View!$I$11:$I$262,MATCH(Well_Data_NK_Upcoming!AG134,Rig_Schedule_View!$B$11:$B$262,0))=0,O138,(INDEX(Rig_Schedule_View!$I$11:$I$262,MATCH(Well_Data_NK_Upcoming!AG134,Rig_Schedule_View!$B$11:$B$262,0))))),O138,(IF(INDEX(Rig_Schedule_View!$I$11:$I$262,MATCH(Well_Data_NK_Upcoming!AG134,Rig_Schedule_View!$B$11:$B$262,0))=0,O138,(INDEX(Rig_Schedule_View!$I$11:$I$262,MATCH(Well_Data_NK_Upcoming!AG134,Rig_Schedule_View!$B$11:$B$262,0))))))</f>
        <v/>
      </c>
      <c r="BP138" s="526" t="str">
        <f ca="1">IF(ISERROR(IF(INDEX(Rig_Schedule_View!$J$11:$J$262,MATCH(Well_Data_NK_Upcoming!AG134,Rig_Schedule_View!$B$11:$B$262,0))=0,P138,(INDEX(Rig_Schedule_View!$J$11:$J$262,MATCH(Well_Data_NK_Upcoming!AG134,Rig_Schedule_View!$B$11:$B$262,0))))),P138,(IF(INDEX(Rig_Schedule_View!$J$11:$J$262,MATCH(Well_Data_NK_Upcoming!AG134,Rig_Schedule_View!$B$11:$B$262,0))=0,P138,(INDEX(Rig_Schedule_View!$J$11:$J$262,MATCH(Well_Data_NK_Upcoming!AG134,Rig_Schedule_View!$B$11:$B$262,0))))))</f>
        <v/>
      </c>
      <c r="BQ138" s="527"/>
      <c r="BR138" s="525"/>
      <c r="BS138" s="525"/>
      <c r="BT138" s="525"/>
      <c r="BU138" s="525"/>
      <c r="BV138" s="525"/>
      <c r="BW138" s="525"/>
      <c r="BX138" s="525"/>
      <c r="BY138" s="525"/>
      <c r="BZ138" s="525"/>
    </row>
    <row r="139" spans="1:78" x14ac:dyDescent="0.25">
      <c r="A139" s="540" t="s">
        <v>1737</v>
      </c>
      <c r="B139" s="540" t="s">
        <v>42</v>
      </c>
      <c r="C139" s="540"/>
      <c r="D139" s="529" t="s">
        <v>2348</v>
      </c>
      <c r="E139" s="540"/>
      <c r="F139" s="528" t="str">
        <f t="shared" si="28"/>
        <v>RA</v>
      </c>
      <c r="G139" s="540" t="s">
        <v>17</v>
      </c>
      <c r="H139" s="536" t="s">
        <v>839</v>
      </c>
      <c r="I139" s="540" t="s">
        <v>24</v>
      </c>
      <c r="J139" s="540" t="s">
        <v>34</v>
      </c>
      <c r="K139" s="540" t="s">
        <v>18</v>
      </c>
      <c r="L139" s="540"/>
      <c r="M139" s="539"/>
      <c r="N139" s="540"/>
      <c r="O139" s="532"/>
      <c r="P139" s="540"/>
      <c r="Q139" s="540"/>
      <c r="R139" s="537">
        <f>IF(ISERROR(VLOOKUP(G139,'Planning and Target Times'!$L$1:$AP$6,MATCH(K139&amp;"_"&amp;L139&amp;"_"&amp;J139,INDEX('Planning and Target Times'!$L$1:$AP$6,1,0),0),0)+5),"",(VLOOKUP(G139,'Planning and Target Times'!$L$1:$AP$6,MATCH(K139&amp;"_"&amp;L139&amp;"_"&amp;J139,INDEX('Planning and Target Times'!$L$1:$AP$6,1,0),0),0)+5))</f>
        <v>54</v>
      </c>
      <c r="S139" s="528">
        <f t="shared" si="29"/>
        <v>49</v>
      </c>
      <c r="T139" s="538" t="e">
        <f>VLOOKUP(G139,'Planning and Target Times'!$A$7:$G$12,MATCH(K139&amp;"-"&amp;L139&amp;"-"&amp;J139,INDEX('Planning and Target Times'!$A$7:$G$12,1,0),0),0)</f>
        <v>#N/A</v>
      </c>
      <c r="U139" s="540"/>
      <c r="V139" s="540"/>
      <c r="W139" s="540"/>
      <c r="X139" s="535" t="str">
        <f t="shared" si="27"/>
        <v>MA</v>
      </c>
      <c r="Y139" s="540"/>
      <c r="Z139" s="540"/>
      <c r="AA139" s="540"/>
      <c r="AB139" s="540"/>
      <c r="AC139" s="540"/>
      <c r="AD139" s="540"/>
      <c r="AE139" s="540" t="s">
        <v>91</v>
      </c>
      <c r="AF139" s="528"/>
      <c r="AG139" s="540" t="str">
        <f t="shared" si="30"/>
        <v>RA23-RA-MA-Inj-ST-SLB</v>
      </c>
      <c r="AH139" s="540" t="str">
        <f t="shared" si="31"/>
        <v>RA23-SP-267</v>
      </c>
      <c r="AI139" s="540" t="str">
        <f t="shared" si="32"/>
        <v>RA23-MA-ST-Inj</v>
      </c>
      <c r="AJ139" s="540">
        <f ca="1">IF(P139&gt;0,"RR",IF(O139&gt;0,0,COUNTIF($H$2:H139,H139)-IFERROR(COUNTIF(OFFSET($H$1,0,0,SUMPRODUCT(MAX(($H$2:H139=H139)*ROW($H$2:H139)*($O$2:O139&lt;&gt;""))),1),H139),0)))</f>
        <v>5</v>
      </c>
      <c r="AK139" s="527">
        <f>IF(ISERROR(VLOOKUP(G139,'Planning and Target Times'!$B$106:$D$110,MATCH(F139,INDEX('Planning and Target Times'!$B$106:$D$110,1,0),0),0)),"",(VLOOKUP(G139,'Planning and Target Times'!$B$106:$D$110,MATCH(F139,INDEX('Planning and Target Times'!$B$106:$D$110,1,0),0),0)))</f>
        <v>650</v>
      </c>
      <c r="AL139" s="528" t="str">
        <f>VLOOKUP(G139,'Planning and Target Times'!$I$2:$J$7,2,0)</f>
        <v>Carbonate</v>
      </c>
      <c r="AM139" s="540"/>
      <c r="AN139" s="540"/>
      <c r="AO139" s="540"/>
      <c r="AP139" s="533">
        <f t="shared" si="33"/>
        <v>12.037037037037036</v>
      </c>
      <c r="AQ139" s="540"/>
      <c r="AR139" s="540"/>
      <c r="AS139" s="540"/>
      <c r="AT139" s="540"/>
      <c r="AU139" s="540"/>
      <c r="AV139" s="540"/>
      <c r="AW139" s="540"/>
      <c r="AX139" s="540"/>
      <c r="AY139" s="540"/>
      <c r="AZ139" s="540"/>
      <c r="BA139" s="540"/>
      <c r="BB139" s="540"/>
      <c r="BC139" s="540"/>
      <c r="BD139" s="540"/>
      <c r="BE139" s="540"/>
      <c r="BF139" s="540"/>
      <c r="BG139" s="540"/>
      <c r="BH139" s="540"/>
      <c r="BI139" s="540"/>
      <c r="BJ139" s="540"/>
      <c r="BK139" s="540"/>
      <c r="BL139" s="540"/>
      <c r="BM139" s="540"/>
      <c r="BN139" s="540"/>
      <c r="BO139" s="526" t="str">
        <f ca="1">IF(ISERROR(IF(INDEX(Rig_Schedule_View!$I$11:$I$262,MATCH(Well_Data_NK_Upcoming!AG135,Rig_Schedule_View!$B$11:$B$262,0))=0,O139,(INDEX(Rig_Schedule_View!$I$11:$I$262,MATCH(Well_Data_NK_Upcoming!AG135,Rig_Schedule_View!$B$11:$B$262,0))))),O139,(IF(INDEX(Rig_Schedule_View!$I$11:$I$262,MATCH(Well_Data_NK_Upcoming!AG135,Rig_Schedule_View!$B$11:$B$262,0))=0,O139,(INDEX(Rig_Schedule_View!$I$11:$I$262,MATCH(Well_Data_NK_Upcoming!AG135,Rig_Schedule_View!$B$11:$B$262,0))))))</f>
        <v/>
      </c>
      <c r="BP139" s="526" t="str">
        <f ca="1">IF(ISERROR(IF(INDEX(Rig_Schedule_View!$J$11:$J$262,MATCH(Well_Data_NK_Upcoming!AG135,Rig_Schedule_View!$B$11:$B$262,0))=0,P139,(INDEX(Rig_Schedule_View!$J$11:$J$262,MATCH(Well_Data_NK_Upcoming!AG135,Rig_Schedule_View!$B$11:$B$262,0))))),P139,(IF(INDEX(Rig_Schedule_View!$J$11:$J$262,MATCH(Well_Data_NK_Upcoming!AG135,Rig_Schedule_View!$B$11:$B$262,0))=0,P139,(INDEX(Rig_Schedule_View!$J$11:$J$262,MATCH(Well_Data_NK_Upcoming!AG135,Rig_Schedule_View!$B$11:$B$262,0))))))</f>
        <v/>
      </c>
      <c r="BQ139" s="527"/>
      <c r="BR139" s="525"/>
      <c r="BS139" s="525"/>
      <c r="BT139" s="525"/>
      <c r="BU139" s="525"/>
      <c r="BV139" s="525"/>
      <c r="BW139" s="525"/>
      <c r="BX139" s="525"/>
      <c r="BY139" s="525"/>
      <c r="BZ139" s="525"/>
    </row>
    <row r="140" spans="1:78" x14ac:dyDescent="0.25">
      <c r="A140" s="540" t="s">
        <v>1783</v>
      </c>
      <c r="B140" s="540" t="s">
        <v>11</v>
      </c>
      <c r="C140" s="540"/>
      <c r="D140" s="529" t="s">
        <v>2349</v>
      </c>
      <c r="E140" s="540"/>
      <c r="F140" s="528" t="str">
        <f t="shared" si="28"/>
        <v>SA</v>
      </c>
      <c r="G140" s="540" t="s">
        <v>17</v>
      </c>
      <c r="H140" s="536" t="s">
        <v>1414</v>
      </c>
      <c r="I140" s="540"/>
      <c r="J140" s="540" t="s">
        <v>298</v>
      </c>
      <c r="K140" s="540" t="s">
        <v>14</v>
      </c>
      <c r="L140" s="540" t="s">
        <v>1410</v>
      </c>
      <c r="M140" s="539"/>
      <c r="N140" s="540"/>
      <c r="O140" s="532"/>
      <c r="P140" s="540"/>
      <c r="Q140" s="540"/>
      <c r="R140" s="537">
        <f>IF(ISERROR(VLOOKUP(G140,'Planning and Target Times'!$L$1:$AP$6,MATCH(K140&amp;"_"&amp;L140&amp;"_"&amp;J140,INDEX('Planning and Target Times'!$L$1:$AP$6,1,0),0),0)+5),"",(VLOOKUP(G140,'Planning and Target Times'!$L$1:$AP$6,MATCH(K140&amp;"_"&amp;L140&amp;"_"&amp;J140,INDEX('Planning and Target Times'!$L$1:$AP$6,1,0),0),0)+5))</f>
        <v>75</v>
      </c>
      <c r="S140" s="528">
        <f t="shared" si="29"/>
        <v>70</v>
      </c>
      <c r="T140" s="538">
        <f>VLOOKUP(G140,'Planning and Target Times'!$A$7:$G$12,MATCH(K140&amp;"-"&amp;L140&amp;"-"&amp;J140,INDEX('Planning and Target Times'!$A$7:$G$12,1,0),0),0)</f>
        <v>35</v>
      </c>
      <c r="U140" s="540"/>
      <c r="V140" s="540"/>
      <c r="W140" s="540"/>
      <c r="X140" s="535" t="str">
        <f t="shared" si="27"/>
        <v>MA</v>
      </c>
      <c r="Y140" s="540"/>
      <c r="Z140" s="540"/>
      <c r="AA140" s="540"/>
      <c r="AB140" s="540"/>
      <c r="AC140" s="540"/>
      <c r="AD140" s="540"/>
      <c r="AE140" s="540" t="s">
        <v>91</v>
      </c>
      <c r="AF140" s="528"/>
      <c r="AG140" s="540" t="str">
        <f t="shared" si="30"/>
        <v>SA43-SA-MA-Prod-NW-HZ</v>
      </c>
      <c r="AH140" s="540" t="str">
        <f t="shared" si="31"/>
        <v>SA43-SP-283</v>
      </c>
      <c r="AI140" s="540" t="str">
        <f t="shared" si="32"/>
        <v>SA43-MA-NW-Prod</v>
      </c>
      <c r="AJ140" s="540">
        <f ca="1">IF(P140&gt;0,"RR",IF(O140&gt;0,0,COUNTIF($H$2:H140,H140)-IFERROR(COUNTIF(OFFSET($H$1,0,0,SUMPRODUCT(MAX(($H$2:H140=H140)*ROW($H$2:H140)*($O$2:O140&lt;&gt;""))),1),H140),0)))</f>
        <v>5</v>
      </c>
      <c r="AK140" s="527">
        <f>IF(ISERROR(VLOOKUP(G140,'Planning and Target Times'!$B$106:$D$110,MATCH(F140,INDEX('Planning and Target Times'!$B$106:$D$110,1,0),0),0)),"",(VLOOKUP(G140,'Planning and Target Times'!$B$106:$D$110,MATCH(F140,INDEX('Planning and Target Times'!$B$106:$D$110,1,0),0),0)))</f>
        <v>740</v>
      </c>
      <c r="AL140" s="528" t="str">
        <f>VLOOKUP(G140,'Planning and Target Times'!$I$2:$J$7,2,0)</f>
        <v>Carbonate</v>
      </c>
      <c r="AM140" s="540"/>
      <c r="AN140" s="540"/>
      <c r="AO140" s="540"/>
      <c r="AP140" s="533">
        <f t="shared" si="33"/>
        <v>9.8666666666666671</v>
      </c>
      <c r="AQ140" s="540"/>
      <c r="AR140" s="540"/>
      <c r="AS140" s="540"/>
      <c r="AT140" s="540"/>
      <c r="AU140" s="540"/>
      <c r="AV140" s="540"/>
      <c r="AW140" s="540"/>
      <c r="AX140" s="540"/>
      <c r="AY140" s="540"/>
      <c r="AZ140" s="540"/>
      <c r="BA140" s="540"/>
      <c r="BB140" s="540"/>
      <c r="BC140" s="540"/>
      <c r="BD140" s="540"/>
      <c r="BE140" s="540"/>
      <c r="BF140" s="540"/>
      <c r="BG140" s="540"/>
      <c r="BH140" s="540"/>
      <c r="BI140" s="540"/>
      <c r="BJ140" s="540"/>
      <c r="BK140" s="540"/>
      <c r="BL140" s="540"/>
      <c r="BM140" s="540"/>
      <c r="BN140" s="540"/>
      <c r="BO140" s="526">
        <f ca="1">IF(ISERROR(IF(INDEX(Rig_Schedule_View!$I$11:$I$262,MATCH(Well_Data_NK_Upcoming!AG136,Rig_Schedule_View!$B$11:$B$262,0))=0,O140,(INDEX(Rig_Schedule_View!$I$11:$I$262,MATCH(Well_Data_NK_Upcoming!AG136,Rig_Schedule_View!$B$11:$B$262,0))))),O140,(IF(INDEX(Rig_Schedule_View!$I$11:$I$262,MATCH(Well_Data_NK_Upcoming!AG136,Rig_Schedule_View!$B$11:$B$262,0))=0,O140,(INDEX(Rig_Schedule_View!$I$11:$I$262,MATCH(Well_Data_NK_Upcoming!AG136,Rig_Schedule_View!$B$11:$B$262,0))))))</f>
        <v>42611</v>
      </c>
      <c r="BP140" s="526">
        <f ca="1">IF(ISERROR(IF(INDEX(Rig_Schedule_View!$J$11:$J$262,MATCH(Well_Data_NK_Upcoming!AG136,Rig_Schedule_View!$B$11:$B$262,0))=0,P140,(INDEX(Rig_Schedule_View!$J$11:$J$262,MATCH(Well_Data_NK_Upcoming!AG136,Rig_Schedule_View!$B$11:$B$262,0))))),P140,(IF(INDEX(Rig_Schedule_View!$J$11:$J$262,MATCH(Well_Data_NK_Upcoming!AG136,Rig_Schedule_View!$B$11:$B$262,0))=0,P140,(INDEX(Rig_Schedule_View!$J$11:$J$262,MATCH(Well_Data_NK_Upcoming!AG136,Rig_Schedule_View!$B$11:$B$262,0))))))</f>
        <v>42681</v>
      </c>
      <c r="BQ140" s="527"/>
      <c r="BR140" s="525"/>
      <c r="BS140" s="525"/>
      <c r="BT140" s="525"/>
      <c r="BU140" s="525"/>
      <c r="BV140" s="525"/>
      <c r="BW140" s="525"/>
      <c r="BX140" s="525"/>
      <c r="BY140" s="525"/>
      <c r="BZ140" s="525"/>
    </row>
    <row r="141" spans="1:78" x14ac:dyDescent="0.25">
      <c r="A141" s="540" t="s">
        <v>1784</v>
      </c>
      <c r="B141" s="540" t="s">
        <v>11</v>
      </c>
      <c r="C141" s="540"/>
      <c r="D141" s="529" t="s">
        <v>2350</v>
      </c>
      <c r="E141" s="540"/>
      <c r="F141" s="528" t="str">
        <f t="shared" si="28"/>
        <v>SA</v>
      </c>
      <c r="G141" s="540" t="s">
        <v>17</v>
      </c>
      <c r="H141" s="536" t="s">
        <v>1415</v>
      </c>
      <c r="I141" s="540"/>
      <c r="J141" s="540" t="s">
        <v>298</v>
      </c>
      <c r="K141" s="540" t="s">
        <v>14</v>
      </c>
      <c r="L141" s="540" t="s">
        <v>1410</v>
      </c>
      <c r="M141" s="539"/>
      <c r="N141" s="540"/>
      <c r="O141" s="532"/>
      <c r="P141" s="540"/>
      <c r="Q141" s="540"/>
      <c r="R141" s="537">
        <f>IF(ISERROR(VLOOKUP(G141,'Planning and Target Times'!$L$1:$AP$6,MATCH(K141&amp;"_"&amp;L141&amp;"_"&amp;J141,INDEX('Planning and Target Times'!$L$1:$AP$6,1,0),0),0)+5),"",(VLOOKUP(G141,'Planning and Target Times'!$L$1:$AP$6,MATCH(K141&amp;"_"&amp;L141&amp;"_"&amp;J141,INDEX('Planning and Target Times'!$L$1:$AP$6,1,0),0),0)+5))</f>
        <v>75</v>
      </c>
      <c r="S141" s="528">
        <f t="shared" si="29"/>
        <v>70</v>
      </c>
      <c r="T141" s="538">
        <f>VLOOKUP(G141,'Planning and Target Times'!$A$7:$G$12,MATCH(K141&amp;"-"&amp;L141&amp;"-"&amp;J141,INDEX('Planning and Target Times'!$A$7:$G$12,1,0),0),0)</f>
        <v>35</v>
      </c>
      <c r="U141" s="540"/>
      <c r="V141" s="540"/>
      <c r="W141" s="540"/>
      <c r="X141" s="535" t="str">
        <f t="shared" si="27"/>
        <v>MA</v>
      </c>
      <c r="Y141" s="540"/>
      <c r="Z141" s="540"/>
      <c r="AA141" s="540"/>
      <c r="AB141" s="540"/>
      <c r="AC141" s="540"/>
      <c r="AD141" s="540"/>
      <c r="AE141" s="540" t="s">
        <v>91</v>
      </c>
      <c r="AF141" s="528"/>
      <c r="AG141" s="540" t="str">
        <f t="shared" si="30"/>
        <v>SA44-SA-MA-Prod-NW-HZ</v>
      </c>
      <c r="AH141" s="540" t="str">
        <f t="shared" si="31"/>
        <v>SA44-SP-288</v>
      </c>
      <c r="AI141" s="540" t="str">
        <f t="shared" si="32"/>
        <v>SA44-MA-NW-Prod</v>
      </c>
      <c r="AJ141" s="540">
        <f ca="1">IF(P141&gt;0,"RR",IF(O141&gt;0,0,COUNTIF($H$2:H141,H141)-IFERROR(COUNTIF(OFFSET($H$1,0,0,SUMPRODUCT(MAX(($H$2:H141=H141)*ROW($H$2:H141)*($O$2:O141&lt;&gt;""))),1),H141),0)))</f>
        <v>5</v>
      </c>
      <c r="AK141" s="527">
        <f>IF(ISERROR(VLOOKUP(G141,'Planning and Target Times'!$B$106:$D$110,MATCH(F141,INDEX('Planning and Target Times'!$B$106:$D$110,1,0),0),0)),"",(VLOOKUP(G141,'Planning and Target Times'!$B$106:$D$110,MATCH(F141,INDEX('Planning and Target Times'!$B$106:$D$110,1,0),0),0)))</f>
        <v>740</v>
      </c>
      <c r="AL141" s="528" t="str">
        <f>VLOOKUP(G141,'Planning and Target Times'!$I$2:$J$7,2,0)</f>
        <v>Carbonate</v>
      </c>
      <c r="AM141" s="540"/>
      <c r="AN141" s="540"/>
      <c r="AO141" s="540"/>
      <c r="AP141" s="533">
        <f t="shared" si="33"/>
        <v>9.8666666666666671</v>
      </c>
      <c r="AQ141" s="540"/>
      <c r="AR141" s="540"/>
      <c r="AS141" s="540"/>
      <c r="AT141" s="540"/>
      <c r="AU141" s="540"/>
      <c r="AV141" s="540"/>
      <c r="AW141" s="540"/>
      <c r="AX141" s="540"/>
      <c r="AY141" s="540"/>
      <c r="AZ141" s="540"/>
      <c r="BA141" s="540"/>
      <c r="BB141" s="540"/>
      <c r="BC141" s="540"/>
      <c r="BD141" s="540"/>
      <c r="BE141" s="540"/>
      <c r="BF141" s="540"/>
      <c r="BG141" s="540"/>
      <c r="BH141" s="540"/>
      <c r="BI141" s="540"/>
      <c r="BJ141" s="540"/>
      <c r="BK141" s="540"/>
      <c r="BL141" s="540"/>
      <c r="BM141" s="540"/>
      <c r="BN141" s="540"/>
      <c r="BO141" s="526">
        <f ca="1">IF(ISERROR(IF(INDEX(Rig_Schedule_View!$I$11:$I$262,MATCH(Well_Data_NK_Upcoming!AG154,Rig_Schedule_View!$B$11:$B$262,0))=0,O141,(INDEX(Rig_Schedule_View!$I$11:$I$262,MATCH(Well_Data_NK_Upcoming!AG154,Rig_Schedule_View!$B$11:$B$262,0))))),O141,(IF(INDEX(Rig_Schedule_View!$I$11:$I$262,MATCH(Well_Data_NK_Upcoming!AG154,Rig_Schedule_View!$B$11:$B$262,0))=0,O141,(INDEX(Rig_Schedule_View!$I$11:$I$262,MATCH(Well_Data_NK_Upcoming!AG154,Rig_Schedule_View!$B$11:$B$262,0))))))</f>
        <v>42701</v>
      </c>
      <c r="BP141" s="526">
        <f ca="1">IF(ISERROR(IF(INDEX(Rig_Schedule_View!$J$11:$J$262,MATCH(Well_Data_NK_Upcoming!AG154,Rig_Schedule_View!$B$11:$B$262,0))=0,P141,(INDEX(Rig_Schedule_View!$J$11:$J$262,MATCH(Well_Data_NK_Upcoming!AG154,Rig_Schedule_View!$B$11:$B$262,0))))),P141,(IF(INDEX(Rig_Schedule_View!$J$11:$J$262,MATCH(Well_Data_NK_Upcoming!AG154,Rig_Schedule_View!$B$11:$B$262,0))=0,P141,(INDEX(Rig_Schedule_View!$J$11:$J$262,MATCH(Well_Data_NK_Upcoming!AG154,Rig_Schedule_View!$B$11:$B$262,0))))))</f>
        <v>42771</v>
      </c>
      <c r="BQ141" s="527"/>
      <c r="BR141" s="525"/>
      <c r="BS141" s="525"/>
      <c r="BT141" s="525"/>
      <c r="BU141" s="525"/>
      <c r="BV141" s="525"/>
      <c r="BW141" s="525"/>
      <c r="BX141" s="525"/>
      <c r="BY141" s="525"/>
      <c r="BZ141" s="525"/>
    </row>
    <row r="142" spans="1:78" x14ac:dyDescent="0.25">
      <c r="A142" s="540" t="s">
        <v>1730</v>
      </c>
      <c r="B142" s="540" t="s">
        <v>42</v>
      </c>
      <c r="C142" s="540"/>
      <c r="D142" s="529" t="s">
        <v>2351</v>
      </c>
      <c r="E142" s="540"/>
      <c r="F142" s="528" t="str">
        <f t="shared" si="28"/>
        <v>RA</v>
      </c>
      <c r="G142" s="540" t="s">
        <v>17</v>
      </c>
      <c r="H142" s="536" t="s">
        <v>734</v>
      </c>
      <c r="I142" s="540" t="s">
        <v>24</v>
      </c>
      <c r="J142" s="540" t="s">
        <v>34</v>
      </c>
      <c r="K142" s="540" t="s">
        <v>14</v>
      </c>
      <c r="L142" s="540" t="s">
        <v>1410</v>
      </c>
      <c r="M142" s="539"/>
      <c r="N142" s="540"/>
      <c r="O142" s="532"/>
      <c r="P142" s="540"/>
      <c r="Q142" s="540"/>
      <c r="R142" s="537">
        <f>IF(ISERROR(VLOOKUP(G142,'Planning and Target Times'!$L$1:$AP$6,MATCH(K142&amp;"_"&amp;L142&amp;"_"&amp;J142,INDEX('Planning and Target Times'!$L$1:$AP$6,1,0),0),0)+5),"",(VLOOKUP(G142,'Planning and Target Times'!$L$1:$AP$6,MATCH(K142&amp;"_"&amp;L142&amp;"_"&amp;J142,INDEX('Planning and Target Times'!$L$1:$AP$6,1,0),0),0)+5))</f>
        <v>68</v>
      </c>
      <c r="S142" s="528">
        <f t="shared" si="29"/>
        <v>63</v>
      </c>
      <c r="T142" s="538">
        <f>VLOOKUP(G142,'Planning and Target Times'!$A$7:$G$12,MATCH(K142&amp;"-"&amp;L142&amp;"-"&amp;J142,INDEX('Planning and Target Times'!$A$7:$G$12,1,0),0),0)</f>
        <v>35</v>
      </c>
      <c r="U142" s="540"/>
      <c r="V142" s="540"/>
      <c r="W142" s="540"/>
      <c r="X142" s="535" t="str">
        <f t="shared" si="27"/>
        <v>MA</v>
      </c>
      <c r="Y142" s="540"/>
      <c r="Z142" s="540"/>
      <c r="AA142" s="540"/>
      <c r="AB142" s="540"/>
      <c r="AC142" s="540"/>
      <c r="AD142" s="540"/>
      <c r="AE142" s="540" t="s">
        <v>91</v>
      </c>
      <c r="AF142" s="528"/>
      <c r="AG142" s="540" t="str">
        <f t="shared" si="30"/>
        <v>RA16-RA-MA-Inj-NW-HZ-SLB</v>
      </c>
      <c r="AH142" s="540" t="str">
        <f t="shared" si="31"/>
        <v>RA16-SP-294</v>
      </c>
      <c r="AI142" s="540" t="str">
        <f t="shared" si="32"/>
        <v>RA16-MA-NW-Inj</v>
      </c>
      <c r="AJ142" s="540">
        <f ca="1">IF(P142&gt;0,"RR",IF(O142&gt;0,0,COUNTIF($H$2:H142,H142)-IFERROR(COUNTIF(OFFSET($H$1,0,0,SUMPRODUCT(MAX(($H$2:H142=H142)*ROW($H$2:H142)*($O$2:O142&lt;&gt;""))),1),H142),0)))</f>
        <v>5</v>
      </c>
      <c r="AK142" s="527"/>
      <c r="AL142" s="528" t="str">
        <f>VLOOKUP(G142,'Planning and Target Times'!$I$2:$J$7,2,0)</f>
        <v>Carbonate</v>
      </c>
      <c r="AM142" s="540"/>
      <c r="AN142" s="540"/>
      <c r="AO142" s="540"/>
      <c r="AP142" s="533">
        <f t="shared" si="33"/>
        <v>0</v>
      </c>
      <c r="AQ142" s="540"/>
      <c r="AR142" s="540"/>
      <c r="AS142" s="540"/>
      <c r="AT142" s="540"/>
      <c r="AU142" s="540"/>
      <c r="AV142" s="540"/>
      <c r="AW142" s="540"/>
      <c r="AX142" s="540"/>
      <c r="AY142" s="540"/>
      <c r="AZ142" s="540"/>
      <c r="BA142" s="540"/>
      <c r="BB142" s="540"/>
      <c r="BC142" s="540"/>
      <c r="BD142" s="540"/>
      <c r="BE142" s="540"/>
      <c r="BF142" s="540"/>
      <c r="BG142" s="540"/>
      <c r="BH142" s="540"/>
      <c r="BI142" s="540"/>
      <c r="BJ142" s="540"/>
      <c r="BK142" s="540"/>
      <c r="BL142" s="540"/>
      <c r="BM142" s="540"/>
      <c r="BN142" s="540"/>
      <c r="BO142" s="526">
        <f ca="1">IF(ISERROR(IF(INDEX(Rig_Schedule_View!$I$11:$I$262,MATCH(Well_Data_NK_Upcoming!AG138,Rig_Schedule_View!$B$11:$B$262,0))=0,O142,(INDEX(Rig_Schedule_View!$I$11:$I$262,MATCH(Well_Data_NK_Upcoming!AG138,Rig_Schedule_View!$B$11:$B$262,0))))),O142,(IF(INDEX(Rig_Schedule_View!$I$11:$I$262,MATCH(Well_Data_NK_Upcoming!AG138,Rig_Schedule_View!$B$11:$B$262,0))=0,O142,(INDEX(Rig_Schedule_View!$I$11:$I$262,MATCH(Well_Data_NK_Upcoming!AG138,Rig_Schedule_View!$B$11:$B$262,0))))))</f>
        <v>42548</v>
      </c>
      <c r="BP142" s="526">
        <f ca="1">IF(ISERROR(IF(INDEX(Rig_Schedule_View!$J$11:$J$262,MATCH(Well_Data_NK_Upcoming!AG138,Rig_Schedule_View!$B$11:$B$262,0))=0,P142,(INDEX(Rig_Schedule_View!$J$11:$J$262,MATCH(Well_Data_NK_Upcoming!AG138,Rig_Schedule_View!$B$11:$B$262,0))))),P142,(IF(INDEX(Rig_Schedule_View!$J$11:$J$262,MATCH(Well_Data_NK_Upcoming!AG138,Rig_Schedule_View!$B$11:$B$262,0))=0,P142,(INDEX(Rig_Schedule_View!$J$11:$J$262,MATCH(Well_Data_NK_Upcoming!AG138,Rig_Schedule_View!$B$11:$B$262,0))))))</f>
        <v>42618</v>
      </c>
      <c r="BQ142" s="527"/>
      <c r="BR142" s="525"/>
      <c r="BS142" s="525"/>
      <c r="BT142" s="525"/>
      <c r="BU142" s="525"/>
      <c r="BV142" s="525"/>
      <c r="BW142" s="525"/>
      <c r="BX142" s="525"/>
      <c r="BY142" s="525"/>
      <c r="BZ142" s="525"/>
    </row>
    <row r="143" spans="1:78" x14ac:dyDescent="0.25">
      <c r="A143" s="540" t="s">
        <v>1738</v>
      </c>
      <c r="B143" s="540" t="s">
        <v>42</v>
      </c>
      <c r="C143" s="540"/>
      <c r="D143" s="529" t="s">
        <v>2352</v>
      </c>
      <c r="E143" s="540"/>
      <c r="F143" s="528" t="str">
        <f t="shared" si="28"/>
        <v>RA</v>
      </c>
      <c r="G143" s="540" t="s">
        <v>17</v>
      </c>
      <c r="H143" s="536" t="s">
        <v>735</v>
      </c>
      <c r="I143" s="540" t="s">
        <v>24</v>
      </c>
      <c r="J143" s="540" t="s">
        <v>34</v>
      </c>
      <c r="K143" s="540" t="s">
        <v>14</v>
      </c>
      <c r="L143" s="540" t="s">
        <v>1410</v>
      </c>
      <c r="M143" s="539"/>
      <c r="N143" s="540"/>
      <c r="O143" s="532"/>
      <c r="P143" s="540"/>
      <c r="Q143" s="540"/>
      <c r="R143" s="537">
        <f>IF(ISERROR(VLOOKUP(G143,'Planning and Target Times'!$L$1:$AP$6,MATCH(K143&amp;"_"&amp;L143&amp;"_"&amp;J143,INDEX('Planning and Target Times'!$L$1:$AP$6,1,0),0),0)+5),"",(VLOOKUP(G143,'Planning and Target Times'!$L$1:$AP$6,MATCH(K143&amp;"_"&amp;L143&amp;"_"&amp;J143,INDEX('Planning and Target Times'!$L$1:$AP$6,1,0),0),0)+5))</f>
        <v>68</v>
      </c>
      <c r="S143" s="528">
        <f t="shared" si="29"/>
        <v>63</v>
      </c>
      <c r="T143" s="538">
        <f>VLOOKUP(G143,'Planning and Target Times'!$A$7:$G$12,MATCH(K143&amp;"-"&amp;L143&amp;"-"&amp;J143,INDEX('Planning and Target Times'!$A$7:$G$12,1,0),0),0)</f>
        <v>35</v>
      </c>
      <c r="U143" s="540"/>
      <c r="V143" s="540"/>
      <c r="W143" s="540"/>
      <c r="X143" s="535" t="str">
        <f t="shared" si="27"/>
        <v>MA</v>
      </c>
      <c r="Y143" s="540"/>
      <c r="Z143" s="540"/>
      <c r="AA143" s="540"/>
      <c r="AB143" s="540"/>
      <c r="AC143" s="540"/>
      <c r="AD143" s="540"/>
      <c r="AE143" s="540" t="s">
        <v>91</v>
      </c>
      <c r="AF143" s="528"/>
      <c r="AG143" s="540" t="str">
        <f t="shared" si="30"/>
        <v>RA24-RA-MA-Inj-NW-HZ-SLB</v>
      </c>
      <c r="AH143" s="540" t="str">
        <f t="shared" si="31"/>
        <v>RA24-SP-295</v>
      </c>
      <c r="AI143" s="540" t="str">
        <f t="shared" si="32"/>
        <v>RA24-MA-NW-Inj</v>
      </c>
      <c r="AJ143" s="540">
        <f ca="1">IF(P143&gt;0,"RR",IF(O143&gt;0,0,COUNTIF($H$2:H143,H143)-IFERROR(COUNTIF(OFFSET($H$1,0,0,SUMPRODUCT(MAX(($H$2:H143=H143)*ROW($H$2:H143)*($O$2:O143&lt;&gt;""))),1),H143),0)))</f>
        <v>5</v>
      </c>
      <c r="AK143" s="527"/>
      <c r="AL143" s="528" t="str">
        <f>VLOOKUP(G143,'Planning and Target Times'!$I$2:$J$7,2,0)</f>
        <v>Carbonate</v>
      </c>
      <c r="AM143" s="540"/>
      <c r="AN143" s="540"/>
      <c r="AO143" s="540"/>
      <c r="AP143" s="533">
        <f t="shared" si="33"/>
        <v>0</v>
      </c>
      <c r="AQ143" s="540"/>
      <c r="AR143" s="540"/>
      <c r="AS143" s="540"/>
      <c r="AT143" s="540"/>
      <c r="AU143" s="540"/>
      <c r="AV143" s="540"/>
      <c r="AW143" s="540"/>
      <c r="AX143" s="540"/>
      <c r="AY143" s="540"/>
      <c r="AZ143" s="540"/>
      <c r="BA143" s="540"/>
      <c r="BB143" s="540"/>
      <c r="BC143" s="540"/>
      <c r="BD143" s="540"/>
      <c r="BE143" s="540"/>
      <c r="BF143" s="540"/>
      <c r="BG143" s="540"/>
      <c r="BH143" s="540"/>
      <c r="BI143" s="540"/>
      <c r="BJ143" s="540"/>
      <c r="BK143" s="540"/>
      <c r="BL143" s="540"/>
      <c r="BM143" s="540"/>
      <c r="BN143" s="540"/>
      <c r="BO143" s="526">
        <f ca="1">IF(ISERROR(IF(INDEX(Rig_Schedule_View!$I$11:$I$262,MATCH(Well_Data_NK_Upcoming!AG139,Rig_Schedule_View!$B$11:$B$262,0))=0,O143,(INDEX(Rig_Schedule_View!$I$11:$I$262,MATCH(Well_Data_NK_Upcoming!AG139,Rig_Schedule_View!$B$11:$B$262,0))))),O143,(IF(INDEX(Rig_Schedule_View!$I$11:$I$262,MATCH(Well_Data_NK_Upcoming!AG139,Rig_Schedule_View!$B$11:$B$262,0))=0,O143,(INDEX(Rig_Schedule_View!$I$11:$I$262,MATCH(Well_Data_NK_Upcoming!AG139,Rig_Schedule_View!$B$11:$B$262,0))))))</f>
        <v>42552</v>
      </c>
      <c r="BP143" s="526">
        <f ca="1">IF(ISERROR(IF(INDEX(Rig_Schedule_View!$J$11:$J$262,MATCH(Well_Data_NK_Upcoming!AG139,Rig_Schedule_View!$B$11:$B$262,0))=0,P143,(INDEX(Rig_Schedule_View!$J$11:$J$262,MATCH(Well_Data_NK_Upcoming!AG139,Rig_Schedule_View!$B$11:$B$262,0))))),P143,(IF(INDEX(Rig_Schedule_View!$J$11:$J$262,MATCH(Well_Data_NK_Upcoming!AG139,Rig_Schedule_View!$B$11:$B$262,0))=0,P143,(INDEX(Rig_Schedule_View!$J$11:$J$262,MATCH(Well_Data_NK_Upcoming!AG139,Rig_Schedule_View!$B$11:$B$262,0))))))</f>
        <v>42601</v>
      </c>
      <c r="BQ143" s="527"/>
      <c r="BR143" s="525"/>
      <c r="BS143" s="525"/>
      <c r="BT143" s="525"/>
      <c r="BU143" s="525"/>
      <c r="BV143" s="525"/>
      <c r="BW143" s="525"/>
      <c r="BX143" s="525"/>
      <c r="BY143" s="525"/>
      <c r="BZ143" s="525"/>
    </row>
    <row r="144" spans="1:78" x14ac:dyDescent="0.25">
      <c r="A144" s="540" t="s">
        <v>1778</v>
      </c>
      <c r="B144" s="540" t="s">
        <v>11</v>
      </c>
      <c r="C144" s="540"/>
      <c r="D144" s="529" t="s">
        <v>2353</v>
      </c>
      <c r="E144" s="540"/>
      <c r="F144" s="528" t="str">
        <f t="shared" si="28"/>
        <v>SA</v>
      </c>
      <c r="G144" s="540" t="s">
        <v>17</v>
      </c>
      <c r="H144" s="536" t="s">
        <v>1171</v>
      </c>
      <c r="I144" s="540"/>
      <c r="J144" s="540" t="s">
        <v>298</v>
      </c>
      <c r="K144" s="540" t="s">
        <v>14</v>
      </c>
      <c r="L144" s="540" t="s">
        <v>1410</v>
      </c>
      <c r="M144" s="539"/>
      <c r="N144" s="540"/>
      <c r="O144" s="532"/>
      <c r="P144" s="540"/>
      <c r="Q144" s="540"/>
      <c r="R144" s="537">
        <f>IF(ISERROR(VLOOKUP(G144,'Planning and Target Times'!$L$1:$AP$6,MATCH(K144&amp;"_"&amp;L144&amp;"_"&amp;J144,INDEX('Planning and Target Times'!$L$1:$AP$6,1,0),0),0)+5),"",(VLOOKUP(G144,'Planning and Target Times'!$L$1:$AP$6,MATCH(K144&amp;"_"&amp;L144&amp;"_"&amp;J144,INDEX('Planning and Target Times'!$L$1:$AP$6,1,0),0),0)+5))</f>
        <v>75</v>
      </c>
      <c r="S144" s="528">
        <f t="shared" si="29"/>
        <v>70</v>
      </c>
      <c r="T144" s="538">
        <f>VLOOKUP(G144,'Planning and Target Times'!$A$7:$G$12,MATCH(K144&amp;"-"&amp;L144&amp;"-"&amp;J144,INDEX('Planning and Target Times'!$A$7:$G$12,1,0),0),0)</f>
        <v>35</v>
      </c>
      <c r="U144" s="540"/>
      <c r="V144" s="540"/>
      <c r="W144" s="540"/>
      <c r="X144" s="535" t="str">
        <f t="shared" si="27"/>
        <v>MA</v>
      </c>
      <c r="Y144" s="540"/>
      <c r="Z144" s="540"/>
      <c r="AA144" s="540"/>
      <c r="AB144" s="540"/>
      <c r="AC144" s="540"/>
      <c r="AD144" s="540"/>
      <c r="AE144" s="540" t="s">
        <v>91</v>
      </c>
      <c r="AF144" s="528"/>
      <c r="AG144" s="540" t="str">
        <f t="shared" si="30"/>
        <v>SA28-SA-MA-Prod-NW-HZ</v>
      </c>
      <c r="AH144" s="540" t="str">
        <f t="shared" si="31"/>
        <v>SA28-KDC-25</v>
      </c>
      <c r="AI144" s="540" t="str">
        <f t="shared" si="32"/>
        <v>SA28-MA-NW-Prod</v>
      </c>
      <c r="AJ144" s="540">
        <f ca="1">IF(P144&gt;0,"RR",IF(O144&gt;0,0,COUNTIF($H$2:H144,H144)-IFERROR(COUNTIF(OFFSET($H$1,0,0,SUMPRODUCT(MAX(($H$2:H144=H144)*ROW($H$2:H144)*($O$2:O144&lt;&gt;""))),1),H144),0)))</f>
        <v>6</v>
      </c>
      <c r="AK144" s="527">
        <f>IF(ISERROR(VLOOKUP(G144,'Planning and Target Times'!$B$106:$D$110,MATCH(F144,INDEX('Planning and Target Times'!$B$106:$D$110,1,0),0),0)),"",(VLOOKUP(G144,'Planning and Target Times'!$B$106:$D$110,MATCH(F144,INDEX('Planning and Target Times'!$B$106:$D$110,1,0),0),0)))</f>
        <v>740</v>
      </c>
      <c r="AL144" s="528" t="str">
        <f>VLOOKUP(G144,'Planning and Target Times'!$I$2:$J$7,2,0)</f>
        <v>Carbonate</v>
      </c>
      <c r="AM144" s="540"/>
      <c r="AN144" s="540"/>
      <c r="AO144" s="540"/>
      <c r="AP144" s="533">
        <f t="shared" si="33"/>
        <v>9.8666666666666671</v>
      </c>
      <c r="AQ144" s="540"/>
      <c r="AR144" s="540"/>
      <c r="AS144" s="540"/>
      <c r="AT144" s="540"/>
      <c r="AU144" s="540"/>
      <c r="AV144" s="540"/>
      <c r="AW144" s="540"/>
      <c r="AX144" s="540"/>
      <c r="AY144" s="540"/>
      <c r="AZ144" s="540"/>
      <c r="BA144" s="540"/>
      <c r="BB144" s="540"/>
      <c r="BC144" s="540"/>
      <c r="BD144" s="540"/>
      <c r="BE144" s="540"/>
      <c r="BF144" s="540"/>
      <c r="BG144" s="540"/>
      <c r="BH144" s="540"/>
      <c r="BI144" s="540"/>
      <c r="BJ144" s="540"/>
      <c r="BK144" s="540"/>
      <c r="BL144" s="540"/>
      <c r="BM144" s="540"/>
      <c r="BN144" s="540"/>
      <c r="BO144" s="526">
        <f ca="1">IF(ISERROR(IF(INDEX(Rig_Schedule_View!$I$11:$I$262,MATCH(Well_Data_NK_Upcoming!AG140,Rig_Schedule_View!$B$11:$B$262,0))=0,O144,(INDEX(Rig_Schedule_View!$I$11:$I$262,MATCH(Well_Data_NK_Upcoming!AG140,Rig_Schedule_View!$B$11:$B$262,0))))),O144,(IF(INDEX(Rig_Schedule_View!$I$11:$I$262,MATCH(Well_Data_NK_Upcoming!AG140,Rig_Schedule_View!$B$11:$B$262,0))=0,O144,(INDEX(Rig_Schedule_View!$I$11:$I$262,MATCH(Well_Data_NK_Upcoming!AG140,Rig_Schedule_View!$B$11:$B$262,0))))))</f>
        <v>42491</v>
      </c>
      <c r="BP144" s="526">
        <f ca="1">IF(ISERROR(IF(INDEX(Rig_Schedule_View!$J$11:$J$262,MATCH(Well_Data_NK_Upcoming!AG140,Rig_Schedule_View!$B$11:$B$262,0))=0,P144,(INDEX(Rig_Schedule_View!$J$11:$J$262,MATCH(Well_Data_NK_Upcoming!AG140,Rig_Schedule_View!$B$11:$B$262,0))))),P144,(IF(INDEX(Rig_Schedule_View!$J$11:$J$262,MATCH(Well_Data_NK_Upcoming!AG140,Rig_Schedule_View!$B$11:$B$262,0))=0,P144,(INDEX(Rig_Schedule_View!$J$11:$J$262,MATCH(Well_Data_NK_Upcoming!AG140,Rig_Schedule_View!$B$11:$B$262,0))))))</f>
        <v>42561</v>
      </c>
      <c r="BQ144" s="527"/>
      <c r="BR144" s="525"/>
      <c r="BS144" s="525"/>
      <c r="BT144" s="525"/>
      <c r="BU144" s="525"/>
      <c r="BV144" s="525"/>
      <c r="BW144" s="525"/>
      <c r="BX144" s="525"/>
      <c r="BY144" s="525"/>
      <c r="BZ144" s="525"/>
    </row>
    <row r="145" spans="1:78" x14ac:dyDescent="0.25">
      <c r="A145" s="540" t="s">
        <v>1786</v>
      </c>
      <c r="B145" s="540" t="s">
        <v>11</v>
      </c>
      <c r="C145" s="540"/>
      <c r="D145" s="529" t="s">
        <v>2384</v>
      </c>
      <c r="E145" s="540"/>
      <c r="F145" s="528" t="str">
        <f t="shared" si="28"/>
        <v>SA</v>
      </c>
      <c r="G145" s="540" t="s">
        <v>22</v>
      </c>
      <c r="H145" s="400" t="s">
        <v>35</v>
      </c>
      <c r="I145" s="540"/>
      <c r="J145" s="540" t="s">
        <v>298</v>
      </c>
      <c r="K145" s="540" t="s">
        <v>14</v>
      </c>
      <c r="L145" s="540" t="s">
        <v>1416</v>
      </c>
      <c r="M145" s="539"/>
      <c r="N145" s="540"/>
      <c r="O145" s="532"/>
      <c r="P145" s="540"/>
      <c r="Q145" s="540"/>
      <c r="R145" s="537">
        <f>IF(ISERROR(VLOOKUP(G145,'Planning and Target Times'!$L$1:$AP$6,MATCH(K145&amp;"_"&amp;L145&amp;"_"&amp;J145,INDEX('Planning and Target Times'!$L$1:$AP$6,1,0),0),0)+5),"",(VLOOKUP(G145,'Planning and Target Times'!$L$1:$AP$6,MATCH(K145&amp;"_"&amp;L145&amp;"_"&amp;J145,INDEX('Planning and Target Times'!$L$1:$AP$6,1,0),0),0)+5))</f>
        <v>75</v>
      </c>
      <c r="S145" s="528">
        <f t="shared" si="29"/>
        <v>70</v>
      </c>
      <c r="T145" s="538">
        <f>VLOOKUP(G145,'Planning and Target Times'!$A$7:$G$12,MATCH(K145&amp;"-"&amp;L145&amp;"-"&amp;J145,INDEX('Planning and Target Times'!$A$7:$G$12,1,0),0),0)</f>
        <v>33</v>
      </c>
      <c r="U145" s="540"/>
      <c r="V145" s="540"/>
      <c r="W145" s="540"/>
      <c r="X145" s="535" t="str">
        <f t="shared" si="27"/>
        <v>LB</v>
      </c>
      <c r="Y145" s="540"/>
      <c r="Z145" s="540"/>
      <c r="AA145" s="540"/>
      <c r="AB145" s="540"/>
      <c r="AC145" s="540"/>
      <c r="AD145" s="540"/>
      <c r="AE145" s="540" t="s">
        <v>91</v>
      </c>
      <c r="AF145" s="528"/>
      <c r="AG145" s="540" t="str">
        <f t="shared" si="30"/>
        <v>SA46-SA-LB-Prod-NW-SL</v>
      </c>
      <c r="AH145" s="540" t="str">
        <f t="shared" si="31"/>
        <v>SA46-KDC-26</v>
      </c>
      <c r="AI145" s="540" t="str">
        <f t="shared" si="32"/>
        <v>SA46-LB-NW-Prod</v>
      </c>
      <c r="AJ145" s="540">
        <f ca="1">IF(P145&gt;0,"RR",IF(O145&gt;0,0,COUNTIF($H$2:H145,H145)-IFERROR(COUNTIF(OFFSET($H$1,0,0,SUMPRODUCT(MAX(($H$2:H145=H145)*ROW($H$2:H145)*($O$2:O145&lt;&gt;""))),1),H145),0)))</f>
        <v>6</v>
      </c>
      <c r="AK145" s="527">
        <f>IF(ISERROR(VLOOKUP(G145,'Planning and Target Times'!$B$106:$D$110,MATCH(F145,INDEX('Planning and Target Times'!$B$106:$D$110,1,0),0),0)),"",(VLOOKUP(G145,'Planning and Target Times'!$B$106:$D$110,MATCH(F145,INDEX('Planning and Target Times'!$B$106:$D$110,1,0),0),0)))</f>
        <v>550</v>
      </c>
      <c r="AL145" s="528" t="str">
        <f>VLOOKUP(G145,'Planning and Target Times'!$I$2:$J$7,2,0)</f>
        <v>Sandstone</v>
      </c>
      <c r="AM145" s="540"/>
      <c r="AN145" s="540"/>
      <c r="AO145" s="540"/>
      <c r="AP145" s="533">
        <f t="shared" si="33"/>
        <v>7.333333333333333</v>
      </c>
      <c r="AQ145" s="540"/>
      <c r="AR145" s="540"/>
      <c r="AS145" s="540"/>
      <c r="AT145" s="540"/>
      <c r="AU145" s="540"/>
      <c r="AV145" s="540"/>
      <c r="AW145" s="540"/>
      <c r="AX145" s="540"/>
      <c r="AY145" s="540"/>
      <c r="AZ145" s="540"/>
      <c r="BA145" s="540"/>
      <c r="BB145" s="540"/>
      <c r="BC145" s="540"/>
      <c r="BD145" s="540"/>
      <c r="BE145" s="540"/>
      <c r="BF145" s="540"/>
      <c r="BG145" s="540"/>
      <c r="BH145" s="540"/>
      <c r="BI145" s="540"/>
      <c r="BJ145" s="540"/>
      <c r="BK145" s="540"/>
      <c r="BL145" s="540"/>
      <c r="BM145" s="540"/>
      <c r="BN145" s="540"/>
      <c r="BO145" s="526">
        <f ca="1">IF(ISERROR(IF(INDEX(Rig_Schedule_View!$I$11:$I$262,MATCH(Well_Data_NK_Upcoming!AG170,Rig_Schedule_View!$B$11:$B$262,0))=0,O145,(INDEX(Rig_Schedule_View!$I$11:$I$262,MATCH(Well_Data_NK_Upcoming!AG170,Rig_Schedule_View!$B$11:$B$262,0))))),O145,(IF(INDEX(Rig_Schedule_View!$I$11:$I$262,MATCH(Well_Data_NK_Upcoming!AG170,Rig_Schedule_View!$B$11:$B$262,0))=0,O145,(INDEX(Rig_Schedule_View!$I$11:$I$262,MATCH(Well_Data_NK_Upcoming!AG170,Rig_Schedule_View!$B$11:$B$262,0))))))</f>
        <v>42641</v>
      </c>
      <c r="BP145" s="526">
        <f ca="1">IF(ISERROR(IF(INDEX(Rig_Schedule_View!$J$11:$J$262,MATCH(Well_Data_NK_Upcoming!AG170,Rig_Schedule_View!$B$11:$B$262,0))=0,P145,(INDEX(Rig_Schedule_View!$J$11:$J$262,MATCH(Well_Data_NK_Upcoming!AG170,Rig_Schedule_View!$B$11:$B$262,0))))),P145,(IF(INDEX(Rig_Schedule_View!$J$11:$J$262,MATCH(Well_Data_NK_Upcoming!AG170,Rig_Schedule_View!$B$11:$B$262,0))=0,P145,(INDEX(Rig_Schedule_View!$J$11:$J$262,MATCH(Well_Data_NK_Upcoming!AG170,Rig_Schedule_View!$B$11:$B$262,0))))))</f>
        <v>42711</v>
      </c>
      <c r="BQ145" s="527"/>
      <c r="BR145" s="525"/>
      <c r="BS145" s="525"/>
      <c r="BT145" s="525"/>
      <c r="BU145" s="525"/>
      <c r="BV145" s="525"/>
      <c r="BW145" s="525"/>
      <c r="BX145" s="525"/>
      <c r="BY145" s="525"/>
      <c r="BZ145" s="525"/>
    </row>
    <row r="146" spans="1:78" x14ac:dyDescent="0.25">
      <c r="A146" s="540" t="s">
        <v>1779</v>
      </c>
      <c r="B146" s="540" t="s">
        <v>11</v>
      </c>
      <c r="C146" s="540"/>
      <c r="D146" s="529" t="s">
        <v>2355</v>
      </c>
      <c r="E146" s="540"/>
      <c r="F146" s="528" t="str">
        <f t="shared" si="28"/>
        <v>SA</v>
      </c>
      <c r="G146" s="540" t="s">
        <v>744</v>
      </c>
      <c r="H146" s="400" t="s">
        <v>19</v>
      </c>
      <c r="I146" s="540"/>
      <c r="J146" s="540" t="s">
        <v>34</v>
      </c>
      <c r="K146" s="540" t="s">
        <v>14</v>
      </c>
      <c r="L146" s="540" t="s">
        <v>1410</v>
      </c>
      <c r="M146" s="539"/>
      <c r="N146" s="540"/>
      <c r="O146" s="532"/>
      <c r="P146" s="540"/>
      <c r="Q146" s="540"/>
      <c r="R146" s="537" t="str">
        <f>IF(ISERROR(VLOOKUP(G146,'Planning and Target Times'!$L$1:$AP$6,MATCH(K146&amp;"_"&amp;L146&amp;"_"&amp;J146,INDEX('Planning and Target Times'!$L$1:$AP$6,1,0),0),0)+5),"",(VLOOKUP(G146,'Planning and Target Times'!$L$1:$AP$6,MATCH(K146&amp;"_"&amp;L146&amp;"_"&amp;J146,INDEX('Planning and Target Times'!$L$1:$AP$6,1,0),0),0)+5))</f>
        <v/>
      </c>
      <c r="S146" s="528" t="str">
        <f t="shared" si="29"/>
        <v/>
      </c>
      <c r="T146" s="538">
        <f>VLOOKUP(G146,'Planning and Target Times'!$A$7:$G$12,MATCH(K146&amp;"-"&amp;L146&amp;"-"&amp;J146,INDEX('Planning and Target Times'!$A$7:$G$12,1,0),0),0)</f>
        <v>30</v>
      </c>
      <c r="U146" s="540"/>
      <c r="V146" s="540"/>
      <c r="W146" s="540"/>
      <c r="X146" s="535" t="str">
        <f t="shared" si="27"/>
        <v>ZU/RT</v>
      </c>
      <c r="Y146" s="540"/>
      <c r="Z146" s="540"/>
      <c r="AA146" s="540"/>
      <c r="AB146" s="540"/>
      <c r="AC146" s="540"/>
      <c r="AD146" s="540"/>
      <c r="AE146" s="540" t="s">
        <v>91</v>
      </c>
      <c r="AF146" s="528"/>
      <c r="AG146" s="540" t="str">
        <f t="shared" si="30"/>
        <v>SA29-SA-RT-Inj-NW-HZ</v>
      </c>
      <c r="AH146" s="540" t="str">
        <f t="shared" si="31"/>
        <v>SA29-KDC-44</v>
      </c>
      <c r="AI146" s="540" t="str">
        <f t="shared" si="32"/>
        <v>SA29-RT-NW-Inj</v>
      </c>
      <c r="AJ146" s="540">
        <f ca="1">IF(P146&gt;0,"RR",IF(O146&gt;0,0,COUNTIF($H$2:H146,H146)-IFERROR(COUNTIF(OFFSET($H$1,0,0,SUMPRODUCT(MAX(($H$2:H146=H146)*ROW($H$2:H146)*($O$2:O146&lt;&gt;""))),1),H146),0)))</f>
        <v>6</v>
      </c>
      <c r="AK146" s="527"/>
      <c r="AL146" s="528" t="str">
        <f>VLOOKUP(G146,'Planning and Target Times'!$I$2:$J$7,2,0)</f>
        <v>Sandstone</v>
      </c>
      <c r="AM146" s="540"/>
      <c r="AN146" s="540"/>
      <c r="AO146" s="540"/>
      <c r="AP146" s="533" t="e">
        <f t="shared" si="33"/>
        <v>#VALUE!</v>
      </c>
      <c r="AQ146" s="540"/>
      <c r="AR146" s="540"/>
      <c r="AS146" s="540"/>
      <c r="AT146" s="540"/>
      <c r="AU146" s="540"/>
      <c r="AV146" s="540"/>
      <c r="AW146" s="540"/>
      <c r="AX146" s="540"/>
      <c r="AY146" s="540"/>
      <c r="AZ146" s="540"/>
      <c r="BA146" s="540"/>
      <c r="BB146" s="540"/>
      <c r="BC146" s="540"/>
      <c r="BD146" s="540"/>
      <c r="BE146" s="540"/>
      <c r="BF146" s="540"/>
      <c r="BG146" s="540"/>
      <c r="BH146" s="540"/>
      <c r="BI146" s="540"/>
      <c r="BJ146" s="540"/>
      <c r="BK146" s="540"/>
      <c r="BL146" s="540"/>
      <c r="BM146" s="540"/>
      <c r="BN146" s="540"/>
      <c r="BO146" s="526">
        <f ca="1">IF(ISERROR(IF(INDEX(Rig_Schedule_View!$I$11:$I$262,MATCH(Well_Data_NK_Upcoming!AG142,Rig_Schedule_View!$B$11:$B$262,0))=0,O146,(INDEX(Rig_Schedule_View!$I$11:$I$262,MATCH(Well_Data_NK_Upcoming!AG142,Rig_Schedule_View!$B$11:$B$262,0))))),O146,(IF(INDEX(Rig_Schedule_View!$I$11:$I$262,MATCH(Well_Data_NK_Upcoming!AG142,Rig_Schedule_View!$B$11:$B$262,0))=0,O146,(INDEX(Rig_Schedule_View!$I$11:$I$262,MATCH(Well_Data_NK_Upcoming!AG142,Rig_Schedule_View!$B$11:$B$262,0))))))</f>
        <v>42548</v>
      </c>
      <c r="BP146" s="526">
        <f ca="1">IF(ISERROR(IF(INDEX(Rig_Schedule_View!$J$11:$J$262,MATCH(Well_Data_NK_Upcoming!AG142,Rig_Schedule_View!$B$11:$B$262,0))=0,P146,(INDEX(Rig_Schedule_View!$J$11:$J$262,MATCH(Well_Data_NK_Upcoming!AG142,Rig_Schedule_View!$B$11:$B$262,0))))),P146,(IF(INDEX(Rig_Schedule_View!$J$11:$J$262,MATCH(Well_Data_NK_Upcoming!AG142,Rig_Schedule_View!$B$11:$B$262,0))=0,P146,(INDEX(Rig_Schedule_View!$J$11:$J$262,MATCH(Well_Data_NK_Upcoming!AG142,Rig_Schedule_View!$B$11:$B$262,0))))))</f>
        <v>42611</v>
      </c>
      <c r="BQ146" s="527"/>
      <c r="BR146" s="525"/>
      <c r="BS146" s="525"/>
      <c r="BT146" s="525"/>
      <c r="BU146" s="525"/>
      <c r="BV146" s="525"/>
      <c r="BW146" s="525"/>
      <c r="BX146" s="525"/>
      <c r="BY146" s="525"/>
      <c r="BZ146" s="525"/>
    </row>
    <row r="147" spans="1:78" x14ac:dyDescent="0.25">
      <c r="A147" s="540" t="s">
        <v>1740</v>
      </c>
      <c r="B147" s="540" t="s">
        <v>42</v>
      </c>
      <c r="C147" s="540"/>
      <c r="D147" s="529" t="s">
        <v>2356</v>
      </c>
      <c r="E147" s="540"/>
      <c r="F147" s="528" t="str">
        <f t="shared" si="28"/>
        <v>RA</v>
      </c>
      <c r="G147" s="540" t="s">
        <v>29</v>
      </c>
      <c r="H147" s="400" t="s">
        <v>430</v>
      </c>
      <c r="I147" s="540" t="s">
        <v>24</v>
      </c>
      <c r="J147" s="540" t="s">
        <v>298</v>
      </c>
      <c r="K147" s="540" t="s">
        <v>14</v>
      </c>
      <c r="L147" s="540" t="s">
        <v>1416</v>
      </c>
      <c r="M147" s="539"/>
      <c r="N147" s="540"/>
      <c r="O147" s="532"/>
      <c r="P147" s="540"/>
      <c r="Q147" s="540"/>
      <c r="R147" s="537">
        <f>IF(ISERROR(VLOOKUP(G147,'Planning and Target Times'!$L$1:$AP$6,MATCH(K147&amp;"_"&amp;L147&amp;"_"&amp;J147,INDEX('Planning and Target Times'!$L$1:$AP$6,1,0),0),0)+5),"",(VLOOKUP(G147,'Planning and Target Times'!$L$1:$AP$6,MATCH(K147&amp;"_"&amp;L147&amp;"_"&amp;J147,INDEX('Planning and Target Times'!$L$1:$AP$6,1,0),0),0)+5))</f>
        <v>75</v>
      </c>
      <c r="S147" s="528">
        <f t="shared" si="29"/>
        <v>70</v>
      </c>
      <c r="T147" s="538">
        <f>VLOOKUP(G147,'Planning and Target Times'!$A$7:$G$12,MATCH(K147&amp;"-"&amp;L147&amp;"-"&amp;J147,INDEX('Planning and Target Times'!$A$7:$G$12,1,0),0),0)</f>
        <v>33</v>
      </c>
      <c r="U147" s="540"/>
      <c r="V147" s="540"/>
      <c r="W147" s="540"/>
      <c r="X147" s="535" t="str">
        <f t="shared" ref="X147:X178" si="34">IF(OR(G147="ZU",G147="RT"),"ZU/RT",G147)</f>
        <v>UB</v>
      </c>
      <c r="Y147" s="540"/>
      <c r="Z147" s="540"/>
      <c r="AA147" s="540"/>
      <c r="AB147" s="540"/>
      <c r="AC147" s="540"/>
      <c r="AD147" s="540"/>
      <c r="AE147" s="540" t="s">
        <v>91</v>
      </c>
      <c r="AF147" s="528"/>
      <c r="AG147" s="540" t="str">
        <f t="shared" si="30"/>
        <v>RA26-RA-UB-Prod-NW-SL-SLB</v>
      </c>
      <c r="AH147" s="540" t="str">
        <f t="shared" si="31"/>
        <v>RA26-KDC-49</v>
      </c>
      <c r="AI147" s="540" t="str">
        <f t="shared" si="32"/>
        <v>RA26-UB-NW-Prod</v>
      </c>
      <c r="AJ147" s="540">
        <f ca="1">IF(P147&gt;0,"RR",IF(O147&gt;0,0,COUNTIF($H$2:H147,H147)-IFERROR(COUNTIF(OFFSET($H$1,0,0,SUMPRODUCT(MAX(($H$2:H147=H147)*ROW($H$2:H147)*($O$2:O147&lt;&gt;""))),1),H147),0)))</f>
        <v>6</v>
      </c>
      <c r="AK147" s="527">
        <f>IF(ISERROR(VLOOKUP(G147,'Planning and Target Times'!$B$106:$D$110,MATCH(F147,INDEX('Planning and Target Times'!$B$106:$D$110,1,0),0),0)),"",(VLOOKUP(G147,'Planning and Target Times'!$B$106:$D$110,MATCH(F147,INDEX('Planning and Target Times'!$B$106:$D$110,1,0),0),0)))</f>
        <v>940</v>
      </c>
      <c r="AL147" s="528" t="str">
        <f>VLOOKUP(G147,'Planning and Target Times'!$I$2:$J$7,2,0)</f>
        <v>Sandstone</v>
      </c>
      <c r="AM147" s="540"/>
      <c r="AN147" s="540"/>
      <c r="AO147" s="540"/>
      <c r="AP147" s="533">
        <f t="shared" si="33"/>
        <v>12.533333333333333</v>
      </c>
      <c r="AQ147" s="540"/>
      <c r="AR147" s="540"/>
      <c r="AS147" s="540"/>
      <c r="AT147" s="540"/>
      <c r="AU147" s="540"/>
      <c r="AV147" s="540"/>
      <c r="AW147" s="540"/>
      <c r="AX147" s="540"/>
      <c r="AY147" s="540"/>
      <c r="AZ147" s="540"/>
      <c r="BA147" s="540"/>
      <c r="BB147" s="540"/>
      <c r="BC147" s="540"/>
      <c r="BD147" s="540"/>
      <c r="BE147" s="540"/>
      <c r="BF147" s="540"/>
      <c r="BG147" s="540"/>
      <c r="BH147" s="540"/>
      <c r="BI147" s="540"/>
      <c r="BJ147" s="540"/>
      <c r="BK147" s="540"/>
      <c r="BL147" s="540"/>
      <c r="BM147" s="540"/>
      <c r="BN147" s="540"/>
      <c r="BO147" s="526">
        <f ca="1">IF(ISERROR(IF(INDEX(Rig_Schedule_View!$I$11:$I$262,MATCH(Well_Data_NK_Upcoming!AG143,Rig_Schedule_View!$B$11:$B$262,0))=0,O147,(INDEX(Rig_Schedule_View!$I$11:$I$262,MATCH(Well_Data_NK_Upcoming!AG143,Rig_Schedule_View!$B$11:$B$262,0))))),O147,(IF(INDEX(Rig_Schedule_View!$I$11:$I$262,MATCH(Well_Data_NK_Upcoming!AG143,Rig_Schedule_View!$B$11:$B$262,0))=0,O147,(INDEX(Rig_Schedule_View!$I$11:$I$262,MATCH(Well_Data_NK_Upcoming!AG143,Rig_Schedule_View!$B$11:$B$262,0))))))</f>
        <v>42531</v>
      </c>
      <c r="BP147" s="526">
        <f ca="1">IF(ISERROR(IF(INDEX(Rig_Schedule_View!$J$11:$J$262,MATCH(Well_Data_NK_Upcoming!AG143,Rig_Schedule_View!$B$11:$B$262,0))=0,P147,(INDEX(Rig_Schedule_View!$J$11:$J$262,MATCH(Well_Data_NK_Upcoming!AG143,Rig_Schedule_View!$B$11:$B$262,0))))),P147,(IF(INDEX(Rig_Schedule_View!$J$11:$J$262,MATCH(Well_Data_NK_Upcoming!AG143,Rig_Schedule_View!$B$11:$B$262,0))=0,P147,(INDEX(Rig_Schedule_View!$J$11:$J$262,MATCH(Well_Data_NK_Upcoming!AG143,Rig_Schedule_View!$B$11:$B$262,0))))))</f>
        <v>42594</v>
      </c>
      <c r="BQ147" s="527"/>
      <c r="BR147" s="525"/>
      <c r="BS147" s="525"/>
      <c r="BT147" s="525"/>
      <c r="BU147" s="525"/>
      <c r="BV147" s="525"/>
      <c r="BW147" s="525"/>
      <c r="BX147" s="525"/>
      <c r="BY147" s="525"/>
      <c r="BZ147" s="525"/>
    </row>
    <row r="148" spans="1:78" x14ac:dyDescent="0.25">
      <c r="A148" s="540" t="s">
        <v>1748</v>
      </c>
      <c r="B148" s="540" t="s">
        <v>42</v>
      </c>
      <c r="C148" s="540"/>
      <c r="D148" s="529" t="s">
        <v>2372</v>
      </c>
      <c r="E148" s="540"/>
      <c r="F148" s="528" t="str">
        <f t="shared" si="28"/>
        <v>RA</v>
      </c>
      <c r="G148" s="540" t="s">
        <v>22</v>
      </c>
      <c r="H148" s="536" t="s">
        <v>513</v>
      </c>
      <c r="I148" s="540" t="s">
        <v>24</v>
      </c>
      <c r="J148" s="540" t="s">
        <v>298</v>
      </c>
      <c r="K148" s="540" t="s">
        <v>14</v>
      </c>
      <c r="L148" s="540" t="s">
        <v>1416</v>
      </c>
      <c r="M148" s="539"/>
      <c r="N148" s="540"/>
      <c r="O148" s="532"/>
      <c r="P148" s="540"/>
      <c r="Q148" s="540"/>
      <c r="R148" s="537">
        <f>IF(ISERROR(VLOOKUP(G148,'Planning and Target Times'!$L$1:$AP$6,MATCH(K148&amp;"_"&amp;L148&amp;"_"&amp;J148,INDEX('Planning and Target Times'!$L$1:$AP$6,1,0),0),0)+5),"",(VLOOKUP(G148,'Planning and Target Times'!$L$1:$AP$6,MATCH(K148&amp;"_"&amp;L148&amp;"_"&amp;J148,INDEX('Planning and Target Times'!$L$1:$AP$6,1,0),0),0)+5))</f>
        <v>75</v>
      </c>
      <c r="S148" s="528">
        <f t="shared" si="29"/>
        <v>70</v>
      </c>
      <c r="T148" s="538">
        <f>VLOOKUP(G148,'Planning and Target Times'!$A$7:$G$12,MATCH(K148&amp;"-"&amp;L148&amp;"-"&amp;J148,INDEX('Planning and Target Times'!$A$7:$G$12,1,0),0),0)</f>
        <v>33</v>
      </c>
      <c r="U148" s="540"/>
      <c r="V148" s="540"/>
      <c r="W148" s="540"/>
      <c r="X148" s="535" t="str">
        <f t="shared" si="34"/>
        <v>LB</v>
      </c>
      <c r="Y148" s="540"/>
      <c r="Z148" s="540"/>
      <c r="AA148" s="540"/>
      <c r="AB148" s="540"/>
      <c r="AC148" s="540"/>
      <c r="AD148" s="540"/>
      <c r="AE148" s="540" t="s">
        <v>91</v>
      </c>
      <c r="AF148" s="528"/>
      <c r="AG148" s="540" t="str">
        <f t="shared" si="30"/>
        <v>RA35-RA-LB-Prod-NW-SL-SLB</v>
      </c>
      <c r="AH148" s="540" t="str">
        <f t="shared" si="31"/>
        <v>RA35-NDSC-15</v>
      </c>
      <c r="AI148" s="540" t="str">
        <f t="shared" si="32"/>
        <v>RA35-LB-NW-Prod</v>
      </c>
      <c r="AJ148" s="540">
        <f ca="1">IF(P148&gt;0,"RR",IF(O148&gt;0,0,COUNTIF($H$2:H148,H148)-IFERROR(COUNTIF(OFFSET($H$1,0,0,SUMPRODUCT(MAX(($H$2:H148=H148)*ROW($H$2:H148)*($O$2:O148&lt;&gt;""))),1),H148),0)))</f>
        <v>6</v>
      </c>
      <c r="AK148" s="527">
        <f>IF(ISERROR(VLOOKUP(G148,'Planning and Target Times'!$B$106:$D$110,MATCH(F148,INDEX('Planning and Target Times'!$B$106:$D$110,1,0),0),0)),"",(VLOOKUP(G148,'Planning and Target Times'!$B$106:$D$110,MATCH(F148,INDEX('Planning and Target Times'!$B$106:$D$110,1,0),0),0)))</f>
        <v>900</v>
      </c>
      <c r="AL148" s="528" t="str">
        <f>VLOOKUP(G148,'Planning and Target Times'!$I$2:$J$7,2,0)</f>
        <v>Sandstone</v>
      </c>
      <c r="AM148" s="540"/>
      <c r="AN148" s="540"/>
      <c r="AO148" s="540"/>
      <c r="AP148" s="533">
        <f t="shared" si="33"/>
        <v>12</v>
      </c>
      <c r="AQ148" s="540"/>
      <c r="AR148" s="540"/>
      <c r="AS148" s="540"/>
      <c r="AT148" s="540"/>
      <c r="AU148" s="540"/>
      <c r="AV148" s="540"/>
      <c r="AW148" s="540"/>
      <c r="AX148" s="540"/>
      <c r="AY148" s="540"/>
      <c r="AZ148" s="540"/>
      <c r="BA148" s="540"/>
      <c r="BB148" s="540"/>
      <c r="BC148" s="540"/>
      <c r="BD148" s="540"/>
      <c r="BE148" s="540"/>
      <c r="BF148" s="540"/>
      <c r="BG148" s="540"/>
      <c r="BH148" s="540"/>
      <c r="BI148" s="540"/>
      <c r="BJ148" s="540"/>
      <c r="BK148" s="540"/>
      <c r="BL148" s="540"/>
      <c r="BM148" s="540"/>
      <c r="BN148" s="540"/>
      <c r="BO148" s="526">
        <f ca="1">IF(ISERROR(IF(INDEX(Rig_Schedule_View!$I$11:$I$262,MATCH(Well_Data_NK_Upcoming!AG159,Rig_Schedule_View!$B$11:$B$262,0))=0,O148,(INDEX(Rig_Schedule_View!$I$11:$I$262,MATCH(Well_Data_NK_Upcoming!AG159,Rig_Schedule_View!$B$11:$B$262,0))))),O148,(IF(INDEX(Rig_Schedule_View!$I$11:$I$262,MATCH(Well_Data_NK_Upcoming!AG159,Rig_Schedule_View!$B$11:$B$262,0))=0,O148,(INDEX(Rig_Schedule_View!$I$11:$I$262,MATCH(Well_Data_NK_Upcoming!AG159,Rig_Schedule_View!$B$11:$B$262,0))))))</f>
        <v>42616</v>
      </c>
      <c r="BP148" s="526">
        <f ca="1">IF(ISERROR(IF(INDEX(Rig_Schedule_View!$J$11:$J$262,MATCH(Well_Data_NK_Upcoming!AG159,Rig_Schedule_View!$B$11:$B$262,0))=0,P148,(INDEX(Rig_Schedule_View!$J$11:$J$262,MATCH(Well_Data_NK_Upcoming!AG159,Rig_Schedule_View!$B$11:$B$262,0))))),P148,(IF(INDEX(Rig_Schedule_View!$J$11:$J$262,MATCH(Well_Data_NK_Upcoming!AG159,Rig_Schedule_View!$B$11:$B$262,0))=0,P148,(INDEX(Rig_Schedule_View!$J$11:$J$262,MATCH(Well_Data_NK_Upcoming!AG159,Rig_Schedule_View!$B$11:$B$262,0))))))</f>
        <v>42714</v>
      </c>
      <c r="BQ148" s="527"/>
      <c r="BR148" s="525"/>
      <c r="BS148" s="525"/>
      <c r="BT148" s="525"/>
      <c r="BU148" s="525"/>
      <c r="BV148" s="525"/>
      <c r="BW148" s="525"/>
      <c r="BX148" s="525"/>
      <c r="BY148" s="525"/>
      <c r="BZ148" s="525"/>
    </row>
    <row r="149" spans="1:78" x14ac:dyDescent="0.25">
      <c r="A149" s="540" t="s">
        <v>1741</v>
      </c>
      <c r="B149" s="540" t="s">
        <v>42</v>
      </c>
      <c r="C149" s="540"/>
      <c r="D149" s="529" t="s">
        <v>2358</v>
      </c>
      <c r="E149" s="540"/>
      <c r="F149" s="528" t="str">
        <f t="shared" si="28"/>
        <v>RA</v>
      </c>
      <c r="G149" s="540" t="s">
        <v>29</v>
      </c>
      <c r="H149" s="536" t="s">
        <v>512</v>
      </c>
      <c r="I149" s="540" t="s">
        <v>24</v>
      </c>
      <c r="J149" s="540" t="s">
        <v>298</v>
      </c>
      <c r="K149" s="540" t="s">
        <v>14</v>
      </c>
      <c r="L149" s="540" t="s">
        <v>1416</v>
      </c>
      <c r="M149" s="539"/>
      <c r="N149" s="540"/>
      <c r="O149" s="532"/>
      <c r="P149" s="540"/>
      <c r="Q149" s="540"/>
      <c r="R149" s="537">
        <f>IF(ISERROR(VLOOKUP(G149,'Planning and Target Times'!$L$1:$AP$6,MATCH(K149&amp;"_"&amp;L149&amp;"_"&amp;J149,INDEX('Planning and Target Times'!$L$1:$AP$6,1,0),0),0)+5),"",(VLOOKUP(G149,'Planning and Target Times'!$L$1:$AP$6,MATCH(K149&amp;"_"&amp;L149&amp;"_"&amp;J149,INDEX('Planning and Target Times'!$L$1:$AP$6,1,0),0),0)+5))</f>
        <v>75</v>
      </c>
      <c r="S149" s="528">
        <f t="shared" si="29"/>
        <v>70</v>
      </c>
      <c r="T149" s="538">
        <f>VLOOKUP(G149,'Planning and Target Times'!$A$7:$G$12,MATCH(K149&amp;"-"&amp;L149&amp;"-"&amp;J149,INDEX('Planning and Target Times'!$A$7:$G$12,1,0),0),0)</f>
        <v>33</v>
      </c>
      <c r="U149" s="540"/>
      <c r="V149" s="540"/>
      <c r="W149" s="540"/>
      <c r="X149" s="535" t="str">
        <f t="shared" si="34"/>
        <v>UB</v>
      </c>
      <c r="Y149" s="540"/>
      <c r="Z149" s="540"/>
      <c r="AA149" s="540"/>
      <c r="AB149" s="540"/>
      <c r="AC149" s="540"/>
      <c r="AD149" s="540"/>
      <c r="AE149" s="540" t="s">
        <v>91</v>
      </c>
      <c r="AF149" s="528"/>
      <c r="AG149" s="540" t="str">
        <f t="shared" si="30"/>
        <v>RA27-RA-UB-Prod-NW-SL-SLB</v>
      </c>
      <c r="AH149" s="540" t="str">
        <f t="shared" si="31"/>
        <v>RA27-NDSC-16</v>
      </c>
      <c r="AI149" s="540" t="str">
        <f t="shared" si="32"/>
        <v>RA27-UB-NW-Prod</v>
      </c>
      <c r="AJ149" s="540">
        <f ca="1">IF(P149&gt;0,"RR",IF(O149&gt;0,0,COUNTIF($H$2:H149,H149)-IFERROR(COUNTIF(OFFSET($H$1,0,0,SUMPRODUCT(MAX(($H$2:H149=H149)*ROW($H$2:H149)*($O$2:O149&lt;&gt;""))),1),H149),0)))</f>
        <v>6</v>
      </c>
      <c r="AK149" s="527">
        <f>IF(ISERROR(VLOOKUP(G149,'Planning and Target Times'!$B$106:$D$110,MATCH(F149,INDEX('Planning and Target Times'!$B$106:$D$110,1,0),0),0)),"",(VLOOKUP(G149,'Planning and Target Times'!$B$106:$D$110,MATCH(F149,INDEX('Planning and Target Times'!$B$106:$D$110,1,0),0),0)))</f>
        <v>940</v>
      </c>
      <c r="AL149" s="528" t="str">
        <f>VLOOKUP(G149,'Planning and Target Times'!$I$2:$J$7,2,0)</f>
        <v>Sandstone</v>
      </c>
      <c r="AM149" s="540"/>
      <c r="AN149" s="540"/>
      <c r="AO149" s="540"/>
      <c r="AP149" s="533">
        <f t="shared" si="33"/>
        <v>12.533333333333333</v>
      </c>
      <c r="AQ149" s="540"/>
      <c r="AR149" s="540"/>
      <c r="AS149" s="540"/>
      <c r="AT149" s="540"/>
      <c r="AU149" s="540"/>
      <c r="AV149" s="540"/>
      <c r="AW149" s="540"/>
      <c r="AX149" s="540"/>
      <c r="AY149" s="540"/>
      <c r="AZ149" s="540"/>
      <c r="BA149" s="540"/>
      <c r="BB149" s="540"/>
      <c r="BC149" s="540"/>
      <c r="BD149" s="540"/>
      <c r="BE149" s="540"/>
      <c r="BF149" s="540"/>
      <c r="BG149" s="540"/>
      <c r="BH149" s="540"/>
      <c r="BI149" s="540"/>
      <c r="BJ149" s="540"/>
      <c r="BK149" s="540"/>
      <c r="BL149" s="540"/>
      <c r="BM149" s="540"/>
      <c r="BN149" s="540"/>
      <c r="BO149" s="526">
        <f ca="1">IF(ISERROR(IF(INDEX(Rig_Schedule_View!$I$11:$I$262,MATCH(Well_Data_NK_Upcoming!AG145,Rig_Schedule_View!$B$11:$B$262,0))=0,O149,(INDEX(Rig_Schedule_View!$I$11:$I$262,MATCH(Well_Data_NK_Upcoming!AG145,Rig_Schedule_View!$B$11:$B$262,0))))),O149,(IF(INDEX(Rig_Schedule_View!$I$11:$I$262,MATCH(Well_Data_NK_Upcoming!AG145,Rig_Schedule_View!$B$11:$B$262,0))=0,O149,(INDEX(Rig_Schedule_View!$I$11:$I$262,MATCH(Well_Data_NK_Upcoming!AG145,Rig_Schedule_View!$B$11:$B$262,0))))))</f>
        <v>42609</v>
      </c>
      <c r="BP149" s="526">
        <f ca="1">IF(ISERROR(IF(INDEX(Rig_Schedule_View!$J$11:$J$262,MATCH(Well_Data_NK_Upcoming!AG145,Rig_Schedule_View!$B$11:$B$262,0))=0,P149,(INDEX(Rig_Schedule_View!$J$11:$J$262,MATCH(Well_Data_NK_Upcoming!AG145,Rig_Schedule_View!$B$11:$B$262,0))))),P149,(IF(INDEX(Rig_Schedule_View!$J$11:$J$262,MATCH(Well_Data_NK_Upcoming!AG145,Rig_Schedule_View!$B$11:$B$262,0))=0,P149,(INDEX(Rig_Schedule_View!$J$11:$J$262,MATCH(Well_Data_NK_Upcoming!AG145,Rig_Schedule_View!$B$11:$B$262,0))))))</f>
        <v>42679</v>
      </c>
      <c r="BQ149" s="527"/>
      <c r="BR149" s="525"/>
      <c r="BS149" s="525"/>
      <c r="BT149" s="525"/>
      <c r="BU149" s="525"/>
      <c r="BV149" s="525"/>
      <c r="BW149" s="525"/>
      <c r="BX149" s="525"/>
      <c r="BY149" s="525"/>
      <c r="BZ149" s="525"/>
    </row>
    <row r="150" spans="1:78" x14ac:dyDescent="0.25">
      <c r="A150" s="540" t="s">
        <v>1735</v>
      </c>
      <c r="B150" s="540" t="s">
        <v>42</v>
      </c>
      <c r="C150" s="540"/>
      <c r="D150" s="529" t="s">
        <v>2359</v>
      </c>
      <c r="E150" s="540"/>
      <c r="F150" s="528" t="str">
        <f t="shared" ref="F150:F185" si="35">LEFT(B150,2)</f>
        <v>RA</v>
      </c>
      <c r="G150" s="540" t="s">
        <v>22</v>
      </c>
      <c r="H150" s="536" t="s">
        <v>511</v>
      </c>
      <c r="I150" s="540" t="s">
        <v>24</v>
      </c>
      <c r="J150" s="540" t="s">
        <v>298</v>
      </c>
      <c r="K150" s="540" t="s">
        <v>14</v>
      </c>
      <c r="L150" s="540" t="s">
        <v>1416</v>
      </c>
      <c r="M150" s="539"/>
      <c r="N150" s="540"/>
      <c r="O150" s="532"/>
      <c r="P150" s="540"/>
      <c r="Q150" s="540"/>
      <c r="R150" s="537">
        <f>IF(ISERROR(VLOOKUP(G150,'Planning and Target Times'!$L$1:$AP$6,MATCH(K150&amp;"_"&amp;L150&amp;"_"&amp;J150,INDEX('Planning and Target Times'!$L$1:$AP$6,1,0),0),0)+5),"",(VLOOKUP(G150,'Planning and Target Times'!$L$1:$AP$6,MATCH(K150&amp;"_"&amp;L150&amp;"_"&amp;J150,INDEX('Planning and Target Times'!$L$1:$AP$6,1,0),0),0)+5))</f>
        <v>75</v>
      </c>
      <c r="S150" s="528">
        <f t="shared" si="29"/>
        <v>70</v>
      </c>
      <c r="T150" s="538">
        <f>VLOOKUP(G150,'Planning and Target Times'!$A$7:$G$12,MATCH(K150&amp;"-"&amp;L150&amp;"-"&amp;J150,INDEX('Planning and Target Times'!$A$7:$G$12,1,0),0),0)</f>
        <v>33</v>
      </c>
      <c r="U150" s="540"/>
      <c r="V150" s="540"/>
      <c r="W150" s="540"/>
      <c r="X150" s="535" t="str">
        <f t="shared" si="34"/>
        <v>LB</v>
      </c>
      <c r="Y150" s="540"/>
      <c r="Z150" s="540"/>
      <c r="AA150" s="540"/>
      <c r="AB150" s="540"/>
      <c r="AC150" s="540"/>
      <c r="AD150" s="540"/>
      <c r="AE150" s="540" t="s">
        <v>91</v>
      </c>
      <c r="AF150" s="528"/>
      <c r="AG150" s="540" t="str">
        <f t="shared" si="30"/>
        <v>RA21-RA-LB-Prod-NW-SL-SLB</v>
      </c>
      <c r="AH150" s="540" t="str">
        <f t="shared" si="31"/>
        <v>RA21-NDSC-17</v>
      </c>
      <c r="AI150" s="540" t="str">
        <f t="shared" si="32"/>
        <v>RA21-LB-NW-Prod</v>
      </c>
      <c r="AJ150" s="540">
        <f ca="1">IF(P150&gt;0,"RR",IF(O150&gt;0,0,COUNTIF($H$2:H150,H150)-IFERROR(COUNTIF(OFFSET($H$1,0,0,SUMPRODUCT(MAX(($H$2:H150=H150)*ROW($H$2:H150)*($O$2:O150&lt;&gt;""))),1),H150),0)))</f>
        <v>6</v>
      </c>
      <c r="AK150" s="527">
        <f>IF(ISERROR(VLOOKUP(G150,'Planning and Target Times'!$B$106:$D$110,MATCH(F150,INDEX('Planning and Target Times'!$B$106:$D$110,1,0),0),0)),"",(VLOOKUP(G150,'Planning and Target Times'!$B$106:$D$110,MATCH(F150,INDEX('Planning and Target Times'!$B$106:$D$110,1,0),0),0)))</f>
        <v>900</v>
      </c>
      <c r="AL150" s="528" t="str">
        <f>VLOOKUP(G150,'Planning and Target Times'!$I$2:$J$7,2,0)</f>
        <v>Sandstone</v>
      </c>
      <c r="AM150" s="540"/>
      <c r="AN150" s="540"/>
      <c r="AO150" s="540"/>
      <c r="AP150" s="533">
        <f t="shared" si="33"/>
        <v>12</v>
      </c>
      <c r="AQ150" s="540"/>
      <c r="AR150" s="540"/>
      <c r="AS150" s="540"/>
      <c r="AT150" s="540"/>
      <c r="AU150" s="540"/>
      <c r="AV150" s="540"/>
      <c r="AW150" s="540"/>
      <c r="AX150" s="540"/>
      <c r="AY150" s="540"/>
      <c r="AZ150" s="540"/>
      <c r="BA150" s="540"/>
      <c r="BB150" s="540"/>
      <c r="BC150" s="540"/>
      <c r="BD150" s="540"/>
      <c r="BE150" s="540"/>
      <c r="BF150" s="540"/>
      <c r="BG150" s="540"/>
      <c r="BH150" s="540"/>
      <c r="BI150" s="540"/>
      <c r="BJ150" s="540"/>
      <c r="BK150" s="540"/>
      <c r="BL150" s="540"/>
      <c r="BM150" s="540"/>
      <c r="BN150" s="540"/>
      <c r="BO150" s="526" t="str">
        <f ca="1">IF(ISERROR(IF(INDEX(Rig_Schedule_View!$I$11:$I$262,MATCH(Well_Data_NK_Upcoming!AG146,Rig_Schedule_View!$B$11:$B$262,0))=0,O150,(INDEX(Rig_Schedule_View!$I$11:$I$262,MATCH(Well_Data_NK_Upcoming!AG146,Rig_Schedule_View!$B$11:$B$262,0))))),O150,(IF(INDEX(Rig_Schedule_View!$I$11:$I$262,MATCH(Well_Data_NK_Upcoming!AG146,Rig_Schedule_View!$B$11:$B$262,0))=0,O150,(INDEX(Rig_Schedule_View!$I$11:$I$262,MATCH(Well_Data_NK_Upcoming!AG146,Rig_Schedule_View!$B$11:$B$262,0))))))</f>
        <v/>
      </c>
      <c r="BP150" s="526" t="str">
        <f ca="1">IF(ISERROR(IF(INDEX(Rig_Schedule_View!$J$11:$J$262,MATCH(Well_Data_NK_Upcoming!AG146,Rig_Schedule_View!$B$11:$B$262,0))=0,P150,(INDEX(Rig_Schedule_View!$J$11:$J$262,MATCH(Well_Data_NK_Upcoming!AG146,Rig_Schedule_View!$B$11:$B$262,0))))),P150,(IF(INDEX(Rig_Schedule_View!$J$11:$J$262,MATCH(Well_Data_NK_Upcoming!AG146,Rig_Schedule_View!$B$11:$B$262,0))=0,P150,(INDEX(Rig_Schedule_View!$J$11:$J$262,MATCH(Well_Data_NK_Upcoming!AG146,Rig_Schedule_View!$B$11:$B$262,0))))))</f>
        <v/>
      </c>
      <c r="BQ150" s="527"/>
      <c r="BR150" s="525"/>
      <c r="BS150" s="525"/>
      <c r="BT150" s="525"/>
      <c r="BU150" s="525"/>
      <c r="BV150" s="525"/>
      <c r="BW150" s="525"/>
      <c r="BX150" s="525"/>
      <c r="BY150" s="525"/>
      <c r="BZ150" s="525"/>
    </row>
    <row r="151" spans="1:78" x14ac:dyDescent="0.25">
      <c r="A151" s="540" t="s">
        <v>1728</v>
      </c>
      <c r="B151" s="540" t="s">
        <v>42</v>
      </c>
      <c r="C151" s="540"/>
      <c r="D151" s="529" t="s">
        <v>2360</v>
      </c>
      <c r="E151" s="540"/>
      <c r="F151" s="528" t="str">
        <f t="shared" si="35"/>
        <v>RA</v>
      </c>
      <c r="G151" s="540" t="s">
        <v>29</v>
      </c>
      <c r="H151" s="536" t="s">
        <v>23</v>
      </c>
      <c r="I151" s="540" t="s">
        <v>24</v>
      </c>
      <c r="J151" s="540" t="s">
        <v>298</v>
      </c>
      <c r="K151" s="540" t="s">
        <v>14</v>
      </c>
      <c r="L151" s="540" t="s">
        <v>1410</v>
      </c>
      <c r="M151" s="539"/>
      <c r="N151" s="540"/>
      <c r="O151" s="532"/>
      <c r="P151" s="540"/>
      <c r="Q151" s="540"/>
      <c r="R151" s="537">
        <f>IF(ISERROR(VLOOKUP(G151,'Planning and Target Times'!$L$1:$AP$6,MATCH(K151&amp;"_"&amp;L151&amp;"_"&amp;J151,INDEX('Planning and Target Times'!$L$1:$AP$6,1,0),0),0)+5),"",(VLOOKUP(G151,'Planning and Target Times'!$L$1:$AP$6,MATCH(K151&amp;"_"&amp;L151&amp;"_"&amp;J151,INDEX('Planning and Target Times'!$L$1:$AP$6,1,0),0),0)+5))</f>
        <v>75</v>
      </c>
      <c r="S151" s="528">
        <f t="shared" si="29"/>
        <v>70</v>
      </c>
      <c r="T151" s="538">
        <f>VLOOKUP(G151,'Planning and Target Times'!$A$7:$G$12,MATCH(K151&amp;"-"&amp;L151&amp;"-"&amp;J151,INDEX('Planning and Target Times'!$A$7:$G$12,1,0),0),0)</f>
        <v>35</v>
      </c>
      <c r="U151" s="540"/>
      <c r="V151" s="540"/>
      <c r="W151" s="540"/>
      <c r="X151" s="535" t="str">
        <f t="shared" si="34"/>
        <v>UB</v>
      </c>
      <c r="Y151" s="540"/>
      <c r="Z151" s="540"/>
      <c r="AA151" s="540"/>
      <c r="AB151" s="540"/>
      <c r="AC151" s="540"/>
      <c r="AD151" s="540"/>
      <c r="AE151" s="540" t="s">
        <v>91</v>
      </c>
      <c r="AF151" s="528"/>
      <c r="AG151" s="540" t="str">
        <f t="shared" si="30"/>
        <v>RA14-RA-UB-Prod-NW-HZ-SLB</v>
      </c>
      <c r="AH151" s="540" t="str">
        <f t="shared" si="31"/>
        <v>RA14-SP-158</v>
      </c>
      <c r="AI151" s="540" t="str">
        <f t="shared" si="32"/>
        <v>RA14-UB-NW-Prod</v>
      </c>
      <c r="AJ151" s="540">
        <f ca="1">IF(P151&gt;0,"RR",IF(O151&gt;0,0,COUNTIF($H$2:H151,H151)-IFERROR(COUNTIF(OFFSET($H$1,0,0,SUMPRODUCT(MAX(($H$2:H151=H151)*ROW($H$2:H151)*($O$2:O151&lt;&gt;""))),1),H151),0)))</f>
        <v>6</v>
      </c>
      <c r="AK151" s="527">
        <f>IF(ISERROR(VLOOKUP(G151,'Planning and Target Times'!$B$106:$D$110,MATCH(F151,INDEX('Planning and Target Times'!$B$106:$D$110,1,0),0),0)),"",(VLOOKUP(G151,'Planning and Target Times'!$B$106:$D$110,MATCH(F151,INDEX('Planning and Target Times'!$B$106:$D$110,1,0),0),0)))</f>
        <v>940</v>
      </c>
      <c r="AL151" s="528" t="str">
        <f>VLOOKUP(G151,'Planning and Target Times'!$I$2:$J$7,2,0)</f>
        <v>Sandstone</v>
      </c>
      <c r="AM151" s="540"/>
      <c r="AN151" s="540"/>
      <c r="AO151" s="540"/>
      <c r="AP151" s="533">
        <f t="shared" si="33"/>
        <v>12.533333333333333</v>
      </c>
      <c r="AQ151" s="540"/>
      <c r="AR151" s="540"/>
      <c r="AS151" s="540"/>
      <c r="AT151" s="540"/>
      <c r="AU151" s="540"/>
      <c r="AV151" s="540"/>
      <c r="AW151" s="540"/>
      <c r="AX151" s="540"/>
      <c r="AY151" s="540"/>
      <c r="AZ151" s="540"/>
      <c r="BA151" s="540"/>
      <c r="BB151" s="540"/>
      <c r="BC151" s="540"/>
      <c r="BD151" s="540"/>
      <c r="BE151" s="540"/>
      <c r="BF151" s="540"/>
      <c r="BG151" s="540"/>
      <c r="BH151" s="540"/>
      <c r="BI151" s="540"/>
      <c r="BJ151" s="540"/>
      <c r="BK151" s="540"/>
      <c r="BL151" s="540"/>
      <c r="BM151" s="540"/>
      <c r="BN151" s="540"/>
      <c r="BO151" s="526">
        <f ca="1">IF(ISERROR(IF(INDEX(Rig_Schedule_View!$I$11:$I$262,MATCH(Well_Data_NK_Upcoming!AG147,Rig_Schedule_View!$B$11:$B$262,0))=0,O151,(INDEX(Rig_Schedule_View!$I$11:$I$262,MATCH(Well_Data_NK_Upcoming!AG147,Rig_Schedule_View!$B$11:$B$262,0))))),O151,(IF(INDEX(Rig_Schedule_View!$I$11:$I$262,MATCH(Well_Data_NK_Upcoming!AG147,Rig_Schedule_View!$B$11:$B$262,0))=0,O151,(INDEX(Rig_Schedule_View!$I$11:$I$262,MATCH(Well_Data_NK_Upcoming!AG147,Rig_Schedule_View!$B$11:$B$262,0))))))</f>
        <v>42674</v>
      </c>
      <c r="BP151" s="526">
        <f ca="1">IF(ISERROR(IF(INDEX(Rig_Schedule_View!$J$11:$J$262,MATCH(Well_Data_NK_Upcoming!AG147,Rig_Schedule_View!$B$11:$B$262,0))=0,P151,(INDEX(Rig_Schedule_View!$J$11:$J$262,MATCH(Well_Data_NK_Upcoming!AG147,Rig_Schedule_View!$B$11:$B$262,0))))),P151,(IF(INDEX(Rig_Schedule_View!$J$11:$J$262,MATCH(Well_Data_NK_Upcoming!AG147,Rig_Schedule_View!$B$11:$B$262,0))=0,P151,(INDEX(Rig_Schedule_View!$J$11:$J$262,MATCH(Well_Data_NK_Upcoming!AG147,Rig_Schedule_View!$B$11:$B$262,0))))))</f>
        <v>42744</v>
      </c>
      <c r="BQ151" s="527"/>
      <c r="BR151" s="525"/>
      <c r="BS151" s="525"/>
      <c r="BT151" s="525"/>
      <c r="BU151" s="525"/>
      <c r="BV151" s="525"/>
      <c r="BW151" s="525"/>
      <c r="BX151" s="525"/>
      <c r="BY151" s="525"/>
      <c r="BZ151" s="525"/>
    </row>
    <row r="152" spans="1:78" x14ac:dyDescent="0.25">
      <c r="A152" s="540" t="s">
        <v>1780</v>
      </c>
      <c r="B152" s="540" t="s">
        <v>11</v>
      </c>
      <c r="C152" s="540"/>
      <c r="D152" s="529" t="s">
        <v>2361</v>
      </c>
      <c r="E152" s="540"/>
      <c r="F152" s="528" t="str">
        <f t="shared" si="35"/>
        <v>SA</v>
      </c>
      <c r="G152" s="540" t="s">
        <v>29</v>
      </c>
      <c r="H152" s="536" t="s">
        <v>31</v>
      </c>
      <c r="I152" s="540"/>
      <c r="J152" s="540" t="s">
        <v>34</v>
      </c>
      <c r="K152" s="540" t="s">
        <v>14</v>
      </c>
      <c r="L152" s="540" t="s">
        <v>1416</v>
      </c>
      <c r="M152" s="539"/>
      <c r="N152" s="540"/>
      <c r="O152" s="532"/>
      <c r="P152" s="540"/>
      <c r="Q152" s="540"/>
      <c r="R152" s="537">
        <f>IF(ISERROR(VLOOKUP(G152,'Planning and Target Times'!$L$1:$AP$6,MATCH(K152&amp;"_"&amp;L152&amp;"_"&amp;J152,INDEX('Planning and Target Times'!$L$1:$AP$6,1,0),0),0)+5),"",(VLOOKUP(G152,'Planning and Target Times'!$L$1:$AP$6,MATCH(K152&amp;"_"&amp;L152&amp;"_"&amp;J152,INDEX('Planning and Target Times'!$L$1:$AP$6,1,0),0),0)+5))</f>
        <v>75</v>
      </c>
      <c r="S152" s="528">
        <f t="shared" si="29"/>
        <v>70</v>
      </c>
      <c r="T152" s="538" t="e">
        <f>VLOOKUP(G152,'Planning and Target Times'!$A$7:$G$12,MATCH(K152&amp;"-"&amp;L152&amp;"-"&amp;J152,INDEX('Planning and Target Times'!$A$7:$G$12,1,0),0),0)</f>
        <v>#N/A</v>
      </c>
      <c r="U152" s="540"/>
      <c r="V152" s="540"/>
      <c r="W152" s="540"/>
      <c r="X152" s="535" t="str">
        <f t="shared" si="34"/>
        <v>UB</v>
      </c>
      <c r="Y152" s="540"/>
      <c r="Z152" s="540"/>
      <c r="AA152" s="540"/>
      <c r="AB152" s="540"/>
      <c r="AC152" s="540"/>
      <c r="AD152" s="540"/>
      <c r="AE152" s="540" t="s">
        <v>91</v>
      </c>
      <c r="AF152" s="528"/>
      <c r="AG152" s="540" t="str">
        <f t="shared" si="30"/>
        <v>SA30-SA-UB-Inj-NW-SL</v>
      </c>
      <c r="AH152" s="540" t="str">
        <f t="shared" si="31"/>
        <v>SA30-SP-159</v>
      </c>
      <c r="AI152" s="540" t="str">
        <f t="shared" si="32"/>
        <v>SA30-UB-NW-Inj</v>
      </c>
      <c r="AJ152" s="540">
        <f ca="1">IF(P152&gt;0,"RR",IF(O152&gt;0,0,COUNTIF($H$2:H152,H152)-IFERROR(COUNTIF(OFFSET($H$1,0,0,SUMPRODUCT(MAX(($H$2:H152=H152)*ROW($H$2:H152)*($O$2:O152&lt;&gt;""))),1),H152),0)))</f>
        <v>6</v>
      </c>
      <c r="AK152" s="527"/>
      <c r="AL152" s="528" t="str">
        <f>VLOOKUP(G152,'Planning and Target Times'!$I$2:$J$7,2,0)</f>
        <v>Sandstone</v>
      </c>
      <c r="AM152" s="540"/>
      <c r="AN152" s="540"/>
      <c r="AO152" s="540"/>
      <c r="AP152" s="533">
        <f t="shared" si="33"/>
        <v>0</v>
      </c>
      <c r="AQ152" s="540"/>
      <c r="AR152" s="540"/>
      <c r="AS152" s="540"/>
      <c r="AT152" s="540"/>
      <c r="AU152" s="540"/>
      <c r="AV152" s="540"/>
      <c r="AW152" s="540"/>
      <c r="AX152" s="540"/>
      <c r="AY152" s="540"/>
      <c r="AZ152" s="540"/>
      <c r="BA152" s="540"/>
      <c r="BB152" s="540"/>
      <c r="BC152" s="540"/>
      <c r="BD152" s="540"/>
      <c r="BE152" s="540"/>
      <c r="BF152" s="540"/>
      <c r="BG152" s="540"/>
      <c r="BH152" s="540"/>
      <c r="BI152" s="540"/>
      <c r="BJ152" s="540"/>
      <c r="BK152" s="540"/>
      <c r="BL152" s="540"/>
      <c r="BM152" s="540"/>
      <c r="BN152" s="540"/>
      <c r="BO152" s="526" t="str">
        <f ca="1">IF(ISERROR(IF(INDEX(Rig_Schedule_View!$I$11:$I$262,MATCH(Well_Data_NK_Upcoming!AG148,Rig_Schedule_View!$B$11:$B$262,0))=0,O152,(INDEX(Rig_Schedule_View!$I$11:$I$262,MATCH(Well_Data_NK_Upcoming!AG148,Rig_Schedule_View!$B$11:$B$262,0))))),O152,(IF(INDEX(Rig_Schedule_View!$I$11:$I$262,MATCH(Well_Data_NK_Upcoming!AG148,Rig_Schedule_View!$B$11:$B$262,0))=0,O152,(INDEX(Rig_Schedule_View!$I$11:$I$262,MATCH(Well_Data_NK_Upcoming!AG148,Rig_Schedule_View!$B$11:$B$262,0))))))</f>
        <v/>
      </c>
      <c r="BP152" s="526" t="str">
        <f ca="1">IF(ISERROR(IF(INDEX(Rig_Schedule_View!$J$11:$J$262,MATCH(Well_Data_NK_Upcoming!AG148,Rig_Schedule_View!$B$11:$B$262,0))=0,P152,(INDEX(Rig_Schedule_View!$J$11:$J$262,MATCH(Well_Data_NK_Upcoming!AG148,Rig_Schedule_View!$B$11:$B$262,0))))),P152,(IF(INDEX(Rig_Schedule_View!$J$11:$J$262,MATCH(Well_Data_NK_Upcoming!AG148,Rig_Schedule_View!$B$11:$B$262,0))=0,P152,(INDEX(Rig_Schedule_View!$J$11:$J$262,MATCH(Well_Data_NK_Upcoming!AG148,Rig_Schedule_View!$B$11:$B$262,0))))))</f>
        <v/>
      </c>
      <c r="BQ152" s="527"/>
      <c r="BR152" s="525"/>
      <c r="BS152" s="525"/>
      <c r="BT152" s="525"/>
      <c r="BU152" s="525"/>
      <c r="BV152" s="525"/>
      <c r="BW152" s="525"/>
      <c r="BX152" s="525"/>
      <c r="BY152" s="525"/>
      <c r="BZ152" s="525"/>
    </row>
    <row r="153" spans="1:78" x14ac:dyDescent="0.25">
      <c r="A153" s="540" t="s">
        <v>1795</v>
      </c>
      <c r="B153" s="540" t="s">
        <v>11</v>
      </c>
      <c r="C153" s="540"/>
      <c r="D153" s="529" t="s">
        <v>2362</v>
      </c>
      <c r="E153" s="540"/>
      <c r="F153" s="528" t="str">
        <f t="shared" si="35"/>
        <v>SA</v>
      </c>
      <c r="G153" s="540"/>
      <c r="H153" s="536" t="s">
        <v>79</v>
      </c>
      <c r="I153" s="540"/>
      <c r="J153" s="540" t="s">
        <v>298</v>
      </c>
      <c r="K153" s="540" t="s">
        <v>14</v>
      </c>
      <c r="L153" s="540" t="s">
        <v>1416</v>
      </c>
      <c r="M153" s="539"/>
      <c r="N153" s="540"/>
      <c r="O153" s="532"/>
      <c r="P153" s="540"/>
      <c r="Q153" s="540"/>
      <c r="R153" s="537" t="str">
        <f>IF(ISERROR(VLOOKUP(G153,'Planning and Target Times'!$L$1:$AP$6,MATCH(K153&amp;"_"&amp;L153&amp;"_"&amp;J153,INDEX('Planning and Target Times'!$L$1:$AP$6,1,0),0),0)+5),"",(VLOOKUP(G153,'Planning and Target Times'!$L$1:$AP$6,MATCH(K153&amp;"_"&amp;L153&amp;"_"&amp;J153,INDEX('Planning and Target Times'!$L$1:$AP$6,1,0),0),0)+5))</f>
        <v/>
      </c>
      <c r="S153" s="528" t="str">
        <f t="shared" si="29"/>
        <v/>
      </c>
      <c r="T153" s="538" t="e">
        <f>VLOOKUP(G153,'Planning and Target Times'!$A$7:$G$12,MATCH(K153&amp;"-"&amp;L153&amp;"-"&amp;J153,INDEX('Planning and Target Times'!$A$7:$G$12,1,0),0),0)</f>
        <v>#N/A</v>
      </c>
      <c r="U153" s="540"/>
      <c r="V153" s="540"/>
      <c r="W153" s="540"/>
      <c r="X153" s="535">
        <f t="shared" si="34"/>
        <v>0</v>
      </c>
      <c r="Y153" s="540"/>
      <c r="Z153" s="540"/>
      <c r="AA153" s="540"/>
      <c r="AB153" s="540"/>
      <c r="AC153" s="540"/>
      <c r="AD153" s="540"/>
      <c r="AE153" s="540" t="s">
        <v>91</v>
      </c>
      <c r="AF153" s="528"/>
      <c r="AG153" s="540" t="str">
        <f t="shared" si="30"/>
        <v>SA56-SA-Prod-NW-SL</v>
      </c>
      <c r="AH153" s="540" t="str">
        <f t="shared" si="31"/>
        <v>SA56-SP-185</v>
      </c>
      <c r="AI153" s="540" t="str">
        <f t="shared" si="32"/>
        <v>SA56-NW-Prod</v>
      </c>
      <c r="AJ153" s="540">
        <f ca="1">IF(P153&gt;0,"RR",IF(O153&gt;0,0,COUNTIF($H$2:H153,H153)-IFERROR(COUNTIF(OFFSET($H$1,0,0,SUMPRODUCT(MAX(($H$2:H153=H153)*ROW($H$2:H153)*($O$2:O153&lt;&gt;""))),1),H153),0)))</f>
        <v>6</v>
      </c>
      <c r="AK153" s="527" t="str">
        <f>IF(ISERROR(VLOOKUP(G153,'Planning and Target Times'!$B$106:$D$110,MATCH(F153,INDEX('Planning and Target Times'!$B$106:$D$110,1,0),0),0)),"",(VLOOKUP(G153,'Planning and Target Times'!$B$106:$D$110,MATCH(F153,INDEX('Planning and Target Times'!$B$106:$D$110,1,0),0),0)))</f>
        <v/>
      </c>
      <c r="AL153" s="528" t="e">
        <f>VLOOKUP(G153,'Planning and Target Times'!$I$2:$J$7,2,0)</f>
        <v>#N/A</v>
      </c>
      <c r="AM153" s="540"/>
      <c r="AN153" s="540"/>
      <c r="AO153" s="540"/>
      <c r="AP153" s="533" t="e">
        <f t="shared" si="33"/>
        <v>#VALUE!</v>
      </c>
      <c r="AQ153" s="540"/>
      <c r="AR153" s="540"/>
      <c r="AS153" s="540"/>
      <c r="AT153" s="540"/>
      <c r="AU153" s="540"/>
      <c r="AV153" s="540"/>
      <c r="AW153" s="540"/>
      <c r="AX153" s="540"/>
      <c r="AY153" s="540"/>
      <c r="AZ153" s="540"/>
      <c r="BA153" s="540"/>
      <c r="BB153" s="540"/>
      <c r="BC153" s="540"/>
      <c r="BD153" s="540"/>
      <c r="BE153" s="540"/>
      <c r="BF153" s="540"/>
      <c r="BG153" s="540"/>
      <c r="BH153" s="540"/>
      <c r="BI153" s="540"/>
      <c r="BJ153" s="540"/>
      <c r="BK153" s="540"/>
      <c r="BL153" s="540"/>
      <c r="BM153" s="540"/>
      <c r="BN153" s="540"/>
      <c r="BO153" s="526">
        <f ca="1">IF(ISERROR(IF(INDEX(Rig_Schedule_View!$I$11:$I$262,MATCH(Well_Data_NK_Upcoming!AG149,Rig_Schedule_View!$B$11:$B$262,0))=0,O153,(INDEX(Rig_Schedule_View!$I$11:$I$262,MATCH(Well_Data_NK_Upcoming!AG149,Rig_Schedule_View!$B$11:$B$262,0))))),O153,(IF(INDEX(Rig_Schedule_View!$I$11:$I$262,MATCH(Well_Data_NK_Upcoming!AG149,Rig_Schedule_View!$B$11:$B$262,0))=0,O153,(INDEX(Rig_Schedule_View!$I$11:$I$262,MATCH(Well_Data_NK_Upcoming!AG149,Rig_Schedule_View!$B$11:$B$262,0))))))</f>
        <v>42669</v>
      </c>
      <c r="BP153" s="526">
        <f ca="1">IF(ISERROR(IF(INDEX(Rig_Schedule_View!$J$11:$J$262,MATCH(Well_Data_NK_Upcoming!AG149,Rig_Schedule_View!$B$11:$B$262,0))=0,P153,(INDEX(Rig_Schedule_View!$J$11:$J$262,MATCH(Well_Data_NK_Upcoming!AG149,Rig_Schedule_View!$B$11:$B$262,0))))),P153,(IF(INDEX(Rig_Schedule_View!$J$11:$J$262,MATCH(Well_Data_NK_Upcoming!AG149,Rig_Schedule_View!$B$11:$B$262,0))=0,P153,(INDEX(Rig_Schedule_View!$J$11:$J$262,MATCH(Well_Data_NK_Upcoming!AG149,Rig_Schedule_View!$B$11:$B$262,0))))))</f>
        <v>42739</v>
      </c>
      <c r="BQ153" s="527"/>
      <c r="BR153" s="525"/>
      <c r="BS153" s="525"/>
      <c r="BT153" s="525"/>
      <c r="BU153" s="525"/>
      <c r="BV153" s="525"/>
      <c r="BW153" s="525"/>
      <c r="BX153" s="525"/>
      <c r="BY153" s="525"/>
      <c r="BZ153" s="525"/>
    </row>
    <row r="154" spans="1:78" x14ac:dyDescent="0.25">
      <c r="A154" s="540" t="s">
        <v>1749</v>
      </c>
      <c r="B154" s="540" t="s">
        <v>42</v>
      </c>
      <c r="C154" s="540"/>
      <c r="D154" s="529" t="s">
        <v>2363</v>
      </c>
      <c r="E154" s="540"/>
      <c r="F154" s="528" t="str">
        <f t="shared" si="35"/>
        <v>RA</v>
      </c>
      <c r="G154" s="540" t="s">
        <v>17</v>
      </c>
      <c r="H154" s="536" t="s">
        <v>37</v>
      </c>
      <c r="I154" s="540" t="s">
        <v>24</v>
      </c>
      <c r="J154" s="540" t="s">
        <v>298</v>
      </c>
      <c r="K154" s="540" t="s">
        <v>14</v>
      </c>
      <c r="L154" s="540" t="s">
        <v>1410</v>
      </c>
      <c r="M154" s="539"/>
      <c r="N154" s="540"/>
      <c r="O154" s="532"/>
      <c r="P154" s="540"/>
      <c r="Q154" s="540"/>
      <c r="R154" s="537">
        <f>IF(ISERROR(VLOOKUP(G154,'Planning and Target Times'!$L$1:$AP$6,MATCH(K154&amp;"_"&amp;L154&amp;"_"&amp;J154,INDEX('Planning and Target Times'!$L$1:$AP$6,1,0),0),0)+5),"",(VLOOKUP(G154,'Planning and Target Times'!$L$1:$AP$6,MATCH(K154&amp;"_"&amp;L154&amp;"_"&amp;J154,INDEX('Planning and Target Times'!$L$1:$AP$6,1,0),0),0)+5))</f>
        <v>75</v>
      </c>
      <c r="S154" s="528">
        <f t="shared" si="29"/>
        <v>70</v>
      </c>
      <c r="T154" s="538">
        <f>VLOOKUP(G154,'Planning and Target Times'!$A$7:$G$12,MATCH(K154&amp;"-"&amp;L154&amp;"-"&amp;J154,INDEX('Planning and Target Times'!$A$7:$G$12,1,0),0),0)</f>
        <v>35</v>
      </c>
      <c r="U154" s="540"/>
      <c r="V154" s="540"/>
      <c r="W154" s="540"/>
      <c r="X154" s="535" t="str">
        <f t="shared" si="34"/>
        <v>MA</v>
      </c>
      <c r="Y154" s="540"/>
      <c r="Z154" s="540"/>
      <c r="AA154" s="540"/>
      <c r="AB154" s="540"/>
      <c r="AC154" s="540"/>
      <c r="AD154" s="540"/>
      <c r="AE154" s="540" t="s">
        <v>91</v>
      </c>
      <c r="AF154" s="528"/>
      <c r="AG154" s="540" t="str">
        <f t="shared" si="30"/>
        <v>RA36-RA-MA-Prod-NW-HZ-SLB</v>
      </c>
      <c r="AH154" s="540" t="str">
        <f t="shared" si="31"/>
        <v>RA36-SP-186</v>
      </c>
      <c r="AI154" s="540" t="str">
        <f t="shared" si="32"/>
        <v>RA36-MA-NW-Prod</v>
      </c>
      <c r="AJ154" s="540">
        <f ca="1">IF(P154&gt;0,"RR",IF(O154&gt;0,0,COUNTIF($H$2:H154,H154)-IFERROR(COUNTIF(OFFSET($H$1,0,0,SUMPRODUCT(MAX(($H$2:H154=H154)*ROW($H$2:H154)*($O$2:O154&lt;&gt;""))),1),H154),0)))</f>
        <v>6</v>
      </c>
      <c r="AK154" s="527">
        <f>IF(ISERROR(VLOOKUP(G154,'Planning and Target Times'!$B$106:$D$110,MATCH(F154,INDEX('Planning and Target Times'!$B$106:$D$110,1,0),0),0)),"",(VLOOKUP(G154,'Planning and Target Times'!$B$106:$D$110,MATCH(F154,INDEX('Planning and Target Times'!$B$106:$D$110,1,0),0),0)))</f>
        <v>650</v>
      </c>
      <c r="AL154" s="528" t="str">
        <f>VLOOKUP(G154,'Planning and Target Times'!$I$2:$J$7,2,0)</f>
        <v>Carbonate</v>
      </c>
      <c r="AM154" s="540"/>
      <c r="AN154" s="540"/>
      <c r="AO154" s="540"/>
      <c r="AP154" s="533">
        <f t="shared" si="33"/>
        <v>8.6666666666666661</v>
      </c>
      <c r="AQ154" s="540"/>
      <c r="AR154" s="540"/>
      <c r="AS154" s="540"/>
      <c r="AT154" s="540"/>
      <c r="AU154" s="540"/>
      <c r="AV154" s="540"/>
      <c r="AW154" s="540"/>
      <c r="AX154" s="540"/>
      <c r="AY154" s="540"/>
      <c r="AZ154" s="540"/>
      <c r="BA154" s="540"/>
      <c r="BB154" s="540"/>
      <c r="BC154" s="540"/>
      <c r="BD154" s="540"/>
      <c r="BE154" s="540"/>
      <c r="BF154" s="540"/>
      <c r="BG154" s="540"/>
      <c r="BH154" s="540"/>
      <c r="BI154" s="540"/>
      <c r="BJ154" s="540"/>
      <c r="BK154" s="540"/>
      <c r="BL154" s="540"/>
      <c r="BM154" s="540"/>
      <c r="BN154" s="540"/>
      <c r="BO154" s="526">
        <f ca="1">IF(ISERROR(IF(INDEX(Rig_Schedule_View!$I$11:$I$262,MATCH(Well_Data_NK_Upcoming!AG150,Rig_Schedule_View!$B$11:$B$262,0))=0,O154,(INDEX(Rig_Schedule_View!$I$11:$I$262,MATCH(Well_Data_NK_Upcoming!AG150,Rig_Schedule_View!$B$11:$B$262,0))))),O154,(IF(INDEX(Rig_Schedule_View!$I$11:$I$262,MATCH(Well_Data_NK_Upcoming!AG150,Rig_Schedule_View!$B$11:$B$262,0))=0,O154,(INDEX(Rig_Schedule_View!$I$11:$I$262,MATCH(Well_Data_NK_Upcoming!AG150,Rig_Schedule_View!$B$11:$B$262,0))))))</f>
        <v>42627</v>
      </c>
      <c r="BP154" s="526">
        <f ca="1">IF(ISERROR(IF(INDEX(Rig_Schedule_View!$J$11:$J$262,MATCH(Well_Data_NK_Upcoming!AG150,Rig_Schedule_View!$B$11:$B$262,0))=0,P154,(INDEX(Rig_Schedule_View!$J$11:$J$262,MATCH(Well_Data_NK_Upcoming!AG150,Rig_Schedule_View!$B$11:$B$262,0))))),P154,(IF(INDEX(Rig_Schedule_View!$J$11:$J$262,MATCH(Well_Data_NK_Upcoming!AG150,Rig_Schedule_View!$B$11:$B$262,0))=0,P154,(INDEX(Rig_Schedule_View!$J$11:$J$262,MATCH(Well_Data_NK_Upcoming!AG150,Rig_Schedule_View!$B$11:$B$262,0))))))</f>
        <v>42697</v>
      </c>
      <c r="BQ154" s="527"/>
      <c r="BR154" s="525"/>
      <c r="BS154" s="525"/>
      <c r="BT154" s="525"/>
      <c r="BU154" s="525"/>
      <c r="BV154" s="525"/>
      <c r="BW154" s="525"/>
      <c r="BX154" s="525"/>
      <c r="BY154" s="525"/>
      <c r="BZ154" s="525"/>
    </row>
    <row r="155" spans="1:78" x14ac:dyDescent="0.25">
      <c r="A155" s="540" t="s">
        <v>1782</v>
      </c>
      <c r="B155" s="540" t="s">
        <v>11</v>
      </c>
      <c r="C155" s="540"/>
      <c r="D155" s="529" t="s">
        <v>2364</v>
      </c>
      <c r="E155" s="540"/>
      <c r="F155" s="528" t="str">
        <f t="shared" si="35"/>
        <v>SA</v>
      </c>
      <c r="G155" s="540" t="s">
        <v>17</v>
      </c>
      <c r="H155" s="536" t="s">
        <v>838</v>
      </c>
      <c r="I155" s="540"/>
      <c r="J155" s="540" t="s">
        <v>298</v>
      </c>
      <c r="K155" s="540" t="s">
        <v>14</v>
      </c>
      <c r="L155" s="540" t="s">
        <v>1410</v>
      </c>
      <c r="M155" s="539"/>
      <c r="N155" s="540"/>
      <c r="O155" s="532"/>
      <c r="P155" s="540"/>
      <c r="Q155" s="540"/>
      <c r="R155" s="537">
        <f>IF(ISERROR(VLOOKUP(G155,'Planning and Target Times'!$L$1:$AP$6,MATCH(K155&amp;"_"&amp;L155&amp;"_"&amp;J155,INDEX('Planning and Target Times'!$L$1:$AP$6,1,0),0),0)+5),"",(VLOOKUP(G155,'Planning and Target Times'!$L$1:$AP$6,MATCH(K155&amp;"_"&amp;L155&amp;"_"&amp;J155,INDEX('Planning and Target Times'!$L$1:$AP$6,1,0),0),0)+5))</f>
        <v>75</v>
      </c>
      <c r="S155" s="528">
        <f t="shared" si="29"/>
        <v>70</v>
      </c>
      <c r="T155" s="538">
        <f>VLOOKUP(G155,'Planning and Target Times'!$A$7:$G$12,MATCH(K155&amp;"-"&amp;L155&amp;"-"&amp;J155,INDEX('Planning and Target Times'!$A$7:$G$12,1,0),0),0)</f>
        <v>35</v>
      </c>
      <c r="U155" s="540"/>
      <c r="V155" s="540"/>
      <c r="W155" s="540"/>
      <c r="X155" s="535" t="str">
        <f t="shared" si="34"/>
        <v>MA</v>
      </c>
      <c r="Y155" s="540"/>
      <c r="Z155" s="540"/>
      <c r="AA155" s="540"/>
      <c r="AB155" s="540"/>
      <c r="AC155" s="540"/>
      <c r="AD155" s="540"/>
      <c r="AE155" s="540" t="s">
        <v>91</v>
      </c>
      <c r="AF155" s="528"/>
      <c r="AG155" s="540" t="str">
        <f t="shared" si="30"/>
        <v>SA41-SA-MA-Prod-NW-HZ</v>
      </c>
      <c r="AH155" s="540" t="str">
        <f t="shared" si="31"/>
        <v>SA41-SP-266</v>
      </c>
      <c r="AI155" s="540" t="str">
        <f t="shared" si="32"/>
        <v>SA41-MA-NW-Prod</v>
      </c>
      <c r="AJ155" s="540">
        <f ca="1">IF(P155&gt;0,"RR",IF(O155&gt;0,0,COUNTIF($H$2:H155,H155)-IFERROR(COUNTIF(OFFSET($H$1,0,0,SUMPRODUCT(MAX(($H$2:H155=H155)*ROW($H$2:H155)*($O$2:O155&lt;&gt;""))),1),H155),0)))</f>
        <v>6</v>
      </c>
      <c r="AK155" s="527">
        <f>IF(ISERROR(VLOOKUP(G155,'Planning and Target Times'!$B$106:$D$110,MATCH(F155,INDEX('Planning and Target Times'!$B$106:$D$110,1,0),0),0)),"",(VLOOKUP(G155,'Planning and Target Times'!$B$106:$D$110,MATCH(F155,INDEX('Planning and Target Times'!$B$106:$D$110,1,0),0),0)))</f>
        <v>740</v>
      </c>
      <c r="AL155" s="528" t="str">
        <f>VLOOKUP(G155,'Planning and Target Times'!$I$2:$J$7,2,0)</f>
        <v>Carbonate</v>
      </c>
      <c r="AM155" s="540"/>
      <c r="AN155" s="540"/>
      <c r="AO155" s="540"/>
      <c r="AP155" s="533">
        <f t="shared" si="33"/>
        <v>9.8666666666666671</v>
      </c>
      <c r="AQ155" s="540"/>
      <c r="AR155" s="540"/>
      <c r="AS155" s="540"/>
      <c r="AT155" s="540"/>
      <c r="AU155" s="540"/>
      <c r="AV155" s="540"/>
      <c r="AW155" s="540"/>
      <c r="AX155" s="540"/>
      <c r="AY155" s="540"/>
      <c r="AZ155" s="540"/>
      <c r="BA155" s="540"/>
      <c r="BB155" s="540"/>
      <c r="BC155" s="540"/>
      <c r="BD155" s="540"/>
      <c r="BE155" s="540"/>
      <c r="BF155" s="540"/>
      <c r="BG155" s="540"/>
      <c r="BH155" s="540"/>
      <c r="BI155" s="540"/>
      <c r="BJ155" s="540"/>
      <c r="BK155" s="540"/>
      <c r="BL155" s="540"/>
      <c r="BM155" s="540"/>
      <c r="BN155" s="540"/>
      <c r="BO155" s="526" t="str">
        <f ca="1">IF(ISERROR(IF(INDEX(Rig_Schedule_View!$I$11:$I$262,MATCH(Well_Data_NK_Upcoming!AG151,Rig_Schedule_View!$B$11:$B$262,0))=0,O155,(INDEX(Rig_Schedule_View!$I$11:$I$262,MATCH(Well_Data_NK_Upcoming!AG151,Rig_Schedule_View!$B$11:$B$262,0))))),O155,(IF(INDEX(Rig_Schedule_View!$I$11:$I$262,MATCH(Well_Data_NK_Upcoming!AG151,Rig_Schedule_View!$B$11:$B$262,0))=0,O155,(INDEX(Rig_Schedule_View!$I$11:$I$262,MATCH(Well_Data_NK_Upcoming!AG151,Rig_Schedule_View!$B$11:$B$262,0))))))</f>
        <v/>
      </c>
      <c r="BP155" s="526" t="str">
        <f ca="1">IF(ISERROR(IF(INDEX(Rig_Schedule_View!$J$11:$J$262,MATCH(Well_Data_NK_Upcoming!AG151,Rig_Schedule_View!$B$11:$B$262,0))=0,P155,(INDEX(Rig_Schedule_View!$J$11:$J$262,MATCH(Well_Data_NK_Upcoming!AG151,Rig_Schedule_View!$B$11:$B$262,0))))),P155,(IF(INDEX(Rig_Schedule_View!$J$11:$J$262,MATCH(Well_Data_NK_Upcoming!AG151,Rig_Schedule_View!$B$11:$B$262,0))=0,P155,(INDEX(Rig_Schedule_View!$J$11:$J$262,MATCH(Well_Data_NK_Upcoming!AG151,Rig_Schedule_View!$B$11:$B$262,0))))))</f>
        <v/>
      </c>
      <c r="BQ155" s="527"/>
      <c r="BR155" s="525"/>
      <c r="BS155" s="525"/>
      <c r="BT155" s="525"/>
      <c r="BU155" s="525"/>
      <c r="BV155" s="525"/>
      <c r="BW155" s="525"/>
      <c r="BX155" s="525"/>
      <c r="BY155" s="525"/>
      <c r="BZ155" s="525"/>
    </row>
    <row r="156" spans="1:78" x14ac:dyDescent="0.25">
      <c r="A156" s="540" t="s">
        <v>1967</v>
      </c>
      <c r="B156" s="540" t="s">
        <v>1967</v>
      </c>
      <c r="C156" s="540"/>
      <c r="D156" s="529" t="s">
        <v>2365</v>
      </c>
      <c r="E156" s="540"/>
      <c r="F156" s="528" t="str">
        <f t="shared" si="35"/>
        <v>SA</v>
      </c>
      <c r="G156" s="540" t="s">
        <v>29</v>
      </c>
      <c r="H156" s="536" t="s">
        <v>839</v>
      </c>
      <c r="I156" s="540"/>
      <c r="J156" s="540" t="s">
        <v>34</v>
      </c>
      <c r="K156" s="540" t="s">
        <v>14</v>
      </c>
      <c r="L156" s="540" t="s">
        <v>1511</v>
      </c>
      <c r="M156" s="539"/>
      <c r="N156" s="540"/>
      <c r="O156" s="532"/>
      <c r="P156" s="540"/>
      <c r="Q156" s="540"/>
      <c r="R156" s="537">
        <f>IF(ISERROR(VLOOKUP(G156,'Planning and Target Times'!$L$1:$AP$6,MATCH(K156&amp;"_"&amp;L156&amp;"_"&amp;J156,INDEX('Planning and Target Times'!$L$1:$AP$6,1,0),0),0)+5),"",(VLOOKUP(G156,'Planning and Target Times'!$L$1:$AP$6,MATCH(K156&amp;"_"&amp;L156&amp;"_"&amp;J156,INDEX('Planning and Target Times'!$L$1:$AP$6,1,0),0),0)+5))</f>
        <v>75</v>
      </c>
      <c r="S156" s="528">
        <f t="shared" si="29"/>
        <v>70</v>
      </c>
      <c r="T156" s="538" t="e">
        <f>VLOOKUP(G156,'Planning and Target Times'!$A$7:$G$12,MATCH(K156&amp;"-"&amp;L156&amp;"-"&amp;J156,INDEX('Planning and Target Times'!$A$7:$G$12,1,0),0),0)</f>
        <v>#N/A</v>
      </c>
      <c r="U156" s="540"/>
      <c r="V156" s="540"/>
      <c r="W156" s="540"/>
      <c r="X156" s="535" t="str">
        <f t="shared" si="34"/>
        <v>UB</v>
      </c>
      <c r="Y156" s="540"/>
      <c r="Z156" s="540"/>
      <c r="AA156" s="540"/>
      <c r="AB156" s="540"/>
      <c r="AC156" s="540"/>
      <c r="AD156" s="540"/>
      <c r="AE156" s="540" t="s">
        <v>91</v>
      </c>
      <c r="AF156" s="528"/>
      <c r="AG156" s="540" t="str">
        <f t="shared" si="30"/>
        <v>SA-0563-SA-UB-Inj-NW-V</v>
      </c>
      <c r="AH156" s="540" t="str">
        <f t="shared" si="31"/>
        <v>SA-0563-SP-267</v>
      </c>
      <c r="AI156" s="540" t="str">
        <f t="shared" si="32"/>
        <v>SA-0563-UB-NW-Inj</v>
      </c>
      <c r="AJ156" s="540">
        <f ca="1">IF(P156&gt;0,"RR",IF(O156&gt;0,0,COUNTIF($H$2:H156,H156)-IFERROR(COUNTIF(OFFSET($H$1,0,0,SUMPRODUCT(MAX(($H$2:H156=H156)*ROW($H$2:H156)*($O$2:O156&lt;&gt;""))),1),H156),0)))</f>
        <v>6</v>
      </c>
      <c r="AK156" s="527">
        <f>IF(ISERROR(VLOOKUP(G156,'Planning and Target Times'!$B$106:$D$110,MATCH(F156,INDEX('Planning and Target Times'!$B$106:$D$110,1,0),0),0)),"",(VLOOKUP(G156,'Planning and Target Times'!$B$106:$D$110,MATCH(F156,INDEX('Planning and Target Times'!$B$106:$D$110,1,0),0),0)))</f>
        <v>630</v>
      </c>
      <c r="AL156" s="528" t="str">
        <f>VLOOKUP(G156,'Planning and Target Times'!$I$2:$J$7,2,0)</f>
        <v>Sandstone</v>
      </c>
      <c r="AM156" s="540"/>
      <c r="AN156" s="540"/>
      <c r="AO156" s="540"/>
      <c r="AP156" s="533">
        <f t="shared" si="33"/>
        <v>8.4</v>
      </c>
      <c r="AQ156" s="540"/>
      <c r="AR156" s="540"/>
      <c r="AS156" s="540"/>
      <c r="AT156" s="540"/>
      <c r="AU156" s="540"/>
      <c r="AV156" s="540"/>
      <c r="AW156" s="540"/>
      <c r="AX156" s="540"/>
      <c r="AY156" s="540"/>
      <c r="AZ156" s="540"/>
      <c r="BA156" s="540"/>
      <c r="BB156" s="540"/>
      <c r="BC156" s="540"/>
      <c r="BD156" s="540"/>
      <c r="BE156" s="540"/>
      <c r="BF156" s="540"/>
      <c r="BG156" s="540"/>
      <c r="BH156" s="540"/>
      <c r="BI156" s="540"/>
      <c r="BJ156" s="540"/>
      <c r="BK156" s="540"/>
      <c r="BL156" s="540"/>
      <c r="BM156" s="540"/>
      <c r="BN156" s="540"/>
      <c r="BO156" s="526" t="str">
        <f ca="1">IF(ISERROR(IF(INDEX(Rig_Schedule_View!$I$11:$I$262,MATCH(Well_Data_NK_Upcoming!AG152,Rig_Schedule_View!$B$11:$B$262,0))=0,O156,(INDEX(Rig_Schedule_View!$I$11:$I$262,MATCH(Well_Data_NK_Upcoming!AG152,Rig_Schedule_View!$B$11:$B$262,0))))),O156,(IF(INDEX(Rig_Schedule_View!$I$11:$I$262,MATCH(Well_Data_NK_Upcoming!AG152,Rig_Schedule_View!$B$11:$B$262,0))=0,O156,(INDEX(Rig_Schedule_View!$I$11:$I$262,MATCH(Well_Data_NK_Upcoming!AG152,Rig_Schedule_View!$B$11:$B$262,0))))))</f>
        <v/>
      </c>
      <c r="BP156" s="526" t="str">
        <f ca="1">IF(ISERROR(IF(INDEX(Rig_Schedule_View!$J$11:$J$262,MATCH(Well_Data_NK_Upcoming!AG152,Rig_Schedule_View!$B$11:$B$262,0))=0,P156,(INDEX(Rig_Schedule_View!$J$11:$J$262,MATCH(Well_Data_NK_Upcoming!AG152,Rig_Schedule_View!$B$11:$B$262,0))))),P156,(IF(INDEX(Rig_Schedule_View!$J$11:$J$262,MATCH(Well_Data_NK_Upcoming!AG152,Rig_Schedule_View!$B$11:$B$262,0))=0,P156,(INDEX(Rig_Schedule_View!$J$11:$J$262,MATCH(Well_Data_NK_Upcoming!AG152,Rig_Schedule_View!$B$11:$B$262,0))))))</f>
        <v/>
      </c>
      <c r="BQ156" s="527"/>
      <c r="BR156" s="525"/>
      <c r="BS156" s="525"/>
      <c r="BT156" s="525"/>
      <c r="BU156" s="525"/>
      <c r="BV156" s="525"/>
      <c r="BW156" s="525"/>
      <c r="BX156" s="525"/>
      <c r="BY156" s="525"/>
      <c r="BZ156" s="525"/>
    </row>
    <row r="157" spans="1:78" x14ac:dyDescent="0.25">
      <c r="A157" s="540" t="s">
        <v>1745</v>
      </c>
      <c r="B157" s="540" t="s">
        <v>42</v>
      </c>
      <c r="C157" s="540"/>
      <c r="D157" s="529" t="s">
        <v>2366</v>
      </c>
      <c r="E157" s="540"/>
      <c r="F157" s="528" t="str">
        <f t="shared" si="35"/>
        <v>RA</v>
      </c>
      <c r="G157" s="540" t="s">
        <v>22</v>
      </c>
      <c r="H157" s="536" t="s">
        <v>1414</v>
      </c>
      <c r="I157" s="540" t="s">
        <v>24</v>
      </c>
      <c r="J157" s="540" t="s">
        <v>298</v>
      </c>
      <c r="K157" s="540" t="s">
        <v>14</v>
      </c>
      <c r="L157" s="540" t="s">
        <v>1416</v>
      </c>
      <c r="M157" s="539"/>
      <c r="N157" s="540"/>
      <c r="O157" s="532"/>
      <c r="P157" s="540"/>
      <c r="Q157" s="540"/>
      <c r="R157" s="537">
        <f>IF(ISERROR(VLOOKUP(G157,'Planning and Target Times'!$L$1:$AP$6,MATCH(K157&amp;"_"&amp;L157&amp;"_"&amp;J157,INDEX('Planning and Target Times'!$L$1:$AP$6,1,0),0),0)+5),"",(VLOOKUP(G157,'Planning and Target Times'!$L$1:$AP$6,MATCH(K157&amp;"_"&amp;L157&amp;"_"&amp;J157,INDEX('Planning and Target Times'!$L$1:$AP$6,1,0),0),0)+5))</f>
        <v>75</v>
      </c>
      <c r="S157" s="528">
        <f t="shared" si="29"/>
        <v>70</v>
      </c>
      <c r="T157" s="538">
        <f>VLOOKUP(G157,'Planning and Target Times'!$A$7:$G$12,MATCH(K157&amp;"-"&amp;L157&amp;"-"&amp;J157,INDEX('Planning and Target Times'!$A$7:$G$12,1,0),0),0)</f>
        <v>33</v>
      </c>
      <c r="U157" s="540"/>
      <c r="V157" s="540"/>
      <c r="W157" s="540"/>
      <c r="X157" s="535" t="str">
        <f t="shared" si="34"/>
        <v>LB</v>
      </c>
      <c r="Y157" s="540"/>
      <c r="Z157" s="540"/>
      <c r="AA157" s="540"/>
      <c r="AB157" s="540"/>
      <c r="AC157" s="540"/>
      <c r="AD157" s="540"/>
      <c r="AE157" s="540" t="s">
        <v>91</v>
      </c>
      <c r="AF157" s="528"/>
      <c r="AG157" s="540" t="str">
        <f t="shared" si="30"/>
        <v>RA32-RA-LB-Prod-NW-SL-SLB</v>
      </c>
      <c r="AH157" s="540" t="str">
        <f t="shared" si="31"/>
        <v>RA32-SP-283</v>
      </c>
      <c r="AI157" s="540" t="str">
        <f t="shared" si="32"/>
        <v>RA32-LB-NW-Prod</v>
      </c>
      <c r="AJ157" s="540">
        <f ca="1">IF(P157&gt;0,"RR",IF(O157&gt;0,0,COUNTIF($H$2:H157,H157)-IFERROR(COUNTIF(OFFSET($H$1,0,0,SUMPRODUCT(MAX(($H$2:H157=H157)*ROW($H$2:H157)*($O$2:O157&lt;&gt;""))),1),H157),0)))</f>
        <v>6</v>
      </c>
      <c r="AK157" s="527">
        <f>IF(ISERROR(VLOOKUP(G157,'Planning and Target Times'!$B$106:$D$110,MATCH(F157,INDEX('Planning and Target Times'!$B$106:$D$110,1,0),0),0)),"",(VLOOKUP(G157,'Planning and Target Times'!$B$106:$D$110,MATCH(F157,INDEX('Planning and Target Times'!$B$106:$D$110,1,0),0),0)))</f>
        <v>900</v>
      </c>
      <c r="AL157" s="528" t="str">
        <f>VLOOKUP(G157,'Planning and Target Times'!$I$2:$J$7,2,0)</f>
        <v>Sandstone</v>
      </c>
      <c r="AM157" s="540"/>
      <c r="AN157" s="540"/>
      <c r="AO157" s="540"/>
      <c r="AP157" s="533">
        <f t="shared" si="33"/>
        <v>12</v>
      </c>
      <c r="AQ157" s="540"/>
      <c r="AR157" s="540"/>
      <c r="AS157" s="540"/>
      <c r="AT157" s="540"/>
      <c r="AU157" s="540"/>
      <c r="AV157" s="540"/>
      <c r="AW157" s="540"/>
      <c r="AX157" s="540"/>
      <c r="AY157" s="540"/>
      <c r="AZ157" s="540"/>
      <c r="BA157" s="540"/>
      <c r="BB157" s="540"/>
      <c r="BC157" s="540"/>
      <c r="BD157" s="540"/>
      <c r="BE157" s="540"/>
      <c r="BF157" s="540"/>
      <c r="BG157" s="540"/>
      <c r="BH157" s="540"/>
      <c r="BI157" s="540"/>
      <c r="BJ157" s="540"/>
      <c r="BK157" s="540"/>
      <c r="BL157" s="540"/>
      <c r="BM157" s="540"/>
      <c r="BN157" s="540"/>
      <c r="BO157" s="526" t="str">
        <f ca="1">IF(ISERROR(IF(INDEX(Rig_Schedule_View!$I$11:$I$262,MATCH(Well_Data_NK_Upcoming!AG153,Rig_Schedule_View!$B$11:$B$262,0))=0,O157,(INDEX(Rig_Schedule_View!$I$11:$I$262,MATCH(Well_Data_NK_Upcoming!AG153,Rig_Schedule_View!$B$11:$B$262,0))))),O157,(IF(INDEX(Rig_Schedule_View!$I$11:$I$262,MATCH(Well_Data_NK_Upcoming!AG153,Rig_Schedule_View!$B$11:$B$262,0))=0,O157,(INDEX(Rig_Schedule_View!$I$11:$I$262,MATCH(Well_Data_NK_Upcoming!AG153,Rig_Schedule_View!$B$11:$B$262,0))))))</f>
        <v/>
      </c>
      <c r="BP157" s="526" t="str">
        <f ca="1">IF(ISERROR(IF(INDEX(Rig_Schedule_View!$J$11:$J$262,MATCH(Well_Data_NK_Upcoming!AG153,Rig_Schedule_View!$B$11:$B$262,0))=0,P157,(INDEX(Rig_Schedule_View!$J$11:$J$262,MATCH(Well_Data_NK_Upcoming!AG153,Rig_Schedule_View!$B$11:$B$262,0))))),P157,(IF(INDEX(Rig_Schedule_View!$J$11:$J$262,MATCH(Well_Data_NK_Upcoming!AG153,Rig_Schedule_View!$B$11:$B$262,0))=0,P157,(INDEX(Rig_Schedule_View!$J$11:$J$262,MATCH(Well_Data_NK_Upcoming!AG153,Rig_Schedule_View!$B$11:$B$262,0))))))</f>
        <v/>
      </c>
      <c r="BQ157" s="527"/>
      <c r="BR157" s="525"/>
      <c r="BS157" s="525"/>
      <c r="BT157" s="525"/>
      <c r="BU157" s="525"/>
      <c r="BV157" s="525"/>
      <c r="BW157" s="525"/>
      <c r="BX157" s="525"/>
      <c r="BY157" s="525"/>
      <c r="BZ157" s="525"/>
    </row>
    <row r="158" spans="1:78" x14ac:dyDescent="0.25">
      <c r="A158" s="540" t="s">
        <v>1746</v>
      </c>
      <c r="B158" s="540" t="s">
        <v>42</v>
      </c>
      <c r="C158" s="540"/>
      <c r="D158" s="529" t="s">
        <v>2367</v>
      </c>
      <c r="E158" s="540"/>
      <c r="F158" s="528" t="str">
        <f t="shared" si="35"/>
        <v>RA</v>
      </c>
      <c r="G158" s="540" t="s">
        <v>22</v>
      </c>
      <c r="H158" s="536" t="s">
        <v>1415</v>
      </c>
      <c r="I158" s="540" t="s">
        <v>24</v>
      </c>
      <c r="J158" s="540" t="s">
        <v>298</v>
      </c>
      <c r="K158" s="540" t="s">
        <v>14</v>
      </c>
      <c r="L158" s="540" t="s">
        <v>1416</v>
      </c>
      <c r="M158" s="539"/>
      <c r="N158" s="540"/>
      <c r="O158" s="532"/>
      <c r="P158" s="540"/>
      <c r="Q158" s="540"/>
      <c r="R158" s="537">
        <f>IF(ISERROR(VLOOKUP(G158,'Planning and Target Times'!$L$1:$AP$6,MATCH(K158&amp;"_"&amp;L158&amp;"_"&amp;J158,INDEX('Planning and Target Times'!$L$1:$AP$6,1,0),0),0)+5),"",(VLOOKUP(G158,'Planning and Target Times'!$L$1:$AP$6,MATCH(K158&amp;"_"&amp;L158&amp;"_"&amp;J158,INDEX('Planning and Target Times'!$L$1:$AP$6,1,0),0),0)+5))</f>
        <v>75</v>
      </c>
      <c r="S158" s="528">
        <f t="shared" si="29"/>
        <v>70</v>
      </c>
      <c r="T158" s="538">
        <f>VLOOKUP(G158,'Planning and Target Times'!$A$7:$G$12,MATCH(K158&amp;"-"&amp;L158&amp;"-"&amp;J158,INDEX('Planning and Target Times'!$A$7:$G$12,1,0),0),0)</f>
        <v>33</v>
      </c>
      <c r="U158" s="540"/>
      <c r="V158" s="540"/>
      <c r="W158" s="540"/>
      <c r="X158" s="535" t="str">
        <f t="shared" si="34"/>
        <v>LB</v>
      </c>
      <c r="Y158" s="540"/>
      <c r="Z158" s="540"/>
      <c r="AA158" s="540"/>
      <c r="AB158" s="540"/>
      <c r="AC158" s="540"/>
      <c r="AD158" s="540"/>
      <c r="AE158" s="540" t="s">
        <v>91</v>
      </c>
      <c r="AF158" s="528"/>
      <c r="AG158" s="540" t="str">
        <f t="shared" si="30"/>
        <v>RA33-RA-LB-Prod-NW-SL-SLB</v>
      </c>
      <c r="AH158" s="540" t="str">
        <f t="shared" si="31"/>
        <v>RA33-SP-288</v>
      </c>
      <c r="AI158" s="540" t="str">
        <f t="shared" si="32"/>
        <v>RA33-LB-NW-Prod</v>
      </c>
      <c r="AJ158" s="540">
        <f ca="1">IF(P158&gt;0,"RR",IF(O158&gt;0,0,COUNTIF($H$2:H158,H158)-IFERROR(COUNTIF(OFFSET($H$1,0,0,SUMPRODUCT(MAX(($H$2:H158=H158)*ROW($H$2:H158)*($O$2:O158&lt;&gt;""))),1),H158),0)))</f>
        <v>6</v>
      </c>
      <c r="AK158" s="527">
        <f>IF(ISERROR(VLOOKUP(G158,'Planning and Target Times'!$B$106:$D$110,MATCH(F158,INDEX('Planning and Target Times'!$B$106:$D$110,1,0),0),0)),"",(VLOOKUP(G158,'Planning and Target Times'!$B$106:$D$110,MATCH(F158,INDEX('Planning and Target Times'!$B$106:$D$110,1,0),0),0)))</f>
        <v>900</v>
      </c>
      <c r="AL158" s="528" t="str">
        <f>VLOOKUP(G158,'Planning and Target Times'!$I$2:$J$7,2,0)</f>
        <v>Sandstone</v>
      </c>
      <c r="AM158" s="540"/>
      <c r="AN158" s="540"/>
      <c r="AO158" s="540"/>
      <c r="AP158" s="533">
        <f t="shared" si="33"/>
        <v>12</v>
      </c>
      <c r="AQ158" s="540"/>
      <c r="AR158" s="540"/>
      <c r="AS158" s="540"/>
      <c r="AT158" s="540"/>
      <c r="AU158" s="540"/>
      <c r="AV158" s="540"/>
      <c r="AW158" s="540"/>
      <c r="AX158" s="540"/>
      <c r="AY158" s="540"/>
      <c r="AZ158" s="540"/>
      <c r="BA158" s="540"/>
      <c r="BB158" s="540"/>
      <c r="BC158" s="540"/>
      <c r="BD158" s="540"/>
      <c r="BE158" s="540"/>
      <c r="BF158" s="540"/>
      <c r="BG158" s="540"/>
      <c r="BH158" s="540"/>
      <c r="BI158" s="540"/>
      <c r="BJ158" s="540"/>
      <c r="BK158" s="540"/>
      <c r="BL158" s="540"/>
      <c r="BM158" s="540"/>
      <c r="BN158" s="540"/>
      <c r="BO158" s="526">
        <f ca="1">IF(ISERROR(IF(INDEX(Rig_Schedule_View!$I$11:$I$262,MATCH(Well_Data_NK_Upcoming!AG167,Rig_Schedule_View!$B$11:$B$262,0))=0,O158,(INDEX(Rig_Schedule_View!$I$11:$I$262,MATCH(Well_Data_NK_Upcoming!AG167,Rig_Schedule_View!$B$11:$B$262,0))))),O158,(IF(INDEX(Rig_Schedule_View!$I$11:$I$262,MATCH(Well_Data_NK_Upcoming!AG167,Rig_Schedule_View!$B$11:$B$262,0))=0,O158,(INDEX(Rig_Schedule_View!$I$11:$I$262,MATCH(Well_Data_NK_Upcoming!AG167,Rig_Schedule_View!$B$11:$B$262,0))))))</f>
        <v>42776</v>
      </c>
      <c r="BP158" s="526">
        <f ca="1">IF(ISERROR(IF(INDEX(Rig_Schedule_View!$J$11:$J$262,MATCH(Well_Data_NK_Upcoming!AG167,Rig_Schedule_View!$B$11:$B$262,0))=0,P158,(INDEX(Rig_Schedule_View!$J$11:$J$262,MATCH(Well_Data_NK_Upcoming!AG167,Rig_Schedule_View!$B$11:$B$262,0))))),P158,(IF(INDEX(Rig_Schedule_View!$J$11:$J$262,MATCH(Well_Data_NK_Upcoming!AG167,Rig_Schedule_View!$B$11:$B$262,0))=0,P158,(INDEX(Rig_Schedule_View!$J$11:$J$262,MATCH(Well_Data_NK_Upcoming!AG167,Rig_Schedule_View!$B$11:$B$262,0))))))</f>
        <v>42832</v>
      </c>
      <c r="BQ158" s="527"/>
      <c r="BR158" s="525"/>
      <c r="BS158" s="525"/>
      <c r="BT158" s="525"/>
      <c r="BU158" s="525"/>
      <c r="BV158" s="525"/>
      <c r="BW158" s="525"/>
      <c r="BX158" s="525"/>
      <c r="BY158" s="525"/>
      <c r="BZ158" s="525"/>
    </row>
    <row r="159" spans="1:78" x14ac:dyDescent="0.25">
      <c r="A159" s="540" t="s">
        <v>1785</v>
      </c>
      <c r="B159" s="540" t="s">
        <v>11</v>
      </c>
      <c r="C159" s="540"/>
      <c r="D159" s="529" t="s">
        <v>2368</v>
      </c>
      <c r="E159" s="540"/>
      <c r="F159" s="528" t="str">
        <f t="shared" si="35"/>
        <v>SA</v>
      </c>
      <c r="G159" s="540" t="s">
        <v>44</v>
      </c>
      <c r="H159" s="536" t="s">
        <v>734</v>
      </c>
      <c r="I159" s="540"/>
      <c r="J159" s="540" t="s">
        <v>298</v>
      </c>
      <c r="K159" s="540" t="s">
        <v>14</v>
      </c>
      <c r="L159" s="540" t="s">
        <v>1410</v>
      </c>
      <c r="M159" s="539"/>
      <c r="N159" s="540"/>
      <c r="O159" s="532"/>
      <c r="P159" s="540"/>
      <c r="Q159" s="540"/>
      <c r="R159" s="537">
        <f>IF(ISERROR(VLOOKUP(G159,'Planning and Target Times'!$L$1:$AP$6,MATCH(K159&amp;"_"&amp;L159&amp;"_"&amp;J159,INDEX('Planning and Target Times'!$L$1:$AP$6,1,0),0),0)+5),"",(VLOOKUP(G159,'Planning and Target Times'!$L$1:$AP$6,MATCH(K159&amp;"_"&amp;L159&amp;"_"&amp;J159,INDEX('Planning and Target Times'!$L$1:$AP$6,1,0),0),0)+5))</f>
        <v>103</v>
      </c>
      <c r="S159" s="528">
        <f t="shared" si="29"/>
        <v>98</v>
      </c>
      <c r="T159" s="538">
        <f>VLOOKUP(G159,'Planning and Target Times'!$A$7:$G$12,MATCH(K159&amp;"-"&amp;L159&amp;"-"&amp;J159,INDEX('Planning and Target Times'!$A$7:$G$12,1,0),0),0)</f>
        <v>75</v>
      </c>
      <c r="U159" s="540"/>
      <c r="V159" s="540"/>
      <c r="W159" s="540"/>
      <c r="X159" s="535" t="str">
        <f t="shared" si="34"/>
        <v>ZU/RT</v>
      </c>
      <c r="Y159" s="540"/>
      <c r="Z159" s="540"/>
      <c r="AA159" s="540"/>
      <c r="AB159" s="540"/>
      <c r="AC159" s="540"/>
      <c r="AD159" s="540"/>
      <c r="AE159" s="540" t="s">
        <v>91</v>
      </c>
      <c r="AF159" s="528"/>
      <c r="AG159" s="540" t="str">
        <f t="shared" si="30"/>
        <v>SA45-SA-ZU-Prod-NW-HZ</v>
      </c>
      <c r="AH159" s="540" t="str">
        <f t="shared" si="31"/>
        <v>SA45-SP-294</v>
      </c>
      <c r="AI159" s="540" t="str">
        <f t="shared" si="32"/>
        <v>SA45-ZU-NW-Prod</v>
      </c>
      <c r="AJ159" s="540">
        <f ca="1">IF(P159&gt;0,"RR",IF(O159&gt;0,0,COUNTIF($H$2:H159,H159)-IFERROR(COUNTIF(OFFSET($H$1,0,0,SUMPRODUCT(MAX(($H$2:H159=H159)*ROW($H$2:H159)*($O$2:O159&lt;&gt;""))),1),H159),0)))</f>
        <v>6</v>
      </c>
      <c r="AK159" s="527">
        <f>IF(ISERROR(VLOOKUP(G159,'Planning and Target Times'!$B$106:$D$110,MATCH(F159,INDEX('Planning and Target Times'!$B$106:$D$110,1,0),0),0)),"",(VLOOKUP(G159,'Planning and Target Times'!$B$106:$D$110,MATCH(F159,INDEX('Planning and Target Times'!$B$106:$D$110,1,0),0),0)))</f>
        <v>920</v>
      </c>
      <c r="AL159" s="528" t="str">
        <f>VLOOKUP(G159,'Planning and Target Times'!$I$2:$J$7,2,0)</f>
        <v>Sandstone</v>
      </c>
      <c r="AM159" s="540"/>
      <c r="AN159" s="540"/>
      <c r="AO159" s="540"/>
      <c r="AP159" s="533">
        <f t="shared" si="33"/>
        <v>8.9320388349514559</v>
      </c>
      <c r="AQ159" s="540"/>
      <c r="AR159" s="540"/>
      <c r="AS159" s="540"/>
      <c r="AT159" s="540"/>
      <c r="AU159" s="540"/>
      <c r="AV159" s="540"/>
      <c r="AW159" s="540"/>
      <c r="AX159" s="540"/>
      <c r="AY159" s="540"/>
      <c r="AZ159" s="540"/>
      <c r="BA159" s="540"/>
      <c r="BB159" s="540"/>
      <c r="BC159" s="540"/>
      <c r="BD159" s="540"/>
      <c r="BE159" s="540"/>
      <c r="BF159" s="540"/>
      <c r="BG159" s="540"/>
      <c r="BH159" s="540"/>
      <c r="BI159" s="540"/>
      <c r="BJ159" s="540"/>
      <c r="BK159" s="540"/>
      <c r="BL159" s="540"/>
      <c r="BM159" s="540"/>
      <c r="BN159" s="540"/>
      <c r="BO159" s="526">
        <f ca="1">IF(ISERROR(IF(INDEX(Rig_Schedule_View!$I$11:$I$262,MATCH(Well_Data_NK_Upcoming!AG155,Rig_Schedule_View!$B$11:$B$262,0))=0,O159,(INDEX(Rig_Schedule_View!$I$11:$I$262,MATCH(Well_Data_NK_Upcoming!AG155,Rig_Schedule_View!$B$11:$B$262,0))))),O159,(IF(INDEX(Rig_Schedule_View!$I$11:$I$262,MATCH(Well_Data_NK_Upcoming!AG155,Rig_Schedule_View!$B$11:$B$262,0))=0,O159,(INDEX(Rig_Schedule_View!$I$11:$I$262,MATCH(Well_Data_NK_Upcoming!AG155,Rig_Schedule_View!$B$11:$B$262,0))))))</f>
        <v>42623</v>
      </c>
      <c r="BP159" s="526">
        <f ca="1">IF(ISERROR(IF(INDEX(Rig_Schedule_View!$J$11:$J$262,MATCH(Well_Data_NK_Upcoming!AG155,Rig_Schedule_View!$B$11:$B$262,0))=0,P159,(INDEX(Rig_Schedule_View!$J$11:$J$262,MATCH(Well_Data_NK_Upcoming!AG155,Rig_Schedule_View!$B$11:$B$262,0))))),P159,(IF(INDEX(Rig_Schedule_View!$J$11:$J$262,MATCH(Well_Data_NK_Upcoming!AG155,Rig_Schedule_View!$B$11:$B$262,0))=0,P159,(INDEX(Rig_Schedule_View!$J$11:$J$262,MATCH(Well_Data_NK_Upcoming!AG155,Rig_Schedule_View!$B$11:$B$262,0))))))</f>
        <v>42693</v>
      </c>
      <c r="BQ159" s="527"/>
      <c r="BR159" s="525"/>
      <c r="BS159" s="525"/>
      <c r="BT159" s="525"/>
      <c r="BU159" s="525"/>
      <c r="BV159" s="525"/>
      <c r="BW159" s="525"/>
      <c r="BX159" s="525"/>
      <c r="BY159" s="525"/>
      <c r="BZ159" s="525"/>
    </row>
    <row r="160" spans="1:78" x14ac:dyDescent="0.25">
      <c r="A160" s="540" t="s">
        <v>1747</v>
      </c>
      <c r="B160" s="540" t="s">
        <v>42</v>
      </c>
      <c r="C160" s="540"/>
      <c r="D160" s="529" t="s">
        <v>2369</v>
      </c>
      <c r="E160" s="540"/>
      <c r="F160" s="528" t="str">
        <f t="shared" si="35"/>
        <v>RA</v>
      </c>
      <c r="G160" s="540" t="s">
        <v>44</v>
      </c>
      <c r="H160" s="536" t="s">
        <v>735</v>
      </c>
      <c r="I160" s="540" t="s">
        <v>24</v>
      </c>
      <c r="J160" s="540" t="s">
        <v>34</v>
      </c>
      <c r="K160" s="540" t="s">
        <v>14</v>
      </c>
      <c r="L160" s="540" t="s">
        <v>1410</v>
      </c>
      <c r="M160" s="539"/>
      <c r="N160" s="540"/>
      <c r="O160" s="532"/>
      <c r="P160" s="540"/>
      <c r="Q160" s="540"/>
      <c r="R160" s="537" t="str">
        <f>IF(ISERROR(VLOOKUP(G160,'Planning and Target Times'!$L$1:$AP$6,MATCH(K160&amp;"_"&amp;L160&amp;"_"&amp;J160,INDEX('Planning and Target Times'!$L$1:$AP$6,1,0),0),0)+5),"",(VLOOKUP(G160,'Planning and Target Times'!$L$1:$AP$6,MATCH(K160&amp;"_"&amp;L160&amp;"_"&amp;J160,INDEX('Planning and Target Times'!$L$1:$AP$6,1,0),0),0)+5))</f>
        <v/>
      </c>
      <c r="S160" s="528" t="str">
        <f t="shared" si="29"/>
        <v/>
      </c>
      <c r="T160" s="538">
        <f>VLOOKUP(G160,'Planning and Target Times'!$A$7:$G$12,MATCH(K160&amp;"-"&amp;L160&amp;"-"&amp;J160,INDEX('Planning and Target Times'!$A$7:$G$12,1,0),0),0)</f>
        <v>30</v>
      </c>
      <c r="U160" s="540"/>
      <c r="V160" s="540"/>
      <c r="W160" s="540"/>
      <c r="X160" s="535" t="str">
        <f t="shared" si="34"/>
        <v>ZU/RT</v>
      </c>
      <c r="Y160" s="540"/>
      <c r="Z160" s="540"/>
      <c r="AA160" s="540"/>
      <c r="AB160" s="540"/>
      <c r="AC160" s="540"/>
      <c r="AD160" s="540"/>
      <c r="AE160" s="540" t="s">
        <v>91</v>
      </c>
      <c r="AF160" s="528"/>
      <c r="AG160" s="540" t="str">
        <f t="shared" si="30"/>
        <v>RA34-RA-ZU-Inj-NW-HZ-SLB</v>
      </c>
      <c r="AH160" s="540" t="str">
        <f t="shared" si="31"/>
        <v>RA34-SP-295</v>
      </c>
      <c r="AI160" s="540" t="str">
        <f t="shared" si="32"/>
        <v>RA34-ZU-NW-Inj</v>
      </c>
      <c r="AJ160" s="540">
        <f ca="1">IF(P160&gt;0,"RR",IF(O160&gt;0,0,COUNTIF($H$2:H160,H160)-IFERROR(COUNTIF(OFFSET($H$1,0,0,SUMPRODUCT(MAX(($H$2:H160=H160)*ROW($H$2:H160)*($O$2:O160&lt;&gt;""))),1),H160),0)))</f>
        <v>6</v>
      </c>
      <c r="AK160" s="527"/>
      <c r="AL160" s="528" t="str">
        <f>VLOOKUP(G160,'Planning and Target Times'!$I$2:$J$7,2,0)</f>
        <v>Sandstone</v>
      </c>
      <c r="AM160" s="540"/>
      <c r="AN160" s="540"/>
      <c r="AO160" s="540"/>
      <c r="AP160" s="533" t="e">
        <f t="shared" si="33"/>
        <v>#VALUE!</v>
      </c>
      <c r="AQ160" s="540"/>
      <c r="AR160" s="540"/>
      <c r="AS160" s="540"/>
      <c r="AT160" s="540"/>
      <c r="AU160" s="540"/>
      <c r="AV160" s="540"/>
      <c r="AW160" s="540"/>
      <c r="AX160" s="540"/>
      <c r="AY160" s="540"/>
      <c r="AZ160" s="540"/>
      <c r="BA160" s="540"/>
      <c r="BB160" s="540"/>
      <c r="BC160" s="540"/>
      <c r="BD160" s="540"/>
      <c r="BE160" s="540"/>
      <c r="BF160" s="540"/>
      <c r="BG160" s="540"/>
      <c r="BH160" s="540"/>
      <c r="BI160" s="540"/>
      <c r="BJ160" s="540"/>
      <c r="BK160" s="540"/>
      <c r="BL160" s="540"/>
      <c r="BM160" s="540"/>
      <c r="BN160" s="540"/>
      <c r="BO160" s="526">
        <f ca="1">IF(ISERROR(IF(INDEX(Rig_Schedule_View!$I$11:$I$262,MATCH(Well_Data_NK_Upcoming!AG156,Rig_Schedule_View!$B$11:$B$262,0))=0,O160,(INDEX(Rig_Schedule_View!$I$11:$I$262,MATCH(Well_Data_NK_Upcoming!AG156,Rig_Schedule_View!$B$11:$B$262,0))))),O160,(IF(INDEX(Rig_Schedule_View!$I$11:$I$262,MATCH(Well_Data_NK_Upcoming!AG156,Rig_Schedule_View!$B$11:$B$262,0))=0,O160,(INDEX(Rig_Schedule_View!$I$11:$I$262,MATCH(Well_Data_NK_Upcoming!AG156,Rig_Schedule_View!$B$11:$B$262,0))))))</f>
        <v>42606</v>
      </c>
      <c r="BP160" s="526">
        <f ca="1">IF(ISERROR(IF(INDEX(Rig_Schedule_View!$J$11:$J$262,MATCH(Well_Data_NK_Upcoming!AG156,Rig_Schedule_View!$B$11:$B$262,0))=0,P160,(INDEX(Rig_Schedule_View!$J$11:$J$262,MATCH(Well_Data_NK_Upcoming!AG156,Rig_Schedule_View!$B$11:$B$262,0))))),P160,(IF(INDEX(Rig_Schedule_View!$J$11:$J$262,MATCH(Well_Data_NK_Upcoming!AG156,Rig_Schedule_View!$B$11:$B$262,0))=0,P160,(INDEX(Rig_Schedule_View!$J$11:$J$262,MATCH(Well_Data_NK_Upcoming!AG156,Rig_Schedule_View!$B$11:$B$262,0))))))</f>
        <v>42676</v>
      </c>
      <c r="BQ160" s="527"/>
      <c r="BR160" s="525"/>
      <c r="BS160" s="525"/>
      <c r="BT160" s="525"/>
      <c r="BU160" s="525"/>
      <c r="BV160" s="525"/>
      <c r="BW160" s="525"/>
      <c r="BX160" s="525"/>
      <c r="BY160" s="525"/>
      <c r="BZ160" s="525"/>
    </row>
    <row r="161" spans="1:78" x14ac:dyDescent="0.25">
      <c r="A161" s="540" t="s">
        <v>1739</v>
      </c>
      <c r="B161" s="540" t="s">
        <v>42</v>
      </c>
      <c r="C161" s="540"/>
      <c r="D161" s="529" t="s">
        <v>2370</v>
      </c>
      <c r="E161" s="540"/>
      <c r="F161" s="528" t="str">
        <f t="shared" si="35"/>
        <v>RA</v>
      </c>
      <c r="G161" s="540" t="s">
        <v>22</v>
      </c>
      <c r="H161" s="536" t="s">
        <v>1171</v>
      </c>
      <c r="I161" s="540" t="s">
        <v>24</v>
      </c>
      <c r="J161" s="540" t="s">
        <v>298</v>
      </c>
      <c r="K161" s="540" t="s">
        <v>14</v>
      </c>
      <c r="L161" s="540" t="s">
        <v>1416</v>
      </c>
      <c r="M161" s="539"/>
      <c r="N161" s="540"/>
      <c r="O161" s="532"/>
      <c r="P161" s="540"/>
      <c r="Q161" s="540"/>
      <c r="R161" s="537">
        <f>IF(ISERROR(VLOOKUP(G161,'Planning and Target Times'!$L$1:$AP$6,MATCH(K161&amp;"_"&amp;L161&amp;"_"&amp;J161,INDEX('Planning and Target Times'!$L$1:$AP$6,1,0),0),0)+5),"",(VLOOKUP(G161,'Planning and Target Times'!$L$1:$AP$6,MATCH(K161&amp;"_"&amp;L161&amp;"_"&amp;J161,INDEX('Planning and Target Times'!$L$1:$AP$6,1,0),0),0)+5))</f>
        <v>75</v>
      </c>
      <c r="S161" s="528">
        <f t="shared" si="29"/>
        <v>70</v>
      </c>
      <c r="T161" s="538">
        <f>VLOOKUP(G161,'Planning and Target Times'!$A$7:$G$12,MATCH(K161&amp;"-"&amp;L161&amp;"-"&amp;J161,INDEX('Planning and Target Times'!$A$7:$G$12,1,0),0),0)</f>
        <v>33</v>
      </c>
      <c r="U161" s="540"/>
      <c r="V161" s="540"/>
      <c r="W161" s="540"/>
      <c r="X161" s="535" t="str">
        <f t="shared" si="34"/>
        <v>LB</v>
      </c>
      <c r="Y161" s="540"/>
      <c r="Z161" s="540"/>
      <c r="AA161" s="540"/>
      <c r="AB161" s="540"/>
      <c r="AC161" s="540"/>
      <c r="AD161" s="540"/>
      <c r="AE161" s="540" t="s">
        <v>91</v>
      </c>
      <c r="AF161" s="528"/>
      <c r="AG161" s="540" t="str">
        <f t="shared" si="30"/>
        <v>RA25-RA-LB-Prod-NW-SL-SLB</v>
      </c>
      <c r="AH161" s="540" t="str">
        <f t="shared" si="31"/>
        <v>RA25-KDC-25</v>
      </c>
      <c r="AI161" s="540" t="str">
        <f t="shared" si="32"/>
        <v>RA25-LB-NW-Prod</v>
      </c>
      <c r="AJ161" s="540">
        <f ca="1">IF(P161&gt;0,"RR",IF(O161&gt;0,0,COUNTIF($H$2:H161,H161)-IFERROR(COUNTIF(OFFSET($H$1,0,0,SUMPRODUCT(MAX(($H$2:H161=H161)*ROW($H$2:H161)*($O$2:O161&lt;&gt;""))),1),H161),0)))</f>
        <v>7</v>
      </c>
      <c r="AK161" s="527">
        <f>IF(ISERROR(VLOOKUP(G161,'Planning and Target Times'!$B$106:$D$110,MATCH(F161,INDEX('Planning and Target Times'!$B$106:$D$110,1,0),0),0)),"",(VLOOKUP(G161,'Planning and Target Times'!$B$106:$D$110,MATCH(F161,INDEX('Planning and Target Times'!$B$106:$D$110,1,0),0),0)))</f>
        <v>900</v>
      </c>
      <c r="AL161" s="528" t="str">
        <f>VLOOKUP(G161,'Planning and Target Times'!$I$2:$J$7,2,0)</f>
        <v>Sandstone</v>
      </c>
      <c r="AM161" s="540"/>
      <c r="AN161" s="540"/>
      <c r="AO161" s="540"/>
      <c r="AP161" s="533">
        <f t="shared" si="33"/>
        <v>12</v>
      </c>
      <c r="AQ161" s="540"/>
      <c r="AR161" s="540"/>
      <c r="AS161" s="540"/>
      <c r="AT161" s="540"/>
      <c r="AU161" s="540"/>
      <c r="AV161" s="540"/>
      <c r="AW161" s="540"/>
      <c r="AX161" s="540"/>
      <c r="AY161" s="540"/>
      <c r="AZ161" s="540"/>
      <c r="BA161" s="540"/>
      <c r="BB161" s="540"/>
      <c r="BC161" s="540"/>
      <c r="BD161" s="540"/>
      <c r="BE161" s="540"/>
      <c r="BF161" s="540"/>
      <c r="BG161" s="540"/>
      <c r="BH161" s="540"/>
      <c r="BI161" s="540"/>
      <c r="BJ161" s="540"/>
      <c r="BK161" s="540"/>
      <c r="BL161" s="540"/>
      <c r="BM161" s="540"/>
      <c r="BN161" s="540"/>
      <c r="BO161" s="526">
        <f ca="1">IF(ISERROR(IF(INDEX(Rig_Schedule_View!$I$11:$I$262,MATCH(Well_Data_NK_Upcoming!AG157,Rig_Schedule_View!$B$11:$B$262,0))=0,O161,(INDEX(Rig_Schedule_View!$I$11:$I$262,MATCH(Well_Data_NK_Upcoming!AG157,Rig_Schedule_View!$B$11:$B$262,0))))),O161,(IF(INDEX(Rig_Schedule_View!$I$11:$I$262,MATCH(Well_Data_NK_Upcoming!AG157,Rig_Schedule_View!$B$11:$B$262,0))=0,O161,(INDEX(Rig_Schedule_View!$I$11:$I$262,MATCH(Well_Data_NK_Upcoming!AG157,Rig_Schedule_View!$B$11:$B$262,0))))))</f>
        <v>42566</v>
      </c>
      <c r="BP161" s="526">
        <f ca="1">IF(ISERROR(IF(INDEX(Rig_Schedule_View!$J$11:$J$262,MATCH(Well_Data_NK_Upcoming!AG157,Rig_Schedule_View!$B$11:$B$262,0))=0,P161,(INDEX(Rig_Schedule_View!$J$11:$J$262,MATCH(Well_Data_NK_Upcoming!AG157,Rig_Schedule_View!$B$11:$B$262,0))))),P161,(IF(INDEX(Rig_Schedule_View!$J$11:$J$262,MATCH(Well_Data_NK_Upcoming!AG157,Rig_Schedule_View!$B$11:$B$262,0))=0,P161,(INDEX(Rig_Schedule_View!$J$11:$J$262,MATCH(Well_Data_NK_Upcoming!AG157,Rig_Schedule_View!$B$11:$B$262,0))))))</f>
        <v>42636</v>
      </c>
      <c r="BQ161" s="527"/>
      <c r="BR161" s="525"/>
      <c r="BS161" s="525"/>
      <c r="BT161" s="525"/>
      <c r="BU161" s="525"/>
      <c r="BV161" s="525"/>
      <c r="BW161" s="525"/>
      <c r="BX161" s="525"/>
      <c r="BY161" s="525"/>
      <c r="BZ161" s="525"/>
    </row>
    <row r="162" spans="1:78" x14ac:dyDescent="0.25">
      <c r="A162" s="540" t="s">
        <v>1792</v>
      </c>
      <c r="B162" s="540" t="s">
        <v>11</v>
      </c>
      <c r="C162" s="540"/>
      <c r="D162" s="529" t="s">
        <v>2392</v>
      </c>
      <c r="E162" s="540"/>
      <c r="F162" s="528" t="str">
        <f t="shared" si="35"/>
        <v>SA</v>
      </c>
      <c r="G162" s="540" t="s">
        <v>29</v>
      </c>
      <c r="H162" s="400" t="s">
        <v>35</v>
      </c>
      <c r="I162" s="540"/>
      <c r="J162" s="540" t="s">
        <v>34</v>
      </c>
      <c r="K162" s="540" t="s">
        <v>14</v>
      </c>
      <c r="L162" s="540" t="s">
        <v>1416</v>
      </c>
      <c r="M162" s="539"/>
      <c r="N162" s="540"/>
      <c r="O162" s="532"/>
      <c r="P162" s="540"/>
      <c r="Q162" s="540"/>
      <c r="R162" s="537">
        <f>IF(ISERROR(VLOOKUP(G162,'Planning and Target Times'!$L$1:$AP$6,MATCH(K162&amp;"_"&amp;L162&amp;"_"&amp;J162,INDEX('Planning and Target Times'!$L$1:$AP$6,1,0),0),0)+5),"",(VLOOKUP(G162,'Planning and Target Times'!$L$1:$AP$6,MATCH(K162&amp;"_"&amp;L162&amp;"_"&amp;J162,INDEX('Planning and Target Times'!$L$1:$AP$6,1,0),0),0)+5))</f>
        <v>75</v>
      </c>
      <c r="S162" s="528">
        <f t="shared" ref="S162:S185" si="36">IF(ISERROR(R162-5),"",R162-5)</f>
        <v>70</v>
      </c>
      <c r="T162" s="538" t="e">
        <f>VLOOKUP(G162,'Planning and Target Times'!$A$7:$G$12,MATCH(K162&amp;"-"&amp;L162&amp;"-"&amp;J162,INDEX('Planning and Target Times'!$A$7:$G$12,1,0),0),0)</f>
        <v>#N/A</v>
      </c>
      <c r="U162" s="540"/>
      <c r="V162" s="540"/>
      <c r="W162" s="540"/>
      <c r="X162" s="535" t="str">
        <f t="shared" si="34"/>
        <v>UB</v>
      </c>
      <c r="Y162" s="540"/>
      <c r="Z162" s="540"/>
      <c r="AA162" s="540"/>
      <c r="AB162" s="540"/>
      <c r="AC162" s="540"/>
      <c r="AD162" s="540"/>
      <c r="AE162" s="540" t="s">
        <v>91</v>
      </c>
      <c r="AF162" s="528"/>
      <c r="AG162" s="540" t="str">
        <f t="shared" ref="AG162:AG185" si="37">SUBSTITUTE(TRIM(A162&amp;" "&amp;F162&amp;" "&amp;G162&amp;" "&amp;J162&amp;" "&amp;K162&amp;" "&amp;L162&amp;" "&amp;I162)," ","-")</f>
        <v>SA53-SA-UB-Inj-NW-SL</v>
      </c>
      <c r="AH162" s="540" t="str">
        <f t="shared" ref="AH162:AH186" si="38">IF(A162&lt;&gt;"",A162&amp;"-"&amp;H162,"")</f>
        <v>SA53-KDC-26</v>
      </c>
      <c r="AI162" s="540" t="str">
        <f t="shared" ref="AI162:AI185" si="39">SUBSTITUTE(TRIM(A162&amp;" "&amp;G162&amp;" "&amp;K162&amp;" "&amp;J162)," ","-")</f>
        <v>SA53-UB-NW-Inj</v>
      </c>
      <c r="AJ162" s="540">
        <f ca="1">IF(P162&gt;0,"RR",IF(O162&gt;0,0,COUNTIF($H$2:H162,H162)-IFERROR(COUNTIF(OFFSET($H$1,0,0,SUMPRODUCT(MAX(($H$2:H162=H162)*ROW($H$2:H162)*($O$2:O162&lt;&gt;""))),1),H162),0)))</f>
        <v>7</v>
      </c>
      <c r="AK162" s="527"/>
      <c r="AL162" s="528" t="str">
        <f>VLOOKUP(G162,'Planning and Target Times'!$I$2:$J$7,2,0)</f>
        <v>Sandstone</v>
      </c>
      <c r="AM162" s="540"/>
      <c r="AN162" s="540"/>
      <c r="AO162" s="540"/>
      <c r="AP162" s="533">
        <f t="shared" ref="AP162:AP185" si="40">AK162/R162</f>
        <v>0</v>
      </c>
      <c r="AQ162" s="540"/>
      <c r="AR162" s="540"/>
      <c r="AS162" s="540"/>
      <c r="AT162" s="540"/>
      <c r="AU162" s="540"/>
      <c r="AV162" s="540"/>
      <c r="AW162" s="540"/>
      <c r="AX162" s="540"/>
      <c r="AY162" s="540"/>
      <c r="AZ162" s="540"/>
      <c r="BA162" s="540"/>
      <c r="BB162" s="540"/>
      <c r="BC162" s="540"/>
      <c r="BD162" s="540"/>
      <c r="BE162" s="540"/>
      <c r="BF162" s="540"/>
      <c r="BG162" s="540"/>
      <c r="BH162" s="540"/>
      <c r="BI162" s="540"/>
      <c r="BJ162" s="540"/>
      <c r="BK162" s="540"/>
      <c r="BL162" s="540"/>
      <c r="BM162" s="540"/>
      <c r="BN162" s="540"/>
      <c r="BO162" s="526">
        <f ca="1">IF(ISERROR(IF(INDEX(Rig_Schedule_View!$I$11:$I$262,MATCH(Well_Data_NK_Upcoming!AG178,Rig_Schedule_View!$B$11:$B$262,0))=0,O162,(INDEX(Rig_Schedule_View!$I$11:$I$262,MATCH(Well_Data_NK_Upcoming!AG178,Rig_Schedule_View!$B$11:$B$262,0))))),O162,(IF(INDEX(Rig_Schedule_View!$I$11:$I$262,MATCH(Well_Data_NK_Upcoming!AG178,Rig_Schedule_View!$B$11:$B$262,0))=0,O162,(INDEX(Rig_Schedule_View!$I$11:$I$262,MATCH(Well_Data_NK_Upcoming!AG178,Rig_Schedule_View!$B$11:$B$262,0))))))</f>
        <v>42756</v>
      </c>
      <c r="BP162" s="526">
        <f ca="1">IF(ISERROR(IF(INDEX(Rig_Schedule_View!$J$11:$J$262,MATCH(Well_Data_NK_Upcoming!AG178,Rig_Schedule_View!$B$11:$B$262,0))=0,P162,(INDEX(Rig_Schedule_View!$J$11:$J$262,MATCH(Well_Data_NK_Upcoming!AG178,Rig_Schedule_View!$B$11:$B$262,0))))),P162,(IF(INDEX(Rig_Schedule_View!$J$11:$J$262,MATCH(Well_Data_NK_Upcoming!AG178,Rig_Schedule_View!$B$11:$B$262,0))=0,P162,(INDEX(Rig_Schedule_View!$J$11:$J$262,MATCH(Well_Data_NK_Upcoming!AG178,Rig_Schedule_View!$B$11:$B$262,0))))))</f>
        <v>42819</v>
      </c>
      <c r="BQ162" s="527"/>
      <c r="BR162" s="525"/>
      <c r="BS162" s="525"/>
      <c r="BT162" s="525"/>
      <c r="BU162" s="525"/>
      <c r="BV162" s="525"/>
      <c r="BW162" s="525"/>
      <c r="BX162" s="525"/>
      <c r="BY162" s="525"/>
      <c r="BZ162" s="525"/>
    </row>
    <row r="163" spans="1:78" x14ac:dyDescent="0.25">
      <c r="A163" s="540" t="s">
        <v>1753</v>
      </c>
      <c r="B163" s="540" t="s">
        <v>42</v>
      </c>
      <c r="C163" s="540"/>
      <c r="D163" s="529" t="s">
        <v>2385</v>
      </c>
      <c r="E163" s="540"/>
      <c r="F163" s="528" t="str">
        <f t="shared" si="35"/>
        <v>RA</v>
      </c>
      <c r="G163" s="540" t="s">
        <v>29</v>
      </c>
      <c r="H163" s="536" t="s">
        <v>513</v>
      </c>
      <c r="I163" s="540" t="s">
        <v>24</v>
      </c>
      <c r="J163" s="540" t="s">
        <v>298</v>
      </c>
      <c r="K163" s="540" t="s">
        <v>14</v>
      </c>
      <c r="L163" s="540" t="s">
        <v>1410</v>
      </c>
      <c r="M163" s="539"/>
      <c r="N163" s="540"/>
      <c r="O163" s="532"/>
      <c r="P163" s="540"/>
      <c r="Q163" s="540"/>
      <c r="R163" s="537">
        <f>IF(ISERROR(VLOOKUP(G163,'Planning and Target Times'!$L$1:$AP$6,MATCH(K163&amp;"_"&amp;L163&amp;"_"&amp;J163,INDEX('Planning and Target Times'!$L$1:$AP$6,1,0),0),0)+5),"",(VLOOKUP(G163,'Planning and Target Times'!$L$1:$AP$6,MATCH(K163&amp;"_"&amp;L163&amp;"_"&amp;J163,INDEX('Planning and Target Times'!$L$1:$AP$6,1,0),0),0)+5))</f>
        <v>75</v>
      </c>
      <c r="S163" s="528">
        <f t="shared" si="36"/>
        <v>70</v>
      </c>
      <c r="T163" s="538">
        <f>VLOOKUP(G163,'Planning and Target Times'!$A$7:$G$12,MATCH(K163&amp;"-"&amp;L163&amp;"-"&amp;J163,INDEX('Planning and Target Times'!$A$7:$G$12,1,0),0),0)</f>
        <v>35</v>
      </c>
      <c r="U163" s="540"/>
      <c r="V163" s="540"/>
      <c r="W163" s="540"/>
      <c r="X163" s="535" t="str">
        <f t="shared" si="34"/>
        <v>UB</v>
      </c>
      <c r="Y163" s="540"/>
      <c r="Z163" s="540"/>
      <c r="AA163" s="540"/>
      <c r="AB163" s="540"/>
      <c r="AC163" s="540"/>
      <c r="AD163" s="540"/>
      <c r="AE163" s="540" t="s">
        <v>91</v>
      </c>
      <c r="AF163" s="528"/>
      <c r="AG163" s="540" t="str">
        <f t="shared" si="37"/>
        <v>RA41-RA-UB-Prod-NW-HZ-SLB</v>
      </c>
      <c r="AH163" s="540" t="str">
        <f t="shared" si="38"/>
        <v>RA41-NDSC-15</v>
      </c>
      <c r="AI163" s="540" t="str">
        <f t="shared" si="39"/>
        <v>RA41-UB-NW-Prod</v>
      </c>
      <c r="AJ163" s="540">
        <f ca="1">IF(P163&gt;0,"RR",IF(O163&gt;0,0,COUNTIF($H$2:H163,H163)-IFERROR(COUNTIF(OFFSET($H$1,0,0,SUMPRODUCT(MAX(($H$2:H163=H163)*ROW($H$2:H163)*($O$2:O163&lt;&gt;""))),1),H163),0)))</f>
        <v>7</v>
      </c>
      <c r="AK163" s="527">
        <f>IF(ISERROR(VLOOKUP(G163,'Planning and Target Times'!$B$106:$D$110,MATCH(F163,INDEX('Planning and Target Times'!$B$106:$D$110,1,0),0),0)),"",(VLOOKUP(G163,'Planning and Target Times'!$B$106:$D$110,MATCH(F163,INDEX('Planning and Target Times'!$B$106:$D$110,1,0),0),0)))</f>
        <v>940</v>
      </c>
      <c r="AL163" s="528" t="str">
        <f>VLOOKUP(G163,'Planning and Target Times'!$I$2:$J$7,2,0)</f>
        <v>Sandstone</v>
      </c>
      <c r="AM163" s="540"/>
      <c r="AN163" s="540"/>
      <c r="AO163" s="540"/>
      <c r="AP163" s="533">
        <f t="shared" si="40"/>
        <v>12.533333333333333</v>
      </c>
      <c r="AQ163" s="540"/>
      <c r="AR163" s="540"/>
      <c r="AS163" s="540"/>
      <c r="AT163" s="540"/>
      <c r="AU163" s="540"/>
      <c r="AV163" s="540"/>
      <c r="AW163" s="540"/>
      <c r="AX163" s="540"/>
      <c r="AY163" s="540"/>
      <c r="AZ163" s="540"/>
      <c r="BA163" s="540"/>
      <c r="BB163" s="540"/>
      <c r="BC163" s="540"/>
      <c r="BD163" s="540"/>
      <c r="BE163" s="540"/>
      <c r="BF163" s="540"/>
      <c r="BG163" s="540"/>
      <c r="BH163" s="540"/>
      <c r="BI163" s="540"/>
      <c r="BJ163" s="540"/>
      <c r="BK163" s="540"/>
      <c r="BL163" s="540"/>
      <c r="BM163" s="540"/>
      <c r="BN163" s="540"/>
      <c r="BO163" s="526">
        <f ca="1">IF(ISERROR(IF(INDEX(Rig_Schedule_View!$I$11:$I$262,MATCH(Well_Data_NK_Upcoming!AG171,Rig_Schedule_View!$B$11:$B$262,0))=0,O163,(INDEX(Rig_Schedule_View!$I$11:$I$262,MATCH(Well_Data_NK_Upcoming!AG171,Rig_Schedule_View!$B$11:$B$262,0))))),O163,(IF(INDEX(Rig_Schedule_View!$I$11:$I$262,MATCH(Well_Data_NK_Upcoming!AG171,Rig_Schedule_View!$B$11:$B$262,0))=0,O163,(INDEX(Rig_Schedule_View!$I$11:$I$262,MATCH(Well_Data_NK_Upcoming!AG171,Rig_Schedule_View!$B$11:$B$262,0))))))</f>
        <v>42716</v>
      </c>
      <c r="BP163" s="526">
        <f ca="1">IF(ISERROR(IF(INDEX(Rig_Schedule_View!$J$11:$J$262,MATCH(Well_Data_NK_Upcoming!AG171,Rig_Schedule_View!$B$11:$B$262,0))=0,P163,(INDEX(Rig_Schedule_View!$J$11:$J$262,MATCH(Well_Data_NK_Upcoming!AG171,Rig_Schedule_View!$B$11:$B$262,0))))),P163,(IF(INDEX(Rig_Schedule_View!$J$11:$J$262,MATCH(Well_Data_NK_Upcoming!AG171,Rig_Schedule_View!$B$11:$B$262,0))=0,P163,(INDEX(Rig_Schedule_View!$J$11:$J$262,MATCH(Well_Data_NK_Upcoming!AG171,Rig_Schedule_View!$B$11:$B$262,0))))))</f>
        <v>42786</v>
      </c>
      <c r="BQ163" s="527"/>
      <c r="BR163" s="525"/>
      <c r="BS163" s="525"/>
      <c r="BT163" s="525"/>
      <c r="BU163" s="525"/>
      <c r="BV163" s="525"/>
      <c r="BW163" s="525"/>
      <c r="BX163" s="525"/>
      <c r="BY163" s="525"/>
      <c r="BZ163" s="525"/>
    </row>
    <row r="164" spans="1:78" x14ac:dyDescent="0.25">
      <c r="A164" s="540" t="s">
        <v>1793</v>
      </c>
      <c r="B164" s="540" t="s">
        <v>11</v>
      </c>
      <c r="C164" s="540"/>
      <c r="D164" s="529" t="s">
        <v>2373</v>
      </c>
      <c r="E164" s="540"/>
      <c r="F164" s="528" t="str">
        <f t="shared" si="35"/>
        <v>SA</v>
      </c>
      <c r="G164" s="540" t="s">
        <v>744</v>
      </c>
      <c r="H164" s="536" t="s">
        <v>512</v>
      </c>
      <c r="I164" s="540"/>
      <c r="J164" s="540" t="s">
        <v>298</v>
      </c>
      <c r="K164" s="540" t="s">
        <v>14</v>
      </c>
      <c r="L164" s="540" t="s">
        <v>1410</v>
      </c>
      <c r="M164" s="539"/>
      <c r="N164" s="540"/>
      <c r="O164" s="532"/>
      <c r="P164" s="540"/>
      <c r="Q164" s="540"/>
      <c r="R164" s="537">
        <f>IF(ISERROR(VLOOKUP(G164,'Planning and Target Times'!$L$1:$AP$6,MATCH(K164&amp;"_"&amp;L164&amp;"_"&amp;J164,INDEX('Planning and Target Times'!$L$1:$AP$6,1,0),0),0)+5),"",(VLOOKUP(G164,'Planning and Target Times'!$L$1:$AP$6,MATCH(K164&amp;"_"&amp;L164&amp;"_"&amp;J164,INDEX('Planning and Target Times'!$L$1:$AP$6,1,0),0),0)+5))</f>
        <v>103</v>
      </c>
      <c r="S164" s="528">
        <f t="shared" si="36"/>
        <v>98</v>
      </c>
      <c r="T164" s="538">
        <f>VLOOKUP(G164,'Planning and Target Times'!$A$7:$G$12,MATCH(K164&amp;"-"&amp;L164&amp;"-"&amp;J164,INDEX('Planning and Target Times'!$A$7:$G$12,1,0),0),0)</f>
        <v>75</v>
      </c>
      <c r="U164" s="540"/>
      <c r="V164" s="540"/>
      <c r="W164" s="540"/>
      <c r="X164" s="535" t="str">
        <f t="shared" si="34"/>
        <v>ZU/RT</v>
      </c>
      <c r="Y164" s="540"/>
      <c r="Z164" s="540"/>
      <c r="AA164" s="540"/>
      <c r="AB164" s="540"/>
      <c r="AC164" s="540"/>
      <c r="AD164" s="540"/>
      <c r="AE164" s="540" t="s">
        <v>91</v>
      </c>
      <c r="AF164" s="528"/>
      <c r="AG164" s="540" t="str">
        <f t="shared" si="37"/>
        <v>SA54-SA-RT-Prod-NW-HZ</v>
      </c>
      <c r="AH164" s="540" t="str">
        <f t="shared" si="38"/>
        <v>SA54-NDSC-16</v>
      </c>
      <c r="AI164" s="540" t="str">
        <f t="shared" si="39"/>
        <v>SA54-RT-NW-Prod</v>
      </c>
      <c r="AJ164" s="540">
        <f ca="1">IF(P164&gt;0,"RR",IF(O164&gt;0,0,COUNTIF($H$2:H164,H164)-IFERROR(COUNTIF(OFFSET($H$1,0,0,SUMPRODUCT(MAX(($H$2:H164=H164)*ROW($H$2:H164)*($O$2:O164&lt;&gt;""))),1),H164),0)))</f>
        <v>7</v>
      </c>
      <c r="AK164" s="527" t="str">
        <f>IF(ISERROR(VLOOKUP(G164,'Planning and Target Times'!$B$106:$D$110,MATCH(F164,INDEX('Planning and Target Times'!$B$106:$D$110,1,0),0),0)),"",(VLOOKUP(G164,'Planning and Target Times'!$B$106:$D$110,MATCH(F164,INDEX('Planning and Target Times'!$B$106:$D$110,1,0),0),0)))</f>
        <v/>
      </c>
      <c r="AL164" s="528" t="str">
        <f>VLOOKUP(G164,'Planning and Target Times'!$I$2:$J$7,2,0)</f>
        <v>Sandstone</v>
      </c>
      <c r="AM164" s="540"/>
      <c r="AN164" s="540"/>
      <c r="AO164" s="540"/>
      <c r="AP164" s="533" t="e">
        <f t="shared" si="40"/>
        <v>#VALUE!</v>
      </c>
      <c r="AQ164" s="540"/>
      <c r="AR164" s="540"/>
      <c r="AS164" s="540"/>
      <c r="AT164" s="540"/>
      <c r="AU164" s="540"/>
      <c r="AV164" s="540"/>
      <c r="AW164" s="540"/>
      <c r="AX164" s="540"/>
      <c r="AY164" s="540"/>
      <c r="AZ164" s="540"/>
      <c r="BA164" s="540"/>
      <c r="BB164" s="540"/>
      <c r="BC164" s="540"/>
      <c r="BD164" s="540"/>
      <c r="BE164" s="540"/>
      <c r="BF164" s="540"/>
      <c r="BG164" s="540"/>
      <c r="BH164" s="540"/>
      <c r="BI164" s="540"/>
      <c r="BJ164" s="540"/>
      <c r="BK164" s="540"/>
      <c r="BL164" s="540"/>
      <c r="BM164" s="540"/>
      <c r="BN164" s="540"/>
      <c r="BO164" s="526" t="str">
        <f ca="1">IF(ISERROR(IF(INDEX(Rig_Schedule_View!$I$11:$I$262,MATCH(Well_Data_NK_Upcoming!AG160,Rig_Schedule_View!$B$11:$B$262,0))=0,O164,(INDEX(Rig_Schedule_View!$I$11:$I$262,MATCH(Well_Data_NK_Upcoming!AG160,Rig_Schedule_View!$B$11:$B$262,0))))),O164,(IF(INDEX(Rig_Schedule_View!$I$11:$I$262,MATCH(Well_Data_NK_Upcoming!AG160,Rig_Schedule_View!$B$11:$B$262,0))=0,O164,(INDEX(Rig_Schedule_View!$I$11:$I$262,MATCH(Well_Data_NK_Upcoming!AG160,Rig_Schedule_View!$B$11:$B$262,0))))))</f>
        <v/>
      </c>
      <c r="BP164" s="526" t="str">
        <f ca="1">IF(ISERROR(IF(INDEX(Rig_Schedule_View!$J$11:$J$262,MATCH(Well_Data_NK_Upcoming!AG160,Rig_Schedule_View!$B$11:$B$262,0))=0,P164,(INDEX(Rig_Schedule_View!$J$11:$J$262,MATCH(Well_Data_NK_Upcoming!AG160,Rig_Schedule_View!$B$11:$B$262,0))))),P164,(IF(INDEX(Rig_Schedule_View!$J$11:$J$262,MATCH(Well_Data_NK_Upcoming!AG160,Rig_Schedule_View!$B$11:$B$262,0))=0,P164,(INDEX(Rig_Schedule_View!$J$11:$J$262,MATCH(Well_Data_NK_Upcoming!AG160,Rig_Schedule_View!$B$11:$B$262,0))))))</f>
        <v/>
      </c>
      <c r="BQ164" s="527"/>
      <c r="BR164" s="525"/>
      <c r="BS164" s="525"/>
      <c r="BT164" s="525"/>
      <c r="BU164" s="525"/>
      <c r="BV164" s="525"/>
      <c r="BW164" s="525"/>
      <c r="BX164" s="525"/>
      <c r="BY164" s="525"/>
      <c r="BZ164" s="525"/>
    </row>
    <row r="165" spans="1:78" x14ac:dyDescent="0.25">
      <c r="A165" s="540" t="s">
        <v>1742</v>
      </c>
      <c r="B165" s="540" t="s">
        <v>42</v>
      </c>
      <c r="C165" s="540"/>
      <c r="D165" s="529" t="s">
        <v>2374</v>
      </c>
      <c r="E165" s="540"/>
      <c r="F165" s="528" t="str">
        <f t="shared" si="35"/>
        <v>RA</v>
      </c>
      <c r="G165" s="540" t="s">
        <v>29</v>
      </c>
      <c r="H165" s="536" t="s">
        <v>511</v>
      </c>
      <c r="I165" s="540" t="s">
        <v>24</v>
      </c>
      <c r="J165" s="540" t="s">
        <v>298</v>
      </c>
      <c r="K165" s="540" t="s">
        <v>14</v>
      </c>
      <c r="L165" s="540" t="s">
        <v>1410</v>
      </c>
      <c r="M165" s="539"/>
      <c r="N165" s="540"/>
      <c r="O165" s="532"/>
      <c r="P165" s="540"/>
      <c r="Q165" s="540"/>
      <c r="R165" s="537">
        <f>IF(ISERROR(VLOOKUP(G165,'Planning and Target Times'!$L$1:$AP$6,MATCH(K165&amp;"_"&amp;L165&amp;"_"&amp;J165,INDEX('Planning and Target Times'!$L$1:$AP$6,1,0),0),0)+5),"",(VLOOKUP(G165,'Planning and Target Times'!$L$1:$AP$6,MATCH(K165&amp;"_"&amp;L165&amp;"_"&amp;J165,INDEX('Planning and Target Times'!$L$1:$AP$6,1,0),0),0)+5))</f>
        <v>75</v>
      </c>
      <c r="S165" s="528">
        <f t="shared" si="36"/>
        <v>70</v>
      </c>
      <c r="T165" s="538">
        <f>VLOOKUP(G165,'Planning and Target Times'!$A$7:$G$12,MATCH(K165&amp;"-"&amp;L165&amp;"-"&amp;J165,INDEX('Planning and Target Times'!$A$7:$G$12,1,0),0),0)</f>
        <v>35</v>
      </c>
      <c r="U165" s="540"/>
      <c r="V165" s="540"/>
      <c r="W165" s="540"/>
      <c r="X165" s="535" t="str">
        <f t="shared" si="34"/>
        <v>UB</v>
      </c>
      <c r="Y165" s="540"/>
      <c r="Z165" s="540"/>
      <c r="AA165" s="540"/>
      <c r="AB165" s="540"/>
      <c r="AC165" s="540"/>
      <c r="AD165" s="540"/>
      <c r="AE165" s="540" t="s">
        <v>91</v>
      </c>
      <c r="AF165" s="528"/>
      <c r="AG165" s="540" t="str">
        <f t="shared" si="37"/>
        <v>RA28-RA-UB-Prod-NW-HZ-SLB</v>
      </c>
      <c r="AH165" s="540" t="str">
        <f t="shared" si="38"/>
        <v>RA28-NDSC-17</v>
      </c>
      <c r="AI165" s="540" t="str">
        <f t="shared" si="39"/>
        <v>RA28-UB-NW-Prod</v>
      </c>
      <c r="AJ165" s="540">
        <f ca="1">IF(P165&gt;0,"RR",IF(O165&gt;0,0,COUNTIF($H$2:H165,H165)-IFERROR(COUNTIF(OFFSET($H$1,0,0,SUMPRODUCT(MAX(($H$2:H165=H165)*ROW($H$2:H165)*($O$2:O165&lt;&gt;""))),1),H165),0)))</f>
        <v>7</v>
      </c>
      <c r="AK165" s="527">
        <f>IF(ISERROR(VLOOKUP(G165,'Planning and Target Times'!$B$106:$D$110,MATCH(F165,INDEX('Planning and Target Times'!$B$106:$D$110,1,0),0),0)),"",(VLOOKUP(G165,'Planning and Target Times'!$B$106:$D$110,MATCH(F165,INDEX('Planning and Target Times'!$B$106:$D$110,1,0),0),0)))</f>
        <v>940</v>
      </c>
      <c r="AL165" s="528" t="str">
        <f>VLOOKUP(G165,'Planning and Target Times'!$I$2:$J$7,2,0)</f>
        <v>Sandstone</v>
      </c>
      <c r="AM165" s="540"/>
      <c r="AN165" s="540"/>
      <c r="AO165" s="540"/>
      <c r="AP165" s="533">
        <f t="shared" si="40"/>
        <v>12.533333333333333</v>
      </c>
      <c r="AQ165" s="540"/>
      <c r="AR165" s="540"/>
      <c r="AS165" s="540"/>
      <c r="AT165" s="540"/>
      <c r="AU165" s="540"/>
      <c r="AV165" s="540"/>
      <c r="AW165" s="540"/>
      <c r="AX165" s="540"/>
      <c r="AY165" s="540"/>
      <c r="AZ165" s="540"/>
      <c r="BA165" s="540"/>
      <c r="BB165" s="540"/>
      <c r="BC165" s="540"/>
      <c r="BD165" s="540"/>
      <c r="BE165" s="540"/>
      <c r="BF165" s="540"/>
      <c r="BG165" s="540"/>
      <c r="BH165" s="540"/>
      <c r="BI165" s="540"/>
      <c r="BJ165" s="540"/>
      <c r="BK165" s="540"/>
      <c r="BL165" s="540"/>
      <c r="BM165" s="540"/>
      <c r="BN165" s="540"/>
      <c r="BO165" s="526">
        <f ca="1">IF(ISERROR(IF(INDEX(Rig_Schedule_View!$I$11:$I$262,MATCH(Well_Data_NK_Upcoming!AG161,Rig_Schedule_View!$B$11:$B$262,0))=0,O165,(INDEX(Rig_Schedule_View!$I$11:$I$262,MATCH(Well_Data_NK_Upcoming!AG161,Rig_Schedule_View!$B$11:$B$262,0))))),O165,(IF(INDEX(Rig_Schedule_View!$I$11:$I$262,MATCH(Well_Data_NK_Upcoming!AG161,Rig_Schedule_View!$B$11:$B$262,0))=0,O165,(INDEX(Rig_Schedule_View!$I$11:$I$262,MATCH(Well_Data_NK_Upcoming!AG161,Rig_Schedule_View!$B$11:$B$262,0))))))</f>
        <v>42688</v>
      </c>
      <c r="BP165" s="526">
        <f ca="1">IF(ISERROR(IF(INDEX(Rig_Schedule_View!$J$11:$J$262,MATCH(Well_Data_NK_Upcoming!AG161,Rig_Schedule_View!$B$11:$B$262,0))=0,P165,(INDEX(Rig_Schedule_View!$J$11:$J$262,MATCH(Well_Data_NK_Upcoming!AG161,Rig_Schedule_View!$B$11:$B$262,0))))),P165,(IF(INDEX(Rig_Schedule_View!$J$11:$J$262,MATCH(Well_Data_NK_Upcoming!AG161,Rig_Schedule_View!$B$11:$B$262,0))=0,P165,(INDEX(Rig_Schedule_View!$J$11:$J$262,MATCH(Well_Data_NK_Upcoming!AG161,Rig_Schedule_View!$B$11:$B$262,0))))))</f>
        <v>42758</v>
      </c>
      <c r="BQ165" s="527"/>
      <c r="BR165" s="525"/>
      <c r="BS165" s="525"/>
      <c r="BT165" s="525"/>
      <c r="BU165" s="525"/>
      <c r="BV165" s="525"/>
      <c r="BW165" s="525"/>
      <c r="BX165" s="525"/>
      <c r="BY165" s="525"/>
      <c r="BZ165" s="525"/>
    </row>
    <row r="166" spans="1:78" x14ac:dyDescent="0.25">
      <c r="A166" s="540" t="s">
        <v>1788</v>
      </c>
      <c r="B166" s="540" t="s">
        <v>11</v>
      </c>
      <c r="C166" s="540"/>
      <c r="D166" s="529" t="s">
        <v>2375</v>
      </c>
      <c r="E166" s="540"/>
      <c r="F166" s="528" t="str">
        <f t="shared" si="35"/>
        <v>SA</v>
      </c>
      <c r="G166" s="540"/>
      <c r="H166" s="536" t="s">
        <v>31</v>
      </c>
      <c r="I166" s="540"/>
      <c r="J166" s="540" t="s">
        <v>298</v>
      </c>
      <c r="K166" s="540" t="s">
        <v>14</v>
      </c>
      <c r="L166" s="540" t="s">
        <v>1416</v>
      </c>
      <c r="M166" s="539"/>
      <c r="N166" s="540"/>
      <c r="O166" s="532"/>
      <c r="P166" s="540"/>
      <c r="Q166" s="540"/>
      <c r="R166" s="537" t="str">
        <f>IF(ISERROR(VLOOKUP(G166,'Planning and Target Times'!$L$1:$AP$6,MATCH(K166&amp;"_"&amp;L166&amp;"_"&amp;J166,INDEX('Planning and Target Times'!$L$1:$AP$6,1,0),0),0)+5),"",(VLOOKUP(G166,'Planning and Target Times'!$L$1:$AP$6,MATCH(K166&amp;"_"&amp;L166&amp;"_"&amp;J166,INDEX('Planning and Target Times'!$L$1:$AP$6,1,0),0),0)+5))</f>
        <v/>
      </c>
      <c r="S166" s="528" t="str">
        <f t="shared" si="36"/>
        <v/>
      </c>
      <c r="T166" s="538" t="e">
        <f>VLOOKUP(G166,'Planning and Target Times'!$A$7:$G$12,MATCH(K166&amp;"-"&amp;L166&amp;"-"&amp;J166,INDEX('Planning and Target Times'!$A$7:$G$12,1,0),0),0)</f>
        <v>#N/A</v>
      </c>
      <c r="U166" s="540"/>
      <c r="V166" s="540"/>
      <c r="W166" s="540"/>
      <c r="X166" s="535">
        <f t="shared" si="34"/>
        <v>0</v>
      </c>
      <c r="Y166" s="540"/>
      <c r="Z166" s="540"/>
      <c r="AA166" s="540"/>
      <c r="AB166" s="540"/>
      <c r="AC166" s="540"/>
      <c r="AD166" s="540"/>
      <c r="AE166" s="540" t="s">
        <v>91</v>
      </c>
      <c r="AF166" s="528"/>
      <c r="AG166" s="540" t="str">
        <f t="shared" si="37"/>
        <v>SA48-SA-Prod-NW-SL</v>
      </c>
      <c r="AH166" s="540" t="str">
        <f t="shared" si="38"/>
        <v>SA48-SP-159</v>
      </c>
      <c r="AI166" s="540" t="str">
        <f t="shared" si="39"/>
        <v>SA48-NW-Prod</v>
      </c>
      <c r="AJ166" s="540">
        <f ca="1">IF(P166&gt;0,"RR",IF(O166&gt;0,0,COUNTIF($H$2:H166,H166)-IFERROR(COUNTIF(OFFSET($H$1,0,0,SUMPRODUCT(MAX(($H$2:H166=H166)*ROW($H$2:H166)*($O$2:O166&lt;&gt;""))),1),H166),0)))</f>
        <v>7</v>
      </c>
      <c r="AK166" s="527" t="str">
        <f>IF(ISERROR(VLOOKUP(G166,'Planning and Target Times'!$B$106:$D$110,MATCH(F166,INDEX('Planning and Target Times'!$B$106:$D$110,1,0),0),0)),"",(VLOOKUP(G166,'Planning and Target Times'!$B$106:$D$110,MATCH(F166,INDEX('Planning and Target Times'!$B$106:$D$110,1,0),0),0)))</f>
        <v/>
      </c>
      <c r="AL166" s="528" t="e">
        <f>VLOOKUP(G166,'Planning and Target Times'!$I$2:$J$7,2,0)</f>
        <v>#N/A</v>
      </c>
      <c r="AM166" s="540"/>
      <c r="AN166" s="540"/>
      <c r="AO166" s="540"/>
      <c r="AP166" s="533" t="e">
        <f t="shared" si="40"/>
        <v>#VALUE!</v>
      </c>
      <c r="AQ166" s="540"/>
      <c r="AR166" s="540"/>
      <c r="AS166" s="540"/>
      <c r="AT166" s="540"/>
      <c r="AU166" s="540"/>
      <c r="AV166" s="540"/>
      <c r="AW166" s="540"/>
      <c r="AX166" s="540"/>
      <c r="AY166" s="540"/>
      <c r="AZ166" s="540"/>
      <c r="BA166" s="540"/>
      <c r="BB166" s="540"/>
      <c r="BC166" s="540"/>
      <c r="BD166" s="540"/>
      <c r="BE166" s="540"/>
      <c r="BF166" s="540"/>
      <c r="BG166" s="540"/>
      <c r="BH166" s="540"/>
      <c r="BI166" s="540"/>
      <c r="BJ166" s="540"/>
      <c r="BK166" s="540"/>
      <c r="BL166" s="540"/>
      <c r="BM166" s="540"/>
      <c r="BN166" s="540"/>
      <c r="BO166" s="526">
        <f ca="1">IF(ISERROR(IF(INDEX(Rig_Schedule_View!$I$11:$I$262,MATCH(Well_Data_NK_Upcoming!AG162,Rig_Schedule_View!$B$11:$B$262,0))=0,O166,(INDEX(Rig_Schedule_View!$I$11:$I$262,MATCH(Well_Data_NK_Upcoming!AG162,Rig_Schedule_View!$B$11:$B$262,0))))),O166,(IF(INDEX(Rig_Schedule_View!$I$11:$I$262,MATCH(Well_Data_NK_Upcoming!AG162,Rig_Schedule_View!$B$11:$B$262,0))=0,O166,(INDEX(Rig_Schedule_View!$I$11:$I$262,MATCH(Well_Data_NK_Upcoming!AG162,Rig_Schedule_View!$B$11:$B$262,0))))))</f>
        <v>42684</v>
      </c>
      <c r="BP166" s="526">
        <f ca="1">IF(ISERROR(IF(INDEX(Rig_Schedule_View!$J$11:$J$262,MATCH(Well_Data_NK_Upcoming!AG162,Rig_Schedule_View!$B$11:$B$262,0))=0,P166,(INDEX(Rig_Schedule_View!$J$11:$J$262,MATCH(Well_Data_NK_Upcoming!AG162,Rig_Schedule_View!$B$11:$B$262,0))))),P166,(IF(INDEX(Rig_Schedule_View!$J$11:$J$262,MATCH(Well_Data_NK_Upcoming!AG162,Rig_Schedule_View!$B$11:$B$262,0))=0,P166,(INDEX(Rig_Schedule_View!$J$11:$J$262,MATCH(Well_Data_NK_Upcoming!AG162,Rig_Schedule_View!$B$11:$B$262,0))))))</f>
        <v>42754</v>
      </c>
      <c r="BQ166" s="527"/>
      <c r="BR166" s="525"/>
      <c r="BS166" s="525"/>
      <c r="BT166" s="525"/>
      <c r="BU166" s="525"/>
      <c r="BV166" s="525"/>
      <c r="BW166" s="525"/>
      <c r="BX166" s="525"/>
      <c r="BY166" s="525"/>
      <c r="BZ166" s="525"/>
    </row>
    <row r="167" spans="1:78" x14ac:dyDescent="0.25">
      <c r="A167" s="540" t="s">
        <v>1798</v>
      </c>
      <c r="B167" s="540" t="s">
        <v>11</v>
      </c>
      <c r="C167" s="540"/>
      <c r="D167" s="529" t="s">
        <v>2377</v>
      </c>
      <c r="E167" s="540"/>
      <c r="F167" s="528" t="str">
        <f t="shared" si="35"/>
        <v>SA</v>
      </c>
      <c r="G167" s="540" t="s">
        <v>17</v>
      </c>
      <c r="H167" s="536" t="s">
        <v>37</v>
      </c>
      <c r="I167" s="540"/>
      <c r="J167" s="540" t="s">
        <v>34</v>
      </c>
      <c r="K167" s="540" t="s">
        <v>18</v>
      </c>
      <c r="L167" s="540" t="s">
        <v>1416</v>
      </c>
      <c r="M167" s="539"/>
      <c r="N167" s="540"/>
      <c r="O167" s="532"/>
      <c r="P167" s="540"/>
      <c r="Q167" s="540"/>
      <c r="R167" s="537">
        <f>IF(ISERROR(VLOOKUP(G167,'Planning and Target Times'!$L$1:$AP$6,MATCH(K167&amp;"_"&amp;L167&amp;"_"&amp;J167,INDEX('Planning and Target Times'!$L$1:$AP$6,1,0),0),0)+5),"",(VLOOKUP(G167,'Planning and Target Times'!$L$1:$AP$6,MATCH(K167&amp;"_"&amp;L167&amp;"_"&amp;J167,INDEX('Planning and Target Times'!$L$1:$AP$6,1,0),0),0)+5))</f>
        <v>61</v>
      </c>
      <c r="S167" s="528">
        <f t="shared" si="36"/>
        <v>56</v>
      </c>
      <c r="T167" s="538" t="e">
        <f>VLOOKUP(G167,'Planning and Target Times'!$A$7:$G$12,MATCH(K167&amp;"-"&amp;L167&amp;"-"&amp;J167,INDEX('Planning and Target Times'!$A$7:$G$12,1,0),0),0)</f>
        <v>#N/A</v>
      </c>
      <c r="U167" s="540"/>
      <c r="V167" s="540"/>
      <c r="W167" s="540"/>
      <c r="X167" s="535" t="str">
        <f t="shared" si="34"/>
        <v>MA</v>
      </c>
      <c r="Y167" s="540"/>
      <c r="Z167" s="540"/>
      <c r="AA167" s="540"/>
      <c r="AB167" s="540"/>
      <c r="AC167" s="540"/>
      <c r="AD167" s="540"/>
      <c r="AE167" s="540" t="s">
        <v>91</v>
      </c>
      <c r="AF167" s="528"/>
      <c r="AG167" s="540" t="str">
        <f t="shared" si="37"/>
        <v>SA59-SA-MA-Inj-ST-SL</v>
      </c>
      <c r="AH167" s="540" t="str">
        <f t="shared" si="38"/>
        <v>SA59-SP-186</v>
      </c>
      <c r="AI167" s="540" t="str">
        <f t="shared" si="39"/>
        <v>SA59-MA-ST-Inj</v>
      </c>
      <c r="AJ167" s="540">
        <f ca="1">IF(P167&gt;0,"RR",IF(O167&gt;0,0,COUNTIF($H$2:H167,H167)-IFERROR(COUNTIF(OFFSET($H$1,0,0,SUMPRODUCT(MAX(($H$2:H167=H167)*ROW($H$2:H167)*($O$2:O167&lt;&gt;""))),1),H167),0)))</f>
        <v>7</v>
      </c>
      <c r="AK167" s="527"/>
      <c r="AL167" s="528" t="str">
        <f>VLOOKUP(G167,'Planning and Target Times'!$I$2:$J$7,2,0)</f>
        <v>Carbonate</v>
      </c>
      <c r="AM167" s="540"/>
      <c r="AN167" s="540"/>
      <c r="AO167" s="540"/>
      <c r="AP167" s="533">
        <f t="shared" si="40"/>
        <v>0</v>
      </c>
      <c r="AQ167" s="540"/>
      <c r="AR167" s="540"/>
      <c r="AS167" s="540"/>
      <c r="AT167" s="540"/>
      <c r="AU167" s="540"/>
      <c r="AV167" s="540"/>
      <c r="AW167" s="540"/>
      <c r="AX167" s="540"/>
      <c r="AY167" s="540"/>
      <c r="AZ167" s="540"/>
      <c r="BA167" s="540"/>
      <c r="BB167" s="540"/>
      <c r="BC167" s="540"/>
      <c r="BD167" s="540"/>
      <c r="BE167" s="540"/>
      <c r="BF167" s="540"/>
      <c r="BG167" s="540"/>
      <c r="BH167" s="540"/>
      <c r="BI167" s="540"/>
      <c r="BJ167" s="540"/>
      <c r="BK167" s="540"/>
      <c r="BL167" s="540"/>
      <c r="BM167" s="540"/>
      <c r="BN167" s="540"/>
      <c r="BO167" s="526">
        <f>IF(ISERROR(IF(INDEX(Rig_Schedule_View!$I$11:$I$262,MATCH(Well_Data_NK_Upcoming!#REF!,Rig_Schedule_View!$B$11:$B$262,0))=0,O167,(INDEX(Rig_Schedule_View!$I$11:$I$262,MATCH(Well_Data_NK_Upcoming!#REF!,Rig_Schedule_View!$B$11:$B$262,0))))),O167,(IF(INDEX(Rig_Schedule_View!$I$11:$I$262,MATCH(Well_Data_NK_Upcoming!#REF!,Rig_Schedule_View!$B$11:$B$262,0))=0,O167,(INDEX(Rig_Schedule_View!$I$11:$I$262,MATCH(Well_Data_NK_Upcoming!#REF!,Rig_Schedule_View!$B$11:$B$262,0))))))</f>
        <v>0</v>
      </c>
      <c r="BP167" s="526">
        <f>IF(ISERROR(IF(INDEX(Rig_Schedule_View!$J$11:$J$262,MATCH(Well_Data_NK_Upcoming!#REF!,Rig_Schedule_View!$B$11:$B$262,0))=0,P167,(INDEX(Rig_Schedule_View!$J$11:$J$262,MATCH(Well_Data_NK_Upcoming!#REF!,Rig_Schedule_View!$B$11:$B$262,0))))),P167,(IF(INDEX(Rig_Schedule_View!$J$11:$J$262,MATCH(Well_Data_NK_Upcoming!#REF!,Rig_Schedule_View!$B$11:$B$262,0))=0,P167,(INDEX(Rig_Schedule_View!$J$11:$J$262,MATCH(Well_Data_NK_Upcoming!#REF!,Rig_Schedule_View!$B$11:$B$262,0))))))</f>
        <v>0</v>
      </c>
      <c r="BQ167" s="527"/>
      <c r="BR167" s="525"/>
      <c r="BS167" s="525"/>
      <c r="BT167" s="525"/>
      <c r="BU167" s="525"/>
      <c r="BV167" s="525"/>
      <c r="BW167" s="525"/>
      <c r="BX167" s="525"/>
      <c r="BY167" s="525"/>
      <c r="BZ167" s="525"/>
    </row>
    <row r="168" spans="1:78" x14ac:dyDescent="0.25">
      <c r="A168" s="540" t="s">
        <v>1744</v>
      </c>
      <c r="B168" s="540" t="s">
        <v>42</v>
      </c>
      <c r="C168" s="540"/>
      <c r="D168" s="529" t="s">
        <v>2378</v>
      </c>
      <c r="E168" s="540"/>
      <c r="F168" s="528" t="str">
        <f t="shared" si="35"/>
        <v>RA</v>
      </c>
      <c r="G168" s="540" t="s">
        <v>17</v>
      </c>
      <c r="H168" s="536" t="s">
        <v>838</v>
      </c>
      <c r="I168" s="540" t="s">
        <v>24</v>
      </c>
      <c r="J168" s="540" t="s">
        <v>34</v>
      </c>
      <c r="K168" s="540" t="s">
        <v>14</v>
      </c>
      <c r="L168" s="540" t="s">
        <v>1410</v>
      </c>
      <c r="M168" s="539"/>
      <c r="N168" s="540"/>
      <c r="O168" s="532"/>
      <c r="P168" s="540"/>
      <c r="Q168" s="540"/>
      <c r="R168" s="537">
        <f>IF(ISERROR(VLOOKUP(G168,'Planning and Target Times'!$L$1:$AP$6,MATCH(K168&amp;"_"&amp;L168&amp;"_"&amp;J168,INDEX('Planning and Target Times'!$L$1:$AP$6,1,0),0),0)+5),"",(VLOOKUP(G168,'Planning and Target Times'!$L$1:$AP$6,MATCH(K168&amp;"_"&amp;L168&amp;"_"&amp;J168,INDEX('Planning and Target Times'!$L$1:$AP$6,1,0),0),0)+5))</f>
        <v>68</v>
      </c>
      <c r="S168" s="528">
        <f t="shared" si="36"/>
        <v>63</v>
      </c>
      <c r="T168" s="538">
        <f>VLOOKUP(G168,'Planning and Target Times'!$A$7:$G$12,MATCH(K168&amp;"-"&amp;L168&amp;"-"&amp;J168,INDEX('Planning and Target Times'!$A$7:$G$12,1,0),0),0)</f>
        <v>35</v>
      </c>
      <c r="U168" s="540"/>
      <c r="V168" s="540"/>
      <c r="W168" s="540"/>
      <c r="X168" s="535" t="str">
        <f t="shared" si="34"/>
        <v>MA</v>
      </c>
      <c r="Y168" s="540"/>
      <c r="Z168" s="540"/>
      <c r="AA168" s="540"/>
      <c r="AB168" s="540"/>
      <c r="AC168" s="540"/>
      <c r="AD168" s="540"/>
      <c r="AE168" s="540" t="s">
        <v>91</v>
      </c>
      <c r="AF168" s="528"/>
      <c r="AG168" s="540" t="str">
        <f t="shared" si="37"/>
        <v>RA30-RA-MA-Inj-NW-HZ-SLB</v>
      </c>
      <c r="AH168" s="540" t="str">
        <f t="shared" si="38"/>
        <v>RA30-SP-266</v>
      </c>
      <c r="AI168" s="540" t="str">
        <f t="shared" si="39"/>
        <v>RA30-MA-NW-Inj</v>
      </c>
      <c r="AJ168" s="540">
        <f ca="1">IF(P168&gt;0,"RR",IF(O168&gt;0,0,COUNTIF($H$2:H168,H168)-IFERROR(COUNTIF(OFFSET($H$1,0,0,SUMPRODUCT(MAX(($H$2:H168=H168)*ROW($H$2:H168)*($O$2:O168&lt;&gt;""))),1),H168),0)))</f>
        <v>7</v>
      </c>
      <c r="AK168" s="527"/>
      <c r="AL168" s="528" t="str">
        <f>VLOOKUP(G168,'Planning and Target Times'!$I$2:$J$7,2,0)</f>
        <v>Carbonate</v>
      </c>
      <c r="AM168" s="540"/>
      <c r="AN168" s="540"/>
      <c r="AO168" s="540"/>
      <c r="AP168" s="533">
        <f t="shared" si="40"/>
        <v>0</v>
      </c>
      <c r="AQ168" s="540"/>
      <c r="AR168" s="540"/>
      <c r="AS168" s="540"/>
      <c r="AT168" s="540"/>
      <c r="AU168" s="540"/>
      <c r="AV168" s="540"/>
      <c r="AW168" s="540"/>
      <c r="AX168" s="540"/>
      <c r="AY168" s="540"/>
      <c r="AZ168" s="540"/>
      <c r="BA168" s="540"/>
      <c r="BB168" s="540"/>
      <c r="BC168" s="540"/>
      <c r="BD168" s="540"/>
      <c r="BE168" s="540"/>
      <c r="BF168" s="540"/>
      <c r="BG168" s="540"/>
      <c r="BH168" s="540"/>
      <c r="BI168" s="540"/>
      <c r="BJ168" s="540"/>
      <c r="BK168" s="540"/>
      <c r="BL168" s="540"/>
      <c r="BM168" s="540"/>
      <c r="BN168" s="540"/>
      <c r="BO168" s="526">
        <f ca="1">IF(ISERROR(IF(INDEX(Rig_Schedule_View!$I$11:$I$262,MATCH(Well_Data_NK_Upcoming!AG164,Rig_Schedule_View!$B$11:$B$262,0))=0,O168,(INDEX(Rig_Schedule_View!$I$11:$I$262,MATCH(Well_Data_NK_Upcoming!AG164,Rig_Schedule_View!$B$11:$B$262,0))))),O168,(IF(INDEX(Rig_Schedule_View!$I$11:$I$262,MATCH(Well_Data_NK_Upcoming!AG164,Rig_Schedule_View!$B$11:$B$262,0))=0,O168,(INDEX(Rig_Schedule_View!$I$11:$I$262,MATCH(Well_Data_NK_Upcoming!AG164,Rig_Schedule_View!$B$11:$B$262,0))))))</f>
        <v>42744</v>
      </c>
      <c r="BP168" s="526">
        <f ca="1">IF(ISERROR(IF(INDEX(Rig_Schedule_View!$J$11:$J$262,MATCH(Well_Data_NK_Upcoming!AG164,Rig_Schedule_View!$B$11:$B$262,0))=0,P168,(INDEX(Rig_Schedule_View!$J$11:$J$262,MATCH(Well_Data_NK_Upcoming!AG164,Rig_Schedule_View!$B$11:$B$262,0))))),P168,(IF(INDEX(Rig_Schedule_View!$J$11:$J$262,MATCH(Well_Data_NK_Upcoming!AG164,Rig_Schedule_View!$B$11:$B$262,0))=0,P168,(INDEX(Rig_Schedule_View!$J$11:$J$262,MATCH(Well_Data_NK_Upcoming!AG164,Rig_Schedule_View!$B$11:$B$262,0))))))</f>
        <v>42842</v>
      </c>
      <c r="BQ168" s="527"/>
      <c r="BR168" s="525"/>
      <c r="BS168" s="525"/>
      <c r="BT168" s="525"/>
      <c r="BU168" s="525"/>
      <c r="BV168" s="525"/>
      <c r="BW168" s="525"/>
      <c r="BX168" s="525"/>
      <c r="BY168" s="525"/>
      <c r="BZ168" s="525"/>
    </row>
    <row r="169" spans="1:78" x14ac:dyDescent="0.25">
      <c r="A169" s="540" t="s">
        <v>1796</v>
      </c>
      <c r="B169" s="540" t="s">
        <v>11</v>
      </c>
      <c r="C169" s="540"/>
      <c r="D169" s="529" t="s">
        <v>2379</v>
      </c>
      <c r="E169" s="540"/>
      <c r="F169" s="528" t="str">
        <f t="shared" si="35"/>
        <v>SA</v>
      </c>
      <c r="G169" s="540" t="s">
        <v>17</v>
      </c>
      <c r="H169" s="536" t="s">
        <v>839</v>
      </c>
      <c r="I169" s="540"/>
      <c r="J169" s="540" t="s">
        <v>298</v>
      </c>
      <c r="K169" s="540" t="s">
        <v>14</v>
      </c>
      <c r="L169" s="540" t="s">
        <v>1410</v>
      </c>
      <c r="M169" s="539"/>
      <c r="N169" s="540"/>
      <c r="O169" s="532"/>
      <c r="P169" s="540"/>
      <c r="Q169" s="540"/>
      <c r="R169" s="537">
        <f>IF(ISERROR(VLOOKUP(G169,'Planning and Target Times'!$L$1:$AP$6,MATCH(K169&amp;"_"&amp;L169&amp;"_"&amp;J169,INDEX('Planning and Target Times'!$L$1:$AP$6,1,0),0),0)+5),"",(VLOOKUP(G169,'Planning and Target Times'!$L$1:$AP$6,MATCH(K169&amp;"_"&amp;L169&amp;"_"&amp;J169,INDEX('Planning and Target Times'!$L$1:$AP$6,1,0),0),0)+5))</f>
        <v>75</v>
      </c>
      <c r="S169" s="528">
        <f t="shared" si="36"/>
        <v>70</v>
      </c>
      <c r="T169" s="538">
        <f>VLOOKUP(G169,'Planning and Target Times'!$A$7:$G$12,MATCH(K169&amp;"-"&amp;L169&amp;"-"&amp;J169,INDEX('Planning and Target Times'!$A$7:$G$12,1,0),0),0)</f>
        <v>35</v>
      </c>
      <c r="U169" s="540"/>
      <c r="V169" s="540"/>
      <c r="W169" s="540"/>
      <c r="X169" s="535" t="str">
        <f t="shared" si="34"/>
        <v>MA</v>
      </c>
      <c r="Y169" s="540"/>
      <c r="Z169" s="540"/>
      <c r="AA169" s="540"/>
      <c r="AB169" s="540"/>
      <c r="AC169" s="540"/>
      <c r="AD169" s="540"/>
      <c r="AE169" s="540" t="s">
        <v>91</v>
      </c>
      <c r="AF169" s="528"/>
      <c r="AG169" s="540" t="str">
        <f t="shared" si="37"/>
        <v>SA57-SA-MA-Prod-NW-HZ</v>
      </c>
      <c r="AH169" s="540" t="str">
        <f t="shared" si="38"/>
        <v>SA57-SP-267</v>
      </c>
      <c r="AI169" s="540" t="str">
        <f t="shared" si="39"/>
        <v>SA57-MA-NW-Prod</v>
      </c>
      <c r="AJ169" s="540">
        <f ca="1">IF(P169&gt;0,"RR",IF(O169&gt;0,0,COUNTIF($H$2:H169,H169)-IFERROR(COUNTIF(OFFSET($H$1,0,0,SUMPRODUCT(MAX(($H$2:H169=H169)*ROW($H$2:H169)*($O$2:O169&lt;&gt;""))),1),H169),0)))</f>
        <v>7</v>
      </c>
      <c r="AK169" s="527">
        <f>IF(ISERROR(VLOOKUP(G169,'Planning and Target Times'!$B$106:$D$110,MATCH(F169,INDEX('Planning and Target Times'!$B$106:$D$110,1,0),0),0)),"",(VLOOKUP(G169,'Planning and Target Times'!$B$106:$D$110,MATCH(F169,INDEX('Planning and Target Times'!$B$106:$D$110,1,0),0),0)))</f>
        <v>740</v>
      </c>
      <c r="AL169" s="528" t="str">
        <f>VLOOKUP(G169,'Planning and Target Times'!$I$2:$J$7,2,0)</f>
        <v>Carbonate</v>
      </c>
      <c r="AM169" s="540"/>
      <c r="AN169" s="540"/>
      <c r="AO169" s="540"/>
      <c r="AP169" s="533">
        <f t="shared" si="40"/>
        <v>9.8666666666666671</v>
      </c>
      <c r="AQ169" s="540"/>
      <c r="AR169" s="540"/>
      <c r="AS169" s="540"/>
      <c r="AT169" s="540"/>
      <c r="AU169" s="540"/>
      <c r="AV169" s="540"/>
      <c r="AW169" s="540"/>
      <c r="AX169" s="540"/>
      <c r="AY169" s="540"/>
      <c r="AZ169" s="540"/>
      <c r="BA169" s="540"/>
      <c r="BB169" s="540"/>
      <c r="BC169" s="540"/>
      <c r="BD169" s="540"/>
      <c r="BE169" s="540"/>
      <c r="BF169" s="540"/>
      <c r="BG169" s="540"/>
      <c r="BH169" s="540"/>
      <c r="BI169" s="540"/>
      <c r="BJ169" s="540"/>
      <c r="BK169" s="540"/>
      <c r="BL169" s="540"/>
      <c r="BM169" s="540"/>
      <c r="BN169" s="540"/>
      <c r="BO169" s="526">
        <f ca="1">IF(ISERROR(IF(INDEX(Rig_Schedule_View!$I$11:$I$262,MATCH(Well_Data_NK_Upcoming!AG165,Rig_Schedule_View!$B$11:$B$262,0))=0,O169,(INDEX(Rig_Schedule_View!$I$11:$I$262,MATCH(Well_Data_NK_Upcoming!AG165,Rig_Schedule_View!$B$11:$B$262,0))))),O169,(IF(INDEX(Rig_Schedule_View!$I$11:$I$262,MATCH(Well_Data_NK_Upcoming!AG165,Rig_Schedule_View!$B$11:$B$262,0))=0,O169,(INDEX(Rig_Schedule_View!$I$11:$I$262,MATCH(Well_Data_NK_Upcoming!AG165,Rig_Schedule_View!$B$11:$B$262,0))))))</f>
        <v>42702</v>
      </c>
      <c r="BP169" s="526">
        <f ca="1">IF(ISERROR(IF(INDEX(Rig_Schedule_View!$J$11:$J$262,MATCH(Well_Data_NK_Upcoming!AG165,Rig_Schedule_View!$B$11:$B$262,0))=0,P169,(INDEX(Rig_Schedule_View!$J$11:$J$262,MATCH(Well_Data_NK_Upcoming!AG165,Rig_Schedule_View!$B$11:$B$262,0))))),P169,(IF(INDEX(Rig_Schedule_View!$J$11:$J$262,MATCH(Well_Data_NK_Upcoming!AG165,Rig_Schedule_View!$B$11:$B$262,0))=0,P169,(INDEX(Rig_Schedule_View!$J$11:$J$262,MATCH(Well_Data_NK_Upcoming!AG165,Rig_Schedule_View!$B$11:$B$262,0))))))</f>
        <v>42772</v>
      </c>
      <c r="BQ169" s="527"/>
      <c r="BR169" s="525"/>
      <c r="BS169" s="525"/>
      <c r="BT169" s="525"/>
      <c r="BU169" s="525"/>
      <c r="BV169" s="525"/>
      <c r="BW169" s="525"/>
      <c r="BX169" s="525"/>
      <c r="BY169" s="525"/>
      <c r="BZ169" s="525"/>
    </row>
    <row r="170" spans="1:78" x14ac:dyDescent="0.25">
      <c r="A170" s="540" t="s">
        <v>1751</v>
      </c>
      <c r="B170" s="540" t="s">
        <v>42</v>
      </c>
      <c r="C170" s="540"/>
      <c r="D170" s="529" t="s">
        <v>2380</v>
      </c>
      <c r="E170" s="540"/>
      <c r="F170" s="528" t="str">
        <f t="shared" si="35"/>
        <v>RA</v>
      </c>
      <c r="G170" s="540" t="s">
        <v>17</v>
      </c>
      <c r="H170" s="536" t="s">
        <v>1414</v>
      </c>
      <c r="I170" s="540" t="s">
        <v>24</v>
      </c>
      <c r="J170" s="540" t="s">
        <v>298</v>
      </c>
      <c r="K170" s="540" t="s">
        <v>14</v>
      </c>
      <c r="L170" s="540" t="s">
        <v>1410</v>
      </c>
      <c r="M170" s="539"/>
      <c r="N170" s="540"/>
      <c r="O170" s="532"/>
      <c r="P170" s="540"/>
      <c r="Q170" s="540"/>
      <c r="R170" s="537">
        <f>IF(ISERROR(VLOOKUP(G170,'Planning and Target Times'!$L$1:$AP$6,MATCH(K170&amp;"_"&amp;L170&amp;"_"&amp;J170,INDEX('Planning and Target Times'!$L$1:$AP$6,1,0),0),0)+5),"",(VLOOKUP(G170,'Planning and Target Times'!$L$1:$AP$6,MATCH(K170&amp;"_"&amp;L170&amp;"_"&amp;J170,INDEX('Planning and Target Times'!$L$1:$AP$6,1,0),0),0)+5))</f>
        <v>75</v>
      </c>
      <c r="S170" s="528">
        <f t="shared" si="36"/>
        <v>70</v>
      </c>
      <c r="T170" s="538">
        <f>VLOOKUP(G170,'Planning and Target Times'!$A$7:$G$12,MATCH(K170&amp;"-"&amp;L170&amp;"-"&amp;J170,INDEX('Planning and Target Times'!$A$7:$G$12,1,0),0),0)</f>
        <v>35</v>
      </c>
      <c r="U170" s="540"/>
      <c r="V170" s="540"/>
      <c r="W170" s="540"/>
      <c r="X170" s="535" t="str">
        <f t="shared" si="34"/>
        <v>MA</v>
      </c>
      <c r="Y170" s="540"/>
      <c r="Z170" s="540"/>
      <c r="AA170" s="540"/>
      <c r="AB170" s="540"/>
      <c r="AC170" s="540"/>
      <c r="AD170" s="540"/>
      <c r="AE170" s="540" t="s">
        <v>91</v>
      </c>
      <c r="AF170" s="528"/>
      <c r="AG170" s="540" t="str">
        <f t="shared" si="37"/>
        <v>RA39-RA-MA-Prod-NW-HZ-SLB</v>
      </c>
      <c r="AH170" s="540" t="str">
        <f t="shared" si="38"/>
        <v>RA39-SP-283</v>
      </c>
      <c r="AI170" s="540" t="str">
        <f t="shared" si="39"/>
        <v>RA39-MA-NW-Prod</v>
      </c>
      <c r="AJ170" s="540">
        <f ca="1">IF(P170&gt;0,"RR",IF(O170&gt;0,0,COUNTIF($H$2:H170,H170)-IFERROR(COUNTIF(OFFSET($H$1,0,0,SUMPRODUCT(MAX(($H$2:H170=H170)*ROW($H$2:H170)*($O$2:O170&lt;&gt;""))),1),H170),0)))</f>
        <v>7</v>
      </c>
      <c r="AK170" s="527">
        <f>IF(ISERROR(VLOOKUP(G170,'Planning and Target Times'!$B$106:$D$110,MATCH(F170,INDEX('Planning and Target Times'!$B$106:$D$110,1,0),0),0)),"",(VLOOKUP(G170,'Planning and Target Times'!$B$106:$D$110,MATCH(F170,INDEX('Planning and Target Times'!$B$106:$D$110,1,0),0),0)))</f>
        <v>650</v>
      </c>
      <c r="AL170" s="528" t="str">
        <f>VLOOKUP(G170,'Planning and Target Times'!$I$2:$J$7,2,0)</f>
        <v>Carbonate</v>
      </c>
      <c r="AM170" s="540"/>
      <c r="AN170" s="540"/>
      <c r="AO170" s="540"/>
      <c r="AP170" s="533">
        <f t="shared" si="40"/>
        <v>8.6666666666666661</v>
      </c>
      <c r="AQ170" s="540"/>
      <c r="AR170" s="540"/>
      <c r="AS170" s="540"/>
      <c r="AT170" s="540"/>
      <c r="AU170" s="540"/>
      <c r="AV170" s="540"/>
      <c r="AW170" s="540"/>
      <c r="AX170" s="540"/>
      <c r="AY170" s="540"/>
      <c r="AZ170" s="540"/>
      <c r="BA170" s="540"/>
      <c r="BB170" s="540"/>
      <c r="BC170" s="540"/>
      <c r="BD170" s="540"/>
      <c r="BE170" s="540"/>
      <c r="BF170" s="540"/>
      <c r="BG170" s="540"/>
      <c r="BH170" s="540"/>
      <c r="BI170" s="540"/>
      <c r="BJ170" s="540"/>
      <c r="BK170" s="540"/>
      <c r="BL170" s="540"/>
      <c r="BM170" s="540"/>
      <c r="BN170" s="540"/>
      <c r="BO170" s="526" t="str">
        <f ca="1">IF(ISERROR(IF(INDEX(Rig_Schedule_View!$I$11:$I$262,MATCH(Well_Data_NK_Upcoming!AG166,Rig_Schedule_View!$B$11:$B$262,0))=0,O170,(INDEX(Rig_Schedule_View!$I$11:$I$262,MATCH(Well_Data_NK_Upcoming!AG166,Rig_Schedule_View!$B$11:$B$262,0))))),O170,(IF(INDEX(Rig_Schedule_View!$I$11:$I$262,MATCH(Well_Data_NK_Upcoming!AG166,Rig_Schedule_View!$B$11:$B$262,0))=0,O170,(INDEX(Rig_Schedule_View!$I$11:$I$262,MATCH(Well_Data_NK_Upcoming!AG166,Rig_Schedule_View!$B$11:$B$262,0))))))</f>
        <v/>
      </c>
      <c r="BP170" s="526" t="str">
        <f ca="1">IF(ISERROR(IF(INDEX(Rig_Schedule_View!$J$11:$J$262,MATCH(Well_Data_NK_Upcoming!AG166,Rig_Schedule_View!$B$11:$B$262,0))=0,P170,(INDEX(Rig_Schedule_View!$J$11:$J$262,MATCH(Well_Data_NK_Upcoming!AG166,Rig_Schedule_View!$B$11:$B$262,0))))),P170,(IF(INDEX(Rig_Schedule_View!$J$11:$J$262,MATCH(Well_Data_NK_Upcoming!AG166,Rig_Schedule_View!$B$11:$B$262,0))=0,P170,(INDEX(Rig_Schedule_View!$J$11:$J$262,MATCH(Well_Data_NK_Upcoming!AG166,Rig_Schedule_View!$B$11:$B$262,0))))))</f>
        <v/>
      </c>
      <c r="BQ170" s="527"/>
      <c r="BR170" s="525"/>
      <c r="BS170" s="525"/>
      <c r="BT170" s="525"/>
      <c r="BU170" s="525"/>
      <c r="BV170" s="525"/>
      <c r="BW170" s="525"/>
      <c r="BX170" s="525"/>
      <c r="BY170" s="525"/>
      <c r="BZ170" s="525"/>
    </row>
    <row r="171" spans="1:78" x14ac:dyDescent="0.25">
      <c r="A171" s="540" t="s">
        <v>1752</v>
      </c>
      <c r="B171" s="540" t="s">
        <v>42</v>
      </c>
      <c r="C171" s="540"/>
      <c r="D171" s="529" t="s">
        <v>2381</v>
      </c>
      <c r="E171" s="540"/>
      <c r="F171" s="528" t="str">
        <f t="shared" si="35"/>
        <v>RA</v>
      </c>
      <c r="G171" s="540" t="s">
        <v>17</v>
      </c>
      <c r="H171" s="536" t="s">
        <v>1415</v>
      </c>
      <c r="I171" s="540" t="s">
        <v>24</v>
      </c>
      <c r="J171" s="540" t="s">
        <v>298</v>
      </c>
      <c r="K171" s="540" t="s">
        <v>14</v>
      </c>
      <c r="L171" s="540" t="s">
        <v>1410</v>
      </c>
      <c r="M171" s="539"/>
      <c r="N171" s="540"/>
      <c r="O171" s="532"/>
      <c r="P171" s="540"/>
      <c r="Q171" s="540"/>
      <c r="R171" s="537">
        <f>IF(ISERROR(VLOOKUP(G171,'Planning and Target Times'!$L$1:$AP$6,MATCH(K171&amp;"_"&amp;L171&amp;"_"&amp;J171,INDEX('Planning and Target Times'!$L$1:$AP$6,1,0),0),0)+5),"",(VLOOKUP(G171,'Planning and Target Times'!$L$1:$AP$6,MATCH(K171&amp;"_"&amp;L171&amp;"_"&amp;J171,INDEX('Planning and Target Times'!$L$1:$AP$6,1,0),0),0)+5))</f>
        <v>75</v>
      </c>
      <c r="S171" s="528">
        <f t="shared" si="36"/>
        <v>70</v>
      </c>
      <c r="T171" s="538">
        <f>VLOOKUP(G171,'Planning and Target Times'!$A$7:$G$12,MATCH(K171&amp;"-"&amp;L171&amp;"-"&amp;J171,INDEX('Planning and Target Times'!$A$7:$G$12,1,0),0),0)</f>
        <v>35</v>
      </c>
      <c r="U171" s="540"/>
      <c r="V171" s="540"/>
      <c r="W171" s="540"/>
      <c r="X171" s="535" t="str">
        <f t="shared" si="34"/>
        <v>MA</v>
      </c>
      <c r="Y171" s="540"/>
      <c r="Z171" s="540"/>
      <c r="AA171" s="540"/>
      <c r="AB171" s="540"/>
      <c r="AC171" s="540"/>
      <c r="AD171" s="540"/>
      <c r="AE171" s="540" t="s">
        <v>91</v>
      </c>
      <c r="AF171" s="528"/>
      <c r="AG171" s="540" t="str">
        <f t="shared" si="37"/>
        <v>RA40-RA-MA-Prod-NW-HZ-SLB</v>
      </c>
      <c r="AH171" s="540" t="str">
        <f t="shared" si="38"/>
        <v>RA40-SP-288</v>
      </c>
      <c r="AI171" s="540" t="str">
        <f t="shared" si="39"/>
        <v>RA40-MA-NW-Prod</v>
      </c>
      <c r="AJ171" s="540">
        <f ca="1">IF(P171&gt;0,"RR",IF(O171&gt;0,0,COUNTIF($H$2:H171,H171)-IFERROR(COUNTIF(OFFSET($H$1,0,0,SUMPRODUCT(MAX(($H$2:H171=H171)*ROW($H$2:H171)*($O$2:O171&lt;&gt;""))),1),H171),0)))</f>
        <v>7</v>
      </c>
      <c r="AK171" s="527">
        <f>IF(ISERROR(VLOOKUP(G171,'Planning and Target Times'!$B$106:$D$110,MATCH(F171,INDEX('Planning and Target Times'!$B$106:$D$110,1,0),0),0)),"",(VLOOKUP(G171,'Planning and Target Times'!$B$106:$D$110,MATCH(F171,INDEX('Planning and Target Times'!$B$106:$D$110,1,0),0),0)))</f>
        <v>650</v>
      </c>
      <c r="AL171" s="528" t="str">
        <f>VLOOKUP(G171,'Planning and Target Times'!$I$2:$J$7,2,0)</f>
        <v>Carbonate</v>
      </c>
      <c r="AM171" s="540"/>
      <c r="AN171" s="540"/>
      <c r="AO171" s="540"/>
      <c r="AP171" s="533">
        <f t="shared" si="40"/>
        <v>8.6666666666666661</v>
      </c>
      <c r="AQ171" s="540"/>
      <c r="AR171" s="540"/>
      <c r="AS171" s="540"/>
      <c r="AT171" s="540"/>
      <c r="AU171" s="540"/>
      <c r="AV171" s="540"/>
      <c r="AW171" s="540"/>
      <c r="AX171" s="540"/>
      <c r="AY171" s="540"/>
      <c r="AZ171" s="540"/>
      <c r="BA171" s="540"/>
      <c r="BB171" s="540"/>
      <c r="BC171" s="540"/>
      <c r="BD171" s="540"/>
      <c r="BE171" s="540"/>
      <c r="BF171" s="540"/>
      <c r="BG171" s="540"/>
      <c r="BH171" s="540"/>
      <c r="BI171" s="540"/>
      <c r="BJ171" s="540"/>
      <c r="BK171" s="540"/>
      <c r="BL171" s="540"/>
      <c r="BM171" s="540"/>
      <c r="BN171" s="540"/>
      <c r="BO171" s="526" t="str">
        <f ca="1">IF(ISERROR(IF(INDEX(Rig_Schedule_View!$I$11:$I$262,MATCH(Well_Data_NK_Upcoming!AG176,Rig_Schedule_View!$B$11:$B$262,0))=0,O171,(INDEX(Rig_Schedule_View!$I$11:$I$262,MATCH(Well_Data_NK_Upcoming!AG176,Rig_Schedule_View!$B$11:$B$262,0))))),O171,(IF(INDEX(Rig_Schedule_View!$I$11:$I$262,MATCH(Well_Data_NK_Upcoming!AG176,Rig_Schedule_View!$B$11:$B$262,0))=0,O171,(INDEX(Rig_Schedule_View!$I$11:$I$262,MATCH(Well_Data_NK_Upcoming!AG176,Rig_Schedule_View!$B$11:$B$262,0))))))</f>
        <v/>
      </c>
      <c r="BP171" s="526" t="str">
        <f ca="1">IF(ISERROR(IF(INDEX(Rig_Schedule_View!$J$11:$J$262,MATCH(Well_Data_NK_Upcoming!AG176,Rig_Schedule_View!$B$11:$B$262,0))=0,P171,(INDEX(Rig_Schedule_View!$J$11:$J$262,MATCH(Well_Data_NK_Upcoming!AG176,Rig_Schedule_View!$B$11:$B$262,0))))),P171,(IF(INDEX(Rig_Schedule_View!$J$11:$J$262,MATCH(Well_Data_NK_Upcoming!AG176,Rig_Schedule_View!$B$11:$B$262,0))=0,P171,(INDEX(Rig_Schedule_View!$J$11:$J$262,MATCH(Well_Data_NK_Upcoming!AG176,Rig_Schedule_View!$B$11:$B$262,0))))))</f>
        <v/>
      </c>
      <c r="BQ171" s="527"/>
      <c r="BR171" s="525"/>
      <c r="BS171" s="525"/>
      <c r="BT171" s="525"/>
      <c r="BU171" s="525"/>
      <c r="BV171" s="525"/>
      <c r="BW171" s="525"/>
      <c r="BX171" s="525"/>
      <c r="BY171" s="525"/>
      <c r="BZ171" s="525"/>
    </row>
    <row r="172" spans="1:78" x14ac:dyDescent="0.25">
      <c r="A172" s="540" t="s">
        <v>1790</v>
      </c>
      <c r="B172" s="540" t="s">
        <v>11</v>
      </c>
      <c r="C172" s="540"/>
      <c r="D172" s="529" t="s">
        <v>2382</v>
      </c>
      <c r="E172" s="540"/>
      <c r="F172" s="528" t="str">
        <f t="shared" si="35"/>
        <v>SA</v>
      </c>
      <c r="G172" s="540" t="s">
        <v>744</v>
      </c>
      <c r="H172" s="536" t="s">
        <v>734</v>
      </c>
      <c r="I172" s="540"/>
      <c r="J172" s="540" t="s">
        <v>34</v>
      </c>
      <c r="K172" s="540" t="s">
        <v>14</v>
      </c>
      <c r="L172" s="540" t="s">
        <v>1410</v>
      </c>
      <c r="M172" s="539"/>
      <c r="N172" s="540"/>
      <c r="O172" s="532"/>
      <c r="P172" s="540"/>
      <c r="Q172" s="540"/>
      <c r="R172" s="537" t="str">
        <f>IF(ISERROR(VLOOKUP(G172,'Planning and Target Times'!$L$1:$AP$6,MATCH(K172&amp;"_"&amp;L172&amp;"_"&amp;J172,INDEX('Planning and Target Times'!$L$1:$AP$6,1,0),0),0)+5),"",(VLOOKUP(G172,'Planning and Target Times'!$L$1:$AP$6,MATCH(K172&amp;"_"&amp;L172&amp;"_"&amp;J172,INDEX('Planning and Target Times'!$L$1:$AP$6,1,0),0),0)+5))</f>
        <v/>
      </c>
      <c r="S172" s="528" t="str">
        <f t="shared" si="36"/>
        <v/>
      </c>
      <c r="T172" s="538">
        <f>VLOOKUP(G172,'Planning and Target Times'!$A$7:$G$12,MATCH(K172&amp;"-"&amp;L172&amp;"-"&amp;J172,INDEX('Planning and Target Times'!$A$7:$G$12,1,0),0),0)</f>
        <v>30</v>
      </c>
      <c r="U172" s="540"/>
      <c r="V172" s="540"/>
      <c r="W172" s="540"/>
      <c r="X172" s="535" t="str">
        <f t="shared" si="34"/>
        <v>ZU/RT</v>
      </c>
      <c r="Y172" s="540"/>
      <c r="Z172" s="540"/>
      <c r="AA172" s="540"/>
      <c r="AB172" s="540"/>
      <c r="AC172" s="540"/>
      <c r="AD172" s="540"/>
      <c r="AE172" s="540" t="s">
        <v>91</v>
      </c>
      <c r="AF172" s="528"/>
      <c r="AG172" s="540" t="str">
        <f t="shared" si="37"/>
        <v>SA51-SA-RT-Inj-NW-HZ</v>
      </c>
      <c r="AH172" s="540" t="str">
        <f t="shared" si="38"/>
        <v>SA51-SP-294</v>
      </c>
      <c r="AI172" s="540" t="str">
        <f t="shared" si="39"/>
        <v>SA51-RT-NW-Inj</v>
      </c>
      <c r="AJ172" s="540">
        <f ca="1">IF(P172&gt;0,"RR",IF(O172&gt;0,0,COUNTIF($H$2:H172,H172)-IFERROR(COUNTIF(OFFSET($H$1,0,0,SUMPRODUCT(MAX(($H$2:H172=H172)*ROW($H$2:H172)*($O$2:O172&lt;&gt;""))),1),H172),0)))</f>
        <v>7</v>
      </c>
      <c r="AK172" s="527"/>
      <c r="AL172" s="528" t="str">
        <f>VLOOKUP(G172,'Planning and Target Times'!$I$2:$J$7,2,0)</f>
        <v>Sandstone</v>
      </c>
      <c r="AM172" s="540"/>
      <c r="AN172" s="540"/>
      <c r="AO172" s="540"/>
      <c r="AP172" s="533" t="e">
        <f t="shared" si="40"/>
        <v>#VALUE!</v>
      </c>
      <c r="AQ172" s="540"/>
      <c r="AR172" s="540"/>
      <c r="AS172" s="540"/>
      <c r="AT172" s="540"/>
      <c r="AU172" s="540"/>
      <c r="AV172" s="540"/>
      <c r="AW172" s="540"/>
      <c r="AX172" s="540"/>
      <c r="AY172" s="540"/>
      <c r="AZ172" s="540"/>
      <c r="BA172" s="540"/>
      <c r="BB172" s="540"/>
      <c r="BC172" s="540"/>
      <c r="BD172" s="540"/>
      <c r="BE172" s="540"/>
      <c r="BF172" s="540"/>
      <c r="BG172" s="540"/>
      <c r="BH172" s="540"/>
      <c r="BI172" s="540"/>
      <c r="BJ172" s="540"/>
      <c r="BK172" s="540"/>
      <c r="BL172" s="540"/>
      <c r="BM172" s="540"/>
      <c r="BN172" s="540"/>
      <c r="BO172" s="526">
        <f ca="1">IF(ISERROR(IF(INDEX(Rig_Schedule_View!$I$11:$I$262,MATCH(Well_Data_NK_Upcoming!AG168,Rig_Schedule_View!$B$11:$B$262,0))=0,O172,(INDEX(Rig_Schedule_View!$I$11:$I$262,MATCH(Well_Data_NK_Upcoming!AG168,Rig_Schedule_View!$B$11:$B$262,0))))),O172,(IF(INDEX(Rig_Schedule_View!$I$11:$I$262,MATCH(Well_Data_NK_Upcoming!AG168,Rig_Schedule_View!$B$11:$B$262,0))=0,O172,(INDEX(Rig_Schedule_View!$I$11:$I$262,MATCH(Well_Data_NK_Upcoming!AG168,Rig_Schedule_View!$B$11:$B$262,0))))))</f>
        <v>42698</v>
      </c>
      <c r="BP172" s="526">
        <f ca="1">IF(ISERROR(IF(INDEX(Rig_Schedule_View!$J$11:$J$262,MATCH(Well_Data_NK_Upcoming!AG168,Rig_Schedule_View!$B$11:$B$262,0))=0,P172,(INDEX(Rig_Schedule_View!$J$11:$J$262,MATCH(Well_Data_NK_Upcoming!AG168,Rig_Schedule_View!$B$11:$B$262,0))))),P172,(IF(INDEX(Rig_Schedule_View!$J$11:$J$262,MATCH(Well_Data_NK_Upcoming!AG168,Rig_Schedule_View!$B$11:$B$262,0))=0,P172,(INDEX(Rig_Schedule_View!$J$11:$J$262,MATCH(Well_Data_NK_Upcoming!AG168,Rig_Schedule_View!$B$11:$B$262,0))))))</f>
        <v>42761</v>
      </c>
      <c r="BQ172" s="527"/>
      <c r="BR172" s="525"/>
      <c r="BS172" s="525"/>
      <c r="BT172" s="525"/>
      <c r="BU172" s="525"/>
      <c r="BV172" s="525"/>
      <c r="BW172" s="525"/>
      <c r="BX172" s="525"/>
      <c r="BY172" s="525"/>
      <c r="BZ172" s="525"/>
    </row>
    <row r="173" spans="1:78" x14ac:dyDescent="0.25">
      <c r="A173" s="540" t="s">
        <v>1791</v>
      </c>
      <c r="B173" s="540" t="s">
        <v>11</v>
      </c>
      <c r="C173" s="540"/>
      <c r="D173" s="529" t="s">
        <v>2383</v>
      </c>
      <c r="E173" s="540"/>
      <c r="F173" s="528" t="str">
        <f t="shared" si="35"/>
        <v>SA</v>
      </c>
      <c r="G173" s="540" t="s">
        <v>22</v>
      </c>
      <c r="H173" s="536" t="s">
        <v>1171</v>
      </c>
      <c r="I173" s="540"/>
      <c r="J173" s="540" t="s">
        <v>298</v>
      </c>
      <c r="K173" s="540" t="s">
        <v>14</v>
      </c>
      <c r="L173" s="540" t="s">
        <v>1416</v>
      </c>
      <c r="M173" s="539"/>
      <c r="N173" s="540"/>
      <c r="O173" s="532"/>
      <c r="P173" s="540"/>
      <c r="Q173" s="540"/>
      <c r="R173" s="537">
        <f>IF(ISERROR(VLOOKUP(G173,'Planning and Target Times'!$L$1:$AP$6,MATCH(K173&amp;"_"&amp;L173&amp;"_"&amp;J173,INDEX('Planning and Target Times'!$L$1:$AP$6,1,0),0),0)+5),"",(VLOOKUP(G173,'Planning and Target Times'!$L$1:$AP$6,MATCH(K173&amp;"_"&amp;L173&amp;"_"&amp;J173,INDEX('Planning and Target Times'!$L$1:$AP$6,1,0),0),0)+5))</f>
        <v>75</v>
      </c>
      <c r="S173" s="528">
        <f t="shared" si="36"/>
        <v>70</v>
      </c>
      <c r="T173" s="538">
        <f>VLOOKUP(G173,'Planning and Target Times'!$A$7:$G$12,MATCH(K173&amp;"-"&amp;L173&amp;"-"&amp;J173,INDEX('Planning and Target Times'!$A$7:$G$12,1,0),0),0)</f>
        <v>33</v>
      </c>
      <c r="U173" s="540"/>
      <c r="V173" s="540"/>
      <c r="W173" s="540"/>
      <c r="X173" s="535" t="str">
        <f t="shared" si="34"/>
        <v>LB</v>
      </c>
      <c r="Y173" s="540"/>
      <c r="Z173" s="540"/>
      <c r="AA173" s="540"/>
      <c r="AB173" s="540"/>
      <c r="AC173" s="540"/>
      <c r="AD173" s="540"/>
      <c r="AE173" s="540" t="s">
        <v>91</v>
      </c>
      <c r="AF173" s="528"/>
      <c r="AG173" s="540" t="str">
        <f t="shared" si="37"/>
        <v>SA52-SA-LB-Prod-NW-SL</v>
      </c>
      <c r="AH173" s="540" t="str">
        <f t="shared" si="38"/>
        <v>SA52-KDC-25</v>
      </c>
      <c r="AI173" s="540" t="str">
        <f t="shared" si="39"/>
        <v>SA52-LB-NW-Prod</v>
      </c>
      <c r="AJ173" s="540">
        <f ca="1">IF(P173&gt;0,"RR",IF(O173&gt;0,0,COUNTIF($H$2:H173,H173)-IFERROR(COUNTIF(OFFSET($H$1,0,0,SUMPRODUCT(MAX(($H$2:H173=H173)*ROW($H$2:H173)*($O$2:O173&lt;&gt;""))),1),H173),0)))</f>
        <v>8</v>
      </c>
      <c r="AK173" s="527">
        <f>IF(ISERROR(VLOOKUP(G173,'Planning and Target Times'!$B$106:$D$110,MATCH(F173,INDEX('Planning and Target Times'!$B$106:$D$110,1,0),0),0)),"",(VLOOKUP(G173,'Planning and Target Times'!$B$106:$D$110,MATCH(F173,INDEX('Planning and Target Times'!$B$106:$D$110,1,0),0),0)))</f>
        <v>550</v>
      </c>
      <c r="AL173" s="528" t="str">
        <f>VLOOKUP(G173,'Planning and Target Times'!$I$2:$J$7,2,0)</f>
        <v>Sandstone</v>
      </c>
      <c r="AM173" s="540"/>
      <c r="AN173" s="540"/>
      <c r="AO173" s="540"/>
      <c r="AP173" s="533">
        <f t="shared" si="40"/>
        <v>7.333333333333333</v>
      </c>
      <c r="AQ173" s="540"/>
      <c r="AR173" s="540"/>
      <c r="AS173" s="540"/>
      <c r="AT173" s="540"/>
      <c r="AU173" s="540"/>
      <c r="AV173" s="540"/>
      <c r="AW173" s="540"/>
      <c r="AX173" s="540"/>
      <c r="AY173" s="540"/>
      <c r="AZ173" s="540"/>
      <c r="BA173" s="540"/>
      <c r="BB173" s="540"/>
      <c r="BC173" s="540"/>
      <c r="BD173" s="540"/>
      <c r="BE173" s="540"/>
      <c r="BF173" s="540"/>
      <c r="BG173" s="540"/>
      <c r="BH173" s="540"/>
      <c r="BI173" s="540"/>
      <c r="BJ173" s="540"/>
      <c r="BK173" s="540"/>
      <c r="BL173" s="540"/>
      <c r="BM173" s="540"/>
      <c r="BN173" s="540"/>
      <c r="BO173" s="526">
        <f ca="1">IF(ISERROR(IF(INDEX(Rig_Schedule_View!$I$11:$I$262,MATCH(Well_Data_NK_Upcoming!AG169,Rig_Schedule_View!$B$11:$B$262,0))=0,O173,(INDEX(Rig_Schedule_View!$I$11:$I$262,MATCH(Well_Data_NK_Upcoming!AG169,Rig_Schedule_View!$B$11:$B$262,0))))),O173,(IF(INDEX(Rig_Schedule_View!$I$11:$I$262,MATCH(Well_Data_NK_Upcoming!AG169,Rig_Schedule_View!$B$11:$B$262,0))=0,O173,(INDEX(Rig_Schedule_View!$I$11:$I$262,MATCH(Well_Data_NK_Upcoming!AG169,Rig_Schedule_View!$B$11:$B$262,0))))))</f>
        <v>42681</v>
      </c>
      <c r="BP173" s="526">
        <f ca="1">IF(ISERROR(IF(INDEX(Rig_Schedule_View!$J$11:$J$262,MATCH(Well_Data_NK_Upcoming!AG169,Rig_Schedule_View!$B$11:$B$262,0))=0,P173,(INDEX(Rig_Schedule_View!$J$11:$J$262,MATCH(Well_Data_NK_Upcoming!AG169,Rig_Schedule_View!$B$11:$B$262,0))))),P173,(IF(INDEX(Rig_Schedule_View!$J$11:$J$262,MATCH(Well_Data_NK_Upcoming!AG169,Rig_Schedule_View!$B$11:$B$262,0))=0,P173,(INDEX(Rig_Schedule_View!$J$11:$J$262,MATCH(Well_Data_NK_Upcoming!AG169,Rig_Schedule_View!$B$11:$B$262,0))))))</f>
        <v>42751</v>
      </c>
      <c r="BQ173" s="527"/>
      <c r="BR173" s="525"/>
      <c r="BS173" s="525"/>
      <c r="BT173" s="525"/>
      <c r="BU173" s="525"/>
      <c r="BV173" s="525"/>
      <c r="BW173" s="525"/>
      <c r="BX173" s="525"/>
      <c r="BY173" s="525"/>
      <c r="BZ173" s="525"/>
    </row>
    <row r="174" spans="1:78" x14ac:dyDescent="0.25">
      <c r="A174" s="540" t="s">
        <v>1499</v>
      </c>
      <c r="B174" s="540" t="s">
        <v>1499</v>
      </c>
      <c r="C174" s="281"/>
      <c r="D174" s="529" t="s">
        <v>2397</v>
      </c>
      <c r="E174" s="281"/>
      <c r="F174" s="528" t="str">
        <f t="shared" si="35"/>
        <v>SA</v>
      </c>
      <c r="G174" s="540" t="s">
        <v>17</v>
      </c>
      <c r="H174" s="536" t="s">
        <v>35</v>
      </c>
      <c r="I174" s="540" t="s">
        <v>78</v>
      </c>
      <c r="J174" s="540" t="s">
        <v>298</v>
      </c>
      <c r="K174" s="540" t="s">
        <v>14</v>
      </c>
      <c r="L174" s="540" t="s">
        <v>1410</v>
      </c>
      <c r="M174" s="8"/>
      <c r="N174" s="281"/>
      <c r="O174" s="281"/>
      <c r="P174" s="281"/>
      <c r="Q174" s="281"/>
      <c r="R174" s="537">
        <f>IF(ISERROR(VLOOKUP(G174,'Planning and Target Times'!$L$1:$AP$6,MATCH(K174&amp;"_"&amp;L174&amp;"_"&amp;J174,INDEX('Planning and Target Times'!$L$1:$AP$6,1,0),0),0)+5),"",(VLOOKUP(G174,'Planning and Target Times'!$L$1:$AP$6,MATCH(K174&amp;"_"&amp;L174&amp;"_"&amp;J174,INDEX('Planning and Target Times'!$L$1:$AP$6,1,0),0),0)+5))</f>
        <v>75</v>
      </c>
      <c r="S174" s="528">
        <f t="shared" si="36"/>
        <v>70</v>
      </c>
      <c r="T174" s="538">
        <f>VLOOKUP(G174,'Planning and Target Times'!$A$7:$G$12,MATCH(K174&amp;"-"&amp;L174&amp;"-"&amp;J174,INDEX('Planning and Target Times'!$A$7:$G$12,1,0),0),0)</f>
        <v>35</v>
      </c>
      <c r="U174" s="281"/>
      <c r="V174" s="281"/>
      <c r="W174" s="281"/>
      <c r="X174" s="535" t="str">
        <f t="shared" si="34"/>
        <v>MA</v>
      </c>
      <c r="Y174" s="281"/>
      <c r="Z174" s="281"/>
      <c r="AA174" s="281"/>
      <c r="AB174" s="281"/>
      <c r="AC174" s="281"/>
      <c r="AD174" s="281"/>
      <c r="AE174" s="540" t="s">
        <v>91</v>
      </c>
      <c r="AF174" s="528"/>
      <c r="AG174" s="540" t="str">
        <f t="shared" si="37"/>
        <v>SA-0600-SA-MA-Prod-NW-HZ-Baker</v>
      </c>
      <c r="AH174" s="540" t="str">
        <f t="shared" si="38"/>
        <v>SA-0600-KDC-26</v>
      </c>
      <c r="AI174" s="540" t="str">
        <f t="shared" si="39"/>
        <v>SA-0600-MA-NW-Prod</v>
      </c>
      <c r="AJ174" s="540">
        <f ca="1">IF(P174&gt;0,"RR",IF(O174&gt;0,0,COUNTIF($H$2:H174,H174)-IFERROR(COUNTIF(OFFSET($H$1,0,0,SUMPRODUCT(MAX(($H$2:H174=H174)*ROW($H$2:H174)*($O$2:O174&lt;&gt;""))),1),H174),0)))</f>
        <v>8</v>
      </c>
      <c r="AK174" s="527">
        <f>IF(ISERROR(VLOOKUP(G174,'Planning and Target Times'!$B$106:$D$110,MATCH(F174,INDEX('Planning and Target Times'!$B$106:$D$110,1,0),0),0)),"",(VLOOKUP(G174,'Planning and Target Times'!$B$106:$D$110,MATCH(F174,INDEX('Planning and Target Times'!$B$106:$D$110,1,0),0),0)))</f>
        <v>740</v>
      </c>
      <c r="AL174" s="528" t="str">
        <f>VLOOKUP(G174,'Planning and Target Times'!$I$2:$J$7,2,0)</f>
        <v>Carbonate</v>
      </c>
      <c r="AM174" s="281"/>
      <c r="AN174" s="281"/>
      <c r="AO174" s="281"/>
      <c r="AP174" s="533">
        <f t="shared" si="40"/>
        <v>9.8666666666666671</v>
      </c>
      <c r="AQ174" s="281"/>
      <c r="AR174" s="281"/>
      <c r="AS174" s="281"/>
      <c r="AT174" s="281"/>
      <c r="AU174" s="281"/>
      <c r="AV174" s="281"/>
      <c r="AW174" s="281"/>
      <c r="AX174" s="281"/>
      <c r="AY174" s="281"/>
      <c r="AZ174" s="281"/>
      <c r="BA174" s="281"/>
      <c r="BB174" s="281"/>
      <c r="BC174" s="281"/>
      <c r="BD174" s="281"/>
      <c r="BE174" s="281"/>
      <c r="BF174" s="281"/>
      <c r="BG174" s="281"/>
      <c r="BH174" s="281"/>
      <c r="BI174" s="281"/>
      <c r="BJ174" s="281"/>
      <c r="BK174" s="281"/>
      <c r="BL174" s="281"/>
      <c r="BM174" s="281"/>
      <c r="BN174" s="281"/>
      <c r="BO174" s="526">
        <f ca="1">IF(ISERROR(IF(INDEX(Rig_Schedule_View!$I$11:$I$262,MATCH(Well_Data_NK_Upcoming!AG184,Rig_Schedule_View!$B$11:$B$262,0))=0,O174,(INDEX(Rig_Schedule_View!$I$11:$I$262,MATCH(Well_Data_NK_Upcoming!AG184,Rig_Schedule_View!$B$11:$B$262,0))))),O174,(IF(INDEX(Rig_Schedule_View!$I$11:$I$262,MATCH(Well_Data_NK_Upcoming!AG184,Rig_Schedule_View!$B$11:$B$262,0))=0,O174,(INDEX(Rig_Schedule_View!$I$11:$I$262,MATCH(Well_Data_NK_Upcoming!AG184,Rig_Schedule_View!$B$11:$B$262,0))))))</f>
        <v>42824</v>
      </c>
      <c r="BP174" s="526">
        <f ca="1">IF(ISERROR(IF(INDEX(Rig_Schedule_View!$J$11:$J$262,MATCH(Well_Data_NK_Upcoming!AG184,Rig_Schedule_View!$B$11:$B$262,0))=0,P174,(INDEX(Rig_Schedule_View!$J$11:$J$262,MATCH(Well_Data_NK_Upcoming!AG184,Rig_Schedule_View!$B$11:$B$262,0))))),P174,(IF(INDEX(Rig_Schedule_View!$J$11:$J$262,MATCH(Well_Data_NK_Upcoming!AG184,Rig_Schedule_View!$B$11:$B$262,0))=0,P174,(INDEX(Rig_Schedule_View!$J$11:$J$262,MATCH(Well_Data_NK_Upcoming!AG184,Rig_Schedule_View!$B$11:$B$262,0))))))</f>
        <v>42894</v>
      </c>
      <c r="BQ174" s="527"/>
      <c r="BR174" s="525"/>
      <c r="BS174" s="525"/>
      <c r="BT174" s="525"/>
      <c r="BU174" s="525"/>
      <c r="BV174" s="525"/>
      <c r="BW174" s="525"/>
      <c r="BX174" s="525"/>
      <c r="BY174" s="525"/>
      <c r="BZ174" s="525"/>
    </row>
    <row r="175" spans="1:78" x14ac:dyDescent="0.25">
      <c r="A175" s="540" t="s">
        <v>757</v>
      </c>
      <c r="B175" s="540" t="s">
        <v>757</v>
      </c>
      <c r="C175" s="540"/>
      <c r="D175" s="529" t="s">
        <v>2393</v>
      </c>
      <c r="E175" s="540"/>
      <c r="F175" s="528" t="str">
        <f t="shared" si="35"/>
        <v>RQ</v>
      </c>
      <c r="G175" s="540" t="s">
        <v>44</v>
      </c>
      <c r="H175" s="536" t="s">
        <v>513</v>
      </c>
      <c r="I175" s="540"/>
      <c r="J175" s="540" t="s">
        <v>298</v>
      </c>
      <c r="K175" s="540" t="s">
        <v>14</v>
      </c>
      <c r="L175" s="540" t="s">
        <v>1410</v>
      </c>
      <c r="M175" s="539"/>
      <c r="N175" s="540"/>
      <c r="O175" s="532"/>
      <c r="P175" s="540"/>
      <c r="Q175" s="540"/>
      <c r="R175" s="537">
        <f>IF(ISERROR(VLOOKUP(G175,'Planning and Target Times'!$L$1:$AP$6,MATCH(K175&amp;"_"&amp;L175&amp;"_"&amp;J175,INDEX('Planning and Target Times'!$L$1:$AP$6,1,0),0),0)+5),"",(VLOOKUP(G175,'Planning and Target Times'!$L$1:$AP$6,MATCH(K175&amp;"_"&amp;L175&amp;"_"&amp;J175,INDEX('Planning and Target Times'!$L$1:$AP$6,1,0),0),0)+5))</f>
        <v>103</v>
      </c>
      <c r="S175" s="528">
        <f t="shared" si="36"/>
        <v>98</v>
      </c>
      <c r="T175" s="538">
        <f>VLOOKUP(G175,'Planning and Target Times'!$A$7:$G$12,MATCH(K175&amp;"-"&amp;L175&amp;"-"&amp;J175,INDEX('Planning and Target Times'!$A$7:$G$12,1,0),0),0)</f>
        <v>75</v>
      </c>
      <c r="U175" s="540"/>
      <c r="V175" s="540"/>
      <c r="W175" s="540"/>
      <c r="X175" s="535" t="str">
        <f t="shared" si="34"/>
        <v>ZU/RT</v>
      </c>
      <c r="Y175" s="540"/>
      <c r="Z175" s="540"/>
      <c r="AA175" s="540"/>
      <c r="AB175" s="540"/>
      <c r="AC175" s="540"/>
      <c r="AD175" s="540"/>
      <c r="AE175" s="540" t="s">
        <v>91</v>
      </c>
      <c r="AF175" s="528"/>
      <c r="AG175" s="540" t="str">
        <f t="shared" si="37"/>
        <v>RQ-RQ-ZU-Prod-NW-HZ</v>
      </c>
      <c r="AH175" s="540" t="str">
        <f t="shared" si="38"/>
        <v>RQ-NDSC-15</v>
      </c>
      <c r="AI175" s="540" t="str">
        <f t="shared" si="39"/>
        <v>RQ-ZU-NW-Prod</v>
      </c>
      <c r="AJ175" s="540">
        <f ca="1">IF(P175&gt;0,"RR",IF(O175&gt;0,0,COUNTIF($H$2:H175,H175)-IFERROR(COUNTIF(OFFSET($H$1,0,0,SUMPRODUCT(MAX(($H$2:H175=H175)*ROW($H$2:H175)*($O$2:O175&lt;&gt;""))),1),H175),0)))</f>
        <v>8</v>
      </c>
      <c r="AK175" s="527" t="str">
        <f>IF(ISERROR(VLOOKUP(G175,'Planning and Target Times'!$B$106:$D$110,MATCH(F175,INDEX('Planning and Target Times'!$B$106:$D$110,1,0),0),0)),"",(VLOOKUP(G175,'Planning and Target Times'!$B$106:$D$110,MATCH(F175,INDEX('Planning and Target Times'!$B$106:$D$110,1,0),0),0)))</f>
        <v/>
      </c>
      <c r="AL175" s="528" t="str">
        <f>VLOOKUP(G175,'Planning and Target Times'!$I$2:$J$7,2,0)</f>
        <v>Sandstone</v>
      </c>
      <c r="AM175" s="540"/>
      <c r="AN175" s="540"/>
      <c r="AO175" s="540"/>
      <c r="AP175" s="533" t="e">
        <f t="shared" si="40"/>
        <v>#VALUE!</v>
      </c>
      <c r="AQ175" s="540"/>
      <c r="AR175" s="540"/>
      <c r="AS175" s="540"/>
      <c r="AT175" s="540"/>
      <c r="AU175" s="540"/>
      <c r="AV175" s="540"/>
      <c r="AW175" s="540"/>
      <c r="AX175" s="540"/>
      <c r="AY175" s="540"/>
      <c r="AZ175" s="540"/>
      <c r="BA175" s="540"/>
      <c r="BB175" s="540"/>
      <c r="BC175" s="540"/>
      <c r="BD175" s="540"/>
      <c r="BE175" s="540"/>
      <c r="BF175" s="540"/>
      <c r="BG175" s="540"/>
      <c r="BH175" s="540"/>
      <c r="BI175" s="540"/>
      <c r="BJ175" s="540"/>
      <c r="BK175" s="540"/>
      <c r="BL175" s="540"/>
      <c r="BM175" s="540"/>
      <c r="BN175" s="540"/>
      <c r="BO175" s="526">
        <f ca="1">IF(ISERROR(IF(INDEX(Rig_Schedule_View!$I$11:$I$262,MATCH(Well_Data_NK_Upcoming!AG179,Rig_Schedule_View!$B$11:$B$262,0))=0,O175,(INDEX(Rig_Schedule_View!$I$11:$I$262,MATCH(Well_Data_NK_Upcoming!AG179,Rig_Schedule_View!$B$11:$B$262,0))))),O175,(IF(INDEX(Rig_Schedule_View!$I$11:$I$262,MATCH(Well_Data_NK_Upcoming!AG179,Rig_Schedule_View!$B$11:$B$262,0))=0,O175,(INDEX(Rig_Schedule_View!$I$11:$I$262,MATCH(Well_Data_NK_Upcoming!AG179,Rig_Schedule_View!$B$11:$B$262,0))))))</f>
        <v>42716</v>
      </c>
      <c r="BP175" s="526">
        <f ca="1">IF(ISERROR(IF(INDEX(Rig_Schedule_View!$J$11:$J$262,MATCH(Well_Data_NK_Upcoming!AG179,Rig_Schedule_View!$B$11:$B$262,0))=0,P175,(INDEX(Rig_Schedule_View!$J$11:$J$262,MATCH(Well_Data_NK_Upcoming!AG179,Rig_Schedule_View!$B$11:$B$262,0))))),P175,(IF(INDEX(Rig_Schedule_View!$J$11:$J$262,MATCH(Well_Data_NK_Upcoming!AG179,Rig_Schedule_View!$B$11:$B$262,0))=0,P175,(INDEX(Rig_Schedule_View!$J$11:$J$262,MATCH(Well_Data_NK_Upcoming!AG179,Rig_Schedule_View!$B$11:$B$262,0))))))</f>
        <v>42772</v>
      </c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</row>
    <row r="176" spans="1:78" x14ac:dyDescent="0.25">
      <c r="A176" s="540" t="s">
        <v>1794</v>
      </c>
      <c r="B176" s="540" t="s">
        <v>11</v>
      </c>
      <c r="C176" s="540"/>
      <c r="D176" s="529" t="s">
        <v>2386</v>
      </c>
      <c r="E176" s="540"/>
      <c r="F176" s="528" t="str">
        <f t="shared" si="35"/>
        <v>SA</v>
      </c>
      <c r="G176" s="540" t="s">
        <v>744</v>
      </c>
      <c r="H176" s="536" t="s">
        <v>511</v>
      </c>
      <c r="I176" s="540"/>
      <c r="J176" s="540" t="s">
        <v>34</v>
      </c>
      <c r="K176" s="540" t="s">
        <v>14</v>
      </c>
      <c r="L176" s="540" t="s">
        <v>1410</v>
      </c>
      <c r="M176" s="539"/>
      <c r="N176" s="540"/>
      <c r="O176" s="532"/>
      <c r="P176" s="540"/>
      <c r="Q176" s="540"/>
      <c r="R176" s="537" t="str">
        <f>IF(ISERROR(VLOOKUP(G176,'Planning and Target Times'!$L$1:$AP$6,MATCH(K176&amp;"_"&amp;L176&amp;"_"&amp;J176,INDEX('Planning and Target Times'!$L$1:$AP$6,1,0),0),0)+5),"",(VLOOKUP(G176,'Planning and Target Times'!$L$1:$AP$6,MATCH(K176&amp;"_"&amp;L176&amp;"_"&amp;J176,INDEX('Planning and Target Times'!$L$1:$AP$6,1,0),0),0)+5))</f>
        <v/>
      </c>
      <c r="S176" s="528" t="str">
        <f t="shared" si="36"/>
        <v/>
      </c>
      <c r="T176" s="538">
        <f>VLOOKUP(G176,'Planning and Target Times'!$A$7:$G$12,MATCH(K176&amp;"-"&amp;L176&amp;"-"&amp;J176,INDEX('Planning and Target Times'!$A$7:$G$12,1,0),0),0)</f>
        <v>30</v>
      </c>
      <c r="U176" s="540"/>
      <c r="V176" s="540"/>
      <c r="W176" s="540"/>
      <c r="X176" s="535" t="str">
        <f t="shared" si="34"/>
        <v>ZU/RT</v>
      </c>
      <c r="Y176" s="540"/>
      <c r="Z176" s="540"/>
      <c r="AA176" s="540"/>
      <c r="AB176" s="540"/>
      <c r="AC176" s="540"/>
      <c r="AD176" s="540"/>
      <c r="AE176" s="540" t="s">
        <v>91</v>
      </c>
      <c r="AF176" s="528"/>
      <c r="AG176" s="540" t="str">
        <f t="shared" si="37"/>
        <v>SA55-SA-RT-Inj-NW-HZ</v>
      </c>
      <c r="AH176" s="540" t="str">
        <f t="shared" si="38"/>
        <v>SA55-NDSC-17</v>
      </c>
      <c r="AI176" s="540" t="str">
        <f t="shared" si="39"/>
        <v>SA55-RT-NW-Inj</v>
      </c>
      <c r="AJ176" s="540">
        <f ca="1">IF(P176&gt;0,"RR",IF(O176&gt;0,0,COUNTIF($H$2:H176,H176)-IFERROR(COUNTIF(OFFSET($H$1,0,0,SUMPRODUCT(MAX(($H$2:H176=H176)*ROW($H$2:H176)*($O$2:O176&lt;&gt;""))),1),H176),0)))</f>
        <v>8</v>
      </c>
      <c r="AK176" s="527"/>
      <c r="AL176" s="528" t="str">
        <f>VLOOKUP(G176,'Planning and Target Times'!$I$2:$J$7,2,0)</f>
        <v>Sandstone</v>
      </c>
      <c r="AM176" s="540"/>
      <c r="AN176" s="540"/>
      <c r="AO176" s="540"/>
      <c r="AP176" s="533" t="e">
        <f t="shared" si="40"/>
        <v>#VALUE!</v>
      </c>
      <c r="AQ176" s="540"/>
      <c r="AR176" s="540"/>
      <c r="AS176" s="540"/>
      <c r="AT176" s="540"/>
      <c r="AU176" s="540"/>
      <c r="AV176" s="540"/>
      <c r="AW176" s="540"/>
      <c r="AX176" s="540"/>
      <c r="AY176" s="540"/>
      <c r="AZ176" s="540"/>
      <c r="BA176" s="540"/>
      <c r="BB176" s="540"/>
      <c r="BC176" s="540"/>
      <c r="BD176" s="540"/>
      <c r="BE176" s="540"/>
      <c r="BF176" s="540"/>
      <c r="BG176" s="540"/>
      <c r="BH176" s="540"/>
      <c r="BI176" s="540"/>
      <c r="BJ176" s="540"/>
      <c r="BK176" s="540"/>
      <c r="BL176" s="540"/>
      <c r="BM176" s="540"/>
      <c r="BN176" s="540"/>
      <c r="BO176" s="526" t="str">
        <f ca="1">IF(ISERROR(IF(INDEX(Rig_Schedule_View!$I$11:$I$262,MATCH(Well_Data_NK_Upcoming!AG172,Rig_Schedule_View!$B$11:$B$262,0))=0,O176,(INDEX(Rig_Schedule_View!$I$11:$I$262,MATCH(Well_Data_NK_Upcoming!AG172,Rig_Schedule_View!$B$11:$B$262,0))))),O176,(IF(INDEX(Rig_Schedule_View!$I$11:$I$262,MATCH(Well_Data_NK_Upcoming!AG172,Rig_Schedule_View!$B$11:$B$262,0))=0,O176,(INDEX(Rig_Schedule_View!$I$11:$I$262,MATCH(Well_Data_NK_Upcoming!AG172,Rig_Schedule_View!$B$11:$B$262,0))))))</f>
        <v/>
      </c>
      <c r="BP176" s="526" t="str">
        <f ca="1">IF(ISERROR(IF(INDEX(Rig_Schedule_View!$J$11:$J$262,MATCH(Well_Data_NK_Upcoming!AG172,Rig_Schedule_View!$B$11:$B$262,0))=0,P176,(INDEX(Rig_Schedule_View!$J$11:$J$262,MATCH(Well_Data_NK_Upcoming!AG172,Rig_Schedule_View!$B$11:$B$262,0))))),P176,(IF(INDEX(Rig_Schedule_View!$J$11:$J$262,MATCH(Well_Data_NK_Upcoming!AG172,Rig_Schedule_View!$B$11:$B$262,0))=0,P176,(INDEX(Rig_Schedule_View!$J$11:$J$262,MATCH(Well_Data_NK_Upcoming!AG172,Rig_Schedule_View!$B$11:$B$262,0))))))</f>
        <v/>
      </c>
      <c r="BQ176" s="527"/>
      <c r="BR176" s="525"/>
      <c r="BS176" s="525"/>
      <c r="BT176" s="525"/>
      <c r="BU176" s="525"/>
      <c r="BV176" s="525"/>
      <c r="BW176" s="525"/>
      <c r="BX176" s="525"/>
      <c r="BY176" s="525"/>
      <c r="BZ176" s="525"/>
    </row>
    <row r="177" spans="1:78" x14ac:dyDescent="0.25">
      <c r="A177" s="540" t="s">
        <v>1750</v>
      </c>
      <c r="B177" s="540" t="s">
        <v>42</v>
      </c>
      <c r="C177" s="540"/>
      <c r="D177" s="529" t="s">
        <v>2387</v>
      </c>
      <c r="E177" s="540"/>
      <c r="F177" s="528" t="str">
        <f t="shared" si="35"/>
        <v>RA</v>
      </c>
      <c r="G177" s="540" t="s">
        <v>17</v>
      </c>
      <c r="H177" s="536" t="s">
        <v>838</v>
      </c>
      <c r="I177" s="540" t="s">
        <v>24</v>
      </c>
      <c r="J177" s="540" t="s">
        <v>298</v>
      </c>
      <c r="K177" s="540" t="s">
        <v>14</v>
      </c>
      <c r="L177" s="540" t="s">
        <v>1410</v>
      </c>
      <c r="M177" s="539"/>
      <c r="N177" s="540"/>
      <c r="O177" s="532"/>
      <c r="P177" s="540"/>
      <c r="Q177" s="540"/>
      <c r="R177" s="537">
        <f>IF(ISERROR(VLOOKUP(G177,'Planning and Target Times'!$L$1:$AP$6,MATCH(K177&amp;"_"&amp;L177&amp;"_"&amp;J177,INDEX('Planning and Target Times'!$L$1:$AP$6,1,0),0),0)+5),"",(VLOOKUP(G177,'Planning and Target Times'!$L$1:$AP$6,MATCH(K177&amp;"_"&amp;L177&amp;"_"&amp;J177,INDEX('Planning and Target Times'!$L$1:$AP$6,1,0),0),0)+5))</f>
        <v>75</v>
      </c>
      <c r="S177" s="528">
        <f t="shared" si="36"/>
        <v>70</v>
      </c>
      <c r="T177" s="538">
        <f>VLOOKUP(G177,'Planning and Target Times'!$A$7:$G$12,MATCH(K177&amp;"-"&amp;L177&amp;"-"&amp;J177,INDEX('Planning and Target Times'!$A$7:$G$12,1,0),0),0)</f>
        <v>35</v>
      </c>
      <c r="U177" s="540"/>
      <c r="V177" s="540"/>
      <c r="W177" s="540"/>
      <c r="X177" s="535" t="str">
        <f t="shared" si="34"/>
        <v>MA</v>
      </c>
      <c r="Y177" s="540"/>
      <c r="Z177" s="540"/>
      <c r="AA177" s="540"/>
      <c r="AB177" s="540"/>
      <c r="AC177" s="540"/>
      <c r="AD177" s="540"/>
      <c r="AE177" s="540" t="s">
        <v>91</v>
      </c>
      <c r="AF177" s="528"/>
      <c r="AG177" s="540" t="str">
        <f t="shared" si="37"/>
        <v>RA37-RA-MA-Prod-NW-HZ-SLB</v>
      </c>
      <c r="AH177" s="540" t="str">
        <f t="shared" si="38"/>
        <v>RA37-SP-266</v>
      </c>
      <c r="AI177" s="540" t="str">
        <f t="shared" si="39"/>
        <v>RA37-MA-NW-Prod</v>
      </c>
      <c r="AJ177" s="540">
        <f ca="1">IF(P177&gt;0,"RR",IF(O177&gt;0,0,COUNTIF($H$2:H177,H177)-IFERROR(COUNTIF(OFFSET($H$1,0,0,SUMPRODUCT(MAX(($H$2:H177=H177)*ROW($H$2:H177)*($O$2:O177&lt;&gt;""))),1),H177),0)))</f>
        <v>8</v>
      </c>
      <c r="AK177" s="527">
        <f>IF(ISERROR(VLOOKUP(G177,'Planning and Target Times'!$B$106:$D$110,MATCH(F177,INDEX('Planning and Target Times'!$B$106:$D$110,1,0),0),0)),"",(VLOOKUP(G177,'Planning and Target Times'!$B$106:$D$110,MATCH(F177,INDEX('Planning and Target Times'!$B$106:$D$110,1,0),0),0)))</f>
        <v>650</v>
      </c>
      <c r="AL177" s="528" t="str">
        <f>VLOOKUP(G177,'Planning and Target Times'!$I$2:$J$7,2,0)</f>
        <v>Carbonate</v>
      </c>
      <c r="AM177" s="540"/>
      <c r="AN177" s="540"/>
      <c r="AO177" s="540"/>
      <c r="AP177" s="533">
        <f t="shared" si="40"/>
        <v>8.6666666666666661</v>
      </c>
      <c r="AQ177" s="540"/>
      <c r="AR177" s="540"/>
      <c r="AS177" s="540"/>
      <c r="AT177" s="540"/>
      <c r="AU177" s="540"/>
      <c r="AV177" s="540"/>
      <c r="AW177" s="540"/>
      <c r="AX177" s="540"/>
      <c r="AY177" s="540"/>
      <c r="AZ177" s="540"/>
      <c r="BA177" s="540"/>
      <c r="BB177" s="540"/>
      <c r="BC177" s="540"/>
      <c r="BD177" s="540"/>
      <c r="BE177" s="540"/>
      <c r="BF177" s="540"/>
      <c r="BG177" s="540"/>
      <c r="BH177" s="540"/>
      <c r="BI177" s="540"/>
      <c r="BJ177" s="540"/>
      <c r="BK177" s="540"/>
      <c r="BL177" s="540"/>
      <c r="BM177" s="540"/>
      <c r="BN177" s="540"/>
      <c r="BO177" s="526">
        <f ca="1">IF(ISERROR(IF(INDEX(Rig_Schedule_View!$I$11:$I$262,MATCH(Well_Data_NK_Upcoming!AG173,Rig_Schedule_View!$B$11:$B$262,0))=0,O177,(INDEX(Rig_Schedule_View!$I$11:$I$262,MATCH(Well_Data_NK_Upcoming!AG173,Rig_Schedule_View!$B$11:$B$262,0))))),O177,(IF(INDEX(Rig_Schedule_View!$I$11:$I$262,MATCH(Well_Data_NK_Upcoming!AG173,Rig_Schedule_View!$B$11:$B$262,0))=0,O177,(INDEX(Rig_Schedule_View!$I$11:$I$262,MATCH(Well_Data_NK_Upcoming!AG173,Rig_Schedule_View!$B$11:$B$262,0))))))</f>
        <v>42763</v>
      </c>
      <c r="BP177" s="526">
        <f ca="1">IF(ISERROR(IF(INDEX(Rig_Schedule_View!$J$11:$J$262,MATCH(Well_Data_NK_Upcoming!AG173,Rig_Schedule_View!$B$11:$B$262,0))=0,P177,(INDEX(Rig_Schedule_View!$J$11:$J$262,MATCH(Well_Data_NK_Upcoming!AG173,Rig_Schedule_View!$B$11:$B$262,0))))),P177,(IF(INDEX(Rig_Schedule_View!$J$11:$J$262,MATCH(Well_Data_NK_Upcoming!AG173,Rig_Schedule_View!$B$11:$B$262,0))=0,P177,(INDEX(Rig_Schedule_View!$J$11:$J$262,MATCH(Well_Data_NK_Upcoming!AG173,Rig_Schedule_View!$B$11:$B$262,0))))))</f>
        <v>42833</v>
      </c>
      <c r="BQ177" s="527"/>
      <c r="BR177" s="525"/>
      <c r="BS177" s="525"/>
      <c r="BT177" s="525"/>
      <c r="BU177" s="525"/>
      <c r="BV177" s="525"/>
      <c r="BW177" s="525"/>
      <c r="BX177" s="525"/>
      <c r="BY177" s="525"/>
      <c r="BZ177" s="525"/>
    </row>
    <row r="178" spans="1:78" x14ac:dyDescent="0.25">
      <c r="A178" s="540" t="s">
        <v>1755</v>
      </c>
      <c r="B178" s="540" t="s">
        <v>42</v>
      </c>
      <c r="C178" s="540"/>
      <c r="D178" s="529" t="s">
        <v>2388</v>
      </c>
      <c r="E178" s="540"/>
      <c r="F178" s="528" t="str">
        <f t="shared" si="35"/>
        <v>RA</v>
      </c>
      <c r="G178" s="540" t="s">
        <v>17</v>
      </c>
      <c r="H178" s="536" t="s">
        <v>839</v>
      </c>
      <c r="I178" s="540" t="s">
        <v>24</v>
      </c>
      <c r="J178" s="540" t="s">
        <v>34</v>
      </c>
      <c r="K178" s="540" t="s">
        <v>14</v>
      </c>
      <c r="L178" s="540" t="s">
        <v>1410</v>
      </c>
      <c r="M178" s="539"/>
      <c r="N178" s="540"/>
      <c r="O178" s="532"/>
      <c r="P178" s="540"/>
      <c r="Q178" s="540"/>
      <c r="R178" s="537">
        <f>IF(ISERROR(VLOOKUP(G178,'Planning and Target Times'!$L$1:$AP$6,MATCH(K178&amp;"_"&amp;L178&amp;"_"&amp;J178,INDEX('Planning and Target Times'!$L$1:$AP$6,1,0),0),0)+5),"",(VLOOKUP(G178,'Planning and Target Times'!$L$1:$AP$6,MATCH(K178&amp;"_"&amp;L178&amp;"_"&amp;J178,INDEX('Planning and Target Times'!$L$1:$AP$6,1,0),0),0)+5))</f>
        <v>68</v>
      </c>
      <c r="S178" s="528">
        <f t="shared" si="36"/>
        <v>63</v>
      </c>
      <c r="T178" s="538">
        <f>VLOOKUP(G178,'Planning and Target Times'!$A$7:$G$12,MATCH(K178&amp;"-"&amp;L178&amp;"-"&amp;J178,INDEX('Planning and Target Times'!$A$7:$G$12,1,0),0),0)</f>
        <v>35</v>
      </c>
      <c r="U178" s="540"/>
      <c r="V178" s="540"/>
      <c r="W178" s="540"/>
      <c r="X178" s="535" t="str">
        <f t="shared" si="34"/>
        <v>MA</v>
      </c>
      <c r="Y178" s="540"/>
      <c r="Z178" s="540"/>
      <c r="AA178" s="540"/>
      <c r="AB178" s="540"/>
      <c r="AC178" s="540"/>
      <c r="AD178" s="540"/>
      <c r="AE178" s="540" t="s">
        <v>91</v>
      </c>
      <c r="AF178" s="528"/>
      <c r="AG178" s="540" t="str">
        <f t="shared" si="37"/>
        <v>RA43-RA-MA-Inj-NW-HZ-SLB</v>
      </c>
      <c r="AH178" s="540" t="str">
        <f t="shared" si="38"/>
        <v>RA43-SP-267</v>
      </c>
      <c r="AI178" s="540" t="str">
        <f t="shared" si="39"/>
        <v>RA43-MA-NW-Inj</v>
      </c>
      <c r="AJ178" s="540">
        <f ca="1">IF(P178&gt;0,"RR",IF(O178&gt;0,0,COUNTIF($H$2:H178,H178)-IFERROR(COUNTIF(OFFSET($H$1,0,0,SUMPRODUCT(MAX(($H$2:H178=H178)*ROW($H$2:H178)*($O$2:O178&lt;&gt;""))),1),H178),0)))</f>
        <v>8</v>
      </c>
      <c r="AK178" s="527"/>
      <c r="AL178" s="528" t="str">
        <f>VLOOKUP(G178,'Planning and Target Times'!$I$2:$J$7,2,0)</f>
        <v>Carbonate</v>
      </c>
      <c r="AM178" s="540"/>
      <c r="AN178" s="540"/>
      <c r="AO178" s="540"/>
      <c r="AP178" s="533">
        <f t="shared" si="40"/>
        <v>0</v>
      </c>
      <c r="AQ178" s="540"/>
      <c r="AR178" s="540"/>
      <c r="AS178" s="540"/>
      <c r="AT178" s="540"/>
      <c r="AU178" s="540"/>
      <c r="AV178" s="540"/>
      <c r="AW178" s="540"/>
      <c r="AX178" s="540"/>
      <c r="AY178" s="540"/>
      <c r="AZ178" s="540"/>
      <c r="BA178" s="540"/>
      <c r="BB178" s="540"/>
      <c r="BC178" s="540"/>
      <c r="BD178" s="540"/>
      <c r="BE178" s="540"/>
      <c r="BF178" s="540"/>
      <c r="BG178" s="540"/>
      <c r="BH178" s="540"/>
      <c r="BI178" s="540"/>
      <c r="BJ178" s="540"/>
      <c r="BK178" s="540"/>
      <c r="BL178" s="540"/>
      <c r="BM178" s="540"/>
      <c r="BN178" s="540"/>
      <c r="BO178" s="526">
        <f ca="1">IF(ISERROR(IF(INDEX(Rig_Schedule_View!$I$11:$I$262,MATCH(Well_Data_NK_Upcoming!AG174,Rig_Schedule_View!$B$11:$B$262,0))=0,O178,(INDEX(Rig_Schedule_View!$I$11:$I$262,MATCH(Well_Data_NK_Upcoming!AG174,Rig_Schedule_View!$B$11:$B$262,0))))),O178,(IF(INDEX(Rig_Schedule_View!$I$11:$I$262,MATCH(Well_Data_NK_Upcoming!AG174,Rig_Schedule_View!$B$11:$B$262,0))=0,O178,(INDEX(Rig_Schedule_View!$I$11:$I$262,MATCH(Well_Data_NK_Upcoming!AG174,Rig_Schedule_View!$B$11:$B$262,0))))))</f>
        <v>42759</v>
      </c>
      <c r="BP178" s="526">
        <f ca="1">IF(ISERROR(IF(INDEX(Rig_Schedule_View!$J$11:$J$262,MATCH(Well_Data_NK_Upcoming!AG174,Rig_Schedule_View!$B$11:$B$262,0))=0,P178,(INDEX(Rig_Schedule_View!$J$11:$J$262,MATCH(Well_Data_NK_Upcoming!AG174,Rig_Schedule_View!$B$11:$B$262,0))))),P178,(IF(INDEX(Rig_Schedule_View!$J$11:$J$262,MATCH(Well_Data_NK_Upcoming!AG174,Rig_Schedule_View!$B$11:$B$262,0))=0,P178,(INDEX(Rig_Schedule_View!$J$11:$J$262,MATCH(Well_Data_NK_Upcoming!AG174,Rig_Schedule_View!$B$11:$B$262,0))))))</f>
        <v>42829</v>
      </c>
      <c r="BQ178" s="527"/>
      <c r="BR178" s="525"/>
      <c r="BS178" s="525"/>
      <c r="BT178" s="525"/>
      <c r="BU178" s="525"/>
      <c r="BV178" s="525"/>
      <c r="BW178" s="525"/>
      <c r="BX178" s="525"/>
      <c r="BY178" s="525"/>
      <c r="BZ178" s="525"/>
    </row>
    <row r="179" spans="1:78" x14ac:dyDescent="0.25">
      <c r="A179" s="540" t="s">
        <v>1799</v>
      </c>
      <c r="B179" s="540" t="s">
        <v>11</v>
      </c>
      <c r="C179" s="540"/>
      <c r="D179" s="529" t="s">
        <v>2389</v>
      </c>
      <c r="E179" s="540"/>
      <c r="F179" s="528" t="str">
        <f t="shared" si="35"/>
        <v>SA</v>
      </c>
      <c r="G179" s="540" t="s">
        <v>17</v>
      </c>
      <c r="H179" s="536" t="s">
        <v>1414</v>
      </c>
      <c r="I179" s="540"/>
      <c r="J179" s="540" t="s">
        <v>34</v>
      </c>
      <c r="K179" s="540" t="s">
        <v>18</v>
      </c>
      <c r="L179" s="540" t="s">
        <v>1416</v>
      </c>
      <c r="M179" s="539"/>
      <c r="N179" s="540"/>
      <c r="O179" s="532"/>
      <c r="P179" s="540"/>
      <c r="Q179" s="540"/>
      <c r="R179" s="537">
        <f>IF(ISERROR(VLOOKUP(G179,'Planning and Target Times'!$L$1:$AP$6,MATCH(K179&amp;"_"&amp;L179&amp;"_"&amp;J179,INDEX('Planning and Target Times'!$L$1:$AP$6,1,0),0),0)+5),"",(VLOOKUP(G179,'Planning and Target Times'!$L$1:$AP$6,MATCH(K179&amp;"_"&amp;L179&amp;"_"&amp;J179,INDEX('Planning and Target Times'!$L$1:$AP$6,1,0),0),0)+5))</f>
        <v>61</v>
      </c>
      <c r="S179" s="528">
        <f t="shared" si="36"/>
        <v>56</v>
      </c>
      <c r="T179" s="538" t="e">
        <f>VLOOKUP(G179,'Planning and Target Times'!$A$7:$G$12,MATCH(K179&amp;"-"&amp;L179&amp;"-"&amp;J179,INDEX('Planning and Target Times'!$A$7:$G$12,1,0),0),0)</f>
        <v>#N/A</v>
      </c>
      <c r="U179" s="540"/>
      <c r="V179" s="540"/>
      <c r="W179" s="540"/>
      <c r="X179" s="535" t="str">
        <f t="shared" ref="X179:X185" si="41">IF(OR(G179="ZU",G179="RT"),"ZU/RT",G179)</f>
        <v>MA</v>
      </c>
      <c r="Y179" s="540"/>
      <c r="Z179" s="540"/>
      <c r="AA179" s="540"/>
      <c r="AB179" s="540"/>
      <c r="AC179" s="540"/>
      <c r="AD179" s="540"/>
      <c r="AE179" s="540" t="s">
        <v>91</v>
      </c>
      <c r="AF179" s="528"/>
      <c r="AG179" s="540" t="str">
        <f t="shared" si="37"/>
        <v>SA60-SA-MA-Inj-ST-SL</v>
      </c>
      <c r="AH179" s="540" t="str">
        <f t="shared" si="38"/>
        <v>SA60-SP-283</v>
      </c>
      <c r="AI179" s="540" t="str">
        <f t="shared" si="39"/>
        <v>SA60-MA-ST-Inj</v>
      </c>
      <c r="AJ179" s="540">
        <f ca="1">IF(P179&gt;0,"RR",IF(O179&gt;0,0,COUNTIF($H$2:H179,H179)-IFERROR(COUNTIF(OFFSET($H$1,0,0,SUMPRODUCT(MAX(($H$2:H179=H179)*ROW($H$2:H179)*($O$2:O179&lt;&gt;""))),1),H179),0)))</f>
        <v>8</v>
      </c>
      <c r="AK179" s="527"/>
      <c r="AL179" s="528" t="str">
        <f>VLOOKUP(G179,'Planning and Target Times'!$I$2:$J$7,2,0)</f>
        <v>Carbonate</v>
      </c>
      <c r="AM179" s="540"/>
      <c r="AN179" s="540"/>
      <c r="AO179" s="540"/>
      <c r="AP179" s="533">
        <f t="shared" si="40"/>
        <v>0</v>
      </c>
      <c r="AQ179" s="540"/>
      <c r="AR179" s="540"/>
      <c r="AS179" s="540"/>
      <c r="AT179" s="540"/>
      <c r="AU179" s="540"/>
      <c r="AV179" s="540"/>
      <c r="AW179" s="540"/>
      <c r="AX179" s="540"/>
      <c r="AY179" s="540"/>
      <c r="AZ179" s="540"/>
      <c r="BA179" s="540"/>
      <c r="BB179" s="540"/>
      <c r="BC179" s="540"/>
      <c r="BD179" s="540"/>
      <c r="BE179" s="540"/>
      <c r="BF179" s="540"/>
      <c r="BG179" s="540"/>
      <c r="BH179" s="540"/>
      <c r="BI179" s="540"/>
      <c r="BJ179" s="540"/>
      <c r="BK179" s="540"/>
      <c r="BL179" s="540"/>
      <c r="BM179" s="540"/>
      <c r="BN179" s="540"/>
      <c r="BO179" s="526" t="str">
        <f ca="1">IF(ISERROR(IF(INDEX(Rig_Schedule_View!$I$11:$I$262,MATCH(Well_Data_NK_Upcoming!AG175,Rig_Schedule_View!$B$11:$B$262,0))=0,O179,(INDEX(Rig_Schedule_View!$I$11:$I$262,MATCH(Well_Data_NK_Upcoming!AG175,Rig_Schedule_View!$B$11:$B$262,0))))),O179,(IF(INDEX(Rig_Schedule_View!$I$11:$I$262,MATCH(Well_Data_NK_Upcoming!AG175,Rig_Schedule_View!$B$11:$B$262,0))=0,O179,(INDEX(Rig_Schedule_View!$I$11:$I$262,MATCH(Well_Data_NK_Upcoming!AG175,Rig_Schedule_View!$B$11:$B$262,0))))))</f>
        <v/>
      </c>
      <c r="BP179" s="526" t="str">
        <f ca="1">IF(ISERROR(IF(INDEX(Rig_Schedule_View!$J$11:$J$262,MATCH(Well_Data_NK_Upcoming!AG175,Rig_Schedule_View!$B$11:$B$262,0))=0,P179,(INDEX(Rig_Schedule_View!$J$11:$J$262,MATCH(Well_Data_NK_Upcoming!AG175,Rig_Schedule_View!$B$11:$B$262,0))))),P179,(IF(INDEX(Rig_Schedule_View!$J$11:$J$262,MATCH(Well_Data_NK_Upcoming!AG175,Rig_Schedule_View!$B$11:$B$262,0))=0,P179,(INDEX(Rig_Schedule_View!$J$11:$J$262,MATCH(Well_Data_NK_Upcoming!AG175,Rig_Schedule_View!$B$11:$B$262,0))))))</f>
        <v/>
      </c>
      <c r="BQ179" s="527"/>
      <c r="BR179" s="525"/>
      <c r="BS179" s="525"/>
      <c r="BT179" s="525"/>
      <c r="BU179" s="525"/>
      <c r="BV179" s="525"/>
      <c r="BW179" s="525"/>
      <c r="BX179" s="525"/>
      <c r="BY179" s="525"/>
      <c r="BZ179" s="525"/>
    </row>
    <row r="180" spans="1:78" x14ac:dyDescent="0.25">
      <c r="A180" s="540" t="s">
        <v>1800</v>
      </c>
      <c r="B180" s="540" t="s">
        <v>11</v>
      </c>
      <c r="C180" s="540"/>
      <c r="D180" s="529" t="s">
        <v>2390</v>
      </c>
      <c r="E180" s="540"/>
      <c r="F180" s="528" t="str">
        <f t="shared" si="35"/>
        <v>SA</v>
      </c>
      <c r="G180" s="540" t="s">
        <v>17</v>
      </c>
      <c r="H180" s="536" t="s">
        <v>1415</v>
      </c>
      <c r="I180" s="540"/>
      <c r="J180" s="528" t="s">
        <v>1620</v>
      </c>
      <c r="K180" s="540" t="s">
        <v>14</v>
      </c>
      <c r="L180" s="540" t="s">
        <v>1511</v>
      </c>
      <c r="M180" s="539"/>
      <c r="N180" s="540"/>
      <c r="O180" s="532"/>
      <c r="P180" s="540"/>
      <c r="Q180" s="540"/>
      <c r="R180" s="537" t="str">
        <f>IF(ISERROR(VLOOKUP(G180,'Planning and Target Times'!$L$1:$AP$6,MATCH(K180&amp;"_"&amp;L180&amp;"_"&amp;J180,INDEX('Planning and Target Times'!$L$1:$AP$6,1,0),0),0)+5),"",(VLOOKUP(G180,'Planning and Target Times'!$L$1:$AP$6,MATCH(K180&amp;"_"&amp;L180&amp;"_"&amp;J180,INDEX('Planning and Target Times'!$L$1:$AP$6,1,0),0),0)+5))</f>
        <v/>
      </c>
      <c r="S180" s="528" t="str">
        <f t="shared" si="36"/>
        <v/>
      </c>
      <c r="T180" s="538" t="e">
        <f>VLOOKUP(G180,'Planning and Target Times'!$A$7:$G$12,MATCH(K180&amp;"-"&amp;L180&amp;"-"&amp;J180,INDEX('Planning and Target Times'!$A$7:$G$12,1,0),0),0)</f>
        <v>#N/A</v>
      </c>
      <c r="U180" s="540"/>
      <c r="V180" s="540"/>
      <c r="W180" s="540"/>
      <c r="X180" s="535" t="str">
        <f t="shared" si="41"/>
        <v>MA</v>
      </c>
      <c r="Y180" s="540"/>
      <c r="Z180" s="540"/>
      <c r="AA180" s="540"/>
      <c r="AB180" s="540"/>
      <c r="AC180" s="540"/>
      <c r="AD180" s="540"/>
      <c r="AE180" s="540" t="s">
        <v>91</v>
      </c>
      <c r="AF180" s="528"/>
      <c r="AG180" s="540" t="str">
        <f t="shared" si="37"/>
        <v>SA61-SA-MA-Observation-NW-V</v>
      </c>
      <c r="AH180" s="540" t="str">
        <f t="shared" si="38"/>
        <v>SA61-SP-288</v>
      </c>
      <c r="AI180" s="540" t="str">
        <f t="shared" si="39"/>
        <v>SA61-MA-NW-Observation</v>
      </c>
      <c r="AJ180" s="540">
        <f ca="1">IF(P180&gt;0,"RR",IF(O180&gt;0,0,COUNTIF($H$2:H180,H180)-IFERROR(COUNTIF(OFFSET($H$1,0,0,SUMPRODUCT(MAX(($H$2:H180=H180)*ROW($H$2:H180)*($O$2:O180&lt;&gt;""))),1),H180),0)))</f>
        <v>8</v>
      </c>
      <c r="AK180" s="527">
        <f>IF(ISERROR(VLOOKUP(G180,'Planning and Target Times'!$B$106:$D$110,MATCH(F180,INDEX('Planning and Target Times'!$B$106:$D$110,1,0),0),0)),"",(VLOOKUP(G180,'Planning and Target Times'!$B$106:$D$110,MATCH(F180,INDEX('Planning and Target Times'!$B$106:$D$110,1,0),0),0)))</f>
        <v>740</v>
      </c>
      <c r="AL180" s="528" t="str">
        <f>VLOOKUP(G180,'Planning and Target Times'!$I$2:$J$7,2,0)</f>
        <v>Carbonate</v>
      </c>
      <c r="AM180" s="540"/>
      <c r="AN180" s="540"/>
      <c r="AO180" s="540"/>
      <c r="AP180" s="533" t="e">
        <f t="shared" si="40"/>
        <v>#VALUE!</v>
      </c>
      <c r="AQ180" s="540"/>
      <c r="AR180" s="540"/>
      <c r="AS180" s="540"/>
      <c r="AT180" s="540"/>
      <c r="AU180" s="540"/>
      <c r="AV180" s="540"/>
      <c r="AW180" s="540"/>
      <c r="AX180" s="540"/>
      <c r="AY180" s="540"/>
      <c r="AZ180" s="540"/>
      <c r="BA180" s="540"/>
      <c r="BB180" s="540"/>
      <c r="BC180" s="540"/>
      <c r="BD180" s="540"/>
      <c r="BE180" s="540"/>
      <c r="BF180" s="540"/>
      <c r="BG180" s="540"/>
      <c r="BH180" s="540"/>
      <c r="BI180" s="540"/>
      <c r="BJ180" s="540"/>
      <c r="BK180" s="540"/>
      <c r="BL180" s="540"/>
      <c r="BM180" s="540"/>
      <c r="BN180" s="540"/>
      <c r="BO180" s="526">
        <f ca="1">IF(ISERROR(IF(INDEX(Rig_Schedule_View!$I$11:$I$262,MATCH(Well_Data_NK_Upcoming!AG182,Rig_Schedule_View!$B$11:$B$262,0))=0,O180,(INDEX(Rig_Schedule_View!$I$11:$I$262,MATCH(Well_Data_NK_Upcoming!AG182,Rig_Schedule_View!$B$11:$B$262,0))))),O180,(IF(INDEX(Rig_Schedule_View!$I$11:$I$262,MATCH(Well_Data_NK_Upcoming!AG182,Rig_Schedule_View!$B$11:$B$262,0))=0,O180,(INDEX(Rig_Schedule_View!$I$11:$I$262,MATCH(Well_Data_NK_Upcoming!AG182,Rig_Schedule_View!$B$11:$B$262,0))))))</f>
        <v>42834</v>
      </c>
      <c r="BP180" s="526">
        <f ca="1">IF(ISERROR(IF(INDEX(Rig_Schedule_View!$J$11:$J$262,MATCH(Well_Data_NK_Upcoming!AG182,Rig_Schedule_View!$B$11:$B$262,0))=0,P180,(INDEX(Rig_Schedule_View!$J$11:$J$262,MATCH(Well_Data_NK_Upcoming!AG182,Rig_Schedule_View!$B$11:$B$262,0))))),P180,(IF(INDEX(Rig_Schedule_View!$J$11:$J$262,MATCH(Well_Data_NK_Upcoming!AG182,Rig_Schedule_View!$B$11:$B$262,0))=0,P180,(INDEX(Rig_Schedule_View!$J$11:$J$262,MATCH(Well_Data_NK_Upcoming!AG182,Rig_Schedule_View!$B$11:$B$262,0))))))</f>
        <v>42932</v>
      </c>
      <c r="BQ180" s="527"/>
      <c r="BR180" s="525"/>
      <c r="BS180" s="525"/>
      <c r="BT180" s="525"/>
      <c r="BU180" s="525"/>
      <c r="BV180" s="525"/>
      <c r="BW180" s="525"/>
      <c r="BX180" s="525"/>
      <c r="BY180" s="525"/>
      <c r="BZ180" s="525"/>
    </row>
    <row r="181" spans="1:78" x14ac:dyDescent="0.25">
      <c r="A181" s="540" t="s">
        <v>1797</v>
      </c>
      <c r="B181" s="540" t="s">
        <v>11</v>
      </c>
      <c r="C181" s="540"/>
      <c r="D181" s="529" t="s">
        <v>2391</v>
      </c>
      <c r="E181" s="540"/>
      <c r="F181" s="528" t="str">
        <f t="shared" si="35"/>
        <v>SA</v>
      </c>
      <c r="G181" s="540" t="s">
        <v>29</v>
      </c>
      <c r="H181" s="536" t="s">
        <v>1171</v>
      </c>
      <c r="I181" s="540"/>
      <c r="J181" s="540" t="s">
        <v>34</v>
      </c>
      <c r="K181" s="540" t="s">
        <v>14</v>
      </c>
      <c r="L181" s="540" t="s">
        <v>1416</v>
      </c>
      <c r="M181" s="539"/>
      <c r="N181" s="540"/>
      <c r="O181" s="532"/>
      <c r="P181" s="540"/>
      <c r="Q181" s="540"/>
      <c r="R181" s="537">
        <f>IF(ISERROR(VLOOKUP(G181,'Planning and Target Times'!$L$1:$AP$6,MATCH(K181&amp;"_"&amp;L181&amp;"_"&amp;J181,INDEX('Planning and Target Times'!$L$1:$AP$6,1,0),0),0)+5),"",(VLOOKUP(G181,'Planning and Target Times'!$L$1:$AP$6,MATCH(K181&amp;"_"&amp;L181&amp;"_"&amp;J181,INDEX('Planning and Target Times'!$L$1:$AP$6,1,0),0),0)+5))</f>
        <v>75</v>
      </c>
      <c r="S181" s="528">
        <f t="shared" si="36"/>
        <v>70</v>
      </c>
      <c r="T181" s="538" t="e">
        <f>VLOOKUP(G181,'Planning and Target Times'!$A$7:$G$12,MATCH(K181&amp;"-"&amp;L181&amp;"-"&amp;J181,INDEX('Planning and Target Times'!$A$7:$G$12,1,0),0),0)</f>
        <v>#N/A</v>
      </c>
      <c r="U181" s="540"/>
      <c r="V181" s="540"/>
      <c r="W181" s="540"/>
      <c r="X181" s="535" t="str">
        <f t="shared" si="41"/>
        <v>UB</v>
      </c>
      <c r="Y181" s="540"/>
      <c r="Z181" s="540"/>
      <c r="AA181" s="540"/>
      <c r="AB181" s="540"/>
      <c r="AC181" s="540"/>
      <c r="AD181" s="540"/>
      <c r="AE181" s="540" t="s">
        <v>91</v>
      </c>
      <c r="AF181" s="528"/>
      <c r="AG181" s="540" t="str">
        <f t="shared" si="37"/>
        <v>SA58-SA-UB-Inj-NW-SL</v>
      </c>
      <c r="AH181" s="540" t="str">
        <f t="shared" si="38"/>
        <v>SA58-KDC-25</v>
      </c>
      <c r="AI181" s="540" t="str">
        <f t="shared" si="39"/>
        <v>SA58-UB-NW-Inj</v>
      </c>
      <c r="AJ181" s="540">
        <f ca="1">IF(P181&gt;0,"RR",IF(O181&gt;0,0,COUNTIF($H$2:H181,H181)-IFERROR(COUNTIF(OFFSET($H$1,0,0,SUMPRODUCT(MAX(($H$2:H181=H181)*ROW($H$2:H181)*($O$2:O181&lt;&gt;""))),1),H181),0)))</f>
        <v>9</v>
      </c>
      <c r="AK181" s="527"/>
      <c r="AL181" s="528" t="str">
        <f>VLOOKUP(G181,'Planning and Target Times'!$I$2:$J$7,2,0)</f>
        <v>Sandstone</v>
      </c>
      <c r="AM181" s="540"/>
      <c r="AN181" s="540"/>
      <c r="AO181" s="540"/>
      <c r="AP181" s="533">
        <f t="shared" si="40"/>
        <v>0</v>
      </c>
      <c r="AQ181" s="540"/>
      <c r="AR181" s="540"/>
      <c r="AS181" s="540"/>
      <c r="AT181" s="540"/>
      <c r="AU181" s="540"/>
      <c r="AV181" s="540"/>
      <c r="AW181" s="540"/>
      <c r="AX181" s="540"/>
      <c r="AY181" s="540"/>
      <c r="AZ181" s="540"/>
      <c r="BA181" s="540"/>
      <c r="BB181" s="540"/>
      <c r="BC181" s="540"/>
      <c r="BD181" s="540"/>
      <c r="BE181" s="540"/>
      <c r="BF181" s="540"/>
      <c r="BG181" s="540"/>
      <c r="BH181" s="540"/>
      <c r="BI181" s="540"/>
      <c r="BJ181" s="540"/>
      <c r="BK181" s="540"/>
      <c r="BL181" s="540"/>
      <c r="BM181" s="540"/>
      <c r="BN181" s="540"/>
      <c r="BO181" s="526">
        <f ca="1">IF(ISERROR(IF(INDEX(Rig_Schedule_View!$I$11:$I$262,MATCH(Well_Data_NK_Upcoming!AG177,Rig_Schedule_View!$B$11:$B$262,0))=0,O181,(INDEX(Rig_Schedule_View!$I$11:$I$262,MATCH(Well_Data_NK_Upcoming!AG177,Rig_Schedule_View!$B$11:$B$262,0))))),O181,(IF(INDEX(Rig_Schedule_View!$I$11:$I$262,MATCH(Well_Data_NK_Upcoming!AG177,Rig_Schedule_View!$B$11:$B$262,0))=0,O181,(INDEX(Rig_Schedule_View!$I$11:$I$262,MATCH(Well_Data_NK_Upcoming!AG177,Rig_Schedule_View!$B$11:$B$262,0))))))</f>
        <v>42766</v>
      </c>
      <c r="BP181" s="526">
        <f ca="1">IF(ISERROR(IF(INDEX(Rig_Schedule_View!$J$11:$J$262,MATCH(Well_Data_NK_Upcoming!AG177,Rig_Schedule_View!$B$11:$B$262,0))=0,P181,(INDEX(Rig_Schedule_View!$J$11:$J$262,MATCH(Well_Data_NK_Upcoming!AG177,Rig_Schedule_View!$B$11:$B$262,0))))),P181,(IF(INDEX(Rig_Schedule_View!$J$11:$J$262,MATCH(Well_Data_NK_Upcoming!AG177,Rig_Schedule_View!$B$11:$B$262,0))=0,P181,(INDEX(Rig_Schedule_View!$J$11:$J$262,MATCH(Well_Data_NK_Upcoming!AG177,Rig_Schedule_View!$B$11:$B$262,0))))))</f>
        <v>42836</v>
      </c>
      <c r="BQ181" s="527"/>
      <c r="BR181" s="525"/>
      <c r="BS181" s="525"/>
      <c r="BT181" s="525"/>
      <c r="BU181" s="525"/>
      <c r="BV181" s="525"/>
      <c r="BW181" s="525"/>
      <c r="BX181" s="525"/>
      <c r="BY181" s="525"/>
      <c r="BZ181" s="525"/>
    </row>
    <row r="182" spans="1:78" x14ac:dyDescent="0.25">
      <c r="A182" s="540" t="s">
        <v>1612</v>
      </c>
      <c r="B182" s="540" t="s">
        <v>1612</v>
      </c>
      <c r="C182" s="540"/>
      <c r="D182" s="529" t="s">
        <v>2291</v>
      </c>
      <c r="E182" s="540"/>
      <c r="F182" s="528" t="str">
        <f t="shared" si="35"/>
        <v>RQ</v>
      </c>
      <c r="G182" s="540" t="s">
        <v>44</v>
      </c>
      <c r="H182" s="400" t="s">
        <v>35</v>
      </c>
      <c r="I182" s="540"/>
      <c r="J182" s="540" t="s">
        <v>298</v>
      </c>
      <c r="K182" s="540" t="s">
        <v>14</v>
      </c>
      <c r="L182" s="540"/>
      <c r="M182" s="539"/>
      <c r="N182" s="540"/>
      <c r="O182" s="532"/>
      <c r="P182" s="540"/>
      <c r="Q182" s="540"/>
      <c r="R182" s="537">
        <f>IF(ISERROR(VLOOKUP(G182,'Planning and Target Times'!$L$1:$AP$6,MATCH(K182&amp;"_"&amp;L182&amp;"_"&amp;J182,INDEX('Planning and Target Times'!$L$1:$AP$6,1,0),0),0)+5),"",(VLOOKUP(G182,'Planning and Target Times'!$L$1:$AP$6,MATCH(K182&amp;"_"&amp;L182&amp;"_"&amp;J182,INDEX('Planning and Target Times'!$L$1:$AP$6,1,0),0),0)+5))</f>
        <v>103</v>
      </c>
      <c r="S182" s="528">
        <f t="shared" si="36"/>
        <v>98</v>
      </c>
      <c r="T182" s="538" t="e">
        <f>VLOOKUP(G182,'Planning and Target Times'!$A$7:$G$12,MATCH(K182&amp;"-"&amp;L182&amp;"-"&amp;J182,INDEX('Planning and Target Times'!$A$7:$G$12,1,0),0),0)</f>
        <v>#N/A</v>
      </c>
      <c r="U182" s="540"/>
      <c r="V182" s="540"/>
      <c r="W182" s="540"/>
      <c r="X182" s="535" t="str">
        <f t="shared" si="41"/>
        <v>ZU/RT</v>
      </c>
      <c r="Y182" s="540"/>
      <c r="Z182" s="540"/>
      <c r="AA182" s="540"/>
      <c r="AB182" s="540"/>
      <c r="AC182" s="540"/>
      <c r="AD182" s="540"/>
      <c r="AE182" s="540">
        <v>25</v>
      </c>
      <c r="AF182" s="528"/>
      <c r="AG182" s="540" t="str">
        <f t="shared" si="37"/>
        <v>RQ-0180-RQ-ZU-Prod-NW</v>
      </c>
      <c r="AH182" s="540" t="str">
        <f t="shared" si="38"/>
        <v>RQ-0180-KDC-26</v>
      </c>
      <c r="AI182" s="540" t="str">
        <f t="shared" si="39"/>
        <v>RQ-0180-ZU-NW-Prod</v>
      </c>
      <c r="AJ182" s="540">
        <f ca="1">IF(P182&gt;0,"RR",IF(O182&gt;0,0,COUNTIF($H$2:H182,H182)-IFERROR(COUNTIF(OFFSET($H$1,0,0,SUMPRODUCT(MAX(($H$2:H182=H182)*ROW($H$2:H182)*($O$2:O182&lt;&gt;""))),1),H182),0)))</f>
        <v>9</v>
      </c>
      <c r="AK182" s="527" t="str">
        <f>IF(ISERROR(VLOOKUP(G182,'Planning and Target Times'!$B$106:$D$110,MATCH(F182,INDEX('Planning and Target Times'!$B$106:$D$110,1,0),0),0)),"",(VLOOKUP(G182,'Planning and Target Times'!$B$106:$D$110,MATCH(F182,INDEX('Planning and Target Times'!$B$106:$D$110,1,0),0),0)))</f>
        <v/>
      </c>
      <c r="AL182" s="528" t="str">
        <f>VLOOKUP(G182,'Planning and Target Times'!$I$2:$J$7,2,0)</f>
        <v>Sandstone</v>
      </c>
      <c r="AM182" s="540"/>
      <c r="AN182" s="540"/>
      <c r="AO182" s="540"/>
      <c r="AP182" s="533" t="e">
        <f t="shared" si="40"/>
        <v>#VALUE!</v>
      </c>
      <c r="AQ182" s="540"/>
      <c r="AR182" s="540"/>
      <c r="AS182" s="540"/>
      <c r="AT182" s="540"/>
      <c r="AU182" s="540"/>
      <c r="AV182" s="540"/>
      <c r="AW182" s="540"/>
      <c r="AX182" s="540"/>
      <c r="AY182" s="540"/>
      <c r="AZ182" s="540"/>
      <c r="BA182" s="540"/>
      <c r="BB182" s="540"/>
      <c r="BC182" s="540"/>
      <c r="BD182" s="540"/>
      <c r="BE182" s="540"/>
      <c r="BF182" s="540"/>
      <c r="BG182" s="540"/>
      <c r="BH182" s="540"/>
      <c r="BI182" s="540"/>
      <c r="BJ182" s="540"/>
      <c r="BK182" s="540"/>
      <c r="BL182" s="540"/>
      <c r="BM182" s="540"/>
      <c r="BN182" s="540"/>
      <c r="BO182" s="526">
        <f ca="1">IF(ISERROR(IF(INDEX(Rig_Schedule_View!$I$11:$I$262,MATCH(Well_Data_NK_Upcoming!AG184,Rig_Schedule_View!$B$11:$B$262,0))=0,O182,(INDEX(Rig_Schedule_View!$I$11:$I$262,MATCH(Well_Data_NK_Upcoming!AG184,Rig_Schedule_View!$B$11:$B$262,0))))),O182,(IF(INDEX(Rig_Schedule_View!$I$11:$I$262,MATCH(Well_Data_NK_Upcoming!AG184,Rig_Schedule_View!$B$11:$B$262,0))=0,O182,(INDEX(Rig_Schedule_View!$I$11:$I$262,MATCH(Well_Data_NK_Upcoming!AG184,Rig_Schedule_View!$B$11:$B$262,0))))))</f>
        <v>42824</v>
      </c>
      <c r="BP182" s="526">
        <f ca="1">IF(ISERROR(IF(INDEX(Rig_Schedule_View!$J$11:$J$262,MATCH(Well_Data_NK_Upcoming!AG184,Rig_Schedule_View!$B$11:$B$262,0))=0,P182,(INDEX(Rig_Schedule_View!$J$11:$J$262,MATCH(Well_Data_NK_Upcoming!AG184,Rig_Schedule_View!$B$11:$B$262,0))))),P182,(IF(INDEX(Rig_Schedule_View!$J$11:$J$262,MATCH(Well_Data_NK_Upcoming!AG184,Rig_Schedule_View!$B$11:$B$262,0))=0,P182,(INDEX(Rig_Schedule_View!$J$11:$J$262,MATCH(Well_Data_NK_Upcoming!AG184,Rig_Schedule_View!$B$11:$B$262,0))))))</f>
        <v>42894</v>
      </c>
      <c r="BQ182" s="527"/>
      <c r="BR182" s="525"/>
      <c r="BS182" s="525"/>
      <c r="BT182" s="525"/>
      <c r="BU182" s="525"/>
      <c r="BV182" s="525"/>
      <c r="BW182" s="525"/>
      <c r="BX182" s="525"/>
      <c r="BY182" s="525"/>
      <c r="BZ182" s="525"/>
    </row>
    <row r="183" spans="1:78" x14ac:dyDescent="0.25">
      <c r="A183" s="540" t="s">
        <v>1754</v>
      </c>
      <c r="B183" s="540" t="s">
        <v>42</v>
      </c>
      <c r="C183" s="540"/>
      <c r="D183" s="529" t="s">
        <v>2394</v>
      </c>
      <c r="E183" s="540"/>
      <c r="F183" s="528" t="str">
        <f t="shared" si="35"/>
        <v>RA</v>
      </c>
      <c r="G183" s="540" t="s">
        <v>17</v>
      </c>
      <c r="H183" s="536" t="s">
        <v>838</v>
      </c>
      <c r="I183" s="540" t="s">
        <v>24</v>
      </c>
      <c r="J183" s="540" t="s">
        <v>298</v>
      </c>
      <c r="K183" s="540" t="s">
        <v>18</v>
      </c>
      <c r="L183" s="540" t="s">
        <v>1416</v>
      </c>
      <c r="M183" s="539"/>
      <c r="N183" s="540"/>
      <c r="O183" s="532"/>
      <c r="P183" s="540"/>
      <c r="Q183" s="540"/>
      <c r="R183" s="537">
        <f>IF(ISERROR(VLOOKUP(G183,'Planning and Target Times'!$L$1:$AP$6,MATCH(K183&amp;"_"&amp;L183&amp;"_"&amp;J183,INDEX('Planning and Target Times'!$L$1:$AP$6,1,0),0),0)+5),"",(VLOOKUP(G183,'Planning and Target Times'!$L$1:$AP$6,MATCH(K183&amp;"_"&amp;L183&amp;"_"&amp;J183,INDEX('Planning and Target Times'!$L$1:$AP$6,1,0),0),0)+5))</f>
        <v>61</v>
      </c>
      <c r="S183" s="528">
        <f t="shared" si="36"/>
        <v>56</v>
      </c>
      <c r="T183" s="538" t="e">
        <f>VLOOKUP(G183,'Planning and Target Times'!$A$7:$G$12,MATCH(K183&amp;"-"&amp;L183&amp;"-"&amp;J183,INDEX('Planning and Target Times'!$A$7:$G$12,1,0),0),0)</f>
        <v>#N/A</v>
      </c>
      <c r="U183" s="540"/>
      <c r="V183" s="540"/>
      <c r="W183" s="540"/>
      <c r="X183" s="535" t="str">
        <f t="shared" si="41"/>
        <v>MA</v>
      </c>
      <c r="Y183" s="540"/>
      <c r="Z183" s="540"/>
      <c r="AA183" s="540"/>
      <c r="AB183" s="540"/>
      <c r="AC183" s="540"/>
      <c r="AD183" s="540"/>
      <c r="AE183" s="540" t="s">
        <v>91</v>
      </c>
      <c r="AF183" s="528"/>
      <c r="AG183" s="540" t="str">
        <f t="shared" si="37"/>
        <v>RA42-RA-MA-Prod-ST-SL-SLB</v>
      </c>
      <c r="AH183" s="540" t="str">
        <f t="shared" si="38"/>
        <v>RA42-SP-266</v>
      </c>
      <c r="AI183" s="540" t="str">
        <f t="shared" si="39"/>
        <v>RA42-MA-ST-Prod</v>
      </c>
      <c r="AJ183" s="540">
        <f ca="1">IF(P183&gt;0,"RR",IF(O183&gt;0,0,COUNTIF($H$2:H183,H183)-IFERROR(COUNTIF(OFFSET($H$1,0,0,SUMPRODUCT(MAX(($H$2:H183=H183)*ROW($H$2:H183)*($O$2:O183&lt;&gt;""))),1),H183),0)))</f>
        <v>9</v>
      </c>
      <c r="AK183" s="527">
        <f>IF(ISERROR(VLOOKUP(G183,'Planning and Target Times'!$B$106:$D$110,MATCH(F183,INDEX('Planning and Target Times'!$B$106:$D$110,1,0),0),0)),"",(VLOOKUP(G183,'Planning and Target Times'!$B$106:$D$110,MATCH(F183,INDEX('Planning and Target Times'!$B$106:$D$110,1,0),0),0)))</f>
        <v>650</v>
      </c>
      <c r="AL183" s="528" t="str">
        <f>VLOOKUP(G183,'Planning and Target Times'!$I$2:$J$7,2,0)</f>
        <v>Carbonate</v>
      </c>
      <c r="AM183" s="540"/>
      <c r="AN183" s="540"/>
      <c r="AO183" s="540"/>
      <c r="AP183" s="533">
        <f t="shared" si="40"/>
        <v>10.655737704918034</v>
      </c>
      <c r="AQ183" s="540"/>
      <c r="AR183" s="540"/>
      <c r="AS183" s="540"/>
      <c r="AT183" s="540"/>
      <c r="AU183" s="540"/>
      <c r="AV183" s="540"/>
      <c r="AW183" s="540"/>
      <c r="AX183" s="540"/>
      <c r="AY183" s="540"/>
      <c r="AZ183" s="540"/>
      <c r="BA183" s="540"/>
      <c r="BB183" s="540"/>
      <c r="BC183" s="540"/>
      <c r="BD183" s="540"/>
      <c r="BE183" s="540"/>
      <c r="BF183" s="540"/>
      <c r="BG183" s="540"/>
      <c r="BH183" s="540"/>
      <c r="BI183" s="540"/>
      <c r="BJ183" s="540"/>
      <c r="BK183" s="540"/>
      <c r="BL183" s="540"/>
      <c r="BM183" s="540"/>
      <c r="BN183" s="540"/>
      <c r="BO183" s="526" t="str">
        <f ca="1">IF(ISERROR(IF(INDEX(Rig_Schedule_View!$I$11:$I$262,MATCH(Well_Data_NK_Upcoming!AG180,Rig_Schedule_View!$B$11:$B$262,0))=0,O183,(INDEX(Rig_Schedule_View!$I$11:$I$262,MATCH(Well_Data_NK_Upcoming!AG180,Rig_Schedule_View!$B$11:$B$262,0))))),O183,(IF(INDEX(Rig_Schedule_View!$I$11:$I$262,MATCH(Well_Data_NK_Upcoming!AG180,Rig_Schedule_View!$B$11:$B$262,0))=0,O183,(INDEX(Rig_Schedule_View!$I$11:$I$262,MATCH(Well_Data_NK_Upcoming!AG180,Rig_Schedule_View!$B$11:$B$262,0))))))</f>
        <v/>
      </c>
      <c r="BP183" s="526" t="str">
        <f ca="1">IF(ISERROR(IF(INDEX(Rig_Schedule_View!$J$11:$J$262,MATCH(Well_Data_NK_Upcoming!AG180,Rig_Schedule_View!$B$11:$B$262,0))=0,P183,(INDEX(Rig_Schedule_View!$J$11:$J$262,MATCH(Well_Data_NK_Upcoming!AG180,Rig_Schedule_View!$B$11:$B$262,0))))),P183,(IF(INDEX(Rig_Schedule_View!$J$11:$J$262,MATCH(Well_Data_NK_Upcoming!AG180,Rig_Schedule_View!$B$11:$B$262,0))=0,P183,(INDEX(Rig_Schedule_View!$J$11:$J$262,MATCH(Well_Data_NK_Upcoming!AG180,Rig_Schedule_View!$B$11:$B$262,0))))))</f>
        <v/>
      </c>
      <c r="BQ183" s="527"/>
      <c r="BR183" s="525"/>
      <c r="BS183" s="525"/>
      <c r="BT183" s="525"/>
      <c r="BU183" s="525"/>
      <c r="BV183" s="525"/>
      <c r="BW183" s="525"/>
      <c r="BX183" s="525"/>
      <c r="BY183" s="525"/>
      <c r="BZ183" s="525"/>
    </row>
    <row r="184" spans="1:78" x14ac:dyDescent="0.25">
      <c r="A184" s="540" t="s">
        <v>1801</v>
      </c>
      <c r="B184" s="540" t="s">
        <v>11</v>
      </c>
      <c r="C184" s="540"/>
      <c r="D184" s="529" t="s">
        <v>2395</v>
      </c>
      <c r="E184" s="540"/>
      <c r="F184" s="528" t="str">
        <f t="shared" si="35"/>
        <v>SA</v>
      </c>
      <c r="G184" s="540" t="s">
        <v>29</v>
      </c>
      <c r="H184" s="536" t="s">
        <v>839</v>
      </c>
      <c r="I184" s="540"/>
      <c r="J184" s="540" t="s">
        <v>34</v>
      </c>
      <c r="K184" s="540" t="s">
        <v>14</v>
      </c>
      <c r="L184" s="540" t="s">
        <v>1416</v>
      </c>
      <c r="M184" s="539"/>
      <c r="N184" s="540"/>
      <c r="O184" s="532"/>
      <c r="P184" s="540"/>
      <c r="Q184" s="540"/>
      <c r="R184" s="537">
        <f>IF(ISERROR(VLOOKUP(G184,'Planning and Target Times'!$L$1:$AP$6,MATCH(K184&amp;"_"&amp;L184&amp;"_"&amp;J184,INDEX('Planning and Target Times'!$L$1:$AP$6,1,0),0),0)+5),"",(VLOOKUP(G184,'Planning and Target Times'!$L$1:$AP$6,MATCH(K184&amp;"_"&amp;L184&amp;"_"&amp;J184,INDEX('Planning and Target Times'!$L$1:$AP$6,1,0),0),0)+5))</f>
        <v>75</v>
      </c>
      <c r="S184" s="528">
        <f t="shared" si="36"/>
        <v>70</v>
      </c>
      <c r="T184" s="538" t="e">
        <f>VLOOKUP(G184,'Planning and Target Times'!$A$7:$G$12,MATCH(K184&amp;"-"&amp;L184&amp;"-"&amp;J184,INDEX('Planning and Target Times'!$A$7:$G$12,1,0),0),0)</f>
        <v>#N/A</v>
      </c>
      <c r="U184" s="540"/>
      <c r="V184" s="540"/>
      <c r="W184" s="540"/>
      <c r="X184" s="535" t="str">
        <f t="shared" si="41"/>
        <v>UB</v>
      </c>
      <c r="Y184" s="540"/>
      <c r="Z184" s="540"/>
      <c r="AA184" s="540"/>
      <c r="AB184" s="540"/>
      <c r="AC184" s="540"/>
      <c r="AD184" s="540"/>
      <c r="AE184" s="540" t="s">
        <v>91</v>
      </c>
      <c r="AF184" s="528"/>
      <c r="AG184" s="540" t="str">
        <f t="shared" si="37"/>
        <v>SA62-SA-UB-Inj-NW-SL</v>
      </c>
      <c r="AH184" s="540" t="str">
        <f t="shared" si="38"/>
        <v>SA62-SP-267</v>
      </c>
      <c r="AI184" s="540" t="str">
        <f t="shared" si="39"/>
        <v>SA62-UB-NW-Inj</v>
      </c>
      <c r="AJ184" s="540">
        <f ca="1">IF(P184&gt;0,"RR",IF(O184&gt;0,0,COUNTIF($H$2:H184,H184)-IFERROR(COUNTIF(OFFSET($H$1,0,0,SUMPRODUCT(MAX(($H$2:H184=H184)*ROW($H$2:H184)*($O$2:O184&lt;&gt;""))),1),H184),0)))</f>
        <v>9</v>
      </c>
      <c r="AK184" s="527"/>
      <c r="AL184" s="528" t="str">
        <f>VLOOKUP(G184,'Planning and Target Times'!$I$2:$J$7,2,0)</f>
        <v>Sandstone</v>
      </c>
      <c r="AM184" s="540"/>
      <c r="AN184" s="540"/>
      <c r="AO184" s="540"/>
      <c r="AP184" s="533">
        <f t="shared" si="40"/>
        <v>0</v>
      </c>
      <c r="AQ184" s="540"/>
      <c r="AR184" s="540"/>
      <c r="AS184" s="540"/>
      <c r="AT184" s="540"/>
      <c r="AU184" s="540"/>
      <c r="AV184" s="540"/>
      <c r="AW184" s="540"/>
      <c r="AX184" s="540"/>
      <c r="AY184" s="540"/>
      <c r="AZ184" s="540"/>
      <c r="BA184" s="540"/>
      <c r="BB184" s="540"/>
      <c r="BC184" s="540"/>
      <c r="BD184" s="540"/>
      <c r="BE184" s="540"/>
      <c r="BF184" s="540"/>
      <c r="BG184" s="540"/>
      <c r="BH184" s="540"/>
      <c r="BI184" s="540"/>
      <c r="BJ184" s="540"/>
      <c r="BK184" s="540"/>
      <c r="BL184" s="540"/>
      <c r="BM184" s="540"/>
      <c r="BN184" s="540"/>
      <c r="BO184" s="526">
        <f ca="1">IF(ISERROR(IF(INDEX(Rig_Schedule_View!$I$11:$I$262,MATCH(Well_Data_NK_Upcoming!AG181,Rig_Schedule_View!$B$11:$B$262,0))=0,O184,(INDEX(Rig_Schedule_View!$I$11:$I$262,MATCH(Well_Data_NK_Upcoming!AG181,Rig_Schedule_View!$B$11:$B$262,0))))),O184,(IF(INDEX(Rig_Schedule_View!$I$11:$I$262,MATCH(Well_Data_NK_Upcoming!AG181,Rig_Schedule_View!$B$11:$B$262,0))=0,O184,(INDEX(Rig_Schedule_View!$I$11:$I$262,MATCH(Well_Data_NK_Upcoming!AG181,Rig_Schedule_View!$B$11:$B$262,0))))))</f>
        <v>42838</v>
      </c>
      <c r="BP184" s="526">
        <f ca="1">IF(ISERROR(IF(INDEX(Rig_Schedule_View!$J$11:$J$262,MATCH(Well_Data_NK_Upcoming!AG181,Rig_Schedule_View!$B$11:$B$262,0))=0,P184,(INDEX(Rig_Schedule_View!$J$11:$J$262,MATCH(Well_Data_NK_Upcoming!AG181,Rig_Schedule_View!$B$11:$B$262,0))))),P184,(IF(INDEX(Rig_Schedule_View!$J$11:$J$262,MATCH(Well_Data_NK_Upcoming!AG181,Rig_Schedule_View!$B$11:$B$262,0))=0,P184,(INDEX(Rig_Schedule_View!$J$11:$J$262,MATCH(Well_Data_NK_Upcoming!AG181,Rig_Schedule_View!$B$11:$B$262,0))))))</f>
        <v>42908</v>
      </c>
      <c r="BQ184" s="527"/>
      <c r="BR184" s="525"/>
      <c r="BS184" s="525"/>
      <c r="BT184" s="525"/>
      <c r="BU184" s="525"/>
      <c r="BV184" s="525"/>
      <c r="BW184" s="525"/>
      <c r="BX184" s="525"/>
      <c r="BY184" s="525"/>
      <c r="BZ184" s="525"/>
    </row>
    <row r="185" spans="1:78" s="566" customFormat="1" x14ac:dyDescent="0.25">
      <c r="A185" s="540" t="s">
        <v>1756</v>
      </c>
      <c r="B185" s="540" t="s">
        <v>42</v>
      </c>
      <c r="C185" s="540"/>
      <c r="D185" s="529" t="s">
        <v>2396</v>
      </c>
      <c r="E185" s="540"/>
      <c r="F185" s="528" t="str">
        <f t="shared" si="35"/>
        <v>RA</v>
      </c>
      <c r="G185" s="540" t="s">
        <v>744</v>
      </c>
      <c r="H185" s="536" t="s">
        <v>1171</v>
      </c>
      <c r="I185" s="540" t="s">
        <v>24</v>
      </c>
      <c r="J185" s="540" t="s">
        <v>298</v>
      </c>
      <c r="K185" s="540" t="s">
        <v>14</v>
      </c>
      <c r="L185" s="540" t="s">
        <v>1410</v>
      </c>
      <c r="M185" s="539"/>
      <c r="N185" s="540"/>
      <c r="O185" s="532"/>
      <c r="P185" s="540"/>
      <c r="Q185" s="540"/>
      <c r="R185" s="537">
        <f>IF(ISERROR(VLOOKUP(G185,'Planning and Target Times'!$L$1:$AP$6,MATCH(K185&amp;"_"&amp;L185&amp;"_"&amp;J185,INDEX('Planning and Target Times'!$L$1:$AP$6,1,0),0),0)+5),"",(VLOOKUP(G185,'Planning and Target Times'!$L$1:$AP$6,MATCH(K185&amp;"_"&amp;L185&amp;"_"&amp;J185,INDEX('Planning and Target Times'!$L$1:$AP$6,1,0),0),0)+5))</f>
        <v>103</v>
      </c>
      <c r="S185" s="528">
        <f t="shared" si="36"/>
        <v>98</v>
      </c>
      <c r="T185" s="538">
        <f>VLOOKUP(G185,'Planning and Target Times'!$A$7:$G$12,MATCH(K185&amp;"-"&amp;L185&amp;"-"&amp;J185,INDEX('Planning and Target Times'!$A$7:$G$12,1,0),0),0)</f>
        <v>75</v>
      </c>
      <c r="U185" s="540"/>
      <c r="V185" s="540"/>
      <c r="W185" s="540"/>
      <c r="X185" s="535" t="str">
        <f t="shared" si="41"/>
        <v>ZU/RT</v>
      </c>
      <c r="Y185" s="540"/>
      <c r="Z185" s="540"/>
      <c r="AA185" s="540"/>
      <c r="AB185" s="540"/>
      <c r="AC185" s="540"/>
      <c r="AD185" s="540"/>
      <c r="AE185" s="540" t="s">
        <v>91</v>
      </c>
      <c r="AF185" s="528"/>
      <c r="AG185" s="540" t="str">
        <f t="shared" si="37"/>
        <v>RA44-RA-RT-Prod-NW-HZ-SLB</v>
      </c>
      <c r="AH185" s="540" t="str">
        <f t="shared" si="38"/>
        <v>RA44-KDC-25</v>
      </c>
      <c r="AI185" s="540" t="str">
        <f t="shared" si="39"/>
        <v>RA44-RT-NW-Prod</v>
      </c>
      <c r="AJ185" s="540">
        <f ca="1">IF(P185&gt;0,"RR",IF(O185&gt;0,0,COUNTIF($H$2:H185,H185)-IFERROR(COUNTIF(OFFSET($H$1,0,0,SUMPRODUCT(MAX(($H$2:H185=H185)*ROW($H$2:H185)*($O$2:O185&lt;&gt;""))),1),H185),0)))</f>
        <v>10</v>
      </c>
      <c r="AK185" s="527" t="str">
        <f>IF(ISERROR(VLOOKUP(G185,'Planning and Target Times'!$B$106:$D$110,MATCH(F185,INDEX('Planning and Target Times'!$B$106:$D$110,1,0),0),0)),"",(VLOOKUP(G185,'Planning and Target Times'!$B$106:$D$110,MATCH(F185,INDEX('Planning and Target Times'!$B$106:$D$110,1,0),0),0)))</f>
        <v/>
      </c>
      <c r="AL185" s="528" t="str">
        <f>VLOOKUP(G185,'Planning and Target Times'!$I$2:$J$7,2,0)</f>
        <v>Sandstone</v>
      </c>
      <c r="AM185" s="540"/>
      <c r="AN185" s="540"/>
      <c r="AO185" s="540"/>
      <c r="AP185" s="533" t="e">
        <f t="shared" si="40"/>
        <v>#VALUE!</v>
      </c>
      <c r="AQ185" s="540"/>
      <c r="AR185" s="540"/>
      <c r="AS185" s="540"/>
      <c r="AT185" s="540"/>
      <c r="AU185" s="540"/>
      <c r="AV185" s="540"/>
      <c r="AW185" s="540"/>
      <c r="AX185" s="540"/>
      <c r="AY185" s="540"/>
      <c r="AZ185" s="540"/>
      <c r="BA185" s="540"/>
      <c r="BB185" s="540"/>
      <c r="BC185" s="540"/>
      <c r="BD185" s="540"/>
      <c r="BE185" s="540"/>
      <c r="BF185" s="540"/>
      <c r="BG185" s="540"/>
      <c r="BH185" s="540"/>
      <c r="BI185" s="540"/>
      <c r="BJ185" s="540"/>
      <c r="BK185" s="540"/>
      <c r="BL185" s="540"/>
      <c r="BM185" s="540"/>
      <c r="BN185" s="540"/>
      <c r="BO185" s="526">
        <f ca="1">IF(ISERROR(IF(INDEX(Rig_Schedule_View!$I$11:$I$262,MATCH(Well_Data_NK_Upcoming!AG183,Rig_Schedule_View!$B$11:$B$262,0))=0,O185,(INDEX(Rig_Schedule_View!$I$11:$I$262,MATCH(Well_Data_NK_Upcoming!AG183,Rig_Schedule_View!$B$11:$B$262,0))))),O185,(IF(INDEX(Rig_Schedule_View!$I$11:$I$262,MATCH(Well_Data_NK_Upcoming!AG183,Rig_Schedule_View!$B$11:$B$262,0))=0,O185,(INDEX(Rig_Schedule_View!$I$11:$I$262,MATCH(Well_Data_NK_Upcoming!AG183,Rig_Schedule_View!$B$11:$B$262,0))))))</f>
        <v>42841</v>
      </c>
      <c r="BP185" s="526">
        <f ca="1">IF(ISERROR(IF(INDEX(Rig_Schedule_View!$J$11:$J$262,MATCH(Well_Data_NK_Upcoming!AG183,Rig_Schedule_View!$B$11:$B$262,0))=0,P185,(INDEX(Rig_Schedule_View!$J$11:$J$262,MATCH(Well_Data_NK_Upcoming!AG183,Rig_Schedule_View!$B$11:$B$262,0))))),P185,(IF(INDEX(Rig_Schedule_View!$J$11:$J$262,MATCH(Well_Data_NK_Upcoming!AG183,Rig_Schedule_View!$B$11:$B$262,0))=0,P185,(INDEX(Rig_Schedule_View!$J$11:$J$262,MATCH(Well_Data_NK_Upcoming!AG183,Rig_Schedule_View!$B$11:$B$262,0))))))</f>
        <v>42897</v>
      </c>
      <c r="BQ185" s="527"/>
      <c r="BR185" s="525"/>
      <c r="BS185" s="525"/>
      <c r="BT185" s="525"/>
      <c r="BU185" s="525"/>
      <c r="BV185" s="525"/>
      <c r="BW185" s="525"/>
      <c r="BX185" s="525"/>
      <c r="BY185" s="525"/>
      <c r="BZ185" s="525"/>
    </row>
    <row r="186" spans="1:78" x14ac:dyDescent="0.25">
      <c r="A186" s="540"/>
      <c r="B186" s="540"/>
      <c r="C186" s="540"/>
      <c r="D186" s="529" t="s">
        <v>2398</v>
      </c>
      <c r="E186" s="540"/>
      <c r="F186" s="528"/>
      <c r="G186" s="540"/>
      <c r="H186" s="536" t="s">
        <v>1413</v>
      </c>
      <c r="I186" s="540"/>
      <c r="J186" s="540"/>
      <c r="K186" s="540"/>
      <c r="L186" s="540"/>
      <c r="M186" s="539"/>
      <c r="N186" s="540"/>
      <c r="O186" s="532"/>
      <c r="P186" s="540"/>
      <c r="Q186" s="540"/>
      <c r="R186" s="537"/>
      <c r="S186" s="528"/>
      <c r="T186" s="538"/>
      <c r="U186" s="540"/>
      <c r="V186" s="540"/>
      <c r="W186" s="540"/>
      <c r="X186" s="535"/>
      <c r="Y186" s="540"/>
      <c r="Z186" s="540"/>
      <c r="AA186" s="540"/>
      <c r="AB186" s="540"/>
      <c r="AC186" s="540"/>
      <c r="AD186" s="540"/>
      <c r="AE186" s="540" t="s">
        <v>91</v>
      </c>
      <c r="AF186" s="528"/>
      <c r="AG186" s="540"/>
      <c r="AH186" s="540" t="str">
        <f t="shared" si="38"/>
        <v/>
      </c>
      <c r="AI186" s="540"/>
      <c r="AJ186" s="540"/>
      <c r="AK186" s="527"/>
      <c r="AL186" s="528"/>
      <c r="AM186" s="540"/>
      <c r="AN186" s="540"/>
      <c r="AO186" s="540"/>
      <c r="AP186" s="533"/>
      <c r="AQ186" s="540"/>
      <c r="AR186" s="540"/>
      <c r="AS186" s="540"/>
      <c r="AT186" s="540"/>
      <c r="AU186" s="540"/>
      <c r="AV186" s="540"/>
      <c r="AW186" s="540"/>
      <c r="AX186" s="540"/>
      <c r="AY186" s="540"/>
      <c r="AZ186" s="540"/>
      <c r="BA186" s="540"/>
      <c r="BB186" s="540"/>
      <c r="BC186" s="540"/>
      <c r="BD186" s="540"/>
      <c r="BE186" s="540"/>
      <c r="BF186" s="540"/>
      <c r="BG186" s="540"/>
      <c r="BH186" s="540"/>
      <c r="BI186" s="540"/>
      <c r="BJ186" s="540"/>
      <c r="BK186" s="540"/>
      <c r="BL186" s="540"/>
      <c r="BM186" s="540"/>
      <c r="BN186" s="540"/>
      <c r="BO186" s="526">
        <f ca="1">IF(ISERROR(IF(INDEX(Rig_Schedule_View!$I$11:$I$262,MATCH(Well_Data_NK_Upcoming!AG186,Rig_Schedule_View!$B$11:$B$262,0))=0,O186,(INDEX(Rig_Schedule_View!$I$11:$I$262,MATCH(Well_Data_NK_Upcoming!AG186,Rig_Schedule_View!$B$11:$B$262,0))))),O186,(IF(INDEX(Rig_Schedule_View!$I$11:$I$262,MATCH(Well_Data_NK_Upcoming!AG186,Rig_Schedule_View!$B$11:$B$262,0))=0,O186,(INDEX(Rig_Schedule_View!$I$11:$I$262,MATCH(Well_Data_NK_Upcoming!AG186,Rig_Schedule_View!$B$11:$B$262,0))))))</f>
        <v>0</v>
      </c>
      <c r="BP186" s="526">
        <f ca="1">IF(ISERROR(IF(INDEX(Rig_Schedule_View!$J$11:$J$262,MATCH(Well_Data_NK_Upcoming!AG186,Rig_Schedule_View!$B$11:$B$262,0))=0,P186,(INDEX(Rig_Schedule_View!$J$11:$J$262,MATCH(Well_Data_NK_Upcoming!AG186,Rig_Schedule_View!$B$11:$B$262,0))))),P186,(IF(INDEX(Rig_Schedule_View!$J$11:$J$262,MATCH(Well_Data_NK_Upcoming!AG186,Rig_Schedule_View!$B$11:$B$262,0))=0,P186,(INDEX(Rig_Schedule_View!$J$11:$J$262,MATCH(Well_Data_NK_Upcoming!AG186,Rig_Schedule_View!$B$11:$B$262,0))))))</f>
        <v>0</v>
      </c>
      <c r="BQ186" s="527"/>
      <c r="BR186" s="525"/>
      <c r="BS186" s="525"/>
      <c r="BT186" s="525"/>
      <c r="BU186" s="525"/>
      <c r="BV186" s="525"/>
      <c r="BW186" s="525"/>
      <c r="BX186" s="525"/>
      <c r="BY186" s="525"/>
      <c r="BZ186" s="525"/>
    </row>
    <row r="187" spans="1:78" x14ac:dyDescent="0.25">
      <c r="A187" s="540"/>
      <c r="B187" s="540"/>
      <c r="C187" s="540"/>
      <c r="D187" s="529" t="s">
        <v>2398</v>
      </c>
      <c r="E187" s="540"/>
      <c r="F187" s="528"/>
      <c r="G187" s="540"/>
      <c r="H187" s="536" t="s">
        <v>1413</v>
      </c>
      <c r="I187" s="540"/>
      <c r="J187" s="540"/>
      <c r="K187" s="540"/>
      <c r="L187" s="540"/>
      <c r="M187" s="539"/>
      <c r="N187" s="540"/>
      <c r="O187" s="532"/>
      <c r="P187" s="540"/>
      <c r="Q187" s="540"/>
      <c r="R187" s="537"/>
      <c r="S187" s="528"/>
      <c r="T187" s="538"/>
      <c r="U187" s="540"/>
      <c r="V187" s="540"/>
      <c r="W187" s="540"/>
      <c r="X187" s="535"/>
      <c r="Y187" s="540"/>
      <c r="Z187" s="540"/>
      <c r="AA187" s="540"/>
      <c r="AB187" s="540"/>
      <c r="AC187" s="540"/>
      <c r="AD187" s="540"/>
      <c r="AE187" s="540" t="s">
        <v>91</v>
      </c>
      <c r="AF187" s="528"/>
      <c r="AG187" s="540"/>
      <c r="AH187" s="540"/>
      <c r="AI187" s="540"/>
      <c r="AJ187" s="540"/>
      <c r="AK187" s="527"/>
      <c r="AL187" s="528"/>
      <c r="AM187" s="540"/>
      <c r="AN187" s="540"/>
      <c r="AO187" s="540"/>
      <c r="AP187" s="533"/>
      <c r="AQ187" s="540"/>
      <c r="AR187" s="540"/>
      <c r="AS187" s="540"/>
      <c r="AT187" s="540"/>
      <c r="AU187" s="540"/>
      <c r="AV187" s="540"/>
      <c r="AW187" s="540"/>
      <c r="AX187" s="540"/>
      <c r="AY187" s="540"/>
      <c r="AZ187" s="540"/>
      <c r="BA187" s="540"/>
      <c r="BB187" s="540"/>
      <c r="BC187" s="540"/>
      <c r="BD187" s="540"/>
      <c r="BE187" s="540"/>
      <c r="BF187" s="540"/>
      <c r="BG187" s="540"/>
      <c r="BH187" s="540"/>
      <c r="BI187" s="540"/>
      <c r="BJ187" s="540"/>
      <c r="BK187" s="540"/>
      <c r="BL187" s="540"/>
      <c r="BM187" s="540"/>
      <c r="BN187" s="540"/>
      <c r="BO187" s="526">
        <f ca="1">IF(ISERROR(IF(INDEX(Rig_Schedule_View!$I$11:$I$262,MATCH(Well_Data_NK_Upcoming!AG187,Rig_Schedule_View!$B$11:$B$262,0))=0,O187,(INDEX(Rig_Schedule_View!$I$11:$I$262,MATCH(Well_Data_NK_Upcoming!AG187,Rig_Schedule_View!$B$11:$B$262,0))))),O187,(IF(INDEX(Rig_Schedule_View!$I$11:$I$262,MATCH(Well_Data_NK_Upcoming!AG187,Rig_Schedule_View!$B$11:$B$262,0))=0,O187,(INDEX(Rig_Schedule_View!$I$11:$I$262,MATCH(Well_Data_NK_Upcoming!AG187,Rig_Schedule_View!$B$11:$B$262,0))))))</f>
        <v>0</v>
      </c>
      <c r="BP187" s="526">
        <f ca="1">IF(ISERROR(IF(INDEX(Rig_Schedule_View!$J$11:$J$262,MATCH(Well_Data_NK_Upcoming!AG187,Rig_Schedule_View!$B$11:$B$262,0))=0,P187,(INDEX(Rig_Schedule_View!$J$11:$J$262,MATCH(Well_Data_NK_Upcoming!AG187,Rig_Schedule_View!$B$11:$B$262,0))))),P187,(IF(INDEX(Rig_Schedule_View!$J$11:$J$262,MATCH(Well_Data_NK_Upcoming!AG187,Rig_Schedule_View!$B$11:$B$262,0))=0,P187,(INDEX(Rig_Schedule_View!$J$11:$J$262,MATCH(Well_Data_NK_Upcoming!AG187,Rig_Schedule_View!$B$11:$B$262,0))))))</f>
        <v>0</v>
      </c>
      <c r="BQ187" s="527"/>
      <c r="BR187" s="525"/>
      <c r="BS187" s="525"/>
      <c r="BT187" s="525"/>
      <c r="BU187" s="525"/>
      <c r="BV187" s="525"/>
      <c r="BW187" s="525"/>
      <c r="BX187" s="525"/>
      <c r="BY187" s="525"/>
      <c r="BZ187" s="525"/>
    </row>
    <row r="188" spans="1:78" x14ac:dyDescent="0.25">
      <c r="A188" s="540"/>
      <c r="B188" s="540"/>
      <c r="C188" s="540"/>
      <c r="D188" s="529" t="s">
        <v>2398</v>
      </c>
      <c r="E188" s="540"/>
      <c r="F188" s="528"/>
      <c r="G188" s="540"/>
      <c r="H188" s="536" t="s">
        <v>1413</v>
      </c>
      <c r="I188" s="540"/>
      <c r="J188" s="540"/>
      <c r="K188" s="540"/>
      <c r="L188" s="540"/>
      <c r="M188" s="539"/>
      <c r="N188" s="540"/>
      <c r="O188" s="532"/>
      <c r="P188" s="540"/>
      <c r="Q188" s="540"/>
      <c r="R188" s="537"/>
      <c r="S188" s="528"/>
      <c r="T188" s="538"/>
      <c r="U188" s="540"/>
      <c r="V188" s="540"/>
      <c r="W188" s="540"/>
      <c r="X188" s="535"/>
      <c r="Y188" s="540"/>
      <c r="Z188" s="540"/>
      <c r="AA188" s="540"/>
      <c r="AB188" s="540"/>
      <c r="AC188" s="540"/>
      <c r="AD188" s="540"/>
      <c r="AE188" s="540" t="s">
        <v>91</v>
      </c>
      <c r="AF188" s="528"/>
      <c r="AG188" s="540"/>
      <c r="AH188" s="540"/>
      <c r="AI188" s="540"/>
      <c r="AJ188" s="540"/>
      <c r="AK188" s="527"/>
      <c r="AL188" s="528"/>
      <c r="AM188" s="540"/>
      <c r="AN188" s="540"/>
      <c r="AO188" s="540"/>
      <c r="AP188" s="533"/>
      <c r="AQ188" s="540"/>
      <c r="AR188" s="540"/>
      <c r="AS188" s="540"/>
      <c r="AT188" s="540"/>
      <c r="AU188" s="540"/>
      <c r="AV188" s="540"/>
      <c r="AW188" s="540"/>
      <c r="AX188" s="540"/>
      <c r="AY188" s="540"/>
      <c r="AZ188" s="540"/>
      <c r="BA188" s="540"/>
      <c r="BB188" s="540"/>
      <c r="BC188" s="540"/>
      <c r="BD188" s="540"/>
      <c r="BE188" s="540"/>
      <c r="BF188" s="540"/>
      <c r="BG188" s="540"/>
      <c r="BH188" s="540"/>
      <c r="BI188" s="540"/>
      <c r="BJ188" s="540"/>
      <c r="BK188" s="540"/>
      <c r="BL188" s="540"/>
      <c r="BM188" s="540"/>
      <c r="BN188" s="540"/>
      <c r="BO188" s="526">
        <f ca="1">IF(ISERROR(IF(INDEX(Rig_Schedule_View!$I$11:$I$262,MATCH(Well_Data_NK_Upcoming!AG188,Rig_Schedule_View!$B$11:$B$262,0))=0,O188,(INDEX(Rig_Schedule_View!$I$11:$I$262,MATCH(Well_Data_NK_Upcoming!AG188,Rig_Schedule_View!$B$11:$B$262,0))))),O188,(IF(INDEX(Rig_Schedule_View!$I$11:$I$262,MATCH(Well_Data_NK_Upcoming!AG188,Rig_Schedule_View!$B$11:$B$262,0))=0,O188,(INDEX(Rig_Schedule_View!$I$11:$I$262,MATCH(Well_Data_NK_Upcoming!AG188,Rig_Schedule_View!$B$11:$B$262,0))))))</f>
        <v>0</v>
      </c>
      <c r="BP188" s="526">
        <f ca="1">IF(ISERROR(IF(INDEX(Rig_Schedule_View!$J$11:$J$262,MATCH(Well_Data_NK_Upcoming!AG188,Rig_Schedule_View!$B$11:$B$262,0))=0,P188,(INDEX(Rig_Schedule_View!$J$11:$J$262,MATCH(Well_Data_NK_Upcoming!AG188,Rig_Schedule_View!$B$11:$B$262,0))))),P188,(IF(INDEX(Rig_Schedule_View!$J$11:$J$262,MATCH(Well_Data_NK_Upcoming!AG188,Rig_Schedule_View!$B$11:$B$262,0))=0,P188,(INDEX(Rig_Schedule_View!$J$11:$J$262,MATCH(Well_Data_NK_Upcoming!AG188,Rig_Schedule_View!$B$11:$B$262,0))))))</f>
        <v>0</v>
      </c>
      <c r="BQ188" s="527"/>
      <c r="BR188" s="525"/>
      <c r="BS188" s="525"/>
      <c r="BT188" s="525"/>
      <c r="BU188" s="525"/>
      <c r="BV188" s="525"/>
      <c r="BW188" s="525"/>
      <c r="BX188" s="525"/>
      <c r="BY188" s="525"/>
      <c r="BZ188" s="525"/>
    </row>
    <row r="189" spans="1:78" x14ac:dyDescent="0.25">
      <c r="A189" s="540"/>
      <c r="B189" s="540"/>
      <c r="C189" s="540"/>
      <c r="D189" s="529" t="s">
        <v>2398</v>
      </c>
      <c r="E189" s="540"/>
      <c r="F189" s="528"/>
      <c r="G189" s="540"/>
      <c r="H189" s="536" t="s">
        <v>1413</v>
      </c>
      <c r="I189" s="540"/>
      <c r="J189" s="540"/>
      <c r="K189" s="540"/>
      <c r="L189" s="540"/>
      <c r="M189" s="539"/>
      <c r="N189" s="540"/>
      <c r="O189" s="532"/>
      <c r="P189" s="540"/>
      <c r="Q189" s="540"/>
      <c r="R189" s="537"/>
      <c r="S189" s="528"/>
      <c r="T189" s="538"/>
      <c r="U189" s="540"/>
      <c r="V189" s="540"/>
      <c r="W189" s="540"/>
      <c r="X189" s="535"/>
      <c r="Y189" s="540"/>
      <c r="Z189" s="540"/>
      <c r="AA189" s="540"/>
      <c r="AB189" s="540"/>
      <c r="AC189" s="540"/>
      <c r="AD189" s="540"/>
      <c r="AE189" s="540" t="s">
        <v>91</v>
      </c>
      <c r="AF189" s="528"/>
      <c r="AG189" s="540"/>
      <c r="AH189" s="540"/>
      <c r="AI189" s="540"/>
      <c r="AJ189" s="540"/>
      <c r="AK189" s="527"/>
      <c r="AL189" s="528"/>
      <c r="AM189" s="540"/>
      <c r="AN189" s="540"/>
      <c r="AO189" s="540"/>
      <c r="AP189" s="533"/>
      <c r="AQ189" s="540"/>
      <c r="AR189" s="540"/>
      <c r="AS189" s="540"/>
      <c r="AT189" s="540"/>
      <c r="AU189" s="540"/>
      <c r="AV189" s="540"/>
      <c r="AW189" s="540"/>
      <c r="AX189" s="540"/>
      <c r="AY189" s="540"/>
      <c r="AZ189" s="540"/>
      <c r="BA189" s="540"/>
      <c r="BB189" s="540"/>
      <c r="BC189" s="540"/>
      <c r="BD189" s="540"/>
      <c r="BE189" s="540"/>
      <c r="BF189" s="540"/>
      <c r="BG189" s="540"/>
      <c r="BH189" s="540"/>
      <c r="BI189" s="540"/>
      <c r="BJ189" s="540"/>
      <c r="BK189" s="540"/>
      <c r="BL189" s="540"/>
      <c r="BM189" s="540"/>
      <c r="BN189" s="540"/>
      <c r="BO189" s="526">
        <f ca="1">IF(ISERROR(IF(INDEX(Rig_Schedule_View!$I$11:$I$262,MATCH(Well_Data_NK_Upcoming!AG189,Rig_Schedule_View!$B$11:$B$262,0))=0,O189,(INDEX(Rig_Schedule_View!$I$11:$I$262,MATCH(Well_Data_NK_Upcoming!AG189,Rig_Schedule_View!$B$11:$B$262,0))))),O189,(IF(INDEX(Rig_Schedule_View!$I$11:$I$262,MATCH(Well_Data_NK_Upcoming!AG189,Rig_Schedule_View!$B$11:$B$262,0))=0,O189,(INDEX(Rig_Schedule_View!$I$11:$I$262,MATCH(Well_Data_NK_Upcoming!AG189,Rig_Schedule_View!$B$11:$B$262,0))))))</f>
        <v>0</v>
      </c>
      <c r="BP189" s="526">
        <f ca="1">IF(ISERROR(IF(INDEX(Rig_Schedule_View!$J$11:$J$262,MATCH(Well_Data_NK_Upcoming!AG189,Rig_Schedule_View!$B$11:$B$262,0))=0,P189,(INDEX(Rig_Schedule_View!$J$11:$J$262,MATCH(Well_Data_NK_Upcoming!AG189,Rig_Schedule_View!$B$11:$B$262,0))))),P189,(IF(INDEX(Rig_Schedule_View!$J$11:$J$262,MATCH(Well_Data_NK_Upcoming!AG189,Rig_Schedule_View!$B$11:$B$262,0))=0,P189,(INDEX(Rig_Schedule_View!$J$11:$J$262,MATCH(Well_Data_NK_Upcoming!AG189,Rig_Schedule_View!$B$11:$B$262,0))))))</f>
        <v>0</v>
      </c>
      <c r="BQ189" s="527"/>
      <c r="BR189" s="525"/>
      <c r="BS189" s="525"/>
      <c r="BT189" s="525"/>
      <c r="BU189" s="525"/>
      <c r="BV189" s="525"/>
      <c r="BW189" s="525"/>
      <c r="BX189" s="525"/>
      <c r="BY189" s="525"/>
      <c r="BZ189" s="525"/>
    </row>
    <row r="194" spans="1:66" x14ac:dyDescent="0.25">
      <c r="A194" s="280"/>
      <c r="B194" s="280"/>
      <c r="C194" s="280"/>
      <c r="E194" s="410"/>
      <c r="F194" s="410"/>
      <c r="G194" s="280"/>
      <c r="H194" s="280"/>
      <c r="I194" s="280"/>
      <c r="J194" s="280"/>
      <c r="K194" s="280"/>
      <c r="L194" s="280"/>
      <c r="M194" s="280"/>
      <c r="N194" s="280"/>
      <c r="O194" s="280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  <c r="AA194" s="280"/>
      <c r="AB194" s="280"/>
      <c r="AC194" s="280"/>
      <c r="AD194" s="280"/>
      <c r="AE194" s="280"/>
      <c r="AF194" s="280"/>
      <c r="AG194" s="280"/>
      <c r="AH194" s="280"/>
      <c r="AI194" s="280"/>
      <c r="AJ194" s="280"/>
      <c r="AL194" s="280"/>
      <c r="AM194" s="280"/>
      <c r="AN194" s="280"/>
      <c r="AO194" s="280"/>
      <c r="AP194" s="280"/>
      <c r="AQ194" s="280"/>
      <c r="AR194" s="280"/>
      <c r="AS194" s="280"/>
      <c r="AT194" s="280"/>
      <c r="AU194" s="280"/>
      <c r="AV194" s="280"/>
      <c r="AW194" s="280"/>
      <c r="AX194" s="280"/>
      <c r="AY194" s="280"/>
      <c r="AZ194" s="280"/>
      <c r="BA194" s="280"/>
      <c r="BB194" s="280"/>
      <c r="BC194" s="280"/>
      <c r="BD194" s="280"/>
      <c r="BE194" s="280"/>
      <c r="BF194" s="280"/>
      <c r="BG194" s="280"/>
      <c r="BH194" s="280"/>
      <c r="BI194" s="280"/>
      <c r="BJ194" s="280"/>
      <c r="BK194" s="280"/>
      <c r="BL194" s="280"/>
      <c r="BM194" s="280"/>
      <c r="BN194" s="280"/>
    </row>
  </sheetData>
  <autoFilter ref="A1:BZ189"/>
  <sortState ref="A2:BZ194">
    <sortCondition ref="AJ2:AJ194" customList="RR,0,1,2,3,4,5,6,7,8,9,10,11"/>
    <sortCondition ref="P2:P194"/>
    <sortCondition ref="H2:H194"/>
  </sortState>
  <conditionalFormatting sqref="I3">
    <cfRule type="containsText" dxfId="72" priority="230" operator="containsText" text="BHI">
      <formula>NOT(ISERROR(SEARCH("BHI",I3)))</formula>
    </cfRule>
  </conditionalFormatting>
  <conditionalFormatting sqref="I3">
    <cfRule type="containsText" dxfId="71" priority="226" operator="containsText" text="SLB">
      <formula>NOT(ISERROR(SEARCH("SLB",I3)))</formula>
    </cfRule>
    <cfRule type="containsText" dxfId="70" priority="227" operator="containsText" text="WFD">
      <formula>NOT(ISERROR(SEARCH("WFD",I3)))</formula>
    </cfRule>
    <cfRule type="containsText" dxfId="69" priority="228" operator="containsText" text="HAL">
      <formula>NOT(ISERROR(SEARCH("HAL",I3)))</formula>
    </cfRule>
    <cfRule type="containsText" priority="229" operator="containsText" text="HAL">
      <formula>NOT(ISERROR(SEARCH("HAL",I3)))</formula>
    </cfRule>
  </conditionalFormatting>
  <conditionalFormatting sqref="I7">
    <cfRule type="containsText" dxfId="68" priority="225" operator="containsText" text="BHI">
      <formula>NOT(ISERROR(SEARCH("BHI",I7)))</formula>
    </cfRule>
  </conditionalFormatting>
  <conditionalFormatting sqref="I7">
    <cfRule type="containsText" dxfId="67" priority="221" operator="containsText" text="SLB">
      <formula>NOT(ISERROR(SEARCH("SLB",I7)))</formula>
    </cfRule>
    <cfRule type="containsText" dxfId="66" priority="222" operator="containsText" text="WFD">
      <formula>NOT(ISERROR(SEARCH("WFD",I7)))</formula>
    </cfRule>
    <cfRule type="containsText" dxfId="65" priority="223" operator="containsText" text="HAL">
      <formula>NOT(ISERROR(SEARCH("HAL",I7)))</formula>
    </cfRule>
    <cfRule type="containsText" priority="224" operator="containsText" text="HAL">
      <formula>NOT(ISERROR(SEARCH("HAL",I7)))</formula>
    </cfRule>
  </conditionalFormatting>
  <conditionalFormatting sqref="I5">
    <cfRule type="containsText" dxfId="64" priority="215" operator="containsText" text="BHI">
      <formula>NOT(ISERROR(SEARCH("BHI",I5)))</formula>
    </cfRule>
  </conditionalFormatting>
  <conditionalFormatting sqref="I5">
    <cfRule type="containsText" dxfId="63" priority="211" operator="containsText" text="SLB">
      <formula>NOT(ISERROR(SEARCH("SLB",I5)))</formula>
    </cfRule>
    <cfRule type="containsText" dxfId="62" priority="212" operator="containsText" text="WFD">
      <formula>NOT(ISERROR(SEARCH("WFD",I5)))</formula>
    </cfRule>
    <cfRule type="containsText" dxfId="61" priority="213" operator="containsText" text="HAL">
      <formula>NOT(ISERROR(SEARCH("HAL",I5)))</formula>
    </cfRule>
    <cfRule type="containsText" priority="214" operator="containsText" text="HAL">
      <formula>NOT(ISERROR(SEARCH("HAL",I5)))</formula>
    </cfRule>
  </conditionalFormatting>
  <conditionalFormatting sqref="I9">
    <cfRule type="containsText" dxfId="60" priority="204" operator="containsText" text="BHI">
      <formula>NOT(ISERROR(SEARCH("BHI",I9)))</formula>
    </cfRule>
  </conditionalFormatting>
  <conditionalFormatting sqref="I9">
    <cfRule type="containsText" dxfId="59" priority="200" operator="containsText" text="SLB">
      <formula>NOT(ISERROR(SEARCH("SLB",I9)))</formula>
    </cfRule>
    <cfRule type="containsText" dxfId="58" priority="201" operator="containsText" text="WFD">
      <formula>NOT(ISERROR(SEARCH("WFD",I9)))</formula>
    </cfRule>
    <cfRule type="containsText" dxfId="57" priority="202" operator="containsText" text="HAL">
      <formula>NOT(ISERROR(SEARCH("HAL",I9)))</formula>
    </cfRule>
    <cfRule type="containsText" priority="203" operator="containsText" text="HAL">
      <formula>NOT(ISERROR(SEARCH("HAL",I9)))</formula>
    </cfRule>
  </conditionalFormatting>
  <conditionalFormatting sqref="I6">
    <cfRule type="containsText" dxfId="56" priority="192" operator="containsText" text="BHI">
      <formula>NOT(ISERROR(SEARCH("BHI",I6)))</formula>
    </cfRule>
  </conditionalFormatting>
  <conditionalFormatting sqref="I6">
    <cfRule type="containsText" dxfId="55" priority="188" operator="containsText" text="SLB">
      <formula>NOT(ISERROR(SEARCH("SLB",I6)))</formula>
    </cfRule>
    <cfRule type="containsText" dxfId="54" priority="189" operator="containsText" text="WFD">
      <formula>NOT(ISERROR(SEARCH("WFD",I6)))</formula>
    </cfRule>
    <cfRule type="containsText" dxfId="53" priority="190" operator="containsText" text="HAL">
      <formula>NOT(ISERROR(SEARCH("HAL",I6)))</formula>
    </cfRule>
    <cfRule type="containsText" priority="191" operator="containsText" text="HAL">
      <formula>NOT(ISERROR(SEARCH("HAL",I6)))</formula>
    </cfRule>
  </conditionalFormatting>
  <conditionalFormatting sqref="I2">
    <cfRule type="containsText" dxfId="52" priority="177" operator="containsText" text="BHI">
      <formula>NOT(ISERROR(SEARCH("BHI",I2)))</formula>
    </cfRule>
  </conditionalFormatting>
  <conditionalFormatting sqref="I2">
    <cfRule type="containsText" dxfId="51" priority="173" operator="containsText" text="SLB">
      <formula>NOT(ISERROR(SEARCH("SLB",I2)))</formula>
    </cfRule>
    <cfRule type="containsText" dxfId="50" priority="174" operator="containsText" text="WFD">
      <formula>NOT(ISERROR(SEARCH("WFD",I2)))</formula>
    </cfRule>
    <cfRule type="containsText" dxfId="49" priority="175" operator="containsText" text="HAL">
      <formula>NOT(ISERROR(SEARCH("HAL",I2)))</formula>
    </cfRule>
    <cfRule type="containsText" priority="176" operator="containsText" text="HAL">
      <formula>NOT(ISERROR(SEARCH("HAL",I2)))</formula>
    </cfRule>
  </conditionalFormatting>
  <conditionalFormatting sqref="I4">
    <cfRule type="containsText" dxfId="48" priority="97" operator="containsText" text="BHI">
      <formula>NOT(ISERROR(SEARCH("BHI",I4)))</formula>
    </cfRule>
  </conditionalFormatting>
  <conditionalFormatting sqref="I4">
    <cfRule type="containsText" dxfId="47" priority="93" operator="containsText" text="SLB">
      <formula>NOT(ISERROR(SEARCH("SLB",I4)))</formula>
    </cfRule>
    <cfRule type="containsText" dxfId="46" priority="94" operator="containsText" text="WFD">
      <formula>NOT(ISERROR(SEARCH("WFD",I4)))</formula>
    </cfRule>
    <cfRule type="containsText" dxfId="45" priority="95" operator="containsText" text="HAL">
      <formula>NOT(ISERROR(SEARCH("HAL",I4)))</formula>
    </cfRule>
    <cfRule type="containsText" priority="96" operator="containsText" text="HAL">
      <formula>NOT(ISERROR(SEARCH("HAL",I4)))</formula>
    </cfRule>
  </conditionalFormatting>
  <conditionalFormatting sqref="I10">
    <cfRule type="containsText" dxfId="44" priority="87" operator="containsText" text="BHI">
      <formula>NOT(ISERROR(SEARCH("BHI",I10)))</formula>
    </cfRule>
  </conditionalFormatting>
  <conditionalFormatting sqref="I10">
    <cfRule type="containsText" dxfId="43" priority="83" operator="containsText" text="SLB">
      <formula>NOT(ISERROR(SEARCH("SLB",I10)))</formula>
    </cfRule>
    <cfRule type="containsText" dxfId="42" priority="84" operator="containsText" text="WFD">
      <formula>NOT(ISERROR(SEARCH("WFD",I10)))</formula>
    </cfRule>
    <cfRule type="containsText" dxfId="41" priority="85" operator="containsText" text="HAL">
      <formula>NOT(ISERROR(SEARCH("HAL",I10)))</formula>
    </cfRule>
    <cfRule type="containsText" priority="86" operator="containsText" text="HAL">
      <formula>NOT(ISERROR(SEARCH("HAL",I10)))</formula>
    </cfRule>
  </conditionalFormatting>
  <conditionalFormatting sqref="D41">
    <cfRule type="duplicateValues" dxfId="40" priority="1"/>
    <cfRule type="duplicateValues" dxfId="39" priority="2"/>
  </conditionalFormatting>
  <pageMargins left="0.7" right="0.7" top="0.75" bottom="0.75" header="0.3" footer="0.3"/>
  <pageSetup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P351"/>
  <sheetViews>
    <sheetView zoomScale="70" zoomScaleNormal="70" workbookViewId="0">
      <pane xSplit="1" ySplit="1" topLeftCell="D29" activePane="bottomRight" state="frozen"/>
      <selection activeCell="J35" sqref="J35"/>
      <selection pane="topRight" activeCell="J35" sqref="J35"/>
      <selection pane="bottomLeft" activeCell="J35" sqref="J35"/>
      <selection pane="bottomRight" activeCell="AR13" sqref="AR13"/>
    </sheetView>
  </sheetViews>
  <sheetFormatPr defaultColWidth="48.42578125" defaultRowHeight="12.75" x14ac:dyDescent="0.2"/>
  <cols>
    <col min="1" max="1" width="26" style="414" customWidth="1"/>
    <col min="2" max="2" width="34.7109375" style="303" customWidth="1"/>
    <col min="3" max="3" width="35.140625" style="303" customWidth="1"/>
    <col min="4" max="4" width="49.28515625" style="303" customWidth="1"/>
    <col min="5" max="5" width="36.7109375" style="303" customWidth="1"/>
    <col min="6" max="6" width="26.7109375" style="303" customWidth="1"/>
    <col min="7" max="7" width="51.85546875" style="303" customWidth="1"/>
    <col min="8" max="8" width="48.42578125" style="303"/>
    <col min="9" max="9" width="26" style="303" customWidth="1"/>
    <col min="10" max="10" width="17.140625" style="303" customWidth="1"/>
    <col min="11" max="11" width="30.42578125" style="303" customWidth="1"/>
    <col min="12" max="12" width="48.42578125" style="303"/>
    <col min="13" max="13" width="24.28515625" style="303" customWidth="1"/>
    <col min="14" max="14" width="17.28515625" style="303" customWidth="1"/>
    <col min="15" max="15" width="30.140625" style="303" customWidth="1"/>
    <col min="16" max="16" width="48.42578125" style="303"/>
    <col min="17" max="17" width="23.5703125" style="303" customWidth="1"/>
    <col min="18" max="18" width="18" style="303" customWidth="1"/>
    <col min="19" max="19" width="29.42578125" style="303" customWidth="1"/>
    <col min="20" max="20" width="48.42578125" style="303"/>
    <col min="21" max="21" width="20" style="303" customWidth="1"/>
    <col min="22" max="22" width="24.140625" style="303" customWidth="1"/>
    <col min="23" max="25" width="30.42578125" style="303" customWidth="1"/>
    <col min="26" max="26" width="36.42578125" style="303" customWidth="1"/>
    <col min="27" max="27" width="49.42578125" style="303" customWidth="1"/>
    <col min="28" max="28" width="19.140625" style="303" customWidth="1"/>
    <col min="29" max="31" width="31" style="303" customWidth="1"/>
    <col min="32" max="32" width="42.7109375" style="303" customWidth="1"/>
    <col min="33" max="33" width="15.5703125" style="303" customWidth="1"/>
    <col min="34" max="34" width="20.28515625" style="303" customWidth="1"/>
    <col min="35" max="37" width="29.42578125" style="303" customWidth="1"/>
    <col min="38" max="39" width="48.42578125" style="303"/>
    <col min="40" max="40" width="33.28515625" style="303" customWidth="1"/>
    <col min="41" max="16384" width="48.42578125" style="303"/>
  </cols>
  <sheetData>
    <row r="1" spans="1:68" s="336" customFormat="1" ht="72" customHeight="1" x14ac:dyDescent="0.25">
      <c r="A1" s="421" t="s">
        <v>1466</v>
      </c>
      <c r="B1" s="426" t="s">
        <v>4</v>
      </c>
      <c r="C1" s="426" t="s">
        <v>821</v>
      </c>
      <c r="D1" s="421" t="s">
        <v>1493</v>
      </c>
      <c r="E1" s="421" t="s">
        <v>1540</v>
      </c>
      <c r="F1" s="421" t="s">
        <v>1494</v>
      </c>
      <c r="G1" s="339" t="s">
        <v>1498</v>
      </c>
      <c r="H1" s="427" t="s">
        <v>1492</v>
      </c>
      <c r="I1" s="421" t="s">
        <v>1544</v>
      </c>
      <c r="J1" s="421" t="s">
        <v>1545</v>
      </c>
      <c r="K1" s="420" t="s">
        <v>1546</v>
      </c>
      <c r="L1" s="428" t="s">
        <v>1467</v>
      </c>
      <c r="M1" s="428" t="s">
        <v>1468</v>
      </c>
      <c r="N1" s="420" t="s">
        <v>1547</v>
      </c>
      <c r="O1" s="421" t="s">
        <v>1548</v>
      </c>
      <c r="P1" s="421" t="s">
        <v>1549</v>
      </c>
      <c r="Q1" s="420" t="s">
        <v>1550</v>
      </c>
      <c r="R1" s="428" t="s">
        <v>1467</v>
      </c>
      <c r="S1" s="428" t="s">
        <v>1468</v>
      </c>
      <c r="T1" s="420" t="s">
        <v>1551</v>
      </c>
      <c r="U1" s="421" t="s">
        <v>1552</v>
      </c>
      <c r="V1" s="421" t="s">
        <v>1553</v>
      </c>
      <c r="W1" s="420" t="s">
        <v>1554</v>
      </c>
      <c r="X1" s="428" t="s">
        <v>1467</v>
      </c>
      <c r="Y1" s="428" t="s">
        <v>1468</v>
      </c>
      <c r="Z1" s="420" t="s">
        <v>1555</v>
      </c>
      <c r="AA1" s="421" t="s">
        <v>1556</v>
      </c>
      <c r="AB1" s="421" t="s">
        <v>1557</v>
      </c>
      <c r="AC1" s="420" t="s">
        <v>1558</v>
      </c>
      <c r="AD1" s="428" t="s">
        <v>1467</v>
      </c>
      <c r="AE1" s="428" t="s">
        <v>1468</v>
      </c>
      <c r="AF1" s="420" t="s">
        <v>1559</v>
      </c>
      <c r="AG1" s="421" t="s">
        <v>1560</v>
      </c>
      <c r="AH1" s="421" t="s">
        <v>1561</v>
      </c>
      <c r="AI1" s="420" t="s">
        <v>1562</v>
      </c>
      <c r="AJ1" s="428" t="s">
        <v>1467</v>
      </c>
      <c r="AK1" s="428" t="s">
        <v>1468</v>
      </c>
      <c r="AL1" s="420" t="s">
        <v>1563</v>
      </c>
      <c r="AM1" s="421" t="s">
        <v>1564</v>
      </c>
      <c r="AN1" s="421" t="s">
        <v>1565</v>
      </c>
      <c r="AO1" s="420" t="s">
        <v>1566</v>
      </c>
      <c r="AP1" s="428" t="s">
        <v>1467</v>
      </c>
      <c r="AQ1" s="428" t="s">
        <v>1468</v>
      </c>
      <c r="AR1" s="420" t="s">
        <v>1567</v>
      </c>
      <c r="AS1" s="421" t="s">
        <v>1601</v>
      </c>
      <c r="AT1" s="421" t="s">
        <v>1602</v>
      </c>
      <c r="AU1" s="420" t="s">
        <v>1603</v>
      </c>
      <c r="AV1" s="428" t="s">
        <v>1467</v>
      </c>
      <c r="AW1" s="428" t="s">
        <v>1468</v>
      </c>
      <c r="AX1" s="420" t="s">
        <v>1604</v>
      </c>
      <c r="AY1" s="421" t="s">
        <v>1605</v>
      </c>
      <c r="AZ1" s="421" t="s">
        <v>1606</v>
      </c>
      <c r="BA1" s="420" t="s">
        <v>1607</v>
      </c>
      <c r="BB1" s="428" t="s">
        <v>1467</v>
      </c>
      <c r="BC1" s="428" t="s">
        <v>1468</v>
      </c>
      <c r="BD1" s="420" t="s">
        <v>1608</v>
      </c>
      <c r="BE1" s="421" t="s">
        <v>1609</v>
      </c>
      <c r="BF1" s="421" t="s">
        <v>1623</v>
      </c>
      <c r="BG1" s="420" t="s">
        <v>1624</v>
      </c>
      <c r="BH1" s="428" t="s">
        <v>1467</v>
      </c>
      <c r="BI1" s="428" t="s">
        <v>1468</v>
      </c>
      <c r="BJ1" s="420" t="s">
        <v>1625</v>
      </c>
      <c r="BK1" s="421" t="s">
        <v>1626</v>
      </c>
      <c r="BL1" s="421" t="s">
        <v>1627</v>
      </c>
      <c r="BM1" s="420" t="s">
        <v>1628</v>
      </c>
      <c r="BN1" s="428" t="s">
        <v>1467</v>
      </c>
      <c r="BO1" s="428" t="s">
        <v>1468</v>
      </c>
      <c r="BP1" s="420" t="s">
        <v>1629</v>
      </c>
    </row>
    <row r="2" spans="1:68" ht="15" x14ac:dyDescent="0.25">
      <c r="A2" s="429" t="str">
        <f t="shared" ref="A2:A21" ca="1" si="0">IF(C2&lt;&gt;"",C2&amp;"-"&amp;B2,"")</f>
        <v>RA-0179-BWD-130</v>
      </c>
      <c r="B2" s="425" t="s">
        <v>12</v>
      </c>
      <c r="C2" s="340" t="str">
        <f t="array" aca="1" ref="C2" ca="1">IF(ISERROR(INDEX(Well_Data_NK_Upcoming!WELL,MATCH(1,IF($B2=Well_Data_NK_Upcoming!RIG,IF(Well_Data_NK_Upcoming!Auto_Update_Rig_Schedule=0,1)),0))),"",(INDEX(Well_Data_NK_Upcoming!WELL,MATCH(1,IF($B2=Well_Data_NK_Upcoming!RIG,IF(Well_Data_NK_Upcoming!Auto_Update_Rig_Schedule=0,1)),0))))</f>
        <v>RA-0179</v>
      </c>
      <c r="D2" s="423" t="str">
        <f ca="1">INDEX(Well_Data_NK_Upcoming!Concatenated_Wellname,MATCH(RigScheduleTest!A2,Well_Data_NK_Upcoming!Well_Rig,0))</f>
        <v>RA-0179-RA-ZU-Prod-ST-V-HAL</v>
      </c>
      <c r="E2" s="423" t="str">
        <f ca="1">INDEX(Well_Data_NK_Upcoming!Well_Type,MATCH(RigScheduleTest!A2,Well_Data_NK_Upcoming!Well_Rig,0))</f>
        <v>RA-0179-ZU-ST-Prod</v>
      </c>
      <c r="F2" s="341">
        <f>$G$26</f>
        <v>42233</v>
      </c>
      <c r="G2" s="369">
        <f ca="1">IF(ISERROR(INDEX(Well_Data_NK_Upcoming!Updated_Drill_Days,MATCH(RigScheduleTest!A2,Well_Data_NK_Upcoming!Well_Rig,0))),"",(INDEX(Well_Data_NK_Upcoming!Updated_Drill_Days,MATCH(RigScheduleTest!A2,Well_Data_NK_Upcoming!Well_Rig,0))))</f>
        <v>25</v>
      </c>
      <c r="H2" s="422">
        <f t="shared" ref="H2:H4" ca="1" si="1">IF(G2="N/A","",IF(F2&lt;&gt;"",$G$26+G2,""))</f>
        <v>42258</v>
      </c>
      <c r="I2" s="374" t="str">
        <f t="array" aca="1" ref="I2" ca="1">IF(ISERROR(INDEX(Well_Data_NK_Upcoming!Concatenated_Wellname,MATCH(1,IF($B2=Well_Data_NK_Upcoming!RIG,IF(Well_Data_NK_Upcoming!Auto_Update_Rig_Schedule=1,1)),0))),"",(INDEX(Well_Data_NK_Upcoming!Concatenated_Wellname,MATCH(1,IF($B2=Well_Data_NK_Upcoming!RIG,IF(Well_Data_NK_Upcoming!Auto_Update_Rig_Schedule=1,1)),0))))</f>
        <v>Rig-Exp-Aug</v>
      </c>
      <c r="J2" s="417" t="str">
        <f t="array" aca="1" ref="J2" ca="1">IF(G2="","",IF(ISERROR(INDEX(Well_Data_NK_Upcoming!Well_Type,MATCH(1,IF($B2=Well_Data_NK_Upcoming!RIG,IF(Well_Data_NK_Upcoming!Auto_Update_Rig_Schedule=1,1)),0))),"",(INDEX(Well_Data_NK_Upcoming!Well_Type,MATCH(1,IF($B2=Well_Data_NK_Upcoming!RIG,IF(Well_Data_NK_Upcoming!Auto_Update_Rig_Schedule=1,1)),0)))))</f>
        <v>Rig-Exp-Aug</v>
      </c>
      <c r="K2" s="418" t="str">
        <f t="shared" ref="K2:K22" ca="1" si="2">IF(N2="","",5)</f>
        <v/>
      </c>
      <c r="L2" s="419" t="str">
        <f ca="1">IF(J2="","",IF(I2="","",IF(ISERROR(H2+K2),"",H2+K2)))</f>
        <v/>
      </c>
      <c r="M2" s="430" t="str">
        <f t="shared" ref="M2:M4" ca="1" si="3">IF(L2="","",L2+N2)</f>
        <v/>
      </c>
      <c r="N2" s="374" t="str">
        <f ca="1">IF(G2="","",INDEX(Well_Data_NK_Upcoming!Planned_Spud_to_RR,MATCH(RigScheduleTest!I2,Well_Data_NK_Upcoming!Concatenated_Wellname,0)))</f>
        <v/>
      </c>
      <c r="O2" s="342" t="str">
        <f t="array" aca="1" ref="O2" ca="1">IF(ISERROR(INDEX(Well_Data_NK_Upcoming!Concatenated_Wellname,MATCH(1,IF($B2=Well_Data_NK_Upcoming!RIG,IF(Well_Data_NK_Upcoming!Auto_Update_Rig_Schedule=2,1)),0))),"",(INDEX(Well_Data_NK_Upcoming!Concatenated_Wellname,MATCH(1,IF($B2=Well_Data_NK_Upcoming!RIG,IF(Well_Data_NK_Upcoming!Auto_Update_Rig_Schedule=2,1)),0))))</f>
        <v/>
      </c>
      <c r="P2" s="417" t="str">
        <f t="array" aca="1" ref="P2" ca="1">IF(N2="","",IF(ISERROR(INDEX(Well_Data_NK_Upcoming!Well_Type,MATCH(1,IF($B2=Well_Data_NK_Upcoming!RIG,IF(Well_Data_NK_Upcoming!Auto_Update_Rig_Schedule=2,1)),0))),"",(INDEX(Well_Data_NK_Upcoming!Well_Type,MATCH(1,IF($B2=Well_Data_NK_Upcoming!RIG,IF(Well_Data_NK_Upcoming!Auto_Update_Rig_Schedule=2,1)),0)))))</f>
        <v/>
      </c>
      <c r="Q2" s="418" t="str">
        <f t="shared" ref="Q2:Q22" ca="1" si="4">IF(T2="","",5)</f>
        <v/>
      </c>
      <c r="R2" s="419" t="str">
        <f ca="1">IF(P2="","",IF(O2="","",IF(ISERROR(M2+Q2),"",M2+Q2)))</f>
        <v/>
      </c>
      <c r="S2" s="430" t="str">
        <f t="shared" ref="S2:S22" ca="1" si="5">IF(R2="","",R2+T2)</f>
        <v/>
      </c>
      <c r="T2" s="342" t="str">
        <f ca="1">IF(N2="","",INDEX(Well_Data_NK_Upcoming!Planned_Spud_to_RR,MATCH(RigScheduleTest!O2,Well_Data_NK_Upcoming!Concatenated_Wellname,0)))</f>
        <v/>
      </c>
      <c r="U2" s="342" t="str">
        <f t="array" aca="1" ref="U2" ca="1">IF(ISERROR(INDEX(Well_Data_NK_Upcoming!Concatenated_Wellname,MATCH(1,IF($B2=Well_Data_NK_Upcoming!RIG,IF(Well_Data_NK_Upcoming!Auto_Update_Rig_Schedule=3,1)),0))),"",(INDEX(Well_Data_NK_Upcoming!Concatenated_Wellname,MATCH(1,IF($B2=Well_Data_NK_Upcoming!RIG,IF(Well_Data_NK_Upcoming!Auto_Update_Rig_Schedule=3,1)),0))))</f>
        <v/>
      </c>
      <c r="V2" s="417" t="str">
        <f t="array" aca="1" ref="V2" ca="1">IF(T2="","",IF(ISERROR(INDEX(Well_Data_NK_Upcoming!Well_Type,MATCH(1,IF($B2=Well_Data_NK_Upcoming!RIG,IF(Well_Data_NK_Upcoming!Auto_Update_Rig_Schedule=3,1)),0))),"",(INDEX(Well_Data_NK_Upcoming!Well_Type,MATCH(1,IF($B2=Well_Data_NK_Upcoming!RIG,IF(Well_Data_NK_Upcoming!Auto_Update_Rig_Schedule=3,1)),0)))))</f>
        <v/>
      </c>
      <c r="W2" s="418" t="str">
        <f t="shared" ref="W2:W22" ca="1" si="6">IF(Z2="","",5)</f>
        <v/>
      </c>
      <c r="X2" s="419" t="str">
        <f ca="1">IF(V2="","",IF(U2="","",IF(ISERROR(S2+W2),"",S2+W2)))</f>
        <v/>
      </c>
      <c r="Y2" s="430" t="str">
        <f t="shared" ref="Y2:Y22" ca="1" si="7">IF(X2="","",X2+Z2)</f>
        <v/>
      </c>
      <c r="Z2" s="342" t="str">
        <f ca="1">IF(T2="","",INDEX(Well_Data_NK_Upcoming!Planned_Spud_to_RR,MATCH(RigScheduleTest!U2,Well_Data_NK_Upcoming!Concatenated_Wellname,0)))</f>
        <v/>
      </c>
      <c r="AA2" s="342" t="str">
        <f t="array" aca="1" ref="AA2" ca="1">IF(ISERROR(INDEX(Well_Data_NK_Upcoming!Concatenated_Wellname,MATCH(1,IF($B2=Well_Data_NK_Upcoming!RIG,IF(Well_Data_NK_Upcoming!Auto_Update_Rig_Schedule=4,1)),0))),"",(INDEX(Well_Data_NK_Upcoming!Concatenated_Wellname,MATCH(1,IF($B2=Well_Data_NK_Upcoming!RIG,IF(Well_Data_NK_Upcoming!Auto_Update_Rig_Schedule=4,1)),0))))</f>
        <v/>
      </c>
      <c r="AB2" s="417" t="str">
        <f t="array" aca="1" ref="AB2" ca="1">IF(Z2="","",IF(ISERROR(INDEX(Well_Data_NK_Upcoming!Well_Type,MATCH(1,IF($B2=Well_Data_NK_Upcoming!RIG,IF(Well_Data_NK_Upcoming!Auto_Update_Rig_Schedule=4,1)),0))),"",(INDEX(Well_Data_NK_Upcoming!Well_Type,MATCH(1,IF($B2=Well_Data_NK_Upcoming!RIG,IF(Well_Data_NK_Upcoming!Auto_Update_Rig_Schedule=4,1)),0)))))</f>
        <v/>
      </c>
      <c r="AC2" s="418" t="str">
        <f ca="1">IF(AF2="","",5)</f>
        <v/>
      </c>
      <c r="AD2" s="419" t="str">
        <f ca="1">IF(AB2="","",IF(AA2="","",IF(ISERROR(Y2+AC2),"",Y2+AC2)))</f>
        <v/>
      </c>
      <c r="AE2" s="430" t="str">
        <f t="shared" ref="AE2:AE22" ca="1" si="8">IF(AD2="","",AD2+AF2)</f>
        <v/>
      </c>
      <c r="AF2" s="342" t="str">
        <f ca="1">IF(Z2="","",INDEX(Well_Data_NK_Upcoming!Planned_Spud_to_RR,MATCH(RigScheduleTest!AA2,Well_Data_NK_Upcoming!Concatenated_Wellname,0)))</f>
        <v/>
      </c>
      <c r="AG2" s="342" t="str">
        <f t="array" aca="1" ref="AG2" ca="1">IF(ISERROR(INDEX(Well_Data_NK_Upcoming!Concatenated_Wellname,MATCH(1,IF($B2=Well_Data_NK_Upcoming!RIG,IF(Well_Data_NK_Upcoming!Auto_Update_Rig_Schedule=5,1)),0))),"",(INDEX(Well_Data_NK_Upcoming!Concatenated_Wellname,MATCH(1,IF($B2=Well_Data_NK_Upcoming!RIG,IF(Well_Data_NK_Upcoming!Auto_Update_Rig_Schedule=5,1)),0))))</f>
        <v/>
      </c>
      <c r="AH2" s="417" t="str">
        <f t="array" aca="1" ref="AH2" ca="1">IF(AF2="","",IF(ISERROR(INDEX(Well_Data_NK_Upcoming!Well_Type,MATCH(1,IF($B2=Well_Data_NK_Upcoming!RIG,IF(Well_Data_NK_Upcoming!Auto_Update_Rig_Schedule=5,1)),0))),"",(INDEX(Well_Data_NK_Upcoming!Well_Type,MATCH(1,IF($B2=Well_Data_NK_Upcoming!RIG,IF(Well_Data_NK_Upcoming!Auto_Update_Rig_Schedule=5,1)),0)))))</f>
        <v/>
      </c>
      <c r="AI2" s="418" t="str">
        <f ca="1">IF(AL2="","",5)</f>
        <v/>
      </c>
      <c r="AJ2" s="419" t="str">
        <f ca="1">IF(AH2="","",IF(AG2="","",IF(ISERROR(AE2+AI2),"",AE2+AI2)))</f>
        <v/>
      </c>
      <c r="AK2" s="430" t="str">
        <f t="shared" ref="AK2:AK22" ca="1" si="9">IF(AJ2="","",AJ2+AL2)</f>
        <v/>
      </c>
      <c r="AL2" s="342" t="str">
        <f ca="1">IF(AF2="","",INDEX(Well_Data_NK_Upcoming!Planned_Spud_to_RR,MATCH(RigScheduleTest!AG2,Well_Data_NK_Upcoming!Concatenated_Wellname,0)))</f>
        <v/>
      </c>
      <c r="AM2" s="342" t="str">
        <f t="array" aca="1" ref="AM2" ca="1">IF(ISERROR(INDEX(Well_Data_NK_Upcoming!Concatenated_Wellname,MATCH(1,IF($B2=Well_Data_NK_Upcoming!RIG,IF(Well_Data_NK_Upcoming!Auto_Update_Rig_Schedule=6,1)),0))),"",(INDEX(Well_Data_NK_Upcoming!Concatenated_Wellname,MATCH(1,IF($B2=Well_Data_NK_Upcoming!RIG,IF(Well_Data_NK_Upcoming!Auto_Update_Rig_Schedule=6,1)),0))))</f>
        <v/>
      </c>
      <c r="AN2" s="417" t="str">
        <f t="array" aca="1" ref="AN2" ca="1">IF(AL2="","",IF(ISERROR(INDEX(Well_Data_NK_Upcoming!Well_Type,MATCH(1,IF($B2=Well_Data_NK_Upcoming!RIG,IF(Well_Data_NK_Upcoming!Auto_Update_Rig_Schedule=6,1)),0))),"",(INDEX(Well_Data_NK_Upcoming!Well_Type,MATCH(1,IF($B2=Well_Data_NK_Upcoming!RIG,IF(Well_Data_NK_Upcoming!Auto_Update_Rig_Schedule=6,1)),0)))))</f>
        <v/>
      </c>
      <c r="AO2" s="418" t="str">
        <f ca="1">IF(AR2="","",5)</f>
        <v/>
      </c>
      <c r="AP2" s="419" t="str">
        <f ca="1">IF(AN2="","",IF(AM2="","",IF(ISERROR(AK2+AO2),"",AK2+AO2)))</f>
        <v/>
      </c>
      <c r="AQ2" s="430" t="str">
        <f t="shared" ref="AQ2:AQ22" ca="1" si="10">IF(AP2="","",AP2+AR2)</f>
        <v/>
      </c>
      <c r="AR2" s="342" t="str">
        <f ca="1">IF(AL2="","",INDEX(Well_Data_NK_Upcoming!Planned_Spud_to_RR,MATCH(RigScheduleTest!AM2,Well_Data_NK_Upcoming!Concatenated_Wellname,0)))</f>
        <v/>
      </c>
      <c r="AS2" s="417" t="str">
        <f t="array" aca="1" ref="AS2" ca="1">IF(ISERROR(INDEX(Well_Data_NK_Upcoming!Concatenated_Wellname,MATCH(1,IF($B2=Well_Data_NK_Upcoming!RIG,IF(Well_Data_NK_Upcoming!Auto_Update_Rig_Schedule=7,1)),0))),"",(INDEX(Well_Data_NK_Upcoming!Concatenated_Wellname,MATCH(1,IF($B2=Well_Data_NK_Upcoming!RIG,IF(Well_Data_NK_Upcoming!Auto_Update_Rig_Schedule=7,1)),0))))</f>
        <v/>
      </c>
      <c r="AT2" s="417" t="str">
        <f t="array" aca="1" ref="AT2" ca="1">IF(AR2="","",IF(ISERROR(INDEX(Well_Data_NK_Upcoming!Well_Type,MATCH(1,IF($B2=Well_Data_NK_Upcoming!RIG,IF(Well_Data_NK_Upcoming!Auto_Update_Rig_Schedule=7,1)),0))),"",(INDEX(Well_Data_NK_Upcoming!Well_Type,MATCH(1,IF($B2=Well_Data_NK_Upcoming!RIG,IF(Well_Data_NK_Upcoming!Auto_Update_Rig_Schedule=7,1)),0)))))</f>
        <v/>
      </c>
      <c r="AU2" s="418" t="str">
        <f ca="1">IF(AX2="","",5)</f>
        <v/>
      </c>
      <c r="AV2" s="419" t="str">
        <f ca="1">IF(AT2="","",IF(AS2="","",IF(ISERROR(AQ2+AU2),"",AQ2+AU2)))</f>
        <v/>
      </c>
      <c r="AW2" s="430" t="str">
        <f t="shared" ref="AW2:AW22" ca="1" si="11">IF(AV2="","",AV2+AX2)</f>
        <v/>
      </c>
      <c r="AX2" s="342" t="str">
        <f ca="1">IF(AR2="","",INDEX(Well_Data_NK_Upcoming!Planned_Spud_to_RR,MATCH(RigScheduleTest!AS2,Well_Data_NK_Upcoming!Concatenated_Wellname,0)))</f>
        <v/>
      </c>
      <c r="AY2" s="417" t="str">
        <f t="array" aca="1" ref="AY2" ca="1">IF(ISERROR(INDEX(Well_Data_NK_Upcoming!Concatenated_Wellname,MATCH(1,IF($B2=Well_Data_NK_Upcoming!RIG,IF(Well_Data_NK_Upcoming!Auto_Update_Rig_Schedule=8,1)),0))),"",(INDEX(Well_Data_NK_Upcoming!Concatenated_Wellname,MATCH(1,IF($B2=Well_Data_NK_Upcoming!RIG,IF(Well_Data_NK_Upcoming!Auto_Update_Rig_Schedule=8,1)),0))))</f>
        <v/>
      </c>
      <c r="AZ2" s="417" t="str">
        <f t="array" aca="1" ref="AZ2" ca="1">IF(AX2="","",IF(ISERROR(INDEX(Well_Data_NK_Upcoming!Well_Type,MATCH(1,IF($B2=Well_Data_NK_Upcoming!RIG,IF(Well_Data_NK_Upcoming!Auto_Update_Rig_Schedule=8,1)),0))),"",(INDEX(Well_Data_NK_Upcoming!Well_Type,MATCH(1,IF($B2=Well_Data_NK_Upcoming!RIG,IF(Well_Data_NK_Upcoming!Auto_Update_Rig_Schedule=8,1)),0)))))</f>
        <v/>
      </c>
      <c r="BA2" s="418" t="str">
        <f ca="1">IF(BD2="","",5)</f>
        <v/>
      </c>
      <c r="BB2" s="419" t="str">
        <f ca="1">IF(AZ2="","",IF(AY2="","",IF(ISERROR(AW2+BA2),"",AW2+BA2)))</f>
        <v/>
      </c>
      <c r="BC2" s="430" t="str">
        <f t="shared" ref="BC2:BC22" ca="1" si="12">IF(BB2="","",BB2+BD2)</f>
        <v/>
      </c>
      <c r="BD2" s="342" t="str">
        <f ca="1">IF(AX2="","",INDEX(Well_Data_NK_Upcoming!Planned_Spud_to_RR,MATCH(RigScheduleTest!AY2,Well_Data_NK_Upcoming!Concatenated_Wellname,0)))</f>
        <v/>
      </c>
      <c r="BE2" s="417" t="str">
        <f t="array" aca="1" ref="BE2" ca="1">IF(ISERROR(INDEX(Well_Data_NK_Upcoming!Concatenated_Wellname,MATCH(1,IF($B2=Well_Data_NK_Upcoming!RIG,IF(Well_Data_NK_Upcoming!Auto_Update_Rig_Schedule=9,1)),0))),"",(INDEX(Well_Data_NK_Upcoming!Concatenated_Wellname,MATCH(1,IF($B2=Well_Data_NK_Upcoming!RIG,IF(Well_Data_NK_Upcoming!Auto_Update_Rig_Schedule=9,1)),0))))</f>
        <v/>
      </c>
      <c r="BF2" s="417" t="str">
        <f t="array" aca="1" ref="BF2" ca="1">IF(BD2="","",IF(ISERROR(INDEX(Well_Data_NK_Upcoming!Well_Type,MATCH(1,IF($B2=Well_Data_NK_Upcoming!RIG,IF(Well_Data_NK_Upcoming!Auto_Update_Rig_Schedule=9,1)),0))),"",(INDEX(Well_Data_NK_Upcoming!Well_Type,MATCH(1,IF($B2=Well_Data_NK_Upcoming!RIG,IF(Well_Data_NK_Upcoming!Auto_Update_Rig_Schedule=9,1)),0)))))</f>
        <v/>
      </c>
      <c r="BG2" s="418" t="str">
        <f ca="1">IF(BJ2="","",5)</f>
        <v/>
      </c>
      <c r="BH2" s="419" t="str">
        <f ca="1">IF(BF2="","",IF(BE2="","",IF(ISERROR(BC2+BG2),"",BC2+BG2)))</f>
        <v/>
      </c>
      <c r="BI2" s="430" t="str">
        <f t="shared" ref="BI2:BI22" ca="1" si="13">IF(BH2="","",BH2+BJ2)</f>
        <v/>
      </c>
      <c r="BJ2" s="342" t="str">
        <f ca="1">IF(BD2="","",INDEX(Well_Data_NK_Upcoming!Planned_Spud_to_RR,MATCH(RigScheduleTest!BE2,Well_Data_NK_Upcoming!Concatenated_Wellname,0)))</f>
        <v/>
      </c>
      <c r="BK2" s="417" t="str">
        <f t="array" aca="1" ref="BK2" ca="1">IF(ISERROR(INDEX(Well_Data_NK_Upcoming!Concatenated_Wellname,MATCH(1,IF($B2=Well_Data_NK_Upcoming!RIG,IF(Well_Data_NK_Upcoming!Auto_Update_Rig_Schedule=10,1)),0))),"",(INDEX(Well_Data_NK_Upcoming!Concatenated_Wellname,MATCH(1,IF($B2=Well_Data_NK_Upcoming!RIG,IF(Well_Data_NK_Upcoming!Auto_Update_Rig_Schedule=10,1)),0))))</f>
        <v/>
      </c>
      <c r="BL2" s="417" t="str">
        <f t="array" aca="1" ref="BL2" ca="1">IF(BJ2="","",IF(ISERROR(INDEX(Well_Data_NK_Upcoming!Well_Type,MATCH(1,IF($B2=Well_Data_NK_Upcoming!RIG,IF(Well_Data_NK_Upcoming!Auto_Update_Rig_Schedule=10,1)),0))),"",(INDEX(Well_Data_NK_Upcoming!Well_Type,MATCH(1,IF($B2=Well_Data_NK_Upcoming!RIG,IF(Well_Data_NK_Upcoming!Auto_Update_Rig_Schedule=10,1)),0)))))</f>
        <v/>
      </c>
      <c r="BM2" s="418" t="str">
        <f ca="1">IF(BP2="","",5)</f>
        <v/>
      </c>
      <c r="BN2" s="419" t="str">
        <f ca="1">IF(BL2="","",IF(BK2="","",IF(ISERROR(BI2+BM2),"",BI2+BM2)))</f>
        <v/>
      </c>
      <c r="BO2" s="430" t="str">
        <f t="shared" ref="BO2:BO22" ca="1" si="14">IF(BN2="","",BN2+BP2)</f>
        <v/>
      </c>
      <c r="BP2" s="342" t="str">
        <f ca="1">IF(BJ2="","",INDEX(Well_Data_NK_Upcoming!Planned_Spud_to_RR,MATCH(RigScheduleTest!BK2,Well_Data_NK_Upcoming!Concatenated_Wellname,0)))</f>
        <v/>
      </c>
    </row>
    <row r="3" spans="1:68" ht="15" x14ac:dyDescent="0.25">
      <c r="A3" s="429" t="str">
        <f t="shared" ca="1" si="0"/>
        <v>RA-0561-KDC-25</v>
      </c>
      <c r="B3" s="425" t="s">
        <v>1171</v>
      </c>
      <c r="C3" s="340" t="str">
        <f t="array" aca="1" ref="C3" ca="1">IF(ISERROR(INDEX(Well_Data_NK_Upcoming!WELL,MATCH(1,IF($B3=Well_Data_NK_Upcoming!RIG,IF(Well_Data_NK_Upcoming!Auto_Update_Rig_Schedule=0,1)),0))),"",(INDEX(Well_Data_NK_Upcoming!WELL,MATCH(1,IF($B3=Well_Data_NK_Upcoming!RIG,IF(Well_Data_NK_Upcoming!Auto_Update_Rig_Schedule=0,1)),0))))</f>
        <v>RA-0561</v>
      </c>
      <c r="D3" s="424" t="str">
        <f ca="1">INDEX(Well_Data_NK_Upcoming!Concatenated_Wellname,MATCH(RigScheduleTest!A3,Well_Data_NK_Upcoming!Well_Rig,0))</f>
        <v>RA-0561-RA-UB-Prod-NW-HZ-SLB</v>
      </c>
      <c r="E3" s="423" t="str">
        <f ca="1">INDEX(Well_Data_NK_Upcoming!Well_Type,MATCH(RigScheduleTest!A3,Well_Data_NK_Upcoming!Well_Rig,0))</f>
        <v>RA-0561-UB-NW-Prod</v>
      </c>
      <c r="F3" s="341">
        <f t="shared" ref="F3:F22" si="15">$G$26</f>
        <v>42233</v>
      </c>
      <c r="G3" s="368">
        <f ca="1">IF(ISERROR(INDEX(Well_Data_NK_Upcoming!Updated_Drill_Days,MATCH(RigScheduleTest!A3,Well_Data_NK_Upcoming!Well_Rig,0))),"",(INDEX(Well_Data_NK_Upcoming!Updated_Drill_Days,MATCH(RigScheduleTest!A3,Well_Data_NK_Upcoming!Well_Rig,0))))</f>
        <v>35</v>
      </c>
      <c r="H3" s="422">
        <f t="shared" ca="1" si="1"/>
        <v>42268</v>
      </c>
      <c r="I3" s="371" t="str">
        <f t="array" aca="1" ref="I3" ca="1">IF(ISERROR(INDEX(Well_Data_NK_Upcoming!Concatenated_Wellname,MATCH(1,IF($B3=Well_Data_NK_Upcoming!RIG,IF(Well_Data_NK_Upcoming!Auto_Update_Rig_Schedule=1,1)),0))),"",(INDEX(Well_Data_NK_Upcoming!Concatenated_Wellname,MATCH(1,IF($B3=Well_Data_NK_Upcoming!RIG,IF(Well_Data_NK_Upcoming!Auto_Update_Rig_Schedule=1,1)),0))))</f>
        <v>RA-0581-RA-UB-Prod-NW-HZ-Sperry</v>
      </c>
      <c r="J3" s="417" t="str">
        <f t="array" aca="1" ref="J3" ca="1">IF(G3="","",IF(ISERROR(INDEX(Well_Data_NK_Upcoming!Well_Type,MATCH(1,IF($B3=Well_Data_NK_Upcoming!RIG,IF(Well_Data_NK_Upcoming!Auto_Update_Rig_Schedule=1,1)),0))),"",(INDEX(Well_Data_NK_Upcoming!Well_Type,MATCH(1,IF($B3=Well_Data_NK_Upcoming!RIG,IF(Well_Data_NK_Upcoming!Auto_Update_Rig_Schedule=1,1)),0)))))</f>
        <v>RA-0581-UB-NW-Prod</v>
      </c>
      <c r="K3" s="418">
        <f t="shared" ca="1" si="2"/>
        <v>5</v>
      </c>
      <c r="L3" s="419">
        <f t="shared" ref="L3:L22" ca="1" si="16">IF(J3="","",IF(I3="","",IF(ISERROR(H3+K3),"",H3+K3)))</f>
        <v>42273</v>
      </c>
      <c r="M3" s="430">
        <f t="shared" ca="1" si="3"/>
        <v>42343</v>
      </c>
      <c r="N3" s="371">
        <f ca="1">IF(G3="","",INDEX(Well_Data_NK_Upcoming!Planned_Spud_to_RR,MATCH(RigScheduleTest!I3,Well_Data_NK_Upcoming!Concatenated_Wellname,0)))</f>
        <v>70</v>
      </c>
      <c r="O3" s="372" t="str">
        <f t="array" aca="1" ref="O3" ca="1">IF(ISERROR(INDEX(Well_Data_NK_Upcoming!Concatenated_Wellname,MATCH(1,IF($B3=Well_Data_NK_Upcoming!RIG,IF(Well_Data_NK_Upcoming!Auto_Update_Rig_Schedule=2,1)),0))),"",(INDEX(Well_Data_NK_Upcoming!Concatenated_Wellname,MATCH(1,IF($B3=Well_Data_NK_Upcoming!RIG,IF(Well_Data_NK_Upcoming!Auto_Update_Rig_Schedule=2,1)),0))))</f>
        <v>RA-0569-RA-MA-Prod-NW-HZ-Sperry</v>
      </c>
      <c r="P3" s="417" t="str">
        <f t="array" aca="1" ref="P3" ca="1">IF(N3="","",IF(ISERROR(INDEX(Well_Data_NK_Upcoming!Well_Type,MATCH(1,IF($B3=Well_Data_NK_Upcoming!RIG,IF(Well_Data_NK_Upcoming!Auto_Update_Rig_Schedule=2,1)),0))),"",(INDEX(Well_Data_NK_Upcoming!Well_Type,MATCH(1,IF($B3=Well_Data_NK_Upcoming!RIG,IF(Well_Data_NK_Upcoming!Auto_Update_Rig_Schedule=2,1)),0)))))</f>
        <v>RA-0569-MA-NW-Prod</v>
      </c>
      <c r="Q3" s="418">
        <f t="shared" ca="1" si="4"/>
        <v>5</v>
      </c>
      <c r="R3" s="419">
        <f t="shared" ref="R3:R22" ca="1" si="17">IF(P3="","",IF(O3="","",IF(ISERROR(M3+Q3),"",M3+Q3)))</f>
        <v>42348</v>
      </c>
      <c r="S3" s="430">
        <f t="shared" ca="1" si="5"/>
        <v>42418</v>
      </c>
      <c r="T3" s="372">
        <f ca="1">IF(N3="","",INDEX(Well_Data_NK_Upcoming!Planned_Spud_to_RR,MATCH(RigScheduleTest!O3,Well_Data_NK_Upcoming!Concatenated_Wellname,0)))</f>
        <v>70</v>
      </c>
      <c r="U3" s="372" t="str">
        <f t="array" aca="1" ref="U3" ca="1">IF(ISERROR(INDEX(Well_Data_NK_Upcoming!Concatenated_Wellname,MATCH(1,IF($B3=Well_Data_NK_Upcoming!RIG,IF(Well_Data_NK_Upcoming!Auto_Update_Rig_Schedule=3,1)),0))),"",(INDEX(Well_Data_NK_Upcoming!Concatenated_Wellname,MATCH(1,IF($B3=Well_Data_NK_Upcoming!RIG,IF(Well_Data_NK_Upcoming!Auto_Update_Rig_Schedule=3,1)),0))))</f>
        <v>RA5-RA-MA-Prod-NW-HZ-SLB</v>
      </c>
      <c r="V3" s="417" t="str">
        <f t="array" aca="1" ref="V3" ca="1">IF(T3="","",IF(ISERROR(INDEX(Well_Data_NK_Upcoming!Well_Type,MATCH(1,IF($B3=Well_Data_NK_Upcoming!RIG,IF(Well_Data_NK_Upcoming!Auto_Update_Rig_Schedule=3,1)),0))),"",(INDEX(Well_Data_NK_Upcoming!Well_Type,MATCH(1,IF($B3=Well_Data_NK_Upcoming!RIG,IF(Well_Data_NK_Upcoming!Auto_Update_Rig_Schedule=3,1)),0)))))</f>
        <v>RA5-MA-NW-Prod</v>
      </c>
      <c r="W3" s="418">
        <f t="shared" ca="1" si="6"/>
        <v>5</v>
      </c>
      <c r="X3" s="419">
        <f t="shared" ref="X3:X22" ca="1" si="18">IF(V3="","",IF(U3="","",IF(ISERROR(S3+W3),"",S3+W3)))</f>
        <v>42423</v>
      </c>
      <c r="Y3" s="430">
        <f t="shared" ca="1" si="7"/>
        <v>42493</v>
      </c>
      <c r="Z3" s="372">
        <f ca="1">IF(T3="","",INDEX(Well_Data_NK_Upcoming!Planned_Spud_to_RR,MATCH(RigScheduleTest!U3,Well_Data_NK_Upcoming!Concatenated_Wellname,0)))</f>
        <v>70</v>
      </c>
      <c r="AA3" s="372" t="str">
        <f t="array" aca="1" ref="AA3" ca="1">IF(ISERROR(INDEX(Well_Data_NK_Upcoming!Concatenated_Wellname,MATCH(1,IF($B3=Well_Data_NK_Upcoming!RIG,IF(Well_Data_NK_Upcoming!Auto_Update_Rig_Schedule=4,1)),0))),"",(INDEX(Well_Data_NK_Upcoming!Concatenated_Wellname,MATCH(1,IF($B3=Well_Data_NK_Upcoming!RIG,IF(Well_Data_NK_Upcoming!Auto_Update_Rig_Schedule=4,1)),0))))</f>
        <v>SA-0142-SA-MA-Prod-ST-HZ-Baker</v>
      </c>
      <c r="AB3" s="417" t="str">
        <f t="array" aca="1" ref="AB3" ca="1">IF(Z3="","",IF(ISERROR(INDEX(Well_Data_NK_Upcoming!Well_Type,MATCH(1,IF($B3=Well_Data_NK_Upcoming!RIG,IF(Well_Data_NK_Upcoming!Auto_Update_Rig_Schedule=4,1)),0))),"",(INDEX(Well_Data_NK_Upcoming!Well_Type,MATCH(1,IF($B3=Well_Data_NK_Upcoming!RIG,IF(Well_Data_NK_Upcoming!Auto_Update_Rig_Schedule=4,1)),0)))))</f>
        <v>SA-0142-MA-ST-Prod</v>
      </c>
      <c r="AC3" s="418">
        <f t="shared" ref="AC3:AC22" ca="1" si="19">IF(AF3="","",5)</f>
        <v>5</v>
      </c>
      <c r="AD3" s="419">
        <f t="shared" ref="AD3:AD22" ca="1" si="20">IF(AB3="","",IF(AA3="","",IF(ISERROR(Y3+AC3),"",Y3+AC3)))</f>
        <v>42498</v>
      </c>
      <c r="AE3" s="430">
        <f t="shared" ca="1" si="8"/>
        <v>42554</v>
      </c>
      <c r="AF3" s="372">
        <f ca="1">IF(Z3="","",INDEX(Well_Data_NK_Upcoming!Planned_Spud_to_RR,MATCH(RigScheduleTest!AA3,Well_Data_NK_Upcoming!Concatenated_Wellname,0)))</f>
        <v>56</v>
      </c>
      <c r="AG3" s="372" t="str">
        <f t="array" aca="1" ref="AG3" ca="1">IF(ISERROR(INDEX(Well_Data_NK_Upcoming!Concatenated_Wellname,MATCH(1,IF($B3=Well_Data_NK_Upcoming!RIG,IF(Well_Data_NK_Upcoming!Auto_Update_Rig_Schedule=5,1)),0))),"",(INDEX(Well_Data_NK_Upcoming!Concatenated_Wellname,MATCH(1,IF($B3=Well_Data_NK_Upcoming!RIG,IF(Well_Data_NK_Upcoming!Auto_Update_Rig_Schedule=5,1)),0))))</f>
        <v>SA15-SA-MA-Inj-ST-HZ</v>
      </c>
      <c r="AH3" s="417" t="str">
        <f t="array" aca="1" ref="AH3" ca="1">IF(AF3="","",IF(ISERROR(INDEX(Well_Data_NK_Upcoming!Well_Type,MATCH(1,IF($B3=Well_Data_NK_Upcoming!RIG,IF(Well_Data_NK_Upcoming!Auto_Update_Rig_Schedule=5,1)),0))),"",(INDEX(Well_Data_NK_Upcoming!Well_Type,MATCH(1,IF($B3=Well_Data_NK_Upcoming!RIG,IF(Well_Data_NK_Upcoming!Auto_Update_Rig_Schedule=5,1)),0)))))</f>
        <v>SA15-MA-ST-Inj</v>
      </c>
      <c r="AI3" s="418">
        <f t="shared" ref="AI3:AI22" ca="1" si="21">IF(AL3="","",5)</f>
        <v>5</v>
      </c>
      <c r="AJ3" s="419">
        <f t="shared" ref="AJ3:AJ22" ca="1" si="22">IF(AH3="","",IF(AG3="","",IF(ISERROR(AE3+AI3),"",AE3+AI3)))</f>
        <v>42559</v>
      </c>
      <c r="AK3" s="430">
        <f t="shared" ca="1" si="9"/>
        <v>42608</v>
      </c>
      <c r="AL3" s="372">
        <f ca="1">IF(Z3="","",INDEX(Well_Data_NK_Upcoming!Planned_Spud_to_RR,MATCH(RigScheduleTest!AG3,Well_Data_NK_Upcoming!Concatenated_Wellname,0)))</f>
        <v>49</v>
      </c>
      <c r="AM3" s="372" t="str">
        <f t="array" aca="1" ref="AM3" ca="1">IF(ISERROR(INDEX(Well_Data_NK_Upcoming!Concatenated_Wellname,MATCH(1,IF($B3=Well_Data_NK_Upcoming!RIG,IF(Well_Data_NK_Upcoming!Auto_Update_Rig_Schedule=6,1)),0))),"",(INDEX(Well_Data_NK_Upcoming!Concatenated_Wellname,MATCH(1,IF($B3=Well_Data_NK_Upcoming!RIG,IF(Well_Data_NK_Upcoming!Auto_Update_Rig_Schedule=6,1)),0))))</f>
        <v>SA28-SA-MA-Prod-NW-HZ</v>
      </c>
      <c r="AN3" s="417" t="str">
        <f t="array" aca="1" ref="AN3" ca="1">IF(AL3="","",IF(ISERROR(INDEX(Well_Data_NK_Upcoming!Well_Type,MATCH(1,IF($B3=Well_Data_NK_Upcoming!RIG,IF(Well_Data_NK_Upcoming!Auto_Update_Rig_Schedule=6,1)),0))),"",(INDEX(Well_Data_NK_Upcoming!Well_Type,MATCH(1,IF($B3=Well_Data_NK_Upcoming!RIG,IF(Well_Data_NK_Upcoming!Auto_Update_Rig_Schedule=6,1)),0)))))</f>
        <v>SA28-MA-NW-Prod</v>
      </c>
      <c r="AO3" s="418">
        <f t="shared" ref="AO3:AO22" ca="1" si="23">IF(AR3="","",5)</f>
        <v>5</v>
      </c>
      <c r="AP3" s="419">
        <f t="shared" ref="AP3:AP22" ca="1" si="24">IF(AN3="","",IF(AM3="","",IF(ISERROR(AK3+AO3),"",AK3+AO3)))</f>
        <v>42613</v>
      </c>
      <c r="AQ3" s="430">
        <f t="shared" ca="1" si="10"/>
        <v>42683</v>
      </c>
      <c r="AR3" s="372">
        <f ca="1">IF(AL3="","",INDEX(Well_Data_NK_Upcoming!Planned_Spud_to_RR,MATCH(RigScheduleTest!AM3,Well_Data_NK_Upcoming!Concatenated_Wellname,0)))</f>
        <v>70</v>
      </c>
      <c r="AS3" s="417" t="str">
        <f t="array" aca="1" ref="AS3" ca="1">IF(ISERROR(INDEX(Well_Data_NK_Upcoming!Concatenated_Wellname,MATCH(1,IF($B3=Well_Data_NK_Upcoming!RIG,IF(Well_Data_NK_Upcoming!Auto_Update_Rig_Schedule=7,1)),0))),"",(INDEX(Well_Data_NK_Upcoming!Concatenated_Wellname,MATCH(1,IF($B3=Well_Data_NK_Upcoming!RIG,IF(Well_Data_NK_Upcoming!Auto_Update_Rig_Schedule=7,1)),0))))</f>
        <v>RA25-RA-LB-Prod-NW-SL-SLB</v>
      </c>
      <c r="AT3" s="417" t="str">
        <f t="array" aca="1" ref="AT3" ca="1">IF(AR3="","",IF(ISERROR(INDEX(Well_Data_NK_Upcoming!Well_Type,MATCH(1,IF($B3=Well_Data_NK_Upcoming!RIG,IF(Well_Data_NK_Upcoming!Auto_Update_Rig_Schedule=7,1)),0))),"",(INDEX(Well_Data_NK_Upcoming!Well_Type,MATCH(1,IF($B3=Well_Data_NK_Upcoming!RIG,IF(Well_Data_NK_Upcoming!Auto_Update_Rig_Schedule=7,1)),0)))))</f>
        <v>RA25-LB-NW-Prod</v>
      </c>
      <c r="AU3" s="418">
        <f t="shared" ref="AU3:AU22" ca="1" si="25">IF(AX3="","",5)</f>
        <v>5</v>
      </c>
      <c r="AV3" s="419">
        <f t="shared" ref="AV3:AV22" ca="1" si="26">IF(AT3="","",IF(AS3="","",IF(ISERROR(AQ3+AU3),"",AQ3+AU3)))</f>
        <v>42688</v>
      </c>
      <c r="AW3" s="430">
        <f t="shared" ca="1" si="11"/>
        <v>42758</v>
      </c>
      <c r="AX3" s="342">
        <f ca="1">IF(AR3="","",INDEX(Well_Data_NK_Upcoming!Planned_Spud_to_RR,MATCH(RigScheduleTest!AS3,Well_Data_NK_Upcoming!Concatenated_Wellname,0)))</f>
        <v>70</v>
      </c>
      <c r="AY3" s="417" t="str">
        <f t="array" aca="1" ref="AY3" ca="1">IF(ISERROR(INDEX(Well_Data_NK_Upcoming!Concatenated_Wellname,MATCH(1,IF($B3=Well_Data_NK_Upcoming!RIG,IF(Well_Data_NK_Upcoming!Auto_Update_Rig_Schedule=8,1)),0))),"",(INDEX(Well_Data_NK_Upcoming!Concatenated_Wellname,MATCH(1,IF($B3=Well_Data_NK_Upcoming!RIG,IF(Well_Data_NK_Upcoming!Auto_Update_Rig_Schedule=8,1)),0))))</f>
        <v>SA52-SA-LB-Prod-NW-SL</v>
      </c>
      <c r="AZ3" s="417" t="str">
        <f t="array" aca="1" ref="AZ3" ca="1">IF(AX3="","",IF(ISERROR(INDEX(Well_Data_NK_Upcoming!Well_Type,MATCH(1,IF($B3=Well_Data_NK_Upcoming!RIG,IF(Well_Data_NK_Upcoming!Auto_Update_Rig_Schedule=8,1)),0))),"",(INDEX(Well_Data_NK_Upcoming!Well_Type,MATCH(1,IF($B3=Well_Data_NK_Upcoming!RIG,IF(Well_Data_NK_Upcoming!Auto_Update_Rig_Schedule=8,1)),0)))))</f>
        <v>SA52-LB-NW-Prod</v>
      </c>
      <c r="BA3" s="418">
        <f t="shared" ref="BA3:BA22" ca="1" si="27">IF(BD3="","",5)</f>
        <v>5</v>
      </c>
      <c r="BB3" s="419">
        <f t="shared" ref="BB3:BB22" ca="1" si="28">IF(AZ3="","",IF(AY3="","",IF(ISERROR(AW3+BA3),"",AW3+BA3)))</f>
        <v>42763</v>
      </c>
      <c r="BC3" s="430">
        <f t="shared" ca="1" si="12"/>
        <v>42833</v>
      </c>
      <c r="BD3" s="342">
        <f ca="1">IF(AX3="","",INDEX(Well_Data_NK_Upcoming!Planned_Spud_to_RR,MATCH(RigScheduleTest!AY3,Well_Data_NK_Upcoming!Concatenated_Wellname,0)))</f>
        <v>70</v>
      </c>
      <c r="BE3" s="417" t="str">
        <f t="array" aca="1" ref="BE3" ca="1">IF(ISERROR(INDEX(Well_Data_NK_Upcoming!Concatenated_Wellname,MATCH(1,IF($B3=Well_Data_NK_Upcoming!RIG,IF(Well_Data_NK_Upcoming!Auto_Update_Rig_Schedule=9,1)),0))),"",(INDEX(Well_Data_NK_Upcoming!Concatenated_Wellname,MATCH(1,IF($B3=Well_Data_NK_Upcoming!RIG,IF(Well_Data_NK_Upcoming!Auto_Update_Rig_Schedule=9,1)),0))))</f>
        <v>SA58-SA-UB-Inj-NW-SL</v>
      </c>
      <c r="BF3" s="417" t="str">
        <f t="array" aca="1" ref="BF3" ca="1">IF(BD3="","",IF(ISERROR(INDEX(Well_Data_NK_Upcoming!Well_Type,MATCH(1,IF($B3=Well_Data_NK_Upcoming!RIG,IF(Well_Data_NK_Upcoming!Auto_Update_Rig_Schedule=9,1)),0))),"",(INDEX(Well_Data_NK_Upcoming!Well_Type,MATCH(1,IF($B3=Well_Data_NK_Upcoming!RIG,IF(Well_Data_NK_Upcoming!Auto_Update_Rig_Schedule=9,1)),0)))))</f>
        <v>SA58-UB-NW-Inj</v>
      </c>
      <c r="BG3" s="418">
        <f t="shared" ref="BG3:BG22" ca="1" si="29">IF(BJ3="","",5)</f>
        <v>5</v>
      </c>
      <c r="BH3" s="419">
        <f t="shared" ref="BH3:BH22" ca="1" si="30">IF(BF3="","",IF(BE3="","",IF(ISERROR(BC3+BG3),"",BC3+BG3)))</f>
        <v>42838</v>
      </c>
      <c r="BI3" s="430">
        <f t="shared" ca="1" si="13"/>
        <v>42908</v>
      </c>
      <c r="BJ3" s="342">
        <f ca="1">IF(BD3="","",INDEX(Well_Data_NK_Upcoming!Planned_Spud_to_RR,MATCH(RigScheduleTest!BE3,Well_Data_NK_Upcoming!Concatenated_Wellname,0)))</f>
        <v>70</v>
      </c>
      <c r="BK3" s="417" t="str">
        <f t="array" aca="1" ref="BK3" ca="1">IF(ISERROR(INDEX(Well_Data_NK_Upcoming!Concatenated_Wellname,MATCH(1,IF($B3=Well_Data_NK_Upcoming!RIG,IF(Well_Data_NK_Upcoming!Auto_Update_Rig_Schedule=10,1)),0))),"",(INDEX(Well_Data_NK_Upcoming!Concatenated_Wellname,MATCH(1,IF($B3=Well_Data_NK_Upcoming!RIG,IF(Well_Data_NK_Upcoming!Auto_Update_Rig_Schedule=10,1)),0))))</f>
        <v>RA44-RA-RT-Prod-NW-HZ-SLB</v>
      </c>
      <c r="BL3" s="417" t="str">
        <f t="array" aca="1" ref="BL3" ca="1">IF(BJ3="","",IF(ISERROR(INDEX(Well_Data_NK_Upcoming!Well_Type,MATCH(1,IF($B3=Well_Data_NK_Upcoming!RIG,IF(Well_Data_NK_Upcoming!Auto_Update_Rig_Schedule=10,1)),0))),"",(INDEX(Well_Data_NK_Upcoming!Well_Type,MATCH(1,IF($B3=Well_Data_NK_Upcoming!RIG,IF(Well_Data_NK_Upcoming!Auto_Update_Rig_Schedule=10,1)),0)))))</f>
        <v>RA44-RT-NW-Prod</v>
      </c>
      <c r="BM3" s="418">
        <f t="shared" ref="BM3:BM22" ca="1" si="31">IF(BP3="","",5)</f>
        <v>5</v>
      </c>
      <c r="BN3" s="419">
        <f t="shared" ref="BN3:BN22" ca="1" si="32">IF(BL3="","",IF(BK3="","",IF(ISERROR(BI3+BM3),"",BI3+BM3)))</f>
        <v>42913</v>
      </c>
      <c r="BO3" s="430">
        <f t="shared" ca="1" si="14"/>
        <v>43011</v>
      </c>
      <c r="BP3" s="342">
        <f ca="1">IF(BJ3="","",INDEX(Well_Data_NK_Upcoming!Planned_Spud_to_RR,MATCH(RigScheduleTest!BK3,Well_Data_NK_Upcoming!Concatenated_Wellname,0)))</f>
        <v>98</v>
      </c>
    </row>
    <row r="4" spans="1:68" ht="15" x14ac:dyDescent="0.25">
      <c r="A4" s="429" t="str">
        <f t="shared" ca="1" si="0"/>
        <v>SA-0495-KDC-26</v>
      </c>
      <c r="B4" s="425" t="s">
        <v>35</v>
      </c>
      <c r="C4" s="340" t="str">
        <f t="array" aca="1" ref="C4" ca="1">IF(ISERROR(INDEX(Well_Data_NK_Upcoming!WELL,MATCH(1,IF($B4=Well_Data_NK_Upcoming!RIG,IF(Well_Data_NK_Upcoming!Auto_Update_Rig_Schedule=0,1)),0))),"",(INDEX(Well_Data_NK_Upcoming!WELL,MATCH(1,IF($B4=Well_Data_NK_Upcoming!RIG,IF(Well_Data_NK_Upcoming!Auto_Update_Rig_Schedule=0,1)),0))))</f>
        <v>SA-0495</v>
      </c>
      <c r="D4" s="424" t="str">
        <f ca="1">INDEX(Well_Data_NK_Upcoming!Concatenated_Wellname,MATCH(RigScheduleTest!A4,Well_Data_NK_Upcoming!Well_Rig,0))</f>
        <v>SA-0495-SA-MA-Prod-ST-HZ-BHI</v>
      </c>
      <c r="E4" s="423" t="str">
        <f ca="1">INDEX(Well_Data_NK_Upcoming!Well_Type,MATCH(RigScheduleTest!A4,Well_Data_NK_Upcoming!Well_Rig,0))</f>
        <v>SA-0495-MA-ST-Prod</v>
      </c>
      <c r="F4" s="341">
        <f t="shared" si="15"/>
        <v>42233</v>
      </c>
      <c r="G4" s="367">
        <f ca="1">IF(ISERROR(INDEX(Well_Data_NK_Upcoming!Updated_Drill_Days,MATCH(RigScheduleTest!A4,Well_Data_NK_Upcoming!Well_Rig,0))),"",(INDEX(Well_Data_NK_Upcoming!Updated_Drill_Days,MATCH(RigScheduleTest!A4,Well_Data_NK_Upcoming!Well_Rig,0))))</f>
        <v>10</v>
      </c>
      <c r="H4" s="422">
        <f t="shared" ca="1" si="1"/>
        <v>42243</v>
      </c>
      <c r="I4" s="372" t="str">
        <f t="array" aca="1" ref="I4" ca="1">IF(ISERROR(INDEX(Well_Data_NK_Upcoming!Concatenated_Wellname,MATCH(1,IF($B4=Well_Data_NK_Upcoming!RIG,IF(Well_Data_NK_Upcoming!Auto_Update_Rig_Schedule=1,1)),0))),"",(INDEX(Well_Data_NK_Upcoming!Concatenated_Wellname,MATCH(1,IF($B4=Well_Data_NK_Upcoming!RIG,IF(Well_Data_NK_Upcoming!Auto_Update_Rig_Schedule=1,1)),0))))</f>
        <v>RA-0595-RA-ZU-Prod-NW-SL-Baker</v>
      </c>
      <c r="J4" s="417" t="str">
        <f t="array" aca="1" ref="J4" ca="1">IF(G4="","",IF(ISERROR(INDEX(Well_Data_NK_Upcoming!Well_Type,MATCH(1,IF($B4=Well_Data_NK_Upcoming!RIG,IF(Well_Data_NK_Upcoming!Auto_Update_Rig_Schedule=1,1)),0))),"",(INDEX(Well_Data_NK_Upcoming!Well_Type,MATCH(1,IF($B4=Well_Data_NK_Upcoming!RIG,IF(Well_Data_NK_Upcoming!Auto_Update_Rig_Schedule=1,1)),0)))))</f>
        <v>RA-0595-ZU-NW-Prod</v>
      </c>
      <c r="K4" s="418">
        <f t="shared" ca="1" si="2"/>
        <v>5</v>
      </c>
      <c r="L4" s="419">
        <f t="shared" ca="1" si="16"/>
        <v>42248</v>
      </c>
      <c r="M4" s="430">
        <f t="shared" ca="1" si="3"/>
        <v>42346</v>
      </c>
      <c r="N4" s="374">
        <f ca="1">IF(G4="","",INDEX(Well_Data_NK_Upcoming!Planned_Spud_to_RR,MATCH(RigScheduleTest!I4,Well_Data_NK_Upcoming!Concatenated_Wellname,0)))</f>
        <v>98</v>
      </c>
      <c r="O4" s="374" t="str">
        <f t="array" aca="1" ref="O4" ca="1">IF(ISERROR(INDEX(Well_Data_NK_Upcoming!Concatenated_Wellname,MATCH(1,IF($B4=Well_Data_NK_Upcoming!RIG,IF(Well_Data_NK_Upcoming!Auto_Update_Rig_Schedule=2,1)),0))),"",(INDEX(Well_Data_NK_Upcoming!Concatenated_Wellname,MATCH(1,IF($B4=Well_Data_NK_Upcoming!RIG,IF(Well_Data_NK_Upcoming!Auto_Update_Rig_Schedule=2,1)),0))))</f>
        <v>AD-0008-AD-ZU-Inj-ST-SL</v>
      </c>
      <c r="P4" s="417" t="str">
        <f t="array" aca="1" ref="P4" ca="1">IF(N4="","",IF(ISERROR(INDEX(Well_Data_NK_Upcoming!Well_Type,MATCH(1,IF($B4=Well_Data_NK_Upcoming!RIG,IF(Well_Data_NK_Upcoming!Auto_Update_Rig_Schedule=2,1)),0))),"",(INDEX(Well_Data_NK_Upcoming!Well_Type,MATCH(1,IF($B4=Well_Data_NK_Upcoming!RIG,IF(Well_Data_NK_Upcoming!Auto_Update_Rig_Schedule=2,1)),0)))))</f>
        <v>AD-0008-ZU-ST-Inj</v>
      </c>
      <c r="Q4" s="418">
        <f t="shared" ca="1" si="4"/>
        <v>5</v>
      </c>
      <c r="R4" s="419">
        <f t="shared" ca="1" si="17"/>
        <v>42351</v>
      </c>
      <c r="S4" s="430">
        <f t="shared" ca="1" si="5"/>
        <v>42407</v>
      </c>
      <c r="T4" s="374">
        <f ca="1">IF(N4="","",INDEX(Well_Data_NK_Upcoming!Planned_Spud_to_RR,MATCH(RigScheduleTest!O4,Well_Data_NK_Upcoming!Concatenated_Wellname,0)))</f>
        <v>56</v>
      </c>
      <c r="U4" s="374" t="str">
        <f t="array" aca="1" ref="U4" ca="1">IF(ISERROR(INDEX(Well_Data_NK_Upcoming!Concatenated_Wellname,MATCH(1,IF($B4=Well_Data_NK_Upcoming!RIG,IF(Well_Data_NK_Upcoming!Auto_Update_Rig_Schedule=3,1)),0))),"",(INDEX(Well_Data_NK_Upcoming!Concatenated_Wellname,MATCH(1,IF($B4=Well_Data_NK_Upcoming!RIG,IF(Well_Data_NK_Upcoming!Auto_Update_Rig_Schedule=3,1)),0))))</f>
        <v>SA5-SA-MA-Inj-ST-HZ</v>
      </c>
      <c r="V4" s="417" t="str">
        <f t="array" aca="1" ref="V4" ca="1">IF(T4="","",IF(ISERROR(INDEX(Well_Data_NK_Upcoming!Well_Type,MATCH(1,IF($B4=Well_Data_NK_Upcoming!RIG,IF(Well_Data_NK_Upcoming!Auto_Update_Rig_Schedule=3,1)),0))),"",(INDEX(Well_Data_NK_Upcoming!Well_Type,MATCH(1,IF($B4=Well_Data_NK_Upcoming!RIG,IF(Well_Data_NK_Upcoming!Auto_Update_Rig_Schedule=3,1)),0)))))</f>
        <v>SA5-MA-ST-Inj</v>
      </c>
      <c r="W4" s="418">
        <f t="shared" ca="1" si="6"/>
        <v>5</v>
      </c>
      <c r="X4" s="419">
        <f t="shared" ca="1" si="18"/>
        <v>42412</v>
      </c>
      <c r="Y4" s="430">
        <f t="shared" ca="1" si="7"/>
        <v>42461</v>
      </c>
      <c r="Z4" s="372">
        <f ca="1">IF(T4="","",INDEX(Well_Data_NK_Upcoming!Planned_Spud_to_RR,MATCH(RigScheduleTest!U4,Well_Data_NK_Upcoming!Concatenated_Wellname,0)))</f>
        <v>49</v>
      </c>
      <c r="AA4" s="372" t="str">
        <f t="array" aca="1" ref="AA4" ca="1">IF(ISERROR(INDEX(Well_Data_NK_Upcoming!Concatenated_Wellname,MATCH(1,IF($B4=Well_Data_NK_Upcoming!RIG,IF(Well_Data_NK_Upcoming!Auto_Update_Rig_Schedule=4,1)),0))),"",(INDEX(Well_Data_NK_Upcoming!Concatenated_Wellname,MATCH(1,IF($B4=Well_Data_NK_Upcoming!RIG,IF(Well_Data_NK_Upcoming!Auto_Update_Rig_Schedule=4,1)),0))))</f>
        <v>SA17-SA-MA-Prod-NW-HZ</v>
      </c>
      <c r="AB4" s="417" t="str">
        <f t="array" aca="1" ref="AB4" ca="1">IF(Z4="","",IF(ISERROR(INDEX(Well_Data_NK_Upcoming!Well_Type,MATCH(1,IF($B4=Well_Data_NK_Upcoming!RIG,IF(Well_Data_NK_Upcoming!Auto_Update_Rig_Schedule=4,1)),0))),"",(INDEX(Well_Data_NK_Upcoming!Well_Type,MATCH(1,IF($B4=Well_Data_NK_Upcoming!RIG,IF(Well_Data_NK_Upcoming!Auto_Update_Rig_Schedule=4,1)),0)))))</f>
        <v>SA17-MA-NW-Prod</v>
      </c>
      <c r="AC4" s="418">
        <f t="shared" ca="1" si="19"/>
        <v>5</v>
      </c>
      <c r="AD4" s="419">
        <f t="shared" ca="1" si="20"/>
        <v>42466</v>
      </c>
      <c r="AE4" s="430">
        <f t="shared" ca="1" si="8"/>
        <v>42536</v>
      </c>
      <c r="AF4" s="372">
        <f ca="1">IF(Z4="","",INDEX(Well_Data_NK_Upcoming!Planned_Spud_to_RR,MATCH(RigScheduleTest!AA4,Well_Data_NK_Upcoming!Concatenated_Wellname,0)))</f>
        <v>70</v>
      </c>
      <c r="AG4" s="372" t="str">
        <f t="array" aca="1" ref="AG4" ca="1">IF(ISERROR(INDEX(Well_Data_NK_Upcoming!Concatenated_Wellname,MATCH(1,IF($B4=Well_Data_NK_Upcoming!RIG,IF(Well_Data_NK_Upcoming!Auto_Update_Rig_Schedule=5,1)),0))),"",(INDEX(Well_Data_NK_Upcoming!Concatenated_Wellname,MATCH(1,IF($B4=Well_Data_NK_Upcoming!RIG,IF(Well_Data_NK_Upcoming!Auto_Update_Rig_Schedule=5,1)),0))))</f>
        <v>RA17-RA-MA-Inj-NW-HZ-SLB</v>
      </c>
      <c r="AH4" s="417" t="str">
        <f t="array" aca="1" ref="AH4" ca="1">IF(AF4="","",IF(ISERROR(INDEX(Well_Data_NK_Upcoming!Well_Type,MATCH(1,IF($B4=Well_Data_NK_Upcoming!RIG,IF(Well_Data_NK_Upcoming!Auto_Update_Rig_Schedule=5,1)),0))),"",(INDEX(Well_Data_NK_Upcoming!Well_Type,MATCH(1,IF($B4=Well_Data_NK_Upcoming!RIG,IF(Well_Data_NK_Upcoming!Auto_Update_Rig_Schedule=5,1)),0)))))</f>
        <v>RA17-MA-NW-Inj</v>
      </c>
      <c r="AI4" s="418">
        <f t="shared" ca="1" si="21"/>
        <v>5</v>
      </c>
      <c r="AJ4" s="419">
        <f t="shared" ca="1" si="22"/>
        <v>42541</v>
      </c>
      <c r="AK4" s="430">
        <f t="shared" ca="1" si="9"/>
        <v>42604</v>
      </c>
      <c r="AL4" s="372">
        <f ca="1">IF(Z4="","",INDEX(Well_Data_NK_Upcoming!Planned_Spud_to_RR,MATCH(RigScheduleTest!AG4,Well_Data_NK_Upcoming!Concatenated_Wellname,0)))</f>
        <v>63</v>
      </c>
      <c r="AM4" s="372" t="str">
        <f t="array" aca="1" ref="AM4" ca="1">IF(ISERROR(INDEX(Well_Data_NK_Upcoming!Concatenated_Wellname,MATCH(1,IF($B4=Well_Data_NK_Upcoming!RIG,IF(Well_Data_NK_Upcoming!Auto_Update_Rig_Schedule=6,1)),0))),"",(INDEX(Well_Data_NK_Upcoming!Concatenated_Wellname,MATCH(1,IF($B4=Well_Data_NK_Upcoming!RIG,IF(Well_Data_NK_Upcoming!Auto_Update_Rig_Schedule=6,1)),0))))</f>
        <v>SA46-SA-LB-Prod-NW-SL</v>
      </c>
      <c r="AN4" s="417" t="str">
        <f t="array" aca="1" ref="AN4" ca="1">IF(AL4="","",IF(ISERROR(INDEX(Well_Data_NK_Upcoming!Well_Type,MATCH(1,IF($B4=Well_Data_NK_Upcoming!RIG,IF(Well_Data_NK_Upcoming!Auto_Update_Rig_Schedule=6,1)),0))),"",(INDEX(Well_Data_NK_Upcoming!Well_Type,MATCH(1,IF($B4=Well_Data_NK_Upcoming!RIG,IF(Well_Data_NK_Upcoming!Auto_Update_Rig_Schedule=6,1)),0)))))</f>
        <v>SA46-LB-NW-Prod</v>
      </c>
      <c r="AO4" s="418">
        <f t="shared" ca="1" si="23"/>
        <v>5</v>
      </c>
      <c r="AP4" s="419">
        <f t="shared" ca="1" si="24"/>
        <v>42609</v>
      </c>
      <c r="AQ4" s="430">
        <f t="shared" ca="1" si="10"/>
        <v>42679</v>
      </c>
      <c r="AR4" s="373">
        <f ca="1">IF(AL4="","",INDEX(Well_Data_NK_Upcoming!Planned_Spud_to_RR,MATCH(RigScheduleTest!AM4,Well_Data_NK_Upcoming!Concatenated_Wellname,0)))</f>
        <v>70</v>
      </c>
      <c r="AS4" s="417" t="str">
        <f t="array" aca="1" ref="AS4" ca="1">IF(ISERROR(INDEX(Well_Data_NK_Upcoming!Concatenated_Wellname,MATCH(1,IF($B4=Well_Data_NK_Upcoming!RIG,IF(Well_Data_NK_Upcoming!Auto_Update_Rig_Schedule=7,1)),0))),"",(INDEX(Well_Data_NK_Upcoming!Concatenated_Wellname,MATCH(1,IF($B4=Well_Data_NK_Upcoming!RIG,IF(Well_Data_NK_Upcoming!Auto_Update_Rig_Schedule=7,1)),0))))</f>
        <v>SA53-SA-UB-Inj-NW-SL</v>
      </c>
      <c r="AT4" s="417" t="str">
        <f t="array" aca="1" ref="AT4" ca="1">IF(AR4="","",IF(ISERROR(INDEX(Well_Data_NK_Upcoming!Well_Type,MATCH(1,IF($B4=Well_Data_NK_Upcoming!RIG,IF(Well_Data_NK_Upcoming!Auto_Update_Rig_Schedule=7,1)),0))),"",(INDEX(Well_Data_NK_Upcoming!Well_Type,MATCH(1,IF($B4=Well_Data_NK_Upcoming!RIG,IF(Well_Data_NK_Upcoming!Auto_Update_Rig_Schedule=7,1)),0)))))</f>
        <v>SA53-UB-NW-Inj</v>
      </c>
      <c r="AU4" s="418">
        <f t="shared" ca="1" si="25"/>
        <v>5</v>
      </c>
      <c r="AV4" s="419">
        <f t="shared" ca="1" si="26"/>
        <v>42684</v>
      </c>
      <c r="AW4" s="430">
        <f t="shared" ca="1" si="11"/>
        <v>42754</v>
      </c>
      <c r="AX4" s="342">
        <f ca="1">IF(AR4="","",INDEX(Well_Data_NK_Upcoming!Planned_Spud_to_RR,MATCH(RigScheduleTest!AS4,Well_Data_NK_Upcoming!Concatenated_Wellname,0)))</f>
        <v>70</v>
      </c>
      <c r="AY4" s="417" t="str">
        <f t="array" aca="1" ref="AY4" ca="1">IF(ISERROR(INDEX(Well_Data_NK_Upcoming!Concatenated_Wellname,MATCH(1,IF($B4=Well_Data_NK_Upcoming!RIG,IF(Well_Data_NK_Upcoming!Auto_Update_Rig_Schedule=8,1)),0))),"",(INDEX(Well_Data_NK_Upcoming!Concatenated_Wellname,MATCH(1,IF($B4=Well_Data_NK_Upcoming!RIG,IF(Well_Data_NK_Upcoming!Auto_Update_Rig_Schedule=8,1)),0))))</f>
        <v>SA-0600-SA-MA-Prod-NW-HZ-Baker</v>
      </c>
      <c r="AZ4" s="417" t="str">
        <f t="array" aca="1" ref="AZ4" ca="1">IF(AX4="","",IF(ISERROR(INDEX(Well_Data_NK_Upcoming!Well_Type,MATCH(1,IF($B4=Well_Data_NK_Upcoming!RIG,IF(Well_Data_NK_Upcoming!Auto_Update_Rig_Schedule=8,1)),0))),"",(INDEX(Well_Data_NK_Upcoming!Well_Type,MATCH(1,IF($B4=Well_Data_NK_Upcoming!RIG,IF(Well_Data_NK_Upcoming!Auto_Update_Rig_Schedule=8,1)),0)))))</f>
        <v>SA-0600-MA-NW-Prod</v>
      </c>
      <c r="BA4" s="418">
        <f t="shared" ca="1" si="27"/>
        <v>5</v>
      </c>
      <c r="BB4" s="419">
        <f t="shared" ca="1" si="28"/>
        <v>42759</v>
      </c>
      <c r="BC4" s="430">
        <f t="shared" ca="1" si="12"/>
        <v>42829</v>
      </c>
      <c r="BD4" s="342">
        <f ca="1">IF(AX4="","",INDEX(Well_Data_NK_Upcoming!Planned_Spud_to_RR,MATCH(RigScheduleTest!AY4,Well_Data_NK_Upcoming!Concatenated_Wellname,0)))</f>
        <v>70</v>
      </c>
      <c r="BE4" s="417" t="str">
        <f t="array" aca="1" ref="BE4" ca="1">IF(ISERROR(INDEX(Well_Data_NK_Upcoming!Concatenated_Wellname,MATCH(1,IF($B4=Well_Data_NK_Upcoming!RIG,IF(Well_Data_NK_Upcoming!Auto_Update_Rig_Schedule=9,1)),0))),"",(INDEX(Well_Data_NK_Upcoming!Concatenated_Wellname,MATCH(1,IF($B4=Well_Data_NK_Upcoming!RIG,IF(Well_Data_NK_Upcoming!Auto_Update_Rig_Schedule=9,1)),0))))</f>
        <v>RQ-0180-RQ-ZU-Prod-NW</v>
      </c>
      <c r="BF4" s="417" t="str">
        <f t="array" aca="1" ref="BF4" ca="1">IF(BD4="","",IF(ISERROR(INDEX(Well_Data_NK_Upcoming!Well_Type,MATCH(1,IF($B4=Well_Data_NK_Upcoming!RIG,IF(Well_Data_NK_Upcoming!Auto_Update_Rig_Schedule=9,1)),0))),"",(INDEX(Well_Data_NK_Upcoming!Well_Type,MATCH(1,IF($B4=Well_Data_NK_Upcoming!RIG,IF(Well_Data_NK_Upcoming!Auto_Update_Rig_Schedule=9,1)),0)))))</f>
        <v>RQ-0180-ZU-NW-Prod</v>
      </c>
      <c r="BG4" s="418">
        <f t="shared" ca="1" si="29"/>
        <v>5</v>
      </c>
      <c r="BH4" s="419">
        <f t="shared" ca="1" si="30"/>
        <v>42834</v>
      </c>
      <c r="BI4" s="430">
        <f t="shared" ca="1" si="13"/>
        <v>42932</v>
      </c>
      <c r="BJ4" s="342">
        <f ca="1">IF(BD4="","",INDEX(Well_Data_NK_Upcoming!Planned_Spud_to_RR,MATCH(RigScheduleTest!BE4,Well_Data_NK_Upcoming!Concatenated_Wellname,0)))</f>
        <v>98</v>
      </c>
      <c r="BK4" s="417" t="str">
        <f t="array" aca="1" ref="BK4" ca="1">IF(ISERROR(INDEX(Well_Data_NK_Upcoming!Concatenated_Wellname,MATCH(1,IF($B4=Well_Data_NK_Upcoming!RIG,IF(Well_Data_NK_Upcoming!Auto_Update_Rig_Schedule=10,1)),0))),"",(INDEX(Well_Data_NK_Upcoming!Concatenated_Wellname,MATCH(1,IF($B4=Well_Data_NK_Upcoming!RIG,IF(Well_Data_NK_Upcoming!Auto_Update_Rig_Schedule=10,1)),0))))</f>
        <v/>
      </c>
      <c r="BL4" s="417" t="str">
        <f t="array" aca="1" ref="BL4" ca="1">IF(BJ4="","",IF(ISERROR(INDEX(Well_Data_NK_Upcoming!Well_Type,MATCH(1,IF($B4=Well_Data_NK_Upcoming!RIG,IF(Well_Data_NK_Upcoming!Auto_Update_Rig_Schedule=10,1)),0))),"",(INDEX(Well_Data_NK_Upcoming!Well_Type,MATCH(1,IF($B4=Well_Data_NK_Upcoming!RIG,IF(Well_Data_NK_Upcoming!Auto_Update_Rig_Schedule=10,1)),0)))))</f>
        <v/>
      </c>
      <c r="BM4" s="418" t="str">
        <f t="shared" ca="1" si="31"/>
        <v/>
      </c>
      <c r="BN4" s="419" t="str">
        <f t="shared" ca="1" si="32"/>
        <v/>
      </c>
      <c r="BO4" s="430" t="str">
        <f t="shared" ca="1" si="14"/>
        <v/>
      </c>
      <c r="BP4" s="342" t="str">
        <f ca="1">IF(BJ4="","",INDEX(Well_Data_NK_Upcoming!Planned_Spud_to_RR,MATCH(RigScheduleTest!BK4,Well_Data_NK_Upcoming!Concatenated_Wellname,0)))</f>
        <v/>
      </c>
    </row>
    <row r="5" spans="1:68" ht="15" x14ac:dyDescent="0.25">
      <c r="A5" s="429" t="str">
        <f t="shared" ca="1" si="0"/>
        <v/>
      </c>
      <c r="B5" s="425" t="s">
        <v>46</v>
      </c>
      <c r="C5" s="340" t="str">
        <f t="array" aca="1" ref="C5" ca="1">IF(ISERROR(INDEX(Well_Data_NK_Upcoming!WELL,MATCH(1,IF($B5=Well_Data_NK_Upcoming!RIG,IF(Well_Data_NK_Upcoming!Auto_Update_Rig_Schedule=0,1)),0))),"",(INDEX(Well_Data_NK_Upcoming!WELL,MATCH(1,IF($B5=Well_Data_NK_Upcoming!RIG,IF(Well_Data_NK_Upcoming!Auto_Update_Rig_Schedule=0,1)),0))))</f>
        <v/>
      </c>
      <c r="D5" s="424" t="str">
        <f ca="1">INDEX(Well_Data_NK_Upcoming!Concatenated_Wellname,MATCH(RigScheduleTest!A5,Well_Data_NK_Upcoming!Well_Rig,0))</f>
        <v/>
      </c>
      <c r="E5" s="423" t="str">
        <f ca="1">INDEX(Well_Data_NK_Upcoming!Well_Type,MATCH(RigScheduleTest!A5,Well_Data_NK_Upcoming!Well_Rig,0))</f>
        <v/>
      </c>
      <c r="F5" s="341">
        <f t="shared" si="15"/>
        <v>42233</v>
      </c>
      <c r="G5" s="343" t="str">
        <f ca="1">IF(ISERROR(INDEX(Well_Data_NK_Upcoming!Updated_Drill_Days,MATCH(RigScheduleTest!A5,Well_Data_NK_Upcoming!Well_Rig,0))),"",(INDEX(Well_Data_NK_Upcoming!Updated_Drill_Days,MATCH(RigScheduleTest!A5,Well_Data_NK_Upcoming!Well_Rig,0))))</f>
        <v>N/A</v>
      </c>
      <c r="H5" s="422" t="str">
        <f ca="1">IF(G5="N/A","",IF(F5&lt;&gt;"",$G$26+G5,""))</f>
        <v/>
      </c>
      <c r="I5" s="342" t="str">
        <f t="array" aca="1" ref="I5" ca="1">IF(ISERROR(INDEX(Well_Data_NK_Upcoming!Concatenated_Wellname,MATCH(1,IF($B5=Well_Data_NK_Upcoming!RIG,IF(Well_Data_NK_Upcoming!Auto_Update_Rig_Schedule=1,1)),0))),"",(INDEX(Well_Data_NK_Upcoming!Concatenated_Wellname,MATCH(1,IF($B5=Well_Data_NK_Upcoming!RIG,IF(Well_Data_NK_Upcoming!Auto_Update_Rig_Schedule=1,1)),0))))</f>
        <v>Rig_Expired</v>
      </c>
      <c r="J5" s="417" t="str">
        <f t="array" aca="1" ref="J5" ca="1">IF(G5="","",IF(ISERROR(INDEX(Well_Data_NK_Upcoming!Well_Type,MATCH(1,IF($B5=Well_Data_NK_Upcoming!RIG,IF(Well_Data_NK_Upcoming!Auto_Update_Rig_Schedule=1,1)),0))),"",(INDEX(Well_Data_NK_Upcoming!Well_Type,MATCH(1,IF($B5=Well_Data_NK_Upcoming!RIG,IF(Well_Data_NK_Upcoming!Auto_Update_Rig_Schedule=1,1)),0)))))</f>
        <v>Rig_Expired</v>
      </c>
      <c r="K5" s="418" t="str">
        <f t="shared" ca="1" si="2"/>
        <v/>
      </c>
      <c r="L5" s="419" t="str">
        <f ca="1">IF(J5="","",IF(I5="","",IF(ISERROR(H5+K5),"",H5+K5)))</f>
        <v/>
      </c>
      <c r="M5" s="430" t="str">
        <f ca="1">IF(L5="","",L5+N5)</f>
        <v/>
      </c>
      <c r="N5" s="342" t="str">
        <f ca="1">IF(G5="","",INDEX(Well_Data_NK_Upcoming!Planned_Spud_to_RR,MATCH(RigScheduleTest!I5,Well_Data_NK_Upcoming!Concatenated_Wellname,0)))</f>
        <v/>
      </c>
      <c r="O5" s="342" t="str">
        <f t="array" aca="1" ref="O5" ca="1">IF(ISERROR(INDEX(Well_Data_NK_Upcoming!Concatenated_Wellname,MATCH(1,IF($B5=Well_Data_NK_Upcoming!RIG,IF(Well_Data_NK_Upcoming!Auto_Update_Rig_Schedule=2,1)),0))),"",(INDEX(Well_Data_NK_Upcoming!Concatenated_Wellname,MATCH(1,IF($B5=Well_Data_NK_Upcoming!RIG,IF(Well_Data_NK_Upcoming!Auto_Update_Rig_Schedule=2,1)),0))))</f>
        <v/>
      </c>
      <c r="P5" s="417" t="str">
        <f t="array" aca="1" ref="P5" ca="1">IF(N5="","",IF(ISERROR(INDEX(Well_Data_NK_Upcoming!Well_Type,MATCH(1,IF($B5=Well_Data_NK_Upcoming!RIG,IF(Well_Data_NK_Upcoming!Auto_Update_Rig_Schedule=2,1)),0))),"",(INDEX(Well_Data_NK_Upcoming!Well_Type,MATCH(1,IF($B5=Well_Data_NK_Upcoming!RIG,IF(Well_Data_NK_Upcoming!Auto_Update_Rig_Schedule=2,1)),0)))))</f>
        <v/>
      </c>
      <c r="Q5" s="418" t="str">
        <f t="shared" ca="1" si="4"/>
        <v/>
      </c>
      <c r="R5" s="419" t="str">
        <f t="shared" ca="1" si="17"/>
        <v/>
      </c>
      <c r="S5" s="430" t="str">
        <f t="shared" ca="1" si="5"/>
        <v/>
      </c>
      <c r="T5" s="342" t="str">
        <f ca="1">IF(N5="","",INDEX(Well_Data_NK_Upcoming!Planned_Spud_to_RR,MATCH(RigScheduleTest!O5,Well_Data_NK_Upcoming!Concatenated_Wellname,0)))</f>
        <v/>
      </c>
      <c r="U5" s="342" t="str">
        <f t="array" aca="1" ref="U5" ca="1">IF(ISERROR(INDEX(Well_Data_NK_Upcoming!Concatenated_Wellname,MATCH(1,IF($B5=Well_Data_NK_Upcoming!RIG,IF(Well_Data_NK_Upcoming!Auto_Update_Rig_Schedule=3,1)),0))),"",(INDEX(Well_Data_NK_Upcoming!Concatenated_Wellname,MATCH(1,IF($B5=Well_Data_NK_Upcoming!RIG,IF(Well_Data_NK_Upcoming!Auto_Update_Rig_Schedule=3,1)),0))))</f>
        <v/>
      </c>
      <c r="V5" s="417" t="str">
        <f t="array" aca="1" ref="V5" ca="1">IF(T5="","",IF(ISERROR(INDEX(Well_Data_NK_Upcoming!Well_Type,MATCH(1,IF($B5=Well_Data_NK_Upcoming!RIG,IF(Well_Data_NK_Upcoming!Auto_Update_Rig_Schedule=3,1)),0))),"",(INDEX(Well_Data_NK_Upcoming!Well_Type,MATCH(1,IF($B5=Well_Data_NK_Upcoming!RIG,IF(Well_Data_NK_Upcoming!Auto_Update_Rig_Schedule=3,1)),0)))))</f>
        <v/>
      </c>
      <c r="W5" s="418" t="str">
        <f t="shared" ca="1" si="6"/>
        <v/>
      </c>
      <c r="X5" s="419" t="str">
        <f t="shared" ca="1" si="18"/>
        <v/>
      </c>
      <c r="Y5" s="430" t="str">
        <f t="shared" ca="1" si="7"/>
        <v/>
      </c>
      <c r="Z5" s="342" t="str">
        <f ca="1">IF(T5="","",INDEX(Well_Data_NK_Upcoming!Planned_Spud_to_RR,MATCH(RigScheduleTest!U5,Well_Data_NK_Upcoming!Concatenated_Wellname,0)))</f>
        <v/>
      </c>
      <c r="AA5" s="342" t="str">
        <f t="array" aca="1" ref="AA5" ca="1">IF(ISERROR(INDEX(Well_Data_NK_Upcoming!Concatenated_Wellname,MATCH(1,IF($B5=Well_Data_NK_Upcoming!RIG,IF(Well_Data_NK_Upcoming!Auto_Update_Rig_Schedule=4,1)),0))),"",(INDEX(Well_Data_NK_Upcoming!Concatenated_Wellname,MATCH(1,IF($B5=Well_Data_NK_Upcoming!RIG,IF(Well_Data_NK_Upcoming!Auto_Update_Rig_Schedule=4,1)),0))))</f>
        <v/>
      </c>
      <c r="AB5" s="417" t="str">
        <f t="array" aca="1" ref="AB5" ca="1">IF(Z5="","",IF(ISERROR(INDEX(Well_Data_NK_Upcoming!Well_Type,MATCH(1,IF($B5=Well_Data_NK_Upcoming!RIG,IF(Well_Data_NK_Upcoming!Auto_Update_Rig_Schedule=4,1)),0))),"",(INDEX(Well_Data_NK_Upcoming!Well_Type,MATCH(1,IF($B5=Well_Data_NK_Upcoming!RIG,IF(Well_Data_NK_Upcoming!Auto_Update_Rig_Schedule=4,1)),0)))))</f>
        <v/>
      </c>
      <c r="AC5" s="418" t="str">
        <f t="shared" ca="1" si="19"/>
        <v/>
      </c>
      <c r="AD5" s="419" t="str">
        <f t="shared" ca="1" si="20"/>
        <v/>
      </c>
      <c r="AE5" s="430" t="str">
        <f t="shared" ca="1" si="8"/>
        <v/>
      </c>
      <c r="AF5" s="342" t="str">
        <f ca="1">IF(Z5="","",INDEX(Well_Data_NK_Upcoming!Planned_Spud_to_RR,MATCH(RigScheduleTest!AA5,Well_Data_NK_Upcoming!Concatenated_Wellname,0)))</f>
        <v/>
      </c>
      <c r="AG5" s="342" t="str">
        <f t="array" aca="1" ref="AG5" ca="1">IF(ISERROR(INDEX(Well_Data_NK_Upcoming!Concatenated_Wellname,MATCH(1,IF($B5=Well_Data_NK_Upcoming!RIG,IF(Well_Data_NK_Upcoming!Auto_Update_Rig_Schedule=5,1)),0))),"",(INDEX(Well_Data_NK_Upcoming!Concatenated_Wellname,MATCH(1,IF($B5=Well_Data_NK_Upcoming!RIG,IF(Well_Data_NK_Upcoming!Auto_Update_Rig_Schedule=5,1)),0))))</f>
        <v/>
      </c>
      <c r="AH5" s="417" t="str">
        <f t="array" aca="1" ref="AH5" ca="1">IF(AF5="","",IF(ISERROR(INDEX(Well_Data_NK_Upcoming!Well_Type,MATCH(1,IF($B5=Well_Data_NK_Upcoming!RIG,IF(Well_Data_NK_Upcoming!Auto_Update_Rig_Schedule=5,1)),0))),"",(INDEX(Well_Data_NK_Upcoming!Well_Type,MATCH(1,IF($B5=Well_Data_NK_Upcoming!RIG,IF(Well_Data_NK_Upcoming!Auto_Update_Rig_Schedule=5,1)),0)))))</f>
        <v/>
      </c>
      <c r="AI5" s="418" t="str">
        <f t="shared" ca="1" si="21"/>
        <v/>
      </c>
      <c r="AJ5" s="419" t="str">
        <f t="shared" ca="1" si="22"/>
        <v/>
      </c>
      <c r="AK5" s="430" t="str">
        <f t="shared" ca="1" si="9"/>
        <v/>
      </c>
      <c r="AL5" s="342" t="str">
        <f ca="1">IF(Z5="","",INDEX(Well_Data_NK_Upcoming!Planned_Spud_to_RR,MATCH(RigScheduleTest!AG5,Well_Data_NK_Upcoming!Concatenated_Wellname,0)))</f>
        <v/>
      </c>
      <c r="AM5" s="342" t="str">
        <f t="array" aca="1" ref="AM5" ca="1">IF(ISERROR(INDEX(Well_Data_NK_Upcoming!Concatenated_Wellname,MATCH(1,IF($B5=Well_Data_NK_Upcoming!RIG,IF(Well_Data_NK_Upcoming!Auto_Update_Rig_Schedule=6,1)),0))),"",(INDEX(Well_Data_NK_Upcoming!Concatenated_Wellname,MATCH(1,IF($B5=Well_Data_NK_Upcoming!RIG,IF(Well_Data_NK_Upcoming!Auto_Update_Rig_Schedule=6,1)),0))))</f>
        <v/>
      </c>
      <c r="AN5" s="417" t="str">
        <f t="array" aca="1" ref="AN5" ca="1">IF(AL5="","",IF(ISERROR(INDEX(Well_Data_NK_Upcoming!Well_Type,MATCH(1,IF($B5=Well_Data_NK_Upcoming!RIG,IF(Well_Data_NK_Upcoming!Auto_Update_Rig_Schedule=6,1)),0))),"",(INDEX(Well_Data_NK_Upcoming!Well_Type,MATCH(1,IF($B5=Well_Data_NK_Upcoming!RIG,IF(Well_Data_NK_Upcoming!Auto_Update_Rig_Schedule=6,1)),0)))))</f>
        <v/>
      </c>
      <c r="AO5" s="418" t="str">
        <f t="shared" ca="1" si="23"/>
        <v/>
      </c>
      <c r="AP5" s="419" t="str">
        <f t="shared" ca="1" si="24"/>
        <v/>
      </c>
      <c r="AQ5" s="430" t="str">
        <f t="shared" ca="1" si="10"/>
        <v/>
      </c>
      <c r="AR5" s="342" t="str">
        <f ca="1">IF(AL5="","",INDEX(Well_Data_NK_Upcoming!Planned_Spud_to_RR,MATCH(RigScheduleTest!AM5,Well_Data_NK_Upcoming!Concatenated_Wellname,0)))</f>
        <v/>
      </c>
      <c r="AS5" s="417" t="str">
        <f t="array" aca="1" ref="AS5" ca="1">IF(ISERROR(INDEX(Well_Data_NK_Upcoming!Concatenated_Wellname,MATCH(1,IF($B5=Well_Data_NK_Upcoming!RIG,IF(Well_Data_NK_Upcoming!Auto_Update_Rig_Schedule=7,1)),0))),"",(INDEX(Well_Data_NK_Upcoming!Concatenated_Wellname,MATCH(1,IF($B5=Well_Data_NK_Upcoming!RIG,IF(Well_Data_NK_Upcoming!Auto_Update_Rig_Schedule=7,1)),0))))</f>
        <v/>
      </c>
      <c r="AT5" s="417" t="str">
        <f t="array" aca="1" ref="AT5" ca="1">IF(AR5="","",IF(ISERROR(INDEX(Well_Data_NK_Upcoming!Well_Type,MATCH(1,IF($B5=Well_Data_NK_Upcoming!RIG,IF(Well_Data_NK_Upcoming!Auto_Update_Rig_Schedule=7,1)),0))),"",(INDEX(Well_Data_NK_Upcoming!Well_Type,MATCH(1,IF($B5=Well_Data_NK_Upcoming!RIG,IF(Well_Data_NK_Upcoming!Auto_Update_Rig_Schedule=7,1)),0)))))</f>
        <v/>
      </c>
      <c r="AU5" s="418" t="str">
        <f t="shared" ca="1" si="25"/>
        <v/>
      </c>
      <c r="AV5" s="419" t="str">
        <f t="shared" ca="1" si="26"/>
        <v/>
      </c>
      <c r="AW5" s="430" t="str">
        <f t="shared" ca="1" si="11"/>
        <v/>
      </c>
      <c r="AX5" s="342" t="str">
        <f ca="1">IF(AR5="","",INDEX(Well_Data_NK_Upcoming!Planned_Spud_to_RR,MATCH(RigScheduleTest!AS5,Well_Data_NK_Upcoming!Concatenated_Wellname,0)))</f>
        <v/>
      </c>
      <c r="AY5" s="417" t="str">
        <f t="array" aca="1" ref="AY5" ca="1">IF(ISERROR(INDEX(Well_Data_NK_Upcoming!Concatenated_Wellname,MATCH(1,IF($B5=Well_Data_NK_Upcoming!RIG,IF(Well_Data_NK_Upcoming!Auto_Update_Rig_Schedule=8,1)),0))),"",(INDEX(Well_Data_NK_Upcoming!Concatenated_Wellname,MATCH(1,IF($B5=Well_Data_NK_Upcoming!RIG,IF(Well_Data_NK_Upcoming!Auto_Update_Rig_Schedule=8,1)),0))))</f>
        <v/>
      </c>
      <c r="AZ5" s="417" t="str">
        <f t="array" aca="1" ref="AZ5" ca="1">IF(AX5="","",IF(ISERROR(INDEX(Well_Data_NK_Upcoming!Well_Type,MATCH(1,IF($B5=Well_Data_NK_Upcoming!RIG,IF(Well_Data_NK_Upcoming!Auto_Update_Rig_Schedule=8,1)),0))),"",(INDEX(Well_Data_NK_Upcoming!Well_Type,MATCH(1,IF($B5=Well_Data_NK_Upcoming!RIG,IF(Well_Data_NK_Upcoming!Auto_Update_Rig_Schedule=8,1)),0)))))</f>
        <v/>
      </c>
      <c r="BA5" s="418" t="str">
        <f t="shared" ca="1" si="27"/>
        <v/>
      </c>
      <c r="BB5" s="419" t="str">
        <f t="shared" ca="1" si="28"/>
        <v/>
      </c>
      <c r="BC5" s="430" t="str">
        <f t="shared" ca="1" si="12"/>
        <v/>
      </c>
      <c r="BD5" s="342" t="str">
        <f ca="1">IF(AX5="","",INDEX(Well_Data_NK_Upcoming!Planned_Spud_to_RR,MATCH(RigScheduleTest!AY5,Well_Data_NK_Upcoming!Concatenated_Wellname,0)))</f>
        <v/>
      </c>
      <c r="BE5" s="417" t="str">
        <f t="array" aca="1" ref="BE5" ca="1">IF(ISERROR(INDEX(Well_Data_NK_Upcoming!Concatenated_Wellname,MATCH(1,IF($B5=Well_Data_NK_Upcoming!RIG,IF(Well_Data_NK_Upcoming!Auto_Update_Rig_Schedule=9,1)),0))),"",(INDEX(Well_Data_NK_Upcoming!Concatenated_Wellname,MATCH(1,IF($B5=Well_Data_NK_Upcoming!RIG,IF(Well_Data_NK_Upcoming!Auto_Update_Rig_Schedule=9,1)),0))))</f>
        <v/>
      </c>
      <c r="BF5" s="417" t="str">
        <f t="array" aca="1" ref="BF5" ca="1">IF(BD5="","",IF(ISERROR(INDEX(Well_Data_NK_Upcoming!Well_Type,MATCH(1,IF($B5=Well_Data_NK_Upcoming!RIG,IF(Well_Data_NK_Upcoming!Auto_Update_Rig_Schedule=9,1)),0))),"",(INDEX(Well_Data_NK_Upcoming!Well_Type,MATCH(1,IF($B5=Well_Data_NK_Upcoming!RIG,IF(Well_Data_NK_Upcoming!Auto_Update_Rig_Schedule=9,1)),0)))))</f>
        <v/>
      </c>
      <c r="BG5" s="418" t="str">
        <f t="shared" ca="1" si="29"/>
        <v/>
      </c>
      <c r="BH5" s="419" t="str">
        <f t="shared" ca="1" si="30"/>
        <v/>
      </c>
      <c r="BI5" s="430" t="str">
        <f t="shared" ca="1" si="13"/>
        <v/>
      </c>
      <c r="BJ5" s="342" t="str">
        <f ca="1">IF(BD5="","",INDEX(Well_Data_NK_Upcoming!Planned_Spud_to_RR,MATCH(RigScheduleTest!BE5,Well_Data_NK_Upcoming!Concatenated_Wellname,0)))</f>
        <v/>
      </c>
      <c r="BK5" s="417" t="str">
        <f t="array" aca="1" ref="BK5" ca="1">IF(ISERROR(INDEX(Well_Data_NK_Upcoming!Concatenated_Wellname,MATCH(1,IF($B5=Well_Data_NK_Upcoming!RIG,IF(Well_Data_NK_Upcoming!Auto_Update_Rig_Schedule=10,1)),0))),"",(INDEX(Well_Data_NK_Upcoming!Concatenated_Wellname,MATCH(1,IF($B5=Well_Data_NK_Upcoming!RIG,IF(Well_Data_NK_Upcoming!Auto_Update_Rig_Schedule=10,1)),0))))</f>
        <v/>
      </c>
      <c r="BL5" s="417" t="str">
        <f t="array" aca="1" ref="BL5" ca="1">IF(BJ5="","",IF(ISERROR(INDEX(Well_Data_NK_Upcoming!Well_Type,MATCH(1,IF($B5=Well_Data_NK_Upcoming!RIG,IF(Well_Data_NK_Upcoming!Auto_Update_Rig_Schedule=10,1)),0))),"",(INDEX(Well_Data_NK_Upcoming!Well_Type,MATCH(1,IF($B5=Well_Data_NK_Upcoming!RIG,IF(Well_Data_NK_Upcoming!Auto_Update_Rig_Schedule=10,1)),0)))))</f>
        <v/>
      </c>
      <c r="BM5" s="418" t="str">
        <f t="shared" ca="1" si="31"/>
        <v/>
      </c>
      <c r="BN5" s="419" t="str">
        <f t="shared" ca="1" si="32"/>
        <v/>
      </c>
      <c r="BO5" s="430" t="str">
        <f t="shared" ca="1" si="14"/>
        <v/>
      </c>
      <c r="BP5" s="342" t="str">
        <f ca="1">IF(BJ5="","",INDEX(Well_Data_NK_Upcoming!Planned_Spud_to_RR,MATCH(RigScheduleTest!BK5,Well_Data_NK_Upcoming!Concatenated_Wellname,0)))</f>
        <v/>
      </c>
    </row>
    <row r="6" spans="1:68" ht="15" x14ac:dyDescent="0.25">
      <c r="A6" s="429" t="str">
        <f t="shared" ca="1" si="0"/>
        <v>ETA-OCT-KDC-44</v>
      </c>
      <c r="B6" s="425" t="s">
        <v>19</v>
      </c>
      <c r="C6" s="340" t="str">
        <f t="array" aca="1" ref="C6" ca="1">IF(ISERROR(INDEX(Well_Data_NK_Upcoming!WELL,MATCH(1,IF($B6=Well_Data_NK_Upcoming!RIG,IF(Well_Data_NK_Upcoming!Auto_Update_Rig_Schedule=0,1)),0))),"",(INDEX(Well_Data_NK_Upcoming!WELL,MATCH(1,IF($B6=Well_Data_NK_Upcoming!RIG,IF(Well_Data_NK_Upcoming!Auto_Update_Rig_Schedule=0,1)),0))))</f>
        <v>ETA-OCT</v>
      </c>
      <c r="D6" s="424" t="str">
        <f ca="1">INDEX(Well_Data_NK_Upcoming!Concatenated_Wellname,MATCH(RigScheduleTest!A6,Well_Data_NK_Upcoming!Well_Rig,0))</f>
        <v>ETA-OCT</v>
      </c>
      <c r="E6" s="423" t="str">
        <f ca="1">INDEX(Well_Data_NK_Upcoming!Well_Type,MATCH(RigScheduleTest!A6,Well_Data_NK_Upcoming!Well_Rig,0))</f>
        <v>ETA-OCT</v>
      </c>
      <c r="F6" s="341">
        <f t="shared" si="15"/>
        <v>42233</v>
      </c>
      <c r="G6" s="343">
        <f ca="1">IF(ISERROR(INDEX(Well_Data_NK_Upcoming!Updated_Drill_Days,MATCH(RigScheduleTest!A6,Well_Data_NK_Upcoming!Well_Rig,0))),"",(INDEX(Well_Data_NK_Upcoming!Updated_Drill_Days,MATCH(RigScheduleTest!A6,Well_Data_NK_Upcoming!Well_Rig,0))))</f>
        <v>53</v>
      </c>
      <c r="H6" s="422">
        <f t="shared" ref="H6:H22" ca="1" si="33">IF(G6="N/A","",IF(F6&lt;&gt;"",$G$26+G6,""))</f>
        <v>42286</v>
      </c>
      <c r="I6" s="372" t="str">
        <f t="array" aca="1" ref="I6" ca="1">IF(ISERROR(INDEX(Well_Data_NK_Upcoming!Concatenated_Wellname,MATCH(1,IF($B6=Well_Data_NK_Upcoming!RIG,IF(Well_Data_NK_Upcoming!Auto_Update_Rig_Schedule=1,1)),0))),"",(INDEX(Well_Data_NK_Upcoming!Concatenated_Wellname,MATCH(1,IF($B6=Well_Data_NK_Upcoming!RIG,IF(Well_Data_NK_Upcoming!Auto_Update_Rig_Schedule=1,1)),0))))</f>
        <v>SA-0589-SA-MA-Inj-NW-HZ</v>
      </c>
      <c r="J6" s="417" t="str">
        <f t="array" aca="1" ref="J6" ca="1">IF(G6="","",IF(ISERROR(INDEX(Well_Data_NK_Upcoming!Well_Type,MATCH(1,IF($B6=Well_Data_NK_Upcoming!RIG,IF(Well_Data_NK_Upcoming!Auto_Update_Rig_Schedule=1,1)),0))),"",(INDEX(Well_Data_NK_Upcoming!Well_Type,MATCH(1,IF($B6=Well_Data_NK_Upcoming!RIG,IF(Well_Data_NK_Upcoming!Auto_Update_Rig_Schedule=1,1)),0)))))</f>
        <v>SA-0589-MA-NW-Inj</v>
      </c>
      <c r="K6" s="418">
        <f t="shared" ca="1" si="2"/>
        <v>5</v>
      </c>
      <c r="L6" s="419">
        <f t="shared" ca="1" si="16"/>
        <v>42291</v>
      </c>
      <c r="M6" s="430">
        <f t="shared" ref="M6:M22" ca="1" si="34">IF(L6="","",L6+N6)</f>
        <v>42354</v>
      </c>
      <c r="N6" s="372">
        <f ca="1">IF(G6="","",INDEX(Well_Data_NK_Upcoming!Planned_Spud_to_RR,MATCH(RigScheduleTest!I6,Well_Data_NK_Upcoming!Concatenated_Wellname,0)))</f>
        <v>63</v>
      </c>
      <c r="O6" s="374" t="str">
        <f t="array" aca="1" ref="O6" ca="1">IF(ISERROR(INDEX(Well_Data_NK_Upcoming!Concatenated_Wellname,MATCH(1,IF($B6=Well_Data_NK_Upcoming!RIG,IF(Well_Data_NK_Upcoming!Auto_Update_Rig_Schedule=2,1)),0))),"",(INDEX(Well_Data_NK_Upcoming!Concatenated_Wellname,MATCH(1,IF($B6=Well_Data_NK_Upcoming!RIG,IF(Well_Data_NK_Upcoming!Auto_Update_Rig_Schedule=2,1)),0))))</f>
        <v>RA-0594-RA-ZU-Prod-NW-HZ</v>
      </c>
      <c r="P6" s="417" t="str">
        <f t="array" aca="1" ref="P6" ca="1">IF(N6="","",IF(ISERROR(INDEX(Well_Data_NK_Upcoming!Well_Type,MATCH(1,IF($B6=Well_Data_NK_Upcoming!RIG,IF(Well_Data_NK_Upcoming!Auto_Update_Rig_Schedule=2,1)),0))),"",(INDEX(Well_Data_NK_Upcoming!Well_Type,MATCH(1,IF($B6=Well_Data_NK_Upcoming!RIG,IF(Well_Data_NK_Upcoming!Auto_Update_Rig_Schedule=2,1)),0)))))</f>
        <v>RA-0594-ZU-NW-Prod</v>
      </c>
      <c r="Q6" s="418">
        <f t="shared" ca="1" si="4"/>
        <v>5</v>
      </c>
      <c r="R6" s="419">
        <f t="shared" ca="1" si="17"/>
        <v>42359</v>
      </c>
      <c r="S6" s="430">
        <f t="shared" ca="1" si="5"/>
        <v>42457</v>
      </c>
      <c r="T6" s="374">
        <f ca="1">IF(N6="","",INDEX(Well_Data_NK_Upcoming!Planned_Spud_to_RR,MATCH(RigScheduleTest!O6,Well_Data_NK_Upcoming!Concatenated_Wellname,0)))</f>
        <v>98</v>
      </c>
      <c r="U6" s="374" t="str">
        <f t="array" aca="1" ref="U6" ca="1">IF(ISERROR(INDEX(Well_Data_NK_Upcoming!Concatenated_Wellname,MATCH(1,IF($B6=Well_Data_NK_Upcoming!RIG,IF(Well_Data_NK_Upcoming!Auto_Update_Rig_Schedule=3,1)),0))),"",(INDEX(Well_Data_NK_Upcoming!Concatenated_Wellname,MATCH(1,IF($B6=Well_Data_NK_Upcoming!RIG,IF(Well_Data_NK_Upcoming!Auto_Update_Rig_Schedule=3,1)),0))))</f>
        <v>RQ-0181-RQ-ZU-Prod-NW</v>
      </c>
      <c r="V6" s="417" t="str">
        <f t="array" aca="1" ref="V6" ca="1">IF(T6="","",IF(ISERROR(INDEX(Well_Data_NK_Upcoming!Well_Type,MATCH(1,IF($B6=Well_Data_NK_Upcoming!RIG,IF(Well_Data_NK_Upcoming!Auto_Update_Rig_Schedule=3,1)),0))),"",(INDEX(Well_Data_NK_Upcoming!Well_Type,MATCH(1,IF($B6=Well_Data_NK_Upcoming!RIG,IF(Well_Data_NK_Upcoming!Auto_Update_Rig_Schedule=3,1)),0)))))</f>
        <v>RQ-0181-ZU-NW-Prod</v>
      </c>
      <c r="W6" s="418">
        <f t="shared" ca="1" si="6"/>
        <v>5</v>
      </c>
      <c r="X6" s="419">
        <f t="shared" ca="1" si="18"/>
        <v>42462</v>
      </c>
      <c r="Y6" s="430">
        <f t="shared" ca="1" si="7"/>
        <v>42560</v>
      </c>
      <c r="Z6" s="374">
        <f ca="1">IF(T6="","",INDEX(Well_Data_NK_Upcoming!Planned_Spud_to_RR,MATCH(RigScheduleTest!U6,Well_Data_NK_Upcoming!Concatenated_Wellname,0)))</f>
        <v>98</v>
      </c>
      <c r="AA6" s="342" t="str">
        <f t="array" aca="1" ref="AA6" ca="1">IF(ISERROR(INDEX(Well_Data_NK_Upcoming!Concatenated_Wellname,MATCH(1,IF($B6=Well_Data_NK_Upcoming!RIG,IF(Well_Data_NK_Upcoming!Auto_Update_Rig_Schedule=4,1)),0))),"",(INDEX(Well_Data_NK_Upcoming!Concatenated_Wellname,MATCH(1,IF($B6=Well_Data_NK_Upcoming!RIG,IF(Well_Data_NK_Upcoming!Auto_Update_Rig_Schedule=4,1)),0))))</f>
        <v>Rig-mov-exploration</v>
      </c>
      <c r="AB6" s="417" t="str">
        <f t="array" aca="1" ref="AB6" ca="1">IF(Z6="","",IF(ISERROR(INDEX(Well_Data_NK_Upcoming!Well_Type,MATCH(1,IF($B6=Well_Data_NK_Upcoming!RIG,IF(Well_Data_NK_Upcoming!Auto_Update_Rig_Schedule=4,1)),0))),"",(INDEX(Well_Data_NK_Upcoming!Well_Type,MATCH(1,IF($B6=Well_Data_NK_Upcoming!RIG,IF(Well_Data_NK_Upcoming!Auto_Update_Rig_Schedule=4,1)),0)))))</f>
        <v>Rig-mov-exploration</v>
      </c>
      <c r="AC6" s="418" t="str">
        <f t="shared" ca="1" si="19"/>
        <v/>
      </c>
      <c r="AD6" s="419" t="str">
        <f t="shared" ca="1" si="20"/>
        <v/>
      </c>
      <c r="AE6" s="430" t="str">
        <f t="shared" ca="1" si="8"/>
        <v/>
      </c>
      <c r="AF6" s="342" t="str">
        <f ca="1">IF(Z6="","",INDEX(Well_Data_NK_Upcoming!Planned_Spud_to_RR,MATCH(RigScheduleTest!AA6,Well_Data_NK_Upcoming!Concatenated_Wellname,0)))</f>
        <v/>
      </c>
      <c r="AG6" s="372" t="str">
        <f t="array" aca="1" ref="AG6" ca="1">IF(ISERROR(INDEX(Well_Data_NK_Upcoming!Concatenated_Wellname,MATCH(1,IF($B6=Well_Data_NK_Upcoming!RIG,IF(Well_Data_NK_Upcoming!Auto_Update_Rig_Schedule=5,1)),0))),"",(INDEX(Well_Data_NK_Upcoming!Concatenated_Wellname,MATCH(1,IF($B6=Well_Data_NK_Upcoming!RIG,IF(Well_Data_NK_Upcoming!Auto_Update_Rig_Schedule=5,1)),0))))</f>
        <v>RA13-RA-MA-Prod-NW-HZ-SLB</v>
      </c>
      <c r="AH6" s="417" t="str">
        <f t="array" aca="1" ref="AH6" ca="1">IF(AF6="","",IF(ISERROR(INDEX(Well_Data_NK_Upcoming!Well_Type,MATCH(1,IF($B6=Well_Data_NK_Upcoming!RIG,IF(Well_Data_NK_Upcoming!Auto_Update_Rig_Schedule=5,1)),0))),"",(INDEX(Well_Data_NK_Upcoming!Well_Type,MATCH(1,IF($B6=Well_Data_NK_Upcoming!RIG,IF(Well_Data_NK_Upcoming!Auto_Update_Rig_Schedule=5,1)),0)))))</f>
        <v/>
      </c>
      <c r="AI6" s="418">
        <f t="shared" ca="1" si="21"/>
        <v>5</v>
      </c>
      <c r="AJ6" s="419" t="str">
        <f t="shared" ca="1" si="22"/>
        <v/>
      </c>
      <c r="AK6" s="430" t="str">
        <f t="shared" ca="1" si="9"/>
        <v/>
      </c>
      <c r="AL6" s="372">
        <f ca="1">IF(Z6="","",INDEX(Well_Data_NK_Upcoming!Planned_Spud_to_RR,MATCH(RigScheduleTest!AG6,Well_Data_NK_Upcoming!Concatenated_Wellname,0)))</f>
        <v>70</v>
      </c>
      <c r="AM6" s="374" t="str">
        <f t="array" aca="1" ref="AM6" ca="1">IF(ISERROR(INDEX(Well_Data_NK_Upcoming!Concatenated_Wellname,MATCH(1,IF($B6=Well_Data_NK_Upcoming!RIG,IF(Well_Data_NK_Upcoming!Auto_Update_Rig_Schedule=6,1)),0))),"",(INDEX(Well_Data_NK_Upcoming!Concatenated_Wellname,MATCH(1,IF($B6=Well_Data_NK_Upcoming!RIG,IF(Well_Data_NK_Upcoming!Auto_Update_Rig_Schedule=6,1)),0))))</f>
        <v>SA29-SA-RT-Inj-NW-HZ</v>
      </c>
      <c r="AN6" s="417" t="str">
        <f t="array" aca="1" ref="AN6" ca="1">IF(AL6="","",IF(ISERROR(INDEX(Well_Data_NK_Upcoming!Well_Type,MATCH(1,IF($B6=Well_Data_NK_Upcoming!RIG,IF(Well_Data_NK_Upcoming!Auto_Update_Rig_Schedule=6,1)),0))),"",(INDEX(Well_Data_NK_Upcoming!Well_Type,MATCH(1,IF($B6=Well_Data_NK_Upcoming!RIG,IF(Well_Data_NK_Upcoming!Auto_Update_Rig_Schedule=6,1)),0)))))</f>
        <v>SA29-RT-NW-Inj</v>
      </c>
      <c r="AO6" s="418" t="str">
        <f t="shared" ca="1" si="23"/>
        <v/>
      </c>
      <c r="AP6" s="419" t="str">
        <f t="shared" ca="1" si="24"/>
        <v/>
      </c>
      <c r="AQ6" s="430" t="str">
        <f t="shared" ca="1" si="10"/>
        <v/>
      </c>
      <c r="AR6" s="374" t="str">
        <f ca="1">IF(AL6="","",INDEX(Well_Data_NK_Upcoming!Planned_Spud_to_RR,MATCH(RigScheduleTest!AM6,Well_Data_NK_Upcoming!Concatenated_Wellname,0)))</f>
        <v/>
      </c>
      <c r="AS6" s="417" t="str">
        <f t="array" aca="1" ref="AS6" ca="1">IF(ISERROR(INDEX(Well_Data_NK_Upcoming!Concatenated_Wellname,MATCH(1,IF($B6=Well_Data_NK_Upcoming!RIG,IF(Well_Data_NK_Upcoming!Auto_Update_Rig_Schedule=7,1)),0))),"",(INDEX(Well_Data_NK_Upcoming!Concatenated_Wellname,MATCH(1,IF($B6=Well_Data_NK_Upcoming!RIG,IF(Well_Data_NK_Upcoming!Auto_Update_Rig_Schedule=7,1)),0))))</f>
        <v/>
      </c>
      <c r="AT6" s="417" t="str">
        <f t="array" aca="1" ref="AT6" ca="1">IF(AR6="","",IF(ISERROR(INDEX(Well_Data_NK_Upcoming!Well_Type,MATCH(1,IF($B6=Well_Data_NK_Upcoming!RIG,IF(Well_Data_NK_Upcoming!Auto_Update_Rig_Schedule=7,1)),0))),"",(INDEX(Well_Data_NK_Upcoming!Well_Type,MATCH(1,IF($B6=Well_Data_NK_Upcoming!RIG,IF(Well_Data_NK_Upcoming!Auto_Update_Rig_Schedule=7,1)),0)))))</f>
        <v/>
      </c>
      <c r="AU6" s="418" t="str">
        <f t="shared" ca="1" si="25"/>
        <v/>
      </c>
      <c r="AV6" s="419" t="str">
        <f t="shared" ca="1" si="26"/>
        <v/>
      </c>
      <c r="AW6" s="430" t="str">
        <f t="shared" ca="1" si="11"/>
        <v/>
      </c>
      <c r="AX6" s="342" t="str">
        <f ca="1">IF(AR6="","",INDEX(Well_Data_NK_Upcoming!Planned_Spud_to_RR,MATCH(RigScheduleTest!AS6,Well_Data_NK_Upcoming!Concatenated_Wellname,0)))</f>
        <v/>
      </c>
      <c r="AY6" s="417" t="str">
        <f t="array" aca="1" ref="AY6" ca="1">IF(ISERROR(INDEX(Well_Data_NK_Upcoming!Concatenated_Wellname,MATCH(1,IF($B6=Well_Data_NK_Upcoming!RIG,IF(Well_Data_NK_Upcoming!Auto_Update_Rig_Schedule=8,1)),0))),"",(INDEX(Well_Data_NK_Upcoming!Concatenated_Wellname,MATCH(1,IF($B6=Well_Data_NK_Upcoming!RIG,IF(Well_Data_NK_Upcoming!Auto_Update_Rig_Schedule=8,1)),0))))</f>
        <v/>
      </c>
      <c r="AZ6" s="417" t="str">
        <f t="array" aca="1" ref="AZ6" ca="1">IF(AX6="","",IF(ISERROR(INDEX(Well_Data_NK_Upcoming!Well_Type,MATCH(1,IF($B6=Well_Data_NK_Upcoming!RIG,IF(Well_Data_NK_Upcoming!Auto_Update_Rig_Schedule=8,1)),0))),"",(INDEX(Well_Data_NK_Upcoming!Well_Type,MATCH(1,IF($B6=Well_Data_NK_Upcoming!RIG,IF(Well_Data_NK_Upcoming!Auto_Update_Rig_Schedule=8,1)),0)))))</f>
        <v/>
      </c>
      <c r="BA6" s="418" t="str">
        <f t="shared" ca="1" si="27"/>
        <v/>
      </c>
      <c r="BB6" s="419" t="str">
        <f t="shared" ca="1" si="28"/>
        <v/>
      </c>
      <c r="BC6" s="430" t="str">
        <f t="shared" ca="1" si="12"/>
        <v/>
      </c>
      <c r="BD6" s="342" t="str">
        <f ca="1">IF(AX6="","",INDEX(Well_Data_NK_Upcoming!Planned_Spud_to_RR,MATCH(RigScheduleTest!AY6,Well_Data_NK_Upcoming!Concatenated_Wellname,0)))</f>
        <v/>
      </c>
      <c r="BE6" s="417" t="str">
        <f t="array" aca="1" ref="BE6" ca="1">IF(ISERROR(INDEX(Well_Data_NK_Upcoming!Concatenated_Wellname,MATCH(1,IF($B6=Well_Data_NK_Upcoming!RIG,IF(Well_Data_NK_Upcoming!Auto_Update_Rig_Schedule=9,1)),0))),"",(INDEX(Well_Data_NK_Upcoming!Concatenated_Wellname,MATCH(1,IF($B6=Well_Data_NK_Upcoming!RIG,IF(Well_Data_NK_Upcoming!Auto_Update_Rig_Schedule=9,1)),0))))</f>
        <v/>
      </c>
      <c r="BF6" s="417" t="str">
        <f t="array" aca="1" ref="BF6" ca="1">IF(BD6="","",IF(ISERROR(INDEX(Well_Data_NK_Upcoming!Well_Type,MATCH(1,IF($B6=Well_Data_NK_Upcoming!RIG,IF(Well_Data_NK_Upcoming!Auto_Update_Rig_Schedule=9,1)),0))),"",(INDEX(Well_Data_NK_Upcoming!Well_Type,MATCH(1,IF($B6=Well_Data_NK_Upcoming!RIG,IF(Well_Data_NK_Upcoming!Auto_Update_Rig_Schedule=9,1)),0)))))</f>
        <v/>
      </c>
      <c r="BG6" s="418" t="str">
        <f t="shared" ca="1" si="29"/>
        <v/>
      </c>
      <c r="BH6" s="419" t="str">
        <f t="shared" ca="1" si="30"/>
        <v/>
      </c>
      <c r="BI6" s="430" t="str">
        <f t="shared" ca="1" si="13"/>
        <v/>
      </c>
      <c r="BJ6" s="342" t="str">
        <f ca="1">IF(BD6="","",INDEX(Well_Data_NK_Upcoming!Planned_Spud_to_RR,MATCH(RigScheduleTest!BE6,Well_Data_NK_Upcoming!Concatenated_Wellname,0)))</f>
        <v/>
      </c>
      <c r="BK6" s="417" t="str">
        <f t="array" aca="1" ref="BK6" ca="1">IF(ISERROR(INDEX(Well_Data_NK_Upcoming!Concatenated_Wellname,MATCH(1,IF($B6=Well_Data_NK_Upcoming!RIG,IF(Well_Data_NK_Upcoming!Auto_Update_Rig_Schedule=10,1)),0))),"",(INDEX(Well_Data_NK_Upcoming!Concatenated_Wellname,MATCH(1,IF($B6=Well_Data_NK_Upcoming!RIG,IF(Well_Data_NK_Upcoming!Auto_Update_Rig_Schedule=10,1)),0))))</f>
        <v/>
      </c>
      <c r="BL6" s="417" t="str">
        <f t="array" aca="1" ref="BL6" ca="1">IF(BJ6="","",IF(ISERROR(INDEX(Well_Data_NK_Upcoming!Well_Type,MATCH(1,IF($B6=Well_Data_NK_Upcoming!RIG,IF(Well_Data_NK_Upcoming!Auto_Update_Rig_Schedule=10,1)),0))),"",(INDEX(Well_Data_NK_Upcoming!Well_Type,MATCH(1,IF($B6=Well_Data_NK_Upcoming!RIG,IF(Well_Data_NK_Upcoming!Auto_Update_Rig_Schedule=10,1)),0)))))</f>
        <v/>
      </c>
      <c r="BM6" s="418" t="str">
        <f t="shared" ca="1" si="31"/>
        <v/>
      </c>
      <c r="BN6" s="419" t="str">
        <f t="shared" ca="1" si="32"/>
        <v/>
      </c>
      <c r="BO6" s="430" t="str">
        <f t="shared" ca="1" si="14"/>
        <v/>
      </c>
      <c r="BP6" s="342" t="str">
        <f ca="1">IF(BJ6="","",INDEX(Well_Data_NK_Upcoming!Planned_Spud_to_RR,MATCH(RigScheduleTest!BK6,Well_Data_NK_Upcoming!Concatenated_Wellname,0)))</f>
        <v/>
      </c>
    </row>
    <row r="7" spans="1:68" ht="15" x14ac:dyDescent="0.25">
      <c r="A7" s="429" t="str">
        <f t="shared" ca="1" si="0"/>
        <v>SA-0587-KDC-49</v>
      </c>
      <c r="B7" s="425" t="s">
        <v>430</v>
      </c>
      <c r="C7" s="340" t="str">
        <f t="array" aca="1" ref="C7" ca="1">IF(ISERROR(INDEX(Well_Data_NK_Upcoming!WELL,MATCH(1,IF($B7=Well_Data_NK_Upcoming!RIG,IF(Well_Data_NK_Upcoming!Auto_Update_Rig_Schedule=0,1)),0))),"",(INDEX(Well_Data_NK_Upcoming!WELL,MATCH(1,IF($B7=Well_Data_NK_Upcoming!RIG,IF(Well_Data_NK_Upcoming!Auto_Update_Rig_Schedule=0,1)),0))))</f>
        <v>SA-0587</v>
      </c>
      <c r="D7" s="424" t="str">
        <f ca="1">INDEX(Well_Data_NK_Upcoming!Concatenated_Wellname,MATCH(RigScheduleTest!A7,Well_Data_NK_Upcoming!Well_Rig,0))</f>
        <v>SA-0587-SA-MA-Prod-NW-HZ-BHI</v>
      </c>
      <c r="E7" s="423" t="str">
        <f ca="1">INDEX(Well_Data_NK_Upcoming!Well_Type,MATCH(RigScheduleTest!A7,Well_Data_NK_Upcoming!Well_Rig,0))</f>
        <v>SA-0587-MA-NW-Prod</v>
      </c>
      <c r="F7" s="341">
        <f t="shared" si="15"/>
        <v>42233</v>
      </c>
      <c r="G7" s="367">
        <f ca="1">IF(ISERROR(INDEX(Well_Data_NK_Upcoming!Updated_Drill_Days,MATCH(RigScheduleTest!A7,Well_Data_NK_Upcoming!Well_Rig,0))),"",(INDEX(Well_Data_NK_Upcoming!Updated_Drill_Days,MATCH(RigScheduleTest!A7,Well_Data_NK_Upcoming!Well_Rig,0))))</f>
        <v>40</v>
      </c>
      <c r="H7" s="422">
        <f t="shared" ca="1" si="33"/>
        <v>42273</v>
      </c>
      <c r="I7" s="372" t="str">
        <f t="array" aca="1" ref="I7" ca="1">IF(ISERROR(INDEX(Well_Data_NK_Upcoming!Concatenated_Wellname,MATCH(1,IF($B7=Well_Data_NK_Upcoming!RIG,IF(Well_Data_NK_Upcoming!Auto_Update_Rig_Schedule=1,1)),0))),"",(INDEX(Well_Data_NK_Upcoming!Concatenated_Wellname,MATCH(1,IF($B7=Well_Data_NK_Upcoming!RIG,IF(Well_Data_NK_Upcoming!Auto_Update_Rig_Schedule=1,1)),0))))</f>
        <v>SA-0593-SA-MA-Prod-NW-HZ-SLB</v>
      </c>
      <c r="J7" s="417" t="str">
        <f t="array" aca="1" ref="J7" ca="1">IF(G7="","",IF(ISERROR(INDEX(Well_Data_NK_Upcoming!Well_Type,MATCH(1,IF($B7=Well_Data_NK_Upcoming!RIG,IF(Well_Data_NK_Upcoming!Auto_Update_Rig_Schedule=1,1)),0))),"",(INDEX(Well_Data_NK_Upcoming!Well_Type,MATCH(1,IF($B7=Well_Data_NK_Upcoming!RIG,IF(Well_Data_NK_Upcoming!Auto_Update_Rig_Schedule=1,1)),0)))))</f>
        <v>SA-0593-MA-NW-Prod</v>
      </c>
      <c r="K7" s="418">
        <f t="shared" ca="1" si="2"/>
        <v>5</v>
      </c>
      <c r="L7" s="419">
        <f t="shared" ca="1" si="16"/>
        <v>42278</v>
      </c>
      <c r="M7" s="430">
        <f t="shared" ca="1" si="34"/>
        <v>42348</v>
      </c>
      <c r="N7" s="372">
        <f ca="1">IF(G7="","",INDEX(Well_Data_NK_Upcoming!Planned_Spud_to_RR,MATCH(RigScheduleTest!I7,Well_Data_NK_Upcoming!Concatenated_Wellname,0)))</f>
        <v>70</v>
      </c>
      <c r="O7" s="372" t="str">
        <f t="array" aca="1" ref="O7" ca="1">IF(ISERROR(INDEX(Well_Data_NK_Upcoming!Concatenated_Wellname,MATCH(1,IF($B7=Well_Data_NK_Upcoming!RIG,IF(Well_Data_NK_Upcoming!Auto_Update_Rig_Schedule=2,1)),0))),"",(INDEX(Well_Data_NK_Upcoming!Concatenated_Wellname,MATCH(1,IF($B7=Well_Data_NK_Upcoming!RIG,IF(Well_Data_NK_Upcoming!Auto_Update_Rig_Schedule=2,1)),0))))</f>
        <v>RA6-RA-MA-Prod-NW-HZ-SLB</v>
      </c>
      <c r="P7" s="417" t="str">
        <f t="array" aca="1" ref="P7" ca="1">IF(N7="","",IF(ISERROR(INDEX(Well_Data_NK_Upcoming!Well_Type,MATCH(1,IF($B7=Well_Data_NK_Upcoming!RIG,IF(Well_Data_NK_Upcoming!Auto_Update_Rig_Schedule=2,1)),0))),"",(INDEX(Well_Data_NK_Upcoming!Well_Type,MATCH(1,IF($B7=Well_Data_NK_Upcoming!RIG,IF(Well_Data_NK_Upcoming!Auto_Update_Rig_Schedule=2,1)),0)))))</f>
        <v>RA6-MA-NW-Prod</v>
      </c>
      <c r="Q7" s="418">
        <f t="shared" ca="1" si="4"/>
        <v>5</v>
      </c>
      <c r="R7" s="419">
        <f t="shared" ca="1" si="17"/>
        <v>42353</v>
      </c>
      <c r="S7" s="430">
        <f t="shared" ca="1" si="5"/>
        <v>42423</v>
      </c>
      <c r="T7" s="372">
        <f ca="1">IF(N7="","",INDEX(Well_Data_NK_Upcoming!Planned_Spud_to_RR,MATCH(RigScheduleTest!O7,Well_Data_NK_Upcoming!Concatenated_Wellname,0)))</f>
        <v>70</v>
      </c>
      <c r="U7" s="372" t="str">
        <f t="array" aca="1" ref="U7" ca="1">IF(ISERROR(INDEX(Well_Data_NK_Upcoming!Concatenated_Wellname,MATCH(1,IF($B7=Well_Data_NK_Upcoming!RIG,IF(Well_Data_NK_Upcoming!Auto_Update_Rig_Schedule=3,1)),0))),"",(INDEX(Well_Data_NK_Upcoming!Concatenated_Wellname,MATCH(1,IF($B7=Well_Data_NK_Upcoming!RIG,IF(Well_Data_NK_Upcoming!Auto_Update_Rig_Schedule=3,1)),0))))</f>
        <v>RA-0596-RA-ZU-Prod-NW-HZ-SLB</v>
      </c>
      <c r="V7" s="417" t="str">
        <f t="array" aca="1" ref="V7" ca="1">IF(T7="","",IF(ISERROR(INDEX(Well_Data_NK_Upcoming!Well_Type,MATCH(1,IF($B7=Well_Data_NK_Upcoming!RIG,IF(Well_Data_NK_Upcoming!Auto_Update_Rig_Schedule=3,1)),0))),"",(INDEX(Well_Data_NK_Upcoming!Well_Type,MATCH(1,IF($B7=Well_Data_NK_Upcoming!RIG,IF(Well_Data_NK_Upcoming!Auto_Update_Rig_Schedule=3,1)),0)))))</f>
        <v>RA-0596-ZU-NW-Prod</v>
      </c>
      <c r="W7" s="418">
        <f t="shared" ca="1" si="6"/>
        <v>5</v>
      </c>
      <c r="X7" s="419">
        <f t="shared" ca="1" si="18"/>
        <v>42428</v>
      </c>
      <c r="Y7" s="430">
        <f t="shared" ca="1" si="7"/>
        <v>42526</v>
      </c>
      <c r="Z7" s="374">
        <f ca="1">IF(T7="","",INDEX(Well_Data_NK_Upcoming!Planned_Spud_to_RR,MATCH(RigScheduleTest!U7,Well_Data_NK_Upcoming!Concatenated_Wellname,0)))</f>
        <v>98</v>
      </c>
      <c r="AA7" s="374" t="str">
        <f t="array" aca="1" ref="AA7" ca="1">IF(ISERROR(INDEX(Well_Data_NK_Upcoming!Concatenated_Wellname,MATCH(1,IF($B7=Well_Data_NK_Upcoming!RIG,IF(Well_Data_NK_Upcoming!Auto_Update_Rig_Schedule=4,1)),0))),"",(INDEX(Well_Data_NK_Upcoming!Concatenated_Wellname,MATCH(1,IF($B7=Well_Data_NK_Upcoming!RIG,IF(Well_Data_NK_Upcoming!Auto_Update_Rig_Schedule=4,1)),0))))</f>
        <v>SA18-SA-MA-Inj-NW-HZ</v>
      </c>
      <c r="AB7" s="417" t="str">
        <f t="array" aca="1" ref="AB7" ca="1">IF(Z7="","",IF(ISERROR(INDEX(Well_Data_NK_Upcoming!Well_Type,MATCH(1,IF($B7=Well_Data_NK_Upcoming!RIG,IF(Well_Data_NK_Upcoming!Auto_Update_Rig_Schedule=4,1)),0))),"",(INDEX(Well_Data_NK_Upcoming!Well_Type,MATCH(1,IF($B7=Well_Data_NK_Upcoming!RIG,IF(Well_Data_NK_Upcoming!Auto_Update_Rig_Schedule=4,1)),0)))))</f>
        <v>SA18-MA-NW-Inj</v>
      </c>
      <c r="AC7" s="418">
        <f t="shared" ca="1" si="19"/>
        <v>5</v>
      </c>
      <c r="AD7" s="419">
        <f t="shared" ca="1" si="20"/>
        <v>42531</v>
      </c>
      <c r="AE7" s="430">
        <f t="shared" ca="1" si="8"/>
        <v>42594</v>
      </c>
      <c r="AF7" s="372">
        <f ca="1">IF(Z7="","",INDEX(Well_Data_NK_Upcoming!Planned_Spud_to_RR,MATCH(RigScheduleTest!AA7,Well_Data_NK_Upcoming!Concatenated_Wellname,0)))</f>
        <v>63</v>
      </c>
      <c r="AG7" s="372" t="str">
        <f t="array" aca="1" ref="AG7" ca="1">IF(ISERROR(INDEX(Well_Data_NK_Upcoming!Concatenated_Wellname,MATCH(1,IF($B7=Well_Data_NK_Upcoming!RIG,IF(Well_Data_NK_Upcoming!Auto_Update_Rig_Schedule=5,1)),0))),"",(INDEX(Well_Data_NK_Upcoming!Concatenated_Wellname,MATCH(1,IF($B7=Well_Data_NK_Upcoming!RIG,IF(Well_Data_NK_Upcoming!Auto_Update_Rig_Schedule=5,1)),0))))</f>
        <v>RA18-RA-LB-Prod-NW-SL-SLB</v>
      </c>
      <c r="AH7" s="417" t="str">
        <f t="array" aca="1" ref="AH7" ca="1">IF(AF7="","",IF(ISERROR(INDEX(Well_Data_NK_Upcoming!Well_Type,MATCH(1,IF($B7=Well_Data_NK_Upcoming!RIG,IF(Well_Data_NK_Upcoming!Auto_Update_Rig_Schedule=5,1)),0))),"",(INDEX(Well_Data_NK_Upcoming!Well_Type,MATCH(1,IF($B7=Well_Data_NK_Upcoming!RIG,IF(Well_Data_NK_Upcoming!Auto_Update_Rig_Schedule=5,1)),0)))))</f>
        <v>RA18-LB-NW-Prod</v>
      </c>
      <c r="AI7" s="418">
        <f t="shared" ca="1" si="21"/>
        <v>5</v>
      </c>
      <c r="AJ7" s="419">
        <f t="shared" ca="1" si="22"/>
        <v>42599</v>
      </c>
      <c r="AK7" s="430">
        <f t="shared" ca="1" si="9"/>
        <v>42669</v>
      </c>
      <c r="AL7" s="373">
        <f ca="1">IF(Z7="","",INDEX(Well_Data_NK_Upcoming!Planned_Spud_to_RR,MATCH(RigScheduleTest!AG7,Well_Data_NK_Upcoming!Concatenated_Wellname,0)))</f>
        <v>70</v>
      </c>
      <c r="AM7" s="373" t="str">
        <f t="array" aca="1" ref="AM7" ca="1">IF(ISERROR(INDEX(Well_Data_NK_Upcoming!Concatenated_Wellname,MATCH(1,IF($B7=Well_Data_NK_Upcoming!RIG,IF(Well_Data_NK_Upcoming!Auto_Update_Rig_Schedule=6,1)),0))),"",(INDEX(Well_Data_NK_Upcoming!Concatenated_Wellname,MATCH(1,IF($B7=Well_Data_NK_Upcoming!RIG,IF(Well_Data_NK_Upcoming!Auto_Update_Rig_Schedule=6,1)),0))))</f>
        <v>RA26-RA-UB-Prod-NW-SL-SLB</v>
      </c>
      <c r="AN7" s="417" t="str">
        <f t="array" aca="1" ref="AN7" ca="1">IF(AL7="","",IF(ISERROR(INDEX(Well_Data_NK_Upcoming!Well_Type,MATCH(1,IF($B7=Well_Data_NK_Upcoming!RIG,IF(Well_Data_NK_Upcoming!Auto_Update_Rig_Schedule=6,1)),0))),"",(INDEX(Well_Data_NK_Upcoming!Well_Type,MATCH(1,IF($B7=Well_Data_NK_Upcoming!RIG,IF(Well_Data_NK_Upcoming!Auto_Update_Rig_Schedule=6,1)),0)))))</f>
        <v>RA26-UB-NW-Prod</v>
      </c>
      <c r="AO7" s="418">
        <f t="shared" ca="1" si="23"/>
        <v>5</v>
      </c>
      <c r="AP7" s="419">
        <f t="shared" ca="1" si="24"/>
        <v>42674</v>
      </c>
      <c r="AQ7" s="430">
        <f t="shared" ca="1" si="10"/>
        <v>42744</v>
      </c>
      <c r="AR7" s="371">
        <f ca="1">IF(AL7="","",INDEX(Well_Data_NK_Upcoming!Planned_Spud_to_RR,MATCH(RigScheduleTest!AM7,Well_Data_NK_Upcoming!Concatenated_Wellname,0)))</f>
        <v>70</v>
      </c>
      <c r="AS7" s="417" t="str">
        <f t="array" aca="1" ref="AS7" ca="1">IF(ISERROR(INDEX(Well_Data_NK_Upcoming!Concatenated_Wellname,MATCH(1,IF($B7=Well_Data_NK_Upcoming!RIG,IF(Well_Data_NK_Upcoming!Auto_Update_Rig_Schedule=7,1)),0))),"",(INDEX(Well_Data_NK_Upcoming!Concatenated_Wellname,MATCH(1,IF($B7=Well_Data_NK_Upcoming!RIG,IF(Well_Data_NK_Upcoming!Auto_Update_Rig_Schedule=7,1)),0))))</f>
        <v/>
      </c>
      <c r="AT7" s="417" t="str">
        <f t="array" aca="1" ref="AT7" ca="1">IF(AR7="","",IF(ISERROR(INDEX(Well_Data_NK_Upcoming!Well_Type,MATCH(1,IF($B7=Well_Data_NK_Upcoming!RIG,IF(Well_Data_NK_Upcoming!Auto_Update_Rig_Schedule=7,1)),0))),"",(INDEX(Well_Data_NK_Upcoming!Well_Type,MATCH(1,IF($B7=Well_Data_NK_Upcoming!RIG,IF(Well_Data_NK_Upcoming!Auto_Update_Rig_Schedule=7,1)),0)))))</f>
        <v/>
      </c>
      <c r="AU7" s="418" t="str">
        <f t="shared" ca="1" si="25"/>
        <v/>
      </c>
      <c r="AV7" s="419" t="str">
        <f t="shared" ca="1" si="26"/>
        <v/>
      </c>
      <c r="AW7" s="430" t="str">
        <f t="shared" ca="1" si="11"/>
        <v/>
      </c>
      <c r="AX7" s="342" t="str">
        <f ca="1">IF(AR7="","",INDEX(Well_Data_NK_Upcoming!Planned_Spud_to_RR,MATCH(RigScheduleTest!AS7,Well_Data_NK_Upcoming!Concatenated_Wellname,0)))</f>
        <v/>
      </c>
      <c r="AY7" s="417" t="str">
        <f t="array" aca="1" ref="AY7" ca="1">IF(ISERROR(INDEX(Well_Data_NK_Upcoming!Concatenated_Wellname,MATCH(1,IF($B7=Well_Data_NK_Upcoming!RIG,IF(Well_Data_NK_Upcoming!Auto_Update_Rig_Schedule=8,1)),0))),"",(INDEX(Well_Data_NK_Upcoming!Concatenated_Wellname,MATCH(1,IF($B7=Well_Data_NK_Upcoming!RIG,IF(Well_Data_NK_Upcoming!Auto_Update_Rig_Schedule=8,1)),0))))</f>
        <v/>
      </c>
      <c r="AZ7" s="417" t="str">
        <f t="array" aca="1" ref="AZ7" ca="1">IF(AX7="","",IF(ISERROR(INDEX(Well_Data_NK_Upcoming!Well_Type,MATCH(1,IF($B7=Well_Data_NK_Upcoming!RIG,IF(Well_Data_NK_Upcoming!Auto_Update_Rig_Schedule=8,1)),0))),"",(INDEX(Well_Data_NK_Upcoming!Well_Type,MATCH(1,IF($B7=Well_Data_NK_Upcoming!RIG,IF(Well_Data_NK_Upcoming!Auto_Update_Rig_Schedule=8,1)),0)))))</f>
        <v/>
      </c>
      <c r="BA7" s="418" t="str">
        <f t="shared" ca="1" si="27"/>
        <v/>
      </c>
      <c r="BB7" s="419" t="str">
        <f t="shared" ca="1" si="28"/>
        <v/>
      </c>
      <c r="BC7" s="430" t="str">
        <f t="shared" ca="1" si="12"/>
        <v/>
      </c>
      <c r="BD7" s="342" t="str">
        <f ca="1">IF(AX7="","",INDEX(Well_Data_NK_Upcoming!Planned_Spud_to_RR,MATCH(RigScheduleTest!AY7,Well_Data_NK_Upcoming!Concatenated_Wellname,0)))</f>
        <v/>
      </c>
      <c r="BE7" s="417" t="str">
        <f t="array" aca="1" ref="BE7" ca="1">IF(ISERROR(INDEX(Well_Data_NK_Upcoming!Concatenated_Wellname,MATCH(1,IF($B7=Well_Data_NK_Upcoming!RIG,IF(Well_Data_NK_Upcoming!Auto_Update_Rig_Schedule=9,1)),0))),"",(INDEX(Well_Data_NK_Upcoming!Concatenated_Wellname,MATCH(1,IF($B7=Well_Data_NK_Upcoming!RIG,IF(Well_Data_NK_Upcoming!Auto_Update_Rig_Schedule=9,1)),0))))</f>
        <v/>
      </c>
      <c r="BF7" s="417" t="str">
        <f t="array" aca="1" ref="BF7" ca="1">IF(BD7="","",IF(ISERROR(INDEX(Well_Data_NK_Upcoming!Well_Type,MATCH(1,IF($B7=Well_Data_NK_Upcoming!RIG,IF(Well_Data_NK_Upcoming!Auto_Update_Rig_Schedule=9,1)),0))),"",(INDEX(Well_Data_NK_Upcoming!Well_Type,MATCH(1,IF($B7=Well_Data_NK_Upcoming!RIG,IF(Well_Data_NK_Upcoming!Auto_Update_Rig_Schedule=9,1)),0)))))</f>
        <v/>
      </c>
      <c r="BG7" s="418" t="str">
        <f t="shared" ca="1" si="29"/>
        <v/>
      </c>
      <c r="BH7" s="419" t="str">
        <f t="shared" ca="1" si="30"/>
        <v/>
      </c>
      <c r="BI7" s="430" t="str">
        <f t="shared" ca="1" si="13"/>
        <v/>
      </c>
      <c r="BJ7" s="342" t="str">
        <f ca="1">IF(BD7="","",INDEX(Well_Data_NK_Upcoming!Planned_Spud_to_RR,MATCH(RigScheduleTest!BE7,Well_Data_NK_Upcoming!Concatenated_Wellname,0)))</f>
        <v/>
      </c>
      <c r="BK7" s="417" t="str">
        <f t="array" aca="1" ref="BK7" ca="1">IF(ISERROR(INDEX(Well_Data_NK_Upcoming!Concatenated_Wellname,MATCH(1,IF($B7=Well_Data_NK_Upcoming!RIG,IF(Well_Data_NK_Upcoming!Auto_Update_Rig_Schedule=10,1)),0))),"",(INDEX(Well_Data_NK_Upcoming!Concatenated_Wellname,MATCH(1,IF($B7=Well_Data_NK_Upcoming!RIG,IF(Well_Data_NK_Upcoming!Auto_Update_Rig_Schedule=10,1)),0))))</f>
        <v/>
      </c>
      <c r="BL7" s="417" t="str">
        <f t="array" aca="1" ref="BL7" ca="1">IF(BJ7="","",IF(ISERROR(INDEX(Well_Data_NK_Upcoming!Well_Type,MATCH(1,IF($B7=Well_Data_NK_Upcoming!RIG,IF(Well_Data_NK_Upcoming!Auto_Update_Rig_Schedule=10,1)),0))),"",(INDEX(Well_Data_NK_Upcoming!Well_Type,MATCH(1,IF($B7=Well_Data_NK_Upcoming!RIG,IF(Well_Data_NK_Upcoming!Auto_Update_Rig_Schedule=10,1)),0)))))</f>
        <v/>
      </c>
      <c r="BM7" s="418" t="str">
        <f t="shared" ca="1" si="31"/>
        <v/>
      </c>
      <c r="BN7" s="419" t="str">
        <f t="shared" ca="1" si="32"/>
        <v/>
      </c>
      <c r="BO7" s="430" t="str">
        <f t="shared" ca="1" si="14"/>
        <v/>
      </c>
      <c r="BP7" s="342" t="str">
        <f ca="1">IF(BJ7="","",INDEX(Well_Data_NK_Upcoming!Planned_Spud_to_RR,MATCH(RigScheduleTest!BK7,Well_Data_NK_Upcoming!Concatenated_Wellname,0)))</f>
        <v/>
      </c>
    </row>
    <row r="8" spans="1:68" ht="15" x14ac:dyDescent="0.25">
      <c r="A8" s="429" t="str">
        <f t="shared" ca="1" si="0"/>
        <v>RA-0590-NDSC-15</v>
      </c>
      <c r="B8" s="425" t="s">
        <v>513</v>
      </c>
      <c r="C8" s="340" t="str">
        <f t="array" aca="1" ref="C8" ca="1">IF(ISERROR(INDEX(Well_Data_NK_Upcoming!WELL,MATCH(1,IF($B8=Well_Data_NK_Upcoming!RIG,IF(Well_Data_NK_Upcoming!Auto_Update_Rig_Schedule=0,1)),0))),"",(INDEX(Well_Data_NK_Upcoming!WELL,MATCH(1,IF($B8=Well_Data_NK_Upcoming!RIG,IF(Well_Data_NK_Upcoming!Auto_Update_Rig_Schedule=0,1)),0))))</f>
        <v>RA-0590</v>
      </c>
      <c r="D8" s="424" t="str">
        <f ca="1">INDEX(Well_Data_NK_Upcoming!Concatenated_Wellname,MATCH(RigScheduleTest!A8,Well_Data_NK_Upcoming!Well_Rig,0))</f>
        <v>RA-0590-RA-UB-Prod-NW-HZ-WFD</v>
      </c>
      <c r="E8" s="423" t="str">
        <f ca="1">INDEX(Well_Data_NK_Upcoming!Well_Type,MATCH(RigScheduleTest!A8,Well_Data_NK_Upcoming!Well_Rig,0))</f>
        <v>RA-0590-UB-NW-Prod</v>
      </c>
      <c r="F8" s="341">
        <f t="shared" si="15"/>
        <v>42233</v>
      </c>
      <c r="G8" s="368" t="str">
        <f ca="1">IF(ISERROR(INDEX(Well_Data_NK_Upcoming!Updated_Drill_Days,MATCH(RigScheduleTest!A8,Well_Data_NK_Upcoming!Well_Rig,0))),"",(INDEX(Well_Data_NK_Upcoming!Updated_Drill_Days,MATCH(RigScheduleTest!A8,Well_Data_NK_Upcoming!Well_Rig,0))))</f>
        <v>N/A</v>
      </c>
      <c r="H8" s="422" t="str">
        <f t="shared" ca="1" si="33"/>
        <v/>
      </c>
      <c r="I8" s="372" t="str">
        <f t="array" aca="1" ref="I8" ca="1">IF(ISERROR(INDEX(Well_Data_NK_Upcoming!Concatenated_Wellname,MATCH(1,IF($B8=Well_Data_NK_Upcoming!RIG,IF(Well_Data_NK_Upcoming!Auto_Update_Rig_Schedule=1,1)),0))),"",(INDEX(Well_Data_NK_Upcoming!Concatenated_Wellname,MATCH(1,IF($B8=Well_Data_NK_Upcoming!RIG,IF(Well_Data_NK_Upcoming!Auto_Update_Rig_Schedule=1,1)),0))))</f>
        <v>SA-0603-SA-MA-Prod-NW-HZ-Sperry</v>
      </c>
      <c r="J8" s="417" t="str">
        <f t="array" aca="1" ref="J8" ca="1">IF(G8="","",IF(ISERROR(INDEX(Well_Data_NK_Upcoming!Well_Type,MATCH(1,IF($B8=Well_Data_NK_Upcoming!RIG,IF(Well_Data_NK_Upcoming!Auto_Update_Rig_Schedule=1,1)),0))),"",(INDEX(Well_Data_NK_Upcoming!Well_Type,MATCH(1,IF($B8=Well_Data_NK_Upcoming!RIG,IF(Well_Data_NK_Upcoming!Auto_Update_Rig_Schedule=1,1)),0)))))</f>
        <v>SA-0603-MA-NW-Prod</v>
      </c>
      <c r="K8" s="418">
        <f t="shared" ca="1" si="2"/>
        <v>5</v>
      </c>
      <c r="L8" s="419" t="str">
        <f t="shared" ca="1" si="16"/>
        <v/>
      </c>
      <c r="M8" s="430" t="str">
        <f t="shared" ca="1" si="34"/>
        <v/>
      </c>
      <c r="N8" s="372">
        <f ca="1">IF(G8="","",INDEX(Well_Data_NK_Upcoming!Planned_Spud_to_RR,MATCH(RigScheduleTest!I8,Well_Data_NK_Upcoming!Concatenated_Wellname,0)))</f>
        <v>70</v>
      </c>
      <c r="O8" s="371" t="str">
        <f t="array" aca="1" ref="O8" ca="1">IF(ISERROR(INDEX(Well_Data_NK_Upcoming!Concatenated_Wellname,MATCH(1,IF($B8=Well_Data_NK_Upcoming!RIG,IF(Well_Data_NK_Upcoming!Auto_Update_Rig_Schedule=2,1)),0))),"",(INDEX(Well_Data_NK_Upcoming!Concatenated_Wellname,MATCH(1,IF($B8=Well_Data_NK_Upcoming!RIG,IF(Well_Data_NK_Upcoming!Auto_Update_Rig_Schedule=2,1)),0))))</f>
        <v>SA3-SA-UB-Prod-NW-SL</v>
      </c>
      <c r="P8" s="417" t="str">
        <f t="array" aca="1" ref="P8" ca="1">IF(N8="","",IF(ISERROR(INDEX(Well_Data_NK_Upcoming!Well_Type,MATCH(1,IF($B8=Well_Data_NK_Upcoming!RIG,IF(Well_Data_NK_Upcoming!Auto_Update_Rig_Schedule=2,1)),0))),"",(INDEX(Well_Data_NK_Upcoming!Well_Type,MATCH(1,IF($B8=Well_Data_NK_Upcoming!RIG,IF(Well_Data_NK_Upcoming!Auto_Update_Rig_Schedule=2,1)),0)))))</f>
        <v>SA3-UB-NW-Prod</v>
      </c>
      <c r="Q8" s="418">
        <f t="shared" ca="1" si="4"/>
        <v>5</v>
      </c>
      <c r="R8" s="419" t="str">
        <f t="shared" ca="1" si="17"/>
        <v/>
      </c>
      <c r="S8" s="430" t="str">
        <f t="shared" ca="1" si="5"/>
        <v/>
      </c>
      <c r="T8" s="371">
        <f ca="1">IF(N8="","",INDEX(Well_Data_NK_Upcoming!Planned_Spud_to_RR,MATCH(RigScheduleTest!O8,Well_Data_NK_Upcoming!Concatenated_Wellname,0)))</f>
        <v>70</v>
      </c>
      <c r="U8" s="372" t="str">
        <f t="array" aca="1" ref="U8" ca="1">IF(ISERROR(INDEX(Well_Data_NK_Upcoming!Concatenated_Wellname,MATCH(1,IF($B8=Well_Data_NK_Upcoming!RIG,IF(Well_Data_NK_Upcoming!Auto_Update_Rig_Schedule=3,1)),0))),"",(INDEX(Well_Data_NK_Upcoming!Concatenated_Wellname,MATCH(1,IF($B8=Well_Data_NK_Upcoming!RIG,IF(Well_Data_NK_Upcoming!Auto_Update_Rig_Schedule=3,1)),0))))</f>
        <v>SA-0471-SA-LB-Prod-ST-HZ</v>
      </c>
      <c r="V8" s="417" t="str">
        <f t="array" aca="1" ref="V8" ca="1">IF(T8="","",IF(ISERROR(INDEX(Well_Data_NK_Upcoming!Well_Type,MATCH(1,IF($B8=Well_Data_NK_Upcoming!RIG,IF(Well_Data_NK_Upcoming!Auto_Update_Rig_Schedule=3,1)),0))),"",(INDEX(Well_Data_NK_Upcoming!Well_Type,MATCH(1,IF($B8=Well_Data_NK_Upcoming!RIG,IF(Well_Data_NK_Upcoming!Auto_Update_Rig_Schedule=3,1)),0)))))</f>
        <v>SA-0471-LB-ST-Prod</v>
      </c>
      <c r="W8" s="418">
        <f t="shared" ca="1" si="6"/>
        <v>5</v>
      </c>
      <c r="X8" s="419" t="str">
        <f t="shared" ca="1" si="18"/>
        <v/>
      </c>
      <c r="Y8" s="430" t="str">
        <f t="shared" ca="1" si="7"/>
        <v/>
      </c>
      <c r="Z8" s="373">
        <f ca="1">IF(T8="","",INDEX(Well_Data_NK_Upcoming!Planned_Spud_to_RR,MATCH(RigScheduleTest!U8,Well_Data_NK_Upcoming!Concatenated_Wellname,0)))</f>
        <v>70</v>
      </c>
      <c r="AA8" s="371" t="str">
        <f t="array" aca="1" ref="AA8" ca="1">IF(ISERROR(INDEX(Well_Data_NK_Upcoming!Concatenated_Wellname,MATCH(1,IF($B8=Well_Data_NK_Upcoming!RIG,IF(Well_Data_NK_Upcoming!Auto_Update_Rig_Schedule=4,1)),0))),"",(INDEX(Well_Data_NK_Upcoming!Concatenated_Wellname,MATCH(1,IF($B8=Well_Data_NK_Upcoming!RIG,IF(Well_Data_NK_Upcoming!Auto_Update_Rig_Schedule=4,1)),0))))</f>
        <v>RA19-RA-ZU-Prod-NW-HZ-SLB</v>
      </c>
      <c r="AB8" s="417" t="str">
        <f t="array" aca="1" ref="AB8" ca="1">IF(Z8="","",IF(ISERROR(INDEX(Well_Data_NK_Upcoming!Well_Type,MATCH(1,IF($B8=Well_Data_NK_Upcoming!RIG,IF(Well_Data_NK_Upcoming!Auto_Update_Rig_Schedule=4,1)),0))),"",(INDEX(Well_Data_NK_Upcoming!Well_Type,MATCH(1,IF($B8=Well_Data_NK_Upcoming!RIG,IF(Well_Data_NK_Upcoming!Auto_Update_Rig_Schedule=4,1)),0)))))</f>
        <v>RA19-ZU-NW-Prod</v>
      </c>
      <c r="AC8" s="418">
        <f t="shared" ca="1" si="19"/>
        <v>5</v>
      </c>
      <c r="AD8" s="419" t="str">
        <f t="shared" ca="1" si="20"/>
        <v/>
      </c>
      <c r="AE8" s="430" t="str">
        <f t="shared" ca="1" si="8"/>
        <v/>
      </c>
      <c r="AF8" s="374">
        <f ca="1">IF(Z8="","",INDEX(Well_Data_NK_Upcoming!Planned_Spud_to_RR,MATCH(RigScheduleTest!AA8,Well_Data_NK_Upcoming!Concatenated_Wellname,0)))</f>
        <v>98</v>
      </c>
      <c r="AG8" s="373" t="str">
        <f t="array" aca="1" ref="AG8" ca="1">IF(ISERROR(INDEX(Well_Data_NK_Upcoming!Concatenated_Wellname,MATCH(1,IF($B8=Well_Data_NK_Upcoming!RIG,IF(Well_Data_NK_Upcoming!Auto_Update_Rig_Schedule=5,1)),0))),"",(INDEX(Well_Data_NK_Upcoming!Concatenated_Wellname,MATCH(1,IF($B8=Well_Data_NK_Upcoming!RIG,IF(Well_Data_NK_Upcoming!Auto_Update_Rig_Schedule=5,1)),0))))</f>
        <v>SA47-SA-MA-Inj-NW-HZ</v>
      </c>
      <c r="AH8" s="417" t="str">
        <f t="array" aca="1" ref="AH8" ca="1">IF(AF8="","",IF(ISERROR(INDEX(Well_Data_NK_Upcoming!Well_Type,MATCH(1,IF($B8=Well_Data_NK_Upcoming!RIG,IF(Well_Data_NK_Upcoming!Auto_Update_Rig_Schedule=5,1)),0))),"",(INDEX(Well_Data_NK_Upcoming!Well_Type,MATCH(1,IF($B8=Well_Data_NK_Upcoming!RIG,IF(Well_Data_NK_Upcoming!Auto_Update_Rig_Schedule=5,1)),0)))))</f>
        <v>SA47-MA-NW-Inj</v>
      </c>
      <c r="AI8" s="418">
        <f t="shared" ca="1" si="21"/>
        <v>5</v>
      </c>
      <c r="AJ8" s="419" t="str">
        <f t="shared" ca="1" si="22"/>
        <v/>
      </c>
      <c r="AK8" s="430" t="str">
        <f t="shared" ca="1" si="9"/>
        <v/>
      </c>
      <c r="AL8" s="372">
        <f ca="1">IF(Z8="","",INDEX(Well_Data_NK_Upcoming!Planned_Spud_to_RR,MATCH(RigScheduleTest!AG8,Well_Data_NK_Upcoming!Concatenated_Wellname,0)))</f>
        <v>63</v>
      </c>
      <c r="AM8" s="374" t="str">
        <f t="array" aca="1" ref="AM8" ca="1">IF(ISERROR(INDEX(Well_Data_NK_Upcoming!Concatenated_Wellname,MATCH(1,IF($B8=Well_Data_NK_Upcoming!RIG,IF(Well_Data_NK_Upcoming!Auto_Update_Rig_Schedule=6,1)),0))),"",(INDEX(Well_Data_NK_Upcoming!Concatenated_Wellname,MATCH(1,IF($B8=Well_Data_NK_Upcoming!RIG,IF(Well_Data_NK_Upcoming!Auto_Update_Rig_Schedule=6,1)),0))))</f>
        <v>RA35-RA-LB-Prod-NW-SL-SLB</v>
      </c>
      <c r="AN8" s="417" t="str">
        <f t="array" aca="1" ref="AN8" ca="1">IF(AL8="","",IF(ISERROR(INDEX(Well_Data_NK_Upcoming!Well_Type,MATCH(1,IF($B8=Well_Data_NK_Upcoming!RIG,IF(Well_Data_NK_Upcoming!Auto_Update_Rig_Schedule=6,1)),0))),"",(INDEX(Well_Data_NK_Upcoming!Well_Type,MATCH(1,IF($B8=Well_Data_NK_Upcoming!RIG,IF(Well_Data_NK_Upcoming!Auto_Update_Rig_Schedule=6,1)),0)))))</f>
        <v>RA35-LB-NW-Prod</v>
      </c>
      <c r="AO8" s="418">
        <f t="shared" ca="1" si="23"/>
        <v>5</v>
      </c>
      <c r="AP8" s="419" t="str">
        <f t="shared" ca="1" si="24"/>
        <v/>
      </c>
      <c r="AQ8" s="430" t="str">
        <f t="shared" ca="1" si="10"/>
        <v/>
      </c>
      <c r="AR8" s="373">
        <f ca="1">IF(AL8="","",INDEX(Well_Data_NK_Upcoming!Planned_Spud_to_RR,MATCH(RigScheduleTest!AM8,Well_Data_NK_Upcoming!Concatenated_Wellname,0)))</f>
        <v>70</v>
      </c>
      <c r="AS8" s="417" t="str">
        <f t="array" aca="1" ref="AS8" ca="1">IF(ISERROR(INDEX(Well_Data_NK_Upcoming!Concatenated_Wellname,MATCH(1,IF($B8=Well_Data_NK_Upcoming!RIG,IF(Well_Data_NK_Upcoming!Auto_Update_Rig_Schedule=7,1)),0))),"",(INDEX(Well_Data_NK_Upcoming!Concatenated_Wellname,MATCH(1,IF($B8=Well_Data_NK_Upcoming!RIG,IF(Well_Data_NK_Upcoming!Auto_Update_Rig_Schedule=7,1)),0))))</f>
        <v>RA41-RA-UB-Prod-NW-HZ-SLB</v>
      </c>
      <c r="AT8" s="417" t="str">
        <f t="array" aca="1" ref="AT8" ca="1">IF(AR8="","",IF(ISERROR(INDEX(Well_Data_NK_Upcoming!Well_Type,MATCH(1,IF($B8=Well_Data_NK_Upcoming!RIG,IF(Well_Data_NK_Upcoming!Auto_Update_Rig_Schedule=7,1)),0))),"",(INDEX(Well_Data_NK_Upcoming!Well_Type,MATCH(1,IF($B8=Well_Data_NK_Upcoming!RIG,IF(Well_Data_NK_Upcoming!Auto_Update_Rig_Schedule=7,1)),0)))))</f>
        <v>RA41-UB-NW-Prod</v>
      </c>
      <c r="AU8" s="418">
        <f t="shared" ca="1" si="25"/>
        <v>5</v>
      </c>
      <c r="AV8" s="419" t="str">
        <f t="shared" ca="1" si="26"/>
        <v/>
      </c>
      <c r="AW8" s="430" t="str">
        <f t="shared" ca="1" si="11"/>
        <v/>
      </c>
      <c r="AX8" s="342">
        <f ca="1">IF(AR8="","",INDEX(Well_Data_NK_Upcoming!Planned_Spud_to_RR,MATCH(RigScheduleTest!AS8,Well_Data_NK_Upcoming!Concatenated_Wellname,0)))</f>
        <v>70</v>
      </c>
      <c r="AY8" s="417" t="str">
        <f t="array" aca="1" ref="AY8" ca="1">IF(ISERROR(INDEX(Well_Data_NK_Upcoming!Concatenated_Wellname,MATCH(1,IF($B8=Well_Data_NK_Upcoming!RIG,IF(Well_Data_NK_Upcoming!Auto_Update_Rig_Schedule=8,1)),0))),"",(INDEX(Well_Data_NK_Upcoming!Concatenated_Wellname,MATCH(1,IF($B8=Well_Data_NK_Upcoming!RIG,IF(Well_Data_NK_Upcoming!Auto_Update_Rig_Schedule=8,1)),0))))</f>
        <v>RQ-RQ-ZU-Prod-NW-HZ</v>
      </c>
      <c r="AZ8" s="417" t="str">
        <f t="array" aca="1" ref="AZ8" ca="1">IF(AX8="","",IF(ISERROR(INDEX(Well_Data_NK_Upcoming!Well_Type,MATCH(1,IF($B8=Well_Data_NK_Upcoming!RIG,IF(Well_Data_NK_Upcoming!Auto_Update_Rig_Schedule=8,1)),0))),"",(INDEX(Well_Data_NK_Upcoming!Well_Type,MATCH(1,IF($B8=Well_Data_NK_Upcoming!RIG,IF(Well_Data_NK_Upcoming!Auto_Update_Rig_Schedule=8,1)),0)))))</f>
        <v>RQ-ZU-NW-Prod</v>
      </c>
      <c r="BA8" s="418">
        <f t="shared" ca="1" si="27"/>
        <v>5</v>
      </c>
      <c r="BB8" s="419" t="str">
        <f t="shared" ca="1" si="28"/>
        <v/>
      </c>
      <c r="BC8" s="430" t="str">
        <f t="shared" ca="1" si="12"/>
        <v/>
      </c>
      <c r="BD8" s="342">
        <f ca="1">IF(AX8="","",INDEX(Well_Data_NK_Upcoming!Planned_Spud_to_RR,MATCH(RigScheduleTest!AY8,Well_Data_NK_Upcoming!Concatenated_Wellname,0)))</f>
        <v>98</v>
      </c>
      <c r="BE8" s="417" t="str">
        <f t="array" aca="1" ref="BE8" ca="1">IF(ISERROR(INDEX(Well_Data_NK_Upcoming!Concatenated_Wellname,MATCH(1,IF($B8=Well_Data_NK_Upcoming!RIG,IF(Well_Data_NK_Upcoming!Auto_Update_Rig_Schedule=9,1)),0))),"",(INDEX(Well_Data_NK_Upcoming!Concatenated_Wellname,MATCH(1,IF($B8=Well_Data_NK_Upcoming!RIG,IF(Well_Data_NK_Upcoming!Auto_Update_Rig_Schedule=9,1)),0))))</f>
        <v/>
      </c>
      <c r="BF8" s="417" t="str">
        <f t="array" aca="1" ref="BF8" ca="1">IF(BD8="","",IF(ISERROR(INDEX(Well_Data_NK_Upcoming!Well_Type,MATCH(1,IF($B8=Well_Data_NK_Upcoming!RIG,IF(Well_Data_NK_Upcoming!Auto_Update_Rig_Schedule=9,1)),0))),"",(INDEX(Well_Data_NK_Upcoming!Well_Type,MATCH(1,IF($B8=Well_Data_NK_Upcoming!RIG,IF(Well_Data_NK_Upcoming!Auto_Update_Rig_Schedule=9,1)),0)))))</f>
        <v/>
      </c>
      <c r="BG8" s="418" t="str">
        <f t="shared" ca="1" si="29"/>
        <v/>
      </c>
      <c r="BH8" s="419" t="str">
        <f t="shared" ca="1" si="30"/>
        <v/>
      </c>
      <c r="BI8" s="430" t="str">
        <f t="shared" ca="1" si="13"/>
        <v/>
      </c>
      <c r="BJ8" s="342" t="str">
        <f ca="1">IF(BD8="","",INDEX(Well_Data_NK_Upcoming!Planned_Spud_to_RR,MATCH(RigScheduleTest!BE8,Well_Data_NK_Upcoming!Concatenated_Wellname,0)))</f>
        <v/>
      </c>
      <c r="BK8" s="417" t="str">
        <f t="array" aca="1" ref="BK8" ca="1">IF(ISERROR(INDEX(Well_Data_NK_Upcoming!Concatenated_Wellname,MATCH(1,IF($B8=Well_Data_NK_Upcoming!RIG,IF(Well_Data_NK_Upcoming!Auto_Update_Rig_Schedule=10,1)),0))),"",(INDEX(Well_Data_NK_Upcoming!Concatenated_Wellname,MATCH(1,IF($B8=Well_Data_NK_Upcoming!RIG,IF(Well_Data_NK_Upcoming!Auto_Update_Rig_Schedule=10,1)),0))))</f>
        <v/>
      </c>
      <c r="BL8" s="417" t="str">
        <f t="array" aca="1" ref="BL8" ca="1">IF(BJ8="","",IF(ISERROR(INDEX(Well_Data_NK_Upcoming!Well_Type,MATCH(1,IF($B8=Well_Data_NK_Upcoming!RIG,IF(Well_Data_NK_Upcoming!Auto_Update_Rig_Schedule=10,1)),0))),"",(INDEX(Well_Data_NK_Upcoming!Well_Type,MATCH(1,IF($B8=Well_Data_NK_Upcoming!RIG,IF(Well_Data_NK_Upcoming!Auto_Update_Rig_Schedule=10,1)),0)))))</f>
        <v/>
      </c>
      <c r="BM8" s="418" t="str">
        <f t="shared" ca="1" si="31"/>
        <v/>
      </c>
      <c r="BN8" s="419" t="str">
        <f t="shared" ca="1" si="32"/>
        <v/>
      </c>
      <c r="BO8" s="430" t="str">
        <f t="shared" ca="1" si="14"/>
        <v/>
      </c>
      <c r="BP8" s="342" t="str">
        <f ca="1">IF(BJ8="","",INDEX(Well_Data_NK_Upcoming!Planned_Spud_to_RR,MATCH(RigScheduleTest!BK8,Well_Data_NK_Upcoming!Concatenated_Wellname,0)))</f>
        <v/>
      </c>
    </row>
    <row r="9" spans="1:68" ht="15" x14ac:dyDescent="0.25">
      <c r="A9" s="429" t="str">
        <f t="shared" ca="1" si="0"/>
        <v>SA-0166-NDSC-16</v>
      </c>
      <c r="B9" s="425" t="s">
        <v>512</v>
      </c>
      <c r="C9" s="340" t="str">
        <f t="array" aca="1" ref="C9" ca="1">IF(ISERROR(INDEX(Well_Data_NK_Upcoming!WELL,MATCH(1,IF($B9=Well_Data_NK_Upcoming!RIG,IF(Well_Data_NK_Upcoming!Auto_Update_Rig_Schedule=0,1)),0))),"",(INDEX(Well_Data_NK_Upcoming!WELL,MATCH(1,IF($B9=Well_Data_NK_Upcoming!RIG,IF(Well_Data_NK_Upcoming!Auto_Update_Rig_Schedule=0,1)),0))))</f>
        <v>SA-0166</v>
      </c>
      <c r="D9" s="424" t="str">
        <f ca="1">INDEX(Well_Data_NK_Upcoming!Concatenated_Wellname,MATCH(RigScheduleTest!A9,Well_Data_NK_Upcoming!Well_Rig,0))</f>
        <v>SA-0166-SA-MA-Prod-ST-HZ-SLB</v>
      </c>
      <c r="E9" s="423" t="str">
        <f ca="1">INDEX(Well_Data_NK_Upcoming!Well_Type,MATCH(RigScheduleTest!A9,Well_Data_NK_Upcoming!Well_Rig,0))</f>
        <v>SA-0166-MA-ST-Prod</v>
      </c>
      <c r="F9" s="341">
        <f t="shared" si="15"/>
        <v>42233</v>
      </c>
      <c r="G9" s="367">
        <f ca="1">IF(ISERROR(INDEX(Well_Data_NK_Upcoming!Updated_Drill_Days,MATCH(RigScheduleTest!A9,Well_Data_NK_Upcoming!Well_Rig,0))),"",(INDEX(Well_Data_NK_Upcoming!Updated_Drill_Days,MATCH(RigScheduleTest!A9,Well_Data_NK_Upcoming!Well_Rig,0))))</f>
        <v>14</v>
      </c>
      <c r="H9" s="422">
        <f t="shared" ca="1" si="33"/>
        <v>42247</v>
      </c>
      <c r="I9" s="372" t="str">
        <f t="array" aca="1" ref="I9" ca="1">IF(ISERROR(INDEX(Well_Data_NK_Upcoming!Concatenated_Wellname,MATCH(1,IF($B9=Well_Data_NK_Upcoming!RIG,IF(Well_Data_NK_Upcoming!Auto_Update_Rig_Schedule=1,1)),0))),"",(INDEX(Well_Data_NK_Upcoming!Concatenated_Wellname,MATCH(1,IF($B9=Well_Data_NK_Upcoming!RIG,IF(Well_Data_NK_Upcoming!Auto_Update_Rig_Schedule=1,1)),0))))</f>
        <v>RA-0311-RA-MA-Prod-ST-HZ-SLB</v>
      </c>
      <c r="J9" s="417" t="str">
        <f t="array" aca="1" ref="J9" ca="1">IF(G9="","",IF(ISERROR(INDEX(Well_Data_NK_Upcoming!Well_Type,MATCH(1,IF($B9=Well_Data_NK_Upcoming!RIG,IF(Well_Data_NK_Upcoming!Auto_Update_Rig_Schedule=1,1)),0))),"",(INDEX(Well_Data_NK_Upcoming!Well_Type,MATCH(1,IF($B9=Well_Data_NK_Upcoming!RIG,IF(Well_Data_NK_Upcoming!Auto_Update_Rig_Schedule=1,1)),0)))))</f>
        <v>RA-0311-MA-ST-Prod</v>
      </c>
      <c r="K9" s="418">
        <f t="shared" ca="1" si="2"/>
        <v>5</v>
      </c>
      <c r="L9" s="419">
        <f t="shared" ca="1" si="16"/>
        <v>42252</v>
      </c>
      <c r="M9" s="430">
        <f t="shared" ca="1" si="34"/>
        <v>42308</v>
      </c>
      <c r="N9" s="372">
        <f ca="1">IF(G9="","",INDEX(Well_Data_NK_Upcoming!Planned_Spud_to_RR,MATCH(RigScheduleTest!I9,Well_Data_NK_Upcoming!Concatenated_Wellname,0)))</f>
        <v>56</v>
      </c>
      <c r="O9" s="372" t="str">
        <f t="array" aca="1" ref="O9" ca="1">IF(ISERROR(INDEX(Well_Data_NK_Upcoming!Concatenated_Wellname,MATCH(1,IF($B9=Well_Data_NK_Upcoming!RIG,IF(Well_Data_NK_Upcoming!Auto_Update_Rig_Schedule=2,1)),0))),"",(INDEX(Well_Data_NK_Upcoming!Concatenated_Wellname,MATCH(1,IF($B9=Well_Data_NK_Upcoming!RIG,IF(Well_Data_NK_Upcoming!Auto_Update_Rig_Schedule=2,1)),0))))</f>
        <v>RA-0593-RA-ZU-Prod-NW-HZ-SLB</v>
      </c>
      <c r="P9" s="417" t="str">
        <f t="array" aca="1" ref="P9" ca="1">IF(N9="","",IF(ISERROR(INDEX(Well_Data_NK_Upcoming!Well_Type,MATCH(1,IF($B9=Well_Data_NK_Upcoming!RIG,IF(Well_Data_NK_Upcoming!Auto_Update_Rig_Schedule=2,1)),0))),"",(INDEX(Well_Data_NK_Upcoming!Well_Type,MATCH(1,IF($B9=Well_Data_NK_Upcoming!RIG,IF(Well_Data_NK_Upcoming!Auto_Update_Rig_Schedule=2,1)),0)))))</f>
        <v>RA-0593-ZU-NW-Prod</v>
      </c>
      <c r="Q9" s="418">
        <f t="shared" ca="1" si="4"/>
        <v>5</v>
      </c>
      <c r="R9" s="419">
        <f t="shared" ca="1" si="17"/>
        <v>42313</v>
      </c>
      <c r="S9" s="430">
        <f t="shared" ca="1" si="5"/>
        <v>42411</v>
      </c>
      <c r="T9" s="374">
        <f ca="1">IF(N9="","",INDEX(Well_Data_NK_Upcoming!Planned_Spud_to_RR,MATCH(RigScheduleTest!O9,Well_Data_NK_Upcoming!Concatenated_Wellname,0)))</f>
        <v>98</v>
      </c>
      <c r="U9" s="372" t="str">
        <f t="array" aca="1" ref="U9" ca="1">IF(ISERROR(INDEX(Well_Data_NK_Upcoming!Concatenated_Wellname,MATCH(1,IF($B9=Well_Data_NK_Upcoming!RIG,IF(Well_Data_NK_Upcoming!Auto_Update_Rig_Schedule=3,1)),0))),"",(INDEX(Well_Data_NK_Upcoming!Concatenated_Wellname,MATCH(1,IF($B9=Well_Data_NK_Upcoming!RIG,IF(Well_Data_NK_Upcoming!Auto_Update_Rig_Schedule=3,1)),0))))</f>
        <v>RA10-RA-ZU-Prod-SLB</v>
      </c>
      <c r="V9" s="417" t="str">
        <f t="array" aca="1" ref="V9" ca="1">IF(T9="","",IF(ISERROR(INDEX(Well_Data_NK_Upcoming!Well_Type,MATCH(1,IF($B9=Well_Data_NK_Upcoming!RIG,IF(Well_Data_NK_Upcoming!Auto_Update_Rig_Schedule=3,1)),0))),"",(INDEX(Well_Data_NK_Upcoming!Well_Type,MATCH(1,IF($B9=Well_Data_NK_Upcoming!RIG,IF(Well_Data_NK_Upcoming!Auto_Update_Rig_Schedule=3,1)),0)))))</f>
        <v>RA10-ZU-Prod</v>
      </c>
      <c r="W9" s="418">
        <f t="shared" ca="1" si="6"/>
        <v>5</v>
      </c>
      <c r="X9" s="419">
        <f t="shared" ca="1" si="18"/>
        <v>42416</v>
      </c>
      <c r="Y9" s="430">
        <f t="shared" ca="1" si="7"/>
        <v>42514</v>
      </c>
      <c r="Z9" s="374">
        <f ca="1">IF(T9="","",INDEX(Well_Data_NK_Upcoming!Planned_Spud_to_RR,MATCH(RigScheduleTest!U9,Well_Data_NK_Upcoming!Concatenated_Wellname,0)))</f>
        <v>98</v>
      </c>
      <c r="AA9" s="374" t="str">
        <f t="array" aca="1" ref="AA9" ca="1">IF(ISERROR(INDEX(Well_Data_NK_Upcoming!Concatenated_Wellname,MATCH(1,IF($B9=Well_Data_NK_Upcoming!RIG,IF(Well_Data_NK_Upcoming!Auto_Update_Rig_Schedule=4,1)),0))),"",(INDEX(Well_Data_NK_Upcoming!Concatenated_Wellname,MATCH(1,IF($B9=Well_Data_NK_Upcoming!RIG,IF(Well_Data_NK_Upcoming!Auto_Update_Rig_Schedule=4,1)),0))))</f>
        <v>SA19-SA-MA-Prod-NW-HZ</v>
      </c>
      <c r="AB9" s="417" t="str">
        <f t="array" aca="1" ref="AB9" ca="1">IF(Z9="","",IF(ISERROR(INDEX(Well_Data_NK_Upcoming!Well_Type,MATCH(1,IF($B9=Well_Data_NK_Upcoming!RIG,IF(Well_Data_NK_Upcoming!Auto_Update_Rig_Schedule=4,1)),0))),"",(INDEX(Well_Data_NK_Upcoming!Well_Type,MATCH(1,IF($B9=Well_Data_NK_Upcoming!RIG,IF(Well_Data_NK_Upcoming!Auto_Update_Rig_Schedule=4,1)),0)))))</f>
        <v>SA19-MA-NW-Prod</v>
      </c>
      <c r="AC9" s="418">
        <f t="shared" ca="1" si="19"/>
        <v>5</v>
      </c>
      <c r="AD9" s="419">
        <f t="shared" ca="1" si="20"/>
        <v>42519</v>
      </c>
      <c r="AE9" s="430">
        <f t="shared" ca="1" si="8"/>
        <v>42589</v>
      </c>
      <c r="AF9" s="372">
        <f ca="1">IF(Z9="","",INDEX(Well_Data_NK_Upcoming!Planned_Spud_to_RR,MATCH(RigScheduleTest!AA9,Well_Data_NK_Upcoming!Concatenated_Wellname,0)))</f>
        <v>70</v>
      </c>
      <c r="AG9" s="372" t="str">
        <f t="array" aca="1" ref="AG9" ca="1">IF(ISERROR(INDEX(Well_Data_NK_Upcoming!Concatenated_Wellname,MATCH(1,IF($B9=Well_Data_NK_Upcoming!RIG,IF(Well_Data_NK_Upcoming!Auto_Update_Rig_Schedule=5,1)),0))),"",(INDEX(Well_Data_NK_Upcoming!Concatenated_Wellname,MATCH(1,IF($B9=Well_Data_NK_Upcoming!RIG,IF(Well_Data_NK_Upcoming!Auto_Update_Rig_Schedule=5,1)),0))))</f>
        <v>RA20-RA-LB-Prod-NW-SL-SLB</v>
      </c>
      <c r="AH9" s="417" t="str">
        <f t="array" aca="1" ref="AH9" ca="1">IF(AF9="","",IF(ISERROR(INDEX(Well_Data_NK_Upcoming!Well_Type,MATCH(1,IF($B9=Well_Data_NK_Upcoming!RIG,IF(Well_Data_NK_Upcoming!Auto_Update_Rig_Schedule=5,1)),0))),"",(INDEX(Well_Data_NK_Upcoming!Well_Type,MATCH(1,IF($B9=Well_Data_NK_Upcoming!RIG,IF(Well_Data_NK_Upcoming!Auto_Update_Rig_Schedule=5,1)),0)))))</f>
        <v>RA20-LB-NW-Prod</v>
      </c>
      <c r="AI9" s="418">
        <f t="shared" ca="1" si="21"/>
        <v>5</v>
      </c>
      <c r="AJ9" s="419">
        <f t="shared" ca="1" si="22"/>
        <v>42594</v>
      </c>
      <c r="AK9" s="430">
        <f t="shared" ca="1" si="9"/>
        <v>42664</v>
      </c>
      <c r="AL9" s="373">
        <f ca="1">IF(Z9="","",INDEX(Well_Data_NK_Upcoming!Planned_Spud_to_RR,MATCH(RigScheduleTest!AG9,Well_Data_NK_Upcoming!Concatenated_Wellname,0)))</f>
        <v>70</v>
      </c>
      <c r="AM9" s="373" t="str">
        <f t="array" aca="1" ref="AM9" ca="1">IF(ISERROR(INDEX(Well_Data_NK_Upcoming!Concatenated_Wellname,MATCH(1,IF($B9=Well_Data_NK_Upcoming!RIG,IF(Well_Data_NK_Upcoming!Auto_Update_Rig_Schedule=6,1)),0))),"",(INDEX(Well_Data_NK_Upcoming!Concatenated_Wellname,MATCH(1,IF($B9=Well_Data_NK_Upcoming!RIG,IF(Well_Data_NK_Upcoming!Auto_Update_Rig_Schedule=6,1)),0))))</f>
        <v>RA27-RA-UB-Prod-NW-SL-SLB</v>
      </c>
      <c r="AN9" s="417" t="str">
        <f t="array" aca="1" ref="AN9" ca="1">IF(AL9="","",IF(ISERROR(INDEX(Well_Data_NK_Upcoming!Well_Type,MATCH(1,IF($B9=Well_Data_NK_Upcoming!RIG,IF(Well_Data_NK_Upcoming!Auto_Update_Rig_Schedule=6,1)),0))),"",(INDEX(Well_Data_NK_Upcoming!Well_Type,MATCH(1,IF($B9=Well_Data_NK_Upcoming!RIG,IF(Well_Data_NK_Upcoming!Auto_Update_Rig_Schedule=6,1)),0)))))</f>
        <v>RA27-UB-NW-Prod</v>
      </c>
      <c r="AO9" s="418">
        <f t="shared" ca="1" si="23"/>
        <v>5</v>
      </c>
      <c r="AP9" s="419">
        <f t="shared" ca="1" si="24"/>
        <v>42669</v>
      </c>
      <c r="AQ9" s="430">
        <f t="shared" ca="1" si="10"/>
        <v>42739</v>
      </c>
      <c r="AR9" s="371">
        <f ca="1">IF(AL9="","",INDEX(Well_Data_NK_Upcoming!Planned_Spud_to_RR,MATCH(RigScheduleTest!AM9,Well_Data_NK_Upcoming!Concatenated_Wellname,0)))</f>
        <v>70</v>
      </c>
      <c r="AS9" s="417" t="str">
        <f t="array" aca="1" ref="AS9" ca="1">IF(ISERROR(INDEX(Well_Data_NK_Upcoming!Concatenated_Wellname,MATCH(1,IF($B9=Well_Data_NK_Upcoming!RIG,IF(Well_Data_NK_Upcoming!Auto_Update_Rig_Schedule=7,1)),0))),"",(INDEX(Well_Data_NK_Upcoming!Concatenated_Wellname,MATCH(1,IF($B9=Well_Data_NK_Upcoming!RIG,IF(Well_Data_NK_Upcoming!Auto_Update_Rig_Schedule=7,1)),0))))</f>
        <v>SA54-SA-RT-Prod-NW-HZ</v>
      </c>
      <c r="AT9" s="417" t="str">
        <f t="array" aca="1" ref="AT9" ca="1">IF(AR9="","",IF(ISERROR(INDEX(Well_Data_NK_Upcoming!Well_Type,MATCH(1,IF($B9=Well_Data_NK_Upcoming!RIG,IF(Well_Data_NK_Upcoming!Auto_Update_Rig_Schedule=7,1)),0))),"",(INDEX(Well_Data_NK_Upcoming!Well_Type,MATCH(1,IF($B9=Well_Data_NK_Upcoming!RIG,IF(Well_Data_NK_Upcoming!Auto_Update_Rig_Schedule=7,1)),0)))))</f>
        <v>SA54-RT-NW-Prod</v>
      </c>
      <c r="AU9" s="418">
        <f t="shared" ca="1" si="25"/>
        <v>5</v>
      </c>
      <c r="AV9" s="419">
        <f t="shared" ca="1" si="26"/>
        <v>42744</v>
      </c>
      <c r="AW9" s="430">
        <f t="shared" ca="1" si="11"/>
        <v>42842</v>
      </c>
      <c r="AX9" s="342">
        <f ca="1">IF(AR9="","",INDEX(Well_Data_NK_Upcoming!Planned_Spud_to_RR,MATCH(RigScheduleTest!AS9,Well_Data_NK_Upcoming!Concatenated_Wellname,0)))</f>
        <v>98</v>
      </c>
      <c r="AY9" s="417" t="str">
        <f t="array" aca="1" ref="AY9" ca="1">IF(ISERROR(INDEX(Well_Data_NK_Upcoming!Concatenated_Wellname,MATCH(1,IF($B9=Well_Data_NK_Upcoming!RIG,IF(Well_Data_NK_Upcoming!Auto_Update_Rig_Schedule=8,1)),0))),"",(INDEX(Well_Data_NK_Upcoming!Concatenated_Wellname,MATCH(1,IF($B9=Well_Data_NK_Upcoming!RIG,IF(Well_Data_NK_Upcoming!Auto_Update_Rig_Schedule=8,1)),0))))</f>
        <v/>
      </c>
      <c r="AZ9" s="417" t="str">
        <f t="array" aca="1" ref="AZ9" ca="1">IF(AX9="","",IF(ISERROR(INDEX(Well_Data_NK_Upcoming!Well_Type,MATCH(1,IF($B9=Well_Data_NK_Upcoming!RIG,IF(Well_Data_NK_Upcoming!Auto_Update_Rig_Schedule=8,1)),0))),"",(INDEX(Well_Data_NK_Upcoming!Well_Type,MATCH(1,IF($B9=Well_Data_NK_Upcoming!RIG,IF(Well_Data_NK_Upcoming!Auto_Update_Rig_Schedule=8,1)),0)))))</f>
        <v/>
      </c>
      <c r="BA9" s="418" t="str">
        <f t="shared" ca="1" si="27"/>
        <v/>
      </c>
      <c r="BB9" s="419" t="str">
        <f t="shared" ca="1" si="28"/>
        <v/>
      </c>
      <c r="BC9" s="430" t="str">
        <f t="shared" ca="1" si="12"/>
        <v/>
      </c>
      <c r="BD9" s="342" t="str">
        <f ca="1">IF(AX9="","",INDEX(Well_Data_NK_Upcoming!Planned_Spud_to_RR,MATCH(RigScheduleTest!AY9,Well_Data_NK_Upcoming!Concatenated_Wellname,0)))</f>
        <v/>
      </c>
      <c r="BE9" s="417" t="str">
        <f t="array" aca="1" ref="BE9" ca="1">IF(ISERROR(INDEX(Well_Data_NK_Upcoming!Concatenated_Wellname,MATCH(1,IF($B9=Well_Data_NK_Upcoming!RIG,IF(Well_Data_NK_Upcoming!Auto_Update_Rig_Schedule=9,1)),0))),"",(INDEX(Well_Data_NK_Upcoming!Concatenated_Wellname,MATCH(1,IF($B9=Well_Data_NK_Upcoming!RIG,IF(Well_Data_NK_Upcoming!Auto_Update_Rig_Schedule=9,1)),0))))</f>
        <v/>
      </c>
      <c r="BF9" s="417" t="str">
        <f t="array" aca="1" ref="BF9" ca="1">IF(BD9="","",IF(ISERROR(INDEX(Well_Data_NK_Upcoming!Well_Type,MATCH(1,IF($B9=Well_Data_NK_Upcoming!RIG,IF(Well_Data_NK_Upcoming!Auto_Update_Rig_Schedule=9,1)),0))),"",(INDEX(Well_Data_NK_Upcoming!Well_Type,MATCH(1,IF($B9=Well_Data_NK_Upcoming!RIG,IF(Well_Data_NK_Upcoming!Auto_Update_Rig_Schedule=9,1)),0)))))</f>
        <v/>
      </c>
      <c r="BG9" s="418" t="str">
        <f t="shared" ca="1" si="29"/>
        <v/>
      </c>
      <c r="BH9" s="419" t="str">
        <f t="shared" ca="1" si="30"/>
        <v/>
      </c>
      <c r="BI9" s="430" t="str">
        <f t="shared" ca="1" si="13"/>
        <v/>
      </c>
      <c r="BJ9" s="342" t="str">
        <f ca="1">IF(BD9="","",INDEX(Well_Data_NK_Upcoming!Planned_Spud_to_RR,MATCH(RigScheduleTest!BE9,Well_Data_NK_Upcoming!Concatenated_Wellname,0)))</f>
        <v/>
      </c>
      <c r="BK9" s="417" t="str">
        <f t="array" aca="1" ref="BK9" ca="1">IF(ISERROR(INDEX(Well_Data_NK_Upcoming!Concatenated_Wellname,MATCH(1,IF($B9=Well_Data_NK_Upcoming!RIG,IF(Well_Data_NK_Upcoming!Auto_Update_Rig_Schedule=10,1)),0))),"",(INDEX(Well_Data_NK_Upcoming!Concatenated_Wellname,MATCH(1,IF($B9=Well_Data_NK_Upcoming!RIG,IF(Well_Data_NK_Upcoming!Auto_Update_Rig_Schedule=10,1)),0))))</f>
        <v/>
      </c>
      <c r="BL9" s="417" t="str">
        <f t="array" aca="1" ref="BL9" ca="1">IF(BJ9="","",IF(ISERROR(INDEX(Well_Data_NK_Upcoming!Well_Type,MATCH(1,IF($B9=Well_Data_NK_Upcoming!RIG,IF(Well_Data_NK_Upcoming!Auto_Update_Rig_Schedule=10,1)),0))),"",(INDEX(Well_Data_NK_Upcoming!Well_Type,MATCH(1,IF($B9=Well_Data_NK_Upcoming!RIG,IF(Well_Data_NK_Upcoming!Auto_Update_Rig_Schedule=10,1)),0)))))</f>
        <v/>
      </c>
      <c r="BM9" s="418" t="str">
        <f t="shared" ca="1" si="31"/>
        <v/>
      </c>
      <c r="BN9" s="419" t="str">
        <f t="shared" ca="1" si="32"/>
        <v/>
      </c>
      <c r="BO9" s="430" t="str">
        <f t="shared" ca="1" si="14"/>
        <v/>
      </c>
      <c r="BP9" s="342" t="str">
        <f ca="1">IF(BJ9="","",INDEX(Well_Data_NK_Upcoming!Planned_Spud_to_RR,MATCH(RigScheduleTest!BK9,Well_Data_NK_Upcoming!Concatenated_Wellname,0)))</f>
        <v/>
      </c>
    </row>
    <row r="10" spans="1:68" ht="15" x14ac:dyDescent="0.25">
      <c r="A10" s="429" t="str">
        <f t="shared" ca="1" si="0"/>
        <v>RA-0577-NDSC-17</v>
      </c>
      <c r="B10" s="425" t="s">
        <v>511</v>
      </c>
      <c r="C10" s="340" t="str">
        <f t="array" aca="1" ref="C10" ca="1">IF(ISERROR(INDEX(Well_Data_NK_Upcoming!WELL,MATCH(1,IF($B10=Well_Data_NK_Upcoming!RIG,IF(Well_Data_NK_Upcoming!Auto_Update_Rig_Schedule=0,1)),0))),"",(INDEX(Well_Data_NK_Upcoming!WELL,MATCH(1,IF($B10=Well_Data_NK_Upcoming!RIG,IF(Well_Data_NK_Upcoming!Auto_Update_Rig_Schedule=0,1)),0))))</f>
        <v>RA-0577</v>
      </c>
      <c r="D10" s="424" t="str">
        <f ca="1">INDEX(Well_Data_NK_Upcoming!Concatenated_Wellname,MATCH(RigScheduleTest!A10,Well_Data_NK_Upcoming!Well_Rig,0))</f>
        <v>RA-0577-RA-LB-Prod-NW-SL-SLB</v>
      </c>
      <c r="E10" s="423" t="str">
        <f ca="1">INDEX(Well_Data_NK_Upcoming!Well_Type,MATCH(RigScheduleTest!A10,Well_Data_NK_Upcoming!Well_Rig,0))</f>
        <v>RA-0577-LB-NW-Prod</v>
      </c>
      <c r="F10" s="341">
        <f t="shared" si="15"/>
        <v>42233</v>
      </c>
      <c r="G10" s="370">
        <f ca="1">IF(ISERROR(INDEX(Well_Data_NK_Upcoming!Updated_Drill_Days,MATCH(RigScheduleTest!A10,Well_Data_NK_Upcoming!Well_Rig,0))),"",(INDEX(Well_Data_NK_Upcoming!Updated_Drill_Days,MATCH(RigScheduleTest!A10,Well_Data_NK_Upcoming!Well_Rig,0))))</f>
        <v>14</v>
      </c>
      <c r="H10" s="422">
        <f t="shared" ca="1" si="33"/>
        <v>42247</v>
      </c>
      <c r="I10" s="373" t="str">
        <f t="array" aca="1" ref="I10" ca="1">IF(ISERROR(INDEX(Well_Data_NK_Upcoming!Concatenated_Wellname,MATCH(1,IF($B10=Well_Data_NK_Upcoming!RIG,IF(Well_Data_NK_Upcoming!Auto_Update_Rig_Schedule=1,1)),0))),"",(INDEX(Well_Data_NK_Upcoming!Concatenated_Wellname,MATCH(1,IF($B10=Well_Data_NK_Upcoming!RIG,IF(Well_Data_NK_Upcoming!Auto_Update_Rig_Schedule=1,1)),0))))</f>
        <v>RA-0583-RA-LB-Prod-NW-SL-WFD</v>
      </c>
      <c r="J10" s="417" t="str">
        <f t="array" aca="1" ref="J10" ca="1">IF(G10="","",IF(ISERROR(INDEX(Well_Data_NK_Upcoming!Well_Type,MATCH(1,IF($B10=Well_Data_NK_Upcoming!RIG,IF(Well_Data_NK_Upcoming!Auto_Update_Rig_Schedule=1,1)),0))),"",(INDEX(Well_Data_NK_Upcoming!Well_Type,MATCH(1,IF($B10=Well_Data_NK_Upcoming!RIG,IF(Well_Data_NK_Upcoming!Auto_Update_Rig_Schedule=1,1)),0)))))</f>
        <v>RA-0583-LB-NW-Prod</v>
      </c>
      <c r="K10" s="418">
        <f t="shared" ca="1" si="2"/>
        <v>5</v>
      </c>
      <c r="L10" s="419">
        <f t="shared" ca="1" si="16"/>
        <v>42252</v>
      </c>
      <c r="M10" s="430">
        <f t="shared" ca="1" si="34"/>
        <v>42322</v>
      </c>
      <c r="N10" s="373">
        <f ca="1">IF(G10="","",INDEX(Well_Data_NK_Upcoming!Planned_Spud_to_RR,MATCH(RigScheduleTest!I10,Well_Data_NK_Upcoming!Concatenated_Wellname,0)))</f>
        <v>70</v>
      </c>
      <c r="O10" s="373" t="str">
        <f t="array" aca="1" ref="O10" ca="1">IF(ISERROR(INDEX(Well_Data_NK_Upcoming!Concatenated_Wellname,MATCH(1,IF($B10=Well_Data_NK_Upcoming!RIG,IF(Well_Data_NK_Upcoming!Auto_Update_Rig_Schedule=2,1)),0))),"",(INDEX(Well_Data_NK_Upcoming!Concatenated_Wellname,MATCH(1,IF($B10=Well_Data_NK_Upcoming!RIG,IF(Well_Data_NK_Upcoming!Auto_Update_Rig_Schedule=2,1)),0))))</f>
        <v>RA3-RA-MA-Prod-NW-HZ-SLB</v>
      </c>
      <c r="P10" s="417" t="str">
        <f t="array" aca="1" ref="P10" ca="1">IF(N10="","",IF(ISERROR(INDEX(Well_Data_NK_Upcoming!Well_Type,MATCH(1,IF($B10=Well_Data_NK_Upcoming!RIG,IF(Well_Data_NK_Upcoming!Auto_Update_Rig_Schedule=2,1)),0))),"",(INDEX(Well_Data_NK_Upcoming!Well_Type,MATCH(1,IF($B10=Well_Data_NK_Upcoming!RIG,IF(Well_Data_NK_Upcoming!Auto_Update_Rig_Schedule=2,1)),0)))))</f>
        <v>RA3-MA-NW-Prod</v>
      </c>
      <c r="Q10" s="418">
        <f t="shared" ca="1" si="4"/>
        <v>5</v>
      </c>
      <c r="R10" s="419">
        <f t="shared" ca="1" si="17"/>
        <v>42327</v>
      </c>
      <c r="S10" s="430">
        <f t="shared" ca="1" si="5"/>
        <v>42397</v>
      </c>
      <c r="T10" s="372">
        <f ca="1">IF(N10="","",INDEX(Well_Data_NK_Upcoming!Planned_Spud_to_RR,MATCH(RigScheduleTest!O10,Well_Data_NK_Upcoming!Concatenated_Wellname,0)))</f>
        <v>70</v>
      </c>
      <c r="U10" s="372" t="str">
        <f t="array" aca="1" ref="U10" ca="1">IF(ISERROR(INDEX(Well_Data_NK_Upcoming!Concatenated_Wellname,MATCH(1,IF($B10=Well_Data_NK_Upcoming!RIG,IF(Well_Data_NK_Upcoming!Auto_Update_Rig_Schedule=3,1)),0))),"",(INDEX(Well_Data_NK_Upcoming!Concatenated_Wellname,MATCH(1,IF($B10=Well_Data_NK_Upcoming!RIG,IF(Well_Data_NK_Upcoming!Auto_Update_Rig_Schedule=3,1)),0))))</f>
        <v>RA-0582-RA-UB-Prod-NW-HZ-WFD</v>
      </c>
      <c r="V10" s="417" t="str">
        <f t="array" aca="1" ref="V10" ca="1">IF(T10="","",IF(ISERROR(INDEX(Well_Data_NK_Upcoming!Well_Type,MATCH(1,IF($B10=Well_Data_NK_Upcoming!RIG,IF(Well_Data_NK_Upcoming!Auto_Update_Rig_Schedule=3,1)),0))),"",(INDEX(Well_Data_NK_Upcoming!Well_Type,MATCH(1,IF($B10=Well_Data_NK_Upcoming!RIG,IF(Well_Data_NK_Upcoming!Auto_Update_Rig_Schedule=3,1)),0)))))</f>
        <v>RA-0582-UB-NW-Prod</v>
      </c>
      <c r="W10" s="418">
        <f t="shared" ca="1" si="6"/>
        <v>5</v>
      </c>
      <c r="X10" s="419">
        <f t="shared" ca="1" si="18"/>
        <v>42402</v>
      </c>
      <c r="Y10" s="430">
        <f t="shared" ca="1" si="7"/>
        <v>42472</v>
      </c>
      <c r="Z10" s="371">
        <f ca="1">IF(T10="","",INDEX(Well_Data_NK_Upcoming!Planned_Spud_to_RR,MATCH(RigScheduleTest!U10,Well_Data_NK_Upcoming!Concatenated_Wellname,0)))</f>
        <v>70</v>
      </c>
      <c r="AA10" s="371" t="str">
        <f t="array" aca="1" ref="AA10" ca="1">IF(ISERROR(INDEX(Well_Data_NK_Upcoming!Concatenated_Wellname,MATCH(1,IF($B10=Well_Data_NK_Upcoming!RIG,IF(Well_Data_NK_Upcoming!Auto_Update_Rig_Schedule=4,1)),0))),"",(INDEX(Well_Data_NK_Upcoming!Concatenated_Wellname,MATCH(1,IF($B10=Well_Data_NK_Upcoming!RIG,IF(Well_Data_NK_Upcoming!Auto_Update_Rig_Schedule=4,1)),0))))</f>
        <v>RA4-RA-MA-Prod</v>
      </c>
      <c r="AB10" s="417" t="str">
        <f t="array" aca="1" ref="AB10" ca="1">IF(Z10="","",IF(ISERROR(INDEX(Well_Data_NK_Upcoming!Well_Type,MATCH(1,IF($B10=Well_Data_NK_Upcoming!RIG,IF(Well_Data_NK_Upcoming!Auto_Update_Rig_Schedule=4,1)),0))),"",(INDEX(Well_Data_NK_Upcoming!Well_Type,MATCH(1,IF($B10=Well_Data_NK_Upcoming!RIG,IF(Well_Data_NK_Upcoming!Auto_Update_Rig_Schedule=4,1)),0)))))</f>
        <v>RA4-MA-Prod</v>
      </c>
      <c r="AC10" s="418">
        <f t="shared" ca="1" si="19"/>
        <v>5</v>
      </c>
      <c r="AD10" s="419">
        <f t="shared" ca="1" si="20"/>
        <v>42477</v>
      </c>
      <c r="AE10" s="430">
        <f t="shared" ca="1" si="8"/>
        <v>42547</v>
      </c>
      <c r="AF10" s="372">
        <f ca="1">IF(Z10="","",INDEX(Well_Data_NK_Upcoming!Planned_Spud_to_RR,MATCH(RigScheduleTest!AA10,Well_Data_NK_Upcoming!Concatenated_Wellname,0)))</f>
        <v>70</v>
      </c>
      <c r="AG10" s="372" t="str">
        <f t="array" aca="1" ref="AG10" ca="1">IF(ISERROR(INDEX(Well_Data_NK_Upcoming!Concatenated_Wellname,MATCH(1,IF($B10=Well_Data_NK_Upcoming!RIG,IF(Well_Data_NK_Upcoming!Auto_Update_Rig_Schedule=5,1)),0))),"",(INDEX(Well_Data_NK_Upcoming!Concatenated_Wellname,MATCH(1,IF($B10=Well_Data_NK_Upcoming!RIG,IF(Well_Data_NK_Upcoming!Auto_Update_Rig_Schedule=5,1)),0))))</f>
        <v>SA20-SA-MA-Prod-NW-HZ</v>
      </c>
      <c r="AH10" s="417" t="str">
        <f t="array" aca="1" ref="AH10" ca="1">IF(AF10="","",IF(ISERROR(INDEX(Well_Data_NK_Upcoming!Well_Type,MATCH(1,IF($B10=Well_Data_NK_Upcoming!RIG,IF(Well_Data_NK_Upcoming!Auto_Update_Rig_Schedule=5,1)),0))),"",(INDEX(Well_Data_NK_Upcoming!Well_Type,MATCH(1,IF($B10=Well_Data_NK_Upcoming!RIG,IF(Well_Data_NK_Upcoming!Auto_Update_Rig_Schedule=5,1)),0)))))</f>
        <v>SA20-MA-NW-Prod</v>
      </c>
      <c r="AI10" s="418">
        <f t="shared" ca="1" si="21"/>
        <v>5</v>
      </c>
      <c r="AJ10" s="419">
        <f t="shared" ca="1" si="22"/>
        <v>42552</v>
      </c>
      <c r="AK10" s="430">
        <f t="shared" ca="1" si="9"/>
        <v>42622</v>
      </c>
      <c r="AL10" s="372">
        <f ca="1">IF(Z10="","",INDEX(Well_Data_NK_Upcoming!Planned_Spud_to_RR,MATCH(RigScheduleTest!AG10,Well_Data_NK_Upcoming!Concatenated_Wellname,0)))</f>
        <v>70</v>
      </c>
      <c r="AM10" s="372" t="str">
        <f t="array" aca="1" ref="AM10" ca="1">IF(ISERROR(INDEX(Well_Data_NK_Upcoming!Concatenated_Wellname,MATCH(1,IF($B10=Well_Data_NK_Upcoming!RIG,IF(Well_Data_NK_Upcoming!Auto_Update_Rig_Schedule=6,1)),0))),"",(INDEX(Well_Data_NK_Upcoming!Concatenated_Wellname,MATCH(1,IF($B10=Well_Data_NK_Upcoming!RIG,IF(Well_Data_NK_Upcoming!Auto_Update_Rig_Schedule=6,1)),0))))</f>
        <v>RA21-RA-LB-Prod-NW-SL-SLB</v>
      </c>
      <c r="AN10" s="417" t="str">
        <f t="array" aca="1" ref="AN10" ca="1">IF(AL10="","",IF(ISERROR(INDEX(Well_Data_NK_Upcoming!Well_Type,MATCH(1,IF($B10=Well_Data_NK_Upcoming!RIG,IF(Well_Data_NK_Upcoming!Auto_Update_Rig_Schedule=6,1)),0))),"",(INDEX(Well_Data_NK_Upcoming!Well_Type,MATCH(1,IF($B10=Well_Data_NK_Upcoming!RIG,IF(Well_Data_NK_Upcoming!Auto_Update_Rig_Schedule=6,1)),0)))))</f>
        <v>RA21-LB-NW-Prod</v>
      </c>
      <c r="AO10" s="418">
        <f t="shared" ca="1" si="23"/>
        <v>5</v>
      </c>
      <c r="AP10" s="419">
        <f t="shared" ca="1" si="24"/>
        <v>42627</v>
      </c>
      <c r="AQ10" s="430">
        <f t="shared" ca="1" si="10"/>
        <v>42697</v>
      </c>
      <c r="AR10" s="373">
        <f ca="1">IF(AL10="","",INDEX(Well_Data_NK_Upcoming!Planned_Spud_to_RR,MATCH(RigScheduleTest!AM10,Well_Data_NK_Upcoming!Concatenated_Wellname,0)))</f>
        <v>70</v>
      </c>
      <c r="AS10" s="417" t="str">
        <f t="array" aca="1" ref="AS10" ca="1">IF(ISERROR(INDEX(Well_Data_NK_Upcoming!Concatenated_Wellname,MATCH(1,IF($B10=Well_Data_NK_Upcoming!RIG,IF(Well_Data_NK_Upcoming!Auto_Update_Rig_Schedule=7,1)),0))),"",(INDEX(Well_Data_NK_Upcoming!Concatenated_Wellname,MATCH(1,IF($B10=Well_Data_NK_Upcoming!RIG,IF(Well_Data_NK_Upcoming!Auto_Update_Rig_Schedule=7,1)),0))))</f>
        <v>RA28-RA-UB-Prod-NW-HZ-SLB</v>
      </c>
      <c r="AT10" s="417" t="str">
        <f t="array" aca="1" ref="AT10" ca="1">IF(AR10="","",IF(ISERROR(INDEX(Well_Data_NK_Upcoming!Well_Type,MATCH(1,IF($B10=Well_Data_NK_Upcoming!RIG,IF(Well_Data_NK_Upcoming!Auto_Update_Rig_Schedule=7,1)),0))),"",(INDEX(Well_Data_NK_Upcoming!Well_Type,MATCH(1,IF($B10=Well_Data_NK_Upcoming!RIG,IF(Well_Data_NK_Upcoming!Auto_Update_Rig_Schedule=7,1)),0)))))</f>
        <v>RA28-UB-NW-Prod</v>
      </c>
      <c r="AU10" s="418">
        <f t="shared" ca="1" si="25"/>
        <v>5</v>
      </c>
      <c r="AV10" s="419">
        <f t="shared" ca="1" si="26"/>
        <v>42702</v>
      </c>
      <c r="AW10" s="430">
        <f t="shared" ca="1" si="11"/>
        <v>42772</v>
      </c>
      <c r="AX10" s="342">
        <f ca="1">IF(AR10="","",INDEX(Well_Data_NK_Upcoming!Planned_Spud_to_RR,MATCH(RigScheduleTest!AS10,Well_Data_NK_Upcoming!Concatenated_Wellname,0)))</f>
        <v>70</v>
      </c>
      <c r="AY10" s="417" t="str">
        <f t="array" aca="1" ref="AY10" ca="1">IF(ISERROR(INDEX(Well_Data_NK_Upcoming!Concatenated_Wellname,MATCH(1,IF($B10=Well_Data_NK_Upcoming!RIG,IF(Well_Data_NK_Upcoming!Auto_Update_Rig_Schedule=8,1)),0))),"",(INDEX(Well_Data_NK_Upcoming!Concatenated_Wellname,MATCH(1,IF($B10=Well_Data_NK_Upcoming!RIG,IF(Well_Data_NK_Upcoming!Auto_Update_Rig_Schedule=8,1)),0))))</f>
        <v>SA55-SA-RT-Inj-NW-HZ</v>
      </c>
      <c r="AZ10" s="417" t="str">
        <f t="array" aca="1" ref="AZ10" ca="1">IF(AX10="","",IF(ISERROR(INDEX(Well_Data_NK_Upcoming!Well_Type,MATCH(1,IF($B10=Well_Data_NK_Upcoming!RIG,IF(Well_Data_NK_Upcoming!Auto_Update_Rig_Schedule=8,1)),0))),"",(INDEX(Well_Data_NK_Upcoming!Well_Type,MATCH(1,IF($B10=Well_Data_NK_Upcoming!RIG,IF(Well_Data_NK_Upcoming!Auto_Update_Rig_Schedule=8,1)),0)))))</f>
        <v>SA55-RT-NW-Inj</v>
      </c>
      <c r="BA10" s="418" t="str">
        <f t="shared" ca="1" si="27"/>
        <v/>
      </c>
      <c r="BB10" s="419" t="str">
        <f t="shared" ca="1" si="28"/>
        <v/>
      </c>
      <c r="BC10" s="430" t="str">
        <f t="shared" ca="1" si="12"/>
        <v/>
      </c>
      <c r="BD10" s="342" t="str">
        <f ca="1">IF(AX10="","",INDEX(Well_Data_NK_Upcoming!Planned_Spud_to_RR,MATCH(RigScheduleTest!AY10,Well_Data_NK_Upcoming!Concatenated_Wellname,0)))</f>
        <v/>
      </c>
      <c r="BE10" s="417" t="str">
        <f t="array" aca="1" ref="BE10" ca="1">IF(ISERROR(INDEX(Well_Data_NK_Upcoming!Concatenated_Wellname,MATCH(1,IF($B10=Well_Data_NK_Upcoming!RIG,IF(Well_Data_NK_Upcoming!Auto_Update_Rig_Schedule=9,1)),0))),"",(INDEX(Well_Data_NK_Upcoming!Concatenated_Wellname,MATCH(1,IF($B10=Well_Data_NK_Upcoming!RIG,IF(Well_Data_NK_Upcoming!Auto_Update_Rig_Schedule=9,1)),0))))</f>
        <v/>
      </c>
      <c r="BF10" s="417" t="str">
        <f t="array" aca="1" ref="BF10" ca="1">IF(BD10="","",IF(ISERROR(INDEX(Well_Data_NK_Upcoming!Well_Type,MATCH(1,IF($B10=Well_Data_NK_Upcoming!RIG,IF(Well_Data_NK_Upcoming!Auto_Update_Rig_Schedule=9,1)),0))),"",(INDEX(Well_Data_NK_Upcoming!Well_Type,MATCH(1,IF($B10=Well_Data_NK_Upcoming!RIG,IF(Well_Data_NK_Upcoming!Auto_Update_Rig_Schedule=9,1)),0)))))</f>
        <v/>
      </c>
      <c r="BG10" s="418" t="str">
        <f t="shared" ca="1" si="29"/>
        <v/>
      </c>
      <c r="BH10" s="419" t="str">
        <f t="shared" ca="1" si="30"/>
        <v/>
      </c>
      <c r="BI10" s="430" t="str">
        <f t="shared" ca="1" si="13"/>
        <v/>
      </c>
      <c r="BJ10" s="342" t="str">
        <f ca="1">IF(BD10="","",INDEX(Well_Data_NK_Upcoming!Planned_Spud_to_RR,MATCH(RigScheduleTest!BE10,Well_Data_NK_Upcoming!Concatenated_Wellname,0)))</f>
        <v/>
      </c>
      <c r="BK10" s="417" t="str">
        <f t="array" aca="1" ref="BK10" ca="1">IF(ISERROR(INDEX(Well_Data_NK_Upcoming!Concatenated_Wellname,MATCH(1,IF($B10=Well_Data_NK_Upcoming!RIG,IF(Well_Data_NK_Upcoming!Auto_Update_Rig_Schedule=10,1)),0))),"",(INDEX(Well_Data_NK_Upcoming!Concatenated_Wellname,MATCH(1,IF($B10=Well_Data_NK_Upcoming!RIG,IF(Well_Data_NK_Upcoming!Auto_Update_Rig_Schedule=10,1)),0))))</f>
        <v/>
      </c>
      <c r="BL10" s="417" t="str">
        <f t="array" aca="1" ref="BL10" ca="1">IF(BJ10="","",IF(ISERROR(INDEX(Well_Data_NK_Upcoming!Well_Type,MATCH(1,IF($B10=Well_Data_NK_Upcoming!RIG,IF(Well_Data_NK_Upcoming!Auto_Update_Rig_Schedule=10,1)),0))),"",(INDEX(Well_Data_NK_Upcoming!Well_Type,MATCH(1,IF($B10=Well_Data_NK_Upcoming!RIG,IF(Well_Data_NK_Upcoming!Auto_Update_Rig_Schedule=10,1)),0)))))</f>
        <v/>
      </c>
      <c r="BM10" s="418" t="str">
        <f t="shared" ca="1" si="31"/>
        <v/>
      </c>
      <c r="BN10" s="419" t="str">
        <f t="shared" ca="1" si="32"/>
        <v/>
      </c>
      <c r="BO10" s="430" t="str">
        <f t="shared" ca="1" si="14"/>
        <v/>
      </c>
      <c r="BP10" s="342" t="str">
        <f ca="1">IF(BJ10="","",INDEX(Well_Data_NK_Upcoming!Planned_Spud_to_RR,MATCH(RigScheduleTest!BK10,Well_Data_NK_Upcoming!Concatenated_Wellname,0)))</f>
        <v/>
      </c>
    </row>
    <row r="11" spans="1:68" ht="15" x14ac:dyDescent="0.25">
      <c r="A11" s="429" t="str">
        <f t="shared" ca="1" si="0"/>
        <v>RA-0592-SP-158</v>
      </c>
      <c r="B11" s="425" t="s">
        <v>23</v>
      </c>
      <c r="C11" s="340" t="str">
        <f t="array" aca="1" ref="C11" ca="1">IF(ISERROR(INDEX(Well_Data_NK_Upcoming!WELL,MATCH(1,IF($B11=Well_Data_NK_Upcoming!RIG,IF(Well_Data_NK_Upcoming!Auto_Update_Rig_Schedule=0,1)),0))),"",(INDEX(Well_Data_NK_Upcoming!WELL,MATCH(1,IF($B11=Well_Data_NK_Upcoming!RIG,IF(Well_Data_NK_Upcoming!Auto_Update_Rig_Schedule=0,1)),0))))</f>
        <v>RA-0592</v>
      </c>
      <c r="D11" s="424" t="str">
        <f ca="1">INDEX(Well_Data_NK_Upcoming!Concatenated_Wellname,MATCH(RigScheduleTest!A11,Well_Data_NK_Upcoming!Well_Rig,0))</f>
        <v>RA-0592-RA-UB-Prod-NW-SL-SLB</v>
      </c>
      <c r="E11" s="423" t="str">
        <f ca="1">INDEX(Well_Data_NK_Upcoming!Well_Type,MATCH(RigScheduleTest!A11,Well_Data_NK_Upcoming!Well_Rig,0))</f>
        <v>RA-0592-UB-NW-Prod</v>
      </c>
      <c r="F11" s="341">
        <f t="shared" si="15"/>
        <v>42233</v>
      </c>
      <c r="G11" s="368">
        <f ca="1">IF(ISERROR(INDEX(Well_Data_NK_Upcoming!Updated_Drill_Days,MATCH(RigScheduleTest!A11,Well_Data_NK_Upcoming!Well_Rig,0))),"",(INDEX(Well_Data_NK_Upcoming!Updated_Drill_Days,MATCH(RigScheduleTest!A11,Well_Data_NK_Upcoming!Well_Rig,0))))</f>
        <v>12</v>
      </c>
      <c r="H11" s="422">
        <f t="shared" ca="1" si="33"/>
        <v>42245</v>
      </c>
      <c r="I11" s="371" t="str">
        <f t="array" aca="1" ref="I11" ca="1">IF(ISERROR(INDEX(Well_Data_NK_Upcoming!Concatenated_Wellname,MATCH(1,IF($B11=Well_Data_NK_Upcoming!RIG,IF(Well_Data_NK_Upcoming!Auto_Update_Rig_Schedule=1,1)),0))),"",(INDEX(Well_Data_NK_Upcoming!Concatenated_Wellname,MATCH(1,IF($B11=Well_Data_NK_Upcoming!RIG,IF(Well_Data_NK_Upcoming!Auto_Update_Rig_Schedule=1,1)),0))))</f>
        <v>RA-0518-RA-UB-Prod-ST-HZ-SLB</v>
      </c>
      <c r="J11" s="417" t="str">
        <f t="array" aca="1" ref="J11" ca="1">IF(G11="","",IF(ISERROR(INDEX(Well_Data_NK_Upcoming!Well_Type,MATCH(1,IF($B11=Well_Data_NK_Upcoming!RIG,IF(Well_Data_NK_Upcoming!Auto_Update_Rig_Schedule=1,1)),0))),"",(INDEX(Well_Data_NK_Upcoming!Well_Type,MATCH(1,IF($B11=Well_Data_NK_Upcoming!RIG,IF(Well_Data_NK_Upcoming!Auto_Update_Rig_Schedule=1,1)),0)))))</f>
        <v>RA-0518-UB-ST-Prod</v>
      </c>
      <c r="K11" s="418">
        <f t="shared" ca="1" si="2"/>
        <v>5</v>
      </c>
      <c r="L11" s="419">
        <f t="shared" ca="1" si="16"/>
        <v>42250</v>
      </c>
      <c r="M11" s="430">
        <f t="shared" ca="1" si="34"/>
        <v>42306</v>
      </c>
      <c r="N11" s="371">
        <f ca="1">IF(G11="","",INDEX(Well_Data_NK_Upcoming!Planned_Spud_to_RR,MATCH(RigScheduleTest!I11,Well_Data_NK_Upcoming!Concatenated_Wellname,0)))</f>
        <v>56</v>
      </c>
      <c r="O11" s="372" t="str">
        <f t="array" aca="1" ref="O11" ca="1">IF(ISERROR(INDEX(Well_Data_NK_Upcoming!Concatenated_Wellname,MATCH(1,IF($B11=Well_Data_NK_Upcoming!RIG,IF(Well_Data_NK_Upcoming!Auto_Update_Rig_Schedule=2,1)),0))),"",(INDEX(Well_Data_NK_Upcoming!Concatenated_Wellname,MATCH(1,IF($B11=Well_Data_NK_Upcoming!RIG,IF(Well_Data_NK_Upcoming!Auto_Update_Rig_Schedule=2,1)),0))))</f>
        <v>RA-0396-RA-MA-Prod-ST-HZ-SLB</v>
      </c>
      <c r="P11" s="417" t="str">
        <f t="array" aca="1" ref="P11" ca="1">IF(N11="","",IF(ISERROR(INDEX(Well_Data_NK_Upcoming!Well_Type,MATCH(1,IF($B11=Well_Data_NK_Upcoming!RIG,IF(Well_Data_NK_Upcoming!Auto_Update_Rig_Schedule=2,1)),0))),"",(INDEX(Well_Data_NK_Upcoming!Well_Type,MATCH(1,IF($B11=Well_Data_NK_Upcoming!RIG,IF(Well_Data_NK_Upcoming!Auto_Update_Rig_Schedule=2,1)),0)))))</f>
        <v>RA-0396-MA-ST-Prod</v>
      </c>
      <c r="Q11" s="418">
        <f t="shared" ca="1" si="4"/>
        <v>5</v>
      </c>
      <c r="R11" s="419">
        <f t="shared" ca="1" si="17"/>
        <v>42311</v>
      </c>
      <c r="S11" s="430">
        <f t="shared" ca="1" si="5"/>
        <v>42367</v>
      </c>
      <c r="T11" s="372">
        <f ca="1">IF(N11="","",INDEX(Well_Data_NK_Upcoming!Planned_Spud_to_RR,MATCH(RigScheduleTest!O11,Well_Data_NK_Upcoming!Concatenated_Wellname,0)))</f>
        <v>56</v>
      </c>
      <c r="U11" s="372" t="str">
        <f t="array" aca="1" ref="U11" ca="1">IF(ISERROR(INDEX(Well_Data_NK_Upcoming!Concatenated_Wellname,MATCH(1,IF($B11=Well_Data_NK_Upcoming!RIG,IF(Well_Data_NK_Upcoming!Auto_Update_Rig_Schedule=3,1)),0))),"",(INDEX(Well_Data_NK_Upcoming!Concatenated_Wellname,MATCH(1,IF($B11=Well_Data_NK_Upcoming!RIG,IF(Well_Data_NK_Upcoming!Auto_Update_Rig_Schedule=3,1)),0))))</f>
        <v>SA1-SA-MA-Prod-NW-HZ</v>
      </c>
      <c r="V11" s="417" t="str">
        <f t="array" aca="1" ref="V11" ca="1">IF(T11="","",IF(ISERROR(INDEX(Well_Data_NK_Upcoming!Well_Type,MATCH(1,IF($B11=Well_Data_NK_Upcoming!RIG,IF(Well_Data_NK_Upcoming!Auto_Update_Rig_Schedule=3,1)),0))),"",(INDEX(Well_Data_NK_Upcoming!Well_Type,MATCH(1,IF($B11=Well_Data_NK_Upcoming!RIG,IF(Well_Data_NK_Upcoming!Auto_Update_Rig_Schedule=3,1)),0)))))</f>
        <v>SA1-MA-NW-Prod</v>
      </c>
      <c r="W11" s="418">
        <f t="shared" ca="1" si="6"/>
        <v>5</v>
      </c>
      <c r="X11" s="419">
        <f t="shared" ca="1" si="18"/>
        <v>42372</v>
      </c>
      <c r="Y11" s="430">
        <f t="shared" ca="1" si="7"/>
        <v>42442</v>
      </c>
      <c r="Z11" s="372">
        <f ca="1">IF(T11="","",INDEX(Well_Data_NK_Upcoming!Planned_Spud_to_RR,MATCH(RigScheduleTest!U11,Well_Data_NK_Upcoming!Concatenated_Wellname,0)))</f>
        <v>70</v>
      </c>
      <c r="AA11" s="342" t="str">
        <f t="array" aca="1" ref="AA11" ca="1">IF(ISERROR(INDEX(Well_Data_NK_Upcoming!Concatenated_Wellname,MATCH(1,IF($B11=Well_Data_NK_Upcoming!RIG,IF(Well_Data_NK_Upcoming!Auto_Update_Rig_Schedule=4,1)),0))),"",(INDEX(Well_Data_NK_Upcoming!Concatenated_Wellname,MATCH(1,IF($B11=Well_Data_NK_Upcoming!RIG,IF(Well_Data_NK_Upcoming!Auto_Update_Rig_Schedule=4,1)),0))))</f>
        <v>Rig-Exp-13Jan2016</v>
      </c>
      <c r="AB11" s="417" t="str">
        <f t="array" aca="1" ref="AB11" ca="1">IF(Z11="","",IF(ISERROR(INDEX(Well_Data_NK_Upcoming!Well_Type,MATCH(1,IF($B11=Well_Data_NK_Upcoming!RIG,IF(Well_Data_NK_Upcoming!Auto_Update_Rig_Schedule=4,1)),0))),"",(INDEX(Well_Data_NK_Upcoming!Well_Type,MATCH(1,IF($B11=Well_Data_NK_Upcoming!RIG,IF(Well_Data_NK_Upcoming!Auto_Update_Rig_Schedule=4,1)),0)))))</f>
        <v>Rig-Exp-13Jan2016</v>
      </c>
      <c r="AC11" s="418" t="str">
        <f t="shared" ca="1" si="19"/>
        <v/>
      </c>
      <c r="AD11" s="419" t="str">
        <f t="shared" ca="1" si="20"/>
        <v/>
      </c>
      <c r="AE11" s="430" t="str">
        <f t="shared" ca="1" si="8"/>
        <v/>
      </c>
      <c r="AF11" s="342" t="str">
        <f ca="1">IF(Z11="","",INDEX(Well_Data_NK_Upcoming!Planned_Spud_to_RR,MATCH(RigScheduleTest!AA11,Well_Data_NK_Upcoming!Concatenated_Wellname,0)))</f>
        <v/>
      </c>
      <c r="AG11" s="371" t="str">
        <f t="array" aca="1" ref="AG11" ca="1">IF(ISERROR(INDEX(Well_Data_NK_Upcoming!Concatenated_Wellname,MATCH(1,IF($B11=Well_Data_NK_Upcoming!RIG,IF(Well_Data_NK_Upcoming!Auto_Update_Rig_Schedule=5,1)),0))),"",(INDEX(Well_Data_NK_Upcoming!Concatenated_Wellname,MATCH(1,IF($B11=Well_Data_NK_Upcoming!RIG,IF(Well_Data_NK_Upcoming!Auto_Update_Rig_Schedule=5,1)),0))))</f>
        <v>SA8-SA-UB-Prod-NW-SL</v>
      </c>
      <c r="AH11" s="417" t="str">
        <f t="array" aca="1" ref="AH11" ca="1">IF(AF11="","",IF(ISERROR(INDEX(Well_Data_NK_Upcoming!Well_Type,MATCH(1,IF($B11=Well_Data_NK_Upcoming!RIG,IF(Well_Data_NK_Upcoming!Auto_Update_Rig_Schedule=5,1)),0))),"",(INDEX(Well_Data_NK_Upcoming!Well_Type,MATCH(1,IF($B11=Well_Data_NK_Upcoming!RIG,IF(Well_Data_NK_Upcoming!Auto_Update_Rig_Schedule=5,1)),0)))))</f>
        <v/>
      </c>
      <c r="AI11" s="418">
        <f t="shared" ca="1" si="21"/>
        <v>5</v>
      </c>
      <c r="AJ11" s="419" t="str">
        <f t="shared" ca="1" si="22"/>
        <v/>
      </c>
      <c r="AK11" s="430" t="str">
        <f t="shared" ca="1" si="9"/>
        <v/>
      </c>
      <c r="AL11" s="371">
        <f ca="1">IF(Z11="","",INDEX(Well_Data_NK_Upcoming!Planned_Spud_to_RR,MATCH(RigScheduleTest!AG11,Well_Data_NK_Upcoming!Concatenated_Wellname,0)))</f>
        <v>70</v>
      </c>
      <c r="AM11" s="371" t="str">
        <f t="array" aca="1" ref="AM11" ca="1">IF(ISERROR(INDEX(Well_Data_NK_Upcoming!Concatenated_Wellname,MATCH(1,IF($B11=Well_Data_NK_Upcoming!RIG,IF(Well_Data_NK_Upcoming!Auto_Update_Rig_Schedule=6,1)),0))),"",(INDEX(Well_Data_NK_Upcoming!Concatenated_Wellname,MATCH(1,IF($B11=Well_Data_NK_Upcoming!RIG,IF(Well_Data_NK_Upcoming!Auto_Update_Rig_Schedule=6,1)),0))))</f>
        <v>RA14-RA-UB-Prod-NW-HZ-SLB</v>
      </c>
      <c r="AN11" s="417" t="str">
        <f t="array" aca="1" ref="AN11" ca="1">IF(AL11="","",IF(ISERROR(INDEX(Well_Data_NK_Upcoming!Well_Type,MATCH(1,IF($B11=Well_Data_NK_Upcoming!RIG,IF(Well_Data_NK_Upcoming!Auto_Update_Rig_Schedule=6,1)),0))),"",(INDEX(Well_Data_NK_Upcoming!Well_Type,MATCH(1,IF($B11=Well_Data_NK_Upcoming!RIG,IF(Well_Data_NK_Upcoming!Auto_Update_Rig_Schedule=6,1)),0)))))</f>
        <v>RA14-UB-NW-Prod</v>
      </c>
      <c r="AO11" s="418">
        <f t="shared" ca="1" si="23"/>
        <v>5</v>
      </c>
      <c r="AP11" s="419" t="str">
        <f t="shared" ca="1" si="24"/>
        <v/>
      </c>
      <c r="AQ11" s="430" t="str">
        <f t="shared" ca="1" si="10"/>
        <v/>
      </c>
      <c r="AR11" s="371">
        <f ca="1">IF(AL11="","",INDEX(Well_Data_NK_Upcoming!Planned_Spud_to_RR,MATCH(RigScheduleTest!AM11,Well_Data_NK_Upcoming!Concatenated_Wellname,0)))</f>
        <v>70</v>
      </c>
      <c r="AS11" s="417" t="str">
        <f t="array" aca="1" ref="AS11" ca="1">IF(ISERROR(INDEX(Well_Data_NK_Upcoming!Concatenated_Wellname,MATCH(1,IF($B11=Well_Data_NK_Upcoming!RIG,IF(Well_Data_NK_Upcoming!Auto_Update_Rig_Schedule=7,1)),0))),"",(INDEX(Well_Data_NK_Upcoming!Concatenated_Wellname,MATCH(1,IF($B11=Well_Data_NK_Upcoming!RIG,IF(Well_Data_NK_Upcoming!Auto_Update_Rig_Schedule=7,1)),0))))</f>
        <v/>
      </c>
      <c r="AT11" s="417" t="str">
        <f t="array" aca="1" ref="AT11" ca="1">IF(AR11="","",IF(ISERROR(INDEX(Well_Data_NK_Upcoming!Well_Type,MATCH(1,IF($B11=Well_Data_NK_Upcoming!RIG,IF(Well_Data_NK_Upcoming!Auto_Update_Rig_Schedule=7,1)),0))),"",(INDEX(Well_Data_NK_Upcoming!Well_Type,MATCH(1,IF($B11=Well_Data_NK_Upcoming!RIG,IF(Well_Data_NK_Upcoming!Auto_Update_Rig_Schedule=7,1)),0)))))</f>
        <v/>
      </c>
      <c r="AU11" s="418" t="str">
        <f t="shared" ca="1" si="25"/>
        <v/>
      </c>
      <c r="AV11" s="419" t="str">
        <f t="shared" ca="1" si="26"/>
        <v/>
      </c>
      <c r="AW11" s="430" t="str">
        <f t="shared" ca="1" si="11"/>
        <v/>
      </c>
      <c r="AX11" s="342" t="str">
        <f ca="1">IF(AR11="","",INDEX(Well_Data_NK_Upcoming!Planned_Spud_to_RR,MATCH(RigScheduleTest!AS11,Well_Data_NK_Upcoming!Concatenated_Wellname,0)))</f>
        <v/>
      </c>
      <c r="AY11" s="417" t="str">
        <f t="array" aca="1" ref="AY11" ca="1">IF(ISERROR(INDEX(Well_Data_NK_Upcoming!Concatenated_Wellname,MATCH(1,IF($B11=Well_Data_NK_Upcoming!RIG,IF(Well_Data_NK_Upcoming!Auto_Update_Rig_Schedule=8,1)),0))),"",(INDEX(Well_Data_NK_Upcoming!Concatenated_Wellname,MATCH(1,IF($B11=Well_Data_NK_Upcoming!RIG,IF(Well_Data_NK_Upcoming!Auto_Update_Rig_Schedule=8,1)),0))))</f>
        <v/>
      </c>
      <c r="AZ11" s="417" t="str">
        <f t="array" aca="1" ref="AZ11" ca="1">IF(AX11="","",IF(ISERROR(INDEX(Well_Data_NK_Upcoming!Well_Type,MATCH(1,IF($B11=Well_Data_NK_Upcoming!RIG,IF(Well_Data_NK_Upcoming!Auto_Update_Rig_Schedule=8,1)),0))),"",(INDEX(Well_Data_NK_Upcoming!Well_Type,MATCH(1,IF($B11=Well_Data_NK_Upcoming!RIG,IF(Well_Data_NK_Upcoming!Auto_Update_Rig_Schedule=8,1)),0)))))</f>
        <v/>
      </c>
      <c r="BA11" s="418" t="str">
        <f t="shared" ca="1" si="27"/>
        <v/>
      </c>
      <c r="BB11" s="419" t="str">
        <f t="shared" ca="1" si="28"/>
        <v/>
      </c>
      <c r="BC11" s="430" t="str">
        <f t="shared" ca="1" si="12"/>
        <v/>
      </c>
      <c r="BD11" s="342" t="str">
        <f ca="1">IF(AX11="","",INDEX(Well_Data_NK_Upcoming!Planned_Spud_to_RR,MATCH(RigScheduleTest!AY11,Well_Data_NK_Upcoming!Concatenated_Wellname,0)))</f>
        <v/>
      </c>
      <c r="BE11" s="417" t="str">
        <f t="array" aca="1" ref="BE11" ca="1">IF(ISERROR(INDEX(Well_Data_NK_Upcoming!Concatenated_Wellname,MATCH(1,IF($B11=Well_Data_NK_Upcoming!RIG,IF(Well_Data_NK_Upcoming!Auto_Update_Rig_Schedule=9,1)),0))),"",(INDEX(Well_Data_NK_Upcoming!Concatenated_Wellname,MATCH(1,IF($B11=Well_Data_NK_Upcoming!RIG,IF(Well_Data_NK_Upcoming!Auto_Update_Rig_Schedule=9,1)),0))))</f>
        <v/>
      </c>
      <c r="BF11" s="417" t="str">
        <f t="array" aca="1" ref="BF11" ca="1">IF(BD11="","",IF(ISERROR(INDEX(Well_Data_NK_Upcoming!Well_Type,MATCH(1,IF($B11=Well_Data_NK_Upcoming!RIG,IF(Well_Data_NK_Upcoming!Auto_Update_Rig_Schedule=9,1)),0))),"",(INDEX(Well_Data_NK_Upcoming!Well_Type,MATCH(1,IF($B11=Well_Data_NK_Upcoming!RIG,IF(Well_Data_NK_Upcoming!Auto_Update_Rig_Schedule=9,1)),0)))))</f>
        <v/>
      </c>
      <c r="BG11" s="418" t="str">
        <f t="shared" ca="1" si="29"/>
        <v/>
      </c>
      <c r="BH11" s="419" t="str">
        <f t="shared" ca="1" si="30"/>
        <v/>
      </c>
      <c r="BI11" s="430" t="str">
        <f t="shared" ca="1" si="13"/>
        <v/>
      </c>
      <c r="BJ11" s="342" t="str">
        <f ca="1">IF(BD11="","",INDEX(Well_Data_NK_Upcoming!Planned_Spud_to_RR,MATCH(RigScheduleTest!BE11,Well_Data_NK_Upcoming!Concatenated_Wellname,0)))</f>
        <v/>
      </c>
      <c r="BK11" s="417" t="str">
        <f t="array" aca="1" ref="BK11" ca="1">IF(ISERROR(INDEX(Well_Data_NK_Upcoming!Concatenated_Wellname,MATCH(1,IF($B11=Well_Data_NK_Upcoming!RIG,IF(Well_Data_NK_Upcoming!Auto_Update_Rig_Schedule=10,1)),0))),"",(INDEX(Well_Data_NK_Upcoming!Concatenated_Wellname,MATCH(1,IF($B11=Well_Data_NK_Upcoming!RIG,IF(Well_Data_NK_Upcoming!Auto_Update_Rig_Schedule=10,1)),0))))</f>
        <v/>
      </c>
      <c r="BL11" s="417" t="str">
        <f t="array" aca="1" ref="BL11" ca="1">IF(BJ11="","",IF(ISERROR(INDEX(Well_Data_NK_Upcoming!Well_Type,MATCH(1,IF($B11=Well_Data_NK_Upcoming!RIG,IF(Well_Data_NK_Upcoming!Auto_Update_Rig_Schedule=10,1)),0))),"",(INDEX(Well_Data_NK_Upcoming!Well_Type,MATCH(1,IF($B11=Well_Data_NK_Upcoming!RIG,IF(Well_Data_NK_Upcoming!Auto_Update_Rig_Schedule=10,1)),0)))))</f>
        <v/>
      </c>
      <c r="BM11" s="418" t="str">
        <f t="shared" ca="1" si="31"/>
        <v/>
      </c>
      <c r="BN11" s="419" t="str">
        <f t="shared" ca="1" si="32"/>
        <v/>
      </c>
      <c r="BO11" s="430" t="str">
        <f t="shared" ca="1" si="14"/>
        <v/>
      </c>
      <c r="BP11" s="342" t="str">
        <f ca="1">IF(BJ11="","",INDEX(Well_Data_NK_Upcoming!Planned_Spud_to_RR,MATCH(RigScheduleTest!BK11,Well_Data_NK_Upcoming!Concatenated_Wellname,0)))</f>
        <v/>
      </c>
    </row>
    <row r="12" spans="1:68" ht="15" x14ac:dyDescent="0.25">
      <c r="A12" s="429" t="str">
        <f t="shared" ca="1" si="0"/>
        <v>RA-0046-SP-159</v>
      </c>
      <c r="B12" s="425" t="s">
        <v>31</v>
      </c>
      <c r="C12" s="340" t="str">
        <f t="array" aca="1" ref="C12" ca="1">IF(ISERROR(INDEX(Well_Data_NK_Upcoming!WELL,MATCH(1,IF($B12=Well_Data_NK_Upcoming!RIG,IF(Well_Data_NK_Upcoming!Auto_Update_Rig_Schedule=0,1)),0))),"",(INDEX(Well_Data_NK_Upcoming!WELL,MATCH(1,IF($B12=Well_Data_NK_Upcoming!RIG,IF(Well_Data_NK_Upcoming!Auto_Update_Rig_Schedule=0,1)),0))))</f>
        <v>RA-0046</v>
      </c>
      <c r="D12" s="424" t="str">
        <f ca="1">INDEX(Well_Data_NK_Upcoming!Concatenated_Wellname,MATCH(RigScheduleTest!A12,Well_Data_NK_Upcoming!Well_Rig,0))</f>
        <v>RA-0046-RA-MA-Prod-ST-HZ-SLB</v>
      </c>
      <c r="E12" s="423" t="str">
        <f ca="1">INDEX(Well_Data_NK_Upcoming!Well_Type,MATCH(RigScheduleTest!A12,Well_Data_NK_Upcoming!Well_Rig,0))</f>
        <v>RA-0046-MA-ST-Prod</v>
      </c>
      <c r="F12" s="341">
        <f t="shared" si="15"/>
        <v>42233</v>
      </c>
      <c r="G12" s="367">
        <f ca="1">IF(ISERROR(INDEX(Well_Data_NK_Upcoming!Updated_Drill_Days,MATCH(RigScheduleTest!A12,Well_Data_NK_Upcoming!Well_Rig,0))),"",(INDEX(Well_Data_NK_Upcoming!Updated_Drill_Days,MATCH(RigScheduleTest!A12,Well_Data_NK_Upcoming!Well_Rig,0))))</f>
        <v>6</v>
      </c>
      <c r="H12" s="422">
        <f t="shared" ca="1" si="33"/>
        <v>42239</v>
      </c>
      <c r="I12" s="372" t="str">
        <f t="array" aca="1" ref="I12" ca="1">IF(ISERROR(INDEX(Well_Data_NK_Upcoming!Concatenated_Wellname,MATCH(1,IF($B12=Well_Data_NK_Upcoming!RIG,IF(Well_Data_NK_Upcoming!Auto_Update_Rig_Schedule=1,1)),0))),"",(INDEX(Well_Data_NK_Upcoming!Concatenated_Wellname,MATCH(1,IF($B12=Well_Data_NK_Upcoming!RIG,IF(Well_Data_NK_Upcoming!Auto_Update_Rig_Schedule=1,1)),0))))</f>
        <v>RA-0018-RA-MA-Prod-ST-HZ-Anadrill</v>
      </c>
      <c r="J12" s="417" t="str">
        <f t="array" aca="1" ref="J12" ca="1">IF(G12="","",IF(ISERROR(INDEX(Well_Data_NK_Upcoming!Well_Type,MATCH(1,IF($B12=Well_Data_NK_Upcoming!RIG,IF(Well_Data_NK_Upcoming!Auto_Update_Rig_Schedule=1,1)),0))),"",(INDEX(Well_Data_NK_Upcoming!Well_Type,MATCH(1,IF($B12=Well_Data_NK_Upcoming!RIG,IF(Well_Data_NK_Upcoming!Auto_Update_Rig_Schedule=1,1)),0)))))</f>
        <v>RA-0018-MA-ST-Prod</v>
      </c>
      <c r="K12" s="418">
        <f t="shared" ca="1" si="2"/>
        <v>5</v>
      </c>
      <c r="L12" s="419">
        <f t="shared" ca="1" si="16"/>
        <v>42244</v>
      </c>
      <c r="M12" s="430">
        <f t="shared" ca="1" si="34"/>
        <v>42300</v>
      </c>
      <c r="N12" s="372">
        <f ca="1">IF(G12="","",INDEX(Well_Data_NK_Upcoming!Planned_Spud_to_RR,MATCH(RigScheduleTest!I12,Well_Data_NK_Upcoming!Concatenated_Wellname,0)))</f>
        <v>56</v>
      </c>
      <c r="O12" s="372" t="str">
        <f t="array" aca="1" ref="O12" ca="1">IF(ISERROR(INDEX(Well_Data_NK_Upcoming!Concatenated_Wellname,MATCH(1,IF($B12=Well_Data_NK_Upcoming!RIG,IF(Well_Data_NK_Upcoming!Auto_Update_Rig_Schedule=2,1)),0))),"",(INDEX(Well_Data_NK_Upcoming!Concatenated_Wellname,MATCH(1,IF($B12=Well_Data_NK_Upcoming!RIG,IF(Well_Data_NK_Upcoming!Auto_Update_Rig_Schedule=2,1)),0))))</f>
        <v>RA-0271-RA-MA-Inj-ST-HZ-Anadrill</v>
      </c>
      <c r="P12" s="417" t="str">
        <f t="array" aca="1" ref="P12" ca="1">IF(N12="","",IF(ISERROR(INDEX(Well_Data_NK_Upcoming!Well_Type,MATCH(1,IF($B12=Well_Data_NK_Upcoming!RIG,IF(Well_Data_NK_Upcoming!Auto_Update_Rig_Schedule=2,1)),0))),"",(INDEX(Well_Data_NK_Upcoming!Well_Type,MATCH(1,IF($B12=Well_Data_NK_Upcoming!RIG,IF(Well_Data_NK_Upcoming!Auto_Update_Rig_Schedule=2,1)),0)))))</f>
        <v>RA-0271-MA-ST-Inj</v>
      </c>
      <c r="Q12" s="418">
        <f t="shared" ca="1" si="4"/>
        <v>5</v>
      </c>
      <c r="R12" s="419">
        <f t="shared" ca="1" si="17"/>
        <v>42305</v>
      </c>
      <c r="S12" s="430">
        <f t="shared" ca="1" si="5"/>
        <v>42354</v>
      </c>
      <c r="T12" s="372">
        <f ca="1">IF(N12="","",INDEX(Well_Data_NK_Upcoming!Planned_Spud_to_RR,MATCH(RigScheduleTest!O12,Well_Data_NK_Upcoming!Concatenated_Wellname,0)))</f>
        <v>49</v>
      </c>
      <c r="U12" s="372" t="str">
        <f t="array" aca="1" ref="U12" ca="1">IF(ISERROR(INDEX(Well_Data_NK_Upcoming!Concatenated_Wellname,MATCH(1,IF($B12=Well_Data_NK_Upcoming!RIG,IF(Well_Data_NK_Upcoming!Auto_Update_Rig_Schedule=3,1)),0))),"",(INDEX(Well_Data_NK_Upcoming!Concatenated_Wellname,MATCH(1,IF($B12=Well_Data_NK_Upcoming!RIG,IF(Well_Data_NK_Upcoming!Auto_Update_Rig_Schedule=3,1)),0))))</f>
        <v>RA-0166-RA-MA-Prod-ST-HZ-SLB</v>
      </c>
      <c r="V12" s="417" t="str">
        <f t="array" aca="1" ref="V12" ca="1">IF(T12="","",IF(ISERROR(INDEX(Well_Data_NK_Upcoming!Well_Type,MATCH(1,IF($B12=Well_Data_NK_Upcoming!RIG,IF(Well_Data_NK_Upcoming!Auto_Update_Rig_Schedule=3,1)),0))),"",(INDEX(Well_Data_NK_Upcoming!Well_Type,MATCH(1,IF($B12=Well_Data_NK_Upcoming!RIG,IF(Well_Data_NK_Upcoming!Auto_Update_Rig_Schedule=3,1)),0)))))</f>
        <v>RA-0166-MA-ST-Prod</v>
      </c>
      <c r="W12" s="418">
        <f t="shared" ca="1" si="6"/>
        <v>5</v>
      </c>
      <c r="X12" s="419">
        <f t="shared" ca="1" si="18"/>
        <v>42359</v>
      </c>
      <c r="Y12" s="430">
        <f t="shared" ca="1" si="7"/>
        <v>42415</v>
      </c>
      <c r="Z12" s="372">
        <f ca="1">IF(T12="","",INDEX(Well_Data_NK_Upcoming!Planned_Spud_to_RR,MATCH(RigScheduleTest!U12,Well_Data_NK_Upcoming!Concatenated_Wellname,0)))</f>
        <v>56</v>
      </c>
      <c r="AA12" s="372" t="str">
        <f t="array" aca="1" ref="AA12" ca="1">IF(ISERROR(INDEX(Well_Data_NK_Upcoming!Concatenated_Wellname,MATCH(1,IF($B12=Well_Data_NK_Upcoming!RIG,IF(Well_Data_NK_Upcoming!Auto_Update_Rig_Schedule=4,1)),0))),"",(INDEX(Well_Data_NK_Upcoming!Concatenated_Wellname,MATCH(1,IF($B12=Well_Data_NK_Upcoming!RIG,IF(Well_Data_NK_Upcoming!Auto_Update_Rig_Schedule=4,1)),0))))</f>
        <v>Rig-Exp14Feb2016</v>
      </c>
      <c r="AB12" s="417" t="str">
        <f t="array" aca="1" ref="AB12" ca="1">IF(Z12="","",IF(ISERROR(INDEX(Well_Data_NK_Upcoming!Well_Type,MATCH(1,IF($B12=Well_Data_NK_Upcoming!RIG,IF(Well_Data_NK_Upcoming!Auto_Update_Rig_Schedule=4,1)),0))),"",(INDEX(Well_Data_NK_Upcoming!Well_Type,MATCH(1,IF($B12=Well_Data_NK_Upcoming!RIG,IF(Well_Data_NK_Upcoming!Auto_Update_Rig_Schedule=4,1)),0)))))</f>
        <v>Rig-Exp14Feb2016</v>
      </c>
      <c r="AC12" s="418" t="str">
        <f t="shared" ca="1" si="19"/>
        <v/>
      </c>
      <c r="AD12" s="419" t="str">
        <f t="shared" ca="1" si="20"/>
        <v/>
      </c>
      <c r="AE12" s="430" t="str">
        <f t="shared" ca="1" si="8"/>
        <v/>
      </c>
      <c r="AF12" s="372" t="str">
        <f ca="1">IF(Z12="","",INDEX(Well_Data_NK_Upcoming!Planned_Spud_to_RR,MATCH(RigScheduleTest!AA12,Well_Data_NK_Upcoming!Concatenated_Wellname,0)))</f>
        <v/>
      </c>
      <c r="AG12" s="342" t="str">
        <f t="array" aca="1" ref="AG12" ca="1">IF(ISERROR(INDEX(Well_Data_NK_Upcoming!Concatenated_Wellname,MATCH(1,IF($B12=Well_Data_NK_Upcoming!RIG,IF(Well_Data_NK_Upcoming!Auto_Update_Rig_Schedule=5,1)),0))),"",(INDEX(Well_Data_NK_Upcoming!Concatenated_Wellname,MATCH(1,IF($B12=Well_Data_NK_Upcoming!RIG,IF(Well_Data_NK_Upcoming!Auto_Update_Rig_Schedule=5,1)),0))))</f>
        <v>RA15-RA-ZU-Inj-NW-HZ-SLB</v>
      </c>
      <c r="AH12" s="417" t="str">
        <f t="array" aca="1" ref="AH12" ca="1">IF(AF12="","",IF(ISERROR(INDEX(Well_Data_NK_Upcoming!Well_Type,MATCH(1,IF($B12=Well_Data_NK_Upcoming!RIG,IF(Well_Data_NK_Upcoming!Auto_Update_Rig_Schedule=5,1)),0))),"",(INDEX(Well_Data_NK_Upcoming!Well_Type,MATCH(1,IF($B12=Well_Data_NK_Upcoming!RIG,IF(Well_Data_NK_Upcoming!Auto_Update_Rig_Schedule=5,1)),0)))))</f>
        <v/>
      </c>
      <c r="AI12" s="418" t="str">
        <f t="shared" ca="1" si="21"/>
        <v/>
      </c>
      <c r="AJ12" s="419" t="str">
        <f t="shared" ca="1" si="22"/>
        <v/>
      </c>
      <c r="AK12" s="430" t="str">
        <f t="shared" ca="1" si="9"/>
        <v/>
      </c>
      <c r="AL12" s="374" t="str">
        <f ca="1">IF(Z12="","",INDEX(Well_Data_NK_Upcoming!Planned_Spud_to_RR,MATCH(RigScheduleTest!AG12,Well_Data_NK_Upcoming!Concatenated_Wellname,0)))</f>
        <v/>
      </c>
      <c r="AM12" s="374" t="str">
        <f t="array" aca="1" ref="AM12" ca="1">IF(ISERROR(INDEX(Well_Data_NK_Upcoming!Concatenated_Wellname,MATCH(1,IF($B12=Well_Data_NK_Upcoming!RIG,IF(Well_Data_NK_Upcoming!Auto_Update_Rig_Schedule=6,1)),0))),"",(INDEX(Well_Data_NK_Upcoming!Concatenated_Wellname,MATCH(1,IF($B12=Well_Data_NK_Upcoming!RIG,IF(Well_Data_NK_Upcoming!Auto_Update_Rig_Schedule=6,1)),0))))</f>
        <v>SA30-SA-UB-Inj-NW-SL</v>
      </c>
      <c r="AN12" s="417" t="str">
        <f t="array" aca="1" ref="AN12" ca="1">IF(AL12="","",IF(ISERROR(INDEX(Well_Data_NK_Upcoming!Well_Type,MATCH(1,IF($B12=Well_Data_NK_Upcoming!RIG,IF(Well_Data_NK_Upcoming!Auto_Update_Rig_Schedule=6,1)),0))),"",(INDEX(Well_Data_NK_Upcoming!Well_Type,MATCH(1,IF($B12=Well_Data_NK_Upcoming!RIG,IF(Well_Data_NK_Upcoming!Auto_Update_Rig_Schedule=6,1)),0)))))</f>
        <v/>
      </c>
      <c r="AO12" s="418" t="str">
        <f t="shared" ca="1" si="23"/>
        <v/>
      </c>
      <c r="AP12" s="419" t="str">
        <f t="shared" ca="1" si="24"/>
        <v/>
      </c>
      <c r="AQ12" s="430" t="str">
        <f t="shared" ca="1" si="10"/>
        <v/>
      </c>
      <c r="AR12" s="371" t="str">
        <f ca="1">IF(AL12="","",INDEX(Well_Data_NK_Upcoming!Planned_Spud_to_RR,MATCH(RigScheduleTest!AM12,Well_Data_NK_Upcoming!Concatenated_Wellname,0)))</f>
        <v/>
      </c>
      <c r="AS12" s="417" t="str">
        <f t="array" aca="1" ref="AS12" ca="1">IF(ISERROR(INDEX(Well_Data_NK_Upcoming!Concatenated_Wellname,MATCH(1,IF($B12=Well_Data_NK_Upcoming!RIG,IF(Well_Data_NK_Upcoming!Auto_Update_Rig_Schedule=7,1)),0))),"",(INDEX(Well_Data_NK_Upcoming!Concatenated_Wellname,MATCH(1,IF($B12=Well_Data_NK_Upcoming!RIG,IF(Well_Data_NK_Upcoming!Auto_Update_Rig_Schedule=7,1)),0))))</f>
        <v>SA48-SA-Prod-NW-SL</v>
      </c>
      <c r="AT12" s="417" t="str">
        <f t="array" aca="1" ref="AT12" ca="1">IF(AR12="","",IF(ISERROR(INDEX(Well_Data_NK_Upcoming!Well_Type,MATCH(1,IF($B12=Well_Data_NK_Upcoming!RIG,IF(Well_Data_NK_Upcoming!Auto_Update_Rig_Schedule=7,1)),0))),"",(INDEX(Well_Data_NK_Upcoming!Well_Type,MATCH(1,IF($B12=Well_Data_NK_Upcoming!RIG,IF(Well_Data_NK_Upcoming!Auto_Update_Rig_Schedule=7,1)),0)))))</f>
        <v/>
      </c>
      <c r="AU12" s="418" t="str">
        <f t="shared" ca="1" si="25"/>
        <v/>
      </c>
      <c r="AV12" s="419" t="str">
        <f t="shared" ca="1" si="26"/>
        <v/>
      </c>
      <c r="AW12" s="430" t="str">
        <f t="shared" ca="1" si="11"/>
        <v/>
      </c>
      <c r="AX12" s="342" t="str">
        <f ca="1">IF(AR12="","",INDEX(Well_Data_NK_Upcoming!Planned_Spud_to_RR,MATCH(RigScheduleTest!AS12,Well_Data_NK_Upcoming!Concatenated_Wellname,0)))</f>
        <v/>
      </c>
      <c r="AY12" s="417" t="str">
        <f t="array" aca="1" ref="AY12" ca="1">IF(ISERROR(INDEX(Well_Data_NK_Upcoming!Concatenated_Wellname,MATCH(1,IF($B12=Well_Data_NK_Upcoming!RIG,IF(Well_Data_NK_Upcoming!Auto_Update_Rig_Schedule=8,1)),0))),"",(INDEX(Well_Data_NK_Upcoming!Concatenated_Wellname,MATCH(1,IF($B12=Well_Data_NK_Upcoming!RIG,IF(Well_Data_NK_Upcoming!Auto_Update_Rig_Schedule=8,1)),0))))</f>
        <v/>
      </c>
      <c r="AZ12" s="417" t="str">
        <f t="array" aca="1" ref="AZ12" ca="1">IF(AX12="","",IF(ISERROR(INDEX(Well_Data_NK_Upcoming!Well_Type,MATCH(1,IF($B12=Well_Data_NK_Upcoming!RIG,IF(Well_Data_NK_Upcoming!Auto_Update_Rig_Schedule=8,1)),0))),"",(INDEX(Well_Data_NK_Upcoming!Well_Type,MATCH(1,IF($B12=Well_Data_NK_Upcoming!RIG,IF(Well_Data_NK_Upcoming!Auto_Update_Rig_Schedule=8,1)),0)))))</f>
        <v/>
      </c>
      <c r="BA12" s="418" t="str">
        <f t="shared" ca="1" si="27"/>
        <v/>
      </c>
      <c r="BB12" s="419" t="str">
        <f t="shared" ca="1" si="28"/>
        <v/>
      </c>
      <c r="BC12" s="430" t="str">
        <f t="shared" ca="1" si="12"/>
        <v/>
      </c>
      <c r="BD12" s="342" t="str">
        <f ca="1">IF(AX12="","",INDEX(Well_Data_NK_Upcoming!Planned_Spud_to_RR,MATCH(RigScheduleTest!AY12,Well_Data_NK_Upcoming!Concatenated_Wellname,0)))</f>
        <v/>
      </c>
      <c r="BE12" s="417" t="str">
        <f t="array" aca="1" ref="BE12" ca="1">IF(ISERROR(INDEX(Well_Data_NK_Upcoming!Concatenated_Wellname,MATCH(1,IF($B12=Well_Data_NK_Upcoming!RIG,IF(Well_Data_NK_Upcoming!Auto_Update_Rig_Schedule=9,1)),0))),"",(INDEX(Well_Data_NK_Upcoming!Concatenated_Wellname,MATCH(1,IF($B12=Well_Data_NK_Upcoming!RIG,IF(Well_Data_NK_Upcoming!Auto_Update_Rig_Schedule=9,1)),0))))</f>
        <v/>
      </c>
      <c r="BF12" s="417" t="str">
        <f t="array" aca="1" ref="BF12" ca="1">IF(BD12="","",IF(ISERROR(INDEX(Well_Data_NK_Upcoming!Well_Type,MATCH(1,IF($B12=Well_Data_NK_Upcoming!RIG,IF(Well_Data_NK_Upcoming!Auto_Update_Rig_Schedule=9,1)),0))),"",(INDEX(Well_Data_NK_Upcoming!Well_Type,MATCH(1,IF($B12=Well_Data_NK_Upcoming!RIG,IF(Well_Data_NK_Upcoming!Auto_Update_Rig_Schedule=9,1)),0)))))</f>
        <v/>
      </c>
      <c r="BG12" s="418" t="str">
        <f t="shared" ca="1" si="29"/>
        <v/>
      </c>
      <c r="BH12" s="419" t="str">
        <f t="shared" ca="1" si="30"/>
        <v/>
      </c>
      <c r="BI12" s="430" t="str">
        <f t="shared" ca="1" si="13"/>
        <v/>
      </c>
      <c r="BJ12" s="342" t="str">
        <f ca="1">IF(BD12="","",INDEX(Well_Data_NK_Upcoming!Planned_Spud_to_RR,MATCH(RigScheduleTest!BE12,Well_Data_NK_Upcoming!Concatenated_Wellname,0)))</f>
        <v/>
      </c>
      <c r="BK12" s="417" t="str">
        <f t="array" aca="1" ref="BK12" ca="1">IF(ISERROR(INDEX(Well_Data_NK_Upcoming!Concatenated_Wellname,MATCH(1,IF($B12=Well_Data_NK_Upcoming!RIG,IF(Well_Data_NK_Upcoming!Auto_Update_Rig_Schedule=10,1)),0))),"",(INDEX(Well_Data_NK_Upcoming!Concatenated_Wellname,MATCH(1,IF($B12=Well_Data_NK_Upcoming!RIG,IF(Well_Data_NK_Upcoming!Auto_Update_Rig_Schedule=10,1)),0))))</f>
        <v/>
      </c>
      <c r="BL12" s="417" t="str">
        <f t="array" aca="1" ref="BL12" ca="1">IF(BJ12="","",IF(ISERROR(INDEX(Well_Data_NK_Upcoming!Well_Type,MATCH(1,IF($B12=Well_Data_NK_Upcoming!RIG,IF(Well_Data_NK_Upcoming!Auto_Update_Rig_Schedule=10,1)),0))),"",(INDEX(Well_Data_NK_Upcoming!Well_Type,MATCH(1,IF($B12=Well_Data_NK_Upcoming!RIG,IF(Well_Data_NK_Upcoming!Auto_Update_Rig_Schedule=10,1)),0)))))</f>
        <v/>
      </c>
      <c r="BM12" s="418" t="str">
        <f t="shared" ca="1" si="31"/>
        <v/>
      </c>
      <c r="BN12" s="419" t="str">
        <f t="shared" ca="1" si="32"/>
        <v/>
      </c>
      <c r="BO12" s="430" t="str">
        <f t="shared" ca="1" si="14"/>
        <v/>
      </c>
      <c r="BP12" s="342" t="str">
        <f ca="1">IF(BJ12="","",INDEX(Well_Data_NK_Upcoming!Planned_Spud_to_RR,MATCH(RigScheduleTest!BK12,Well_Data_NK_Upcoming!Concatenated_Wellname,0)))</f>
        <v/>
      </c>
    </row>
    <row r="13" spans="1:68" ht="15" x14ac:dyDescent="0.25">
      <c r="A13" s="429" t="str">
        <f t="shared" ca="1" si="0"/>
        <v>RA-0573-SP-185</v>
      </c>
      <c r="B13" s="425" t="s">
        <v>79</v>
      </c>
      <c r="C13" s="340" t="str">
        <f t="array" aca="1" ref="C13" ca="1">IF(ISERROR(INDEX(Well_Data_NK_Upcoming!WELL,MATCH(1,IF($B13=Well_Data_NK_Upcoming!RIG,IF(Well_Data_NK_Upcoming!Auto_Update_Rig_Schedule=0,1)),0))),"",(INDEX(Well_Data_NK_Upcoming!WELL,MATCH(1,IF($B13=Well_Data_NK_Upcoming!RIG,IF(Well_Data_NK_Upcoming!Auto_Update_Rig_Schedule=0,1)),0))))</f>
        <v>RA-0573</v>
      </c>
      <c r="D13" s="424" t="str">
        <f ca="1">INDEX(Well_Data_NK_Upcoming!Concatenated_Wellname,MATCH(RigScheduleTest!A13,Well_Data_NK_Upcoming!Well_Rig,0))</f>
        <v>RA-0573-RA-ZU-Prod-NW-SL-BHI</v>
      </c>
      <c r="E13" s="423" t="str">
        <f ca="1">INDEX(Well_Data_NK_Upcoming!Well_Type,MATCH(RigScheduleTest!A13,Well_Data_NK_Upcoming!Well_Rig,0))</f>
        <v>RA-0573-ZU-NW-Prod</v>
      </c>
      <c r="F13" s="341">
        <f t="shared" si="15"/>
        <v>42233</v>
      </c>
      <c r="G13" s="369">
        <f ca="1">IF(ISERROR(INDEX(Well_Data_NK_Upcoming!Updated_Drill_Days,MATCH(RigScheduleTest!A13,Well_Data_NK_Upcoming!Well_Rig,0))),"",(INDEX(Well_Data_NK_Upcoming!Updated_Drill_Days,MATCH(RigScheduleTest!A13,Well_Data_NK_Upcoming!Well_Rig,0))))</f>
        <v>45</v>
      </c>
      <c r="H13" s="422">
        <f t="shared" ca="1" si="33"/>
        <v>42278</v>
      </c>
      <c r="I13" s="374" t="str">
        <f t="array" aca="1" ref="I13" ca="1">IF(ISERROR(INDEX(Well_Data_NK_Upcoming!Concatenated_Wellname,MATCH(1,IF($B13=Well_Data_NK_Upcoming!RIG,IF(Well_Data_NK_Upcoming!Auto_Update_Rig_Schedule=1,1)),0))),"",(INDEX(Well_Data_NK_Upcoming!Concatenated_Wellname,MATCH(1,IF($B13=Well_Data_NK_Upcoming!RIG,IF(Well_Data_NK_Upcoming!Auto_Update_Rig_Schedule=1,1)),0))))</f>
        <v>RA-0574-RA-ZU-Prod-NW-HZ-Baker</v>
      </c>
      <c r="J13" s="417" t="str">
        <f t="array" aca="1" ref="J13" ca="1">IF(G13="","",IF(ISERROR(INDEX(Well_Data_NK_Upcoming!Well_Type,MATCH(1,IF($B13=Well_Data_NK_Upcoming!RIG,IF(Well_Data_NK_Upcoming!Auto_Update_Rig_Schedule=1,1)),0))),"",(INDEX(Well_Data_NK_Upcoming!Well_Type,MATCH(1,IF($B13=Well_Data_NK_Upcoming!RIG,IF(Well_Data_NK_Upcoming!Auto_Update_Rig_Schedule=1,1)),0)))))</f>
        <v>RA-0574-ZU-NW-Prod</v>
      </c>
      <c r="K13" s="418">
        <f t="shared" ca="1" si="2"/>
        <v>5</v>
      </c>
      <c r="L13" s="419">
        <f t="shared" ca="1" si="16"/>
        <v>42283</v>
      </c>
      <c r="M13" s="430">
        <f t="shared" ca="1" si="34"/>
        <v>42381</v>
      </c>
      <c r="N13" s="374">
        <f ca="1">IF(G13="","",INDEX(Well_Data_NK_Upcoming!Planned_Spud_to_RR,MATCH(RigScheduleTest!I13,Well_Data_NK_Upcoming!Concatenated_Wellname,0)))</f>
        <v>98</v>
      </c>
      <c r="O13" s="374" t="str">
        <f t="array" aca="1" ref="O13" ca="1">IF(ISERROR(INDEX(Well_Data_NK_Upcoming!Concatenated_Wellname,MATCH(1,IF($B13=Well_Data_NK_Upcoming!RIG,IF(Well_Data_NK_Upcoming!Auto_Update_Rig_Schedule=2,1)),0))),"",(INDEX(Well_Data_NK_Upcoming!Concatenated_Wellname,MATCH(1,IF($B13=Well_Data_NK_Upcoming!RIG,IF(Well_Data_NK_Upcoming!Auto_Update_Rig_Schedule=2,1)),0))))</f>
        <v>RA-0572-RA-LB-Prod-NW-HZ-Baker</v>
      </c>
      <c r="P13" s="417" t="str">
        <f t="array" aca="1" ref="P13" ca="1">IF(N13="","",IF(ISERROR(INDEX(Well_Data_NK_Upcoming!Well_Type,MATCH(1,IF($B13=Well_Data_NK_Upcoming!RIG,IF(Well_Data_NK_Upcoming!Auto_Update_Rig_Schedule=2,1)),0))),"",(INDEX(Well_Data_NK_Upcoming!Well_Type,MATCH(1,IF($B13=Well_Data_NK_Upcoming!RIG,IF(Well_Data_NK_Upcoming!Auto_Update_Rig_Schedule=2,1)),0)))))</f>
        <v>RA-0572-LB-NW-Prod</v>
      </c>
      <c r="Q13" s="418">
        <f t="shared" ca="1" si="4"/>
        <v>5</v>
      </c>
      <c r="R13" s="419">
        <f t="shared" ca="1" si="17"/>
        <v>42386</v>
      </c>
      <c r="S13" s="430">
        <f t="shared" ca="1" si="5"/>
        <v>42456</v>
      </c>
      <c r="T13" s="373">
        <f ca="1">IF(N13="","",INDEX(Well_Data_NK_Upcoming!Planned_Spud_to_RR,MATCH(RigScheduleTest!O13,Well_Data_NK_Upcoming!Concatenated_Wellname,0)))</f>
        <v>70</v>
      </c>
      <c r="U13" s="342" t="str">
        <f t="array" aca="1" ref="U13" ca="1">IF(ISERROR(INDEX(Well_Data_NK_Upcoming!Concatenated_Wellname,MATCH(1,IF($B13=Well_Data_NK_Upcoming!RIG,IF(Well_Data_NK_Upcoming!Auto_Update_Rig_Schedule=3,1)),0))),"",(INDEX(Well_Data_NK_Upcoming!Concatenated_Wellname,MATCH(1,IF($B13=Well_Data_NK_Upcoming!RIG,IF(Well_Data_NK_Upcoming!Auto_Update_Rig_Schedule=3,1)),0))))</f>
        <v>RA-0571-RA-MA-Prod-NW-HZ-Baker</v>
      </c>
      <c r="V13" s="417" t="str">
        <f t="array" aca="1" ref="V13" ca="1">IF(T13="","",IF(ISERROR(INDEX(Well_Data_NK_Upcoming!Well_Type,MATCH(1,IF($B13=Well_Data_NK_Upcoming!RIG,IF(Well_Data_NK_Upcoming!Auto_Update_Rig_Schedule=3,1)),0))),"",(INDEX(Well_Data_NK_Upcoming!Well_Type,MATCH(1,IF($B13=Well_Data_NK_Upcoming!RIG,IF(Well_Data_NK_Upcoming!Auto_Update_Rig_Schedule=3,1)),0)))))</f>
        <v>RA-0571-MA-NW-Prod</v>
      </c>
      <c r="W13" s="418">
        <f t="shared" ca="1" si="6"/>
        <v>5</v>
      </c>
      <c r="X13" s="419">
        <f t="shared" ca="1" si="18"/>
        <v>42461</v>
      </c>
      <c r="Y13" s="430">
        <f t="shared" ca="1" si="7"/>
        <v>42531</v>
      </c>
      <c r="Z13" s="372">
        <f ca="1">IF(T13="","",INDEX(Well_Data_NK_Upcoming!Planned_Spud_to_RR,MATCH(RigScheduleTest!U13,Well_Data_NK_Upcoming!Concatenated_Wellname,0)))</f>
        <v>70</v>
      </c>
      <c r="AA13" s="372" t="str">
        <f t="array" aca="1" ref="AA13" ca="1">IF(ISERROR(INDEX(Well_Data_NK_Upcoming!Concatenated_Wellname,MATCH(1,IF($B13=Well_Data_NK_Upcoming!RIG,IF(Well_Data_NK_Upcoming!Auto_Update_Rig_Schedule=4,1)),0))),"",(INDEX(Well_Data_NK_Upcoming!Concatenated_Wellname,MATCH(1,IF($B13=Well_Data_NK_Upcoming!RIG,IF(Well_Data_NK_Upcoming!Auto_Update_Rig_Schedule=4,1)),0))))</f>
        <v>RA22-RA-UB-Prod-NW-HZ-SLB</v>
      </c>
      <c r="AB13" s="417" t="str">
        <f t="array" aca="1" ref="AB13" ca="1">IF(Z13="","",IF(ISERROR(INDEX(Well_Data_NK_Upcoming!Well_Type,MATCH(1,IF($B13=Well_Data_NK_Upcoming!RIG,IF(Well_Data_NK_Upcoming!Auto_Update_Rig_Schedule=4,1)),0))),"",(INDEX(Well_Data_NK_Upcoming!Well_Type,MATCH(1,IF($B13=Well_Data_NK_Upcoming!RIG,IF(Well_Data_NK_Upcoming!Auto_Update_Rig_Schedule=4,1)),0)))))</f>
        <v>RA22-UB-NW-Prod</v>
      </c>
      <c r="AC13" s="418">
        <f t="shared" ca="1" si="19"/>
        <v>5</v>
      </c>
      <c r="AD13" s="419">
        <f t="shared" ca="1" si="20"/>
        <v>42536</v>
      </c>
      <c r="AE13" s="430">
        <f t="shared" ca="1" si="8"/>
        <v>42606</v>
      </c>
      <c r="AF13" s="371">
        <f ca="1">IF(Z13="","",INDEX(Well_Data_NK_Upcoming!Planned_Spud_to_RR,MATCH(RigScheduleTest!AA13,Well_Data_NK_Upcoming!Concatenated_Wellname,0)))</f>
        <v>70</v>
      </c>
      <c r="AG13" s="373" t="str">
        <f t="array" aca="1" ref="AG13" ca="1">IF(ISERROR(INDEX(Well_Data_NK_Upcoming!Concatenated_Wellname,MATCH(1,IF($B13=Well_Data_NK_Upcoming!RIG,IF(Well_Data_NK_Upcoming!Auto_Update_Rig_Schedule=5,1)),0))),"",(INDEX(Well_Data_NK_Upcoming!Concatenated_Wellname,MATCH(1,IF($B13=Well_Data_NK_Upcoming!RIG,IF(Well_Data_NK_Upcoming!Auto_Update_Rig_Schedule=5,1)),0))))</f>
        <v>SA49-SA-UB-Inj-NW-SL</v>
      </c>
      <c r="AH13" s="417" t="str">
        <f t="array" aca="1" ref="AH13" ca="1">IF(AF13="","",IF(ISERROR(INDEX(Well_Data_NK_Upcoming!Well_Type,MATCH(1,IF($B13=Well_Data_NK_Upcoming!RIG,IF(Well_Data_NK_Upcoming!Auto_Update_Rig_Schedule=5,1)),0))),"",(INDEX(Well_Data_NK_Upcoming!Well_Type,MATCH(1,IF($B13=Well_Data_NK_Upcoming!RIG,IF(Well_Data_NK_Upcoming!Auto_Update_Rig_Schedule=5,1)),0)))))</f>
        <v>SA49-UB-NW-Inj</v>
      </c>
      <c r="AI13" s="418">
        <f t="shared" ca="1" si="21"/>
        <v>5</v>
      </c>
      <c r="AJ13" s="419">
        <f t="shared" ca="1" si="22"/>
        <v>42611</v>
      </c>
      <c r="AK13" s="430">
        <f t="shared" ca="1" si="9"/>
        <v>42681</v>
      </c>
      <c r="AL13" s="371">
        <f ca="1">IF(Z13="","",INDEX(Well_Data_NK_Upcoming!Planned_Spud_to_RR,MATCH(RigScheduleTest!AG13,Well_Data_NK_Upcoming!Concatenated_Wellname,0)))</f>
        <v>70</v>
      </c>
      <c r="AM13" s="371" t="str">
        <f t="array" aca="1" ref="AM13" ca="1">IF(ISERROR(INDEX(Well_Data_NK_Upcoming!Concatenated_Wellname,MATCH(1,IF($B13=Well_Data_NK_Upcoming!RIG,IF(Well_Data_NK_Upcoming!Auto_Update_Rig_Schedule=6,1)),0))),"",(INDEX(Well_Data_NK_Upcoming!Concatenated_Wellname,MATCH(1,IF($B13=Well_Data_NK_Upcoming!RIG,IF(Well_Data_NK_Upcoming!Auto_Update_Rig_Schedule=6,1)),0))))</f>
        <v>SA56-SA-Prod-NW-SL</v>
      </c>
      <c r="AN13" s="417" t="str">
        <f t="array" aca="1" ref="AN13" ca="1">IF(AL13="","",IF(ISERROR(INDEX(Well_Data_NK_Upcoming!Well_Type,MATCH(1,IF($B13=Well_Data_NK_Upcoming!RIG,IF(Well_Data_NK_Upcoming!Auto_Update_Rig_Schedule=6,1)),0))),"",(INDEX(Well_Data_NK_Upcoming!Well_Type,MATCH(1,IF($B13=Well_Data_NK_Upcoming!RIG,IF(Well_Data_NK_Upcoming!Auto_Update_Rig_Schedule=6,1)),0)))))</f>
        <v>SA56-NW-Prod</v>
      </c>
      <c r="AO13" s="418" t="str">
        <f t="shared" ca="1" si="23"/>
        <v/>
      </c>
      <c r="AP13" s="419" t="str">
        <f t="shared" ca="1" si="24"/>
        <v/>
      </c>
      <c r="AQ13" s="430" t="str">
        <f t="shared" ca="1" si="10"/>
        <v/>
      </c>
      <c r="AR13" s="371" t="str">
        <f ca="1">IF(AL13="","",INDEX(Well_Data_NK_Upcoming!Planned_Spud_to_RR,MATCH(RigScheduleTest!AM13,Well_Data_NK_Upcoming!Concatenated_Wellname,0)))</f>
        <v/>
      </c>
      <c r="AS13" s="417" t="str">
        <f t="array" aca="1" ref="AS13" ca="1">IF(ISERROR(INDEX(Well_Data_NK_Upcoming!Concatenated_Wellname,MATCH(1,IF($B13=Well_Data_NK_Upcoming!RIG,IF(Well_Data_NK_Upcoming!Auto_Update_Rig_Schedule=7,1)),0))),"",(INDEX(Well_Data_NK_Upcoming!Concatenated_Wellname,MATCH(1,IF($B13=Well_Data_NK_Upcoming!RIG,IF(Well_Data_NK_Upcoming!Auto_Update_Rig_Schedule=7,1)),0))))</f>
        <v/>
      </c>
      <c r="AT13" s="417" t="str">
        <f t="array" aca="1" ref="AT13" ca="1">IF(AR13="","",IF(ISERROR(INDEX(Well_Data_NK_Upcoming!Well_Type,MATCH(1,IF($B13=Well_Data_NK_Upcoming!RIG,IF(Well_Data_NK_Upcoming!Auto_Update_Rig_Schedule=7,1)),0))),"",(INDEX(Well_Data_NK_Upcoming!Well_Type,MATCH(1,IF($B13=Well_Data_NK_Upcoming!RIG,IF(Well_Data_NK_Upcoming!Auto_Update_Rig_Schedule=7,1)),0)))))</f>
        <v/>
      </c>
      <c r="AU13" s="418" t="str">
        <f t="shared" ca="1" si="25"/>
        <v/>
      </c>
      <c r="AV13" s="419" t="str">
        <f t="shared" ca="1" si="26"/>
        <v/>
      </c>
      <c r="AW13" s="430" t="str">
        <f t="shared" ca="1" si="11"/>
        <v/>
      </c>
      <c r="AX13" s="342" t="str">
        <f ca="1">IF(AR13="","",INDEX(Well_Data_NK_Upcoming!Planned_Spud_to_RR,MATCH(RigScheduleTest!AS13,Well_Data_NK_Upcoming!Concatenated_Wellname,0)))</f>
        <v/>
      </c>
      <c r="AY13" s="417" t="str">
        <f t="array" aca="1" ref="AY13" ca="1">IF(ISERROR(INDEX(Well_Data_NK_Upcoming!Concatenated_Wellname,MATCH(1,IF($B13=Well_Data_NK_Upcoming!RIG,IF(Well_Data_NK_Upcoming!Auto_Update_Rig_Schedule=8,1)),0))),"",(INDEX(Well_Data_NK_Upcoming!Concatenated_Wellname,MATCH(1,IF($B13=Well_Data_NK_Upcoming!RIG,IF(Well_Data_NK_Upcoming!Auto_Update_Rig_Schedule=8,1)),0))))</f>
        <v/>
      </c>
      <c r="AZ13" s="417" t="str">
        <f t="array" aca="1" ref="AZ13" ca="1">IF(AX13="","",IF(ISERROR(INDEX(Well_Data_NK_Upcoming!Well_Type,MATCH(1,IF($B13=Well_Data_NK_Upcoming!RIG,IF(Well_Data_NK_Upcoming!Auto_Update_Rig_Schedule=8,1)),0))),"",(INDEX(Well_Data_NK_Upcoming!Well_Type,MATCH(1,IF($B13=Well_Data_NK_Upcoming!RIG,IF(Well_Data_NK_Upcoming!Auto_Update_Rig_Schedule=8,1)),0)))))</f>
        <v/>
      </c>
      <c r="BA13" s="418" t="str">
        <f t="shared" ca="1" si="27"/>
        <v/>
      </c>
      <c r="BB13" s="419" t="str">
        <f t="shared" ca="1" si="28"/>
        <v/>
      </c>
      <c r="BC13" s="430" t="str">
        <f t="shared" ca="1" si="12"/>
        <v/>
      </c>
      <c r="BD13" s="342" t="str">
        <f ca="1">IF(AX13="","",INDEX(Well_Data_NK_Upcoming!Planned_Spud_to_RR,MATCH(RigScheduleTest!AY13,Well_Data_NK_Upcoming!Concatenated_Wellname,0)))</f>
        <v/>
      </c>
      <c r="BE13" s="417" t="str">
        <f t="array" aca="1" ref="BE13" ca="1">IF(ISERROR(INDEX(Well_Data_NK_Upcoming!Concatenated_Wellname,MATCH(1,IF($B13=Well_Data_NK_Upcoming!RIG,IF(Well_Data_NK_Upcoming!Auto_Update_Rig_Schedule=9,1)),0))),"",(INDEX(Well_Data_NK_Upcoming!Concatenated_Wellname,MATCH(1,IF($B13=Well_Data_NK_Upcoming!RIG,IF(Well_Data_NK_Upcoming!Auto_Update_Rig_Schedule=9,1)),0))))</f>
        <v/>
      </c>
      <c r="BF13" s="417" t="str">
        <f t="array" aca="1" ref="BF13" ca="1">IF(BD13="","",IF(ISERROR(INDEX(Well_Data_NK_Upcoming!Well_Type,MATCH(1,IF($B13=Well_Data_NK_Upcoming!RIG,IF(Well_Data_NK_Upcoming!Auto_Update_Rig_Schedule=9,1)),0))),"",(INDEX(Well_Data_NK_Upcoming!Well_Type,MATCH(1,IF($B13=Well_Data_NK_Upcoming!RIG,IF(Well_Data_NK_Upcoming!Auto_Update_Rig_Schedule=9,1)),0)))))</f>
        <v/>
      </c>
      <c r="BG13" s="418" t="str">
        <f t="shared" ca="1" si="29"/>
        <v/>
      </c>
      <c r="BH13" s="419" t="str">
        <f t="shared" ca="1" si="30"/>
        <v/>
      </c>
      <c r="BI13" s="430" t="str">
        <f t="shared" ca="1" si="13"/>
        <v/>
      </c>
      <c r="BJ13" s="342" t="str">
        <f ca="1">IF(BD13="","",INDEX(Well_Data_NK_Upcoming!Planned_Spud_to_RR,MATCH(RigScheduleTest!BE13,Well_Data_NK_Upcoming!Concatenated_Wellname,0)))</f>
        <v/>
      </c>
      <c r="BK13" s="417" t="str">
        <f t="array" aca="1" ref="BK13" ca="1">IF(ISERROR(INDEX(Well_Data_NK_Upcoming!Concatenated_Wellname,MATCH(1,IF($B13=Well_Data_NK_Upcoming!RIG,IF(Well_Data_NK_Upcoming!Auto_Update_Rig_Schedule=10,1)),0))),"",(INDEX(Well_Data_NK_Upcoming!Concatenated_Wellname,MATCH(1,IF($B13=Well_Data_NK_Upcoming!RIG,IF(Well_Data_NK_Upcoming!Auto_Update_Rig_Schedule=10,1)),0))))</f>
        <v/>
      </c>
      <c r="BL13" s="417" t="str">
        <f t="array" aca="1" ref="BL13" ca="1">IF(BJ13="","",IF(ISERROR(INDEX(Well_Data_NK_Upcoming!Well_Type,MATCH(1,IF($B13=Well_Data_NK_Upcoming!RIG,IF(Well_Data_NK_Upcoming!Auto_Update_Rig_Schedule=10,1)),0))),"",(INDEX(Well_Data_NK_Upcoming!Well_Type,MATCH(1,IF($B13=Well_Data_NK_Upcoming!RIG,IF(Well_Data_NK_Upcoming!Auto_Update_Rig_Schedule=10,1)),0)))))</f>
        <v/>
      </c>
      <c r="BM13" s="418" t="str">
        <f t="shared" ca="1" si="31"/>
        <v/>
      </c>
      <c r="BN13" s="419" t="str">
        <f t="shared" ca="1" si="32"/>
        <v/>
      </c>
      <c r="BO13" s="430" t="str">
        <f t="shared" ca="1" si="14"/>
        <v/>
      </c>
      <c r="BP13" s="342" t="str">
        <f ca="1">IF(BJ13="","",INDEX(Well_Data_NK_Upcoming!Planned_Spud_to_RR,MATCH(RigScheduleTest!BK13,Well_Data_NK_Upcoming!Concatenated_Wellname,0)))</f>
        <v/>
      </c>
    </row>
    <row r="14" spans="1:68" ht="15" x14ac:dyDescent="0.25">
      <c r="A14" s="429" t="str">
        <f t="shared" ca="1" si="0"/>
        <v>SA-0248-SP-186</v>
      </c>
      <c r="B14" s="425" t="s">
        <v>37</v>
      </c>
      <c r="C14" s="340" t="str">
        <f t="array" aca="1" ref="C14" ca="1">IF(ISERROR(INDEX(Well_Data_NK_Upcoming!WELL,MATCH(1,IF($B14=Well_Data_NK_Upcoming!RIG,IF(Well_Data_NK_Upcoming!Auto_Update_Rig_Schedule=0,1)),0))),"",(INDEX(Well_Data_NK_Upcoming!WELL,MATCH(1,IF($B14=Well_Data_NK_Upcoming!RIG,IF(Well_Data_NK_Upcoming!Auto_Update_Rig_Schedule=0,1)),0))))</f>
        <v>SA-0248</v>
      </c>
      <c r="D14" s="424" t="str">
        <f ca="1">INDEX(Well_Data_NK_Upcoming!Concatenated_Wellname,MATCH(RigScheduleTest!A14,Well_Data_NK_Upcoming!Well_Rig,0))</f>
        <v>SA-0248-SA-LB-Prod-ST-SL-BHI</v>
      </c>
      <c r="E14" s="423" t="str">
        <f ca="1">INDEX(Well_Data_NK_Upcoming!Well_Type,MATCH(RigScheduleTest!A14,Well_Data_NK_Upcoming!Well_Rig,0))</f>
        <v>SA-0248-LB-ST-Prod</v>
      </c>
      <c r="F14" s="341">
        <f t="shared" si="15"/>
        <v>42233</v>
      </c>
      <c r="G14" s="370">
        <f ca="1">IF(ISERROR(INDEX(Well_Data_NK_Upcoming!Updated_Drill_Days,MATCH(RigScheduleTest!A14,Well_Data_NK_Upcoming!Well_Rig,0))),"",(INDEX(Well_Data_NK_Upcoming!Updated_Drill_Days,MATCH(RigScheduleTest!A14,Well_Data_NK_Upcoming!Well_Rig,0))))</f>
        <v>20</v>
      </c>
      <c r="H14" s="422">
        <f t="shared" ca="1" si="33"/>
        <v>42253</v>
      </c>
      <c r="I14" s="374" t="str">
        <f t="array" aca="1" ref="I14" ca="1">IF(ISERROR(INDEX(Well_Data_NK_Upcoming!Concatenated_Wellname,MATCH(1,IF($B14=Well_Data_NK_Upcoming!RIG,IF(Well_Data_NK_Upcoming!Auto_Update_Rig_Schedule=1,1)),0))),"",(INDEX(Well_Data_NK_Upcoming!Concatenated_Wellname,MATCH(1,IF($B14=Well_Data_NK_Upcoming!RIG,IF(Well_Data_NK_Upcoming!Auto_Update_Rig_Schedule=1,1)),0))))</f>
        <v>RA-0563-RA-ZU-Prod-NW-ML-Baker</v>
      </c>
      <c r="J14" s="417" t="str">
        <f t="array" aca="1" ref="J14" ca="1">IF(G14="","",IF(ISERROR(INDEX(Well_Data_NK_Upcoming!Well_Type,MATCH(1,IF($B14=Well_Data_NK_Upcoming!RIG,IF(Well_Data_NK_Upcoming!Auto_Update_Rig_Schedule=1,1)),0))),"",(INDEX(Well_Data_NK_Upcoming!Well_Type,MATCH(1,IF($B14=Well_Data_NK_Upcoming!RIG,IF(Well_Data_NK_Upcoming!Auto_Update_Rig_Schedule=1,1)),0)))))</f>
        <v>RA-0563-ZU-NW-Prod</v>
      </c>
      <c r="K14" s="418">
        <f t="shared" ca="1" si="2"/>
        <v>5</v>
      </c>
      <c r="L14" s="419">
        <f t="shared" ca="1" si="16"/>
        <v>42258</v>
      </c>
      <c r="M14" s="430">
        <f t="shared" ca="1" si="34"/>
        <v>42403</v>
      </c>
      <c r="N14" s="374">
        <f ca="1">IF(G14="","",INDEX(Well_Data_NK_Upcoming!Planned_Spud_to_RR,MATCH(RigScheduleTest!I14,Well_Data_NK_Upcoming!Concatenated_Wellname,0)))</f>
        <v>145</v>
      </c>
      <c r="O14" s="373" t="str">
        <f t="array" aca="1" ref="O14" ca="1">IF(ISERROR(INDEX(Well_Data_NK_Upcoming!Concatenated_Wellname,MATCH(1,IF($B14=Well_Data_NK_Upcoming!RIG,IF(Well_Data_NK_Upcoming!Auto_Update_Rig_Schedule=2,1)),0))),"",(INDEX(Well_Data_NK_Upcoming!Concatenated_Wellname,MATCH(1,IF($B14=Well_Data_NK_Upcoming!RIG,IF(Well_Data_NK_Upcoming!Auto_Update_Rig_Schedule=2,1)),0))))</f>
        <v>SA9-SA-MA-Prod-NW-HZ</v>
      </c>
      <c r="P14" s="417" t="str">
        <f t="array" aca="1" ref="P14" ca="1">IF(N14="","",IF(ISERROR(INDEX(Well_Data_NK_Upcoming!Well_Type,MATCH(1,IF($B14=Well_Data_NK_Upcoming!RIG,IF(Well_Data_NK_Upcoming!Auto_Update_Rig_Schedule=2,1)),0))),"",(INDEX(Well_Data_NK_Upcoming!Well_Type,MATCH(1,IF($B14=Well_Data_NK_Upcoming!RIG,IF(Well_Data_NK_Upcoming!Auto_Update_Rig_Schedule=2,1)),0)))))</f>
        <v>SA9-MA-NW-Prod</v>
      </c>
      <c r="Q14" s="418">
        <f t="shared" ca="1" si="4"/>
        <v>5</v>
      </c>
      <c r="R14" s="419">
        <f t="shared" ca="1" si="17"/>
        <v>42408</v>
      </c>
      <c r="S14" s="430">
        <f t="shared" ca="1" si="5"/>
        <v>42478</v>
      </c>
      <c r="T14" s="372">
        <f ca="1">IF(N14="","",INDEX(Well_Data_NK_Upcoming!Planned_Spud_to_RR,MATCH(RigScheduleTest!O14,Well_Data_NK_Upcoming!Concatenated_Wellname,0)))</f>
        <v>70</v>
      </c>
      <c r="U14" s="373" t="str">
        <f t="array" aca="1" ref="U14" ca="1">IF(ISERROR(INDEX(Well_Data_NK_Upcoming!Concatenated_Wellname,MATCH(1,IF($B14=Well_Data_NK_Upcoming!RIG,IF(Well_Data_NK_Upcoming!Auto_Update_Rig_Schedule=3,1)),0))),"",(INDEX(Well_Data_NK_Upcoming!Concatenated_Wellname,MATCH(1,IF($B14=Well_Data_NK_Upcoming!RIG,IF(Well_Data_NK_Upcoming!Auto_Update_Rig_Schedule=3,1)),0))))</f>
        <v>SA21-SA-MA-Prod-NW-HZ</v>
      </c>
      <c r="V14" s="417" t="str">
        <f t="array" aca="1" ref="V14" ca="1">IF(T14="","",IF(ISERROR(INDEX(Well_Data_NK_Upcoming!Well_Type,MATCH(1,IF($B14=Well_Data_NK_Upcoming!RIG,IF(Well_Data_NK_Upcoming!Auto_Update_Rig_Schedule=3,1)),0))),"",(INDEX(Well_Data_NK_Upcoming!Well_Type,MATCH(1,IF($B14=Well_Data_NK_Upcoming!RIG,IF(Well_Data_NK_Upcoming!Auto_Update_Rig_Schedule=3,1)),0)))))</f>
        <v>SA21-MA-NW-Prod</v>
      </c>
      <c r="W14" s="418">
        <f t="shared" ca="1" si="6"/>
        <v>5</v>
      </c>
      <c r="X14" s="419">
        <f t="shared" ca="1" si="18"/>
        <v>42483</v>
      </c>
      <c r="Y14" s="430">
        <f t="shared" ca="1" si="7"/>
        <v>42553</v>
      </c>
      <c r="Z14" s="372">
        <f ca="1">IF(T14="","",INDEX(Well_Data_NK_Upcoming!Planned_Spud_to_RR,MATCH(RigScheduleTest!U14,Well_Data_NK_Upcoming!Concatenated_Wellname,0)))</f>
        <v>70</v>
      </c>
      <c r="AA14" s="372" t="str">
        <f t="array" aca="1" ref="AA14" ca="1">IF(ISERROR(INDEX(Well_Data_NK_Upcoming!Concatenated_Wellname,MATCH(1,IF($B14=Well_Data_NK_Upcoming!RIG,IF(Well_Data_NK_Upcoming!Auto_Update_Rig_Schedule=4,1)),0))),"",(INDEX(Well_Data_NK_Upcoming!Concatenated_Wellname,MATCH(1,IF($B14=Well_Data_NK_Upcoming!RIG,IF(Well_Data_NK_Upcoming!Auto_Update_Rig_Schedule=4,1)),0))))</f>
        <v>SA40-SA-MA-Prod-NW-HZ</v>
      </c>
      <c r="AB14" s="417" t="str">
        <f t="array" aca="1" ref="AB14" ca="1">IF(Z14="","",IF(ISERROR(INDEX(Well_Data_NK_Upcoming!Well_Type,MATCH(1,IF($B14=Well_Data_NK_Upcoming!RIG,IF(Well_Data_NK_Upcoming!Auto_Update_Rig_Schedule=4,1)),0))),"",(INDEX(Well_Data_NK_Upcoming!Well_Type,MATCH(1,IF($B14=Well_Data_NK_Upcoming!RIG,IF(Well_Data_NK_Upcoming!Auto_Update_Rig_Schedule=4,1)),0)))))</f>
        <v>SA40-MA-NW-Prod</v>
      </c>
      <c r="AC14" s="418">
        <f t="shared" ca="1" si="19"/>
        <v>5</v>
      </c>
      <c r="AD14" s="419">
        <f t="shared" ca="1" si="20"/>
        <v>42558</v>
      </c>
      <c r="AE14" s="430">
        <f t="shared" ca="1" si="8"/>
        <v>42628</v>
      </c>
      <c r="AF14" s="372">
        <f ca="1">IF(Z14="","",INDEX(Well_Data_NK_Upcoming!Planned_Spud_to_RR,MATCH(RigScheduleTest!AA14,Well_Data_NK_Upcoming!Concatenated_Wellname,0)))</f>
        <v>70</v>
      </c>
      <c r="AG14" s="372" t="str">
        <f t="array" aca="1" ref="AG14" ca="1">IF(ISERROR(INDEX(Well_Data_NK_Upcoming!Concatenated_Wellname,MATCH(1,IF($B14=Well_Data_NK_Upcoming!RIG,IF(Well_Data_NK_Upcoming!Auto_Update_Rig_Schedule=5,1)),0))),"",(INDEX(Well_Data_NK_Upcoming!Concatenated_Wellname,MATCH(1,IF($B14=Well_Data_NK_Upcoming!RIG,IF(Well_Data_NK_Upcoming!Auto_Update_Rig_Schedule=5,1)),0))))</f>
        <v>RA29-RA-MA-Inj-NW-HZ-SLB</v>
      </c>
      <c r="AH14" s="417" t="str">
        <f t="array" aca="1" ref="AH14" ca="1">IF(AF14="","",IF(ISERROR(INDEX(Well_Data_NK_Upcoming!Well_Type,MATCH(1,IF($B14=Well_Data_NK_Upcoming!RIG,IF(Well_Data_NK_Upcoming!Auto_Update_Rig_Schedule=5,1)),0))),"",(INDEX(Well_Data_NK_Upcoming!Well_Type,MATCH(1,IF($B14=Well_Data_NK_Upcoming!RIG,IF(Well_Data_NK_Upcoming!Auto_Update_Rig_Schedule=5,1)),0)))))</f>
        <v>RA29-MA-NW-Inj</v>
      </c>
      <c r="AI14" s="418">
        <f t="shared" ca="1" si="21"/>
        <v>5</v>
      </c>
      <c r="AJ14" s="419">
        <f t="shared" ca="1" si="22"/>
        <v>42633</v>
      </c>
      <c r="AK14" s="430">
        <f t="shared" ca="1" si="9"/>
        <v>42696</v>
      </c>
      <c r="AL14" s="372">
        <f ca="1">IF(Z14="","",INDEX(Well_Data_NK_Upcoming!Planned_Spud_to_RR,MATCH(RigScheduleTest!AG14,Well_Data_NK_Upcoming!Concatenated_Wellname,0)))</f>
        <v>63</v>
      </c>
      <c r="AM14" s="372" t="str">
        <f t="array" aca="1" ref="AM14" ca="1">IF(ISERROR(INDEX(Well_Data_NK_Upcoming!Concatenated_Wellname,MATCH(1,IF($B14=Well_Data_NK_Upcoming!RIG,IF(Well_Data_NK_Upcoming!Auto_Update_Rig_Schedule=6,1)),0))),"",(INDEX(Well_Data_NK_Upcoming!Concatenated_Wellname,MATCH(1,IF($B14=Well_Data_NK_Upcoming!RIG,IF(Well_Data_NK_Upcoming!Auto_Update_Rig_Schedule=6,1)),0))))</f>
        <v>RA36-RA-MA-Prod-NW-HZ-SLB</v>
      </c>
      <c r="AN14" s="417" t="str">
        <f t="array" aca="1" ref="AN14" ca="1">IF(AL14="","",IF(ISERROR(INDEX(Well_Data_NK_Upcoming!Well_Type,MATCH(1,IF($B14=Well_Data_NK_Upcoming!RIG,IF(Well_Data_NK_Upcoming!Auto_Update_Rig_Schedule=6,1)),0))),"",(INDEX(Well_Data_NK_Upcoming!Well_Type,MATCH(1,IF($B14=Well_Data_NK_Upcoming!RIG,IF(Well_Data_NK_Upcoming!Auto_Update_Rig_Schedule=6,1)),0)))))</f>
        <v>RA36-MA-NW-Prod</v>
      </c>
      <c r="AO14" s="418">
        <f t="shared" ca="1" si="23"/>
        <v>5</v>
      </c>
      <c r="AP14" s="419">
        <f t="shared" ca="1" si="24"/>
        <v>42701</v>
      </c>
      <c r="AQ14" s="430">
        <f t="shared" ca="1" si="10"/>
        <v>42771</v>
      </c>
      <c r="AR14" s="372">
        <f ca="1">IF(AL14="","",INDEX(Well_Data_NK_Upcoming!Planned_Spud_to_RR,MATCH(RigScheduleTest!AM14,Well_Data_NK_Upcoming!Concatenated_Wellname,0)))</f>
        <v>70</v>
      </c>
      <c r="AS14" s="417" t="str">
        <f t="array" aca="1" ref="AS14" ca="1">IF(ISERROR(INDEX(Well_Data_NK_Upcoming!Concatenated_Wellname,MATCH(1,IF($B14=Well_Data_NK_Upcoming!RIG,IF(Well_Data_NK_Upcoming!Auto_Update_Rig_Schedule=7,1)),0))),"",(INDEX(Well_Data_NK_Upcoming!Concatenated_Wellname,MATCH(1,IF($B14=Well_Data_NK_Upcoming!RIG,IF(Well_Data_NK_Upcoming!Auto_Update_Rig_Schedule=7,1)),0))))</f>
        <v>SA59-SA-MA-Inj-ST-SL</v>
      </c>
      <c r="AT14" s="417" t="str">
        <f t="array" aca="1" ref="AT14" ca="1">IF(AR14="","",IF(ISERROR(INDEX(Well_Data_NK_Upcoming!Well_Type,MATCH(1,IF($B14=Well_Data_NK_Upcoming!RIG,IF(Well_Data_NK_Upcoming!Auto_Update_Rig_Schedule=7,1)),0))),"",(INDEX(Well_Data_NK_Upcoming!Well_Type,MATCH(1,IF($B14=Well_Data_NK_Upcoming!RIG,IF(Well_Data_NK_Upcoming!Auto_Update_Rig_Schedule=7,1)),0)))))</f>
        <v>SA59-MA-ST-Inj</v>
      </c>
      <c r="AU14" s="418">
        <f t="shared" ca="1" si="25"/>
        <v>5</v>
      </c>
      <c r="AV14" s="419">
        <f t="shared" ca="1" si="26"/>
        <v>42776</v>
      </c>
      <c r="AW14" s="430">
        <f t="shared" ca="1" si="11"/>
        <v>42832</v>
      </c>
      <c r="AX14" s="342">
        <f ca="1">IF(AR14="","",INDEX(Well_Data_NK_Upcoming!Planned_Spud_to_RR,MATCH(RigScheduleTest!AS14,Well_Data_NK_Upcoming!Concatenated_Wellname,0)))</f>
        <v>56</v>
      </c>
      <c r="AY14" s="417" t="str">
        <f t="array" aca="1" ref="AY14" ca="1">IF(ISERROR(INDEX(Well_Data_NK_Upcoming!Concatenated_Wellname,MATCH(1,IF($B14=Well_Data_NK_Upcoming!RIG,IF(Well_Data_NK_Upcoming!Auto_Update_Rig_Schedule=8,1)),0))),"",(INDEX(Well_Data_NK_Upcoming!Concatenated_Wellname,MATCH(1,IF($B14=Well_Data_NK_Upcoming!RIG,IF(Well_Data_NK_Upcoming!Auto_Update_Rig_Schedule=8,1)),0))))</f>
        <v/>
      </c>
      <c r="AZ14" s="417" t="str">
        <f t="array" aca="1" ref="AZ14" ca="1">IF(AX14="","",IF(ISERROR(INDEX(Well_Data_NK_Upcoming!Well_Type,MATCH(1,IF($B14=Well_Data_NK_Upcoming!RIG,IF(Well_Data_NK_Upcoming!Auto_Update_Rig_Schedule=8,1)),0))),"",(INDEX(Well_Data_NK_Upcoming!Well_Type,MATCH(1,IF($B14=Well_Data_NK_Upcoming!RIG,IF(Well_Data_NK_Upcoming!Auto_Update_Rig_Schedule=8,1)),0)))))</f>
        <v/>
      </c>
      <c r="BA14" s="418" t="str">
        <f t="shared" ca="1" si="27"/>
        <v/>
      </c>
      <c r="BB14" s="419" t="str">
        <f t="shared" ca="1" si="28"/>
        <v/>
      </c>
      <c r="BC14" s="430" t="str">
        <f t="shared" ca="1" si="12"/>
        <v/>
      </c>
      <c r="BD14" s="342" t="str">
        <f ca="1">IF(AX14="","",INDEX(Well_Data_NK_Upcoming!Planned_Spud_to_RR,MATCH(RigScheduleTest!AY14,Well_Data_NK_Upcoming!Concatenated_Wellname,0)))</f>
        <v/>
      </c>
      <c r="BE14" s="417" t="str">
        <f t="array" aca="1" ref="BE14" ca="1">IF(ISERROR(INDEX(Well_Data_NK_Upcoming!Concatenated_Wellname,MATCH(1,IF($B14=Well_Data_NK_Upcoming!RIG,IF(Well_Data_NK_Upcoming!Auto_Update_Rig_Schedule=9,1)),0))),"",(INDEX(Well_Data_NK_Upcoming!Concatenated_Wellname,MATCH(1,IF($B14=Well_Data_NK_Upcoming!RIG,IF(Well_Data_NK_Upcoming!Auto_Update_Rig_Schedule=9,1)),0))))</f>
        <v/>
      </c>
      <c r="BF14" s="417" t="str">
        <f t="array" aca="1" ref="BF14" ca="1">IF(BD14="","",IF(ISERROR(INDEX(Well_Data_NK_Upcoming!Well_Type,MATCH(1,IF($B14=Well_Data_NK_Upcoming!RIG,IF(Well_Data_NK_Upcoming!Auto_Update_Rig_Schedule=9,1)),0))),"",(INDEX(Well_Data_NK_Upcoming!Well_Type,MATCH(1,IF($B14=Well_Data_NK_Upcoming!RIG,IF(Well_Data_NK_Upcoming!Auto_Update_Rig_Schedule=9,1)),0)))))</f>
        <v/>
      </c>
      <c r="BG14" s="418" t="str">
        <f t="shared" ca="1" si="29"/>
        <v/>
      </c>
      <c r="BH14" s="419" t="str">
        <f t="shared" ca="1" si="30"/>
        <v/>
      </c>
      <c r="BI14" s="430" t="str">
        <f t="shared" ca="1" si="13"/>
        <v/>
      </c>
      <c r="BJ14" s="342" t="str">
        <f ca="1">IF(BD14="","",INDEX(Well_Data_NK_Upcoming!Planned_Spud_to_RR,MATCH(RigScheduleTest!BE14,Well_Data_NK_Upcoming!Concatenated_Wellname,0)))</f>
        <v/>
      </c>
      <c r="BK14" s="417" t="str">
        <f t="array" aca="1" ref="BK14" ca="1">IF(ISERROR(INDEX(Well_Data_NK_Upcoming!Concatenated_Wellname,MATCH(1,IF($B14=Well_Data_NK_Upcoming!RIG,IF(Well_Data_NK_Upcoming!Auto_Update_Rig_Schedule=10,1)),0))),"",(INDEX(Well_Data_NK_Upcoming!Concatenated_Wellname,MATCH(1,IF($B14=Well_Data_NK_Upcoming!RIG,IF(Well_Data_NK_Upcoming!Auto_Update_Rig_Schedule=10,1)),0))))</f>
        <v/>
      </c>
      <c r="BL14" s="417" t="str">
        <f t="array" aca="1" ref="BL14" ca="1">IF(BJ14="","",IF(ISERROR(INDEX(Well_Data_NK_Upcoming!Well_Type,MATCH(1,IF($B14=Well_Data_NK_Upcoming!RIG,IF(Well_Data_NK_Upcoming!Auto_Update_Rig_Schedule=10,1)),0))),"",(INDEX(Well_Data_NK_Upcoming!Well_Type,MATCH(1,IF($B14=Well_Data_NK_Upcoming!RIG,IF(Well_Data_NK_Upcoming!Auto_Update_Rig_Schedule=10,1)),0)))))</f>
        <v/>
      </c>
      <c r="BM14" s="418" t="str">
        <f t="shared" ca="1" si="31"/>
        <v/>
      </c>
      <c r="BN14" s="419" t="str">
        <f t="shared" ca="1" si="32"/>
        <v/>
      </c>
      <c r="BO14" s="430" t="str">
        <f t="shared" ca="1" si="14"/>
        <v/>
      </c>
      <c r="BP14" s="342" t="str">
        <f ca="1">IF(BJ14="","",INDEX(Well_Data_NK_Upcoming!Planned_Spud_to_RR,MATCH(RigScheduleTest!BK14,Well_Data_NK_Upcoming!Concatenated_Wellname,0)))</f>
        <v/>
      </c>
    </row>
    <row r="15" spans="1:68" ht="15" x14ac:dyDescent="0.25">
      <c r="A15" s="429" t="str">
        <f t="shared" ca="1" si="0"/>
        <v>RA-0564-SP-266</v>
      </c>
      <c r="B15" s="425" t="s">
        <v>838</v>
      </c>
      <c r="C15" s="340" t="str">
        <f t="array" aca="1" ref="C15" ca="1">IF(ISERROR(INDEX(Well_Data_NK_Upcoming!WELL,MATCH(1,IF($B15=Well_Data_NK_Upcoming!RIG,IF(Well_Data_NK_Upcoming!Auto_Update_Rig_Schedule=0,1)),0))),"",(INDEX(Well_Data_NK_Upcoming!WELL,MATCH(1,IF($B15=Well_Data_NK_Upcoming!RIG,IF(Well_Data_NK_Upcoming!Auto_Update_Rig_Schedule=0,1)),0))))</f>
        <v>RA-0564</v>
      </c>
      <c r="D15" s="424" t="str">
        <f ca="1">INDEX(Well_Data_NK_Upcoming!Concatenated_Wellname,MATCH(RigScheduleTest!A15,Well_Data_NK_Upcoming!Well_Rig,0))</f>
        <v>RA-0564-RA-UB-Prod-NW-SL-WFD</v>
      </c>
      <c r="E15" s="423" t="str">
        <f ca="1">INDEX(Well_Data_NK_Upcoming!Well_Type,MATCH(RigScheduleTest!A15,Well_Data_NK_Upcoming!Well_Rig,0))</f>
        <v>RA-0564-UB-NW-Prod</v>
      </c>
      <c r="F15" s="341">
        <f t="shared" si="15"/>
        <v>42233</v>
      </c>
      <c r="G15" s="368">
        <f ca="1">IF(ISERROR(INDEX(Well_Data_NK_Upcoming!Updated_Drill_Days,MATCH(RigScheduleTest!A15,Well_Data_NK_Upcoming!Well_Rig,0))),"",(INDEX(Well_Data_NK_Upcoming!Updated_Drill_Days,MATCH(RigScheduleTest!A15,Well_Data_NK_Upcoming!Well_Rig,0))))</f>
        <v>10</v>
      </c>
      <c r="H15" s="422">
        <f t="shared" ca="1" si="33"/>
        <v>42243</v>
      </c>
      <c r="I15" s="373" t="str">
        <f t="array" aca="1" ref="I15" ca="1">IF(ISERROR(INDEX(Well_Data_NK_Upcoming!Concatenated_Wellname,MATCH(1,IF($B15=Well_Data_NK_Upcoming!RIG,IF(Well_Data_NK_Upcoming!Auto_Update_Rig_Schedule=1,1)),0))),"",(INDEX(Well_Data_NK_Upcoming!Concatenated_Wellname,MATCH(1,IF($B15=Well_Data_NK_Upcoming!RIG,IF(Well_Data_NK_Upcoming!Auto_Update_Rig_Schedule=1,1)),0))))</f>
        <v>RA-0579-RA-LB-Prod-NW-SL-Sperry</v>
      </c>
      <c r="J15" s="417" t="str">
        <f t="array" aca="1" ref="J15" ca="1">IF(G15="","",IF(ISERROR(INDEX(Well_Data_NK_Upcoming!Well_Type,MATCH(1,IF($B15=Well_Data_NK_Upcoming!RIG,IF(Well_Data_NK_Upcoming!Auto_Update_Rig_Schedule=1,1)),0))),"",(INDEX(Well_Data_NK_Upcoming!Well_Type,MATCH(1,IF($B15=Well_Data_NK_Upcoming!RIG,IF(Well_Data_NK_Upcoming!Auto_Update_Rig_Schedule=1,1)),0)))))</f>
        <v>RA-0579-LB-NW-Prod</v>
      </c>
      <c r="K15" s="418">
        <f t="shared" ca="1" si="2"/>
        <v>5</v>
      </c>
      <c r="L15" s="419">
        <f t="shared" ca="1" si="16"/>
        <v>42248</v>
      </c>
      <c r="M15" s="430">
        <f t="shared" ca="1" si="34"/>
        <v>42318</v>
      </c>
      <c r="N15" s="373">
        <f ca="1">IF(G15="","",INDEX(Well_Data_NK_Upcoming!Planned_Spud_to_RR,MATCH(RigScheduleTest!I15,Well_Data_NK_Upcoming!Concatenated_Wellname,0)))</f>
        <v>70</v>
      </c>
      <c r="O15" s="372" t="str">
        <f t="array" aca="1" ref="O15" ca="1">IF(ISERROR(INDEX(Well_Data_NK_Upcoming!Concatenated_Wellname,MATCH(1,IF($B15=Well_Data_NK_Upcoming!RIG,IF(Well_Data_NK_Upcoming!Auto_Update_Rig_Schedule=2,1)),0))),"",(INDEX(Well_Data_NK_Upcoming!Concatenated_Wellname,MATCH(1,IF($B15=Well_Data_NK_Upcoming!RIG,IF(Well_Data_NK_Upcoming!Auto_Update_Rig_Schedule=2,1)),0))))</f>
        <v>SA-0601-SA-MA-Prod-NW-HZ-SLB</v>
      </c>
      <c r="P15" s="417" t="str">
        <f t="array" aca="1" ref="P15" ca="1">IF(N15="","",IF(ISERROR(INDEX(Well_Data_NK_Upcoming!Well_Type,MATCH(1,IF($B15=Well_Data_NK_Upcoming!RIG,IF(Well_Data_NK_Upcoming!Auto_Update_Rig_Schedule=2,1)),0))),"",(INDEX(Well_Data_NK_Upcoming!Well_Type,MATCH(1,IF($B15=Well_Data_NK_Upcoming!RIG,IF(Well_Data_NK_Upcoming!Auto_Update_Rig_Schedule=2,1)),0)))))</f>
        <v>SA-0601-MA-NW-Prod</v>
      </c>
      <c r="Q15" s="418">
        <f t="shared" ca="1" si="4"/>
        <v>5</v>
      </c>
      <c r="R15" s="419">
        <f t="shared" ca="1" si="17"/>
        <v>42323</v>
      </c>
      <c r="S15" s="430">
        <f t="shared" ca="1" si="5"/>
        <v>42393</v>
      </c>
      <c r="T15" s="372">
        <f ca="1">IF(N15="","",INDEX(Well_Data_NK_Upcoming!Planned_Spud_to_RR,MATCH(RigScheduleTest!O15,Well_Data_NK_Upcoming!Concatenated_Wellname,0)))</f>
        <v>70</v>
      </c>
      <c r="U15" s="373" t="str">
        <f t="array" aca="1" ref="U15" ca="1">IF(ISERROR(INDEX(Well_Data_NK_Upcoming!Concatenated_Wellname,MATCH(1,IF($B15=Well_Data_NK_Upcoming!RIG,IF(Well_Data_NK_Upcoming!Auto_Update_Rig_Schedule=3,1)),0))),"",(INDEX(Well_Data_NK_Upcoming!Concatenated_Wellname,MATCH(1,IF($B15=Well_Data_NK_Upcoming!RIG,IF(Well_Data_NK_Upcoming!Auto_Update_Rig_Schedule=3,1)),0))))</f>
        <v>SA-0590-SA-LB-Prod-NW-SL-WFD</v>
      </c>
      <c r="V15" s="417" t="str">
        <f t="array" aca="1" ref="V15" ca="1">IF(T15="","",IF(ISERROR(INDEX(Well_Data_NK_Upcoming!Well_Type,MATCH(1,IF($B15=Well_Data_NK_Upcoming!RIG,IF(Well_Data_NK_Upcoming!Auto_Update_Rig_Schedule=3,1)),0))),"",(INDEX(Well_Data_NK_Upcoming!Well_Type,MATCH(1,IF($B15=Well_Data_NK_Upcoming!RIG,IF(Well_Data_NK_Upcoming!Auto_Update_Rig_Schedule=3,1)),0)))))</f>
        <v>SA-0590-LB-NW-Prod</v>
      </c>
      <c r="W15" s="418">
        <f t="shared" ca="1" si="6"/>
        <v>5</v>
      </c>
      <c r="X15" s="419">
        <f t="shared" ca="1" si="18"/>
        <v>42398</v>
      </c>
      <c r="Y15" s="430">
        <f t="shared" ca="1" si="7"/>
        <v>42468</v>
      </c>
      <c r="Z15" s="373">
        <f ca="1">IF(T15="","",INDEX(Well_Data_NK_Upcoming!Planned_Spud_to_RR,MATCH(RigScheduleTest!U15,Well_Data_NK_Upcoming!Concatenated_Wellname,0)))</f>
        <v>70</v>
      </c>
      <c r="AA15" s="372" t="str">
        <f t="array" aca="1" ref="AA15" ca="1">IF(ISERROR(INDEX(Well_Data_NK_Upcoming!Concatenated_Wellname,MATCH(1,IF($B15=Well_Data_NK_Upcoming!RIG,IF(Well_Data_NK_Upcoming!Auto_Update_Rig_Schedule=4,1)),0))),"",(INDEX(Well_Data_NK_Upcoming!Concatenated_Wellname,MATCH(1,IF($B15=Well_Data_NK_Upcoming!RIG,IF(Well_Data_NK_Upcoming!Auto_Update_Rig_Schedule=4,1)),0))))</f>
        <v>RA11-RA-MA-Prod-NW-HZ-SLB</v>
      </c>
      <c r="AB15" s="417" t="str">
        <f t="array" aca="1" ref="AB15" ca="1">IF(Z15="","",IF(ISERROR(INDEX(Well_Data_NK_Upcoming!Well_Type,MATCH(1,IF($B15=Well_Data_NK_Upcoming!RIG,IF(Well_Data_NK_Upcoming!Auto_Update_Rig_Schedule=4,1)),0))),"",(INDEX(Well_Data_NK_Upcoming!Well_Type,MATCH(1,IF($B15=Well_Data_NK_Upcoming!RIG,IF(Well_Data_NK_Upcoming!Auto_Update_Rig_Schedule=4,1)),0)))))</f>
        <v>RA11-MA-NW-Prod</v>
      </c>
      <c r="AC15" s="418">
        <f t="shared" ca="1" si="19"/>
        <v>5</v>
      </c>
      <c r="AD15" s="419">
        <f t="shared" ca="1" si="20"/>
        <v>42473</v>
      </c>
      <c r="AE15" s="430">
        <f t="shared" ca="1" si="8"/>
        <v>42543</v>
      </c>
      <c r="AF15" s="372">
        <f ca="1">IF(Z15="","",INDEX(Well_Data_NK_Upcoming!Planned_Spud_to_RR,MATCH(RigScheduleTest!AA15,Well_Data_NK_Upcoming!Concatenated_Wellname,0)))</f>
        <v>70</v>
      </c>
      <c r="AG15" s="372" t="str">
        <f t="array" aca="1" ref="AG15" ca="1">IF(ISERROR(INDEX(Well_Data_NK_Upcoming!Concatenated_Wellname,MATCH(1,IF($B15=Well_Data_NK_Upcoming!RIG,IF(Well_Data_NK_Upcoming!Auto_Update_Rig_Schedule=5,1)),0))),"",(INDEX(Well_Data_NK_Upcoming!Concatenated_Wellname,MATCH(1,IF($B15=Well_Data_NK_Upcoming!RIG,IF(Well_Data_NK_Upcoming!Auto_Update_Rig_Schedule=5,1)),0))))</f>
        <v>SA22-SA-MA-Prod-NW-HZ</v>
      </c>
      <c r="AH15" s="417" t="str">
        <f t="array" aca="1" ref="AH15" ca="1">IF(AF15="","",IF(ISERROR(INDEX(Well_Data_NK_Upcoming!Well_Type,MATCH(1,IF($B15=Well_Data_NK_Upcoming!RIG,IF(Well_Data_NK_Upcoming!Auto_Update_Rig_Schedule=5,1)),0))),"",(INDEX(Well_Data_NK_Upcoming!Well_Type,MATCH(1,IF($B15=Well_Data_NK_Upcoming!RIG,IF(Well_Data_NK_Upcoming!Auto_Update_Rig_Schedule=5,1)),0)))))</f>
        <v>SA22-MA-NW-Prod</v>
      </c>
      <c r="AI15" s="418">
        <f t="shared" ca="1" si="21"/>
        <v>5</v>
      </c>
      <c r="AJ15" s="419">
        <f t="shared" ca="1" si="22"/>
        <v>42548</v>
      </c>
      <c r="AK15" s="430">
        <f t="shared" ca="1" si="9"/>
        <v>42618</v>
      </c>
      <c r="AL15" s="372">
        <f ca="1">IF(Z15="","",INDEX(Well_Data_NK_Upcoming!Planned_Spud_to_RR,MATCH(RigScheduleTest!AG15,Well_Data_NK_Upcoming!Concatenated_Wellname,0)))</f>
        <v>70</v>
      </c>
      <c r="AM15" s="372" t="str">
        <f t="array" aca="1" ref="AM15" ca="1">IF(ISERROR(INDEX(Well_Data_NK_Upcoming!Concatenated_Wellname,MATCH(1,IF($B15=Well_Data_NK_Upcoming!RIG,IF(Well_Data_NK_Upcoming!Auto_Update_Rig_Schedule=6,1)),0))),"",(INDEX(Well_Data_NK_Upcoming!Concatenated_Wellname,MATCH(1,IF($B15=Well_Data_NK_Upcoming!RIG,IF(Well_Data_NK_Upcoming!Auto_Update_Rig_Schedule=6,1)),0))))</f>
        <v>SA41-SA-MA-Prod-NW-HZ</v>
      </c>
      <c r="AN15" s="417" t="str">
        <f t="array" aca="1" ref="AN15" ca="1">IF(AL15="","",IF(ISERROR(INDEX(Well_Data_NK_Upcoming!Well_Type,MATCH(1,IF($B15=Well_Data_NK_Upcoming!RIG,IF(Well_Data_NK_Upcoming!Auto_Update_Rig_Schedule=6,1)),0))),"",(INDEX(Well_Data_NK_Upcoming!Well_Type,MATCH(1,IF($B15=Well_Data_NK_Upcoming!RIG,IF(Well_Data_NK_Upcoming!Auto_Update_Rig_Schedule=6,1)),0)))))</f>
        <v>SA41-MA-NW-Prod</v>
      </c>
      <c r="AO15" s="418">
        <f t="shared" ca="1" si="23"/>
        <v>5</v>
      </c>
      <c r="AP15" s="419">
        <f t="shared" ca="1" si="24"/>
        <v>42623</v>
      </c>
      <c r="AQ15" s="430">
        <f t="shared" ca="1" si="10"/>
        <v>42693</v>
      </c>
      <c r="AR15" s="372">
        <f ca="1">IF(AL15="","",INDEX(Well_Data_NK_Upcoming!Planned_Spud_to_RR,MATCH(RigScheduleTest!AM15,Well_Data_NK_Upcoming!Concatenated_Wellname,0)))</f>
        <v>70</v>
      </c>
      <c r="AS15" s="417" t="str">
        <f t="array" aca="1" ref="AS15" ca="1">IF(ISERROR(INDEX(Well_Data_NK_Upcoming!Concatenated_Wellname,MATCH(1,IF($B15=Well_Data_NK_Upcoming!RIG,IF(Well_Data_NK_Upcoming!Auto_Update_Rig_Schedule=7,1)),0))),"",(INDEX(Well_Data_NK_Upcoming!Concatenated_Wellname,MATCH(1,IF($B15=Well_Data_NK_Upcoming!RIG,IF(Well_Data_NK_Upcoming!Auto_Update_Rig_Schedule=7,1)),0))))</f>
        <v>RA30-RA-MA-Inj-NW-HZ-SLB</v>
      </c>
      <c r="AT15" s="417" t="str">
        <f t="array" aca="1" ref="AT15" ca="1">IF(AR15="","",IF(ISERROR(INDEX(Well_Data_NK_Upcoming!Well_Type,MATCH(1,IF($B15=Well_Data_NK_Upcoming!RIG,IF(Well_Data_NK_Upcoming!Auto_Update_Rig_Schedule=7,1)),0))),"",(INDEX(Well_Data_NK_Upcoming!Well_Type,MATCH(1,IF($B15=Well_Data_NK_Upcoming!RIG,IF(Well_Data_NK_Upcoming!Auto_Update_Rig_Schedule=7,1)),0)))))</f>
        <v>RA30-MA-NW-Inj</v>
      </c>
      <c r="AU15" s="418">
        <f t="shared" ca="1" si="25"/>
        <v>5</v>
      </c>
      <c r="AV15" s="419">
        <f t="shared" ca="1" si="26"/>
        <v>42698</v>
      </c>
      <c r="AW15" s="430">
        <f t="shared" ca="1" si="11"/>
        <v>42761</v>
      </c>
      <c r="AX15" s="342">
        <f ca="1">IF(AR15="","",INDEX(Well_Data_NK_Upcoming!Planned_Spud_to_RR,MATCH(RigScheduleTest!AS15,Well_Data_NK_Upcoming!Concatenated_Wellname,0)))</f>
        <v>63</v>
      </c>
      <c r="AY15" s="417" t="str">
        <f t="array" aca="1" ref="AY15" ca="1">IF(ISERROR(INDEX(Well_Data_NK_Upcoming!Concatenated_Wellname,MATCH(1,IF($B15=Well_Data_NK_Upcoming!RIG,IF(Well_Data_NK_Upcoming!Auto_Update_Rig_Schedule=8,1)),0))),"",(INDEX(Well_Data_NK_Upcoming!Concatenated_Wellname,MATCH(1,IF($B15=Well_Data_NK_Upcoming!RIG,IF(Well_Data_NK_Upcoming!Auto_Update_Rig_Schedule=8,1)),0))))</f>
        <v>RA37-RA-MA-Prod-NW-HZ-SLB</v>
      </c>
      <c r="AZ15" s="417" t="str">
        <f t="array" aca="1" ref="AZ15" ca="1">IF(AX15="","",IF(ISERROR(INDEX(Well_Data_NK_Upcoming!Well_Type,MATCH(1,IF($B15=Well_Data_NK_Upcoming!RIG,IF(Well_Data_NK_Upcoming!Auto_Update_Rig_Schedule=8,1)),0))),"",(INDEX(Well_Data_NK_Upcoming!Well_Type,MATCH(1,IF($B15=Well_Data_NK_Upcoming!RIG,IF(Well_Data_NK_Upcoming!Auto_Update_Rig_Schedule=8,1)),0)))))</f>
        <v>RA37-MA-NW-Prod</v>
      </c>
      <c r="BA15" s="418">
        <f t="shared" ca="1" si="27"/>
        <v>5</v>
      </c>
      <c r="BB15" s="419">
        <f t="shared" ca="1" si="28"/>
        <v>42766</v>
      </c>
      <c r="BC15" s="430">
        <f t="shared" ca="1" si="12"/>
        <v>42836</v>
      </c>
      <c r="BD15" s="342">
        <f ca="1">IF(AX15="","",INDEX(Well_Data_NK_Upcoming!Planned_Spud_to_RR,MATCH(RigScheduleTest!AY15,Well_Data_NK_Upcoming!Concatenated_Wellname,0)))</f>
        <v>70</v>
      </c>
      <c r="BE15" s="417" t="str">
        <f t="array" aca="1" ref="BE15" ca="1">IF(ISERROR(INDEX(Well_Data_NK_Upcoming!Concatenated_Wellname,MATCH(1,IF($B15=Well_Data_NK_Upcoming!RIG,IF(Well_Data_NK_Upcoming!Auto_Update_Rig_Schedule=9,1)),0))),"",(INDEX(Well_Data_NK_Upcoming!Concatenated_Wellname,MATCH(1,IF($B15=Well_Data_NK_Upcoming!RIG,IF(Well_Data_NK_Upcoming!Auto_Update_Rig_Schedule=9,1)),0))))</f>
        <v>RA42-RA-MA-Prod-ST-SL-SLB</v>
      </c>
      <c r="BF15" s="417" t="str">
        <f t="array" aca="1" ref="BF15" ca="1">IF(BD15="","",IF(ISERROR(INDEX(Well_Data_NK_Upcoming!Well_Type,MATCH(1,IF($B15=Well_Data_NK_Upcoming!RIG,IF(Well_Data_NK_Upcoming!Auto_Update_Rig_Schedule=9,1)),0))),"",(INDEX(Well_Data_NK_Upcoming!Well_Type,MATCH(1,IF($B15=Well_Data_NK_Upcoming!RIG,IF(Well_Data_NK_Upcoming!Auto_Update_Rig_Schedule=9,1)),0)))))</f>
        <v>RA42-MA-ST-Prod</v>
      </c>
      <c r="BG15" s="418">
        <f t="shared" ca="1" si="29"/>
        <v>5</v>
      </c>
      <c r="BH15" s="419">
        <f t="shared" ca="1" si="30"/>
        <v>42841</v>
      </c>
      <c r="BI15" s="430">
        <f t="shared" ca="1" si="13"/>
        <v>42897</v>
      </c>
      <c r="BJ15" s="342">
        <f ca="1">IF(BD15="","",INDEX(Well_Data_NK_Upcoming!Planned_Spud_to_RR,MATCH(RigScheduleTest!BE15,Well_Data_NK_Upcoming!Concatenated_Wellname,0)))</f>
        <v>56</v>
      </c>
      <c r="BK15" s="417" t="str">
        <f t="array" aca="1" ref="BK15" ca="1">IF(ISERROR(INDEX(Well_Data_NK_Upcoming!Concatenated_Wellname,MATCH(1,IF($B15=Well_Data_NK_Upcoming!RIG,IF(Well_Data_NK_Upcoming!Auto_Update_Rig_Schedule=10,1)),0))),"",(INDEX(Well_Data_NK_Upcoming!Concatenated_Wellname,MATCH(1,IF($B15=Well_Data_NK_Upcoming!RIG,IF(Well_Data_NK_Upcoming!Auto_Update_Rig_Schedule=10,1)),0))))</f>
        <v/>
      </c>
      <c r="BL15" s="417" t="str">
        <f t="array" aca="1" ref="BL15" ca="1">IF(BJ15="","",IF(ISERROR(INDEX(Well_Data_NK_Upcoming!Well_Type,MATCH(1,IF($B15=Well_Data_NK_Upcoming!RIG,IF(Well_Data_NK_Upcoming!Auto_Update_Rig_Schedule=10,1)),0))),"",(INDEX(Well_Data_NK_Upcoming!Well_Type,MATCH(1,IF($B15=Well_Data_NK_Upcoming!RIG,IF(Well_Data_NK_Upcoming!Auto_Update_Rig_Schedule=10,1)),0)))))</f>
        <v/>
      </c>
      <c r="BM15" s="418" t="str">
        <f t="shared" ca="1" si="31"/>
        <v/>
      </c>
      <c r="BN15" s="419" t="str">
        <f t="shared" ca="1" si="32"/>
        <v/>
      </c>
      <c r="BO15" s="430" t="str">
        <f t="shared" ca="1" si="14"/>
        <v/>
      </c>
      <c r="BP15" s="342" t="str">
        <f ca="1">IF(BJ15="","",INDEX(Well_Data_NK_Upcoming!Planned_Spud_to_RR,MATCH(RigScheduleTest!BK15,Well_Data_NK_Upcoming!Concatenated_Wellname,0)))</f>
        <v/>
      </c>
    </row>
    <row r="16" spans="1:68" ht="15" x14ac:dyDescent="0.25">
      <c r="A16" s="429" t="str">
        <f t="shared" ca="1" si="0"/>
        <v>RA-0580-SP-267</v>
      </c>
      <c r="B16" s="425" t="s">
        <v>839</v>
      </c>
      <c r="C16" s="340" t="str">
        <f t="array" aca="1" ref="C16" ca="1">IF(ISERROR(INDEX(Well_Data_NK_Upcoming!WELL,MATCH(1,IF($B16=Well_Data_NK_Upcoming!RIG,IF(Well_Data_NK_Upcoming!Auto_Update_Rig_Schedule=0,1)),0))),"",(INDEX(Well_Data_NK_Upcoming!WELL,MATCH(1,IF($B16=Well_Data_NK_Upcoming!RIG,IF(Well_Data_NK_Upcoming!Auto_Update_Rig_Schedule=0,1)),0))))</f>
        <v>RA-0580</v>
      </c>
      <c r="D16" s="424" t="str">
        <f ca="1">INDEX(Well_Data_NK_Upcoming!Concatenated_Wellname,MATCH(RigScheduleTest!A16,Well_Data_NK_Upcoming!Well_Rig,0))</f>
        <v>RA-0580-RA-LB-Prod-NW-SL-WFD</v>
      </c>
      <c r="E16" s="423" t="str">
        <f ca="1">INDEX(Well_Data_NK_Upcoming!Well_Type,MATCH(RigScheduleTest!A16,Well_Data_NK_Upcoming!Well_Rig,0))</f>
        <v>RA-0580-LB-NW-Prod</v>
      </c>
      <c r="F16" s="341">
        <f t="shared" si="15"/>
        <v>42233</v>
      </c>
      <c r="G16" s="370">
        <f ca="1">IF(ISERROR(INDEX(Well_Data_NK_Upcoming!Updated_Drill_Days,MATCH(RigScheduleTest!A16,Well_Data_NK_Upcoming!Well_Rig,0))),"",(INDEX(Well_Data_NK_Upcoming!Updated_Drill_Days,MATCH(RigScheduleTest!A16,Well_Data_NK_Upcoming!Well_Rig,0))))</f>
        <v>14</v>
      </c>
      <c r="H16" s="422">
        <f t="shared" ca="1" si="33"/>
        <v>42247</v>
      </c>
      <c r="I16" s="373" t="str">
        <f t="array" aca="1" ref="I16" ca="1">IF(ISERROR(INDEX(Well_Data_NK_Upcoming!Concatenated_Wellname,MATCH(1,IF($B16=Well_Data_NK_Upcoming!RIG,IF(Well_Data_NK_Upcoming!Auto_Update_Rig_Schedule=1,1)),0))),"",(INDEX(Well_Data_NK_Upcoming!Concatenated_Wellname,MATCH(1,IF($B16=Well_Data_NK_Upcoming!RIG,IF(Well_Data_NK_Upcoming!Auto_Update_Rig_Schedule=1,1)),0))))</f>
        <v>SA-0592-SA-LB-Prod-NW-SL-WFD</v>
      </c>
      <c r="J16" s="417" t="str">
        <f t="array" aca="1" ref="J16" ca="1">IF(G16="","",IF(ISERROR(INDEX(Well_Data_NK_Upcoming!Well_Type,MATCH(1,IF($B16=Well_Data_NK_Upcoming!RIG,IF(Well_Data_NK_Upcoming!Auto_Update_Rig_Schedule=1,1)),0))),"",(INDEX(Well_Data_NK_Upcoming!Well_Type,MATCH(1,IF($B16=Well_Data_NK_Upcoming!RIG,IF(Well_Data_NK_Upcoming!Auto_Update_Rig_Schedule=1,1)),0)))))</f>
        <v>SA-0592-LB-NW-Prod</v>
      </c>
      <c r="K16" s="418">
        <f t="shared" ca="1" si="2"/>
        <v>5</v>
      </c>
      <c r="L16" s="419">
        <f t="shared" ca="1" si="16"/>
        <v>42252</v>
      </c>
      <c r="M16" s="430">
        <f t="shared" ca="1" si="34"/>
        <v>42322</v>
      </c>
      <c r="N16" s="373">
        <f ca="1">IF(G16="","",INDEX(Well_Data_NK_Upcoming!Planned_Spud_to_RR,MATCH(RigScheduleTest!I16,Well_Data_NK_Upcoming!Concatenated_Wellname,0)))</f>
        <v>70</v>
      </c>
      <c r="O16" s="373" t="str">
        <f t="array" aca="1" ref="O16" ca="1">IF(ISERROR(INDEX(Well_Data_NK_Upcoming!Concatenated_Wellname,MATCH(1,IF($B16=Well_Data_NK_Upcoming!RIG,IF(Well_Data_NK_Upcoming!Auto_Update_Rig_Schedule=2,1)),0))),"",(INDEX(Well_Data_NK_Upcoming!Concatenated_Wellname,MATCH(1,IF($B16=Well_Data_NK_Upcoming!RIG,IF(Well_Data_NK_Upcoming!Auto_Update_Rig_Schedule=2,1)),0))))</f>
        <v>SA-0558-SA-MA-Inj-NW-V</v>
      </c>
      <c r="P16" s="417" t="str">
        <f t="array" aca="1" ref="P16" ca="1">IF(N16="","",IF(ISERROR(INDEX(Well_Data_NK_Upcoming!Well_Type,MATCH(1,IF($B16=Well_Data_NK_Upcoming!RIG,IF(Well_Data_NK_Upcoming!Auto_Update_Rig_Schedule=2,1)),0))),"",(INDEX(Well_Data_NK_Upcoming!Well_Type,MATCH(1,IF($B16=Well_Data_NK_Upcoming!RIG,IF(Well_Data_NK_Upcoming!Auto_Update_Rig_Schedule=2,1)),0)))))</f>
        <v>SA-0558-MA-NW-Inj</v>
      </c>
      <c r="Q16" s="418">
        <f t="shared" ca="1" si="4"/>
        <v>5</v>
      </c>
      <c r="R16" s="419">
        <f t="shared" ca="1" si="17"/>
        <v>42327</v>
      </c>
      <c r="S16" s="430">
        <f t="shared" ca="1" si="5"/>
        <v>42397</v>
      </c>
      <c r="T16" s="372">
        <f ca="1">IF(N16="","",INDEX(Well_Data_NK_Upcoming!Planned_Spud_to_RR,MATCH(RigScheduleTest!O16,Well_Data_NK_Upcoming!Concatenated_Wellname,0)))</f>
        <v>70</v>
      </c>
      <c r="U16" s="372" t="str">
        <f t="array" aca="1" ref="U16" ca="1">IF(ISERROR(INDEX(Well_Data_NK_Upcoming!Concatenated_Wellname,MATCH(1,IF($B16=Well_Data_NK_Upcoming!RIG,IF(Well_Data_NK_Upcoming!Auto_Update_Rig_Schedule=3,1)),0))),"",(INDEX(Well_Data_NK_Upcoming!Concatenated_Wellname,MATCH(1,IF($B16=Well_Data_NK_Upcoming!RIG,IF(Well_Data_NK_Upcoming!Auto_Update_Rig_Schedule=3,1)),0))))</f>
        <v>SA-0557-SA-MA-Inj-NW-V</v>
      </c>
      <c r="V16" s="417" t="str">
        <f t="array" aca="1" ref="V16" ca="1">IF(T16="","",IF(ISERROR(INDEX(Well_Data_NK_Upcoming!Well_Type,MATCH(1,IF($B16=Well_Data_NK_Upcoming!RIG,IF(Well_Data_NK_Upcoming!Auto_Update_Rig_Schedule=3,1)),0))),"",(INDEX(Well_Data_NK_Upcoming!Well_Type,MATCH(1,IF($B16=Well_Data_NK_Upcoming!RIG,IF(Well_Data_NK_Upcoming!Auto_Update_Rig_Schedule=3,1)),0)))))</f>
        <v>SA-0557-MA-NW-Inj</v>
      </c>
      <c r="W16" s="418">
        <f t="shared" ca="1" si="6"/>
        <v>5</v>
      </c>
      <c r="X16" s="419">
        <f t="shared" ca="1" si="18"/>
        <v>42402</v>
      </c>
      <c r="Y16" s="430">
        <f t="shared" ca="1" si="7"/>
        <v>42472</v>
      </c>
      <c r="Z16" s="372">
        <f ca="1">IF(T16="","",INDEX(Well_Data_NK_Upcoming!Planned_Spud_to_RR,MATCH(RigScheduleTest!U16,Well_Data_NK_Upcoming!Concatenated_Wellname,0)))</f>
        <v>70</v>
      </c>
      <c r="AA16" s="372" t="str">
        <f t="array" aca="1" ref="AA16" ca="1">IF(ISERROR(INDEX(Well_Data_NK_Upcoming!Concatenated_Wellname,MATCH(1,IF($B16=Well_Data_NK_Upcoming!RIG,IF(Well_Data_NK_Upcoming!Auto_Update_Rig_Schedule=4,1)),0))),"",(INDEX(Well_Data_NK_Upcoming!Concatenated_Wellname,MATCH(1,IF($B16=Well_Data_NK_Upcoming!RIG,IF(Well_Data_NK_Upcoming!Auto_Update_Rig_Schedule=4,1)),0))))</f>
        <v>SA-0560-SA-MA-Inj-NW-V</v>
      </c>
      <c r="AB16" s="417" t="str">
        <f t="array" aca="1" ref="AB16" ca="1">IF(Z16="","",IF(ISERROR(INDEX(Well_Data_NK_Upcoming!Well_Type,MATCH(1,IF($B16=Well_Data_NK_Upcoming!RIG,IF(Well_Data_NK_Upcoming!Auto_Update_Rig_Schedule=4,1)),0))),"",(INDEX(Well_Data_NK_Upcoming!Well_Type,MATCH(1,IF($B16=Well_Data_NK_Upcoming!RIG,IF(Well_Data_NK_Upcoming!Auto_Update_Rig_Schedule=4,1)),0)))))</f>
        <v>SA-0560-MA-NW-Inj</v>
      </c>
      <c r="AC16" s="418">
        <f t="shared" ca="1" si="19"/>
        <v>5</v>
      </c>
      <c r="AD16" s="419">
        <f t="shared" ca="1" si="20"/>
        <v>42477</v>
      </c>
      <c r="AE16" s="430">
        <f t="shared" ca="1" si="8"/>
        <v>42547</v>
      </c>
      <c r="AF16" s="372">
        <f ca="1">IF(Z16="","",INDEX(Well_Data_NK_Upcoming!Planned_Spud_to_RR,MATCH(RigScheduleTest!AA16,Well_Data_NK_Upcoming!Concatenated_Wellname,0)))</f>
        <v>70</v>
      </c>
      <c r="AG16" s="372" t="str">
        <f t="array" aca="1" ref="AG16" ca="1">IF(ISERROR(INDEX(Well_Data_NK_Upcoming!Concatenated_Wellname,MATCH(1,IF($B16=Well_Data_NK_Upcoming!RIG,IF(Well_Data_NK_Upcoming!Auto_Update_Rig_Schedule=5,1)),0))),"",(INDEX(Well_Data_NK_Upcoming!Concatenated_Wellname,MATCH(1,IF($B16=Well_Data_NK_Upcoming!RIG,IF(Well_Data_NK_Upcoming!Auto_Update_Rig_Schedule=5,1)),0))))</f>
        <v>RA23-RA-MA-Inj-ST-SLB</v>
      </c>
      <c r="AH16" s="417" t="str">
        <f t="array" aca="1" ref="AH16" ca="1">IF(AF16="","",IF(ISERROR(INDEX(Well_Data_NK_Upcoming!Well_Type,MATCH(1,IF($B16=Well_Data_NK_Upcoming!RIG,IF(Well_Data_NK_Upcoming!Auto_Update_Rig_Schedule=5,1)),0))),"",(INDEX(Well_Data_NK_Upcoming!Well_Type,MATCH(1,IF($B16=Well_Data_NK_Upcoming!RIG,IF(Well_Data_NK_Upcoming!Auto_Update_Rig_Schedule=5,1)),0)))))</f>
        <v>RA23-MA-ST-Inj</v>
      </c>
      <c r="AI16" s="418">
        <f t="shared" ca="1" si="21"/>
        <v>5</v>
      </c>
      <c r="AJ16" s="419">
        <f t="shared" ca="1" si="22"/>
        <v>42552</v>
      </c>
      <c r="AK16" s="430">
        <f t="shared" ca="1" si="9"/>
        <v>42601</v>
      </c>
      <c r="AL16" s="372">
        <f ca="1">IF(Z16="","",INDEX(Well_Data_NK_Upcoming!Planned_Spud_to_RR,MATCH(RigScheduleTest!AG16,Well_Data_NK_Upcoming!Concatenated_Wellname,0)))</f>
        <v>49</v>
      </c>
      <c r="AM16" s="373" t="str">
        <f t="array" aca="1" ref="AM16" ca="1">IF(ISERROR(INDEX(Well_Data_NK_Upcoming!Concatenated_Wellname,MATCH(1,IF($B16=Well_Data_NK_Upcoming!RIG,IF(Well_Data_NK_Upcoming!Auto_Update_Rig_Schedule=6,1)),0))),"",(INDEX(Well_Data_NK_Upcoming!Concatenated_Wellname,MATCH(1,IF($B16=Well_Data_NK_Upcoming!RIG,IF(Well_Data_NK_Upcoming!Auto_Update_Rig_Schedule=6,1)),0))))</f>
        <v>SA-0563-SA-UB-Inj-NW-V</v>
      </c>
      <c r="AN16" s="417" t="str">
        <f t="array" aca="1" ref="AN16" ca="1">IF(AL16="","",IF(ISERROR(INDEX(Well_Data_NK_Upcoming!Well_Type,MATCH(1,IF($B16=Well_Data_NK_Upcoming!RIG,IF(Well_Data_NK_Upcoming!Auto_Update_Rig_Schedule=6,1)),0))),"",(INDEX(Well_Data_NK_Upcoming!Well_Type,MATCH(1,IF($B16=Well_Data_NK_Upcoming!RIG,IF(Well_Data_NK_Upcoming!Auto_Update_Rig_Schedule=6,1)),0)))))</f>
        <v>SA-0563-UB-NW-Inj</v>
      </c>
      <c r="AO16" s="418">
        <f t="shared" ca="1" si="23"/>
        <v>5</v>
      </c>
      <c r="AP16" s="419">
        <f t="shared" ca="1" si="24"/>
        <v>42606</v>
      </c>
      <c r="AQ16" s="430">
        <f t="shared" ca="1" si="10"/>
        <v>42676</v>
      </c>
      <c r="AR16" s="371">
        <f ca="1">IF(AL16="","",INDEX(Well_Data_NK_Upcoming!Planned_Spud_to_RR,MATCH(RigScheduleTest!AM16,Well_Data_NK_Upcoming!Concatenated_Wellname,0)))</f>
        <v>70</v>
      </c>
      <c r="AS16" s="417" t="str">
        <f t="array" aca="1" ref="AS16" ca="1">IF(ISERROR(INDEX(Well_Data_NK_Upcoming!Concatenated_Wellname,MATCH(1,IF($B16=Well_Data_NK_Upcoming!RIG,IF(Well_Data_NK_Upcoming!Auto_Update_Rig_Schedule=7,1)),0))),"",(INDEX(Well_Data_NK_Upcoming!Concatenated_Wellname,MATCH(1,IF($B16=Well_Data_NK_Upcoming!RIG,IF(Well_Data_NK_Upcoming!Auto_Update_Rig_Schedule=7,1)),0))))</f>
        <v>SA57-SA-MA-Prod-NW-HZ</v>
      </c>
      <c r="AT16" s="417" t="str">
        <f t="array" aca="1" ref="AT16" ca="1">IF(AR16="","",IF(ISERROR(INDEX(Well_Data_NK_Upcoming!Well_Type,MATCH(1,IF($B16=Well_Data_NK_Upcoming!RIG,IF(Well_Data_NK_Upcoming!Auto_Update_Rig_Schedule=7,1)),0))),"",(INDEX(Well_Data_NK_Upcoming!Well_Type,MATCH(1,IF($B16=Well_Data_NK_Upcoming!RIG,IF(Well_Data_NK_Upcoming!Auto_Update_Rig_Schedule=7,1)),0)))))</f>
        <v>SA57-MA-NW-Prod</v>
      </c>
      <c r="AU16" s="418">
        <f t="shared" ca="1" si="25"/>
        <v>5</v>
      </c>
      <c r="AV16" s="419">
        <f t="shared" ca="1" si="26"/>
        <v>42681</v>
      </c>
      <c r="AW16" s="430">
        <f t="shared" ca="1" si="11"/>
        <v>42751</v>
      </c>
      <c r="AX16" s="342">
        <f ca="1">IF(AR16="","",INDEX(Well_Data_NK_Upcoming!Planned_Spud_to_RR,MATCH(RigScheduleTest!AS16,Well_Data_NK_Upcoming!Concatenated_Wellname,0)))</f>
        <v>70</v>
      </c>
      <c r="AY16" s="417" t="str">
        <f t="array" aca="1" ref="AY16" ca="1">IF(ISERROR(INDEX(Well_Data_NK_Upcoming!Concatenated_Wellname,MATCH(1,IF($B16=Well_Data_NK_Upcoming!RIG,IF(Well_Data_NK_Upcoming!Auto_Update_Rig_Schedule=8,1)),0))),"",(INDEX(Well_Data_NK_Upcoming!Concatenated_Wellname,MATCH(1,IF($B16=Well_Data_NK_Upcoming!RIG,IF(Well_Data_NK_Upcoming!Auto_Update_Rig_Schedule=8,1)),0))))</f>
        <v>RA43-RA-MA-Inj-NW-HZ-SLB</v>
      </c>
      <c r="AZ16" s="417" t="str">
        <f t="array" aca="1" ref="AZ16" ca="1">IF(AX16="","",IF(ISERROR(INDEX(Well_Data_NK_Upcoming!Well_Type,MATCH(1,IF($B16=Well_Data_NK_Upcoming!RIG,IF(Well_Data_NK_Upcoming!Auto_Update_Rig_Schedule=8,1)),0))),"",(INDEX(Well_Data_NK_Upcoming!Well_Type,MATCH(1,IF($B16=Well_Data_NK_Upcoming!RIG,IF(Well_Data_NK_Upcoming!Auto_Update_Rig_Schedule=8,1)),0)))))</f>
        <v>RA43-MA-NW-Inj</v>
      </c>
      <c r="BA16" s="418">
        <f t="shared" ca="1" si="27"/>
        <v>5</v>
      </c>
      <c r="BB16" s="419">
        <f t="shared" ca="1" si="28"/>
        <v>42756</v>
      </c>
      <c r="BC16" s="430">
        <f t="shared" ca="1" si="12"/>
        <v>42819</v>
      </c>
      <c r="BD16" s="342">
        <f ca="1">IF(AX16="","",INDEX(Well_Data_NK_Upcoming!Planned_Spud_to_RR,MATCH(RigScheduleTest!AY16,Well_Data_NK_Upcoming!Concatenated_Wellname,0)))</f>
        <v>63</v>
      </c>
      <c r="BE16" s="417" t="str">
        <f t="array" aca="1" ref="BE16" ca="1">IF(ISERROR(INDEX(Well_Data_NK_Upcoming!Concatenated_Wellname,MATCH(1,IF($B16=Well_Data_NK_Upcoming!RIG,IF(Well_Data_NK_Upcoming!Auto_Update_Rig_Schedule=9,1)),0))),"",(INDEX(Well_Data_NK_Upcoming!Concatenated_Wellname,MATCH(1,IF($B16=Well_Data_NK_Upcoming!RIG,IF(Well_Data_NK_Upcoming!Auto_Update_Rig_Schedule=9,1)),0))))</f>
        <v>SA62-SA-UB-Inj-NW-SL</v>
      </c>
      <c r="BF16" s="417" t="str">
        <f t="array" aca="1" ref="BF16" ca="1">IF(BD16="","",IF(ISERROR(INDEX(Well_Data_NK_Upcoming!Well_Type,MATCH(1,IF($B16=Well_Data_NK_Upcoming!RIG,IF(Well_Data_NK_Upcoming!Auto_Update_Rig_Schedule=9,1)),0))),"",(INDEX(Well_Data_NK_Upcoming!Well_Type,MATCH(1,IF($B16=Well_Data_NK_Upcoming!RIG,IF(Well_Data_NK_Upcoming!Auto_Update_Rig_Schedule=9,1)),0)))))</f>
        <v>SA62-UB-NW-Inj</v>
      </c>
      <c r="BG16" s="418">
        <f t="shared" ca="1" si="29"/>
        <v>5</v>
      </c>
      <c r="BH16" s="419">
        <f t="shared" ca="1" si="30"/>
        <v>42824</v>
      </c>
      <c r="BI16" s="430">
        <f t="shared" ca="1" si="13"/>
        <v>42894</v>
      </c>
      <c r="BJ16" s="342">
        <f ca="1">IF(BD16="","",INDEX(Well_Data_NK_Upcoming!Planned_Spud_to_RR,MATCH(RigScheduleTest!BE16,Well_Data_NK_Upcoming!Concatenated_Wellname,0)))</f>
        <v>70</v>
      </c>
      <c r="BK16" s="417" t="str">
        <f t="array" aca="1" ref="BK16" ca="1">IF(ISERROR(INDEX(Well_Data_NK_Upcoming!Concatenated_Wellname,MATCH(1,IF($B16=Well_Data_NK_Upcoming!RIG,IF(Well_Data_NK_Upcoming!Auto_Update_Rig_Schedule=10,1)),0))),"",(INDEX(Well_Data_NK_Upcoming!Concatenated_Wellname,MATCH(1,IF($B16=Well_Data_NK_Upcoming!RIG,IF(Well_Data_NK_Upcoming!Auto_Update_Rig_Schedule=10,1)),0))))</f>
        <v/>
      </c>
      <c r="BL16" s="417" t="str">
        <f t="array" aca="1" ref="BL16" ca="1">IF(BJ16="","",IF(ISERROR(INDEX(Well_Data_NK_Upcoming!Well_Type,MATCH(1,IF($B16=Well_Data_NK_Upcoming!RIG,IF(Well_Data_NK_Upcoming!Auto_Update_Rig_Schedule=10,1)),0))),"",(INDEX(Well_Data_NK_Upcoming!Well_Type,MATCH(1,IF($B16=Well_Data_NK_Upcoming!RIG,IF(Well_Data_NK_Upcoming!Auto_Update_Rig_Schedule=10,1)),0)))))</f>
        <v/>
      </c>
      <c r="BM16" s="418" t="str">
        <f t="shared" ca="1" si="31"/>
        <v/>
      </c>
      <c r="BN16" s="419" t="str">
        <f t="shared" ca="1" si="32"/>
        <v/>
      </c>
      <c r="BO16" s="430" t="str">
        <f t="shared" ca="1" si="14"/>
        <v/>
      </c>
      <c r="BP16" s="342" t="str">
        <f ca="1">IF(BJ16="","",INDEX(Well_Data_NK_Upcoming!Planned_Spud_to_RR,MATCH(RigScheduleTest!BK16,Well_Data_NK_Upcoming!Concatenated_Wellname,0)))</f>
        <v/>
      </c>
    </row>
    <row r="17" spans="1:68" ht="15" x14ac:dyDescent="0.25">
      <c r="A17" s="429" t="str">
        <f t="shared" ca="1" si="0"/>
        <v>SA-0599-SP-279</v>
      </c>
      <c r="B17" s="425" t="s">
        <v>1412</v>
      </c>
      <c r="C17" s="340" t="str">
        <f t="array" aca="1" ref="C17" ca="1">IF(ISERROR(INDEX(Well_Data_NK_Upcoming!WELL,MATCH(1,IF($B17=Well_Data_NK_Upcoming!RIG,IF(Well_Data_NK_Upcoming!Auto_Update_Rig_Schedule=0,1)),0))),"",(INDEX(Well_Data_NK_Upcoming!WELL,MATCH(1,IF($B17=Well_Data_NK_Upcoming!RIG,IF(Well_Data_NK_Upcoming!Auto_Update_Rig_Schedule=0,1)),0))))</f>
        <v>SA-0599</v>
      </c>
      <c r="D17" s="424" t="str">
        <f ca="1">INDEX(Well_Data_NK_Upcoming!Concatenated_Wellname,MATCH(RigScheduleTest!A17,Well_Data_NK_Upcoming!Well_Rig,0))</f>
        <v>SA-0599-SA-MA-Prod-NW-HZ-HAL</v>
      </c>
      <c r="E17" s="423" t="str">
        <f ca="1">INDEX(Well_Data_NK_Upcoming!Well_Type,MATCH(RigScheduleTest!A17,Well_Data_NK_Upcoming!Well_Rig,0))</f>
        <v>SA-0599-MA-NW-Prod</v>
      </c>
      <c r="F17" s="341">
        <f t="shared" si="15"/>
        <v>42233</v>
      </c>
      <c r="G17" s="367">
        <f ca="1">IF(ISERROR(INDEX(Well_Data_NK_Upcoming!Updated_Drill_Days,MATCH(RigScheduleTest!A17,Well_Data_NK_Upcoming!Well_Rig,0))),"",(INDEX(Well_Data_NK_Upcoming!Updated_Drill_Days,MATCH(RigScheduleTest!A17,Well_Data_NK_Upcoming!Well_Rig,0))))</f>
        <v>21</v>
      </c>
      <c r="H17" s="422">
        <f t="shared" ca="1" si="33"/>
        <v>42254</v>
      </c>
      <c r="I17" s="372" t="str">
        <f t="array" aca="1" ref="I17" ca="1">IF(ISERROR(INDEX(Well_Data_NK_Upcoming!Concatenated_Wellname,MATCH(1,IF($B17=Well_Data_NK_Upcoming!RIG,IF(Well_Data_NK_Upcoming!Auto_Update_Rig_Schedule=1,1)),0))),"",(INDEX(Well_Data_NK_Upcoming!Concatenated_Wellname,MATCH(1,IF($B17=Well_Data_NK_Upcoming!RIG,IF(Well_Data_NK_Upcoming!Auto_Update_Rig_Schedule=1,1)),0))))</f>
        <v>RA-0192ST-RA-LB-Prod-ST-SL-BHI</v>
      </c>
      <c r="J17" s="417" t="str">
        <f t="array" aca="1" ref="J17" ca="1">IF(G17="","",IF(ISERROR(INDEX(Well_Data_NK_Upcoming!Well_Type,MATCH(1,IF($B17=Well_Data_NK_Upcoming!RIG,IF(Well_Data_NK_Upcoming!Auto_Update_Rig_Schedule=1,1)),0))),"",(INDEX(Well_Data_NK_Upcoming!Well_Type,MATCH(1,IF($B17=Well_Data_NK_Upcoming!RIG,IF(Well_Data_NK_Upcoming!Auto_Update_Rig_Schedule=1,1)),0)))))</f>
        <v>RA-0192ST-LB-ST-Prod</v>
      </c>
      <c r="K17" s="418">
        <f t="shared" ca="1" si="2"/>
        <v>5</v>
      </c>
      <c r="L17" s="419">
        <f t="shared" ca="1" si="16"/>
        <v>42259</v>
      </c>
      <c r="M17" s="430">
        <f t="shared" ca="1" si="34"/>
        <v>42315</v>
      </c>
      <c r="N17" s="373">
        <f ca="1">IF(G17="","",INDEX(Well_Data_NK_Upcoming!Planned_Spud_to_RR,MATCH(RigScheduleTest!I17,Well_Data_NK_Upcoming!Concatenated_Wellname,0)))</f>
        <v>56</v>
      </c>
      <c r="O17" s="372" t="str">
        <f t="array" aca="1" ref="O17" ca="1">IF(ISERROR(INDEX(Well_Data_NK_Upcoming!Concatenated_Wellname,MATCH(1,IF($B17=Well_Data_NK_Upcoming!RIG,IF(Well_Data_NK_Upcoming!Auto_Update_Rig_Schedule=2,1)),0))),"",(INDEX(Well_Data_NK_Upcoming!Concatenated_Wellname,MATCH(1,IF($B17=Well_Data_NK_Upcoming!RIG,IF(Well_Data_NK_Upcoming!Auto_Update_Rig_Schedule=2,1)),0))))</f>
        <v>RA2--RA-UB-Prod-NW-HZ</v>
      </c>
      <c r="P17" s="417" t="str">
        <f t="array" aca="1" ref="P17" ca="1">IF(N17="","",IF(ISERROR(INDEX(Well_Data_NK_Upcoming!Well_Type,MATCH(1,IF($B17=Well_Data_NK_Upcoming!RIG,IF(Well_Data_NK_Upcoming!Auto_Update_Rig_Schedule=2,1)),0))),"",(INDEX(Well_Data_NK_Upcoming!Well_Type,MATCH(1,IF($B17=Well_Data_NK_Upcoming!RIG,IF(Well_Data_NK_Upcoming!Auto_Update_Rig_Schedule=2,1)),0)))))</f>
        <v>RA2--UB-NW-Prod</v>
      </c>
      <c r="Q17" s="418">
        <f t="shared" ca="1" si="4"/>
        <v>5</v>
      </c>
      <c r="R17" s="419">
        <f t="shared" ca="1" si="17"/>
        <v>42320</v>
      </c>
      <c r="S17" s="430">
        <f t="shared" ca="1" si="5"/>
        <v>42390</v>
      </c>
      <c r="T17" s="371">
        <f ca="1">IF(N17="","",INDEX(Well_Data_NK_Upcoming!Planned_Spud_to_RR,MATCH(RigScheduleTest!O17,Well_Data_NK_Upcoming!Concatenated_Wellname,0)))</f>
        <v>70</v>
      </c>
      <c r="U17" s="371" t="str">
        <f t="array" aca="1" ref="U17" ca="1">IF(ISERROR(INDEX(Well_Data_NK_Upcoming!Concatenated_Wellname,MATCH(1,IF($B17=Well_Data_NK_Upcoming!RIG,IF(Well_Data_NK_Upcoming!Auto_Update_Rig_Schedule=3,1)),0))),"",(INDEX(Well_Data_NK_Upcoming!Concatenated_Wellname,MATCH(1,IF($B17=Well_Data_NK_Upcoming!RIG,IF(Well_Data_NK_Upcoming!Auto_Update_Rig_Schedule=3,1)),0))))</f>
        <v>SA10-SA-UB-Inj-NW-SL</v>
      </c>
      <c r="V17" s="417" t="str">
        <f t="array" aca="1" ref="V17" ca="1">IF(T17="","",IF(ISERROR(INDEX(Well_Data_NK_Upcoming!Well_Type,MATCH(1,IF($B17=Well_Data_NK_Upcoming!RIG,IF(Well_Data_NK_Upcoming!Auto_Update_Rig_Schedule=3,1)),0))),"",(INDEX(Well_Data_NK_Upcoming!Well_Type,MATCH(1,IF($B17=Well_Data_NK_Upcoming!RIG,IF(Well_Data_NK_Upcoming!Auto_Update_Rig_Schedule=3,1)),0)))))</f>
        <v>SA10-UB-NW-Inj</v>
      </c>
      <c r="W17" s="418">
        <f t="shared" ca="1" si="6"/>
        <v>5</v>
      </c>
      <c r="X17" s="419">
        <f t="shared" ca="1" si="18"/>
        <v>42395</v>
      </c>
      <c r="Y17" s="430">
        <f t="shared" ca="1" si="7"/>
        <v>42465</v>
      </c>
      <c r="Z17" s="371">
        <f ca="1">IF(T17="","",INDEX(Well_Data_NK_Upcoming!Planned_Spud_to_RR,MATCH(RigScheduleTest!U17,Well_Data_NK_Upcoming!Concatenated_Wellname,0)))</f>
        <v>70</v>
      </c>
      <c r="AA17" s="371" t="str">
        <f t="array" aca="1" ref="AA17" ca="1">IF(ISERROR(INDEX(Well_Data_NK_Upcoming!Concatenated_Wellname,MATCH(1,IF($B17=Well_Data_NK_Upcoming!RIG,IF(Well_Data_NK_Upcoming!Auto_Update_Rig_Schedule=4,1)),0))),"",(INDEX(Well_Data_NK_Upcoming!Concatenated_Wellname,MATCH(1,IF($B17=Well_Data_NK_Upcoming!RIG,IF(Well_Data_NK_Upcoming!Auto_Update_Rig_Schedule=4,1)),0))))</f>
        <v/>
      </c>
      <c r="AB17" s="417" t="str">
        <f t="array" aca="1" ref="AB17" ca="1">IF(Z17="","",IF(ISERROR(INDEX(Well_Data_NK_Upcoming!Well_Type,MATCH(1,IF($B17=Well_Data_NK_Upcoming!RIG,IF(Well_Data_NK_Upcoming!Auto_Update_Rig_Schedule=4,1)),0))),"",(INDEX(Well_Data_NK_Upcoming!Well_Type,MATCH(1,IF($B17=Well_Data_NK_Upcoming!RIG,IF(Well_Data_NK_Upcoming!Auto_Update_Rig_Schedule=4,1)),0)))))</f>
        <v/>
      </c>
      <c r="AC17" s="418" t="str">
        <f t="shared" ca="1" si="19"/>
        <v/>
      </c>
      <c r="AD17" s="419" t="str">
        <f t="shared" ca="1" si="20"/>
        <v/>
      </c>
      <c r="AE17" s="430" t="str">
        <f t="shared" ca="1" si="8"/>
        <v/>
      </c>
      <c r="AF17" s="371" t="str">
        <f ca="1">IF(Z17="","",INDEX(Well_Data_NK_Upcoming!Planned_Spud_to_RR,MATCH(RigScheduleTest!AA17,Well_Data_NK_Upcoming!Concatenated_Wellname,0)))</f>
        <v/>
      </c>
      <c r="AG17" s="374" t="str">
        <f t="array" aca="1" ref="AG17" ca="1">IF(ISERROR(INDEX(Well_Data_NK_Upcoming!Concatenated_Wellname,MATCH(1,IF($B17=Well_Data_NK_Upcoming!RIG,IF(Well_Data_NK_Upcoming!Auto_Update_Rig_Schedule=5,1)),0))),"",(INDEX(Well_Data_NK_Upcoming!Concatenated_Wellname,MATCH(1,IF($B17=Well_Data_NK_Upcoming!RIG,IF(Well_Data_NK_Upcoming!Auto_Update_Rig_Schedule=5,1)),0))))</f>
        <v/>
      </c>
      <c r="AH17" s="417" t="str">
        <f t="array" aca="1" ref="AH17" ca="1">IF(AF17="","",IF(ISERROR(INDEX(Well_Data_NK_Upcoming!Well_Type,MATCH(1,IF($B17=Well_Data_NK_Upcoming!RIG,IF(Well_Data_NK_Upcoming!Auto_Update_Rig_Schedule=5,1)),0))),"",(INDEX(Well_Data_NK_Upcoming!Well_Type,MATCH(1,IF($B17=Well_Data_NK_Upcoming!RIG,IF(Well_Data_NK_Upcoming!Auto_Update_Rig_Schedule=5,1)),0)))))</f>
        <v/>
      </c>
      <c r="AI17" s="418" t="str">
        <f t="shared" ca="1" si="21"/>
        <v/>
      </c>
      <c r="AJ17" s="419" t="str">
        <f t="shared" ca="1" si="22"/>
        <v/>
      </c>
      <c r="AK17" s="430" t="str">
        <f t="shared" ca="1" si="9"/>
        <v/>
      </c>
      <c r="AL17" s="374" t="str">
        <f ca="1">IF(Z17="","",INDEX(Well_Data_NK_Upcoming!Planned_Spud_to_RR,MATCH(RigScheduleTest!AG17,Well_Data_NK_Upcoming!Concatenated_Wellname,0)))</f>
        <v/>
      </c>
      <c r="AM17" s="342" t="str">
        <f t="array" aca="1" ref="AM17" ca="1">IF(ISERROR(INDEX(Well_Data_NK_Upcoming!Concatenated_Wellname,MATCH(1,IF($B17=Well_Data_NK_Upcoming!RIG,IF(Well_Data_NK_Upcoming!Auto_Update_Rig_Schedule=6,1)),0))),"",(INDEX(Well_Data_NK_Upcoming!Concatenated_Wellname,MATCH(1,IF($B17=Well_Data_NK_Upcoming!RIG,IF(Well_Data_NK_Upcoming!Auto_Update_Rig_Schedule=6,1)),0))))</f>
        <v/>
      </c>
      <c r="AN17" s="417" t="str">
        <f t="array" aca="1" ref="AN17" ca="1">IF(AL17="","",IF(ISERROR(INDEX(Well_Data_NK_Upcoming!Well_Type,MATCH(1,IF($B17=Well_Data_NK_Upcoming!RIG,IF(Well_Data_NK_Upcoming!Auto_Update_Rig_Schedule=6,1)),0))),"",(INDEX(Well_Data_NK_Upcoming!Well_Type,MATCH(1,IF($B17=Well_Data_NK_Upcoming!RIG,IF(Well_Data_NK_Upcoming!Auto_Update_Rig_Schedule=6,1)),0)))))</f>
        <v/>
      </c>
      <c r="AO17" s="418" t="str">
        <f t="shared" ca="1" si="23"/>
        <v/>
      </c>
      <c r="AP17" s="419" t="str">
        <f t="shared" ca="1" si="24"/>
        <v/>
      </c>
      <c r="AQ17" s="430" t="str">
        <f t="shared" ca="1" si="10"/>
        <v/>
      </c>
      <c r="AR17" s="342" t="str">
        <f ca="1">IF(AL17="","",INDEX(Well_Data_NK_Upcoming!Planned_Spud_to_RR,MATCH(RigScheduleTest!AM17,Well_Data_NK_Upcoming!Concatenated_Wellname,0)))</f>
        <v/>
      </c>
      <c r="AS17" s="417" t="str">
        <f t="array" aca="1" ref="AS17" ca="1">IF(ISERROR(INDEX(Well_Data_NK_Upcoming!Concatenated_Wellname,MATCH(1,IF($B17=Well_Data_NK_Upcoming!RIG,IF(Well_Data_NK_Upcoming!Auto_Update_Rig_Schedule=7,1)),0))),"",(INDEX(Well_Data_NK_Upcoming!Concatenated_Wellname,MATCH(1,IF($B17=Well_Data_NK_Upcoming!RIG,IF(Well_Data_NK_Upcoming!Auto_Update_Rig_Schedule=7,1)),0))))</f>
        <v/>
      </c>
      <c r="AT17" s="417" t="str">
        <f t="array" aca="1" ref="AT17" ca="1">IF(AR17="","",IF(ISERROR(INDEX(Well_Data_NK_Upcoming!Well_Type,MATCH(1,IF($B17=Well_Data_NK_Upcoming!RIG,IF(Well_Data_NK_Upcoming!Auto_Update_Rig_Schedule=7,1)),0))),"",(INDEX(Well_Data_NK_Upcoming!Well_Type,MATCH(1,IF($B17=Well_Data_NK_Upcoming!RIG,IF(Well_Data_NK_Upcoming!Auto_Update_Rig_Schedule=7,1)),0)))))</f>
        <v/>
      </c>
      <c r="AU17" s="418" t="str">
        <f t="shared" ca="1" si="25"/>
        <v/>
      </c>
      <c r="AV17" s="419" t="str">
        <f t="shared" ca="1" si="26"/>
        <v/>
      </c>
      <c r="AW17" s="430" t="str">
        <f t="shared" ca="1" si="11"/>
        <v/>
      </c>
      <c r="AX17" s="342" t="str">
        <f ca="1">IF(AR17="","",INDEX(Well_Data_NK_Upcoming!Planned_Spud_to_RR,MATCH(RigScheduleTest!AS17,Well_Data_NK_Upcoming!Concatenated_Wellname,0)))</f>
        <v/>
      </c>
      <c r="AY17" s="417" t="str">
        <f t="array" aca="1" ref="AY17" ca="1">IF(ISERROR(INDEX(Well_Data_NK_Upcoming!Concatenated_Wellname,MATCH(1,IF($B17=Well_Data_NK_Upcoming!RIG,IF(Well_Data_NK_Upcoming!Auto_Update_Rig_Schedule=8,1)),0))),"",(INDEX(Well_Data_NK_Upcoming!Concatenated_Wellname,MATCH(1,IF($B17=Well_Data_NK_Upcoming!RIG,IF(Well_Data_NK_Upcoming!Auto_Update_Rig_Schedule=8,1)),0))))</f>
        <v/>
      </c>
      <c r="AZ17" s="417" t="str">
        <f t="array" aca="1" ref="AZ17" ca="1">IF(AX17="","",IF(ISERROR(INDEX(Well_Data_NK_Upcoming!Well_Type,MATCH(1,IF($B17=Well_Data_NK_Upcoming!RIG,IF(Well_Data_NK_Upcoming!Auto_Update_Rig_Schedule=8,1)),0))),"",(INDEX(Well_Data_NK_Upcoming!Well_Type,MATCH(1,IF($B17=Well_Data_NK_Upcoming!RIG,IF(Well_Data_NK_Upcoming!Auto_Update_Rig_Schedule=8,1)),0)))))</f>
        <v/>
      </c>
      <c r="BA17" s="418" t="str">
        <f t="shared" ca="1" si="27"/>
        <v/>
      </c>
      <c r="BB17" s="419" t="str">
        <f t="shared" ca="1" si="28"/>
        <v/>
      </c>
      <c r="BC17" s="430" t="str">
        <f t="shared" ca="1" si="12"/>
        <v/>
      </c>
      <c r="BD17" s="342" t="str">
        <f ca="1">IF(AX17="","",INDEX(Well_Data_NK_Upcoming!Planned_Spud_to_RR,MATCH(RigScheduleTest!AY17,Well_Data_NK_Upcoming!Concatenated_Wellname,0)))</f>
        <v/>
      </c>
      <c r="BE17" s="417" t="str">
        <f t="array" aca="1" ref="BE17" ca="1">IF(ISERROR(INDEX(Well_Data_NK_Upcoming!Concatenated_Wellname,MATCH(1,IF($B17=Well_Data_NK_Upcoming!RIG,IF(Well_Data_NK_Upcoming!Auto_Update_Rig_Schedule=9,1)),0))),"",(INDEX(Well_Data_NK_Upcoming!Concatenated_Wellname,MATCH(1,IF($B17=Well_Data_NK_Upcoming!RIG,IF(Well_Data_NK_Upcoming!Auto_Update_Rig_Schedule=9,1)),0))))</f>
        <v/>
      </c>
      <c r="BF17" s="417" t="str">
        <f t="array" aca="1" ref="BF17" ca="1">IF(BD17="","",IF(ISERROR(INDEX(Well_Data_NK_Upcoming!Well_Type,MATCH(1,IF($B17=Well_Data_NK_Upcoming!RIG,IF(Well_Data_NK_Upcoming!Auto_Update_Rig_Schedule=9,1)),0))),"",(INDEX(Well_Data_NK_Upcoming!Well_Type,MATCH(1,IF($B17=Well_Data_NK_Upcoming!RIG,IF(Well_Data_NK_Upcoming!Auto_Update_Rig_Schedule=9,1)),0)))))</f>
        <v/>
      </c>
      <c r="BG17" s="418" t="str">
        <f t="shared" ca="1" si="29"/>
        <v/>
      </c>
      <c r="BH17" s="419" t="str">
        <f t="shared" ca="1" si="30"/>
        <v/>
      </c>
      <c r="BI17" s="430" t="str">
        <f t="shared" ca="1" si="13"/>
        <v/>
      </c>
      <c r="BJ17" s="342" t="str">
        <f ca="1">IF(BD17="","",INDEX(Well_Data_NK_Upcoming!Planned_Spud_to_RR,MATCH(RigScheduleTest!BE17,Well_Data_NK_Upcoming!Concatenated_Wellname,0)))</f>
        <v/>
      </c>
      <c r="BK17" s="417" t="str">
        <f t="array" aca="1" ref="BK17" ca="1">IF(ISERROR(INDEX(Well_Data_NK_Upcoming!Concatenated_Wellname,MATCH(1,IF($B17=Well_Data_NK_Upcoming!RIG,IF(Well_Data_NK_Upcoming!Auto_Update_Rig_Schedule=10,1)),0))),"",(INDEX(Well_Data_NK_Upcoming!Concatenated_Wellname,MATCH(1,IF($B17=Well_Data_NK_Upcoming!RIG,IF(Well_Data_NK_Upcoming!Auto_Update_Rig_Schedule=10,1)),0))))</f>
        <v/>
      </c>
      <c r="BL17" s="417" t="str">
        <f t="array" aca="1" ref="BL17" ca="1">IF(BJ17="","",IF(ISERROR(INDEX(Well_Data_NK_Upcoming!Well_Type,MATCH(1,IF($B17=Well_Data_NK_Upcoming!RIG,IF(Well_Data_NK_Upcoming!Auto_Update_Rig_Schedule=10,1)),0))),"",(INDEX(Well_Data_NK_Upcoming!Well_Type,MATCH(1,IF($B17=Well_Data_NK_Upcoming!RIG,IF(Well_Data_NK_Upcoming!Auto_Update_Rig_Schedule=10,1)),0)))))</f>
        <v/>
      </c>
      <c r="BM17" s="418" t="str">
        <f t="shared" ca="1" si="31"/>
        <v/>
      </c>
      <c r="BN17" s="419" t="str">
        <f t="shared" ca="1" si="32"/>
        <v/>
      </c>
      <c r="BO17" s="430" t="str">
        <f t="shared" ca="1" si="14"/>
        <v/>
      </c>
      <c r="BP17" s="342" t="str">
        <f ca="1">IF(BJ17="","",INDEX(Well_Data_NK_Upcoming!Planned_Spud_to_RR,MATCH(RigScheduleTest!BK17,Well_Data_NK_Upcoming!Concatenated_Wellname,0)))</f>
        <v/>
      </c>
    </row>
    <row r="18" spans="1:68" ht="15" x14ac:dyDescent="0.25">
      <c r="A18" s="429" t="str">
        <f t="shared" ca="1" si="0"/>
        <v>SA-0580-SP-282</v>
      </c>
      <c r="B18" s="425" t="s">
        <v>1413</v>
      </c>
      <c r="C18" s="340" t="str">
        <f t="array" aca="1" ref="C18" ca="1">IF(ISERROR(INDEX(Well_Data_NK_Upcoming!WELL,MATCH(1,IF($B18=Well_Data_NK_Upcoming!RIG,IF(Well_Data_NK_Upcoming!Auto_Update_Rig_Schedule=0,1)),0))),"",(INDEX(Well_Data_NK_Upcoming!WELL,MATCH(1,IF($B18=Well_Data_NK_Upcoming!RIG,IF(Well_Data_NK_Upcoming!Auto_Update_Rig_Schedule=0,1)),0))))</f>
        <v>SA-0580</v>
      </c>
      <c r="D18" s="424" t="str">
        <f ca="1">INDEX(Well_Data_NK_Upcoming!Concatenated_Wellname,MATCH(RigScheduleTest!A18,Well_Data_NK_Upcoming!Well_Rig,0))</f>
        <v>SA-0580-SA-MA-Prod-NW-HZ-SLB</v>
      </c>
      <c r="E18" s="423" t="str">
        <f ca="1">INDEX(Well_Data_NK_Upcoming!Well_Type,MATCH(RigScheduleTest!A18,Well_Data_NK_Upcoming!Well_Rig,0))</f>
        <v>SA-0580-MA-NW-Prod</v>
      </c>
      <c r="F18" s="341">
        <f t="shared" si="15"/>
        <v>42233</v>
      </c>
      <c r="G18" s="367">
        <f ca="1">IF(ISERROR(INDEX(Well_Data_NK_Upcoming!Updated_Drill_Days,MATCH(RigScheduleTest!A18,Well_Data_NK_Upcoming!Well_Rig,0))),"",(INDEX(Well_Data_NK_Upcoming!Updated_Drill_Days,MATCH(RigScheduleTest!A18,Well_Data_NK_Upcoming!Well_Rig,0))))</f>
        <v>5</v>
      </c>
      <c r="H18" s="422">
        <f t="shared" ca="1" si="33"/>
        <v>42238</v>
      </c>
      <c r="I18" s="372" t="str">
        <f t="array" aca="1" ref="I18" ca="1">IF(ISERROR(INDEX(Well_Data_NK_Upcoming!Concatenated_Wellname,MATCH(1,IF($B18=Well_Data_NK_Upcoming!RIG,IF(Well_Data_NK_Upcoming!Auto_Update_Rig_Schedule=1,1)),0))),"",(INDEX(Well_Data_NK_Upcoming!Concatenated_Wellname,MATCH(1,IF($B18=Well_Data_NK_Upcoming!RIG,IF(Well_Data_NK_Upcoming!Auto_Update_Rig_Schedule=1,1)),0))))</f>
        <v>SA-0602-SA-MA-Prod-NW-HZ-SLB</v>
      </c>
      <c r="J18" s="417" t="str">
        <f t="array" aca="1" ref="J18" ca="1">IF(G18="","",IF(ISERROR(INDEX(Well_Data_NK_Upcoming!Well_Type,MATCH(1,IF($B18=Well_Data_NK_Upcoming!RIG,IF(Well_Data_NK_Upcoming!Auto_Update_Rig_Schedule=1,1)),0))),"",(INDEX(Well_Data_NK_Upcoming!Well_Type,MATCH(1,IF($B18=Well_Data_NK_Upcoming!RIG,IF(Well_Data_NK_Upcoming!Auto_Update_Rig_Schedule=1,1)),0)))))</f>
        <v>SA-0602-MA-NW-Prod</v>
      </c>
      <c r="K18" s="418">
        <f t="shared" ca="1" si="2"/>
        <v>5</v>
      </c>
      <c r="L18" s="419">
        <f t="shared" ca="1" si="16"/>
        <v>42243</v>
      </c>
      <c r="M18" s="430">
        <f t="shared" ca="1" si="34"/>
        <v>42313</v>
      </c>
      <c r="N18" s="372">
        <f ca="1">IF(G18="","",INDEX(Well_Data_NK_Upcoming!Planned_Spud_to_RR,MATCH(RigScheduleTest!I18,Well_Data_NK_Upcoming!Concatenated_Wellname,0)))</f>
        <v>70</v>
      </c>
      <c r="O18" s="371" t="str">
        <f t="array" aca="1" ref="O18" ca="1">IF(ISERROR(INDEX(Well_Data_NK_Upcoming!Concatenated_Wellname,MATCH(1,IF($B18=Well_Data_NK_Upcoming!RIG,IF(Well_Data_NK_Upcoming!Auto_Update_Rig_Schedule=2,1)),0))),"",(INDEX(Well_Data_NK_Upcoming!Concatenated_Wellname,MATCH(1,IF($B18=Well_Data_NK_Upcoming!RIG,IF(Well_Data_NK_Upcoming!Auto_Update_Rig_Schedule=2,1)),0))))</f>
        <v>SA-0613-SA-UB-Prod-NW-HZ</v>
      </c>
      <c r="P18" s="417" t="str">
        <f t="array" aca="1" ref="P18" ca="1">IF(N18="","",IF(ISERROR(INDEX(Well_Data_NK_Upcoming!Well_Type,MATCH(1,IF($B18=Well_Data_NK_Upcoming!RIG,IF(Well_Data_NK_Upcoming!Auto_Update_Rig_Schedule=2,1)),0))),"",(INDEX(Well_Data_NK_Upcoming!Well_Type,MATCH(1,IF($B18=Well_Data_NK_Upcoming!RIG,IF(Well_Data_NK_Upcoming!Auto_Update_Rig_Schedule=2,1)),0)))))</f>
        <v>SA-0613-UB-NW-Prod</v>
      </c>
      <c r="Q18" s="418">
        <f t="shared" ca="1" si="4"/>
        <v>5</v>
      </c>
      <c r="R18" s="419">
        <f t="shared" ca="1" si="17"/>
        <v>42318</v>
      </c>
      <c r="S18" s="430">
        <f t="shared" ca="1" si="5"/>
        <v>42388</v>
      </c>
      <c r="T18" s="371">
        <f ca="1">IF(N18="","",INDEX(Well_Data_NK_Upcoming!Planned_Spud_to_RR,MATCH(RigScheduleTest!O18,Well_Data_NK_Upcoming!Concatenated_Wellname,0)))</f>
        <v>70</v>
      </c>
      <c r="U18" s="372" t="str">
        <f t="array" aca="1" ref="U18" ca="1">IF(ISERROR(INDEX(Well_Data_NK_Upcoming!Concatenated_Wellname,MATCH(1,IF($B18=Well_Data_NK_Upcoming!RIG,IF(Well_Data_NK_Upcoming!Auto_Update_Rig_Schedule=3,1)),0))),"",(INDEX(Well_Data_NK_Upcoming!Concatenated_Wellname,MATCH(1,IF($B18=Well_Data_NK_Upcoming!RIG,IF(Well_Data_NK_Upcoming!Auto_Update_Rig_Schedule=3,1)),0))))</f>
        <v>SA2-SA-LB-Prod-NW-SL</v>
      </c>
      <c r="V18" s="417" t="str">
        <f t="array" aca="1" ref="V18" ca="1">IF(T18="","",IF(ISERROR(INDEX(Well_Data_NK_Upcoming!Well_Type,MATCH(1,IF($B18=Well_Data_NK_Upcoming!RIG,IF(Well_Data_NK_Upcoming!Auto_Update_Rig_Schedule=3,1)),0))),"",(INDEX(Well_Data_NK_Upcoming!Well_Type,MATCH(1,IF($B18=Well_Data_NK_Upcoming!RIG,IF(Well_Data_NK_Upcoming!Auto_Update_Rig_Schedule=3,1)),0)))))</f>
        <v>SA2-LB-NW-Prod</v>
      </c>
      <c r="W18" s="418">
        <f t="shared" ca="1" si="6"/>
        <v>5</v>
      </c>
      <c r="X18" s="419">
        <f t="shared" ca="1" si="18"/>
        <v>42393</v>
      </c>
      <c r="Y18" s="430">
        <f t="shared" ca="1" si="7"/>
        <v>42463</v>
      </c>
      <c r="Z18" s="373">
        <f ca="1">IF(T18="","",INDEX(Well_Data_NK_Upcoming!Planned_Spud_to_RR,MATCH(RigScheduleTest!U18,Well_Data_NK_Upcoming!Concatenated_Wellname,0)))</f>
        <v>70</v>
      </c>
      <c r="AA18" s="373" t="str">
        <f t="array" aca="1" ref="AA18" ca="1">IF(ISERROR(INDEX(Well_Data_NK_Upcoming!Concatenated_Wellname,MATCH(1,IF($B18=Well_Data_NK_Upcoming!RIG,IF(Well_Data_NK_Upcoming!Auto_Update_Rig_Schedule=4,1)),0))),"",(INDEX(Well_Data_NK_Upcoming!Concatenated_Wellname,MATCH(1,IF($B18=Well_Data_NK_Upcoming!RIG,IF(Well_Data_NK_Upcoming!Auto_Update_Rig_Schedule=4,1)),0))))</f>
        <v>SA3-SA-LB-Prod-HZ</v>
      </c>
      <c r="AB18" s="417" t="str">
        <f t="array" aca="1" ref="AB18" ca="1">IF(Z18="","",IF(ISERROR(INDEX(Well_Data_NK_Upcoming!Well_Type,MATCH(1,IF($B18=Well_Data_NK_Upcoming!RIG,IF(Well_Data_NK_Upcoming!Auto_Update_Rig_Schedule=4,1)),0))),"",(INDEX(Well_Data_NK_Upcoming!Well_Type,MATCH(1,IF($B18=Well_Data_NK_Upcoming!RIG,IF(Well_Data_NK_Upcoming!Auto_Update_Rig_Schedule=4,1)),0)))))</f>
        <v>SA3-LB-Prod</v>
      </c>
      <c r="AC18" s="418">
        <f t="shared" ca="1" si="19"/>
        <v>5</v>
      </c>
      <c r="AD18" s="419">
        <f t="shared" ca="1" si="20"/>
        <v>42468</v>
      </c>
      <c r="AE18" s="430">
        <f t="shared" ca="1" si="8"/>
        <v>42538</v>
      </c>
      <c r="AF18" s="373">
        <f ca="1">IF(Z18="","",INDEX(Well_Data_NK_Upcoming!Planned_Spud_to_RR,MATCH(RigScheduleTest!AA18,Well_Data_NK_Upcoming!Concatenated_Wellname,0)))</f>
        <v>70</v>
      </c>
      <c r="AG18" s="372" t="str">
        <f t="array" aca="1" ref="AG18" ca="1">IF(ISERROR(INDEX(Well_Data_NK_Upcoming!Concatenated_Wellname,MATCH(1,IF($B18=Well_Data_NK_Upcoming!RIG,IF(Well_Data_NK_Upcoming!Auto_Update_Rig_Schedule=5,1)),0))),"",(INDEX(Well_Data_NK_Upcoming!Concatenated_Wellname,MATCH(1,IF($B18=Well_Data_NK_Upcoming!RIG,IF(Well_Data_NK_Upcoming!Auto_Update_Rig_Schedule=5,1)),0))))</f>
        <v/>
      </c>
      <c r="AH18" s="417" t="str">
        <f t="array" aca="1" ref="AH18" ca="1">IF(AF18="","",IF(ISERROR(INDEX(Well_Data_NK_Upcoming!Well_Type,MATCH(1,IF($B18=Well_Data_NK_Upcoming!RIG,IF(Well_Data_NK_Upcoming!Auto_Update_Rig_Schedule=5,1)),0))),"",(INDEX(Well_Data_NK_Upcoming!Well_Type,MATCH(1,IF($B18=Well_Data_NK_Upcoming!RIG,IF(Well_Data_NK_Upcoming!Auto_Update_Rig_Schedule=5,1)),0)))))</f>
        <v/>
      </c>
      <c r="AI18" s="418" t="str">
        <f t="shared" ca="1" si="21"/>
        <v/>
      </c>
      <c r="AJ18" s="419" t="str">
        <f t="shared" ca="1" si="22"/>
        <v/>
      </c>
      <c r="AK18" s="430" t="str">
        <f t="shared" ca="1" si="9"/>
        <v/>
      </c>
      <c r="AL18" s="372" t="str">
        <f ca="1">IF(Z18="","",INDEX(Well_Data_NK_Upcoming!Planned_Spud_to_RR,MATCH(RigScheduleTest!AG18,Well_Data_NK_Upcoming!Concatenated_Wellname,0)))</f>
        <v/>
      </c>
      <c r="AM18" s="372" t="str">
        <f t="array" aca="1" ref="AM18" ca="1">IF(ISERROR(INDEX(Well_Data_NK_Upcoming!Concatenated_Wellname,MATCH(1,IF($B18=Well_Data_NK_Upcoming!RIG,IF(Well_Data_NK_Upcoming!Auto_Update_Rig_Schedule=6,1)),0))),"",(INDEX(Well_Data_NK_Upcoming!Concatenated_Wellname,MATCH(1,IF($B18=Well_Data_NK_Upcoming!RIG,IF(Well_Data_NK_Upcoming!Auto_Update_Rig_Schedule=6,1)),0))))</f>
        <v/>
      </c>
      <c r="AN18" s="417" t="str">
        <f t="array" aca="1" ref="AN18" ca="1">IF(AL18="","",IF(ISERROR(INDEX(Well_Data_NK_Upcoming!Well_Type,MATCH(1,IF($B18=Well_Data_NK_Upcoming!RIG,IF(Well_Data_NK_Upcoming!Auto_Update_Rig_Schedule=6,1)),0))),"",(INDEX(Well_Data_NK_Upcoming!Well_Type,MATCH(1,IF($B18=Well_Data_NK_Upcoming!RIG,IF(Well_Data_NK_Upcoming!Auto_Update_Rig_Schedule=6,1)),0)))))</f>
        <v/>
      </c>
      <c r="AO18" s="418" t="str">
        <f t="shared" ca="1" si="23"/>
        <v/>
      </c>
      <c r="AP18" s="419" t="str">
        <f t="shared" ca="1" si="24"/>
        <v/>
      </c>
      <c r="AQ18" s="430" t="str">
        <f t="shared" ca="1" si="10"/>
        <v/>
      </c>
      <c r="AR18" s="372" t="str">
        <f ca="1">IF(AL18="","",INDEX(Well_Data_NK_Upcoming!Planned_Spud_to_RR,MATCH(RigScheduleTest!AM18,Well_Data_NK_Upcoming!Concatenated_Wellname,0)))</f>
        <v/>
      </c>
      <c r="AS18" s="417" t="str">
        <f t="array" aca="1" ref="AS18" ca="1">IF(ISERROR(INDEX(Well_Data_NK_Upcoming!Concatenated_Wellname,MATCH(1,IF($B18=Well_Data_NK_Upcoming!RIG,IF(Well_Data_NK_Upcoming!Auto_Update_Rig_Schedule=7,1)),0))),"",(INDEX(Well_Data_NK_Upcoming!Concatenated_Wellname,MATCH(1,IF($B18=Well_Data_NK_Upcoming!RIG,IF(Well_Data_NK_Upcoming!Auto_Update_Rig_Schedule=7,1)),0))))</f>
        <v/>
      </c>
      <c r="AT18" s="417" t="str">
        <f t="array" aca="1" ref="AT18" ca="1">IF(AR18="","",IF(ISERROR(INDEX(Well_Data_NK_Upcoming!Well_Type,MATCH(1,IF($B18=Well_Data_NK_Upcoming!RIG,IF(Well_Data_NK_Upcoming!Auto_Update_Rig_Schedule=7,1)),0))),"",(INDEX(Well_Data_NK_Upcoming!Well_Type,MATCH(1,IF($B18=Well_Data_NK_Upcoming!RIG,IF(Well_Data_NK_Upcoming!Auto_Update_Rig_Schedule=7,1)),0)))))</f>
        <v/>
      </c>
      <c r="AU18" s="418" t="str">
        <f t="shared" ca="1" si="25"/>
        <v/>
      </c>
      <c r="AV18" s="419" t="str">
        <f t="shared" ca="1" si="26"/>
        <v/>
      </c>
      <c r="AW18" s="430" t="str">
        <f t="shared" ca="1" si="11"/>
        <v/>
      </c>
      <c r="AX18" s="342" t="str">
        <f ca="1">IF(AR18="","",INDEX(Well_Data_NK_Upcoming!Planned_Spud_to_RR,MATCH(RigScheduleTest!AS18,Well_Data_NK_Upcoming!Concatenated_Wellname,0)))</f>
        <v/>
      </c>
      <c r="AY18" s="417" t="str">
        <f t="array" aca="1" ref="AY18" ca="1">IF(ISERROR(INDEX(Well_Data_NK_Upcoming!Concatenated_Wellname,MATCH(1,IF($B18=Well_Data_NK_Upcoming!RIG,IF(Well_Data_NK_Upcoming!Auto_Update_Rig_Schedule=8,1)),0))),"",(INDEX(Well_Data_NK_Upcoming!Concatenated_Wellname,MATCH(1,IF($B18=Well_Data_NK_Upcoming!RIG,IF(Well_Data_NK_Upcoming!Auto_Update_Rig_Schedule=8,1)),0))))</f>
        <v/>
      </c>
      <c r="AZ18" s="417" t="str">
        <f t="array" aca="1" ref="AZ18" ca="1">IF(AX18="","",IF(ISERROR(INDEX(Well_Data_NK_Upcoming!Well_Type,MATCH(1,IF($B18=Well_Data_NK_Upcoming!RIG,IF(Well_Data_NK_Upcoming!Auto_Update_Rig_Schedule=8,1)),0))),"",(INDEX(Well_Data_NK_Upcoming!Well_Type,MATCH(1,IF($B18=Well_Data_NK_Upcoming!RIG,IF(Well_Data_NK_Upcoming!Auto_Update_Rig_Schedule=8,1)),0)))))</f>
        <v/>
      </c>
      <c r="BA18" s="418" t="str">
        <f t="shared" ca="1" si="27"/>
        <v/>
      </c>
      <c r="BB18" s="419" t="str">
        <f t="shared" ca="1" si="28"/>
        <v/>
      </c>
      <c r="BC18" s="430" t="str">
        <f t="shared" ca="1" si="12"/>
        <v/>
      </c>
      <c r="BD18" s="342" t="str">
        <f ca="1">IF(AX18="","",INDEX(Well_Data_NK_Upcoming!Planned_Spud_to_RR,MATCH(RigScheduleTest!AY18,Well_Data_NK_Upcoming!Concatenated_Wellname,0)))</f>
        <v/>
      </c>
      <c r="BE18" s="417" t="str">
        <f t="array" aca="1" ref="BE18" ca="1">IF(ISERROR(INDEX(Well_Data_NK_Upcoming!Concatenated_Wellname,MATCH(1,IF($B18=Well_Data_NK_Upcoming!RIG,IF(Well_Data_NK_Upcoming!Auto_Update_Rig_Schedule=9,1)),0))),"",(INDEX(Well_Data_NK_Upcoming!Concatenated_Wellname,MATCH(1,IF($B18=Well_Data_NK_Upcoming!RIG,IF(Well_Data_NK_Upcoming!Auto_Update_Rig_Schedule=9,1)),0))))</f>
        <v/>
      </c>
      <c r="BF18" s="417" t="str">
        <f t="array" aca="1" ref="BF18" ca="1">IF(BD18="","",IF(ISERROR(INDEX(Well_Data_NK_Upcoming!Well_Type,MATCH(1,IF($B18=Well_Data_NK_Upcoming!RIG,IF(Well_Data_NK_Upcoming!Auto_Update_Rig_Schedule=9,1)),0))),"",(INDEX(Well_Data_NK_Upcoming!Well_Type,MATCH(1,IF($B18=Well_Data_NK_Upcoming!RIG,IF(Well_Data_NK_Upcoming!Auto_Update_Rig_Schedule=9,1)),0)))))</f>
        <v/>
      </c>
      <c r="BG18" s="418" t="str">
        <f t="shared" ca="1" si="29"/>
        <v/>
      </c>
      <c r="BH18" s="419" t="str">
        <f t="shared" ca="1" si="30"/>
        <v/>
      </c>
      <c r="BI18" s="430" t="str">
        <f t="shared" ca="1" si="13"/>
        <v/>
      </c>
      <c r="BJ18" s="342" t="str">
        <f ca="1">IF(BD18="","",INDEX(Well_Data_NK_Upcoming!Planned_Spud_to_RR,MATCH(RigScheduleTest!BE18,Well_Data_NK_Upcoming!Concatenated_Wellname,0)))</f>
        <v/>
      </c>
      <c r="BK18" s="417" t="str">
        <f t="array" aca="1" ref="BK18" ca="1">IF(ISERROR(INDEX(Well_Data_NK_Upcoming!Concatenated_Wellname,MATCH(1,IF($B18=Well_Data_NK_Upcoming!RIG,IF(Well_Data_NK_Upcoming!Auto_Update_Rig_Schedule=10,1)),0))),"",(INDEX(Well_Data_NK_Upcoming!Concatenated_Wellname,MATCH(1,IF($B18=Well_Data_NK_Upcoming!RIG,IF(Well_Data_NK_Upcoming!Auto_Update_Rig_Schedule=10,1)),0))))</f>
        <v/>
      </c>
      <c r="BL18" s="417" t="str">
        <f t="array" aca="1" ref="BL18" ca="1">IF(BJ18="","",IF(ISERROR(INDEX(Well_Data_NK_Upcoming!Well_Type,MATCH(1,IF($B18=Well_Data_NK_Upcoming!RIG,IF(Well_Data_NK_Upcoming!Auto_Update_Rig_Schedule=10,1)),0))),"",(INDEX(Well_Data_NK_Upcoming!Well_Type,MATCH(1,IF($B18=Well_Data_NK_Upcoming!RIG,IF(Well_Data_NK_Upcoming!Auto_Update_Rig_Schedule=10,1)),0)))))</f>
        <v/>
      </c>
      <c r="BM18" s="418" t="str">
        <f t="shared" ca="1" si="31"/>
        <v/>
      </c>
      <c r="BN18" s="419" t="str">
        <f t="shared" ca="1" si="32"/>
        <v/>
      </c>
      <c r="BO18" s="430" t="str">
        <f t="shared" ca="1" si="14"/>
        <v/>
      </c>
      <c r="BP18" s="342" t="str">
        <f ca="1">IF(BJ18="","",INDEX(Well_Data_NK_Upcoming!Planned_Spud_to_RR,MATCH(RigScheduleTest!BK18,Well_Data_NK_Upcoming!Concatenated_Wellname,0)))</f>
        <v/>
      </c>
    </row>
    <row r="19" spans="1:68" ht="15" x14ac:dyDescent="0.25">
      <c r="A19" s="429" t="str">
        <f t="shared" ca="1" si="0"/>
        <v>SA-0137-SP-283</v>
      </c>
      <c r="B19" s="425" t="s">
        <v>1414</v>
      </c>
      <c r="C19" s="340" t="str">
        <f t="array" aca="1" ref="C19" ca="1">IF(ISERROR(INDEX(Well_Data_NK_Upcoming!WELL,MATCH(1,IF($B19=Well_Data_NK_Upcoming!RIG,IF(Well_Data_NK_Upcoming!Auto_Update_Rig_Schedule=0,1)),0))),"",(INDEX(Well_Data_NK_Upcoming!WELL,MATCH(1,IF($B19=Well_Data_NK_Upcoming!RIG,IF(Well_Data_NK_Upcoming!Auto_Update_Rig_Schedule=0,1)),0))))</f>
        <v>SA-0137</v>
      </c>
      <c r="D19" s="424" t="str">
        <f ca="1">INDEX(Well_Data_NK_Upcoming!Concatenated_Wellname,MATCH(RigScheduleTest!A19,Well_Data_NK_Upcoming!Well_Rig,0))</f>
        <v>SA-0137-SA-MA-Prod-ST-HZ-BHI</v>
      </c>
      <c r="E19" s="423" t="str">
        <f ca="1">INDEX(Well_Data_NK_Upcoming!Well_Type,MATCH(RigScheduleTest!A19,Well_Data_NK_Upcoming!Well_Rig,0))</f>
        <v>SA-0137-MA-ST-Prod</v>
      </c>
      <c r="F19" s="341">
        <f t="shared" si="15"/>
        <v>42233</v>
      </c>
      <c r="G19" s="367">
        <f ca="1">IF(ISERROR(INDEX(Well_Data_NK_Upcoming!Updated_Drill_Days,MATCH(RigScheduleTest!A19,Well_Data_NK_Upcoming!Well_Rig,0))),"",(INDEX(Well_Data_NK_Upcoming!Updated_Drill_Days,MATCH(RigScheduleTest!A19,Well_Data_NK_Upcoming!Well_Rig,0))))</f>
        <v>7</v>
      </c>
      <c r="H19" s="422">
        <f t="shared" ca="1" si="33"/>
        <v>42240</v>
      </c>
      <c r="I19" s="372" t="str">
        <f t="array" aca="1" ref="I19" ca="1">IF(ISERROR(INDEX(Well_Data_NK_Upcoming!Concatenated_Wellname,MATCH(1,IF($B19=Well_Data_NK_Upcoming!RIG,IF(Well_Data_NK_Upcoming!Auto_Update_Rig_Schedule=1,1)),0))),"",(INDEX(Well_Data_NK_Upcoming!Concatenated_Wellname,MATCH(1,IF($B19=Well_Data_NK_Upcoming!RIG,IF(Well_Data_NK_Upcoming!Auto_Update_Rig_Schedule=1,1)),0))))</f>
        <v>RA-0165-RA-ZU-Inj-ST-V</v>
      </c>
      <c r="J19" s="417" t="str">
        <f t="array" aca="1" ref="J19" ca="1">IF(G19="","",IF(ISERROR(INDEX(Well_Data_NK_Upcoming!Well_Type,MATCH(1,IF($B19=Well_Data_NK_Upcoming!RIG,IF(Well_Data_NK_Upcoming!Auto_Update_Rig_Schedule=1,1)),0))),"",(INDEX(Well_Data_NK_Upcoming!Well_Type,MATCH(1,IF($B19=Well_Data_NK_Upcoming!RIG,IF(Well_Data_NK_Upcoming!Auto_Update_Rig_Schedule=1,1)),0)))))</f>
        <v>RA-0165-ZU-ST-Inj</v>
      </c>
      <c r="K19" s="418">
        <f t="shared" ca="1" si="2"/>
        <v>5</v>
      </c>
      <c r="L19" s="419">
        <f t="shared" ca="1" si="16"/>
        <v>42245</v>
      </c>
      <c r="M19" s="430">
        <f t="shared" ca="1" si="34"/>
        <v>42275</v>
      </c>
      <c r="N19" s="374">
        <f ca="1">IF(G19="","",INDEX(Well_Data_NK_Upcoming!Planned_Spud_to_RR,MATCH(RigScheduleTest!I19,Well_Data_NK_Upcoming!Concatenated_Wellname,0)))</f>
        <v>30</v>
      </c>
      <c r="O19" s="374" t="str">
        <f t="array" aca="1" ref="O19" ca="1">IF(ISERROR(INDEX(Well_Data_NK_Upcoming!Concatenated_Wellname,MATCH(1,IF($B19=Well_Data_NK_Upcoming!RIG,IF(Well_Data_NK_Upcoming!Auto_Update_Rig_Schedule=2,1)),0))),"",(INDEX(Well_Data_NK_Upcoming!Concatenated_Wellname,MATCH(1,IF($B19=Well_Data_NK_Upcoming!RIG,IF(Well_Data_NK_Upcoming!Auto_Update_Rig_Schedule=2,1)),0))))</f>
        <v>RA-0241-RA-MA-Prod-ST-HZ-Sperry</v>
      </c>
      <c r="P19" s="417" t="str">
        <f t="array" aca="1" ref="P19" ca="1">IF(N19="","",IF(ISERROR(INDEX(Well_Data_NK_Upcoming!Well_Type,MATCH(1,IF($B19=Well_Data_NK_Upcoming!RIG,IF(Well_Data_NK_Upcoming!Auto_Update_Rig_Schedule=2,1)),0))),"",(INDEX(Well_Data_NK_Upcoming!Well_Type,MATCH(1,IF($B19=Well_Data_NK_Upcoming!RIG,IF(Well_Data_NK_Upcoming!Auto_Update_Rig_Schedule=2,1)),0)))))</f>
        <v>RA-0241-MA-ST-Prod</v>
      </c>
      <c r="Q19" s="418">
        <f t="shared" ca="1" si="4"/>
        <v>5</v>
      </c>
      <c r="R19" s="419">
        <f t="shared" ca="1" si="17"/>
        <v>42280</v>
      </c>
      <c r="S19" s="430">
        <f t="shared" ca="1" si="5"/>
        <v>42336</v>
      </c>
      <c r="T19" s="372">
        <f ca="1">IF(N19="","",INDEX(Well_Data_NK_Upcoming!Planned_Spud_to_RR,MATCH(RigScheduleTest!O19,Well_Data_NK_Upcoming!Concatenated_Wellname,0)))</f>
        <v>56</v>
      </c>
      <c r="U19" s="372" t="str">
        <f t="array" aca="1" ref="U19" ca="1">IF(ISERROR(INDEX(Well_Data_NK_Upcoming!Concatenated_Wellname,MATCH(1,IF($B19=Well_Data_NK_Upcoming!RIG,IF(Well_Data_NK_Upcoming!Auto_Update_Rig_Schedule=3,1)),0))),"",(INDEX(Well_Data_NK_Upcoming!Concatenated_Wellname,MATCH(1,IF($B19=Well_Data_NK_Upcoming!RIG,IF(Well_Data_NK_Upcoming!Auto_Update_Rig_Schedule=3,1)),0))))</f>
        <v>SA12-SA-UB-Prod-NW-SL</v>
      </c>
      <c r="V19" s="417" t="str">
        <f t="array" aca="1" ref="V19" ca="1">IF(T19="","",IF(ISERROR(INDEX(Well_Data_NK_Upcoming!Well_Type,MATCH(1,IF($B19=Well_Data_NK_Upcoming!RIG,IF(Well_Data_NK_Upcoming!Auto_Update_Rig_Schedule=3,1)),0))),"",(INDEX(Well_Data_NK_Upcoming!Well_Type,MATCH(1,IF($B19=Well_Data_NK_Upcoming!RIG,IF(Well_Data_NK_Upcoming!Auto_Update_Rig_Schedule=3,1)),0)))))</f>
        <v>SA12-UB-NW-Prod</v>
      </c>
      <c r="W19" s="418">
        <f t="shared" ca="1" si="6"/>
        <v>5</v>
      </c>
      <c r="X19" s="419">
        <f t="shared" ca="1" si="18"/>
        <v>42341</v>
      </c>
      <c r="Y19" s="430">
        <f t="shared" ca="1" si="7"/>
        <v>42411</v>
      </c>
      <c r="Z19" s="371">
        <f ca="1">IF(T19="","",INDEX(Well_Data_NK_Upcoming!Planned_Spud_to_RR,MATCH(RigScheduleTest!U19,Well_Data_NK_Upcoming!Concatenated_Wellname,0)))</f>
        <v>70</v>
      </c>
      <c r="AA19" s="371" t="str">
        <f t="array" aca="1" ref="AA19" ca="1">IF(ISERROR(INDEX(Well_Data_NK_Upcoming!Concatenated_Wellname,MATCH(1,IF($B19=Well_Data_NK_Upcoming!RIG,IF(Well_Data_NK_Upcoming!Auto_Update_Rig_Schedule=4,1)),0))),"",(INDEX(Well_Data_NK_Upcoming!Concatenated_Wellname,MATCH(1,IF($B19=Well_Data_NK_Upcoming!RIG,IF(Well_Data_NK_Upcoming!Auto_Update_Rig_Schedule=4,1)),0))))</f>
        <v>SA25-SA-MA-Prod-NW-HZ</v>
      </c>
      <c r="AB19" s="417" t="str">
        <f t="array" aca="1" ref="AB19" ca="1">IF(Z19="","",IF(ISERROR(INDEX(Well_Data_NK_Upcoming!Well_Type,MATCH(1,IF($B19=Well_Data_NK_Upcoming!RIG,IF(Well_Data_NK_Upcoming!Auto_Update_Rig_Schedule=4,1)),0))),"",(INDEX(Well_Data_NK_Upcoming!Well_Type,MATCH(1,IF($B19=Well_Data_NK_Upcoming!RIG,IF(Well_Data_NK_Upcoming!Auto_Update_Rig_Schedule=4,1)),0)))))</f>
        <v>SA25-MA-NW-Prod</v>
      </c>
      <c r="AC19" s="418">
        <f t="shared" ca="1" si="19"/>
        <v>5</v>
      </c>
      <c r="AD19" s="419">
        <f t="shared" ca="1" si="20"/>
        <v>42416</v>
      </c>
      <c r="AE19" s="430">
        <f t="shared" ca="1" si="8"/>
        <v>42486</v>
      </c>
      <c r="AF19" s="372">
        <f ca="1">IF(Z19="","",INDEX(Well_Data_NK_Upcoming!Planned_Spud_to_RR,MATCH(RigScheduleTest!AA19,Well_Data_NK_Upcoming!Concatenated_Wellname,0)))</f>
        <v>70</v>
      </c>
      <c r="AG19" s="372" t="str">
        <f t="array" aca="1" ref="AG19" ca="1">IF(ISERROR(INDEX(Well_Data_NK_Upcoming!Concatenated_Wellname,MATCH(1,IF($B19=Well_Data_NK_Upcoming!RIG,IF(Well_Data_NK_Upcoming!Auto_Update_Rig_Schedule=5,1)),0))),"",(INDEX(Well_Data_NK_Upcoming!Concatenated_Wellname,MATCH(1,IF($B19=Well_Data_NK_Upcoming!RIG,IF(Well_Data_NK_Upcoming!Auto_Update_Rig_Schedule=5,1)),0))))</f>
        <v>SA43-SA-MA-Prod-NW-HZ</v>
      </c>
      <c r="AH19" s="417" t="str">
        <f t="array" aca="1" ref="AH19" ca="1">IF(AF19="","",IF(ISERROR(INDEX(Well_Data_NK_Upcoming!Well_Type,MATCH(1,IF($B19=Well_Data_NK_Upcoming!RIG,IF(Well_Data_NK_Upcoming!Auto_Update_Rig_Schedule=5,1)),0))),"",(INDEX(Well_Data_NK_Upcoming!Well_Type,MATCH(1,IF($B19=Well_Data_NK_Upcoming!RIG,IF(Well_Data_NK_Upcoming!Auto_Update_Rig_Schedule=5,1)),0)))))</f>
        <v>SA43-MA-NW-Prod</v>
      </c>
      <c r="AI19" s="418">
        <f t="shared" ca="1" si="21"/>
        <v>5</v>
      </c>
      <c r="AJ19" s="419">
        <f t="shared" ca="1" si="22"/>
        <v>42491</v>
      </c>
      <c r="AK19" s="430">
        <f t="shared" ca="1" si="9"/>
        <v>42561</v>
      </c>
      <c r="AL19" s="372">
        <f ca="1">IF(Z19="","",INDEX(Well_Data_NK_Upcoming!Planned_Spud_to_RR,MATCH(RigScheduleTest!AG19,Well_Data_NK_Upcoming!Concatenated_Wellname,0)))</f>
        <v>70</v>
      </c>
      <c r="AM19" s="372" t="str">
        <f t="array" aca="1" ref="AM19" ca="1">IF(ISERROR(INDEX(Well_Data_NK_Upcoming!Concatenated_Wellname,MATCH(1,IF($B19=Well_Data_NK_Upcoming!RIG,IF(Well_Data_NK_Upcoming!Auto_Update_Rig_Schedule=6,1)),0))),"",(INDEX(Well_Data_NK_Upcoming!Concatenated_Wellname,MATCH(1,IF($B19=Well_Data_NK_Upcoming!RIG,IF(Well_Data_NK_Upcoming!Auto_Update_Rig_Schedule=6,1)),0))))</f>
        <v>RA32-RA-LB-Prod-NW-SL-SLB</v>
      </c>
      <c r="AN19" s="417" t="str">
        <f t="array" aca="1" ref="AN19" ca="1">IF(AL19="","",IF(ISERROR(INDEX(Well_Data_NK_Upcoming!Well_Type,MATCH(1,IF($B19=Well_Data_NK_Upcoming!RIG,IF(Well_Data_NK_Upcoming!Auto_Update_Rig_Schedule=6,1)),0))),"",(INDEX(Well_Data_NK_Upcoming!Well_Type,MATCH(1,IF($B19=Well_Data_NK_Upcoming!RIG,IF(Well_Data_NK_Upcoming!Auto_Update_Rig_Schedule=6,1)),0)))))</f>
        <v>RA32-LB-NW-Prod</v>
      </c>
      <c r="AO19" s="418">
        <f t="shared" ca="1" si="23"/>
        <v>5</v>
      </c>
      <c r="AP19" s="419">
        <f t="shared" ca="1" si="24"/>
        <v>42566</v>
      </c>
      <c r="AQ19" s="430">
        <f t="shared" ca="1" si="10"/>
        <v>42636</v>
      </c>
      <c r="AR19" s="373">
        <f ca="1">IF(AL19="","",INDEX(Well_Data_NK_Upcoming!Planned_Spud_to_RR,MATCH(RigScheduleTest!AM19,Well_Data_NK_Upcoming!Concatenated_Wellname,0)))</f>
        <v>70</v>
      </c>
      <c r="AS19" s="417" t="str">
        <f t="array" aca="1" ref="AS19" ca="1">IF(ISERROR(INDEX(Well_Data_NK_Upcoming!Concatenated_Wellname,MATCH(1,IF($B19=Well_Data_NK_Upcoming!RIG,IF(Well_Data_NK_Upcoming!Auto_Update_Rig_Schedule=7,1)),0))),"",(INDEX(Well_Data_NK_Upcoming!Concatenated_Wellname,MATCH(1,IF($B19=Well_Data_NK_Upcoming!RIG,IF(Well_Data_NK_Upcoming!Auto_Update_Rig_Schedule=7,1)),0))))</f>
        <v>RA39-RA-MA-Prod-NW-HZ-SLB</v>
      </c>
      <c r="AT19" s="417" t="str">
        <f t="array" aca="1" ref="AT19" ca="1">IF(AR19="","",IF(ISERROR(INDEX(Well_Data_NK_Upcoming!Well_Type,MATCH(1,IF($B19=Well_Data_NK_Upcoming!RIG,IF(Well_Data_NK_Upcoming!Auto_Update_Rig_Schedule=7,1)),0))),"",(INDEX(Well_Data_NK_Upcoming!Well_Type,MATCH(1,IF($B19=Well_Data_NK_Upcoming!RIG,IF(Well_Data_NK_Upcoming!Auto_Update_Rig_Schedule=7,1)),0)))))</f>
        <v>RA39-MA-NW-Prod</v>
      </c>
      <c r="AU19" s="418">
        <f t="shared" ca="1" si="25"/>
        <v>5</v>
      </c>
      <c r="AV19" s="419">
        <f t="shared" ca="1" si="26"/>
        <v>42641</v>
      </c>
      <c r="AW19" s="430">
        <f t="shared" ca="1" si="11"/>
        <v>42711</v>
      </c>
      <c r="AX19" s="342">
        <f ca="1">IF(AR19="","",INDEX(Well_Data_NK_Upcoming!Planned_Spud_to_RR,MATCH(RigScheduleTest!AS19,Well_Data_NK_Upcoming!Concatenated_Wellname,0)))</f>
        <v>70</v>
      </c>
      <c r="AY19" s="417" t="str">
        <f t="array" aca="1" ref="AY19" ca="1">IF(ISERROR(INDEX(Well_Data_NK_Upcoming!Concatenated_Wellname,MATCH(1,IF($B19=Well_Data_NK_Upcoming!RIG,IF(Well_Data_NK_Upcoming!Auto_Update_Rig_Schedule=8,1)),0))),"",(INDEX(Well_Data_NK_Upcoming!Concatenated_Wellname,MATCH(1,IF($B19=Well_Data_NK_Upcoming!RIG,IF(Well_Data_NK_Upcoming!Auto_Update_Rig_Schedule=8,1)),0))))</f>
        <v>SA60-SA-MA-Inj-ST-SL</v>
      </c>
      <c r="AZ19" s="417" t="str">
        <f t="array" aca="1" ref="AZ19" ca="1">IF(AX19="","",IF(ISERROR(INDEX(Well_Data_NK_Upcoming!Well_Type,MATCH(1,IF($B19=Well_Data_NK_Upcoming!RIG,IF(Well_Data_NK_Upcoming!Auto_Update_Rig_Schedule=8,1)),0))),"",(INDEX(Well_Data_NK_Upcoming!Well_Type,MATCH(1,IF($B19=Well_Data_NK_Upcoming!RIG,IF(Well_Data_NK_Upcoming!Auto_Update_Rig_Schedule=8,1)),0)))))</f>
        <v>SA60-MA-ST-Inj</v>
      </c>
      <c r="BA19" s="418">
        <f t="shared" ca="1" si="27"/>
        <v>5</v>
      </c>
      <c r="BB19" s="419">
        <f t="shared" ca="1" si="28"/>
        <v>42716</v>
      </c>
      <c r="BC19" s="430">
        <f t="shared" ca="1" si="12"/>
        <v>42772</v>
      </c>
      <c r="BD19" s="342">
        <f ca="1">IF(AX19="","",INDEX(Well_Data_NK_Upcoming!Planned_Spud_to_RR,MATCH(RigScheduleTest!AY19,Well_Data_NK_Upcoming!Concatenated_Wellname,0)))</f>
        <v>56</v>
      </c>
      <c r="BE19" s="417" t="str">
        <f t="array" aca="1" ref="BE19" ca="1">IF(ISERROR(INDEX(Well_Data_NK_Upcoming!Concatenated_Wellname,MATCH(1,IF($B19=Well_Data_NK_Upcoming!RIG,IF(Well_Data_NK_Upcoming!Auto_Update_Rig_Schedule=9,1)),0))),"",(INDEX(Well_Data_NK_Upcoming!Concatenated_Wellname,MATCH(1,IF($B19=Well_Data_NK_Upcoming!RIG,IF(Well_Data_NK_Upcoming!Auto_Update_Rig_Schedule=9,1)),0))))</f>
        <v/>
      </c>
      <c r="BF19" s="417" t="str">
        <f t="array" aca="1" ref="BF19" ca="1">IF(BD19="","",IF(ISERROR(INDEX(Well_Data_NK_Upcoming!Well_Type,MATCH(1,IF($B19=Well_Data_NK_Upcoming!RIG,IF(Well_Data_NK_Upcoming!Auto_Update_Rig_Schedule=9,1)),0))),"",(INDEX(Well_Data_NK_Upcoming!Well_Type,MATCH(1,IF($B19=Well_Data_NK_Upcoming!RIG,IF(Well_Data_NK_Upcoming!Auto_Update_Rig_Schedule=9,1)),0)))))</f>
        <v/>
      </c>
      <c r="BG19" s="418" t="str">
        <f t="shared" ca="1" si="29"/>
        <v/>
      </c>
      <c r="BH19" s="419" t="str">
        <f t="shared" ca="1" si="30"/>
        <v/>
      </c>
      <c r="BI19" s="430" t="str">
        <f t="shared" ca="1" si="13"/>
        <v/>
      </c>
      <c r="BJ19" s="342" t="str">
        <f ca="1">IF(BD19="","",INDEX(Well_Data_NK_Upcoming!Planned_Spud_to_RR,MATCH(RigScheduleTest!BE19,Well_Data_NK_Upcoming!Concatenated_Wellname,0)))</f>
        <v/>
      </c>
      <c r="BK19" s="417" t="str">
        <f t="array" aca="1" ref="BK19" ca="1">IF(ISERROR(INDEX(Well_Data_NK_Upcoming!Concatenated_Wellname,MATCH(1,IF($B19=Well_Data_NK_Upcoming!RIG,IF(Well_Data_NK_Upcoming!Auto_Update_Rig_Schedule=10,1)),0))),"",(INDEX(Well_Data_NK_Upcoming!Concatenated_Wellname,MATCH(1,IF($B19=Well_Data_NK_Upcoming!RIG,IF(Well_Data_NK_Upcoming!Auto_Update_Rig_Schedule=10,1)),0))))</f>
        <v/>
      </c>
      <c r="BL19" s="417" t="str">
        <f t="array" aca="1" ref="BL19" ca="1">IF(BJ19="","",IF(ISERROR(INDEX(Well_Data_NK_Upcoming!Well_Type,MATCH(1,IF($B19=Well_Data_NK_Upcoming!RIG,IF(Well_Data_NK_Upcoming!Auto_Update_Rig_Schedule=10,1)),0))),"",(INDEX(Well_Data_NK_Upcoming!Well_Type,MATCH(1,IF($B19=Well_Data_NK_Upcoming!RIG,IF(Well_Data_NK_Upcoming!Auto_Update_Rig_Schedule=10,1)),0)))))</f>
        <v/>
      </c>
      <c r="BM19" s="418" t="str">
        <f t="shared" ca="1" si="31"/>
        <v/>
      </c>
      <c r="BN19" s="419" t="str">
        <f t="shared" ca="1" si="32"/>
        <v/>
      </c>
      <c r="BO19" s="430" t="str">
        <f t="shared" ca="1" si="14"/>
        <v/>
      </c>
      <c r="BP19" s="342" t="str">
        <f ca="1">IF(BJ19="","",INDEX(Well_Data_NK_Upcoming!Planned_Spud_to_RR,MATCH(RigScheduleTest!BK19,Well_Data_NK_Upcoming!Concatenated_Wellname,0)))</f>
        <v/>
      </c>
    </row>
    <row r="20" spans="1:68" ht="15" x14ac:dyDescent="0.25">
      <c r="A20" s="429" t="str">
        <f t="shared" ca="1" si="0"/>
        <v>SA-0152-SP-288</v>
      </c>
      <c r="B20" s="425" t="s">
        <v>1415</v>
      </c>
      <c r="C20" s="340" t="str">
        <f t="array" aca="1" ref="C20" ca="1">IF(ISERROR(INDEX(Well_Data_NK_Upcoming!WELL,MATCH(1,IF($B20=Well_Data_NK_Upcoming!RIG,IF(Well_Data_NK_Upcoming!Auto_Update_Rig_Schedule=0,1)),0))),"",(INDEX(Well_Data_NK_Upcoming!WELL,MATCH(1,IF($B20=Well_Data_NK_Upcoming!RIG,IF(Well_Data_NK_Upcoming!Auto_Update_Rig_Schedule=0,1)),0))))</f>
        <v>SA-0152</v>
      </c>
      <c r="D20" s="424" t="str">
        <f ca="1">INDEX(Well_Data_NK_Upcoming!Concatenated_Wellname,MATCH(RigScheduleTest!A20,Well_Data_NK_Upcoming!Well_Rig,0))</f>
        <v>SA-0152-SA-MA-Prod-ST-HZ-SLB</v>
      </c>
      <c r="E20" s="423" t="str">
        <f ca="1">INDEX(Well_Data_NK_Upcoming!Well_Type,MATCH(RigScheduleTest!A20,Well_Data_NK_Upcoming!Well_Rig,0))</f>
        <v>SA-0152-MA-ST-Prod</v>
      </c>
      <c r="F20" s="341">
        <f t="shared" si="15"/>
        <v>42233</v>
      </c>
      <c r="G20" s="367">
        <f ca="1">IF(ISERROR(INDEX(Well_Data_NK_Upcoming!Updated_Drill_Days,MATCH(RigScheduleTest!A20,Well_Data_NK_Upcoming!Well_Rig,0))),"",(INDEX(Well_Data_NK_Upcoming!Updated_Drill_Days,MATCH(RigScheduleTest!A20,Well_Data_NK_Upcoming!Well_Rig,0))))</f>
        <v>42</v>
      </c>
      <c r="H20" s="422">
        <f t="shared" ca="1" si="33"/>
        <v>42275</v>
      </c>
      <c r="I20" s="372" t="str">
        <f t="array" aca="1" ref="I20" ca="1">IF(ISERROR(INDEX(Well_Data_NK_Upcoming!Concatenated_Wellname,MATCH(1,IF($B20=Well_Data_NK_Upcoming!RIG,IF(Well_Data_NK_Upcoming!Auto_Update_Rig_Schedule=1,1)),0))),"",(INDEX(Well_Data_NK_Upcoming!Concatenated_Wellname,MATCH(1,IF($B20=Well_Data_NK_Upcoming!RIG,IF(Well_Data_NK_Upcoming!Auto_Update_Rig_Schedule=1,1)),0))))</f>
        <v>RA-0575-RA-LB-Prod-NW-SL-WFD</v>
      </c>
      <c r="J20" s="417" t="str">
        <f t="array" aca="1" ref="J20" ca="1">IF(G20="","",IF(ISERROR(INDEX(Well_Data_NK_Upcoming!Well_Type,MATCH(1,IF($B20=Well_Data_NK_Upcoming!RIG,IF(Well_Data_NK_Upcoming!Auto_Update_Rig_Schedule=1,1)),0))),"",(INDEX(Well_Data_NK_Upcoming!Well_Type,MATCH(1,IF($B20=Well_Data_NK_Upcoming!RIG,IF(Well_Data_NK_Upcoming!Auto_Update_Rig_Schedule=1,1)),0)))))</f>
        <v>RA-0575-LB-NW-Prod</v>
      </c>
      <c r="K20" s="418">
        <f t="shared" ca="1" si="2"/>
        <v>5</v>
      </c>
      <c r="L20" s="419">
        <f t="shared" ca="1" si="16"/>
        <v>42280</v>
      </c>
      <c r="M20" s="430">
        <f t="shared" ca="1" si="34"/>
        <v>42350</v>
      </c>
      <c r="N20" s="373">
        <f ca="1">IF(G20="","",INDEX(Well_Data_NK_Upcoming!Planned_Spud_to_RR,MATCH(RigScheduleTest!I20,Well_Data_NK_Upcoming!Concatenated_Wellname,0)))</f>
        <v>70</v>
      </c>
      <c r="O20" s="373" t="str">
        <f t="array" aca="1" ref="O20" ca="1">IF(ISERROR(INDEX(Well_Data_NK_Upcoming!Concatenated_Wellname,MATCH(1,IF($B20=Well_Data_NK_Upcoming!RIG,IF(Well_Data_NK_Upcoming!Auto_Update_Rig_Schedule=2,1)),0))),"",(INDEX(Well_Data_NK_Upcoming!Concatenated_Wellname,MATCH(1,IF($B20=Well_Data_NK_Upcoming!RIG,IF(Well_Data_NK_Upcoming!Auto_Update_Rig_Schedule=2,1)),0))))</f>
        <v>SA-0060-SA-MA-Prod-ST-HZ-SLB</v>
      </c>
      <c r="P20" s="417" t="str">
        <f t="array" aca="1" ref="P20" ca="1">IF(N20="","",IF(ISERROR(INDEX(Well_Data_NK_Upcoming!Well_Type,MATCH(1,IF($B20=Well_Data_NK_Upcoming!RIG,IF(Well_Data_NK_Upcoming!Auto_Update_Rig_Schedule=2,1)),0))),"",(INDEX(Well_Data_NK_Upcoming!Well_Type,MATCH(1,IF($B20=Well_Data_NK_Upcoming!RIG,IF(Well_Data_NK_Upcoming!Auto_Update_Rig_Schedule=2,1)),0)))))</f>
        <v>SA-0060-MA-ST-Prod</v>
      </c>
      <c r="Q20" s="418">
        <f t="shared" ca="1" si="4"/>
        <v>5</v>
      </c>
      <c r="R20" s="419">
        <f t="shared" ca="1" si="17"/>
        <v>42355</v>
      </c>
      <c r="S20" s="430">
        <f t="shared" ca="1" si="5"/>
        <v>42411</v>
      </c>
      <c r="T20" s="372">
        <f ca="1">IF(N20="","",INDEX(Well_Data_NK_Upcoming!Planned_Spud_to_RR,MATCH(RigScheduleTest!O20,Well_Data_NK_Upcoming!Concatenated_Wellname,0)))</f>
        <v>56</v>
      </c>
      <c r="U20" s="372" t="str">
        <f t="array" aca="1" ref="U20" ca="1">IF(ISERROR(INDEX(Well_Data_NK_Upcoming!Concatenated_Wellname,MATCH(1,IF($B20=Well_Data_NK_Upcoming!RIG,IF(Well_Data_NK_Upcoming!Auto_Update_Rig_Schedule=3,1)),0))),"",(INDEX(Well_Data_NK_Upcoming!Concatenated_Wellname,MATCH(1,IF($B20=Well_Data_NK_Upcoming!RIG,IF(Well_Data_NK_Upcoming!Auto_Update_Rig_Schedule=3,1)),0))))</f>
        <v>RA12-RA-LB-Prod-NW-HZ-SLB</v>
      </c>
      <c r="V20" s="417" t="str">
        <f t="array" aca="1" ref="V20" ca="1">IF(T20="","",IF(ISERROR(INDEX(Well_Data_NK_Upcoming!Well_Type,MATCH(1,IF($B20=Well_Data_NK_Upcoming!RIG,IF(Well_Data_NK_Upcoming!Auto_Update_Rig_Schedule=3,1)),0))),"",(INDEX(Well_Data_NK_Upcoming!Well_Type,MATCH(1,IF($B20=Well_Data_NK_Upcoming!RIG,IF(Well_Data_NK_Upcoming!Auto_Update_Rig_Schedule=3,1)),0)))))</f>
        <v>RA12-LB-NW-Prod</v>
      </c>
      <c r="W20" s="418">
        <f t="shared" ca="1" si="6"/>
        <v>5</v>
      </c>
      <c r="X20" s="419">
        <f t="shared" ca="1" si="18"/>
        <v>42416</v>
      </c>
      <c r="Y20" s="430">
        <f t="shared" ca="1" si="7"/>
        <v>42486</v>
      </c>
      <c r="Z20" s="373">
        <f ca="1">IF(T20="","",INDEX(Well_Data_NK_Upcoming!Planned_Spud_to_RR,MATCH(RigScheduleTest!U20,Well_Data_NK_Upcoming!Concatenated_Wellname,0)))</f>
        <v>70</v>
      </c>
      <c r="AA20" s="373" t="str">
        <f t="array" aca="1" ref="AA20" ca="1">IF(ISERROR(INDEX(Well_Data_NK_Upcoming!Concatenated_Wellname,MATCH(1,IF($B20=Well_Data_NK_Upcoming!RIG,IF(Well_Data_NK_Upcoming!Auto_Update_Rig_Schedule=4,1)),0))),"",(INDEX(Well_Data_NK_Upcoming!Concatenated_Wellname,MATCH(1,IF($B20=Well_Data_NK_Upcoming!RIG,IF(Well_Data_NK_Upcoming!Auto_Update_Rig_Schedule=4,1)),0))))</f>
        <v>SA26-SA-MA-Prod-NW-HZ</v>
      </c>
      <c r="AB20" s="417" t="str">
        <f t="array" aca="1" ref="AB20" ca="1">IF(Z20="","",IF(ISERROR(INDEX(Well_Data_NK_Upcoming!Well_Type,MATCH(1,IF($B20=Well_Data_NK_Upcoming!RIG,IF(Well_Data_NK_Upcoming!Auto_Update_Rig_Schedule=4,1)),0))),"",(INDEX(Well_Data_NK_Upcoming!Well_Type,MATCH(1,IF($B20=Well_Data_NK_Upcoming!RIG,IF(Well_Data_NK_Upcoming!Auto_Update_Rig_Schedule=4,1)),0)))))</f>
        <v>SA26-MA-NW-Prod</v>
      </c>
      <c r="AC20" s="418">
        <f t="shared" ca="1" si="19"/>
        <v>5</v>
      </c>
      <c r="AD20" s="419">
        <f t="shared" ca="1" si="20"/>
        <v>42491</v>
      </c>
      <c r="AE20" s="430">
        <f t="shared" ca="1" si="8"/>
        <v>42561</v>
      </c>
      <c r="AF20" s="372">
        <f ca="1">IF(Z20="","",INDEX(Well_Data_NK_Upcoming!Planned_Spud_to_RR,MATCH(RigScheduleTest!AA20,Well_Data_NK_Upcoming!Concatenated_Wellname,0)))</f>
        <v>70</v>
      </c>
      <c r="AG20" s="372" t="str">
        <f t="array" aca="1" ref="AG20" ca="1">IF(ISERROR(INDEX(Well_Data_NK_Upcoming!Concatenated_Wellname,MATCH(1,IF($B20=Well_Data_NK_Upcoming!RIG,IF(Well_Data_NK_Upcoming!Auto_Update_Rig_Schedule=5,1)),0))),"",(INDEX(Well_Data_NK_Upcoming!Concatenated_Wellname,MATCH(1,IF($B20=Well_Data_NK_Upcoming!RIG,IF(Well_Data_NK_Upcoming!Auto_Update_Rig_Schedule=5,1)),0))))</f>
        <v>SA44-SA-MA-Prod-NW-HZ</v>
      </c>
      <c r="AH20" s="417" t="str">
        <f t="array" aca="1" ref="AH20" ca="1">IF(AF20="","",IF(ISERROR(INDEX(Well_Data_NK_Upcoming!Well_Type,MATCH(1,IF($B20=Well_Data_NK_Upcoming!RIG,IF(Well_Data_NK_Upcoming!Auto_Update_Rig_Schedule=5,1)),0))),"",(INDEX(Well_Data_NK_Upcoming!Well_Type,MATCH(1,IF($B20=Well_Data_NK_Upcoming!RIG,IF(Well_Data_NK_Upcoming!Auto_Update_Rig_Schedule=5,1)),0)))))</f>
        <v>SA44-MA-NW-Prod</v>
      </c>
      <c r="AI20" s="418">
        <f t="shared" ca="1" si="21"/>
        <v>5</v>
      </c>
      <c r="AJ20" s="419">
        <f t="shared" ca="1" si="22"/>
        <v>42566</v>
      </c>
      <c r="AK20" s="430">
        <f t="shared" ca="1" si="9"/>
        <v>42636</v>
      </c>
      <c r="AL20" s="372">
        <f ca="1">IF(Z20="","",INDEX(Well_Data_NK_Upcoming!Planned_Spud_to_RR,MATCH(RigScheduleTest!AG20,Well_Data_NK_Upcoming!Concatenated_Wellname,0)))</f>
        <v>70</v>
      </c>
      <c r="AM20" s="372" t="str">
        <f t="array" aca="1" ref="AM20" ca="1">IF(ISERROR(INDEX(Well_Data_NK_Upcoming!Concatenated_Wellname,MATCH(1,IF($B20=Well_Data_NK_Upcoming!RIG,IF(Well_Data_NK_Upcoming!Auto_Update_Rig_Schedule=6,1)),0))),"",(INDEX(Well_Data_NK_Upcoming!Concatenated_Wellname,MATCH(1,IF($B20=Well_Data_NK_Upcoming!RIG,IF(Well_Data_NK_Upcoming!Auto_Update_Rig_Schedule=6,1)),0))))</f>
        <v>RA33-RA-LB-Prod-NW-SL-SLB</v>
      </c>
      <c r="AN20" s="417" t="str">
        <f t="array" aca="1" ref="AN20" ca="1">IF(AL20="","",IF(ISERROR(INDEX(Well_Data_NK_Upcoming!Well_Type,MATCH(1,IF($B20=Well_Data_NK_Upcoming!RIG,IF(Well_Data_NK_Upcoming!Auto_Update_Rig_Schedule=6,1)),0))),"",(INDEX(Well_Data_NK_Upcoming!Well_Type,MATCH(1,IF($B20=Well_Data_NK_Upcoming!RIG,IF(Well_Data_NK_Upcoming!Auto_Update_Rig_Schedule=6,1)),0)))))</f>
        <v>RA33-LB-NW-Prod</v>
      </c>
      <c r="AO20" s="418">
        <f t="shared" ca="1" si="23"/>
        <v>5</v>
      </c>
      <c r="AP20" s="419">
        <f t="shared" ca="1" si="24"/>
        <v>42641</v>
      </c>
      <c r="AQ20" s="430">
        <f t="shared" ca="1" si="10"/>
        <v>42711</v>
      </c>
      <c r="AR20" s="373">
        <f ca="1">IF(AL20="","",INDEX(Well_Data_NK_Upcoming!Planned_Spud_to_RR,MATCH(RigScheduleTest!AM20,Well_Data_NK_Upcoming!Concatenated_Wellname,0)))</f>
        <v>70</v>
      </c>
      <c r="AS20" s="417" t="str">
        <f t="array" aca="1" ref="AS20" ca="1">IF(ISERROR(INDEX(Well_Data_NK_Upcoming!Concatenated_Wellname,MATCH(1,IF($B20=Well_Data_NK_Upcoming!RIG,IF(Well_Data_NK_Upcoming!Auto_Update_Rig_Schedule=7,1)),0))),"",(INDEX(Well_Data_NK_Upcoming!Concatenated_Wellname,MATCH(1,IF($B20=Well_Data_NK_Upcoming!RIG,IF(Well_Data_NK_Upcoming!Auto_Update_Rig_Schedule=7,1)),0))))</f>
        <v>RA40-RA-MA-Prod-NW-HZ-SLB</v>
      </c>
      <c r="AT20" s="417" t="str">
        <f t="array" aca="1" ref="AT20" ca="1">IF(AR20="","",IF(ISERROR(INDEX(Well_Data_NK_Upcoming!Well_Type,MATCH(1,IF($B20=Well_Data_NK_Upcoming!RIG,IF(Well_Data_NK_Upcoming!Auto_Update_Rig_Schedule=7,1)),0))),"",(INDEX(Well_Data_NK_Upcoming!Well_Type,MATCH(1,IF($B20=Well_Data_NK_Upcoming!RIG,IF(Well_Data_NK_Upcoming!Auto_Update_Rig_Schedule=7,1)),0)))))</f>
        <v>RA40-MA-NW-Prod</v>
      </c>
      <c r="AU20" s="418">
        <f t="shared" ca="1" si="25"/>
        <v>5</v>
      </c>
      <c r="AV20" s="419">
        <f t="shared" ca="1" si="26"/>
        <v>42716</v>
      </c>
      <c r="AW20" s="430">
        <f t="shared" ca="1" si="11"/>
        <v>42786</v>
      </c>
      <c r="AX20" s="342">
        <f ca="1">IF(AR20="","",INDEX(Well_Data_NK_Upcoming!Planned_Spud_to_RR,MATCH(RigScheduleTest!AS20,Well_Data_NK_Upcoming!Concatenated_Wellname,0)))</f>
        <v>70</v>
      </c>
      <c r="AY20" s="417" t="str">
        <f t="array" aca="1" ref="AY20" ca="1">IF(ISERROR(INDEX(Well_Data_NK_Upcoming!Concatenated_Wellname,MATCH(1,IF($B20=Well_Data_NK_Upcoming!RIG,IF(Well_Data_NK_Upcoming!Auto_Update_Rig_Schedule=8,1)),0))),"",(INDEX(Well_Data_NK_Upcoming!Concatenated_Wellname,MATCH(1,IF($B20=Well_Data_NK_Upcoming!RIG,IF(Well_Data_NK_Upcoming!Auto_Update_Rig_Schedule=8,1)),0))))</f>
        <v>SA61-SA-MA-Observation-NW-V</v>
      </c>
      <c r="AZ20" s="417" t="str">
        <f t="array" aca="1" ref="AZ20" ca="1">IF(AX20="","",IF(ISERROR(INDEX(Well_Data_NK_Upcoming!Well_Type,MATCH(1,IF($B20=Well_Data_NK_Upcoming!RIG,IF(Well_Data_NK_Upcoming!Auto_Update_Rig_Schedule=8,1)),0))),"",(INDEX(Well_Data_NK_Upcoming!Well_Type,MATCH(1,IF($B20=Well_Data_NK_Upcoming!RIG,IF(Well_Data_NK_Upcoming!Auto_Update_Rig_Schedule=8,1)),0)))))</f>
        <v>SA61-MA-NW-Observation</v>
      </c>
      <c r="BA20" s="418" t="str">
        <f t="shared" ca="1" si="27"/>
        <v/>
      </c>
      <c r="BB20" s="419" t="str">
        <f t="shared" ca="1" si="28"/>
        <v/>
      </c>
      <c r="BC20" s="430" t="str">
        <f t="shared" ca="1" si="12"/>
        <v/>
      </c>
      <c r="BD20" s="342" t="str">
        <f ca="1">IF(AX20="","",INDEX(Well_Data_NK_Upcoming!Planned_Spud_to_RR,MATCH(RigScheduleTest!AY20,Well_Data_NK_Upcoming!Concatenated_Wellname,0)))</f>
        <v/>
      </c>
      <c r="BE20" s="417" t="str">
        <f t="array" aca="1" ref="BE20" ca="1">IF(ISERROR(INDEX(Well_Data_NK_Upcoming!Concatenated_Wellname,MATCH(1,IF($B20=Well_Data_NK_Upcoming!RIG,IF(Well_Data_NK_Upcoming!Auto_Update_Rig_Schedule=9,1)),0))),"",(INDEX(Well_Data_NK_Upcoming!Concatenated_Wellname,MATCH(1,IF($B20=Well_Data_NK_Upcoming!RIG,IF(Well_Data_NK_Upcoming!Auto_Update_Rig_Schedule=9,1)),0))))</f>
        <v/>
      </c>
      <c r="BF20" s="417" t="str">
        <f t="array" aca="1" ref="BF20" ca="1">IF(BD20="","",IF(ISERROR(INDEX(Well_Data_NK_Upcoming!Well_Type,MATCH(1,IF($B20=Well_Data_NK_Upcoming!RIG,IF(Well_Data_NK_Upcoming!Auto_Update_Rig_Schedule=9,1)),0))),"",(INDEX(Well_Data_NK_Upcoming!Well_Type,MATCH(1,IF($B20=Well_Data_NK_Upcoming!RIG,IF(Well_Data_NK_Upcoming!Auto_Update_Rig_Schedule=9,1)),0)))))</f>
        <v/>
      </c>
      <c r="BG20" s="418" t="str">
        <f t="shared" ca="1" si="29"/>
        <v/>
      </c>
      <c r="BH20" s="419" t="str">
        <f t="shared" ca="1" si="30"/>
        <v/>
      </c>
      <c r="BI20" s="430" t="str">
        <f t="shared" ca="1" si="13"/>
        <v/>
      </c>
      <c r="BJ20" s="342" t="str">
        <f ca="1">IF(BD20="","",INDEX(Well_Data_NK_Upcoming!Planned_Spud_to_RR,MATCH(RigScheduleTest!BE20,Well_Data_NK_Upcoming!Concatenated_Wellname,0)))</f>
        <v/>
      </c>
      <c r="BK20" s="417" t="str">
        <f t="array" aca="1" ref="BK20" ca="1">IF(ISERROR(INDEX(Well_Data_NK_Upcoming!Concatenated_Wellname,MATCH(1,IF($B20=Well_Data_NK_Upcoming!RIG,IF(Well_Data_NK_Upcoming!Auto_Update_Rig_Schedule=10,1)),0))),"",(INDEX(Well_Data_NK_Upcoming!Concatenated_Wellname,MATCH(1,IF($B20=Well_Data_NK_Upcoming!RIG,IF(Well_Data_NK_Upcoming!Auto_Update_Rig_Schedule=10,1)),0))))</f>
        <v/>
      </c>
      <c r="BL20" s="417" t="str">
        <f t="array" aca="1" ref="BL20" ca="1">IF(BJ20="","",IF(ISERROR(INDEX(Well_Data_NK_Upcoming!Well_Type,MATCH(1,IF($B20=Well_Data_NK_Upcoming!RIG,IF(Well_Data_NK_Upcoming!Auto_Update_Rig_Schedule=10,1)),0))),"",(INDEX(Well_Data_NK_Upcoming!Well_Type,MATCH(1,IF($B20=Well_Data_NK_Upcoming!RIG,IF(Well_Data_NK_Upcoming!Auto_Update_Rig_Schedule=10,1)),0)))))</f>
        <v/>
      </c>
      <c r="BM20" s="418" t="str">
        <f t="shared" ca="1" si="31"/>
        <v/>
      </c>
      <c r="BN20" s="419" t="str">
        <f t="shared" ca="1" si="32"/>
        <v/>
      </c>
      <c r="BO20" s="430" t="str">
        <f t="shared" ca="1" si="14"/>
        <v/>
      </c>
      <c r="BP20" s="342" t="str">
        <f ca="1">IF(BJ20="","",INDEX(Well_Data_NK_Upcoming!Planned_Spud_to_RR,MATCH(RigScheduleTest!BK20,Well_Data_NK_Upcoming!Concatenated_Wellname,0)))</f>
        <v/>
      </c>
    </row>
    <row r="21" spans="1:68" ht="15" x14ac:dyDescent="0.25">
      <c r="A21" s="429" t="str">
        <f t="shared" ca="1" si="0"/>
        <v>SA-0582-SP-294</v>
      </c>
      <c r="B21" s="425" t="s">
        <v>734</v>
      </c>
      <c r="C21" s="340" t="str">
        <f t="array" aca="1" ref="C21" ca="1">IF(ISERROR(INDEX(Well_Data_NK_Upcoming!WELL,MATCH(1,IF($B21=Well_Data_NK_Upcoming!RIG,IF(Well_Data_NK_Upcoming!Auto_Update_Rig_Schedule=0,1)),0))),"",(INDEX(Well_Data_NK_Upcoming!WELL,MATCH(1,IF($B21=Well_Data_NK_Upcoming!RIG,IF(Well_Data_NK_Upcoming!Auto_Update_Rig_Schedule=0,1)),0))))</f>
        <v>SA-0582</v>
      </c>
      <c r="D21" s="424" t="str">
        <f ca="1">INDEX(Well_Data_NK_Upcoming!Concatenated_Wellname,MATCH(RigScheduleTest!A21,Well_Data_NK_Upcoming!Well_Rig,0))</f>
        <v>SA-0582-SA-LB-Prod-NW-HZ-SLB</v>
      </c>
      <c r="E21" s="423" t="str">
        <f ca="1">INDEX(Well_Data_NK_Upcoming!Well_Type,MATCH(RigScheduleTest!A21,Well_Data_NK_Upcoming!Well_Rig,0))</f>
        <v>SA-0582-LB-NW-Prod</v>
      </c>
      <c r="F21" s="341">
        <f t="shared" si="15"/>
        <v>42233</v>
      </c>
      <c r="G21" s="370">
        <f ca="1">IF(ISERROR(INDEX(Well_Data_NK_Upcoming!Updated_Drill_Days,MATCH(RigScheduleTest!A21,Well_Data_NK_Upcoming!Well_Rig,0))),"",(INDEX(Well_Data_NK_Upcoming!Updated_Drill_Days,MATCH(RigScheduleTest!A21,Well_Data_NK_Upcoming!Well_Rig,0))))</f>
        <v>10</v>
      </c>
      <c r="H21" s="422">
        <f t="shared" ca="1" si="33"/>
        <v>42243</v>
      </c>
      <c r="I21" s="372" t="str">
        <f t="array" aca="1" ref="I21" ca="1">IF(ISERROR(INDEX(Well_Data_NK_Upcoming!Concatenated_Wellname,MATCH(1,IF($B21=Well_Data_NK_Upcoming!RIG,IF(Well_Data_NK_Upcoming!Auto_Update_Rig_Schedule=1,1)),0))),"",(INDEX(Well_Data_NK_Upcoming!Concatenated_Wellname,MATCH(1,IF($B21=Well_Data_NK_Upcoming!RIG,IF(Well_Data_NK_Upcoming!Auto_Update_Rig_Schedule=1,1)),0))))</f>
        <v>SA-0586-SA-MA-Prod-NW-HZ-Baker</v>
      </c>
      <c r="J21" s="417" t="str">
        <f t="array" aca="1" ref="J21" ca="1">IF(G21="","",IF(ISERROR(INDEX(Well_Data_NK_Upcoming!Well_Type,MATCH(1,IF($B21=Well_Data_NK_Upcoming!RIG,IF(Well_Data_NK_Upcoming!Auto_Update_Rig_Schedule=1,1)),0))),"",(INDEX(Well_Data_NK_Upcoming!Well_Type,MATCH(1,IF($B21=Well_Data_NK_Upcoming!RIG,IF(Well_Data_NK_Upcoming!Auto_Update_Rig_Schedule=1,1)),0)))))</f>
        <v>SA-0586-MA-NW-Prod</v>
      </c>
      <c r="K21" s="418">
        <f t="shared" ca="1" si="2"/>
        <v>5</v>
      </c>
      <c r="L21" s="419">
        <f t="shared" ca="1" si="16"/>
        <v>42248</v>
      </c>
      <c r="M21" s="430">
        <f t="shared" ca="1" si="34"/>
        <v>42318</v>
      </c>
      <c r="N21" s="372">
        <f ca="1">IF(G21="","",INDEX(Well_Data_NK_Upcoming!Planned_Spud_to_RR,MATCH(RigScheduleTest!I21,Well_Data_NK_Upcoming!Concatenated_Wellname,0)))</f>
        <v>70</v>
      </c>
      <c r="O21" s="371" t="str">
        <f t="array" aca="1" ref="O21" ca="1">IF(ISERROR(INDEX(Well_Data_NK_Upcoming!Concatenated_Wellname,MATCH(1,IF($B21=Well_Data_NK_Upcoming!RIG,IF(Well_Data_NK_Upcoming!Auto_Update_Rig_Schedule=2,1)),0))),"",(INDEX(Well_Data_NK_Upcoming!Concatenated_Wellname,MATCH(1,IF($B21=Well_Data_NK_Upcoming!RIG,IF(Well_Data_NK_Upcoming!Auto_Update_Rig_Schedule=2,1)),0))))</f>
        <v>SA-0612-SA-UB-Prod-NW-SL</v>
      </c>
      <c r="P21" s="417" t="str">
        <f t="array" aca="1" ref="P21" ca="1">IF(N21="","",IF(ISERROR(INDEX(Well_Data_NK_Upcoming!Well_Type,MATCH(1,IF($B21=Well_Data_NK_Upcoming!RIG,IF(Well_Data_NK_Upcoming!Auto_Update_Rig_Schedule=2,1)),0))),"",(INDEX(Well_Data_NK_Upcoming!Well_Type,MATCH(1,IF($B21=Well_Data_NK_Upcoming!RIG,IF(Well_Data_NK_Upcoming!Auto_Update_Rig_Schedule=2,1)),0)))))</f>
        <v>SA-0612-UB-NW-Prod</v>
      </c>
      <c r="Q21" s="418">
        <f t="shared" ca="1" si="4"/>
        <v>5</v>
      </c>
      <c r="R21" s="419">
        <f t="shared" ca="1" si="17"/>
        <v>42323</v>
      </c>
      <c r="S21" s="430">
        <f t="shared" ca="1" si="5"/>
        <v>42393</v>
      </c>
      <c r="T21" s="371">
        <f ca="1">IF(N21="","",INDEX(Well_Data_NK_Upcoming!Planned_Spud_to_RR,MATCH(RigScheduleTest!O21,Well_Data_NK_Upcoming!Concatenated_Wellname,0)))</f>
        <v>70</v>
      </c>
      <c r="U21" s="372" t="str">
        <f t="array" aca="1" ref="U21" ca="1">IF(ISERROR(INDEX(Well_Data_NK_Upcoming!Concatenated_Wellname,MATCH(1,IF($B21=Well_Data_NK_Upcoming!RIG,IF(Well_Data_NK_Upcoming!Auto_Update_Rig_Schedule=3,1)),0))),"",(INDEX(Well_Data_NK_Upcoming!Concatenated_Wellname,MATCH(1,IF($B21=Well_Data_NK_Upcoming!RIG,IF(Well_Data_NK_Upcoming!Auto_Update_Rig_Schedule=3,1)),0))))</f>
        <v>SA4-SA-MA-Prod-NW-HZ</v>
      </c>
      <c r="V21" s="417" t="str">
        <f t="array" aca="1" ref="V21" ca="1">IF(T21="","",IF(ISERROR(INDEX(Well_Data_NK_Upcoming!Well_Type,MATCH(1,IF($B21=Well_Data_NK_Upcoming!RIG,IF(Well_Data_NK_Upcoming!Auto_Update_Rig_Schedule=3,1)),0))),"",(INDEX(Well_Data_NK_Upcoming!Well_Type,MATCH(1,IF($B21=Well_Data_NK_Upcoming!RIG,IF(Well_Data_NK_Upcoming!Auto_Update_Rig_Schedule=3,1)),0)))))</f>
        <v>SA4-MA-NW-Prod</v>
      </c>
      <c r="W21" s="418">
        <f t="shared" ca="1" si="6"/>
        <v>5</v>
      </c>
      <c r="X21" s="419">
        <f t="shared" ca="1" si="18"/>
        <v>42398</v>
      </c>
      <c r="Y21" s="430">
        <f t="shared" ca="1" si="7"/>
        <v>42468</v>
      </c>
      <c r="Z21" s="372">
        <f ca="1">IF(T21="","",INDEX(Well_Data_NK_Upcoming!Planned_Spud_to_RR,MATCH(RigScheduleTest!U21,Well_Data_NK_Upcoming!Concatenated_Wellname,0)))</f>
        <v>70</v>
      </c>
      <c r="AA21" s="372" t="str">
        <f t="array" aca="1" ref="AA21" ca="1">IF(ISERROR(INDEX(Well_Data_NK_Upcoming!Concatenated_Wellname,MATCH(1,IF($B21=Well_Data_NK_Upcoming!RIG,IF(Well_Data_NK_Upcoming!Auto_Update_Rig_Schedule=4,1)),0))),"",(INDEX(Well_Data_NK_Upcoming!Concatenated_Wellname,MATCH(1,IF($B21=Well_Data_NK_Upcoming!RIG,IF(Well_Data_NK_Upcoming!Auto_Update_Rig_Schedule=4,1)),0))))</f>
        <v>SA13-SA-MA-Prod-NW-HZ</v>
      </c>
      <c r="AB21" s="417" t="str">
        <f t="array" aca="1" ref="AB21" ca="1">IF(Z21="","",IF(ISERROR(INDEX(Well_Data_NK_Upcoming!Well_Type,MATCH(1,IF($B21=Well_Data_NK_Upcoming!RIG,IF(Well_Data_NK_Upcoming!Auto_Update_Rig_Schedule=4,1)),0))),"",(INDEX(Well_Data_NK_Upcoming!Well_Type,MATCH(1,IF($B21=Well_Data_NK_Upcoming!RIG,IF(Well_Data_NK_Upcoming!Auto_Update_Rig_Schedule=4,1)),0)))))</f>
        <v>SA13-MA-NW-Prod</v>
      </c>
      <c r="AC21" s="418">
        <f t="shared" ca="1" si="19"/>
        <v>5</v>
      </c>
      <c r="AD21" s="419">
        <f t="shared" ca="1" si="20"/>
        <v>42473</v>
      </c>
      <c r="AE21" s="430">
        <f t="shared" ca="1" si="8"/>
        <v>42543</v>
      </c>
      <c r="AF21" s="372">
        <f ca="1">IF(Z21="","",INDEX(Well_Data_NK_Upcoming!Planned_Spud_to_RR,MATCH(RigScheduleTest!AA21,Well_Data_NK_Upcoming!Concatenated_Wellname,0)))</f>
        <v>70</v>
      </c>
      <c r="AG21" s="372" t="str">
        <f t="array" aca="1" ref="AG21" ca="1">IF(ISERROR(INDEX(Well_Data_NK_Upcoming!Concatenated_Wellname,MATCH(1,IF($B21=Well_Data_NK_Upcoming!RIG,IF(Well_Data_NK_Upcoming!Auto_Update_Rig_Schedule=5,1)),0))),"",(INDEX(Well_Data_NK_Upcoming!Concatenated_Wellname,MATCH(1,IF($B21=Well_Data_NK_Upcoming!RIG,IF(Well_Data_NK_Upcoming!Auto_Update_Rig_Schedule=5,1)),0))))</f>
        <v>RA16-RA-MA-Inj-NW-HZ-SLB</v>
      </c>
      <c r="AH21" s="417" t="str">
        <f t="array" aca="1" ref="AH21" ca="1">IF(AF21="","",IF(ISERROR(INDEX(Well_Data_NK_Upcoming!Well_Type,MATCH(1,IF($B21=Well_Data_NK_Upcoming!RIG,IF(Well_Data_NK_Upcoming!Auto_Update_Rig_Schedule=5,1)),0))),"",(INDEX(Well_Data_NK_Upcoming!Well_Type,MATCH(1,IF($B21=Well_Data_NK_Upcoming!RIG,IF(Well_Data_NK_Upcoming!Auto_Update_Rig_Schedule=5,1)),0)))))</f>
        <v>RA16-MA-NW-Inj</v>
      </c>
      <c r="AI21" s="418">
        <f t="shared" ca="1" si="21"/>
        <v>5</v>
      </c>
      <c r="AJ21" s="419">
        <f t="shared" ca="1" si="22"/>
        <v>42548</v>
      </c>
      <c r="AK21" s="430">
        <f t="shared" ca="1" si="9"/>
        <v>42611</v>
      </c>
      <c r="AL21" s="372">
        <f ca="1">IF(Z21="","",INDEX(Well_Data_NK_Upcoming!Planned_Spud_to_RR,MATCH(RigScheduleTest!AG21,Well_Data_NK_Upcoming!Concatenated_Wellname,0)))</f>
        <v>63</v>
      </c>
      <c r="AM21" s="374" t="str">
        <f t="array" aca="1" ref="AM21" ca="1">IF(ISERROR(INDEX(Well_Data_NK_Upcoming!Concatenated_Wellname,MATCH(1,IF($B21=Well_Data_NK_Upcoming!RIG,IF(Well_Data_NK_Upcoming!Auto_Update_Rig_Schedule=6,1)),0))),"",(INDEX(Well_Data_NK_Upcoming!Concatenated_Wellname,MATCH(1,IF($B21=Well_Data_NK_Upcoming!RIG,IF(Well_Data_NK_Upcoming!Auto_Update_Rig_Schedule=6,1)),0))))</f>
        <v>SA45-SA-ZU-Prod-NW-HZ</v>
      </c>
      <c r="AN21" s="417" t="str">
        <f t="array" aca="1" ref="AN21" ca="1">IF(AL21="","",IF(ISERROR(INDEX(Well_Data_NK_Upcoming!Well_Type,MATCH(1,IF($B21=Well_Data_NK_Upcoming!RIG,IF(Well_Data_NK_Upcoming!Auto_Update_Rig_Schedule=6,1)),0))),"",(INDEX(Well_Data_NK_Upcoming!Well_Type,MATCH(1,IF($B21=Well_Data_NK_Upcoming!RIG,IF(Well_Data_NK_Upcoming!Auto_Update_Rig_Schedule=6,1)),0)))))</f>
        <v>SA45-ZU-NW-Prod</v>
      </c>
      <c r="AO21" s="418">
        <f t="shared" ca="1" si="23"/>
        <v>5</v>
      </c>
      <c r="AP21" s="419">
        <f t="shared" ca="1" si="24"/>
        <v>42616</v>
      </c>
      <c r="AQ21" s="430">
        <f t="shared" ca="1" si="10"/>
        <v>42714</v>
      </c>
      <c r="AR21" s="374">
        <f ca="1">IF(AL21="","",INDEX(Well_Data_NK_Upcoming!Planned_Spud_to_RR,MATCH(RigScheduleTest!AM21,Well_Data_NK_Upcoming!Concatenated_Wellname,0)))</f>
        <v>98</v>
      </c>
      <c r="AS21" s="417" t="str">
        <f t="array" aca="1" ref="AS21" ca="1">IF(ISERROR(INDEX(Well_Data_NK_Upcoming!Concatenated_Wellname,MATCH(1,IF($B21=Well_Data_NK_Upcoming!RIG,IF(Well_Data_NK_Upcoming!Auto_Update_Rig_Schedule=7,1)),0))),"",(INDEX(Well_Data_NK_Upcoming!Concatenated_Wellname,MATCH(1,IF($B21=Well_Data_NK_Upcoming!RIG,IF(Well_Data_NK_Upcoming!Auto_Update_Rig_Schedule=7,1)),0))))</f>
        <v>SA51-SA-RT-Inj-NW-HZ</v>
      </c>
      <c r="AT21" s="417" t="str">
        <f t="array" aca="1" ref="AT21" ca="1">IF(AR21="","",IF(ISERROR(INDEX(Well_Data_NK_Upcoming!Well_Type,MATCH(1,IF($B21=Well_Data_NK_Upcoming!RIG,IF(Well_Data_NK_Upcoming!Auto_Update_Rig_Schedule=7,1)),0))),"",(INDEX(Well_Data_NK_Upcoming!Well_Type,MATCH(1,IF($B21=Well_Data_NK_Upcoming!RIG,IF(Well_Data_NK_Upcoming!Auto_Update_Rig_Schedule=7,1)),0)))))</f>
        <v>SA51-RT-NW-Inj</v>
      </c>
      <c r="AU21" s="418" t="str">
        <f t="shared" ca="1" si="25"/>
        <v/>
      </c>
      <c r="AV21" s="419" t="str">
        <f t="shared" ca="1" si="26"/>
        <v/>
      </c>
      <c r="AW21" s="430" t="str">
        <f t="shared" ca="1" si="11"/>
        <v/>
      </c>
      <c r="AX21" s="342" t="str">
        <f ca="1">IF(AR21="","",INDEX(Well_Data_NK_Upcoming!Planned_Spud_to_RR,MATCH(RigScheduleTest!AS21,Well_Data_NK_Upcoming!Concatenated_Wellname,0)))</f>
        <v/>
      </c>
      <c r="AY21" s="417" t="str">
        <f t="array" aca="1" ref="AY21" ca="1">IF(ISERROR(INDEX(Well_Data_NK_Upcoming!Concatenated_Wellname,MATCH(1,IF($B21=Well_Data_NK_Upcoming!RIG,IF(Well_Data_NK_Upcoming!Auto_Update_Rig_Schedule=8,1)),0))),"",(INDEX(Well_Data_NK_Upcoming!Concatenated_Wellname,MATCH(1,IF($B21=Well_Data_NK_Upcoming!RIG,IF(Well_Data_NK_Upcoming!Auto_Update_Rig_Schedule=8,1)),0))))</f>
        <v/>
      </c>
      <c r="AZ21" s="417" t="str">
        <f t="array" aca="1" ref="AZ21" ca="1">IF(AX21="","",IF(ISERROR(INDEX(Well_Data_NK_Upcoming!Well_Type,MATCH(1,IF($B21=Well_Data_NK_Upcoming!RIG,IF(Well_Data_NK_Upcoming!Auto_Update_Rig_Schedule=8,1)),0))),"",(INDEX(Well_Data_NK_Upcoming!Well_Type,MATCH(1,IF($B21=Well_Data_NK_Upcoming!RIG,IF(Well_Data_NK_Upcoming!Auto_Update_Rig_Schedule=8,1)),0)))))</f>
        <v/>
      </c>
      <c r="BA21" s="418" t="str">
        <f t="shared" ca="1" si="27"/>
        <v/>
      </c>
      <c r="BB21" s="419" t="str">
        <f t="shared" ca="1" si="28"/>
        <v/>
      </c>
      <c r="BC21" s="430" t="str">
        <f t="shared" ca="1" si="12"/>
        <v/>
      </c>
      <c r="BD21" s="342" t="str">
        <f ca="1">IF(AX21="","",INDEX(Well_Data_NK_Upcoming!Planned_Spud_to_RR,MATCH(RigScheduleTest!AY21,Well_Data_NK_Upcoming!Concatenated_Wellname,0)))</f>
        <v/>
      </c>
      <c r="BE21" s="417" t="str">
        <f t="array" aca="1" ref="BE21" ca="1">IF(ISERROR(INDEX(Well_Data_NK_Upcoming!Concatenated_Wellname,MATCH(1,IF($B21=Well_Data_NK_Upcoming!RIG,IF(Well_Data_NK_Upcoming!Auto_Update_Rig_Schedule=9,1)),0))),"",(INDEX(Well_Data_NK_Upcoming!Concatenated_Wellname,MATCH(1,IF($B21=Well_Data_NK_Upcoming!RIG,IF(Well_Data_NK_Upcoming!Auto_Update_Rig_Schedule=9,1)),0))))</f>
        <v/>
      </c>
      <c r="BF21" s="417" t="str">
        <f t="array" aca="1" ref="BF21" ca="1">IF(BD21="","",IF(ISERROR(INDEX(Well_Data_NK_Upcoming!Well_Type,MATCH(1,IF($B21=Well_Data_NK_Upcoming!RIG,IF(Well_Data_NK_Upcoming!Auto_Update_Rig_Schedule=9,1)),0))),"",(INDEX(Well_Data_NK_Upcoming!Well_Type,MATCH(1,IF($B21=Well_Data_NK_Upcoming!RIG,IF(Well_Data_NK_Upcoming!Auto_Update_Rig_Schedule=9,1)),0)))))</f>
        <v/>
      </c>
      <c r="BG21" s="418" t="str">
        <f t="shared" ca="1" si="29"/>
        <v/>
      </c>
      <c r="BH21" s="419" t="str">
        <f t="shared" ca="1" si="30"/>
        <v/>
      </c>
      <c r="BI21" s="430" t="str">
        <f t="shared" ca="1" si="13"/>
        <v/>
      </c>
      <c r="BJ21" s="342" t="str">
        <f ca="1">IF(BD21="","",INDEX(Well_Data_NK_Upcoming!Planned_Spud_to_RR,MATCH(RigScheduleTest!BE21,Well_Data_NK_Upcoming!Concatenated_Wellname,0)))</f>
        <v/>
      </c>
      <c r="BK21" s="417" t="str">
        <f t="array" aca="1" ref="BK21" ca="1">IF(ISERROR(INDEX(Well_Data_NK_Upcoming!Concatenated_Wellname,MATCH(1,IF($B21=Well_Data_NK_Upcoming!RIG,IF(Well_Data_NK_Upcoming!Auto_Update_Rig_Schedule=10,1)),0))),"",(INDEX(Well_Data_NK_Upcoming!Concatenated_Wellname,MATCH(1,IF($B21=Well_Data_NK_Upcoming!RIG,IF(Well_Data_NK_Upcoming!Auto_Update_Rig_Schedule=10,1)),0))))</f>
        <v/>
      </c>
      <c r="BL21" s="417" t="str">
        <f t="array" aca="1" ref="BL21" ca="1">IF(BJ21="","",IF(ISERROR(INDEX(Well_Data_NK_Upcoming!Well_Type,MATCH(1,IF($B21=Well_Data_NK_Upcoming!RIG,IF(Well_Data_NK_Upcoming!Auto_Update_Rig_Schedule=10,1)),0))),"",(INDEX(Well_Data_NK_Upcoming!Well_Type,MATCH(1,IF($B21=Well_Data_NK_Upcoming!RIG,IF(Well_Data_NK_Upcoming!Auto_Update_Rig_Schedule=10,1)),0)))))</f>
        <v/>
      </c>
      <c r="BM21" s="418" t="str">
        <f t="shared" ca="1" si="31"/>
        <v/>
      </c>
      <c r="BN21" s="419" t="str">
        <f t="shared" ca="1" si="32"/>
        <v/>
      </c>
      <c r="BO21" s="430" t="str">
        <f t="shared" ca="1" si="14"/>
        <v/>
      </c>
      <c r="BP21" s="342" t="str">
        <f ca="1">IF(BJ21="","",INDEX(Well_Data_NK_Upcoming!Planned_Spud_to_RR,MATCH(RigScheduleTest!BK21,Well_Data_NK_Upcoming!Concatenated_Wellname,0)))</f>
        <v/>
      </c>
    </row>
    <row r="22" spans="1:68" ht="15" x14ac:dyDescent="0.25">
      <c r="A22" s="302" t="str">
        <f ca="1">IF(C22&lt;&gt;"",C22&amp;"-"&amp;B22,"")</f>
        <v>SA-0610-SP-295</v>
      </c>
      <c r="B22" s="425" t="s">
        <v>735</v>
      </c>
      <c r="C22" s="340" t="str">
        <f t="array" aca="1" ref="C22" ca="1">IF(ISERROR(INDEX(Well_Data_NK_Upcoming!WELL,MATCH(1,IF($B22=Well_Data_NK_Upcoming!RIG,IF(Well_Data_NK_Upcoming!Auto_Update_Rig_Schedule=0,1)),0))),"",(INDEX(Well_Data_NK_Upcoming!WELL,MATCH(1,IF($B22=Well_Data_NK_Upcoming!RIG,IF(Well_Data_NK_Upcoming!Auto_Update_Rig_Schedule=0,1)),0))))</f>
        <v>SA-0610</v>
      </c>
      <c r="D22" s="423" t="str">
        <f ca="1">INDEX(Well_Data_NK_Upcoming!Concatenated_Wellname,MATCH(RigScheduleTest!A22,Well_Data_NK_Upcoming!Well_Rig,0))</f>
        <v>SA-0610-SA-UB-Prod-NW-SL-HAL</v>
      </c>
      <c r="E22" s="423" t="str">
        <f ca="1">INDEX(Well_Data_NK_Upcoming!Well_Type,MATCH(RigScheduleTest!A22,Well_Data_NK_Upcoming!Well_Rig,0))</f>
        <v>SA-0610-UB-NW-Prod</v>
      </c>
      <c r="F22" s="341">
        <f t="shared" si="15"/>
        <v>42233</v>
      </c>
      <c r="G22" s="368">
        <f ca="1">IF(ISERROR(INDEX(Well_Data_NK_Upcoming!Updated_Drill_Days,MATCH(RigScheduleTest!A22,Well_Data_NK_Upcoming!Well_Rig,0))),"",(INDEX(Well_Data_NK_Upcoming!Updated_Drill_Days,MATCH(RigScheduleTest!A22,Well_Data_NK_Upcoming!Well_Rig,0))))</f>
        <v>14</v>
      </c>
      <c r="H22" s="422">
        <f t="shared" ca="1" si="33"/>
        <v>42247</v>
      </c>
      <c r="I22" s="371" t="str">
        <f t="array" aca="1" ref="I22" ca="1">IF(ISERROR(INDEX(Well_Data_NK_Upcoming!Concatenated_Wellname,MATCH(1,IF($B22=Well_Data_NK_Upcoming!RIG,IF(Well_Data_NK_Upcoming!Auto_Update_Rig_Schedule=1,1)),0))),"",(INDEX(Well_Data_NK_Upcoming!Concatenated_Wellname,MATCH(1,IF($B22=Well_Data_NK_Upcoming!RIG,IF(Well_Data_NK_Upcoming!Auto_Update_Rig_Schedule=1,1)),0))))</f>
        <v>SA-0611-SA-UB-Prod-NW-SL-Sperry</v>
      </c>
      <c r="J22" s="417" t="str">
        <f t="array" aca="1" ref="J22" ca="1">IF(G22="","",IF(ISERROR(INDEX(Well_Data_NK_Upcoming!Well_Type,MATCH(1,IF($B22=Well_Data_NK_Upcoming!RIG,IF(Well_Data_NK_Upcoming!Auto_Update_Rig_Schedule=1,1)),0))),"",(INDEX(Well_Data_NK_Upcoming!Well_Type,MATCH(1,IF($B22=Well_Data_NK_Upcoming!RIG,IF(Well_Data_NK_Upcoming!Auto_Update_Rig_Schedule=1,1)),0)))))</f>
        <v>SA-0611-UB-NW-Prod</v>
      </c>
      <c r="K22" s="418">
        <f t="shared" ca="1" si="2"/>
        <v>5</v>
      </c>
      <c r="L22" s="419">
        <f t="shared" ca="1" si="16"/>
        <v>42252</v>
      </c>
      <c r="M22" s="430">
        <f t="shared" ca="1" si="34"/>
        <v>42322</v>
      </c>
      <c r="N22" s="371">
        <f ca="1">IF(G22="","",INDEX(Well_Data_NK_Upcoming!Planned_Spud_to_RR,MATCH(RigScheduleTest!I22,Well_Data_NK_Upcoming!Concatenated_Wellname,0)))</f>
        <v>70</v>
      </c>
      <c r="O22" s="371" t="str">
        <f t="array" aca="1" ref="O22" ca="1">IF(ISERROR(INDEX(Well_Data_NK_Upcoming!Concatenated_Wellname,MATCH(1,IF($B22=Well_Data_NK_Upcoming!RIG,IF(Well_Data_NK_Upcoming!Auto_Update_Rig_Schedule=2,1)),0))),"",(INDEX(Well_Data_NK_Upcoming!Concatenated_Wellname,MATCH(1,IF($B22=Well_Data_NK_Upcoming!RIG,IF(Well_Data_NK_Upcoming!Auto_Update_Rig_Schedule=2,1)),0))))</f>
        <v>SA-0591-SA-LB-Prod-NW-HZ-Sperry</v>
      </c>
      <c r="P22" s="417" t="str">
        <f t="array" aca="1" ref="P22" ca="1">IF(N22="","",IF(ISERROR(INDEX(Well_Data_NK_Upcoming!Well_Type,MATCH(1,IF($B22=Well_Data_NK_Upcoming!RIG,IF(Well_Data_NK_Upcoming!Auto_Update_Rig_Schedule=2,1)),0))),"",(INDEX(Well_Data_NK_Upcoming!Well_Type,MATCH(1,IF($B22=Well_Data_NK_Upcoming!RIG,IF(Well_Data_NK_Upcoming!Auto_Update_Rig_Schedule=2,1)),0)))))</f>
        <v>SA-0591-LB-NW-Prod</v>
      </c>
      <c r="Q22" s="418">
        <f t="shared" ca="1" si="4"/>
        <v>5</v>
      </c>
      <c r="R22" s="419">
        <f t="shared" ca="1" si="17"/>
        <v>42327</v>
      </c>
      <c r="S22" s="430">
        <f t="shared" ca="1" si="5"/>
        <v>42397</v>
      </c>
      <c r="T22" s="373">
        <f ca="1">IF(N22="","",INDEX(Well_Data_NK_Upcoming!Planned_Spud_to_RR,MATCH(RigScheduleTest!O22,Well_Data_NK_Upcoming!Concatenated_Wellname,0)))</f>
        <v>70</v>
      </c>
      <c r="U22" s="373" t="str">
        <f t="array" aca="1" ref="U22" ca="1">IF(ISERROR(INDEX(Well_Data_NK_Upcoming!Concatenated_Wellname,MATCH(1,IF($B22=Well_Data_NK_Upcoming!RIG,IF(Well_Data_NK_Upcoming!Auto_Update_Rig_Schedule=3,1)),0))),"",(INDEX(Well_Data_NK_Upcoming!Concatenated_Wellname,MATCH(1,IF($B22=Well_Data_NK_Upcoming!RIG,IF(Well_Data_NK_Upcoming!Auto_Update_Rig_Schedule=3,1)),0))))</f>
        <v>SA14-SA-MA-Inj-ST-HZ</v>
      </c>
      <c r="V22" s="417" t="str">
        <f t="array" aca="1" ref="V22" ca="1">IF(T22="","",IF(ISERROR(INDEX(Well_Data_NK_Upcoming!Well_Type,MATCH(1,IF($B22=Well_Data_NK_Upcoming!RIG,IF(Well_Data_NK_Upcoming!Auto_Update_Rig_Schedule=3,1)),0))),"",(INDEX(Well_Data_NK_Upcoming!Well_Type,MATCH(1,IF($B22=Well_Data_NK_Upcoming!RIG,IF(Well_Data_NK_Upcoming!Auto_Update_Rig_Schedule=3,1)),0)))))</f>
        <v>SA14-MA-ST-Inj</v>
      </c>
      <c r="W22" s="418">
        <f t="shared" ca="1" si="6"/>
        <v>5</v>
      </c>
      <c r="X22" s="419">
        <f t="shared" ca="1" si="18"/>
        <v>42402</v>
      </c>
      <c r="Y22" s="430">
        <f t="shared" ca="1" si="7"/>
        <v>42451</v>
      </c>
      <c r="Z22" s="372">
        <f ca="1">IF(T22="","",INDEX(Well_Data_NK_Upcoming!Planned_Spud_to_RR,MATCH(RigScheduleTest!U22,Well_Data_NK_Upcoming!Concatenated_Wellname,0)))</f>
        <v>49</v>
      </c>
      <c r="AA22" s="372" t="str">
        <f t="array" aca="1" ref="AA22" ca="1">IF(ISERROR(INDEX(Well_Data_NK_Upcoming!Concatenated_Wellname,MATCH(1,IF($B22=Well_Data_NK_Upcoming!RIG,IF(Well_Data_NK_Upcoming!Auto_Update_Rig_Schedule=4,1)),0))),"",(INDEX(Well_Data_NK_Upcoming!Concatenated_Wellname,MATCH(1,IF($B22=Well_Data_NK_Upcoming!RIG,IF(Well_Data_NK_Upcoming!Auto_Update_Rig_Schedule=4,1)),0))))</f>
        <v>SA27-SA-MA-Prod-NW-HZ</v>
      </c>
      <c r="AB22" s="417" t="str">
        <f t="array" aca="1" ref="AB22" ca="1">IF(Z22="","",IF(ISERROR(INDEX(Well_Data_NK_Upcoming!Well_Type,MATCH(1,IF($B22=Well_Data_NK_Upcoming!RIG,IF(Well_Data_NK_Upcoming!Auto_Update_Rig_Schedule=4,1)),0))),"",(INDEX(Well_Data_NK_Upcoming!Well_Type,MATCH(1,IF($B22=Well_Data_NK_Upcoming!RIG,IF(Well_Data_NK_Upcoming!Auto_Update_Rig_Schedule=4,1)),0)))))</f>
        <v>SA27-MA-NW-Prod</v>
      </c>
      <c r="AC22" s="418">
        <f t="shared" ca="1" si="19"/>
        <v>5</v>
      </c>
      <c r="AD22" s="419">
        <f t="shared" ca="1" si="20"/>
        <v>42456</v>
      </c>
      <c r="AE22" s="430">
        <f t="shared" ca="1" si="8"/>
        <v>42526</v>
      </c>
      <c r="AF22" s="372">
        <f ca="1">IF(Z22="","",INDEX(Well_Data_NK_Upcoming!Planned_Spud_to_RR,MATCH(RigScheduleTest!AA22,Well_Data_NK_Upcoming!Concatenated_Wellname,0)))</f>
        <v>70</v>
      </c>
      <c r="AG22" s="372" t="str">
        <f t="array" aca="1" ref="AG22" ca="1">IF(ISERROR(INDEX(Well_Data_NK_Upcoming!Concatenated_Wellname,MATCH(1,IF($B22=Well_Data_NK_Upcoming!RIG,IF(Well_Data_NK_Upcoming!Auto_Update_Rig_Schedule=5,1)),0))),"",(INDEX(Well_Data_NK_Upcoming!Concatenated_Wellname,MATCH(1,IF($B22=Well_Data_NK_Upcoming!RIG,IF(Well_Data_NK_Upcoming!Auto_Update_Rig_Schedule=5,1)),0))))</f>
        <v>RA24-RA-MA-Inj-NW-HZ-SLB</v>
      </c>
      <c r="AH22" s="417" t="str">
        <f t="array" aca="1" ref="AH22" ca="1">IF(AF22="","",IF(ISERROR(INDEX(Well_Data_NK_Upcoming!Well_Type,MATCH(1,IF($B22=Well_Data_NK_Upcoming!RIG,IF(Well_Data_NK_Upcoming!Auto_Update_Rig_Schedule=5,1)),0))),"",(INDEX(Well_Data_NK_Upcoming!Well_Type,MATCH(1,IF($B22=Well_Data_NK_Upcoming!RIG,IF(Well_Data_NK_Upcoming!Auto_Update_Rig_Schedule=5,1)),0)))))</f>
        <v>RA24-MA-NW-Inj</v>
      </c>
      <c r="AI22" s="418">
        <f t="shared" ca="1" si="21"/>
        <v>5</v>
      </c>
      <c r="AJ22" s="419">
        <f t="shared" ca="1" si="22"/>
        <v>42531</v>
      </c>
      <c r="AK22" s="430">
        <f t="shared" ca="1" si="9"/>
        <v>42594</v>
      </c>
      <c r="AL22" s="372">
        <f ca="1">IF(Z22="","",INDEX(Well_Data_NK_Upcoming!Planned_Spud_to_RR,MATCH(RigScheduleTest!AG22,Well_Data_NK_Upcoming!Concatenated_Wellname,0)))</f>
        <v>63</v>
      </c>
      <c r="AM22" s="372" t="str">
        <f t="array" aca="1" ref="AM22" ca="1">IF(ISERROR(INDEX(Well_Data_NK_Upcoming!Concatenated_Wellname,MATCH(1,IF($B22=Well_Data_NK_Upcoming!RIG,IF(Well_Data_NK_Upcoming!Auto_Update_Rig_Schedule=6,1)),0))),"",(INDEX(Well_Data_NK_Upcoming!Concatenated_Wellname,MATCH(1,IF($B22=Well_Data_NK_Upcoming!RIG,IF(Well_Data_NK_Upcoming!Auto_Update_Rig_Schedule=6,1)),0))))</f>
        <v>RA34-RA-ZU-Inj-NW-HZ-SLB</v>
      </c>
      <c r="AN22" s="417" t="str">
        <f t="array" aca="1" ref="AN22" ca="1">IF(AL22="","",IF(ISERROR(INDEX(Well_Data_NK_Upcoming!Well_Type,MATCH(1,IF($B22=Well_Data_NK_Upcoming!RIG,IF(Well_Data_NK_Upcoming!Auto_Update_Rig_Schedule=6,1)),0))),"",(INDEX(Well_Data_NK_Upcoming!Well_Type,MATCH(1,IF($B22=Well_Data_NK_Upcoming!RIG,IF(Well_Data_NK_Upcoming!Auto_Update_Rig_Schedule=6,1)),0)))))</f>
        <v>RA34-ZU-NW-Inj</v>
      </c>
      <c r="AO22" s="418" t="str">
        <f t="shared" ca="1" si="23"/>
        <v/>
      </c>
      <c r="AP22" s="419" t="str">
        <f t="shared" ca="1" si="24"/>
        <v/>
      </c>
      <c r="AQ22" s="430" t="str">
        <f t="shared" ca="1" si="10"/>
        <v/>
      </c>
      <c r="AR22" s="374" t="str">
        <f ca="1">IF(AL22="","",INDEX(Well_Data_NK_Upcoming!Planned_Spud_to_RR,MATCH(RigScheduleTest!AM22,Well_Data_NK_Upcoming!Concatenated_Wellname,0)))</f>
        <v/>
      </c>
      <c r="AS22" s="417" t="str">
        <f t="array" aca="1" ref="AS22" ca="1">IF(ISERROR(INDEX(Well_Data_NK_Upcoming!Concatenated_Wellname,MATCH(1,IF($B22=Well_Data_NK_Upcoming!RIG,IF(Well_Data_NK_Upcoming!Auto_Update_Rig_Schedule=7,1)),0))),"",(INDEX(Well_Data_NK_Upcoming!Concatenated_Wellname,MATCH(1,IF($B22=Well_Data_NK_Upcoming!RIG,IF(Well_Data_NK_Upcoming!Auto_Update_Rig_Schedule=7,1)),0))))</f>
        <v/>
      </c>
      <c r="AT22" s="417" t="str">
        <f t="array" aca="1" ref="AT22" ca="1">IF(AR22="","",IF(ISERROR(INDEX(Well_Data_NK_Upcoming!Well_Type,MATCH(1,IF($B22=Well_Data_NK_Upcoming!RIG,IF(Well_Data_NK_Upcoming!Auto_Update_Rig_Schedule=7,1)),0))),"",(INDEX(Well_Data_NK_Upcoming!Well_Type,MATCH(1,IF($B22=Well_Data_NK_Upcoming!RIG,IF(Well_Data_NK_Upcoming!Auto_Update_Rig_Schedule=7,1)),0)))))</f>
        <v/>
      </c>
      <c r="AU22" s="418" t="str">
        <f t="shared" ca="1" si="25"/>
        <v/>
      </c>
      <c r="AV22" s="419" t="str">
        <f t="shared" ca="1" si="26"/>
        <v/>
      </c>
      <c r="AW22" s="430" t="str">
        <f t="shared" ca="1" si="11"/>
        <v/>
      </c>
      <c r="AX22" s="342" t="str">
        <f ca="1">IF(AR22="","",INDEX(Well_Data_NK_Upcoming!Planned_Spud_to_RR,MATCH(RigScheduleTest!AS22,Well_Data_NK_Upcoming!Concatenated_Wellname,0)))</f>
        <v/>
      </c>
      <c r="AY22" s="417" t="str">
        <f t="array" aca="1" ref="AY22" ca="1">IF(ISERROR(INDEX(Well_Data_NK_Upcoming!Concatenated_Wellname,MATCH(1,IF($B22=Well_Data_NK_Upcoming!RIG,IF(Well_Data_NK_Upcoming!Auto_Update_Rig_Schedule=8,1)),0))),"",(INDEX(Well_Data_NK_Upcoming!Concatenated_Wellname,MATCH(1,IF($B22=Well_Data_NK_Upcoming!RIG,IF(Well_Data_NK_Upcoming!Auto_Update_Rig_Schedule=8,1)),0))))</f>
        <v/>
      </c>
      <c r="AZ22" s="417" t="str">
        <f t="array" aca="1" ref="AZ22" ca="1">IF(AX22="","",IF(ISERROR(INDEX(Well_Data_NK_Upcoming!Well_Type,MATCH(1,IF($B22=Well_Data_NK_Upcoming!RIG,IF(Well_Data_NK_Upcoming!Auto_Update_Rig_Schedule=8,1)),0))),"",(INDEX(Well_Data_NK_Upcoming!Well_Type,MATCH(1,IF($B22=Well_Data_NK_Upcoming!RIG,IF(Well_Data_NK_Upcoming!Auto_Update_Rig_Schedule=8,1)),0)))))</f>
        <v/>
      </c>
      <c r="BA22" s="418" t="str">
        <f t="shared" ca="1" si="27"/>
        <v/>
      </c>
      <c r="BB22" s="419" t="str">
        <f t="shared" ca="1" si="28"/>
        <v/>
      </c>
      <c r="BC22" s="430" t="str">
        <f t="shared" ca="1" si="12"/>
        <v/>
      </c>
      <c r="BD22" s="342" t="str">
        <f ca="1">IF(AX22="","",INDEX(Well_Data_NK_Upcoming!Planned_Spud_to_RR,MATCH(RigScheduleTest!AY22,Well_Data_NK_Upcoming!Concatenated_Wellname,0)))</f>
        <v/>
      </c>
      <c r="BE22" s="417" t="str">
        <f t="array" aca="1" ref="BE22" ca="1">IF(ISERROR(INDEX(Well_Data_NK_Upcoming!Concatenated_Wellname,MATCH(1,IF($B22=Well_Data_NK_Upcoming!RIG,IF(Well_Data_NK_Upcoming!Auto_Update_Rig_Schedule=9,1)),0))),"",(INDEX(Well_Data_NK_Upcoming!Concatenated_Wellname,MATCH(1,IF($B22=Well_Data_NK_Upcoming!RIG,IF(Well_Data_NK_Upcoming!Auto_Update_Rig_Schedule=9,1)),0))))</f>
        <v/>
      </c>
      <c r="BF22" s="417" t="str">
        <f t="array" aca="1" ref="BF22" ca="1">IF(BD22="","",IF(ISERROR(INDEX(Well_Data_NK_Upcoming!Well_Type,MATCH(1,IF($B22=Well_Data_NK_Upcoming!RIG,IF(Well_Data_NK_Upcoming!Auto_Update_Rig_Schedule=9,1)),0))),"",(INDEX(Well_Data_NK_Upcoming!Well_Type,MATCH(1,IF($B22=Well_Data_NK_Upcoming!RIG,IF(Well_Data_NK_Upcoming!Auto_Update_Rig_Schedule=9,1)),0)))))</f>
        <v/>
      </c>
      <c r="BG22" s="418" t="str">
        <f t="shared" ca="1" si="29"/>
        <v/>
      </c>
      <c r="BH22" s="419" t="str">
        <f t="shared" ca="1" si="30"/>
        <v/>
      </c>
      <c r="BI22" s="430" t="str">
        <f t="shared" ca="1" si="13"/>
        <v/>
      </c>
      <c r="BJ22" s="342" t="str">
        <f ca="1">IF(BD22="","",INDEX(Well_Data_NK_Upcoming!Planned_Spud_to_RR,MATCH(RigScheduleTest!BE22,Well_Data_NK_Upcoming!Concatenated_Wellname,0)))</f>
        <v/>
      </c>
      <c r="BK22" s="417" t="str">
        <f t="array" aca="1" ref="BK22" ca="1">IF(ISERROR(INDEX(Well_Data_NK_Upcoming!Concatenated_Wellname,MATCH(1,IF($B22=Well_Data_NK_Upcoming!RIG,IF(Well_Data_NK_Upcoming!Auto_Update_Rig_Schedule=10,1)),0))),"",(INDEX(Well_Data_NK_Upcoming!Concatenated_Wellname,MATCH(1,IF($B22=Well_Data_NK_Upcoming!RIG,IF(Well_Data_NK_Upcoming!Auto_Update_Rig_Schedule=10,1)),0))))</f>
        <v/>
      </c>
      <c r="BL22" s="417" t="str">
        <f t="array" aca="1" ref="BL22" ca="1">IF(BJ22="","",IF(ISERROR(INDEX(Well_Data_NK_Upcoming!Well_Type,MATCH(1,IF($B22=Well_Data_NK_Upcoming!RIG,IF(Well_Data_NK_Upcoming!Auto_Update_Rig_Schedule=10,1)),0))),"",(INDEX(Well_Data_NK_Upcoming!Well_Type,MATCH(1,IF($B22=Well_Data_NK_Upcoming!RIG,IF(Well_Data_NK_Upcoming!Auto_Update_Rig_Schedule=10,1)),0)))))</f>
        <v/>
      </c>
      <c r="BM22" s="418" t="str">
        <f t="shared" ca="1" si="31"/>
        <v/>
      </c>
      <c r="BN22" s="419" t="str">
        <f t="shared" ca="1" si="32"/>
        <v/>
      </c>
      <c r="BO22" s="430" t="str">
        <f t="shared" ca="1" si="14"/>
        <v/>
      </c>
      <c r="BP22" s="342" t="str">
        <f ca="1">IF(BJ22="","",INDEX(Well_Data_NK_Upcoming!Planned_Spud_to_RR,MATCH(RigScheduleTest!BK22,Well_Data_NK_Upcoming!Concatenated_Wellname,0)))</f>
        <v/>
      </c>
    </row>
    <row r="23" spans="1:68" ht="15" x14ac:dyDescent="0.25">
      <c r="G23" s="313"/>
      <c r="AI23" s="308"/>
      <c r="AJ23" s="308"/>
      <c r="AK23" s="308"/>
    </row>
    <row r="24" spans="1:68" ht="15.75" thickBot="1" x14ac:dyDescent="0.3">
      <c r="G24" s="313"/>
      <c r="I24" s="308"/>
      <c r="M24" s="308"/>
      <c r="Q24" s="308"/>
      <c r="U24" s="308"/>
      <c r="AA24" s="308"/>
      <c r="AG24" s="308" t="s">
        <v>1542</v>
      </c>
    </row>
    <row r="25" spans="1:68" ht="28.5" x14ac:dyDescent="0.45">
      <c r="G25" s="337" t="s">
        <v>1570</v>
      </c>
      <c r="H25" s="308"/>
      <c r="I25" s="308"/>
      <c r="L25" s="308"/>
      <c r="M25" s="308"/>
      <c r="P25" s="308"/>
      <c r="Q25" s="308"/>
      <c r="T25" s="308"/>
      <c r="U25" s="308"/>
      <c r="AG25" s="308" t="s">
        <v>1541</v>
      </c>
    </row>
    <row r="26" spans="1:68" ht="29.25" thickBot="1" x14ac:dyDescent="0.5">
      <c r="G26" s="338">
        <v>42233</v>
      </c>
      <c r="H26" s="308"/>
      <c r="I26" s="308"/>
    </row>
    <row r="28" spans="1:68" ht="15" x14ac:dyDescent="0.25">
      <c r="T28" s="308"/>
      <c r="U28" s="308"/>
    </row>
    <row r="31" spans="1:68" ht="15" x14ac:dyDescent="0.25">
      <c r="G31" s="331"/>
    </row>
    <row r="98" spans="1:17" x14ac:dyDescent="0.2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N98" s="220"/>
      <c r="O98" s="220"/>
      <c r="P98" s="220"/>
      <c r="Q98" s="220"/>
    </row>
    <row r="99" spans="1:17" x14ac:dyDescent="0.2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N99" s="220"/>
      <c r="O99" s="220"/>
      <c r="P99" s="220"/>
      <c r="Q99" s="220"/>
    </row>
    <row r="100" spans="1:17" ht="15" x14ac:dyDescent="0.25">
      <c r="A100" s="421" t="s">
        <v>1636</v>
      </c>
      <c r="B100" s="421" t="s">
        <v>1641</v>
      </c>
      <c r="C100" s="421" t="s">
        <v>1642</v>
      </c>
      <c r="D100" s="434" t="s">
        <v>1643</v>
      </c>
      <c r="E100" s="434" t="s">
        <v>1644</v>
      </c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</row>
    <row r="101" spans="1:17" ht="15" x14ac:dyDescent="0.25">
      <c r="A101" s="426" t="str">
        <f t="shared" ref="A101:A121" si="35">B2</f>
        <v>BWD-130</v>
      </c>
      <c r="B101" s="426" t="str">
        <f t="shared" ref="B101:B121" ca="1" si="36">D2</f>
        <v>RA-0179-RA-ZU-Prod-ST-V-HAL</v>
      </c>
      <c r="C101" s="426" t="str">
        <f t="shared" ref="C101:C121" ca="1" si="37">E2</f>
        <v>RA-0179-ZU-ST-Prod</v>
      </c>
      <c r="D101" s="434">
        <f t="shared" ref="D101:D121" si="38">F2</f>
        <v>42233</v>
      </c>
      <c r="E101" s="434">
        <f t="shared" ref="E101:E121" ca="1" si="39">H2</f>
        <v>42258</v>
      </c>
      <c r="F101" s="220"/>
      <c r="G101" s="220"/>
      <c r="H101" s="220"/>
      <c r="I101" s="220"/>
      <c r="J101" s="220"/>
      <c r="K101" s="220"/>
      <c r="L101" s="220"/>
      <c r="M101" s="220"/>
      <c r="N101" s="220"/>
      <c r="O101" s="220"/>
      <c r="P101" s="220"/>
    </row>
    <row r="102" spans="1:17" ht="15" x14ac:dyDescent="0.25">
      <c r="A102" s="426" t="str">
        <f t="shared" si="35"/>
        <v>KDC-25</v>
      </c>
      <c r="B102" s="426" t="str">
        <f t="shared" ca="1" si="36"/>
        <v>RA-0561-RA-UB-Prod-NW-HZ-SLB</v>
      </c>
      <c r="C102" s="426" t="str">
        <f t="shared" ca="1" si="37"/>
        <v>RA-0561-UB-NW-Prod</v>
      </c>
      <c r="D102" s="434">
        <f t="shared" si="38"/>
        <v>42233</v>
      </c>
      <c r="E102" s="434">
        <f t="shared" ca="1" si="39"/>
        <v>42268</v>
      </c>
      <c r="F102" s="220"/>
      <c r="G102" s="220"/>
      <c r="H102" s="220"/>
      <c r="I102" s="220"/>
      <c r="J102" s="220"/>
      <c r="K102" s="220"/>
      <c r="L102" s="220"/>
      <c r="M102" s="220"/>
      <c r="N102" s="220"/>
      <c r="O102" s="220"/>
      <c r="P102" s="220"/>
    </row>
    <row r="103" spans="1:17" ht="15" x14ac:dyDescent="0.25">
      <c r="A103" s="426" t="str">
        <f t="shared" si="35"/>
        <v>KDC-26</v>
      </c>
      <c r="B103" s="426" t="str">
        <f t="shared" ca="1" si="36"/>
        <v>SA-0495-SA-MA-Prod-ST-HZ-BHI</v>
      </c>
      <c r="C103" s="426" t="str">
        <f t="shared" ca="1" si="37"/>
        <v>SA-0495-MA-ST-Prod</v>
      </c>
      <c r="D103" s="434">
        <f t="shared" si="38"/>
        <v>42233</v>
      </c>
      <c r="E103" s="434">
        <f t="shared" ca="1" si="39"/>
        <v>42243</v>
      </c>
      <c r="F103" s="220"/>
      <c r="G103" s="220"/>
      <c r="H103" s="220"/>
      <c r="I103" s="220"/>
      <c r="J103" s="220"/>
      <c r="K103" s="220"/>
      <c r="L103" s="220"/>
      <c r="M103" s="220"/>
      <c r="N103" s="220"/>
      <c r="O103" s="220"/>
      <c r="P103" s="220"/>
    </row>
    <row r="104" spans="1:17" ht="15" x14ac:dyDescent="0.25">
      <c r="A104" s="426" t="str">
        <f t="shared" si="35"/>
        <v>KDC-28</v>
      </c>
      <c r="B104" s="426" t="str">
        <f t="shared" ca="1" si="36"/>
        <v/>
      </c>
      <c r="C104" s="426" t="str">
        <f t="shared" ca="1" si="37"/>
        <v/>
      </c>
      <c r="D104" s="434">
        <f t="shared" si="38"/>
        <v>42233</v>
      </c>
      <c r="E104" s="434" t="str">
        <f t="shared" ca="1" si="39"/>
        <v/>
      </c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</row>
    <row r="105" spans="1:17" ht="15" x14ac:dyDescent="0.25">
      <c r="A105" s="426" t="str">
        <f t="shared" si="35"/>
        <v>KDC-44</v>
      </c>
      <c r="B105" s="426" t="str">
        <f t="shared" ca="1" si="36"/>
        <v>ETA-OCT</v>
      </c>
      <c r="C105" s="426" t="str">
        <f t="shared" ca="1" si="37"/>
        <v>ETA-OCT</v>
      </c>
      <c r="D105" s="434">
        <f t="shared" si="38"/>
        <v>42233</v>
      </c>
      <c r="E105" s="434">
        <f t="shared" ca="1" si="39"/>
        <v>42286</v>
      </c>
      <c r="F105" s="220"/>
      <c r="G105" s="220"/>
      <c r="H105" s="220"/>
      <c r="I105" s="220"/>
      <c r="J105" s="220"/>
      <c r="K105" s="220"/>
      <c r="L105" s="220"/>
      <c r="M105" s="220"/>
      <c r="N105" s="220"/>
      <c r="O105" s="220"/>
      <c r="P105" s="220"/>
    </row>
    <row r="106" spans="1:17" ht="15" x14ac:dyDescent="0.25">
      <c r="A106" s="426" t="str">
        <f t="shared" si="35"/>
        <v>KDC-49</v>
      </c>
      <c r="B106" s="426" t="str">
        <f t="shared" ca="1" si="36"/>
        <v>SA-0587-SA-MA-Prod-NW-HZ-BHI</v>
      </c>
      <c r="C106" s="426" t="str">
        <f t="shared" ca="1" si="37"/>
        <v>SA-0587-MA-NW-Prod</v>
      </c>
      <c r="D106" s="434">
        <f t="shared" si="38"/>
        <v>42233</v>
      </c>
      <c r="E106" s="434">
        <f t="shared" ca="1" si="39"/>
        <v>42273</v>
      </c>
      <c r="F106" s="220"/>
      <c r="G106" s="220"/>
      <c r="H106" s="220"/>
      <c r="I106" s="220"/>
      <c r="J106" s="220"/>
      <c r="K106" s="220"/>
      <c r="L106" s="220"/>
      <c r="M106" s="220"/>
      <c r="N106" s="220"/>
      <c r="O106" s="220"/>
      <c r="P106" s="220"/>
    </row>
    <row r="107" spans="1:17" ht="15" x14ac:dyDescent="0.25">
      <c r="A107" s="426" t="str">
        <f t="shared" si="35"/>
        <v>NDSC-15</v>
      </c>
      <c r="B107" s="426" t="str">
        <f t="shared" ca="1" si="36"/>
        <v>RA-0590-RA-UB-Prod-NW-HZ-WFD</v>
      </c>
      <c r="C107" s="426" t="str">
        <f t="shared" ca="1" si="37"/>
        <v>RA-0590-UB-NW-Prod</v>
      </c>
      <c r="D107" s="434">
        <f t="shared" si="38"/>
        <v>42233</v>
      </c>
      <c r="E107" s="434" t="str">
        <f t="shared" ca="1" si="39"/>
        <v/>
      </c>
      <c r="F107" s="220"/>
      <c r="G107" s="220"/>
      <c r="H107" s="220"/>
      <c r="I107" s="220"/>
      <c r="J107" s="220"/>
      <c r="K107" s="220"/>
      <c r="L107" s="220"/>
      <c r="M107" s="220"/>
      <c r="N107" s="220"/>
      <c r="O107" s="220"/>
      <c r="P107" s="220"/>
    </row>
    <row r="108" spans="1:17" ht="15" x14ac:dyDescent="0.25">
      <c r="A108" s="426" t="str">
        <f t="shared" si="35"/>
        <v>NDSC-16</v>
      </c>
      <c r="B108" s="426" t="str">
        <f t="shared" ca="1" si="36"/>
        <v>SA-0166-SA-MA-Prod-ST-HZ-SLB</v>
      </c>
      <c r="C108" s="426" t="str">
        <f t="shared" ca="1" si="37"/>
        <v>SA-0166-MA-ST-Prod</v>
      </c>
      <c r="D108" s="434">
        <f t="shared" si="38"/>
        <v>42233</v>
      </c>
      <c r="E108" s="434">
        <f t="shared" ca="1" si="39"/>
        <v>42247</v>
      </c>
      <c r="F108" s="220"/>
      <c r="G108" s="220"/>
      <c r="H108" s="220"/>
      <c r="I108" s="220"/>
      <c r="J108" s="220"/>
      <c r="K108" s="220"/>
      <c r="L108" s="220"/>
      <c r="M108" s="220"/>
      <c r="N108" s="220"/>
      <c r="O108" s="220"/>
      <c r="P108" s="220"/>
    </row>
    <row r="109" spans="1:17" ht="15" x14ac:dyDescent="0.25">
      <c r="A109" s="426" t="str">
        <f t="shared" si="35"/>
        <v>NDSC-17</v>
      </c>
      <c r="B109" s="426" t="str">
        <f t="shared" ca="1" si="36"/>
        <v>RA-0577-RA-LB-Prod-NW-SL-SLB</v>
      </c>
      <c r="C109" s="426" t="str">
        <f t="shared" ca="1" si="37"/>
        <v>RA-0577-LB-NW-Prod</v>
      </c>
      <c r="D109" s="434">
        <f t="shared" si="38"/>
        <v>42233</v>
      </c>
      <c r="E109" s="434">
        <f t="shared" ca="1" si="39"/>
        <v>42247</v>
      </c>
      <c r="F109" s="220"/>
      <c r="G109" s="220"/>
      <c r="H109" s="220"/>
      <c r="I109" s="220"/>
      <c r="J109" s="220"/>
      <c r="K109" s="220"/>
      <c r="L109" s="220"/>
      <c r="M109" s="220"/>
      <c r="N109" s="220"/>
      <c r="O109" s="220"/>
      <c r="P109" s="220"/>
    </row>
    <row r="110" spans="1:17" ht="15" x14ac:dyDescent="0.25">
      <c r="A110" s="426" t="str">
        <f t="shared" si="35"/>
        <v>SP-158</v>
      </c>
      <c r="B110" s="426" t="str">
        <f t="shared" ca="1" si="36"/>
        <v>RA-0592-RA-UB-Prod-NW-SL-SLB</v>
      </c>
      <c r="C110" s="426" t="str">
        <f t="shared" ca="1" si="37"/>
        <v>RA-0592-UB-NW-Prod</v>
      </c>
      <c r="D110" s="434">
        <f t="shared" si="38"/>
        <v>42233</v>
      </c>
      <c r="E110" s="434">
        <f t="shared" ca="1" si="39"/>
        <v>42245</v>
      </c>
      <c r="F110" s="220"/>
      <c r="G110" s="220"/>
      <c r="H110" s="220"/>
      <c r="I110" s="220"/>
      <c r="J110" s="220"/>
      <c r="K110" s="220"/>
      <c r="L110" s="220"/>
      <c r="M110" s="220"/>
      <c r="N110" s="220"/>
      <c r="O110" s="220"/>
      <c r="P110" s="220"/>
    </row>
    <row r="111" spans="1:17" ht="15" x14ac:dyDescent="0.25">
      <c r="A111" s="426" t="str">
        <f t="shared" si="35"/>
        <v>SP-159</v>
      </c>
      <c r="B111" s="426" t="str">
        <f t="shared" ca="1" si="36"/>
        <v>RA-0046-RA-MA-Prod-ST-HZ-SLB</v>
      </c>
      <c r="C111" s="426" t="str">
        <f t="shared" ca="1" si="37"/>
        <v>RA-0046-MA-ST-Prod</v>
      </c>
      <c r="D111" s="434">
        <f t="shared" si="38"/>
        <v>42233</v>
      </c>
      <c r="E111" s="434">
        <f t="shared" ca="1" si="39"/>
        <v>42239</v>
      </c>
      <c r="F111" s="220"/>
      <c r="G111" s="220"/>
      <c r="H111" s="220"/>
      <c r="I111" s="220"/>
      <c r="J111" s="220"/>
      <c r="K111" s="220"/>
      <c r="L111" s="220"/>
      <c r="M111" s="220"/>
      <c r="N111" s="220"/>
      <c r="O111" s="220"/>
      <c r="P111" s="220"/>
    </row>
    <row r="112" spans="1:17" ht="15" x14ac:dyDescent="0.25">
      <c r="A112" s="426" t="str">
        <f t="shared" si="35"/>
        <v>SP-185</v>
      </c>
      <c r="B112" s="426" t="str">
        <f t="shared" ca="1" si="36"/>
        <v>RA-0573-RA-ZU-Prod-NW-SL-BHI</v>
      </c>
      <c r="C112" s="426" t="str">
        <f t="shared" ca="1" si="37"/>
        <v>RA-0573-ZU-NW-Prod</v>
      </c>
      <c r="D112" s="434">
        <f t="shared" si="38"/>
        <v>42233</v>
      </c>
      <c r="E112" s="434">
        <f t="shared" ca="1" si="39"/>
        <v>42278</v>
      </c>
      <c r="F112" s="220"/>
      <c r="G112" s="220"/>
      <c r="H112" s="220"/>
      <c r="I112" s="220"/>
      <c r="J112" s="220"/>
      <c r="K112" s="220"/>
      <c r="L112" s="220"/>
      <c r="M112" s="220"/>
      <c r="N112" s="220"/>
      <c r="O112" s="220"/>
      <c r="P112" s="220"/>
    </row>
    <row r="113" spans="1:17" ht="15" x14ac:dyDescent="0.25">
      <c r="A113" s="426" t="str">
        <f t="shared" si="35"/>
        <v>SP-186</v>
      </c>
      <c r="B113" s="426" t="str">
        <f t="shared" ca="1" si="36"/>
        <v>SA-0248-SA-LB-Prod-ST-SL-BHI</v>
      </c>
      <c r="C113" s="426" t="str">
        <f t="shared" ca="1" si="37"/>
        <v>SA-0248-LB-ST-Prod</v>
      </c>
      <c r="D113" s="434">
        <f t="shared" si="38"/>
        <v>42233</v>
      </c>
      <c r="E113" s="434">
        <f t="shared" ca="1" si="39"/>
        <v>42253</v>
      </c>
      <c r="F113" s="220"/>
      <c r="G113" s="220"/>
      <c r="H113" s="220"/>
      <c r="I113" s="220"/>
      <c r="J113" s="220"/>
      <c r="K113" s="220"/>
      <c r="L113" s="220"/>
      <c r="M113" s="220"/>
      <c r="N113" s="220"/>
      <c r="O113" s="220"/>
      <c r="P113" s="220"/>
    </row>
    <row r="114" spans="1:17" ht="15" x14ac:dyDescent="0.25">
      <c r="A114" s="426" t="str">
        <f t="shared" si="35"/>
        <v>SP-266</v>
      </c>
      <c r="B114" s="426" t="str">
        <f t="shared" ca="1" si="36"/>
        <v>RA-0564-RA-UB-Prod-NW-SL-WFD</v>
      </c>
      <c r="C114" s="426" t="str">
        <f t="shared" ca="1" si="37"/>
        <v>RA-0564-UB-NW-Prod</v>
      </c>
      <c r="D114" s="434">
        <f t="shared" si="38"/>
        <v>42233</v>
      </c>
      <c r="E114" s="434">
        <f t="shared" ca="1" si="39"/>
        <v>42243</v>
      </c>
      <c r="F114" s="431"/>
      <c r="G114" s="431"/>
      <c r="H114" s="431"/>
      <c r="I114" s="431"/>
      <c r="J114" s="220"/>
      <c r="K114" s="220"/>
      <c r="L114" s="220"/>
      <c r="M114" s="220"/>
      <c r="N114" s="220"/>
      <c r="O114" s="220"/>
      <c r="P114" s="220"/>
    </row>
    <row r="115" spans="1:17" ht="15" x14ac:dyDescent="0.25">
      <c r="A115" s="426" t="str">
        <f t="shared" si="35"/>
        <v>SP-267</v>
      </c>
      <c r="B115" s="426" t="str">
        <f t="shared" ca="1" si="36"/>
        <v>RA-0580-RA-LB-Prod-NW-SL-WFD</v>
      </c>
      <c r="C115" s="426" t="str">
        <f t="shared" ca="1" si="37"/>
        <v>RA-0580-LB-NW-Prod</v>
      </c>
      <c r="D115" s="434">
        <f t="shared" si="38"/>
        <v>42233</v>
      </c>
      <c r="E115" s="434">
        <f t="shared" ca="1" si="39"/>
        <v>42247</v>
      </c>
      <c r="F115" s="432"/>
      <c r="G115" s="432"/>
      <c r="H115" s="432"/>
      <c r="I115" s="432"/>
      <c r="J115" s="432"/>
      <c r="K115" s="432"/>
      <c r="L115" s="432"/>
      <c r="M115" s="432"/>
      <c r="N115" s="220"/>
      <c r="O115" s="220"/>
      <c r="P115" s="220"/>
    </row>
    <row r="116" spans="1:17" ht="15" x14ac:dyDescent="0.25">
      <c r="A116" s="426" t="str">
        <f t="shared" si="35"/>
        <v>SP-279</v>
      </c>
      <c r="B116" s="426" t="str">
        <f t="shared" ca="1" si="36"/>
        <v>SA-0599-SA-MA-Prod-NW-HZ-HAL</v>
      </c>
      <c r="C116" s="426" t="str">
        <f t="shared" ca="1" si="37"/>
        <v>SA-0599-MA-NW-Prod</v>
      </c>
      <c r="D116" s="434">
        <f t="shared" si="38"/>
        <v>42233</v>
      </c>
      <c r="E116" s="434">
        <f t="shared" ca="1" si="39"/>
        <v>42254</v>
      </c>
      <c r="F116" s="431"/>
      <c r="G116" s="431"/>
      <c r="H116" s="431"/>
      <c r="I116" s="431"/>
      <c r="J116" s="431"/>
      <c r="K116" s="431"/>
      <c r="L116" s="431"/>
      <c r="M116" s="431"/>
      <c r="N116" s="220"/>
      <c r="O116" s="220"/>
      <c r="P116" s="220"/>
    </row>
    <row r="117" spans="1:17" ht="15" x14ac:dyDescent="0.25">
      <c r="A117" s="426" t="str">
        <f t="shared" si="35"/>
        <v>SP-282</v>
      </c>
      <c r="B117" s="426" t="str">
        <f t="shared" ca="1" si="36"/>
        <v>SA-0580-SA-MA-Prod-NW-HZ-SLB</v>
      </c>
      <c r="C117" s="426" t="str">
        <f t="shared" ca="1" si="37"/>
        <v>SA-0580-MA-NW-Prod</v>
      </c>
      <c r="D117" s="434">
        <f t="shared" si="38"/>
        <v>42233</v>
      </c>
      <c r="E117" s="434">
        <f t="shared" ca="1" si="39"/>
        <v>42238</v>
      </c>
      <c r="F117" s="431"/>
      <c r="G117" s="431"/>
      <c r="H117" s="431"/>
      <c r="I117" s="431"/>
      <c r="J117" s="431"/>
      <c r="K117" s="431"/>
      <c r="L117" s="431"/>
      <c r="M117" s="431"/>
      <c r="N117" s="220"/>
      <c r="O117" s="220"/>
      <c r="P117" s="220"/>
    </row>
    <row r="118" spans="1:17" ht="15" x14ac:dyDescent="0.25">
      <c r="A118" s="426" t="str">
        <f t="shared" si="35"/>
        <v>SP-283</v>
      </c>
      <c r="B118" s="426" t="str">
        <f t="shared" ca="1" si="36"/>
        <v>SA-0137-SA-MA-Prod-ST-HZ-BHI</v>
      </c>
      <c r="C118" s="426" t="str">
        <f t="shared" ca="1" si="37"/>
        <v>SA-0137-MA-ST-Prod</v>
      </c>
      <c r="D118" s="434">
        <f t="shared" si="38"/>
        <v>42233</v>
      </c>
      <c r="E118" s="434">
        <f t="shared" ca="1" si="39"/>
        <v>42240</v>
      </c>
      <c r="F118" s="431"/>
      <c r="G118" s="431"/>
      <c r="H118" s="431"/>
      <c r="I118" s="431"/>
      <c r="J118" s="431"/>
      <c r="K118" s="431"/>
      <c r="L118" s="431"/>
      <c r="M118" s="431"/>
      <c r="N118" s="220"/>
      <c r="O118" s="220"/>
      <c r="P118" s="220"/>
    </row>
    <row r="119" spans="1:17" ht="15" x14ac:dyDescent="0.25">
      <c r="A119" s="426" t="str">
        <f t="shared" si="35"/>
        <v>SP-288</v>
      </c>
      <c r="B119" s="426" t="str">
        <f t="shared" ca="1" si="36"/>
        <v>SA-0152-SA-MA-Prod-ST-HZ-SLB</v>
      </c>
      <c r="C119" s="426" t="str">
        <f t="shared" ca="1" si="37"/>
        <v>SA-0152-MA-ST-Prod</v>
      </c>
      <c r="D119" s="434">
        <f t="shared" si="38"/>
        <v>42233</v>
      </c>
      <c r="E119" s="434">
        <f t="shared" ca="1" si="39"/>
        <v>42275</v>
      </c>
      <c r="F119" s="431"/>
      <c r="G119" s="431"/>
      <c r="H119" s="431"/>
      <c r="I119" s="431"/>
      <c r="J119" s="431"/>
      <c r="K119" s="431"/>
      <c r="L119" s="431"/>
      <c r="M119" s="431"/>
      <c r="N119" s="220"/>
      <c r="O119" s="220"/>
      <c r="P119" s="220"/>
    </row>
    <row r="120" spans="1:17" ht="15" x14ac:dyDescent="0.25">
      <c r="A120" s="426" t="str">
        <f t="shared" si="35"/>
        <v>SP-294</v>
      </c>
      <c r="B120" s="426" t="str">
        <f t="shared" ca="1" si="36"/>
        <v>SA-0582-SA-LB-Prod-NW-HZ-SLB</v>
      </c>
      <c r="C120" s="426" t="str">
        <f t="shared" ca="1" si="37"/>
        <v>SA-0582-LB-NW-Prod</v>
      </c>
      <c r="D120" s="434">
        <f t="shared" si="38"/>
        <v>42233</v>
      </c>
      <c r="E120" s="434">
        <f t="shared" ca="1" si="39"/>
        <v>42243</v>
      </c>
      <c r="F120" s="431"/>
      <c r="G120" s="431"/>
      <c r="H120" s="431"/>
      <c r="I120" s="431"/>
      <c r="J120" s="431"/>
      <c r="K120" s="431"/>
      <c r="L120" s="431"/>
      <c r="M120" s="431"/>
      <c r="N120" s="220"/>
      <c r="O120" s="220"/>
      <c r="P120" s="220"/>
    </row>
    <row r="121" spans="1:17" ht="15" x14ac:dyDescent="0.25">
      <c r="A121" s="426" t="str">
        <f t="shared" si="35"/>
        <v>SP-295</v>
      </c>
      <c r="B121" s="426" t="str">
        <f t="shared" ca="1" si="36"/>
        <v>SA-0610-SA-UB-Prod-NW-SL-HAL</v>
      </c>
      <c r="C121" s="426" t="str">
        <f t="shared" ca="1" si="37"/>
        <v>SA-0610-UB-NW-Prod</v>
      </c>
      <c r="D121" s="434">
        <f t="shared" si="38"/>
        <v>42233</v>
      </c>
      <c r="E121" s="434">
        <f t="shared" ca="1" si="39"/>
        <v>42247</v>
      </c>
      <c r="F121" s="431"/>
      <c r="G121" s="431"/>
      <c r="H121" s="431"/>
      <c r="I121" s="431"/>
      <c r="J121" s="431"/>
      <c r="K121" s="431"/>
      <c r="L121" s="431"/>
      <c r="M121" s="431"/>
      <c r="N121" s="220"/>
      <c r="O121" s="220"/>
      <c r="P121" s="220"/>
    </row>
    <row r="122" spans="1:17" x14ac:dyDescent="0.2">
      <c r="B122" s="220"/>
      <c r="C122" s="220"/>
      <c r="D122" s="433"/>
      <c r="E122" s="433"/>
      <c r="F122" s="220"/>
      <c r="G122" s="220"/>
      <c r="H122" s="220"/>
      <c r="I122" s="220"/>
      <c r="J122" s="220"/>
      <c r="K122" s="220"/>
      <c r="L122" s="220"/>
      <c r="M122" s="220"/>
      <c r="N122" s="220"/>
      <c r="O122" s="220"/>
      <c r="P122" s="220"/>
      <c r="Q122" s="220"/>
    </row>
    <row r="123" spans="1:17" ht="15" x14ac:dyDescent="0.2">
      <c r="A123" s="421" t="s">
        <v>1636</v>
      </c>
      <c r="B123" s="220" t="s">
        <v>1637</v>
      </c>
      <c r="C123" s="220" t="s">
        <v>1638</v>
      </c>
      <c r="D123" s="433" t="s">
        <v>1639</v>
      </c>
      <c r="E123" s="433" t="s">
        <v>1640</v>
      </c>
      <c r="F123" s="220"/>
      <c r="G123" s="220"/>
      <c r="H123" s="220"/>
      <c r="I123" s="220"/>
      <c r="J123" s="220"/>
      <c r="K123" s="220"/>
      <c r="L123" s="220"/>
      <c r="M123" s="220"/>
      <c r="N123" s="220"/>
      <c r="O123" s="220"/>
      <c r="P123" s="220"/>
      <c r="Q123" s="220"/>
    </row>
    <row r="124" spans="1:17" ht="15" x14ac:dyDescent="0.2">
      <c r="A124" s="421" t="str">
        <f t="shared" ref="A124:A144" si="40">B2</f>
        <v>BWD-130</v>
      </c>
      <c r="B124" s="220" t="str">
        <f t="shared" ref="B124:B144" ca="1" si="41">I2</f>
        <v>Rig-Exp-Aug</v>
      </c>
      <c r="C124" s="220" t="str">
        <f t="shared" ref="C124:C144" ca="1" si="42">J2</f>
        <v>Rig-Exp-Aug</v>
      </c>
      <c r="D124" s="433" t="str">
        <f t="shared" ref="D124:D144" ca="1" si="43">L2</f>
        <v/>
      </c>
      <c r="E124" s="433" t="str">
        <f t="shared" ref="E124:E144" ca="1" si="44">M2</f>
        <v/>
      </c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20"/>
      <c r="Q124" s="220"/>
    </row>
    <row r="125" spans="1:17" ht="15" x14ac:dyDescent="0.2">
      <c r="A125" s="421" t="str">
        <f t="shared" si="40"/>
        <v>KDC-25</v>
      </c>
      <c r="B125" s="220" t="str">
        <f t="shared" ca="1" si="41"/>
        <v>RA-0581-RA-UB-Prod-NW-HZ-Sperry</v>
      </c>
      <c r="C125" s="220" t="str">
        <f t="shared" ca="1" si="42"/>
        <v>RA-0581-UB-NW-Prod</v>
      </c>
      <c r="D125" s="433">
        <f t="shared" ca="1" si="43"/>
        <v>42273</v>
      </c>
      <c r="E125" s="433">
        <f t="shared" ca="1" si="44"/>
        <v>42343</v>
      </c>
      <c r="F125" s="220"/>
      <c r="G125" s="220"/>
      <c r="H125" s="220"/>
      <c r="I125" s="220"/>
      <c r="J125" s="220"/>
      <c r="K125" s="220"/>
      <c r="L125" s="220"/>
      <c r="M125" s="220"/>
      <c r="N125" s="220"/>
      <c r="O125" s="220"/>
      <c r="P125" s="220"/>
      <c r="Q125" s="220"/>
    </row>
    <row r="126" spans="1:17" ht="15" x14ac:dyDescent="0.2">
      <c r="A126" s="421" t="str">
        <f t="shared" si="40"/>
        <v>KDC-26</v>
      </c>
      <c r="B126" s="220" t="str">
        <f t="shared" ca="1" si="41"/>
        <v>RA-0595-RA-ZU-Prod-NW-SL-Baker</v>
      </c>
      <c r="C126" s="220" t="str">
        <f t="shared" ca="1" si="42"/>
        <v>RA-0595-ZU-NW-Prod</v>
      </c>
      <c r="D126" s="433">
        <f t="shared" ca="1" si="43"/>
        <v>42248</v>
      </c>
      <c r="E126" s="433">
        <f t="shared" ca="1" si="44"/>
        <v>42346</v>
      </c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</row>
    <row r="127" spans="1:17" ht="15" x14ac:dyDescent="0.2">
      <c r="A127" s="421" t="str">
        <f t="shared" si="40"/>
        <v>KDC-28</v>
      </c>
      <c r="B127" s="220" t="str">
        <f t="shared" ca="1" si="41"/>
        <v>Rig_Expired</v>
      </c>
      <c r="C127" s="220" t="str">
        <f t="shared" ca="1" si="42"/>
        <v>Rig_Expired</v>
      </c>
      <c r="D127" s="433" t="str">
        <f t="shared" ca="1" si="43"/>
        <v/>
      </c>
      <c r="E127" s="433" t="str">
        <f t="shared" ca="1" si="44"/>
        <v/>
      </c>
      <c r="F127" s="432"/>
      <c r="G127" s="432"/>
      <c r="H127" s="432"/>
      <c r="I127" s="432"/>
      <c r="J127" s="432"/>
      <c r="K127" s="432"/>
      <c r="L127" s="432"/>
      <c r="M127" s="432"/>
      <c r="N127" s="432"/>
      <c r="O127" s="432"/>
      <c r="P127" s="220"/>
      <c r="Q127" s="220"/>
    </row>
    <row r="128" spans="1:17" ht="15" x14ac:dyDescent="0.25">
      <c r="A128" s="421" t="str">
        <f t="shared" si="40"/>
        <v>KDC-44</v>
      </c>
      <c r="B128" s="220" t="str">
        <f t="shared" ca="1" si="41"/>
        <v>SA-0589-SA-MA-Inj-NW-HZ</v>
      </c>
      <c r="C128" s="220" t="str">
        <f t="shared" ca="1" si="42"/>
        <v>SA-0589-MA-NW-Inj</v>
      </c>
      <c r="D128" s="433">
        <f t="shared" ca="1" si="43"/>
        <v>42291</v>
      </c>
      <c r="E128" s="433">
        <f t="shared" ca="1" si="44"/>
        <v>42354</v>
      </c>
      <c r="F128" s="220"/>
      <c r="G128" s="431"/>
      <c r="H128" s="431"/>
      <c r="I128" s="431"/>
      <c r="J128" s="431"/>
      <c r="K128" s="431"/>
      <c r="L128" s="431"/>
      <c r="M128" s="431"/>
      <c r="N128" s="431"/>
      <c r="O128" s="431"/>
      <c r="P128" s="220"/>
      <c r="Q128" s="220"/>
    </row>
    <row r="129" spans="1:17" ht="15" x14ac:dyDescent="0.25">
      <c r="A129" s="421" t="str">
        <f t="shared" si="40"/>
        <v>KDC-49</v>
      </c>
      <c r="B129" s="220" t="str">
        <f t="shared" ca="1" si="41"/>
        <v>SA-0593-SA-MA-Prod-NW-HZ-SLB</v>
      </c>
      <c r="C129" s="220" t="str">
        <f t="shared" ca="1" si="42"/>
        <v>SA-0593-MA-NW-Prod</v>
      </c>
      <c r="D129" s="433">
        <f t="shared" ca="1" si="43"/>
        <v>42278</v>
      </c>
      <c r="E129" s="433">
        <f t="shared" ca="1" si="44"/>
        <v>42348</v>
      </c>
      <c r="F129" s="220"/>
      <c r="G129" s="431"/>
      <c r="H129" s="431"/>
      <c r="I129" s="431"/>
      <c r="J129" s="431"/>
      <c r="K129" s="431"/>
      <c r="L129" s="431"/>
      <c r="M129" s="431"/>
      <c r="N129" s="431"/>
      <c r="O129" s="431"/>
      <c r="P129" s="220"/>
      <c r="Q129" s="220"/>
    </row>
    <row r="130" spans="1:17" ht="15" x14ac:dyDescent="0.25">
      <c r="A130" s="421" t="str">
        <f t="shared" si="40"/>
        <v>NDSC-15</v>
      </c>
      <c r="B130" s="220" t="str">
        <f t="shared" ca="1" si="41"/>
        <v>SA-0603-SA-MA-Prod-NW-HZ-Sperry</v>
      </c>
      <c r="C130" s="220" t="str">
        <f t="shared" ca="1" si="42"/>
        <v>SA-0603-MA-NW-Prod</v>
      </c>
      <c r="D130" s="433" t="str">
        <f t="shared" ca="1" si="43"/>
        <v/>
      </c>
      <c r="E130" s="433" t="str">
        <f t="shared" ca="1" si="44"/>
        <v/>
      </c>
      <c r="F130" s="220"/>
      <c r="G130" s="431"/>
      <c r="H130" s="431"/>
      <c r="I130" s="431"/>
      <c r="J130" s="431"/>
      <c r="K130" s="431"/>
      <c r="L130" s="431"/>
      <c r="M130" s="431"/>
      <c r="N130" s="431"/>
      <c r="O130" s="431"/>
      <c r="P130" s="220"/>
      <c r="Q130" s="220"/>
    </row>
    <row r="131" spans="1:17" ht="15" x14ac:dyDescent="0.25">
      <c r="A131" s="421" t="str">
        <f t="shared" si="40"/>
        <v>NDSC-16</v>
      </c>
      <c r="B131" s="220" t="str">
        <f t="shared" ca="1" si="41"/>
        <v>RA-0311-RA-MA-Prod-ST-HZ-SLB</v>
      </c>
      <c r="C131" s="220" t="str">
        <f t="shared" ca="1" si="42"/>
        <v>RA-0311-MA-ST-Prod</v>
      </c>
      <c r="D131" s="433">
        <f t="shared" ca="1" si="43"/>
        <v>42252</v>
      </c>
      <c r="E131" s="433">
        <f t="shared" ca="1" si="44"/>
        <v>42308</v>
      </c>
      <c r="F131" s="220"/>
      <c r="G131" s="431"/>
      <c r="H131" s="431"/>
      <c r="I131" s="431"/>
      <c r="J131" s="431"/>
      <c r="K131" s="431"/>
      <c r="L131" s="431"/>
      <c r="M131" s="431"/>
      <c r="N131" s="431"/>
      <c r="O131" s="431"/>
      <c r="P131" s="220"/>
      <c r="Q131" s="220"/>
    </row>
    <row r="132" spans="1:17" ht="15" x14ac:dyDescent="0.25">
      <c r="A132" s="421" t="str">
        <f t="shared" si="40"/>
        <v>NDSC-17</v>
      </c>
      <c r="B132" s="220" t="str">
        <f t="shared" ca="1" si="41"/>
        <v>RA-0583-RA-LB-Prod-NW-SL-WFD</v>
      </c>
      <c r="C132" s="220" t="str">
        <f t="shared" ca="1" si="42"/>
        <v>RA-0583-LB-NW-Prod</v>
      </c>
      <c r="D132" s="433">
        <f t="shared" ca="1" si="43"/>
        <v>42252</v>
      </c>
      <c r="E132" s="433">
        <f t="shared" ca="1" si="44"/>
        <v>42322</v>
      </c>
      <c r="F132" s="220"/>
      <c r="G132" s="431"/>
      <c r="H132" s="431"/>
      <c r="I132" s="431"/>
      <c r="J132" s="431"/>
      <c r="K132" s="431"/>
      <c r="L132" s="431"/>
      <c r="M132" s="431"/>
      <c r="N132" s="431"/>
      <c r="O132" s="431"/>
      <c r="P132" s="220"/>
      <c r="Q132" s="220"/>
    </row>
    <row r="133" spans="1:17" ht="15" x14ac:dyDescent="0.25">
      <c r="A133" s="421" t="str">
        <f t="shared" si="40"/>
        <v>SP-158</v>
      </c>
      <c r="B133" s="220" t="str">
        <f t="shared" ca="1" si="41"/>
        <v>RA-0518-RA-UB-Prod-ST-HZ-SLB</v>
      </c>
      <c r="C133" s="220" t="str">
        <f t="shared" ca="1" si="42"/>
        <v>RA-0518-UB-ST-Prod</v>
      </c>
      <c r="D133" s="433">
        <f t="shared" ca="1" si="43"/>
        <v>42250</v>
      </c>
      <c r="E133" s="433">
        <f t="shared" ca="1" si="44"/>
        <v>42306</v>
      </c>
      <c r="F133" s="220"/>
      <c r="G133" s="431"/>
      <c r="H133" s="431"/>
      <c r="I133" s="431"/>
      <c r="J133" s="431"/>
      <c r="K133" s="431"/>
      <c r="L133" s="431"/>
      <c r="M133" s="431"/>
      <c r="N133" s="431"/>
      <c r="O133" s="431"/>
      <c r="P133" s="220"/>
      <c r="Q133" s="220"/>
    </row>
    <row r="134" spans="1:17" ht="15" x14ac:dyDescent="0.2">
      <c r="A134" s="421" t="str">
        <f t="shared" si="40"/>
        <v>SP-159</v>
      </c>
      <c r="B134" s="220" t="str">
        <f t="shared" ca="1" si="41"/>
        <v>RA-0018-RA-MA-Prod-ST-HZ-Anadrill</v>
      </c>
      <c r="C134" s="220" t="str">
        <f t="shared" ca="1" si="42"/>
        <v>RA-0018-MA-ST-Prod</v>
      </c>
      <c r="D134" s="433">
        <f t="shared" ca="1" si="43"/>
        <v>42244</v>
      </c>
      <c r="E134" s="433">
        <f t="shared" ca="1" si="44"/>
        <v>42300</v>
      </c>
      <c r="F134" s="220"/>
      <c r="G134" s="220"/>
      <c r="H134" s="220"/>
      <c r="I134" s="220"/>
      <c r="J134" s="220"/>
      <c r="K134" s="220"/>
      <c r="L134" s="220"/>
      <c r="M134" s="220"/>
      <c r="N134" s="220"/>
      <c r="O134" s="220"/>
      <c r="P134" s="220"/>
      <c r="Q134" s="220"/>
    </row>
    <row r="135" spans="1:17" ht="15" x14ac:dyDescent="0.2">
      <c r="A135" s="421" t="str">
        <f t="shared" si="40"/>
        <v>SP-185</v>
      </c>
      <c r="B135" s="220" t="str">
        <f t="shared" ca="1" si="41"/>
        <v>RA-0574-RA-ZU-Prod-NW-HZ-Baker</v>
      </c>
      <c r="C135" s="220" t="str">
        <f t="shared" ca="1" si="42"/>
        <v>RA-0574-ZU-NW-Prod</v>
      </c>
      <c r="D135" s="433">
        <f t="shared" ca="1" si="43"/>
        <v>42283</v>
      </c>
      <c r="E135" s="433">
        <f t="shared" ca="1" si="44"/>
        <v>42381</v>
      </c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20"/>
      <c r="Q135" s="220"/>
    </row>
    <row r="136" spans="1:17" ht="15" x14ac:dyDescent="0.2">
      <c r="A136" s="421" t="str">
        <f t="shared" si="40"/>
        <v>SP-186</v>
      </c>
      <c r="B136" s="220" t="str">
        <f t="shared" ca="1" si="41"/>
        <v>RA-0563-RA-ZU-Prod-NW-ML-Baker</v>
      </c>
      <c r="C136" s="220" t="str">
        <f t="shared" ca="1" si="42"/>
        <v>RA-0563-ZU-NW-Prod</v>
      </c>
      <c r="D136" s="433">
        <f t="shared" ca="1" si="43"/>
        <v>42258</v>
      </c>
      <c r="E136" s="433">
        <f t="shared" ca="1" si="44"/>
        <v>42403</v>
      </c>
      <c r="F136" s="220"/>
      <c r="G136" s="220"/>
      <c r="H136" s="220"/>
      <c r="I136" s="220"/>
      <c r="J136" s="220"/>
      <c r="K136" s="220"/>
      <c r="L136" s="220"/>
      <c r="M136" s="220"/>
      <c r="N136" s="220"/>
      <c r="O136" s="220"/>
      <c r="P136" s="220"/>
      <c r="Q136" s="220"/>
    </row>
    <row r="137" spans="1:17" ht="15" x14ac:dyDescent="0.2">
      <c r="A137" s="421" t="str">
        <f t="shared" si="40"/>
        <v>SP-266</v>
      </c>
      <c r="B137" s="220" t="str">
        <f t="shared" ca="1" si="41"/>
        <v>RA-0579-RA-LB-Prod-NW-SL-Sperry</v>
      </c>
      <c r="C137" s="220" t="str">
        <f t="shared" ca="1" si="42"/>
        <v>RA-0579-LB-NW-Prod</v>
      </c>
      <c r="D137" s="433">
        <f t="shared" ca="1" si="43"/>
        <v>42248</v>
      </c>
      <c r="E137" s="433">
        <f t="shared" ca="1" si="44"/>
        <v>42318</v>
      </c>
      <c r="F137" s="220"/>
      <c r="G137" s="220"/>
      <c r="H137" s="220"/>
      <c r="I137" s="220"/>
      <c r="J137" s="220"/>
      <c r="K137" s="220"/>
      <c r="L137" s="220"/>
      <c r="M137" s="220"/>
      <c r="N137" s="220"/>
      <c r="O137" s="220"/>
      <c r="P137" s="220"/>
      <c r="Q137" s="220"/>
    </row>
    <row r="138" spans="1:17" ht="15" x14ac:dyDescent="0.2">
      <c r="A138" s="421" t="str">
        <f t="shared" si="40"/>
        <v>SP-267</v>
      </c>
      <c r="B138" s="220" t="str">
        <f t="shared" ca="1" si="41"/>
        <v>SA-0592-SA-LB-Prod-NW-SL-WFD</v>
      </c>
      <c r="C138" s="220" t="str">
        <f t="shared" ca="1" si="42"/>
        <v>SA-0592-LB-NW-Prod</v>
      </c>
      <c r="D138" s="433">
        <f t="shared" ca="1" si="43"/>
        <v>42252</v>
      </c>
      <c r="E138" s="433">
        <f t="shared" ca="1" si="44"/>
        <v>42322</v>
      </c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  <c r="P138" s="220"/>
      <c r="Q138" s="220"/>
    </row>
    <row r="139" spans="1:17" ht="15" x14ac:dyDescent="0.2">
      <c r="A139" s="421" t="str">
        <f t="shared" si="40"/>
        <v>SP-279</v>
      </c>
      <c r="B139" s="220" t="str">
        <f t="shared" ca="1" si="41"/>
        <v>RA-0192ST-RA-LB-Prod-ST-SL-BHI</v>
      </c>
      <c r="C139" s="220" t="str">
        <f t="shared" ca="1" si="42"/>
        <v>RA-0192ST-LB-ST-Prod</v>
      </c>
      <c r="D139" s="433">
        <f t="shared" ca="1" si="43"/>
        <v>42259</v>
      </c>
      <c r="E139" s="433">
        <f t="shared" ca="1" si="44"/>
        <v>42315</v>
      </c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  <c r="P139" s="220"/>
      <c r="Q139" s="220"/>
    </row>
    <row r="140" spans="1:17" ht="15" x14ac:dyDescent="0.2">
      <c r="A140" s="421" t="str">
        <f t="shared" si="40"/>
        <v>SP-282</v>
      </c>
      <c r="B140" s="220" t="str">
        <f t="shared" ca="1" si="41"/>
        <v>SA-0602-SA-MA-Prod-NW-HZ-SLB</v>
      </c>
      <c r="C140" s="220" t="str">
        <f t="shared" ca="1" si="42"/>
        <v>SA-0602-MA-NW-Prod</v>
      </c>
      <c r="D140" s="433">
        <f t="shared" ca="1" si="43"/>
        <v>42243</v>
      </c>
      <c r="E140" s="433">
        <f t="shared" ca="1" si="44"/>
        <v>42313</v>
      </c>
      <c r="F140" s="220"/>
      <c r="G140" s="220"/>
      <c r="H140" s="220"/>
      <c r="I140" s="220"/>
      <c r="J140" s="220"/>
      <c r="K140" s="220"/>
      <c r="L140" s="220"/>
      <c r="M140" s="220"/>
      <c r="N140" s="220"/>
      <c r="O140" s="220"/>
      <c r="P140" s="220"/>
      <c r="Q140" s="220"/>
    </row>
    <row r="141" spans="1:17" ht="15" x14ac:dyDescent="0.2">
      <c r="A141" s="421" t="str">
        <f t="shared" si="40"/>
        <v>SP-283</v>
      </c>
      <c r="B141" s="220" t="str">
        <f t="shared" ca="1" si="41"/>
        <v>RA-0165-RA-ZU-Inj-ST-V</v>
      </c>
      <c r="C141" s="220" t="str">
        <f t="shared" ca="1" si="42"/>
        <v>RA-0165-ZU-ST-Inj</v>
      </c>
      <c r="D141" s="433">
        <f t="shared" ca="1" si="43"/>
        <v>42245</v>
      </c>
      <c r="E141" s="433">
        <f t="shared" ca="1" si="44"/>
        <v>42275</v>
      </c>
      <c r="F141" s="220"/>
      <c r="G141" s="220"/>
      <c r="H141" s="220"/>
      <c r="I141" s="220"/>
      <c r="J141" s="220"/>
      <c r="K141" s="220"/>
      <c r="L141" s="220"/>
      <c r="M141" s="220"/>
      <c r="N141" s="220"/>
      <c r="O141" s="220"/>
      <c r="P141" s="220"/>
      <c r="Q141" s="220"/>
    </row>
    <row r="142" spans="1:17" ht="15" x14ac:dyDescent="0.2">
      <c r="A142" s="421" t="str">
        <f t="shared" si="40"/>
        <v>SP-288</v>
      </c>
      <c r="B142" s="220" t="str">
        <f t="shared" ca="1" si="41"/>
        <v>RA-0575-RA-LB-Prod-NW-SL-WFD</v>
      </c>
      <c r="C142" s="220" t="str">
        <f t="shared" ca="1" si="42"/>
        <v>RA-0575-LB-NW-Prod</v>
      </c>
      <c r="D142" s="433">
        <f t="shared" ca="1" si="43"/>
        <v>42280</v>
      </c>
      <c r="E142" s="433">
        <f t="shared" ca="1" si="44"/>
        <v>42350</v>
      </c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220"/>
    </row>
    <row r="143" spans="1:17" ht="15" x14ac:dyDescent="0.2">
      <c r="A143" s="421" t="str">
        <f>B21</f>
        <v>SP-294</v>
      </c>
      <c r="B143" s="220" t="str">
        <f t="shared" ca="1" si="41"/>
        <v>SA-0586-SA-MA-Prod-NW-HZ-Baker</v>
      </c>
      <c r="C143" s="220" t="str">
        <f t="shared" ca="1" si="42"/>
        <v>SA-0586-MA-NW-Prod</v>
      </c>
      <c r="D143" s="433">
        <f t="shared" ca="1" si="43"/>
        <v>42248</v>
      </c>
      <c r="E143" s="433">
        <f t="shared" ca="1" si="44"/>
        <v>42318</v>
      </c>
      <c r="F143" s="220"/>
      <c r="G143" s="220"/>
      <c r="H143" s="220"/>
      <c r="I143" s="220"/>
      <c r="J143" s="220"/>
      <c r="K143" s="220"/>
      <c r="L143" s="220"/>
      <c r="M143" s="220"/>
      <c r="N143" s="220"/>
      <c r="O143" s="220"/>
      <c r="P143" s="220"/>
      <c r="Q143" s="220"/>
    </row>
    <row r="144" spans="1:17" ht="15" x14ac:dyDescent="0.2">
      <c r="A144" s="421" t="str">
        <f t="shared" si="40"/>
        <v>SP-295</v>
      </c>
      <c r="B144" s="220" t="str">
        <f t="shared" ca="1" si="41"/>
        <v>SA-0611-SA-UB-Prod-NW-SL-Sperry</v>
      </c>
      <c r="C144" s="220" t="str">
        <f t="shared" ca="1" si="42"/>
        <v>SA-0611-UB-NW-Prod</v>
      </c>
      <c r="D144" s="433">
        <f t="shared" ca="1" si="43"/>
        <v>42252</v>
      </c>
      <c r="E144" s="433">
        <f t="shared" ca="1" si="44"/>
        <v>42322</v>
      </c>
      <c r="F144" s="220"/>
      <c r="G144" s="220"/>
      <c r="H144" s="220"/>
      <c r="I144" s="220"/>
      <c r="J144" s="220"/>
      <c r="K144" s="220"/>
      <c r="L144" s="220"/>
      <c r="M144" s="220"/>
      <c r="N144" s="220"/>
      <c r="O144" s="220"/>
      <c r="P144" s="220"/>
      <c r="Q144" s="220"/>
    </row>
    <row r="145" spans="1:17" ht="15" x14ac:dyDescent="0.2">
      <c r="A145" s="421"/>
      <c r="B145" s="220"/>
      <c r="C145" s="220"/>
      <c r="D145" s="433"/>
      <c r="E145" s="433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220"/>
    </row>
    <row r="146" spans="1:17" x14ac:dyDescent="0.2">
      <c r="A146" s="414" t="s">
        <v>1636</v>
      </c>
      <c r="B146" s="220" t="s">
        <v>1645</v>
      </c>
      <c r="C146" s="220" t="s">
        <v>1646</v>
      </c>
      <c r="D146" s="433" t="s">
        <v>1647</v>
      </c>
      <c r="E146" s="433" t="s">
        <v>1648</v>
      </c>
      <c r="F146" s="220"/>
      <c r="G146" s="220"/>
      <c r="H146" s="220"/>
      <c r="I146" s="220"/>
      <c r="J146" s="220"/>
      <c r="K146" s="220"/>
      <c r="L146" s="220"/>
      <c r="M146" s="220"/>
      <c r="N146" s="220"/>
      <c r="O146" s="220"/>
      <c r="P146" s="220"/>
      <c r="Q146" s="220"/>
    </row>
    <row r="147" spans="1:17" x14ac:dyDescent="0.2">
      <c r="A147" s="414" t="str">
        <f t="shared" ref="A147:A167" si="45">B2</f>
        <v>BWD-130</v>
      </c>
      <c r="B147" s="220" t="str">
        <f t="shared" ref="B147:B167" ca="1" si="46">O2</f>
        <v/>
      </c>
      <c r="C147" s="220" t="str">
        <f t="shared" ref="C147:C167" ca="1" si="47">P2</f>
        <v/>
      </c>
      <c r="D147" s="433" t="str">
        <f t="shared" ref="D147:D167" ca="1" si="48">R2</f>
        <v/>
      </c>
      <c r="E147" s="433" t="str">
        <f t="shared" ref="E147:E167" ca="1" si="49">S2</f>
        <v/>
      </c>
      <c r="F147" s="220"/>
      <c r="G147" s="220"/>
      <c r="H147" s="220"/>
      <c r="I147" s="220"/>
      <c r="J147" s="220"/>
      <c r="K147" s="220"/>
      <c r="L147" s="220"/>
      <c r="M147" s="220"/>
      <c r="N147" s="220"/>
      <c r="O147" s="220"/>
      <c r="P147" s="220"/>
      <c r="Q147" s="220"/>
    </row>
    <row r="148" spans="1:17" x14ac:dyDescent="0.2">
      <c r="A148" s="414" t="str">
        <f t="shared" si="45"/>
        <v>KDC-25</v>
      </c>
      <c r="B148" s="220" t="str">
        <f t="shared" ca="1" si="46"/>
        <v>RA-0569-RA-MA-Prod-NW-HZ-Sperry</v>
      </c>
      <c r="C148" s="220" t="str">
        <f t="shared" ca="1" si="47"/>
        <v>RA-0569-MA-NW-Prod</v>
      </c>
      <c r="D148" s="433">
        <f t="shared" ca="1" si="48"/>
        <v>42348</v>
      </c>
      <c r="E148" s="433">
        <f t="shared" ca="1" si="49"/>
        <v>42418</v>
      </c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220"/>
    </row>
    <row r="149" spans="1:17" x14ac:dyDescent="0.2">
      <c r="A149" s="414" t="str">
        <f t="shared" si="45"/>
        <v>KDC-26</v>
      </c>
      <c r="B149" s="220" t="str">
        <f t="shared" ca="1" si="46"/>
        <v>AD-0008-AD-ZU-Inj-ST-SL</v>
      </c>
      <c r="C149" s="220" t="str">
        <f t="shared" ca="1" si="47"/>
        <v>AD-0008-ZU-ST-Inj</v>
      </c>
      <c r="D149" s="433">
        <f t="shared" ca="1" si="48"/>
        <v>42351</v>
      </c>
      <c r="E149" s="433">
        <f t="shared" ca="1" si="49"/>
        <v>42407</v>
      </c>
      <c r="F149" s="220"/>
      <c r="G149" s="220"/>
      <c r="H149" s="220"/>
      <c r="I149" s="220"/>
      <c r="J149" s="220"/>
      <c r="K149" s="220"/>
      <c r="L149" s="220"/>
      <c r="M149" s="220"/>
      <c r="N149" s="220"/>
      <c r="O149" s="220"/>
      <c r="P149" s="220"/>
      <c r="Q149" s="220"/>
    </row>
    <row r="150" spans="1:17" x14ac:dyDescent="0.2">
      <c r="A150" s="414" t="str">
        <f t="shared" si="45"/>
        <v>KDC-28</v>
      </c>
      <c r="B150" s="220" t="str">
        <f t="shared" ca="1" si="46"/>
        <v/>
      </c>
      <c r="C150" s="220" t="str">
        <f t="shared" ca="1" si="47"/>
        <v/>
      </c>
      <c r="D150" s="433" t="str">
        <f t="shared" ca="1" si="48"/>
        <v/>
      </c>
      <c r="E150" s="433" t="str">
        <f t="shared" ca="1" si="49"/>
        <v/>
      </c>
      <c r="F150" s="220"/>
      <c r="G150" s="220"/>
      <c r="H150" s="220"/>
      <c r="I150" s="220"/>
      <c r="J150" s="220"/>
      <c r="K150" s="220"/>
      <c r="L150" s="220"/>
      <c r="M150" s="220"/>
      <c r="N150" s="220"/>
      <c r="O150" s="220"/>
      <c r="P150" s="220"/>
      <c r="Q150" s="220"/>
    </row>
    <row r="151" spans="1:17" x14ac:dyDescent="0.2">
      <c r="A151" s="414" t="str">
        <f t="shared" si="45"/>
        <v>KDC-44</v>
      </c>
      <c r="B151" s="220" t="str">
        <f t="shared" ca="1" si="46"/>
        <v>RA-0594-RA-ZU-Prod-NW-HZ</v>
      </c>
      <c r="C151" s="220" t="str">
        <f t="shared" ca="1" si="47"/>
        <v>RA-0594-ZU-NW-Prod</v>
      </c>
      <c r="D151" s="433">
        <f t="shared" ca="1" si="48"/>
        <v>42359</v>
      </c>
      <c r="E151" s="433">
        <f t="shared" ca="1" si="49"/>
        <v>42457</v>
      </c>
      <c r="F151" s="220"/>
      <c r="G151" s="220"/>
      <c r="H151" s="220"/>
      <c r="I151" s="220"/>
      <c r="J151" s="220"/>
      <c r="K151" s="220"/>
      <c r="L151" s="220"/>
      <c r="M151" s="220"/>
      <c r="N151" s="220"/>
      <c r="O151" s="220"/>
      <c r="P151" s="220"/>
      <c r="Q151" s="220"/>
    </row>
    <row r="152" spans="1:17" x14ac:dyDescent="0.2">
      <c r="A152" s="414" t="str">
        <f t="shared" si="45"/>
        <v>KDC-49</v>
      </c>
      <c r="B152" s="220" t="str">
        <f t="shared" ca="1" si="46"/>
        <v>RA6-RA-MA-Prod-NW-HZ-SLB</v>
      </c>
      <c r="C152" s="220" t="str">
        <f t="shared" ca="1" si="47"/>
        <v>RA6-MA-NW-Prod</v>
      </c>
      <c r="D152" s="433">
        <f t="shared" ca="1" si="48"/>
        <v>42353</v>
      </c>
      <c r="E152" s="433">
        <f t="shared" ca="1" si="49"/>
        <v>42423</v>
      </c>
      <c r="F152" s="220"/>
      <c r="G152" s="220"/>
      <c r="H152" s="220"/>
      <c r="I152" s="220"/>
      <c r="J152" s="220"/>
      <c r="K152" s="220"/>
      <c r="L152" s="220"/>
      <c r="M152" s="220"/>
      <c r="N152" s="220"/>
      <c r="O152" s="220"/>
      <c r="P152" s="220"/>
      <c r="Q152" s="220"/>
    </row>
    <row r="153" spans="1:17" x14ac:dyDescent="0.2">
      <c r="A153" s="414" t="str">
        <f t="shared" si="45"/>
        <v>NDSC-15</v>
      </c>
      <c r="B153" s="220" t="str">
        <f t="shared" ca="1" si="46"/>
        <v>SA3-SA-UB-Prod-NW-SL</v>
      </c>
      <c r="C153" s="220" t="str">
        <f t="shared" ca="1" si="47"/>
        <v>SA3-UB-NW-Prod</v>
      </c>
      <c r="D153" s="433" t="str">
        <f t="shared" ca="1" si="48"/>
        <v/>
      </c>
      <c r="E153" s="433" t="str">
        <f t="shared" ca="1" si="49"/>
        <v/>
      </c>
      <c r="F153" s="220"/>
      <c r="G153" s="220"/>
      <c r="H153" s="220"/>
      <c r="I153" s="220"/>
      <c r="J153" s="220"/>
      <c r="K153" s="220"/>
      <c r="L153" s="220"/>
      <c r="M153" s="220"/>
      <c r="N153" s="220"/>
      <c r="O153" s="220"/>
      <c r="P153" s="220"/>
      <c r="Q153" s="220"/>
    </row>
    <row r="154" spans="1:17" x14ac:dyDescent="0.2">
      <c r="A154" s="414" t="str">
        <f t="shared" si="45"/>
        <v>NDSC-16</v>
      </c>
      <c r="B154" s="220" t="str">
        <f t="shared" ca="1" si="46"/>
        <v>RA-0593-RA-ZU-Prod-NW-HZ-SLB</v>
      </c>
      <c r="C154" s="220" t="str">
        <f t="shared" ca="1" si="47"/>
        <v>RA-0593-ZU-NW-Prod</v>
      </c>
      <c r="D154" s="433">
        <f t="shared" ca="1" si="48"/>
        <v>42313</v>
      </c>
      <c r="E154" s="433">
        <f t="shared" ca="1" si="49"/>
        <v>42411</v>
      </c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</row>
    <row r="155" spans="1:17" x14ac:dyDescent="0.2">
      <c r="A155" s="414" t="str">
        <f t="shared" si="45"/>
        <v>NDSC-17</v>
      </c>
      <c r="B155" s="220" t="str">
        <f t="shared" ca="1" si="46"/>
        <v>RA3-RA-MA-Prod-NW-HZ-SLB</v>
      </c>
      <c r="C155" s="220" t="str">
        <f t="shared" ca="1" si="47"/>
        <v>RA3-MA-NW-Prod</v>
      </c>
      <c r="D155" s="433">
        <f t="shared" ca="1" si="48"/>
        <v>42327</v>
      </c>
      <c r="E155" s="433">
        <f t="shared" ca="1" si="49"/>
        <v>42397</v>
      </c>
    </row>
    <row r="156" spans="1:17" x14ac:dyDescent="0.2">
      <c r="A156" s="414" t="str">
        <f t="shared" si="45"/>
        <v>SP-158</v>
      </c>
      <c r="B156" s="220" t="str">
        <f t="shared" ca="1" si="46"/>
        <v>RA-0396-RA-MA-Prod-ST-HZ-SLB</v>
      </c>
      <c r="C156" s="220" t="str">
        <f t="shared" ca="1" si="47"/>
        <v>RA-0396-MA-ST-Prod</v>
      </c>
      <c r="D156" s="433">
        <f t="shared" ca="1" si="48"/>
        <v>42311</v>
      </c>
      <c r="E156" s="433">
        <f t="shared" ca="1" si="49"/>
        <v>42367</v>
      </c>
    </row>
    <row r="157" spans="1:17" x14ac:dyDescent="0.2">
      <c r="A157" s="414" t="str">
        <f t="shared" si="45"/>
        <v>SP-159</v>
      </c>
      <c r="B157" s="220" t="str">
        <f t="shared" ca="1" si="46"/>
        <v>RA-0271-RA-MA-Inj-ST-HZ-Anadrill</v>
      </c>
      <c r="C157" s="220" t="str">
        <f t="shared" ca="1" si="47"/>
        <v>RA-0271-MA-ST-Inj</v>
      </c>
      <c r="D157" s="433">
        <f t="shared" ca="1" si="48"/>
        <v>42305</v>
      </c>
      <c r="E157" s="433">
        <f t="shared" ca="1" si="49"/>
        <v>42354</v>
      </c>
    </row>
    <row r="158" spans="1:17" x14ac:dyDescent="0.2">
      <c r="A158" s="414" t="str">
        <f t="shared" si="45"/>
        <v>SP-185</v>
      </c>
      <c r="B158" s="220" t="str">
        <f t="shared" ca="1" si="46"/>
        <v>RA-0572-RA-LB-Prod-NW-HZ-Baker</v>
      </c>
      <c r="C158" s="220" t="str">
        <f t="shared" ca="1" si="47"/>
        <v>RA-0572-LB-NW-Prod</v>
      </c>
      <c r="D158" s="433">
        <f t="shared" ca="1" si="48"/>
        <v>42386</v>
      </c>
      <c r="E158" s="433">
        <f t="shared" ca="1" si="49"/>
        <v>42456</v>
      </c>
    </row>
    <row r="159" spans="1:17" x14ac:dyDescent="0.2">
      <c r="A159" s="414" t="str">
        <f t="shared" si="45"/>
        <v>SP-186</v>
      </c>
      <c r="B159" s="220" t="str">
        <f t="shared" ca="1" si="46"/>
        <v>SA9-SA-MA-Prod-NW-HZ</v>
      </c>
      <c r="C159" s="220" t="str">
        <f t="shared" ca="1" si="47"/>
        <v>SA9-MA-NW-Prod</v>
      </c>
      <c r="D159" s="433">
        <f t="shared" ca="1" si="48"/>
        <v>42408</v>
      </c>
      <c r="E159" s="433">
        <f t="shared" ca="1" si="49"/>
        <v>42478</v>
      </c>
    </row>
    <row r="160" spans="1:17" x14ac:dyDescent="0.2">
      <c r="A160" s="414" t="str">
        <f t="shared" si="45"/>
        <v>SP-266</v>
      </c>
      <c r="B160" s="220" t="str">
        <f t="shared" ca="1" si="46"/>
        <v>SA-0601-SA-MA-Prod-NW-HZ-SLB</v>
      </c>
      <c r="C160" s="220" t="str">
        <f t="shared" ca="1" si="47"/>
        <v>SA-0601-MA-NW-Prod</v>
      </c>
      <c r="D160" s="433">
        <f t="shared" ca="1" si="48"/>
        <v>42323</v>
      </c>
      <c r="E160" s="433">
        <f t="shared" ca="1" si="49"/>
        <v>42393</v>
      </c>
    </row>
    <row r="161" spans="1:5" x14ac:dyDescent="0.2">
      <c r="A161" s="414" t="str">
        <f t="shared" si="45"/>
        <v>SP-267</v>
      </c>
      <c r="B161" s="220" t="str">
        <f t="shared" ca="1" si="46"/>
        <v>SA-0558-SA-MA-Inj-NW-V</v>
      </c>
      <c r="C161" s="220" t="str">
        <f t="shared" ca="1" si="47"/>
        <v>SA-0558-MA-NW-Inj</v>
      </c>
      <c r="D161" s="433">
        <f t="shared" ca="1" si="48"/>
        <v>42327</v>
      </c>
      <c r="E161" s="433">
        <f t="shared" ca="1" si="49"/>
        <v>42397</v>
      </c>
    </row>
    <row r="162" spans="1:5" x14ac:dyDescent="0.2">
      <c r="A162" s="414" t="str">
        <f t="shared" si="45"/>
        <v>SP-279</v>
      </c>
      <c r="B162" s="220" t="str">
        <f t="shared" ca="1" si="46"/>
        <v>RA2--RA-UB-Prod-NW-HZ</v>
      </c>
      <c r="C162" s="220" t="str">
        <f t="shared" ca="1" si="47"/>
        <v>RA2--UB-NW-Prod</v>
      </c>
      <c r="D162" s="433">
        <f t="shared" ca="1" si="48"/>
        <v>42320</v>
      </c>
      <c r="E162" s="433">
        <f t="shared" ca="1" si="49"/>
        <v>42390</v>
      </c>
    </row>
    <row r="163" spans="1:5" x14ac:dyDescent="0.2">
      <c r="A163" s="414" t="str">
        <f t="shared" si="45"/>
        <v>SP-282</v>
      </c>
      <c r="B163" s="220" t="str">
        <f t="shared" ca="1" si="46"/>
        <v>SA-0613-SA-UB-Prod-NW-HZ</v>
      </c>
      <c r="C163" s="220" t="str">
        <f t="shared" ca="1" si="47"/>
        <v>SA-0613-UB-NW-Prod</v>
      </c>
      <c r="D163" s="433">
        <f t="shared" ca="1" si="48"/>
        <v>42318</v>
      </c>
      <c r="E163" s="433">
        <f t="shared" ca="1" si="49"/>
        <v>42388</v>
      </c>
    </row>
    <row r="164" spans="1:5" x14ac:dyDescent="0.2">
      <c r="A164" s="414" t="str">
        <f t="shared" si="45"/>
        <v>SP-283</v>
      </c>
      <c r="B164" s="220" t="str">
        <f t="shared" ca="1" si="46"/>
        <v>RA-0241-RA-MA-Prod-ST-HZ-Sperry</v>
      </c>
      <c r="C164" s="220" t="str">
        <f t="shared" ca="1" si="47"/>
        <v>RA-0241-MA-ST-Prod</v>
      </c>
      <c r="D164" s="433">
        <f t="shared" ca="1" si="48"/>
        <v>42280</v>
      </c>
      <c r="E164" s="433">
        <f t="shared" ca="1" si="49"/>
        <v>42336</v>
      </c>
    </row>
    <row r="165" spans="1:5" x14ac:dyDescent="0.2">
      <c r="A165" s="414" t="str">
        <f>B20</f>
        <v>SP-288</v>
      </c>
      <c r="B165" s="220" t="str">
        <f t="shared" ca="1" si="46"/>
        <v>SA-0060-SA-MA-Prod-ST-HZ-SLB</v>
      </c>
      <c r="C165" s="220" t="str">
        <f t="shared" ca="1" si="47"/>
        <v>SA-0060-MA-ST-Prod</v>
      </c>
      <c r="D165" s="433">
        <f t="shared" ca="1" si="48"/>
        <v>42355</v>
      </c>
      <c r="E165" s="433">
        <f t="shared" ca="1" si="49"/>
        <v>42411</v>
      </c>
    </row>
    <row r="166" spans="1:5" x14ac:dyDescent="0.2">
      <c r="A166" s="414" t="str">
        <f t="shared" si="45"/>
        <v>SP-294</v>
      </c>
      <c r="B166" s="220" t="str">
        <f t="shared" ca="1" si="46"/>
        <v>SA-0612-SA-UB-Prod-NW-SL</v>
      </c>
      <c r="C166" s="220" t="str">
        <f t="shared" ca="1" si="47"/>
        <v>SA-0612-UB-NW-Prod</v>
      </c>
      <c r="D166" s="433">
        <f t="shared" ca="1" si="48"/>
        <v>42323</v>
      </c>
      <c r="E166" s="433">
        <f t="shared" ca="1" si="49"/>
        <v>42393</v>
      </c>
    </row>
    <row r="167" spans="1:5" x14ac:dyDescent="0.2">
      <c r="A167" s="414" t="str">
        <f t="shared" si="45"/>
        <v>SP-295</v>
      </c>
      <c r="B167" s="220" t="str">
        <f t="shared" ca="1" si="46"/>
        <v>SA-0591-SA-LB-Prod-NW-HZ-Sperry</v>
      </c>
      <c r="C167" s="220" t="str">
        <f t="shared" ca="1" si="47"/>
        <v>SA-0591-LB-NW-Prod</v>
      </c>
      <c r="D167" s="433">
        <f t="shared" ca="1" si="48"/>
        <v>42327</v>
      </c>
      <c r="E167" s="433">
        <f t="shared" ca="1" si="49"/>
        <v>42397</v>
      </c>
    </row>
    <row r="168" spans="1:5" x14ac:dyDescent="0.2">
      <c r="D168" s="366"/>
      <c r="E168" s="366"/>
    </row>
    <row r="169" spans="1:5" x14ac:dyDescent="0.2">
      <c r="A169" s="414" t="s">
        <v>1636</v>
      </c>
      <c r="B169" s="303" t="s">
        <v>1649</v>
      </c>
      <c r="C169" s="303" t="s">
        <v>1650</v>
      </c>
      <c r="D169" s="366" t="s">
        <v>1651</v>
      </c>
      <c r="E169" s="366" t="s">
        <v>1652</v>
      </c>
    </row>
    <row r="170" spans="1:5" x14ac:dyDescent="0.2">
      <c r="A170" s="414" t="str">
        <f t="shared" ref="A170:A189" si="50">B2</f>
        <v>BWD-130</v>
      </c>
      <c r="B170" s="303" t="str">
        <f t="shared" ref="B170:B190" ca="1" si="51">U2</f>
        <v/>
      </c>
      <c r="C170" s="303" t="str">
        <f t="shared" ref="C170:C190" ca="1" si="52">V2</f>
        <v/>
      </c>
      <c r="D170" s="366" t="str">
        <f t="shared" ref="D170:D190" ca="1" si="53">X2</f>
        <v/>
      </c>
      <c r="E170" s="366" t="str">
        <f t="shared" ref="E170:E190" ca="1" si="54">Y2</f>
        <v/>
      </c>
    </row>
    <row r="171" spans="1:5" x14ac:dyDescent="0.2">
      <c r="A171" s="414" t="str">
        <f t="shared" si="50"/>
        <v>KDC-25</v>
      </c>
      <c r="B171" s="303" t="str">
        <f t="shared" ca="1" si="51"/>
        <v>RA5-RA-MA-Prod-NW-HZ-SLB</v>
      </c>
      <c r="C171" s="303" t="str">
        <f t="shared" ca="1" si="52"/>
        <v>RA5-MA-NW-Prod</v>
      </c>
      <c r="D171" s="366">
        <f t="shared" ca="1" si="53"/>
        <v>42423</v>
      </c>
      <c r="E171" s="366">
        <f t="shared" ca="1" si="54"/>
        <v>42493</v>
      </c>
    </row>
    <row r="172" spans="1:5" x14ac:dyDescent="0.2">
      <c r="A172" s="414" t="str">
        <f t="shared" si="50"/>
        <v>KDC-26</v>
      </c>
      <c r="B172" s="303" t="str">
        <f t="shared" ca="1" si="51"/>
        <v>SA5-SA-MA-Inj-ST-HZ</v>
      </c>
      <c r="C172" s="303" t="str">
        <f t="shared" ca="1" si="52"/>
        <v>SA5-MA-ST-Inj</v>
      </c>
      <c r="D172" s="366">
        <f t="shared" ca="1" si="53"/>
        <v>42412</v>
      </c>
      <c r="E172" s="366">
        <f t="shared" ca="1" si="54"/>
        <v>42461</v>
      </c>
    </row>
    <row r="173" spans="1:5" x14ac:dyDescent="0.2">
      <c r="A173" s="414" t="str">
        <f t="shared" si="50"/>
        <v>KDC-28</v>
      </c>
      <c r="B173" s="303" t="str">
        <f t="shared" ca="1" si="51"/>
        <v/>
      </c>
      <c r="C173" s="303" t="str">
        <f t="shared" ca="1" si="52"/>
        <v/>
      </c>
      <c r="D173" s="366" t="str">
        <f t="shared" ca="1" si="53"/>
        <v/>
      </c>
      <c r="E173" s="366" t="str">
        <f t="shared" ca="1" si="54"/>
        <v/>
      </c>
    </row>
    <row r="174" spans="1:5" x14ac:dyDescent="0.2">
      <c r="A174" s="414" t="str">
        <f t="shared" si="50"/>
        <v>KDC-44</v>
      </c>
      <c r="B174" s="303" t="str">
        <f t="shared" ca="1" si="51"/>
        <v>RQ-0181-RQ-ZU-Prod-NW</v>
      </c>
      <c r="C174" s="303" t="str">
        <f t="shared" ca="1" si="52"/>
        <v>RQ-0181-ZU-NW-Prod</v>
      </c>
      <c r="D174" s="366">
        <f t="shared" ca="1" si="53"/>
        <v>42462</v>
      </c>
      <c r="E174" s="366">
        <f t="shared" ca="1" si="54"/>
        <v>42560</v>
      </c>
    </row>
    <row r="175" spans="1:5" x14ac:dyDescent="0.2">
      <c r="A175" s="414" t="str">
        <f t="shared" si="50"/>
        <v>KDC-49</v>
      </c>
      <c r="B175" s="303" t="str">
        <f t="shared" ca="1" si="51"/>
        <v>RA-0596-RA-ZU-Prod-NW-HZ-SLB</v>
      </c>
      <c r="C175" s="303" t="str">
        <f t="shared" ca="1" si="52"/>
        <v>RA-0596-ZU-NW-Prod</v>
      </c>
      <c r="D175" s="366">
        <f t="shared" ca="1" si="53"/>
        <v>42428</v>
      </c>
      <c r="E175" s="366">
        <f t="shared" ca="1" si="54"/>
        <v>42526</v>
      </c>
    </row>
    <row r="176" spans="1:5" x14ac:dyDescent="0.2">
      <c r="A176" s="414" t="str">
        <f t="shared" si="50"/>
        <v>NDSC-15</v>
      </c>
      <c r="B176" s="303" t="str">
        <f t="shared" ca="1" si="51"/>
        <v>SA-0471-SA-LB-Prod-ST-HZ</v>
      </c>
      <c r="C176" s="303" t="str">
        <f t="shared" ca="1" si="52"/>
        <v>SA-0471-LB-ST-Prod</v>
      </c>
      <c r="D176" s="366" t="str">
        <f t="shared" ca="1" si="53"/>
        <v/>
      </c>
      <c r="E176" s="366" t="str">
        <f t="shared" ca="1" si="54"/>
        <v/>
      </c>
    </row>
    <row r="177" spans="1:5" x14ac:dyDescent="0.2">
      <c r="A177" s="414" t="str">
        <f t="shared" si="50"/>
        <v>NDSC-16</v>
      </c>
      <c r="B177" s="303" t="str">
        <f t="shared" ca="1" si="51"/>
        <v>RA10-RA-ZU-Prod-SLB</v>
      </c>
      <c r="C177" s="303" t="str">
        <f t="shared" ca="1" si="52"/>
        <v>RA10-ZU-Prod</v>
      </c>
      <c r="D177" s="366">
        <f t="shared" ca="1" si="53"/>
        <v>42416</v>
      </c>
      <c r="E177" s="366">
        <f t="shared" ca="1" si="54"/>
        <v>42514</v>
      </c>
    </row>
    <row r="178" spans="1:5" x14ac:dyDescent="0.2">
      <c r="A178" s="414" t="str">
        <f t="shared" si="50"/>
        <v>NDSC-17</v>
      </c>
      <c r="B178" s="303" t="str">
        <f t="shared" ca="1" si="51"/>
        <v>RA-0582-RA-UB-Prod-NW-HZ-WFD</v>
      </c>
      <c r="C178" s="303" t="str">
        <f t="shared" ca="1" si="52"/>
        <v>RA-0582-UB-NW-Prod</v>
      </c>
      <c r="D178" s="366">
        <f t="shared" ca="1" si="53"/>
        <v>42402</v>
      </c>
      <c r="E178" s="366">
        <f t="shared" ca="1" si="54"/>
        <v>42472</v>
      </c>
    </row>
    <row r="179" spans="1:5" x14ac:dyDescent="0.2">
      <c r="A179" s="414" t="str">
        <f t="shared" si="50"/>
        <v>SP-158</v>
      </c>
      <c r="B179" s="303" t="str">
        <f t="shared" ca="1" si="51"/>
        <v>SA1-SA-MA-Prod-NW-HZ</v>
      </c>
      <c r="C179" s="303" t="str">
        <f t="shared" ca="1" si="52"/>
        <v>SA1-MA-NW-Prod</v>
      </c>
      <c r="D179" s="366">
        <f t="shared" ca="1" si="53"/>
        <v>42372</v>
      </c>
      <c r="E179" s="366">
        <f t="shared" ca="1" si="54"/>
        <v>42442</v>
      </c>
    </row>
    <row r="180" spans="1:5" x14ac:dyDescent="0.2">
      <c r="A180" s="414" t="str">
        <f t="shared" si="50"/>
        <v>SP-159</v>
      </c>
      <c r="B180" s="303" t="str">
        <f t="shared" ca="1" si="51"/>
        <v>RA-0166-RA-MA-Prod-ST-HZ-SLB</v>
      </c>
      <c r="C180" s="303" t="str">
        <f t="shared" ca="1" si="52"/>
        <v>RA-0166-MA-ST-Prod</v>
      </c>
      <c r="D180" s="366">
        <f t="shared" ca="1" si="53"/>
        <v>42359</v>
      </c>
      <c r="E180" s="366">
        <f t="shared" ca="1" si="54"/>
        <v>42415</v>
      </c>
    </row>
    <row r="181" spans="1:5" x14ac:dyDescent="0.2">
      <c r="A181" s="414" t="str">
        <f t="shared" si="50"/>
        <v>SP-185</v>
      </c>
      <c r="B181" s="303" t="str">
        <f t="shared" ca="1" si="51"/>
        <v>RA-0571-RA-MA-Prod-NW-HZ-Baker</v>
      </c>
      <c r="C181" s="303" t="str">
        <f t="shared" ca="1" si="52"/>
        <v>RA-0571-MA-NW-Prod</v>
      </c>
      <c r="D181" s="366">
        <f t="shared" ca="1" si="53"/>
        <v>42461</v>
      </c>
      <c r="E181" s="366">
        <f t="shared" ca="1" si="54"/>
        <v>42531</v>
      </c>
    </row>
    <row r="182" spans="1:5" x14ac:dyDescent="0.2">
      <c r="A182" s="414" t="str">
        <f t="shared" si="50"/>
        <v>SP-186</v>
      </c>
      <c r="B182" s="303" t="str">
        <f t="shared" ca="1" si="51"/>
        <v>SA21-SA-MA-Prod-NW-HZ</v>
      </c>
      <c r="C182" s="303" t="str">
        <f t="shared" ca="1" si="52"/>
        <v>SA21-MA-NW-Prod</v>
      </c>
      <c r="D182" s="366">
        <f t="shared" ca="1" si="53"/>
        <v>42483</v>
      </c>
      <c r="E182" s="366">
        <f t="shared" ca="1" si="54"/>
        <v>42553</v>
      </c>
    </row>
    <row r="183" spans="1:5" x14ac:dyDescent="0.2">
      <c r="A183" s="414" t="str">
        <f t="shared" si="50"/>
        <v>SP-266</v>
      </c>
      <c r="B183" s="303" t="str">
        <f t="shared" ca="1" si="51"/>
        <v>SA-0590-SA-LB-Prod-NW-SL-WFD</v>
      </c>
      <c r="C183" s="303" t="str">
        <f t="shared" ca="1" si="52"/>
        <v>SA-0590-LB-NW-Prod</v>
      </c>
      <c r="D183" s="366">
        <f t="shared" ca="1" si="53"/>
        <v>42398</v>
      </c>
      <c r="E183" s="366">
        <f t="shared" ca="1" si="54"/>
        <v>42468</v>
      </c>
    </row>
    <row r="184" spans="1:5" x14ac:dyDescent="0.2">
      <c r="A184" s="414" t="str">
        <f t="shared" si="50"/>
        <v>SP-267</v>
      </c>
      <c r="B184" s="303" t="str">
        <f t="shared" ca="1" si="51"/>
        <v>SA-0557-SA-MA-Inj-NW-V</v>
      </c>
      <c r="C184" s="303" t="str">
        <f t="shared" ca="1" si="52"/>
        <v>SA-0557-MA-NW-Inj</v>
      </c>
      <c r="D184" s="366">
        <f t="shared" ca="1" si="53"/>
        <v>42402</v>
      </c>
      <c r="E184" s="366">
        <f t="shared" ca="1" si="54"/>
        <v>42472</v>
      </c>
    </row>
    <row r="185" spans="1:5" x14ac:dyDescent="0.2">
      <c r="A185" s="414" t="str">
        <f t="shared" si="50"/>
        <v>SP-279</v>
      </c>
      <c r="B185" s="303" t="str">
        <f t="shared" ca="1" si="51"/>
        <v>SA10-SA-UB-Inj-NW-SL</v>
      </c>
      <c r="C185" s="303" t="str">
        <f t="shared" ca="1" si="52"/>
        <v>SA10-UB-NW-Inj</v>
      </c>
      <c r="D185" s="366">
        <f t="shared" ca="1" si="53"/>
        <v>42395</v>
      </c>
      <c r="E185" s="366">
        <f t="shared" ca="1" si="54"/>
        <v>42465</v>
      </c>
    </row>
    <row r="186" spans="1:5" x14ac:dyDescent="0.2">
      <c r="A186" s="414" t="str">
        <f>B18</f>
        <v>SP-282</v>
      </c>
      <c r="B186" s="303" t="str">
        <f t="shared" ca="1" si="51"/>
        <v>SA2-SA-LB-Prod-NW-SL</v>
      </c>
      <c r="C186" s="303" t="str">
        <f t="shared" ca="1" si="52"/>
        <v>SA2-LB-NW-Prod</v>
      </c>
      <c r="D186" s="366">
        <f t="shared" ca="1" si="53"/>
        <v>42393</v>
      </c>
      <c r="E186" s="366">
        <f t="shared" ca="1" si="54"/>
        <v>42463</v>
      </c>
    </row>
    <row r="187" spans="1:5" x14ac:dyDescent="0.2">
      <c r="A187" s="414" t="str">
        <f t="shared" si="50"/>
        <v>SP-283</v>
      </c>
      <c r="B187" s="303" t="str">
        <f t="shared" ca="1" si="51"/>
        <v>SA12-SA-UB-Prod-NW-SL</v>
      </c>
      <c r="C187" s="303" t="str">
        <f t="shared" ca="1" si="52"/>
        <v>SA12-UB-NW-Prod</v>
      </c>
      <c r="D187" s="366">
        <f t="shared" ca="1" si="53"/>
        <v>42341</v>
      </c>
      <c r="E187" s="366">
        <f t="shared" ca="1" si="54"/>
        <v>42411</v>
      </c>
    </row>
    <row r="188" spans="1:5" x14ac:dyDescent="0.2">
      <c r="A188" s="414" t="str">
        <f t="shared" si="50"/>
        <v>SP-288</v>
      </c>
      <c r="B188" s="303" t="str">
        <f t="shared" ca="1" si="51"/>
        <v>RA12-RA-LB-Prod-NW-HZ-SLB</v>
      </c>
      <c r="C188" s="303" t="str">
        <f t="shared" ca="1" si="52"/>
        <v>RA12-LB-NW-Prod</v>
      </c>
      <c r="D188" s="366">
        <f t="shared" ca="1" si="53"/>
        <v>42416</v>
      </c>
      <c r="E188" s="366">
        <f t="shared" ca="1" si="54"/>
        <v>42486</v>
      </c>
    </row>
    <row r="189" spans="1:5" x14ac:dyDescent="0.2">
      <c r="A189" s="414" t="str">
        <f t="shared" si="50"/>
        <v>SP-294</v>
      </c>
      <c r="B189" s="303" t="str">
        <f t="shared" ca="1" si="51"/>
        <v>SA4-SA-MA-Prod-NW-HZ</v>
      </c>
      <c r="C189" s="303" t="str">
        <f t="shared" ca="1" si="52"/>
        <v>SA4-MA-NW-Prod</v>
      </c>
      <c r="D189" s="366">
        <f t="shared" ca="1" si="53"/>
        <v>42398</v>
      </c>
      <c r="E189" s="366">
        <f t="shared" ca="1" si="54"/>
        <v>42468</v>
      </c>
    </row>
    <row r="190" spans="1:5" x14ac:dyDescent="0.2">
      <c r="A190" s="414" t="str">
        <f>B22</f>
        <v>SP-295</v>
      </c>
      <c r="B190" s="303" t="str">
        <f t="shared" ca="1" si="51"/>
        <v>SA14-SA-MA-Inj-ST-HZ</v>
      </c>
      <c r="C190" s="303" t="str">
        <f t="shared" ca="1" si="52"/>
        <v>SA14-MA-ST-Inj</v>
      </c>
      <c r="D190" s="366">
        <f t="shared" ca="1" si="53"/>
        <v>42402</v>
      </c>
      <c r="E190" s="366">
        <f t="shared" ca="1" si="54"/>
        <v>42451</v>
      </c>
    </row>
    <row r="191" spans="1:5" x14ac:dyDescent="0.2">
      <c r="D191" s="366"/>
      <c r="E191" s="366"/>
    </row>
    <row r="192" spans="1:5" x14ac:dyDescent="0.2">
      <c r="A192" s="414" t="s">
        <v>1636</v>
      </c>
      <c r="B192" s="303" t="s">
        <v>1653</v>
      </c>
      <c r="C192" s="303" t="s">
        <v>1654</v>
      </c>
      <c r="D192" s="366" t="s">
        <v>1655</v>
      </c>
      <c r="E192" s="366" t="s">
        <v>1656</v>
      </c>
    </row>
    <row r="193" spans="1:5" x14ac:dyDescent="0.2">
      <c r="A193" s="414" t="str">
        <f t="shared" ref="A193:A213" si="55">B2</f>
        <v>BWD-130</v>
      </c>
      <c r="B193" s="303" t="str">
        <f t="shared" ref="B193:B213" ca="1" si="56">AA2</f>
        <v/>
      </c>
      <c r="C193" s="303" t="str">
        <f t="shared" ref="C193:C213" ca="1" si="57">AB2</f>
        <v/>
      </c>
      <c r="D193" s="366" t="str">
        <f t="shared" ref="D193:D213" ca="1" si="58">AD2</f>
        <v/>
      </c>
      <c r="E193" s="366" t="str">
        <f t="shared" ref="E193:E213" ca="1" si="59">AE2</f>
        <v/>
      </c>
    </row>
    <row r="194" spans="1:5" x14ac:dyDescent="0.2">
      <c r="A194" s="414" t="str">
        <f t="shared" si="55"/>
        <v>KDC-25</v>
      </c>
      <c r="B194" s="303" t="str">
        <f t="shared" ca="1" si="56"/>
        <v>SA-0142-SA-MA-Prod-ST-HZ-Baker</v>
      </c>
      <c r="C194" s="303" t="str">
        <f t="shared" ca="1" si="57"/>
        <v>SA-0142-MA-ST-Prod</v>
      </c>
      <c r="D194" s="366">
        <f t="shared" ca="1" si="58"/>
        <v>42498</v>
      </c>
      <c r="E194" s="366">
        <f t="shared" ca="1" si="59"/>
        <v>42554</v>
      </c>
    </row>
    <row r="195" spans="1:5" x14ac:dyDescent="0.2">
      <c r="A195" s="414" t="str">
        <f t="shared" si="55"/>
        <v>KDC-26</v>
      </c>
      <c r="B195" s="303" t="str">
        <f t="shared" ca="1" si="56"/>
        <v>SA17-SA-MA-Prod-NW-HZ</v>
      </c>
      <c r="C195" s="303" t="str">
        <f t="shared" ca="1" si="57"/>
        <v>SA17-MA-NW-Prod</v>
      </c>
      <c r="D195" s="366">
        <f t="shared" ca="1" si="58"/>
        <v>42466</v>
      </c>
      <c r="E195" s="366">
        <f t="shared" ca="1" si="59"/>
        <v>42536</v>
      </c>
    </row>
    <row r="196" spans="1:5" x14ac:dyDescent="0.2">
      <c r="A196" s="414" t="str">
        <f t="shared" si="55"/>
        <v>KDC-28</v>
      </c>
      <c r="B196" s="303" t="str">
        <f t="shared" ca="1" si="56"/>
        <v/>
      </c>
      <c r="C196" s="303" t="str">
        <f t="shared" ca="1" si="57"/>
        <v/>
      </c>
      <c r="D196" s="366" t="str">
        <f t="shared" ca="1" si="58"/>
        <v/>
      </c>
      <c r="E196" s="366" t="str">
        <f t="shared" ca="1" si="59"/>
        <v/>
      </c>
    </row>
    <row r="197" spans="1:5" x14ac:dyDescent="0.2">
      <c r="A197" s="414" t="str">
        <f t="shared" si="55"/>
        <v>KDC-44</v>
      </c>
      <c r="B197" s="303" t="str">
        <f t="shared" ca="1" si="56"/>
        <v>Rig-mov-exploration</v>
      </c>
      <c r="C197" s="303" t="str">
        <f t="shared" ca="1" si="57"/>
        <v>Rig-mov-exploration</v>
      </c>
      <c r="D197" s="366" t="str">
        <f t="shared" ca="1" si="58"/>
        <v/>
      </c>
      <c r="E197" s="366" t="str">
        <f t="shared" ca="1" si="59"/>
        <v/>
      </c>
    </row>
    <row r="198" spans="1:5" x14ac:dyDescent="0.2">
      <c r="A198" s="414" t="str">
        <f t="shared" si="55"/>
        <v>KDC-49</v>
      </c>
      <c r="B198" s="303" t="str">
        <f t="shared" ca="1" si="56"/>
        <v>SA18-SA-MA-Inj-NW-HZ</v>
      </c>
      <c r="C198" s="303" t="str">
        <f t="shared" ca="1" si="57"/>
        <v>SA18-MA-NW-Inj</v>
      </c>
      <c r="D198" s="366">
        <f t="shared" ca="1" si="58"/>
        <v>42531</v>
      </c>
      <c r="E198" s="366">
        <f t="shared" ca="1" si="59"/>
        <v>42594</v>
      </c>
    </row>
    <row r="199" spans="1:5" x14ac:dyDescent="0.2">
      <c r="A199" s="414" t="str">
        <f t="shared" si="55"/>
        <v>NDSC-15</v>
      </c>
      <c r="B199" s="303" t="str">
        <f t="shared" ca="1" si="56"/>
        <v>RA19-RA-ZU-Prod-NW-HZ-SLB</v>
      </c>
      <c r="C199" s="303" t="str">
        <f t="shared" ca="1" si="57"/>
        <v>RA19-ZU-NW-Prod</v>
      </c>
      <c r="D199" s="366" t="str">
        <f t="shared" ca="1" si="58"/>
        <v/>
      </c>
      <c r="E199" s="366" t="str">
        <f t="shared" ca="1" si="59"/>
        <v/>
      </c>
    </row>
    <row r="200" spans="1:5" x14ac:dyDescent="0.2">
      <c r="A200" s="414" t="str">
        <f t="shared" si="55"/>
        <v>NDSC-16</v>
      </c>
      <c r="B200" s="303" t="str">
        <f t="shared" ca="1" si="56"/>
        <v>SA19-SA-MA-Prod-NW-HZ</v>
      </c>
      <c r="C200" s="303" t="str">
        <f t="shared" ca="1" si="57"/>
        <v>SA19-MA-NW-Prod</v>
      </c>
      <c r="D200" s="366">
        <f t="shared" ca="1" si="58"/>
        <v>42519</v>
      </c>
      <c r="E200" s="366">
        <f t="shared" ca="1" si="59"/>
        <v>42589</v>
      </c>
    </row>
    <row r="201" spans="1:5" x14ac:dyDescent="0.2">
      <c r="A201" s="414" t="str">
        <f t="shared" si="55"/>
        <v>NDSC-17</v>
      </c>
      <c r="B201" s="303" t="str">
        <f t="shared" ca="1" si="56"/>
        <v>RA4-RA-MA-Prod</v>
      </c>
      <c r="C201" s="303" t="str">
        <f t="shared" ca="1" si="57"/>
        <v>RA4-MA-Prod</v>
      </c>
      <c r="D201" s="366">
        <f t="shared" ca="1" si="58"/>
        <v>42477</v>
      </c>
      <c r="E201" s="366">
        <f t="shared" ca="1" si="59"/>
        <v>42547</v>
      </c>
    </row>
    <row r="202" spans="1:5" x14ac:dyDescent="0.2">
      <c r="A202" s="414" t="str">
        <f t="shared" si="55"/>
        <v>SP-158</v>
      </c>
      <c r="B202" s="303" t="str">
        <f t="shared" ca="1" si="56"/>
        <v>Rig-Exp-13Jan2016</v>
      </c>
      <c r="C202" s="303" t="str">
        <f t="shared" ca="1" si="57"/>
        <v>Rig-Exp-13Jan2016</v>
      </c>
      <c r="D202" s="366" t="str">
        <f t="shared" ca="1" si="58"/>
        <v/>
      </c>
      <c r="E202" s="366" t="str">
        <f t="shared" ca="1" si="59"/>
        <v/>
      </c>
    </row>
    <row r="203" spans="1:5" x14ac:dyDescent="0.2">
      <c r="A203" s="414" t="str">
        <f t="shared" si="55"/>
        <v>SP-159</v>
      </c>
      <c r="B203" s="303" t="str">
        <f t="shared" ca="1" si="56"/>
        <v>Rig-Exp14Feb2016</v>
      </c>
      <c r="C203" s="303" t="str">
        <f t="shared" ca="1" si="57"/>
        <v>Rig-Exp14Feb2016</v>
      </c>
      <c r="D203" s="366" t="str">
        <f t="shared" ca="1" si="58"/>
        <v/>
      </c>
      <c r="E203" s="366" t="str">
        <f t="shared" ca="1" si="59"/>
        <v/>
      </c>
    </row>
    <row r="204" spans="1:5" x14ac:dyDescent="0.2">
      <c r="A204" s="414" t="str">
        <f t="shared" si="55"/>
        <v>SP-185</v>
      </c>
      <c r="B204" s="303" t="str">
        <f t="shared" ca="1" si="56"/>
        <v>RA22-RA-UB-Prod-NW-HZ-SLB</v>
      </c>
      <c r="C204" s="303" t="str">
        <f t="shared" ca="1" si="57"/>
        <v>RA22-UB-NW-Prod</v>
      </c>
      <c r="D204" s="366">
        <f t="shared" ca="1" si="58"/>
        <v>42536</v>
      </c>
      <c r="E204" s="366">
        <f t="shared" ca="1" si="59"/>
        <v>42606</v>
      </c>
    </row>
    <row r="205" spans="1:5" x14ac:dyDescent="0.2">
      <c r="A205" s="414" t="str">
        <f t="shared" si="55"/>
        <v>SP-186</v>
      </c>
      <c r="B205" s="303" t="str">
        <f t="shared" ca="1" si="56"/>
        <v>SA40-SA-MA-Prod-NW-HZ</v>
      </c>
      <c r="C205" s="303" t="str">
        <f t="shared" ca="1" si="57"/>
        <v>SA40-MA-NW-Prod</v>
      </c>
      <c r="D205" s="366">
        <f t="shared" ca="1" si="58"/>
        <v>42558</v>
      </c>
      <c r="E205" s="366">
        <f t="shared" ca="1" si="59"/>
        <v>42628</v>
      </c>
    </row>
    <row r="206" spans="1:5" x14ac:dyDescent="0.2">
      <c r="A206" s="414" t="str">
        <f t="shared" si="55"/>
        <v>SP-266</v>
      </c>
      <c r="B206" s="303" t="str">
        <f t="shared" ca="1" si="56"/>
        <v>RA11-RA-MA-Prod-NW-HZ-SLB</v>
      </c>
      <c r="C206" s="303" t="str">
        <f t="shared" ca="1" si="57"/>
        <v>RA11-MA-NW-Prod</v>
      </c>
      <c r="D206" s="366">
        <f t="shared" ca="1" si="58"/>
        <v>42473</v>
      </c>
      <c r="E206" s="366">
        <f t="shared" ca="1" si="59"/>
        <v>42543</v>
      </c>
    </row>
    <row r="207" spans="1:5" x14ac:dyDescent="0.2">
      <c r="A207" s="414" t="str">
        <f t="shared" si="55"/>
        <v>SP-267</v>
      </c>
      <c r="B207" s="303" t="str">
        <f t="shared" ca="1" si="56"/>
        <v>SA-0560-SA-MA-Inj-NW-V</v>
      </c>
      <c r="C207" s="303" t="str">
        <f t="shared" ca="1" si="57"/>
        <v>SA-0560-MA-NW-Inj</v>
      </c>
      <c r="D207" s="366">
        <f t="shared" ca="1" si="58"/>
        <v>42477</v>
      </c>
      <c r="E207" s="366">
        <f t="shared" ca="1" si="59"/>
        <v>42547</v>
      </c>
    </row>
    <row r="208" spans="1:5" x14ac:dyDescent="0.2">
      <c r="A208" s="414" t="str">
        <f t="shared" si="55"/>
        <v>SP-279</v>
      </c>
      <c r="B208" s="303" t="str">
        <f t="shared" ca="1" si="56"/>
        <v/>
      </c>
      <c r="C208" s="303" t="str">
        <f t="shared" ca="1" si="57"/>
        <v/>
      </c>
      <c r="D208" s="366" t="str">
        <f t="shared" ca="1" si="58"/>
        <v/>
      </c>
      <c r="E208" s="366" t="str">
        <f t="shared" ca="1" si="59"/>
        <v/>
      </c>
    </row>
    <row r="209" spans="1:5" x14ac:dyDescent="0.2">
      <c r="A209" s="414" t="str">
        <f t="shared" si="55"/>
        <v>SP-282</v>
      </c>
      <c r="B209" s="303" t="str">
        <f t="shared" ca="1" si="56"/>
        <v>SA3-SA-LB-Prod-HZ</v>
      </c>
      <c r="C209" s="303" t="str">
        <f t="shared" ca="1" si="57"/>
        <v>SA3-LB-Prod</v>
      </c>
      <c r="D209" s="366">
        <f t="shared" ca="1" si="58"/>
        <v>42468</v>
      </c>
      <c r="E209" s="366">
        <f t="shared" ca="1" si="59"/>
        <v>42538</v>
      </c>
    </row>
    <row r="210" spans="1:5" x14ac:dyDescent="0.2">
      <c r="A210" s="414" t="str">
        <f t="shared" si="55"/>
        <v>SP-283</v>
      </c>
      <c r="B210" s="303" t="str">
        <f t="shared" ca="1" si="56"/>
        <v>SA25-SA-MA-Prod-NW-HZ</v>
      </c>
      <c r="C210" s="303" t="str">
        <f t="shared" ca="1" si="57"/>
        <v>SA25-MA-NW-Prod</v>
      </c>
      <c r="D210" s="366">
        <f t="shared" ca="1" si="58"/>
        <v>42416</v>
      </c>
      <c r="E210" s="366">
        <f t="shared" ca="1" si="59"/>
        <v>42486</v>
      </c>
    </row>
    <row r="211" spans="1:5" x14ac:dyDescent="0.2">
      <c r="A211" s="414" t="str">
        <f>B20</f>
        <v>SP-288</v>
      </c>
      <c r="B211" s="303" t="str">
        <f t="shared" ca="1" si="56"/>
        <v>SA26-SA-MA-Prod-NW-HZ</v>
      </c>
      <c r="C211" s="303" t="str">
        <f t="shared" ca="1" si="57"/>
        <v>SA26-MA-NW-Prod</v>
      </c>
      <c r="D211" s="366">
        <f t="shared" ca="1" si="58"/>
        <v>42491</v>
      </c>
      <c r="E211" s="366">
        <f t="shared" ca="1" si="59"/>
        <v>42561</v>
      </c>
    </row>
    <row r="212" spans="1:5" x14ac:dyDescent="0.2">
      <c r="A212" s="414" t="str">
        <f t="shared" si="55"/>
        <v>SP-294</v>
      </c>
      <c r="B212" s="303" t="str">
        <f t="shared" ca="1" si="56"/>
        <v>SA13-SA-MA-Prod-NW-HZ</v>
      </c>
      <c r="C212" s="303" t="str">
        <f t="shared" ca="1" si="57"/>
        <v>SA13-MA-NW-Prod</v>
      </c>
      <c r="D212" s="366">
        <f t="shared" ca="1" si="58"/>
        <v>42473</v>
      </c>
      <c r="E212" s="366">
        <f t="shared" ca="1" si="59"/>
        <v>42543</v>
      </c>
    </row>
    <row r="213" spans="1:5" x14ac:dyDescent="0.2">
      <c r="A213" s="414" t="str">
        <f t="shared" si="55"/>
        <v>SP-295</v>
      </c>
      <c r="B213" s="303" t="str">
        <f t="shared" ca="1" si="56"/>
        <v>SA27-SA-MA-Prod-NW-HZ</v>
      </c>
      <c r="C213" s="303" t="str">
        <f t="shared" ca="1" si="57"/>
        <v>SA27-MA-NW-Prod</v>
      </c>
      <c r="D213" s="366">
        <f t="shared" ca="1" si="58"/>
        <v>42456</v>
      </c>
      <c r="E213" s="366">
        <f t="shared" ca="1" si="59"/>
        <v>42526</v>
      </c>
    </row>
    <row r="214" spans="1:5" x14ac:dyDescent="0.2">
      <c r="D214" s="366"/>
      <c r="E214" s="366"/>
    </row>
    <row r="215" spans="1:5" x14ac:dyDescent="0.2">
      <c r="A215" s="414" t="s">
        <v>1636</v>
      </c>
      <c r="B215" s="303" t="s">
        <v>1657</v>
      </c>
      <c r="C215" s="303" t="s">
        <v>1658</v>
      </c>
      <c r="D215" s="366" t="s">
        <v>1659</v>
      </c>
      <c r="E215" s="366" t="s">
        <v>1660</v>
      </c>
    </row>
    <row r="216" spans="1:5" x14ac:dyDescent="0.2">
      <c r="A216" s="414" t="str">
        <f t="shared" ref="A216:A236" si="60">B2</f>
        <v>BWD-130</v>
      </c>
      <c r="B216" s="303" t="str">
        <f t="shared" ref="B216:B236" ca="1" si="61">AG2</f>
        <v/>
      </c>
      <c r="C216" s="303" t="str">
        <f t="shared" ref="C216:C236" ca="1" si="62">AH2</f>
        <v/>
      </c>
      <c r="D216" s="366" t="str">
        <f t="shared" ref="D216:D236" ca="1" si="63">AJ2</f>
        <v/>
      </c>
      <c r="E216" s="366" t="str">
        <f t="shared" ref="E216:E236" ca="1" si="64">AK2</f>
        <v/>
      </c>
    </row>
    <row r="217" spans="1:5" x14ac:dyDescent="0.2">
      <c r="A217" s="414" t="str">
        <f t="shared" si="60"/>
        <v>KDC-25</v>
      </c>
      <c r="B217" s="303" t="str">
        <f t="shared" ca="1" si="61"/>
        <v>SA15-SA-MA-Inj-ST-HZ</v>
      </c>
      <c r="C217" s="303" t="str">
        <f t="shared" ca="1" si="62"/>
        <v>SA15-MA-ST-Inj</v>
      </c>
      <c r="D217" s="366">
        <f t="shared" ca="1" si="63"/>
        <v>42559</v>
      </c>
      <c r="E217" s="366">
        <f t="shared" ca="1" si="64"/>
        <v>42608</v>
      </c>
    </row>
    <row r="218" spans="1:5" x14ac:dyDescent="0.2">
      <c r="A218" s="414" t="str">
        <f t="shared" si="60"/>
        <v>KDC-26</v>
      </c>
      <c r="B218" s="303" t="str">
        <f t="shared" ca="1" si="61"/>
        <v>RA17-RA-MA-Inj-NW-HZ-SLB</v>
      </c>
      <c r="C218" s="303" t="str">
        <f t="shared" ca="1" si="62"/>
        <v>RA17-MA-NW-Inj</v>
      </c>
      <c r="D218" s="366">
        <f t="shared" ca="1" si="63"/>
        <v>42541</v>
      </c>
      <c r="E218" s="366">
        <f t="shared" ca="1" si="64"/>
        <v>42604</v>
      </c>
    </row>
    <row r="219" spans="1:5" x14ac:dyDescent="0.2">
      <c r="A219" s="414" t="str">
        <f t="shared" si="60"/>
        <v>KDC-28</v>
      </c>
      <c r="B219" s="303" t="str">
        <f t="shared" ca="1" si="61"/>
        <v/>
      </c>
      <c r="C219" s="303" t="str">
        <f t="shared" ca="1" si="62"/>
        <v/>
      </c>
      <c r="D219" s="366" t="str">
        <f t="shared" ca="1" si="63"/>
        <v/>
      </c>
      <c r="E219" s="366" t="str">
        <f t="shared" ca="1" si="64"/>
        <v/>
      </c>
    </row>
    <row r="220" spans="1:5" x14ac:dyDescent="0.2">
      <c r="A220" s="414" t="str">
        <f t="shared" si="60"/>
        <v>KDC-44</v>
      </c>
      <c r="B220" s="303" t="str">
        <f t="shared" ca="1" si="61"/>
        <v>RA13-RA-MA-Prod-NW-HZ-SLB</v>
      </c>
      <c r="C220" s="303" t="str">
        <f t="shared" ca="1" si="62"/>
        <v/>
      </c>
      <c r="D220" s="366" t="str">
        <f t="shared" ca="1" si="63"/>
        <v/>
      </c>
      <c r="E220" s="366" t="str">
        <f t="shared" ca="1" si="64"/>
        <v/>
      </c>
    </row>
    <row r="221" spans="1:5" x14ac:dyDescent="0.2">
      <c r="A221" s="414" t="str">
        <f t="shared" si="60"/>
        <v>KDC-49</v>
      </c>
      <c r="B221" s="303" t="str">
        <f t="shared" ca="1" si="61"/>
        <v>RA18-RA-LB-Prod-NW-SL-SLB</v>
      </c>
      <c r="C221" s="303" t="str">
        <f t="shared" ca="1" si="62"/>
        <v>RA18-LB-NW-Prod</v>
      </c>
      <c r="D221" s="366">
        <f t="shared" ca="1" si="63"/>
        <v>42599</v>
      </c>
      <c r="E221" s="366">
        <f t="shared" ca="1" si="64"/>
        <v>42669</v>
      </c>
    </row>
    <row r="222" spans="1:5" x14ac:dyDescent="0.2">
      <c r="A222" s="414" t="str">
        <f t="shared" si="60"/>
        <v>NDSC-15</v>
      </c>
      <c r="B222" s="303" t="str">
        <f t="shared" ca="1" si="61"/>
        <v>SA47-SA-MA-Inj-NW-HZ</v>
      </c>
      <c r="C222" s="303" t="str">
        <f t="shared" ca="1" si="62"/>
        <v>SA47-MA-NW-Inj</v>
      </c>
      <c r="D222" s="366" t="str">
        <f t="shared" ca="1" si="63"/>
        <v/>
      </c>
      <c r="E222" s="366" t="str">
        <f t="shared" ca="1" si="64"/>
        <v/>
      </c>
    </row>
    <row r="223" spans="1:5" x14ac:dyDescent="0.2">
      <c r="A223" s="414" t="str">
        <f t="shared" si="60"/>
        <v>NDSC-16</v>
      </c>
      <c r="B223" s="303" t="str">
        <f t="shared" ca="1" si="61"/>
        <v>RA20-RA-LB-Prod-NW-SL-SLB</v>
      </c>
      <c r="C223" s="303" t="str">
        <f t="shared" ca="1" si="62"/>
        <v>RA20-LB-NW-Prod</v>
      </c>
      <c r="D223" s="366">
        <f t="shared" ca="1" si="63"/>
        <v>42594</v>
      </c>
      <c r="E223" s="366">
        <f t="shared" ca="1" si="64"/>
        <v>42664</v>
      </c>
    </row>
    <row r="224" spans="1:5" x14ac:dyDescent="0.2">
      <c r="A224" s="414" t="str">
        <f t="shared" si="60"/>
        <v>NDSC-17</v>
      </c>
      <c r="B224" s="303" t="str">
        <f t="shared" ca="1" si="61"/>
        <v>SA20-SA-MA-Prod-NW-HZ</v>
      </c>
      <c r="C224" s="303" t="str">
        <f t="shared" ca="1" si="62"/>
        <v>SA20-MA-NW-Prod</v>
      </c>
      <c r="D224" s="366">
        <f t="shared" ca="1" si="63"/>
        <v>42552</v>
      </c>
      <c r="E224" s="366">
        <f t="shared" ca="1" si="64"/>
        <v>42622</v>
      </c>
    </row>
    <row r="225" spans="1:5" x14ac:dyDescent="0.2">
      <c r="A225" s="414" t="str">
        <f t="shared" si="60"/>
        <v>SP-158</v>
      </c>
      <c r="B225" s="303" t="str">
        <f t="shared" ca="1" si="61"/>
        <v>SA8-SA-UB-Prod-NW-SL</v>
      </c>
      <c r="C225" s="303" t="str">
        <f t="shared" ca="1" si="62"/>
        <v/>
      </c>
      <c r="D225" s="366" t="str">
        <f t="shared" ca="1" si="63"/>
        <v/>
      </c>
      <c r="E225" s="366" t="str">
        <f t="shared" ca="1" si="64"/>
        <v/>
      </c>
    </row>
    <row r="226" spans="1:5" x14ac:dyDescent="0.2">
      <c r="A226" s="414" t="str">
        <f t="shared" si="60"/>
        <v>SP-159</v>
      </c>
      <c r="B226" s="303" t="str">
        <f t="shared" ca="1" si="61"/>
        <v>RA15-RA-ZU-Inj-NW-HZ-SLB</v>
      </c>
      <c r="C226" s="303" t="str">
        <f t="shared" ca="1" si="62"/>
        <v/>
      </c>
      <c r="D226" s="366" t="str">
        <f t="shared" ca="1" si="63"/>
        <v/>
      </c>
      <c r="E226" s="366" t="str">
        <f t="shared" ca="1" si="64"/>
        <v/>
      </c>
    </row>
    <row r="227" spans="1:5" x14ac:dyDescent="0.2">
      <c r="A227" s="414" t="str">
        <f t="shared" si="60"/>
        <v>SP-185</v>
      </c>
      <c r="B227" s="303" t="str">
        <f t="shared" ca="1" si="61"/>
        <v>SA49-SA-UB-Inj-NW-SL</v>
      </c>
      <c r="C227" s="303" t="str">
        <f t="shared" ca="1" si="62"/>
        <v>SA49-UB-NW-Inj</v>
      </c>
      <c r="D227" s="366">
        <f t="shared" ca="1" si="63"/>
        <v>42611</v>
      </c>
      <c r="E227" s="366">
        <f t="shared" ca="1" si="64"/>
        <v>42681</v>
      </c>
    </row>
    <row r="228" spans="1:5" x14ac:dyDescent="0.2">
      <c r="A228" s="414" t="str">
        <f t="shared" si="60"/>
        <v>SP-186</v>
      </c>
      <c r="B228" s="303" t="str">
        <f t="shared" ca="1" si="61"/>
        <v>RA29-RA-MA-Inj-NW-HZ-SLB</v>
      </c>
      <c r="C228" s="303" t="str">
        <f t="shared" ca="1" si="62"/>
        <v>RA29-MA-NW-Inj</v>
      </c>
      <c r="D228" s="366">
        <f t="shared" ca="1" si="63"/>
        <v>42633</v>
      </c>
      <c r="E228" s="366">
        <f t="shared" ca="1" si="64"/>
        <v>42696</v>
      </c>
    </row>
    <row r="229" spans="1:5" x14ac:dyDescent="0.2">
      <c r="A229" s="414" t="str">
        <f t="shared" si="60"/>
        <v>SP-266</v>
      </c>
      <c r="B229" s="303" t="str">
        <f t="shared" ca="1" si="61"/>
        <v>SA22-SA-MA-Prod-NW-HZ</v>
      </c>
      <c r="C229" s="303" t="str">
        <f t="shared" ca="1" si="62"/>
        <v>SA22-MA-NW-Prod</v>
      </c>
      <c r="D229" s="366">
        <f t="shared" ca="1" si="63"/>
        <v>42548</v>
      </c>
      <c r="E229" s="366">
        <f t="shared" ca="1" si="64"/>
        <v>42618</v>
      </c>
    </row>
    <row r="230" spans="1:5" x14ac:dyDescent="0.2">
      <c r="A230" s="414" t="str">
        <f t="shared" si="60"/>
        <v>SP-267</v>
      </c>
      <c r="B230" s="303" t="str">
        <f t="shared" ca="1" si="61"/>
        <v>RA23-RA-MA-Inj-ST-SLB</v>
      </c>
      <c r="C230" s="303" t="str">
        <f t="shared" ca="1" si="62"/>
        <v>RA23-MA-ST-Inj</v>
      </c>
      <c r="D230" s="366">
        <f t="shared" ca="1" si="63"/>
        <v>42552</v>
      </c>
      <c r="E230" s="366">
        <f t="shared" ca="1" si="64"/>
        <v>42601</v>
      </c>
    </row>
    <row r="231" spans="1:5" x14ac:dyDescent="0.2">
      <c r="A231" s="414" t="str">
        <f t="shared" si="60"/>
        <v>SP-279</v>
      </c>
      <c r="B231" s="303" t="str">
        <f t="shared" ca="1" si="61"/>
        <v/>
      </c>
      <c r="C231" s="303" t="str">
        <f t="shared" ca="1" si="62"/>
        <v/>
      </c>
      <c r="D231" s="366" t="str">
        <f t="shared" ca="1" si="63"/>
        <v/>
      </c>
      <c r="E231" s="366" t="str">
        <f t="shared" ca="1" si="64"/>
        <v/>
      </c>
    </row>
    <row r="232" spans="1:5" x14ac:dyDescent="0.2">
      <c r="A232" s="414" t="str">
        <f t="shared" si="60"/>
        <v>SP-282</v>
      </c>
      <c r="B232" s="303" t="str">
        <f t="shared" ca="1" si="61"/>
        <v/>
      </c>
      <c r="C232" s="303" t="str">
        <f t="shared" ca="1" si="62"/>
        <v/>
      </c>
      <c r="D232" s="366" t="str">
        <f t="shared" ca="1" si="63"/>
        <v/>
      </c>
      <c r="E232" s="366" t="str">
        <f t="shared" ca="1" si="64"/>
        <v/>
      </c>
    </row>
    <row r="233" spans="1:5" x14ac:dyDescent="0.2">
      <c r="A233" s="414" t="str">
        <f t="shared" si="60"/>
        <v>SP-283</v>
      </c>
      <c r="B233" s="303" t="str">
        <f t="shared" ca="1" si="61"/>
        <v>SA43-SA-MA-Prod-NW-HZ</v>
      </c>
      <c r="C233" s="303" t="str">
        <f t="shared" ca="1" si="62"/>
        <v>SA43-MA-NW-Prod</v>
      </c>
      <c r="D233" s="366">
        <f t="shared" ca="1" si="63"/>
        <v>42491</v>
      </c>
      <c r="E233" s="366">
        <f t="shared" ca="1" si="64"/>
        <v>42561</v>
      </c>
    </row>
    <row r="234" spans="1:5" x14ac:dyDescent="0.2">
      <c r="A234" s="414" t="str">
        <f t="shared" si="60"/>
        <v>SP-288</v>
      </c>
      <c r="B234" s="303" t="str">
        <f t="shared" ca="1" si="61"/>
        <v>SA44-SA-MA-Prod-NW-HZ</v>
      </c>
      <c r="C234" s="303" t="str">
        <f t="shared" ca="1" si="62"/>
        <v>SA44-MA-NW-Prod</v>
      </c>
      <c r="D234" s="366">
        <f t="shared" ca="1" si="63"/>
        <v>42566</v>
      </c>
      <c r="E234" s="366">
        <f t="shared" ca="1" si="64"/>
        <v>42636</v>
      </c>
    </row>
    <row r="235" spans="1:5" x14ac:dyDescent="0.2">
      <c r="A235" s="414" t="str">
        <f t="shared" si="60"/>
        <v>SP-294</v>
      </c>
      <c r="B235" s="303" t="str">
        <f t="shared" ca="1" si="61"/>
        <v>RA16-RA-MA-Inj-NW-HZ-SLB</v>
      </c>
      <c r="C235" s="303" t="str">
        <f t="shared" ca="1" si="62"/>
        <v>RA16-MA-NW-Inj</v>
      </c>
      <c r="D235" s="366">
        <f t="shared" ca="1" si="63"/>
        <v>42548</v>
      </c>
      <c r="E235" s="366">
        <f t="shared" ca="1" si="64"/>
        <v>42611</v>
      </c>
    </row>
    <row r="236" spans="1:5" x14ac:dyDescent="0.2">
      <c r="A236" s="414" t="str">
        <f t="shared" si="60"/>
        <v>SP-295</v>
      </c>
      <c r="B236" s="303" t="str">
        <f t="shared" ca="1" si="61"/>
        <v>RA24-RA-MA-Inj-NW-HZ-SLB</v>
      </c>
      <c r="C236" s="303" t="str">
        <f t="shared" ca="1" si="62"/>
        <v>RA24-MA-NW-Inj</v>
      </c>
      <c r="D236" s="366">
        <f t="shared" ca="1" si="63"/>
        <v>42531</v>
      </c>
      <c r="E236" s="366">
        <f t="shared" ca="1" si="64"/>
        <v>42594</v>
      </c>
    </row>
    <row r="237" spans="1:5" x14ac:dyDescent="0.2">
      <c r="D237" s="366"/>
      <c r="E237" s="366"/>
    </row>
    <row r="238" spans="1:5" x14ac:dyDescent="0.2">
      <c r="A238" s="414" t="s">
        <v>1636</v>
      </c>
      <c r="B238" s="303" t="s">
        <v>1661</v>
      </c>
      <c r="C238" s="303" t="s">
        <v>1662</v>
      </c>
      <c r="D238" s="366" t="s">
        <v>1663</v>
      </c>
      <c r="E238" s="366" t="s">
        <v>1664</v>
      </c>
    </row>
    <row r="239" spans="1:5" x14ac:dyDescent="0.2">
      <c r="A239" s="414" t="str">
        <f t="shared" ref="A239:A258" si="65">B2</f>
        <v>BWD-130</v>
      </c>
      <c r="B239" s="303" t="str">
        <f t="shared" ref="B239:B259" ca="1" si="66">AM2</f>
        <v/>
      </c>
      <c r="C239" s="303" t="str">
        <f t="shared" ref="C239:C259" ca="1" si="67">AN2</f>
        <v/>
      </c>
      <c r="D239" s="366" t="str">
        <f t="shared" ref="D239:D259" ca="1" si="68">AP2</f>
        <v/>
      </c>
      <c r="E239" s="366" t="str">
        <f t="shared" ref="E239:E259" ca="1" si="69">AQ2</f>
        <v/>
      </c>
    </row>
    <row r="240" spans="1:5" x14ac:dyDescent="0.2">
      <c r="A240" s="414" t="str">
        <f t="shared" si="65"/>
        <v>KDC-25</v>
      </c>
      <c r="B240" s="303" t="str">
        <f t="shared" ca="1" si="66"/>
        <v>SA28-SA-MA-Prod-NW-HZ</v>
      </c>
      <c r="C240" s="303" t="str">
        <f t="shared" ca="1" si="67"/>
        <v>SA28-MA-NW-Prod</v>
      </c>
      <c r="D240" s="366">
        <f t="shared" ca="1" si="68"/>
        <v>42613</v>
      </c>
      <c r="E240" s="366">
        <f t="shared" ca="1" si="69"/>
        <v>42683</v>
      </c>
    </row>
    <row r="241" spans="1:5" x14ac:dyDescent="0.2">
      <c r="A241" s="414" t="str">
        <f t="shared" si="65"/>
        <v>KDC-26</v>
      </c>
      <c r="B241" s="303" t="str">
        <f t="shared" ca="1" si="66"/>
        <v>SA46-SA-LB-Prod-NW-SL</v>
      </c>
      <c r="C241" s="303" t="str">
        <f t="shared" ca="1" si="67"/>
        <v>SA46-LB-NW-Prod</v>
      </c>
      <c r="D241" s="366">
        <f t="shared" ca="1" si="68"/>
        <v>42609</v>
      </c>
      <c r="E241" s="366">
        <f t="shared" ca="1" si="69"/>
        <v>42679</v>
      </c>
    </row>
    <row r="242" spans="1:5" x14ac:dyDescent="0.2">
      <c r="A242" s="414" t="str">
        <f t="shared" si="65"/>
        <v>KDC-28</v>
      </c>
      <c r="B242" s="303" t="str">
        <f t="shared" ca="1" si="66"/>
        <v/>
      </c>
      <c r="C242" s="303" t="str">
        <f t="shared" ca="1" si="67"/>
        <v/>
      </c>
      <c r="D242" s="366" t="str">
        <f t="shared" ca="1" si="68"/>
        <v/>
      </c>
      <c r="E242" s="366" t="str">
        <f t="shared" ca="1" si="69"/>
        <v/>
      </c>
    </row>
    <row r="243" spans="1:5" x14ac:dyDescent="0.2">
      <c r="A243" s="414" t="str">
        <f t="shared" si="65"/>
        <v>KDC-44</v>
      </c>
      <c r="B243" s="303" t="str">
        <f t="shared" ca="1" si="66"/>
        <v>SA29-SA-RT-Inj-NW-HZ</v>
      </c>
      <c r="C243" s="303" t="str">
        <f t="shared" ca="1" si="67"/>
        <v>SA29-RT-NW-Inj</v>
      </c>
      <c r="D243" s="366" t="str">
        <f t="shared" ca="1" si="68"/>
        <v/>
      </c>
      <c r="E243" s="366" t="str">
        <f t="shared" ca="1" si="69"/>
        <v/>
      </c>
    </row>
    <row r="244" spans="1:5" x14ac:dyDescent="0.2">
      <c r="A244" s="414" t="str">
        <f t="shared" si="65"/>
        <v>KDC-49</v>
      </c>
      <c r="B244" s="303" t="str">
        <f t="shared" ca="1" si="66"/>
        <v>RA26-RA-UB-Prod-NW-SL-SLB</v>
      </c>
      <c r="C244" s="303" t="str">
        <f t="shared" ca="1" si="67"/>
        <v>RA26-UB-NW-Prod</v>
      </c>
      <c r="D244" s="366">
        <f t="shared" ca="1" si="68"/>
        <v>42674</v>
      </c>
      <c r="E244" s="366">
        <f t="shared" ca="1" si="69"/>
        <v>42744</v>
      </c>
    </row>
    <row r="245" spans="1:5" x14ac:dyDescent="0.2">
      <c r="A245" s="414" t="str">
        <f t="shared" si="65"/>
        <v>NDSC-15</v>
      </c>
      <c r="B245" s="303" t="str">
        <f t="shared" ca="1" si="66"/>
        <v>RA35-RA-LB-Prod-NW-SL-SLB</v>
      </c>
      <c r="C245" s="303" t="str">
        <f t="shared" ca="1" si="67"/>
        <v>RA35-LB-NW-Prod</v>
      </c>
      <c r="D245" s="366" t="str">
        <f t="shared" ca="1" si="68"/>
        <v/>
      </c>
      <c r="E245" s="366" t="str">
        <f t="shared" ca="1" si="69"/>
        <v/>
      </c>
    </row>
    <row r="246" spans="1:5" x14ac:dyDescent="0.2">
      <c r="A246" s="414" t="str">
        <f t="shared" si="65"/>
        <v>NDSC-16</v>
      </c>
      <c r="B246" s="303" t="str">
        <f t="shared" ca="1" si="66"/>
        <v>RA27-RA-UB-Prod-NW-SL-SLB</v>
      </c>
      <c r="C246" s="303" t="str">
        <f t="shared" ca="1" si="67"/>
        <v>RA27-UB-NW-Prod</v>
      </c>
      <c r="D246" s="366">
        <f t="shared" ca="1" si="68"/>
        <v>42669</v>
      </c>
      <c r="E246" s="366">
        <f t="shared" ca="1" si="69"/>
        <v>42739</v>
      </c>
    </row>
    <row r="247" spans="1:5" x14ac:dyDescent="0.2">
      <c r="A247" s="414" t="str">
        <f t="shared" si="65"/>
        <v>NDSC-17</v>
      </c>
      <c r="B247" s="303" t="str">
        <f t="shared" ca="1" si="66"/>
        <v>RA21-RA-LB-Prod-NW-SL-SLB</v>
      </c>
      <c r="C247" s="303" t="str">
        <f t="shared" ca="1" si="67"/>
        <v>RA21-LB-NW-Prod</v>
      </c>
      <c r="D247" s="366">
        <f t="shared" ca="1" si="68"/>
        <v>42627</v>
      </c>
      <c r="E247" s="366">
        <f t="shared" ca="1" si="69"/>
        <v>42697</v>
      </c>
    </row>
    <row r="248" spans="1:5" x14ac:dyDescent="0.2">
      <c r="A248" s="414" t="str">
        <f t="shared" si="65"/>
        <v>SP-158</v>
      </c>
      <c r="B248" s="303" t="str">
        <f t="shared" ca="1" si="66"/>
        <v>RA14-RA-UB-Prod-NW-HZ-SLB</v>
      </c>
      <c r="C248" s="303" t="str">
        <f t="shared" ca="1" si="67"/>
        <v>RA14-UB-NW-Prod</v>
      </c>
      <c r="D248" s="366" t="str">
        <f t="shared" ca="1" si="68"/>
        <v/>
      </c>
      <c r="E248" s="366" t="str">
        <f t="shared" ca="1" si="69"/>
        <v/>
      </c>
    </row>
    <row r="249" spans="1:5" x14ac:dyDescent="0.2">
      <c r="A249" s="414" t="str">
        <f t="shared" si="65"/>
        <v>SP-159</v>
      </c>
      <c r="B249" s="303" t="str">
        <f t="shared" ca="1" si="66"/>
        <v>SA30-SA-UB-Inj-NW-SL</v>
      </c>
      <c r="C249" s="303" t="str">
        <f t="shared" ca="1" si="67"/>
        <v/>
      </c>
      <c r="D249" s="366" t="str">
        <f t="shared" ca="1" si="68"/>
        <v/>
      </c>
      <c r="E249" s="366" t="str">
        <f t="shared" ca="1" si="69"/>
        <v/>
      </c>
    </row>
    <row r="250" spans="1:5" x14ac:dyDescent="0.2">
      <c r="A250" s="414" t="str">
        <f t="shared" si="65"/>
        <v>SP-185</v>
      </c>
      <c r="B250" s="303" t="str">
        <f t="shared" ca="1" si="66"/>
        <v>SA56-SA-Prod-NW-SL</v>
      </c>
      <c r="C250" s="303" t="str">
        <f t="shared" ca="1" si="67"/>
        <v>SA56-NW-Prod</v>
      </c>
      <c r="D250" s="366" t="str">
        <f t="shared" ca="1" si="68"/>
        <v/>
      </c>
      <c r="E250" s="366" t="str">
        <f t="shared" ca="1" si="69"/>
        <v/>
      </c>
    </row>
    <row r="251" spans="1:5" x14ac:dyDescent="0.2">
      <c r="A251" s="414" t="str">
        <f t="shared" si="65"/>
        <v>SP-186</v>
      </c>
      <c r="B251" s="303" t="str">
        <f t="shared" ca="1" si="66"/>
        <v>RA36-RA-MA-Prod-NW-HZ-SLB</v>
      </c>
      <c r="C251" s="303" t="str">
        <f t="shared" ca="1" si="67"/>
        <v>RA36-MA-NW-Prod</v>
      </c>
      <c r="D251" s="366">
        <f t="shared" ca="1" si="68"/>
        <v>42701</v>
      </c>
      <c r="E251" s="366">
        <f t="shared" ca="1" si="69"/>
        <v>42771</v>
      </c>
    </row>
    <row r="252" spans="1:5" x14ac:dyDescent="0.2">
      <c r="A252" s="414" t="str">
        <f t="shared" si="65"/>
        <v>SP-266</v>
      </c>
      <c r="B252" s="303" t="str">
        <f t="shared" ca="1" si="66"/>
        <v>SA41-SA-MA-Prod-NW-HZ</v>
      </c>
      <c r="C252" s="303" t="str">
        <f t="shared" ca="1" si="67"/>
        <v>SA41-MA-NW-Prod</v>
      </c>
      <c r="D252" s="366">
        <f t="shared" ca="1" si="68"/>
        <v>42623</v>
      </c>
      <c r="E252" s="366">
        <f t="shared" ca="1" si="69"/>
        <v>42693</v>
      </c>
    </row>
    <row r="253" spans="1:5" x14ac:dyDescent="0.2">
      <c r="A253" s="414" t="str">
        <f t="shared" si="65"/>
        <v>SP-267</v>
      </c>
      <c r="B253" s="303" t="str">
        <f t="shared" ca="1" si="66"/>
        <v>SA-0563-SA-UB-Inj-NW-V</v>
      </c>
      <c r="C253" s="303" t="str">
        <f t="shared" ca="1" si="67"/>
        <v>SA-0563-UB-NW-Inj</v>
      </c>
      <c r="D253" s="366">
        <f t="shared" ca="1" si="68"/>
        <v>42606</v>
      </c>
      <c r="E253" s="366">
        <f t="shared" ca="1" si="69"/>
        <v>42676</v>
      </c>
    </row>
    <row r="254" spans="1:5" x14ac:dyDescent="0.2">
      <c r="A254" s="414" t="str">
        <f t="shared" si="65"/>
        <v>SP-279</v>
      </c>
      <c r="B254" s="303" t="str">
        <f t="shared" ca="1" si="66"/>
        <v/>
      </c>
      <c r="C254" s="303" t="str">
        <f t="shared" ca="1" si="67"/>
        <v/>
      </c>
      <c r="D254" s="366" t="str">
        <f t="shared" ca="1" si="68"/>
        <v/>
      </c>
      <c r="E254" s="366" t="str">
        <f t="shared" ca="1" si="69"/>
        <v/>
      </c>
    </row>
    <row r="255" spans="1:5" x14ac:dyDescent="0.2">
      <c r="A255" s="414" t="str">
        <f t="shared" si="65"/>
        <v>SP-282</v>
      </c>
      <c r="B255" s="303" t="str">
        <f t="shared" ca="1" si="66"/>
        <v/>
      </c>
      <c r="C255" s="303" t="str">
        <f t="shared" ca="1" si="67"/>
        <v/>
      </c>
      <c r="D255" s="366" t="str">
        <f t="shared" ca="1" si="68"/>
        <v/>
      </c>
      <c r="E255" s="366" t="str">
        <f t="shared" ca="1" si="69"/>
        <v/>
      </c>
    </row>
    <row r="256" spans="1:5" x14ac:dyDescent="0.2">
      <c r="A256" s="414" t="str">
        <f t="shared" si="65"/>
        <v>SP-283</v>
      </c>
      <c r="B256" s="303" t="str">
        <f t="shared" ca="1" si="66"/>
        <v>RA32-RA-LB-Prod-NW-SL-SLB</v>
      </c>
      <c r="C256" s="303" t="str">
        <f t="shared" ca="1" si="67"/>
        <v>RA32-LB-NW-Prod</v>
      </c>
      <c r="D256" s="366">
        <f t="shared" ca="1" si="68"/>
        <v>42566</v>
      </c>
      <c r="E256" s="366">
        <f t="shared" ca="1" si="69"/>
        <v>42636</v>
      </c>
    </row>
    <row r="257" spans="1:5" x14ac:dyDescent="0.2">
      <c r="A257" s="414" t="str">
        <f t="shared" si="65"/>
        <v>SP-288</v>
      </c>
      <c r="B257" s="303" t="str">
        <f t="shared" ca="1" si="66"/>
        <v>RA33-RA-LB-Prod-NW-SL-SLB</v>
      </c>
      <c r="C257" s="303" t="str">
        <f t="shared" ca="1" si="67"/>
        <v>RA33-LB-NW-Prod</v>
      </c>
      <c r="D257" s="366">
        <f t="shared" ca="1" si="68"/>
        <v>42641</v>
      </c>
      <c r="E257" s="366">
        <f t="shared" ca="1" si="69"/>
        <v>42711</v>
      </c>
    </row>
    <row r="258" spans="1:5" x14ac:dyDescent="0.2">
      <c r="A258" s="414" t="str">
        <f t="shared" si="65"/>
        <v>SP-294</v>
      </c>
      <c r="B258" s="303" t="str">
        <f t="shared" ca="1" si="66"/>
        <v>SA45-SA-ZU-Prod-NW-HZ</v>
      </c>
      <c r="C258" s="303" t="str">
        <f t="shared" ca="1" si="67"/>
        <v>SA45-ZU-NW-Prod</v>
      </c>
      <c r="D258" s="366">
        <f t="shared" ca="1" si="68"/>
        <v>42616</v>
      </c>
      <c r="E258" s="366">
        <f t="shared" ca="1" si="69"/>
        <v>42714</v>
      </c>
    </row>
    <row r="259" spans="1:5" x14ac:dyDescent="0.2">
      <c r="A259" s="414" t="str">
        <f>B22</f>
        <v>SP-295</v>
      </c>
      <c r="B259" s="303" t="str">
        <f t="shared" ca="1" si="66"/>
        <v>RA34-RA-ZU-Inj-NW-HZ-SLB</v>
      </c>
      <c r="C259" s="303" t="str">
        <f t="shared" ca="1" si="67"/>
        <v>RA34-ZU-NW-Inj</v>
      </c>
      <c r="D259" s="366" t="str">
        <f t="shared" ca="1" si="68"/>
        <v/>
      </c>
      <c r="E259" s="366" t="str">
        <f t="shared" ca="1" si="69"/>
        <v/>
      </c>
    </row>
    <row r="260" spans="1:5" x14ac:dyDescent="0.2">
      <c r="D260" s="366"/>
      <c r="E260" s="366"/>
    </row>
    <row r="261" spans="1:5" x14ac:dyDescent="0.2">
      <c r="A261" s="414" t="s">
        <v>1636</v>
      </c>
      <c r="B261" s="303" t="s">
        <v>1665</v>
      </c>
      <c r="C261" s="303" t="s">
        <v>1666</v>
      </c>
      <c r="D261" s="366" t="s">
        <v>1667</v>
      </c>
      <c r="E261" s="366" t="s">
        <v>1668</v>
      </c>
    </row>
    <row r="262" spans="1:5" x14ac:dyDescent="0.2">
      <c r="A262" s="414" t="str">
        <f t="shared" ref="A262:A282" si="70">B2</f>
        <v>BWD-130</v>
      </c>
      <c r="B262" s="303" t="str">
        <f t="shared" ref="B262:B282" ca="1" si="71">AS2</f>
        <v/>
      </c>
      <c r="C262" s="303" t="str">
        <f t="shared" ref="C262:C282" ca="1" si="72">AT2</f>
        <v/>
      </c>
      <c r="D262" s="366" t="str">
        <f t="shared" ref="D262:D282" ca="1" si="73">AV2</f>
        <v/>
      </c>
      <c r="E262" s="366" t="str">
        <f t="shared" ref="E262:E282" ca="1" si="74">AW2</f>
        <v/>
      </c>
    </row>
    <row r="263" spans="1:5" x14ac:dyDescent="0.2">
      <c r="A263" s="414" t="str">
        <f t="shared" si="70"/>
        <v>KDC-25</v>
      </c>
      <c r="B263" s="303" t="str">
        <f t="shared" ca="1" si="71"/>
        <v>RA25-RA-LB-Prod-NW-SL-SLB</v>
      </c>
      <c r="C263" s="303" t="str">
        <f t="shared" ca="1" si="72"/>
        <v>RA25-LB-NW-Prod</v>
      </c>
      <c r="D263" s="366">
        <f t="shared" ca="1" si="73"/>
        <v>42688</v>
      </c>
      <c r="E263" s="366">
        <f t="shared" ca="1" si="74"/>
        <v>42758</v>
      </c>
    </row>
    <row r="264" spans="1:5" x14ac:dyDescent="0.2">
      <c r="A264" s="414" t="str">
        <f t="shared" si="70"/>
        <v>KDC-26</v>
      </c>
      <c r="B264" s="303" t="str">
        <f t="shared" ca="1" si="71"/>
        <v>SA53-SA-UB-Inj-NW-SL</v>
      </c>
      <c r="C264" s="303" t="str">
        <f t="shared" ca="1" si="72"/>
        <v>SA53-UB-NW-Inj</v>
      </c>
      <c r="D264" s="366">
        <f t="shared" ca="1" si="73"/>
        <v>42684</v>
      </c>
      <c r="E264" s="366">
        <f t="shared" ca="1" si="74"/>
        <v>42754</v>
      </c>
    </row>
    <row r="265" spans="1:5" x14ac:dyDescent="0.2">
      <c r="A265" s="414" t="str">
        <f t="shared" si="70"/>
        <v>KDC-28</v>
      </c>
      <c r="B265" s="303" t="str">
        <f t="shared" ca="1" si="71"/>
        <v/>
      </c>
      <c r="C265" s="303" t="str">
        <f t="shared" ca="1" si="72"/>
        <v/>
      </c>
      <c r="D265" s="366" t="str">
        <f t="shared" ca="1" si="73"/>
        <v/>
      </c>
      <c r="E265" s="366" t="str">
        <f t="shared" ca="1" si="74"/>
        <v/>
      </c>
    </row>
    <row r="266" spans="1:5" x14ac:dyDescent="0.2">
      <c r="A266" s="414" t="str">
        <f t="shared" si="70"/>
        <v>KDC-44</v>
      </c>
      <c r="B266" s="303" t="str">
        <f t="shared" ca="1" si="71"/>
        <v/>
      </c>
      <c r="C266" s="303" t="str">
        <f t="shared" ca="1" si="72"/>
        <v/>
      </c>
      <c r="D266" s="366" t="str">
        <f t="shared" ca="1" si="73"/>
        <v/>
      </c>
      <c r="E266" s="366" t="str">
        <f t="shared" ca="1" si="74"/>
        <v/>
      </c>
    </row>
    <row r="267" spans="1:5" x14ac:dyDescent="0.2">
      <c r="A267" s="414" t="str">
        <f t="shared" si="70"/>
        <v>KDC-49</v>
      </c>
      <c r="B267" s="303" t="str">
        <f t="shared" ca="1" si="71"/>
        <v/>
      </c>
      <c r="C267" s="303" t="str">
        <f t="shared" ca="1" si="72"/>
        <v/>
      </c>
      <c r="D267" s="366" t="str">
        <f t="shared" ca="1" si="73"/>
        <v/>
      </c>
      <c r="E267" s="366" t="str">
        <f t="shared" ca="1" si="74"/>
        <v/>
      </c>
    </row>
    <row r="268" spans="1:5" x14ac:dyDescent="0.2">
      <c r="A268" s="414" t="str">
        <f t="shared" si="70"/>
        <v>NDSC-15</v>
      </c>
      <c r="B268" s="303" t="str">
        <f t="shared" ca="1" si="71"/>
        <v>RA41-RA-UB-Prod-NW-HZ-SLB</v>
      </c>
      <c r="C268" s="303" t="str">
        <f t="shared" ca="1" si="72"/>
        <v>RA41-UB-NW-Prod</v>
      </c>
      <c r="D268" s="366" t="str">
        <f t="shared" ca="1" si="73"/>
        <v/>
      </c>
      <c r="E268" s="366" t="str">
        <f t="shared" ca="1" si="74"/>
        <v/>
      </c>
    </row>
    <row r="269" spans="1:5" x14ac:dyDescent="0.2">
      <c r="A269" s="414" t="str">
        <f t="shared" si="70"/>
        <v>NDSC-16</v>
      </c>
      <c r="B269" s="303" t="str">
        <f t="shared" ca="1" si="71"/>
        <v>SA54-SA-RT-Prod-NW-HZ</v>
      </c>
      <c r="C269" s="303" t="str">
        <f t="shared" ca="1" si="72"/>
        <v>SA54-RT-NW-Prod</v>
      </c>
      <c r="D269" s="366">
        <f t="shared" ca="1" si="73"/>
        <v>42744</v>
      </c>
      <c r="E269" s="366">
        <f t="shared" ca="1" si="74"/>
        <v>42842</v>
      </c>
    </row>
    <row r="270" spans="1:5" x14ac:dyDescent="0.2">
      <c r="A270" s="414" t="str">
        <f t="shared" si="70"/>
        <v>NDSC-17</v>
      </c>
      <c r="B270" s="303" t="str">
        <f t="shared" ca="1" si="71"/>
        <v>RA28-RA-UB-Prod-NW-HZ-SLB</v>
      </c>
      <c r="C270" s="303" t="str">
        <f t="shared" ca="1" si="72"/>
        <v>RA28-UB-NW-Prod</v>
      </c>
      <c r="D270" s="366">
        <f t="shared" ca="1" si="73"/>
        <v>42702</v>
      </c>
      <c r="E270" s="366">
        <f t="shared" ca="1" si="74"/>
        <v>42772</v>
      </c>
    </row>
    <row r="271" spans="1:5" x14ac:dyDescent="0.2">
      <c r="A271" s="414" t="str">
        <f t="shared" si="70"/>
        <v>SP-158</v>
      </c>
      <c r="B271" s="303" t="str">
        <f t="shared" ca="1" si="71"/>
        <v/>
      </c>
      <c r="C271" s="303" t="str">
        <f t="shared" ca="1" si="72"/>
        <v/>
      </c>
      <c r="D271" s="366" t="str">
        <f t="shared" ca="1" si="73"/>
        <v/>
      </c>
      <c r="E271" s="366" t="str">
        <f t="shared" ca="1" si="74"/>
        <v/>
      </c>
    </row>
    <row r="272" spans="1:5" x14ac:dyDescent="0.2">
      <c r="A272" s="414" t="str">
        <f t="shared" si="70"/>
        <v>SP-159</v>
      </c>
      <c r="B272" s="303" t="str">
        <f t="shared" ca="1" si="71"/>
        <v>SA48-SA-Prod-NW-SL</v>
      </c>
      <c r="C272" s="303" t="str">
        <f t="shared" ca="1" si="72"/>
        <v/>
      </c>
      <c r="D272" s="366" t="str">
        <f t="shared" ca="1" si="73"/>
        <v/>
      </c>
      <c r="E272" s="366" t="str">
        <f t="shared" ca="1" si="74"/>
        <v/>
      </c>
    </row>
    <row r="273" spans="1:5" x14ac:dyDescent="0.2">
      <c r="A273" s="414" t="str">
        <f t="shared" si="70"/>
        <v>SP-185</v>
      </c>
      <c r="B273" s="303" t="str">
        <f t="shared" ca="1" si="71"/>
        <v/>
      </c>
      <c r="C273" s="303" t="str">
        <f t="shared" ca="1" si="72"/>
        <v/>
      </c>
      <c r="D273" s="366" t="str">
        <f t="shared" ca="1" si="73"/>
        <v/>
      </c>
      <c r="E273" s="366" t="str">
        <f t="shared" ca="1" si="74"/>
        <v/>
      </c>
    </row>
    <row r="274" spans="1:5" x14ac:dyDescent="0.2">
      <c r="A274" s="414" t="str">
        <f t="shared" si="70"/>
        <v>SP-186</v>
      </c>
      <c r="B274" s="303" t="str">
        <f t="shared" ca="1" si="71"/>
        <v>SA59-SA-MA-Inj-ST-SL</v>
      </c>
      <c r="C274" s="303" t="str">
        <f t="shared" ca="1" si="72"/>
        <v>SA59-MA-ST-Inj</v>
      </c>
      <c r="D274" s="366">
        <f t="shared" ca="1" si="73"/>
        <v>42776</v>
      </c>
      <c r="E274" s="366">
        <f t="shared" ca="1" si="74"/>
        <v>42832</v>
      </c>
    </row>
    <row r="275" spans="1:5" x14ac:dyDescent="0.2">
      <c r="A275" s="414" t="str">
        <f t="shared" si="70"/>
        <v>SP-266</v>
      </c>
      <c r="B275" s="303" t="str">
        <f t="shared" ca="1" si="71"/>
        <v>RA30-RA-MA-Inj-NW-HZ-SLB</v>
      </c>
      <c r="C275" s="303" t="str">
        <f t="shared" ca="1" si="72"/>
        <v>RA30-MA-NW-Inj</v>
      </c>
      <c r="D275" s="366">
        <f t="shared" ca="1" si="73"/>
        <v>42698</v>
      </c>
      <c r="E275" s="366">
        <f t="shared" ca="1" si="74"/>
        <v>42761</v>
      </c>
    </row>
    <row r="276" spans="1:5" x14ac:dyDescent="0.2">
      <c r="A276" s="414" t="str">
        <f t="shared" si="70"/>
        <v>SP-267</v>
      </c>
      <c r="B276" s="303" t="str">
        <f t="shared" ca="1" si="71"/>
        <v>SA57-SA-MA-Prod-NW-HZ</v>
      </c>
      <c r="C276" s="303" t="str">
        <f t="shared" ca="1" si="72"/>
        <v>SA57-MA-NW-Prod</v>
      </c>
      <c r="D276" s="366">
        <f t="shared" ca="1" si="73"/>
        <v>42681</v>
      </c>
      <c r="E276" s="366">
        <f t="shared" ca="1" si="74"/>
        <v>42751</v>
      </c>
    </row>
    <row r="277" spans="1:5" x14ac:dyDescent="0.2">
      <c r="A277" s="414" t="str">
        <f t="shared" si="70"/>
        <v>SP-279</v>
      </c>
      <c r="B277" s="303" t="str">
        <f t="shared" ca="1" si="71"/>
        <v/>
      </c>
      <c r="C277" s="303" t="str">
        <f t="shared" ca="1" si="72"/>
        <v/>
      </c>
      <c r="D277" s="366" t="str">
        <f t="shared" ca="1" si="73"/>
        <v/>
      </c>
      <c r="E277" s="366" t="str">
        <f t="shared" ca="1" si="74"/>
        <v/>
      </c>
    </row>
    <row r="278" spans="1:5" x14ac:dyDescent="0.2">
      <c r="A278" s="414" t="str">
        <f t="shared" si="70"/>
        <v>SP-282</v>
      </c>
      <c r="B278" s="303" t="str">
        <f t="shared" ca="1" si="71"/>
        <v/>
      </c>
      <c r="C278" s="303" t="str">
        <f t="shared" ca="1" si="72"/>
        <v/>
      </c>
      <c r="D278" s="366" t="str">
        <f t="shared" ca="1" si="73"/>
        <v/>
      </c>
      <c r="E278" s="366" t="str">
        <f t="shared" ca="1" si="74"/>
        <v/>
      </c>
    </row>
    <row r="279" spans="1:5" x14ac:dyDescent="0.2">
      <c r="A279" s="414" t="str">
        <f t="shared" si="70"/>
        <v>SP-283</v>
      </c>
      <c r="B279" s="303" t="str">
        <f t="shared" ca="1" si="71"/>
        <v>RA39-RA-MA-Prod-NW-HZ-SLB</v>
      </c>
      <c r="C279" s="303" t="str">
        <f t="shared" ca="1" si="72"/>
        <v>RA39-MA-NW-Prod</v>
      </c>
      <c r="D279" s="366">
        <f t="shared" ca="1" si="73"/>
        <v>42641</v>
      </c>
      <c r="E279" s="366">
        <f t="shared" ca="1" si="74"/>
        <v>42711</v>
      </c>
    </row>
    <row r="280" spans="1:5" x14ac:dyDescent="0.2">
      <c r="A280" s="414" t="str">
        <f>B20</f>
        <v>SP-288</v>
      </c>
      <c r="B280" s="303" t="str">
        <f t="shared" ca="1" si="71"/>
        <v>RA40-RA-MA-Prod-NW-HZ-SLB</v>
      </c>
      <c r="C280" s="303" t="str">
        <f t="shared" ca="1" si="72"/>
        <v>RA40-MA-NW-Prod</v>
      </c>
      <c r="D280" s="366">
        <f t="shared" ca="1" si="73"/>
        <v>42716</v>
      </c>
      <c r="E280" s="366">
        <f t="shared" ca="1" si="74"/>
        <v>42786</v>
      </c>
    </row>
    <row r="281" spans="1:5" x14ac:dyDescent="0.2">
      <c r="A281" s="414" t="str">
        <f t="shared" si="70"/>
        <v>SP-294</v>
      </c>
      <c r="B281" s="303" t="str">
        <f t="shared" ca="1" si="71"/>
        <v>SA51-SA-RT-Inj-NW-HZ</v>
      </c>
      <c r="C281" s="303" t="str">
        <f t="shared" ca="1" si="72"/>
        <v>SA51-RT-NW-Inj</v>
      </c>
      <c r="D281" s="366" t="str">
        <f t="shared" ca="1" si="73"/>
        <v/>
      </c>
      <c r="E281" s="366" t="str">
        <f t="shared" ca="1" si="74"/>
        <v/>
      </c>
    </row>
    <row r="282" spans="1:5" x14ac:dyDescent="0.2">
      <c r="A282" s="414" t="str">
        <f t="shared" si="70"/>
        <v>SP-295</v>
      </c>
      <c r="B282" s="303" t="str">
        <f t="shared" ca="1" si="71"/>
        <v/>
      </c>
      <c r="C282" s="303" t="str">
        <f t="shared" ca="1" si="72"/>
        <v/>
      </c>
      <c r="D282" s="366" t="str">
        <f t="shared" ca="1" si="73"/>
        <v/>
      </c>
      <c r="E282" s="366" t="str">
        <f t="shared" ca="1" si="74"/>
        <v/>
      </c>
    </row>
    <row r="283" spans="1:5" x14ac:dyDescent="0.2">
      <c r="D283" s="366"/>
      <c r="E283" s="366"/>
    </row>
    <row r="284" spans="1:5" x14ac:dyDescent="0.2">
      <c r="A284" s="414" t="s">
        <v>1636</v>
      </c>
      <c r="B284" s="303" t="s">
        <v>1669</v>
      </c>
      <c r="C284" s="303" t="s">
        <v>1670</v>
      </c>
      <c r="D284" s="366" t="s">
        <v>1671</v>
      </c>
      <c r="E284" s="366" t="s">
        <v>1672</v>
      </c>
    </row>
    <row r="285" spans="1:5" x14ac:dyDescent="0.2">
      <c r="A285" s="414" t="str">
        <f t="shared" ref="A285:A305" si="75">B2</f>
        <v>BWD-130</v>
      </c>
      <c r="B285" s="303" t="str">
        <f t="shared" ref="B285:B305" ca="1" si="76">AY2</f>
        <v/>
      </c>
      <c r="C285" s="303" t="str">
        <f t="shared" ref="C285:C305" ca="1" si="77">AZ2</f>
        <v/>
      </c>
      <c r="D285" s="366" t="str">
        <f t="shared" ref="D285:D305" ca="1" si="78">BB2</f>
        <v/>
      </c>
      <c r="E285" s="366" t="str">
        <f t="shared" ref="E285:E305" ca="1" si="79">BC2</f>
        <v/>
      </c>
    </row>
    <row r="286" spans="1:5" x14ac:dyDescent="0.2">
      <c r="A286" s="414" t="str">
        <f t="shared" si="75"/>
        <v>KDC-25</v>
      </c>
      <c r="B286" s="303" t="str">
        <f t="shared" ca="1" si="76"/>
        <v>SA52-SA-LB-Prod-NW-SL</v>
      </c>
      <c r="C286" s="303" t="str">
        <f t="shared" ca="1" si="77"/>
        <v>SA52-LB-NW-Prod</v>
      </c>
      <c r="D286" s="366">
        <f t="shared" ca="1" si="78"/>
        <v>42763</v>
      </c>
      <c r="E286" s="366">
        <f t="shared" ca="1" si="79"/>
        <v>42833</v>
      </c>
    </row>
    <row r="287" spans="1:5" x14ac:dyDescent="0.2">
      <c r="A287" s="414" t="str">
        <f t="shared" si="75"/>
        <v>KDC-26</v>
      </c>
      <c r="B287" s="303" t="str">
        <f t="shared" ca="1" si="76"/>
        <v>SA-0600-SA-MA-Prod-NW-HZ-Baker</v>
      </c>
      <c r="C287" s="303" t="str">
        <f t="shared" ca="1" si="77"/>
        <v>SA-0600-MA-NW-Prod</v>
      </c>
      <c r="D287" s="366">
        <f t="shared" ca="1" si="78"/>
        <v>42759</v>
      </c>
      <c r="E287" s="366">
        <f t="shared" ca="1" si="79"/>
        <v>42829</v>
      </c>
    </row>
    <row r="288" spans="1:5" x14ac:dyDescent="0.2">
      <c r="A288" s="414" t="str">
        <f t="shared" si="75"/>
        <v>KDC-28</v>
      </c>
      <c r="B288" s="303" t="str">
        <f t="shared" ca="1" si="76"/>
        <v/>
      </c>
      <c r="C288" s="303" t="str">
        <f t="shared" ca="1" si="77"/>
        <v/>
      </c>
      <c r="D288" s="366" t="str">
        <f t="shared" ca="1" si="78"/>
        <v/>
      </c>
      <c r="E288" s="366" t="str">
        <f t="shared" ca="1" si="79"/>
        <v/>
      </c>
    </row>
    <row r="289" spans="1:5" x14ac:dyDescent="0.2">
      <c r="A289" s="414" t="str">
        <f t="shared" si="75"/>
        <v>KDC-44</v>
      </c>
      <c r="B289" s="303" t="str">
        <f t="shared" ca="1" si="76"/>
        <v/>
      </c>
      <c r="C289" s="303" t="str">
        <f t="shared" ca="1" si="77"/>
        <v/>
      </c>
      <c r="D289" s="366" t="str">
        <f t="shared" ca="1" si="78"/>
        <v/>
      </c>
      <c r="E289" s="366" t="str">
        <f t="shared" ca="1" si="79"/>
        <v/>
      </c>
    </row>
    <row r="290" spans="1:5" x14ac:dyDescent="0.2">
      <c r="A290" s="414" t="str">
        <f t="shared" si="75"/>
        <v>KDC-49</v>
      </c>
      <c r="B290" s="303" t="str">
        <f t="shared" ca="1" si="76"/>
        <v/>
      </c>
      <c r="C290" s="303" t="str">
        <f t="shared" ca="1" si="77"/>
        <v/>
      </c>
      <c r="D290" s="366" t="str">
        <f t="shared" ca="1" si="78"/>
        <v/>
      </c>
      <c r="E290" s="366" t="str">
        <f t="shared" ca="1" si="79"/>
        <v/>
      </c>
    </row>
    <row r="291" spans="1:5" x14ac:dyDescent="0.2">
      <c r="A291" s="414" t="str">
        <f t="shared" si="75"/>
        <v>NDSC-15</v>
      </c>
      <c r="B291" s="303" t="str">
        <f t="shared" ca="1" si="76"/>
        <v>RQ-RQ-ZU-Prod-NW-HZ</v>
      </c>
      <c r="C291" s="303" t="str">
        <f t="shared" ca="1" si="77"/>
        <v>RQ-ZU-NW-Prod</v>
      </c>
      <c r="D291" s="366" t="str">
        <f t="shared" ca="1" si="78"/>
        <v/>
      </c>
      <c r="E291" s="366" t="str">
        <f t="shared" ca="1" si="79"/>
        <v/>
      </c>
    </row>
    <row r="292" spans="1:5" x14ac:dyDescent="0.2">
      <c r="A292" s="414" t="str">
        <f t="shared" si="75"/>
        <v>NDSC-16</v>
      </c>
      <c r="B292" s="303" t="str">
        <f t="shared" ca="1" si="76"/>
        <v/>
      </c>
      <c r="C292" s="303" t="str">
        <f t="shared" ca="1" si="77"/>
        <v/>
      </c>
      <c r="D292" s="366" t="str">
        <f t="shared" ca="1" si="78"/>
        <v/>
      </c>
      <c r="E292" s="366" t="str">
        <f t="shared" ca="1" si="79"/>
        <v/>
      </c>
    </row>
    <row r="293" spans="1:5" x14ac:dyDescent="0.2">
      <c r="A293" s="414" t="str">
        <f t="shared" si="75"/>
        <v>NDSC-17</v>
      </c>
      <c r="B293" s="303" t="str">
        <f t="shared" ca="1" si="76"/>
        <v>SA55-SA-RT-Inj-NW-HZ</v>
      </c>
      <c r="C293" s="303" t="str">
        <f t="shared" ca="1" si="77"/>
        <v>SA55-RT-NW-Inj</v>
      </c>
      <c r="D293" s="366" t="str">
        <f t="shared" ca="1" si="78"/>
        <v/>
      </c>
      <c r="E293" s="366" t="str">
        <f t="shared" ca="1" si="79"/>
        <v/>
      </c>
    </row>
    <row r="294" spans="1:5" x14ac:dyDescent="0.2">
      <c r="A294" s="414" t="str">
        <f t="shared" si="75"/>
        <v>SP-158</v>
      </c>
      <c r="B294" s="303" t="str">
        <f t="shared" ca="1" si="76"/>
        <v/>
      </c>
      <c r="C294" s="303" t="str">
        <f t="shared" ca="1" si="77"/>
        <v/>
      </c>
      <c r="D294" s="366" t="str">
        <f t="shared" ca="1" si="78"/>
        <v/>
      </c>
      <c r="E294" s="366" t="str">
        <f t="shared" ca="1" si="79"/>
        <v/>
      </c>
    </row>
    <row r="295" spans="1:5" x14ac:dyDescent="0.2">
      <c r="A295" s="414" t="str">
        <f t="shared" si="75"/>
        <v>SP-159</v>
      </c>
      <c r="B295" s="303" t="str">
        <f t="shared" ca="1" si="76"/>
        <v/>
      </c>
      <c r="C295" s="303" t="str">
        <f t="shared" ca="1" si="77"/>
        <v/>
      </c>
      <c r="D295" s="366" t="str">
        <f t="shared" ca="1" si="78"/>
        <v/>
      </c>
      <c r="E295" s="366" t="str">
        <f t="shared" ca="1" si="79"/>
        <v/>
      </c>
    </row>
    <row r="296" spans="1:5" x14ac:dyDescent="0.2">
      <c r="A296" s="414" t="str">
        <f t="shared" si="75"/>
        <v>SP-185</v>
      </c>
      <c r="B296" s="303" t="str">
        <f t="shared" ca="1" si="76"/>
        <v/>
      </c>
      <c r="C296" s="303" t="str">
        <f t="shared" ca="1" si="77"/>
        <v/>
      </c>
      <c r="D296" s="366" t="str">
        <f t="shared" ca="1" si="78"/>
        <v/>
      </c>
      <c r="E296" s="366" t="str">
        <f t="shared" ca="1" si="79"/>
        <v/>
      </c>
    </row>
    <row r="297" spans="1:5" x14ac:dyDescent="0.2">
      <c r="A297" s="414" t="str">
        <f t="shared" si="75"/>
        <v>SP-186</v>
      </c>
      <c r="B297" s="303" t="str">
        <f t="shared" ca="1" si="76"/>
        <v/>
      </c>
      <c r="C297" s="303" t="str">
        <f t="shared" ca="1" si="77"/>
        <v/>
      </c>
      <c r="D297" s="366" t="str">
        <f t="shared" ca="1" si="78"/>
        <v/>
      </c>
      <c r="E297" s="366" t="str">
        <f t="shared" ca="1" si="79"/>
        <v/>
      </c>
    </row>
    <row r="298" spans="1:5" x14ac:dyDescent="0.2">
      <c r="A298" s="414" t="str">
        <f t="shared" si="75"/>
        <v>SP-266</v>
      </c>
      <c r="B298" s="303" t="str">
        <f t="shared" ca="1" si="76"/>
        <v>RA37-RA-MA-Prod-NW-HZ-SLB</v>
      </c>
      <c r="C298" s="303" t="str">
        <f t="shared" ca="1" si="77"/>
        <v>RA37-MA-NW-Prod</v>
      </c>
      <c r="D298" s="366">
        <f t="shared" ca="1" si="78"/>
        <v>42766</v>
      </c>
      <c r="E298" s="366">
        <f t="shared" ca="1" si="79"/>
        <v>42836</v>
      </c>
    </row>
    <row r="299" spans="1:5" x14ac:dyDescent="0.2">
      <c r="A299" s="414" t="str">
        <f t="shared" si="75"/>
        <v>SP-267</v>
      </c>
      <c r="B299" s="303" t="str">
        <f t="shared" ca="1" si="76"/>
        <v>RA43-RA-MA-Inj-NW-HZ-SLB</v>
      </c>
      <c r="C299" s="303" t="str">
        <f t="shared" ca="1" si="77"/>
        <v>RA43-MA-NW-Inj</v>
      </c>
      <c r="D299" s="366">
        <f t="shared" ca="1" si="78"/>
        <v>42756</v>
      </c>
      <c r="E299" s="366">
        <f t="shared" ca="1" si="79"/>
        <v>42819</v>
      </c>
    </row>
    <row r="300" spans="1:5" x14ac:dyDescent="0.2">
      <c r="A300" s="414" t="str">
        <f t="shared" si="75"/>
        <v>SP-279</v>
      </c>
      <c r="B300" s="303" t="str">
        <f t="shared" ca="1" si="76"/>
        <v/>
      </c>
      <c r="C300" s="303" t="str">
        <f t="shared" ca="1" si="77"/>
        <v/>
      </c>
      <c r="D300" s="366" t="str">
        <f t="shared" ca="1" si="78"/>
        <v/>
      </c>
      <c r="E300" s="366" t="str">
        <f t="shared" ca="1" si="79"/>
        <v/>
      </c>
    </row>
    <row r="301" spans="1:5" x14ac:dyDescent="0.2">
      <c r="A301" s="414" t="str">
        <f t="shared" si="75"/>
        <v>SP-282</v>
      </c>
      <c r="B301" s="303" t="str">
        <f t="shared" ca="1" si="76"/>
        <v/>
      </c>
      <c r="C301" s="303" t="str">
        <f t="shared" ca="1" si="77"/>
        <v/>
      </c>
      <c r="D301" s="366" t="str">
        <f t="shared" ca="1" si="78"/>
        <v/>
      </c>
      <c r="E301" s="366" t="str">
        <f t="shared" ca="1" si="79"/>
        <v/>
      </c>
    </row>
    <row r="302" spans="1:5" x14ac:dyDescent="0.2">
      <c r="A302" s="414" t="str">
        <f t="shared" si="75"/>
        <v>SP-283</v>
      </c>
      <c r="B302" s="303" t="str">
        <f t="shared" ca="1" si="76"/>
        <v>SA60-SA-MA-Inj-ST-SL</v>
      </c>
      <c r="C302" s="303" t="str">
        <f t="shared" ca="1" si="77"/>
        <v>SA60-MA-ST-Inj</v>
      </c>
      <c r="D302" s="366">
        <f t="shared" ca="1" si="78"/>
        <v>42716</v>
      </c>
      <c r="E302" s="366">
        <f t="shared" ca="1" si="79"/>
        <v>42772</v>
      </c>
    </row>
    <row r="303" spans="1:5" x14ac:dyDescent="0.2">
      <c r="A303" s="414" t="str">
        <f t="shared" si="75"/>
        <v>SP-288</v>
      </c>
      <c r="B303" s="303" t="str">
        <f t="shared" ca="1" si="76"/>
        <v>SA61-SA-MA-Observation-NW-V</v>
      </c>
      <c r="C303" s="303" t="str">
        <f t="shared" ca="1" si="77"/>
        <v>SA61-MA-NW-Observation</v>
      </c>
      <c r="D303" s="366" t="str">
        <f t="shared" ca="1" si="78"/>
        <v/>
      </c>
      <c r="E303" s="366" t="str">
        <f t="shared" ca="1" si="79"/>
        <v/>
      </c>
    </row>
    <row r="304" spans="1:5" x14ac:dyDescent="0.2">
      <c r="A304" s="414" t="str">
        <f t="shared" si="75"/>
        <v>SP-294</v>
      </c>
      <c r="B304" s="303" t="str">
        <f t="shared" ca="1" si="76"/>
        <v/>
      </c>
      <c r="C304" s="303" t="str">
        <f t="shared" ca="1" si="77"/>
        <v/>
      </c>
      <c r="D304" s="366" t="str">
        <f t="shared" ca="1" si="78"/>
        <v/>
      </c>
      <c r="E304" s="366" t="str">
        <f t="shared" ca="1" si="79"/>
        <v/>
      </c>
    </row>
    <row r="305" spans="1:5" x14ac:dyDescent="0.2">
      <c r="A305" s="414" t="str">
        <f t="shared" si="75"/>
        <v>SP-295</v>
      </c>
      <c r="B305" s="303" t="str">
        <f t="shared" ca="1" si="76"/>
        <v/>
      </c>
      <c r="C305" s="303" t="str">
        <f t="shared" ca="1" si="77"/>
        <v/>
      </c>
      <c r="D305" s="366" t="str">
        <f t="shared" ca="1" si="78"/>
        <v/>
      </c>
      <c r="E305" s="366" t="str">
        <f t="shared" ca="1" si="79"/>
        <v/>
      </c>
    </row>
    <row r="306" spans="1:5" x14ac:dyDescent="0.2">
      <c r="D306" s="366"/>
      <c r="E306" s="366"/>
    </row>
    <row r="307" spans="1:5" x14ac:dyDescent="0.2">
      <c r="A307" s="414" t="s">
        <v>1636</v>
      </c>
      <c r="B307" s="303" t="s">
        <v>1673</v>
      </c>
      <c r="C307" s="303" t="s">
        <v>1674</v>
      </c>
      <c r="D307" s="366" t="s">
        <v>1675</v>
      </c>
      <c r="E307" s="366" t="s">
        <v>1676</v>
      </c>
    </row>
    <row r="308" spans="1:5" x14ac:dyDescent="0.2">
      <c r="A308" s="414" t="str">
        <f t="shared" ref="A308:A328" si="80">B2</f>
        <v>BWD-130</v>
      </c>
      <c r="B308" s="303" t="str">
        <f t="shared" ref="B308:B328" ca="1" si="81">BE2</f>
        <v/>
      </c>
      <c r="C308" s="303" t="str">
        <f t="shared" ref="C308:C328" ca="1" si="82">BF2</f>
        <v/>
      </c>
      <c r="D308" s="366" t="str">
        <f t="shared" ref="D308:D328" ca="1" si="83">BH2</f>
        <v/>
      </c>
      <c r="E308" s="366" t="str">
        <f t="shared" ref="E308:E328" ca="1" si="84">BI2</f>
        <v/>
      </c>
    </row>
    <row r="309" spans="1:5" x14ac:dyDescent="0.2">
      <c r="A309" s="414" t="str">
        <f t="shared" si="80"/>
        <v>KDC-25</v>
      </c>
      <c r="B309" s="303" t="str">
        <f t="shared" ca="1" si="81"/>
        <v>SA58-SA-UB-Inj-NW-SL</v>
      </c>
      <c r="C309" s="303" t="str">
        <f t="shared" ca="1" si="82"/>
        <v>SA58-UB-NW-Inj</v>
      </c>
      <c r="D309" s="366">
        <f t="shared" ca="1" si="83"/>
        <v>42838</v>
      </c>
      <c r="E309" s="366">
        <f t="shared" ca="1" si="84"/>
        <v>42908</v>
      </c>
    </row>
    <row r="310" spans="1:5" x14ac:dyDescent="0.2">
      <c r="A310" s="414" t="str">
        <f t="shared" si="80"/>
        <v>KDC-26</v>
      </c>
      <c r="B310" s="303" t="str">
        <f t="shared" ca="1" si="81"/>
        <v>RQ-0180-RQ-ZU-Prod-NW</v>
      </c>
      <c r="C310" s="303" t="str">
        <f t="shared" ca="1" si="82"/>
        <v>RQ-0180-ZU-NW-Prod</v>
      </c>
      <c r="D310" s="366">
        <f t="shared" ca="1" si="83"/>
        <v>42834</v>
      </c>
      <c r="E310" s="366">
        <f t="shared" ca="1" si="84"/>
        <v>42932</v>
      </c>
    </row>
    <row r="311" spans="1:5" x14ac:dyDescent="0.2">
      <c r="A311" s="414" t="str">
        <f t="shared" si="80"/>
        <v>KDC-28</v>
      </c>
      <c r="B311" s="303" t="str">
        <f t="shared" ca="1" si="81"/>
        <v/>
      </c>
      <c r="C311" s="303" t="str">
        <f t="shared" ca="1" si="82"/>
        <v/>
      </c>
      <c r="D311" s="366" t="str">
        <f t="shared" ca="1" si="83"/>
        <v/>
      </c>
      <c r="E311" s="366" t="str">
        <f t="shared" ca="1" si="84"/>
        <v/>
      </c>
    </row>
    <row r="312" spans="1:5" x14ac:dyDescent="0.2">
      <c r="A312" s="414" t="str">
        <f t="shared" si="80"/>
        <v>KDC-44</v>
      </c>
      <c r="B312" s="303" t="str">
        <f t="shared" ca="1" si="81"/>
        <v/>
      </c>
      <c r="C312" s="303" t="str">
        <f t="shared" ca="1" si="82"/>
        <v/>
      </c>
      <c r="D312" s="366" t="str">
        <f t="shared" ca="1" si="83"/>
        <v/>
      </c>
      <c r="E312" s="366" t="str">
        <f t="shared" ca="1" si="84"/>
        <v/>
      </c>
    </row>
    <row r="313" spans="1:5" x14ac:dyDescent="0.2">
      <c r="A313" s="414" t="str">
        <f t="shared" si="80"/>
        <v>KDC-49</v>
      </c>
      <c r="B313" s="303" t="str">
        <f t="shared" ca="1" si="81"/>
        <v/>
      </c>
      <c r="C313" s="303" t="str">
        <f t="shared" ca="1" si="82"/>
        <v/>
      </c>
      <c r="D313" s="366" t="str">
        <f t="shared" ca="1" si="83"/>
        <v/>
      </c>
      <c r="E313" s="366" t="str">
        <f t="shared" ca="1" si="84"/>
        <v/>
      </c>
    </row>
    <row r="314" spans="1:5" x14ac:dyDescent="0.2">
      <c r="A314" s="414" t="str">
        <f t="shared" si="80"/>
        <v>NDSC-15</v>
      </c>
      <c r="B314" s="303" t="str">
        <f t="shared" ca="1" si="81"/>
        <v/>
      </c>
      <c r="C314" s="303" t="str">
        <f t="shared" ca="1" si="82"/>
        <v/>
      </c>
      <c r="D314" s="366" t="str">
        <f t="shared" ca="1" si="83"/>
        <v/>
      </c>
      <c r="E314" s="366" t="str">
        <f t="shared" ca="1" si="84"/>
        <v/>
      </c>
    </row>
    <row r="315" spans="1:5" x14ac:dyDescent="0.2">
      <c r="A315" s="414" t="str">
        <f t="shared" si="80"/>
        <v>NDSC-16</v>
      </c>
      <c r="B315" s="303" t="str">
        <f t="shared" ca="1" si="81"/>
        <v/>
      </c>
      <c r="C315" s="303" t="str">
        <f t="shared" ca="1" si="82"/>
        <v/>
      </c>
      <c r="D315" s="366" t="str">
        <f t="shared" ca="1" si="83"/>
        <v/>
      </c>
      <c r="E315" s="366" t="str">
        <f t="shared" ca="1" si="84"/>
        <v/>
      </c>
    </row>
    <row r="316" spans="1:5" x14ac:dyDescent="0.2">
      <c r="A316" s="414" t="str">
        <f t="shared" si="80"/>
        <v>NDSC-17</v>
      </c>
      <c r="B316" s="303" t="str">
        <f t="shared" ca="1" si="81"/>
        <v/>
      </c>
      <c r="C316" s="303" t="str">
        <f t="shared" ca="1" si="82"/>
        <v/>
      </c>
      <c r="D316" s="366" t="str">
        <f t="shared" ca="1" si="83"/>
        <v/>
      </c>
      <c r="E316" s="366" t="str">
        <f t="shared" ca="1" si="84"/>
        <v/>
      </c>
    </row>
    <row r="317" spans="1:5" x14ac:dyDescent="0.2">
      <c r="A317" s="414" t="str">
        <f t="shared" si="80"/>
        <v>SP-158</v>
      </c>
      <c r="B317" s="303" t="str">
        <f t="shared" ca="1" si="81"/>
        <v/>
      </c>
      <c r="C317" s="303" t="str">
        <f t="shared" ca="1" si="82"/>
        <v/>
      </c>
      <c r="D317" s="366" t="str">
        <f t="shared" ca="1" si="83"/>
        <v/>
      </c>
      <c r="E317" s="366" t="str">
        <f t="shared" ca="1" si="84"/>
        <v/>
      </c>
    </row>
    <row r="318" spans="1:5" x14ac:dyDescent="0.2">
      <c r="A318" s="414" t="str">
        <f t="shared" si="80"/>
        <v>SP-159</v>
      </c>
      <c r="B318" s="303" t="str">
        <f t="shared" ca="1" si="81"/>
        <v/>
      </c>
      <c r="C318" s="303" t="str">
        <f t="shared" ca="1" si="82"/>
        <v/>
      </c>
      <c r="D318" s="366" t="str">
        <f t="shared" ca="1" si="83"/>
        <v/>
      </c>
      <c r="E318" s="366" t="str">
        <f t="shared" ca="1" si="84"/>
        <v/>
      </c>
    </row>
    <row r="319" spans="1:5" x14ac:dyDescent="0.2">
      <c r="A319" s="414" t="str">
        <f t="shared" si="80"/>
        <v>SP-185</v>
      </c>
      <c r="B319" s="303" t="str">
        <f t="shared" ca="1" si="81"/>
        <v/>
      </c>
      <c r="C319" s="303" t="str">
        <f t="shared" ca="1" si="82"/>
        <v/>
      </c>
      <c r="D319" s="366" t="str">
        <f t="shared" ca="1" si="83"/>
        <v/>
      </c>
      <c r="E319" s="366" t="str">
        <f t="shared" ca="1" si="84"/>
        <v/>
      </c>
    </row>
    <row r="320" spans="1:5" x14ac:dyDescent="0.2">
      <c r="A320" s="414" t="str">
        <f t="shared" si="80"/>
        <v>SP-186</v>
      </c>
      <c r="B320" s="303" t="str">
        <f t="shared" ca="1" si="81"/>
        <v/>
      </c>
      <c r="C320" s="303" t="str">
        <f t="shared" ca="1" si="82"/>
        <v/>
      </c>
      <c r="D320" s="366" t="str">
        <f t="shared" ca="1" si="83"/>
        <v/>
      </c>
      <c r="E320" s="366" t="str">
        <f t="shared" ca="1" si="84"/>
        <v/>
      </c>
    </row>
    <row r="321" spans="1:5" x14ac:dyDescent="0.2">
      <c r="A321" s="414" t="str">
        <f t="shared" si="80"/>
        <v>SP-266</v>
      </c>
      <c r="B321" s="303" t="str">
        <f t="shared" ca="1" si="81"/>
        <v>RA42-RA-MA-Prod-ST-SL-SLB</v>
      </c>
      <c r="C321" s="303" t="str">
        <f t="shared" ca="1" si="82"/>
        <v>RA42-MA-ST-Prod</v>
      </c>
      <c r="D321" s="366">
        <f t="shared" ca="1" si="83"/>
        <v>42841</v>
      </c>
      <c r="E321" s="366">
        <f t="shared" ca="1" si="84"/>
        <v>42897</v>
      </c>
    </row>
    <row r="322" spans="1:5" x14ac:dyDescent="0.2">
      <c r="A322" s="414" t="str">
        <f t="shared" si="80"/>
        <v>SP-267</v>
      </c>
      <c r="B322" s="303" t="str">
        <f t="shared" ca="1" si="81"/>
        <v>SA62-SA-UB-Inj-NW-SL</v>
      </c>
      <c r="C322" s="303" t="str">
        <f t="shared" ca="1" si="82"/>
        <v>SA62-UB-NW-Inj</v>
      </c>
      <c r="D322" s="366">
        <f t="shared" ca="1" si="83"/>
        <v>42824</v>
      </c>
      <c r="E322" s="366">
        <f t="shared" ca="1" si="84"/>
        <v>42894</v>
      </c>
    </row>
    <row r="323" spans="1:5" x14ac:dyDescent="0.2">
      <c r="A323" s="414" t="str">
        <f t="shared" si="80"/>
        <v>SP-279</v>
      </c>
      <c r="B323" s="303" t="str">
        <f t="shared" ca="1" si="81"/>
        <v/>
      </c>
      <c r="C323" s="303" t="str">
        <f t="shared" ca="1" si="82"/>
        <v/>
      </c>
      <c r="D323" s="366" t="str">
        <f t="shared" ca="1" si="83"/>
        <v/>
      </c>
      <c r="E323" s="366" t="str">
        <f t="shared" ca="1" si="84"/>
        <v/>
      </c>
    </row>
    <row r="324" spans="1:5" x14ac:dyDescent="0.2">
      <c r="A324" s="414" t="str">
        <f t="shared" si="80"/>
        <v>SP-282</v>
      </c>
      <c r="B324" s="303" t="str">
        <f t="shared" ca="1" si="81"/>
        <v/>
      </c>
      <c r="C324" s="303" t="str">
        <f t="shared" ca="1" si="82"/>
        <v/>
      </c>
      <c r="D324" s="366" t="str">
        <f t="shared" ca="1" si="83"/>
        <v/>
      </c>
      <c r="E324" s="366" t="str">
        <f t="shared" ca="1" si="84"/>
        <v/>
      </c>
    </row>
    <row r="325" spans="1:5" x14ac:dyDescent="0.2">
      <c r="A325" s="414" t="str">
        <f t="shared" si="80"/>
        <v>SP-283</v>
      </c>
      <c r="B325" s="303" t="str">
        <f t="shared" ca="1" si="81"/>
        <v/>
      </c>
      <c r="C325" s="303" t="str">
        <f t="shared" ca="1" si="82"/>
        <v/>
      </c>
      <c r="D325" s="366" t="str">
        <f t="shared" ca="1" si="83"/>
        <v/>
      </c>
      <c r="E325" s="366" t="str">
        <f t="shared" ca="1" si="84"/>
        <v/>
      </c>
    </row>
    <row r="326" spans="1:5" x14ac:dyDescent="0.2">
      <c r="A326" s="414" t="str">
        <f t="shared" si="80"/>
        <v>SP-288</v>
      </c>
      <c r="B326" s="303" t="str">
        <f t="shared" ca="1" si="81"/>
        <v/>
      </c>
      <c r="C326" s="303" t="str">
        <f t="shared" ca="1" si="82"/>
        <v/>
      </c>
      <c r="D326" s="366" t="str">
        <f t="shared" ca="1" si="83"/>
        <v/>
      </c>
      <c r="E326" s="366" t="str">
        <f t="shared" ca="1" si="84"/>
        <v/>
      </c>
    </row>
    <row r="327" spans="1:5" x14ac:dyDescent="0.2">
      <c r="A327" s="414" t="str">
        <f t="shared" si="80"/>
        <v>SP-294</v>
      </c>
      <c r="B327" s="303" t="str">
        <f t="shared" ca="1" si="81"/>
        <v/>
      </c>
      <c r="C327" s="303" t="str">
        <f t="shared" ca="1" si="82"/>
        <v/>
      </c>
      <c r="D327" s="366" t="str">
        <f t="shared" ca="1" si="83"/>
        <v/>
      </c>
      <c r="E327" s="366" t="str">
        <f t="shared" ca="1" si="84"/>
        <v/>
      </c>
    </row>
    <row r="328" spans="1:5" x14ac:dyDescent="0.2">
      <c r="A328" s="414" t="str">
        <f t="shared" si="80"/>
        <v>SP-295</v>
      </c>
      <c r="B328" s="303" t="str">
        <f t="shared" ca="1" si="81"/>
        <v/>
      </c>
      <c r="C328" s="303" t="str">
        <f t="shared" ca="1" si="82"/>
        <v/>
      </c>
      <c r="D328" s="366" t="str">
        <f t="shared" ca="1" si="83"/>
        <v/>
      </c>
      <c r="E328" s="366" t="str">
        <f t="shared" ca="1" si="84"/>
        <v/>
      </c>
    </row>
    <row r="329" spans="1:5" x14ac:dyDescent="0.2">
      <c r="D329" s="366"/>
      <c r="E329" s="366"/>
    </row>
    <row r="330" spans="1:5" x14ac:dyDescent="0.2">
      <c r="A330" s="414" t="s">
        <v>1636</v>
      </c>
      <c r="B330" s="303" t="s">
        <v>1677</v>
      </c>
      <c r="C330" s="303" t="s">
        <v>1678</v>
      </c>
      <c r="D330" s="366" t="s">
        <v>1679</v>
      </c>
      <c r="E330" s="366" t="s">
        <v>1680</v>
      </c>
    </row>
    <row r="331" spans="1:5" x14ac:dyDescent="0.2">
      <c r="A331" s="414" t="str">
        <f t="shared" ref="A331:A351" si="85">B2</f>
        <v>BWD-130</v>
      </c>
      <c r="B331" s="303" t="str">
        <f t="shared" ref="B331:B351" ca="1" si="86">BK2</f>
        <v/>
      </c>
      <c r="C331" s="303" t="str">
        <f t="shared" ref="C331:C351" ca="1" si="87">BL2</f>
        <v/>
      </c>
      <c r="D331" s="366" t="str">
        <f t="shared" ref="D331:D351" ca="1" si="88">BN2</f>
        <v/>
      </c>
      <c r="E331" s="366" t="str">
        <f t="shared" ref="E331:E351" ca="1" si="89">BO2</f>
        <v/>
      </c>
    </row>
    <row r="332" spans="1:5" x14ac:dyDescent="0.2">
      <c r="A332" s="414" t="str">
        <f t="shared" si="85"/>
        <v>KDC-25</v>
      </c>
      <c r="B332" s="303" t="str">
        <f t="shared" ca="1" si="86"/>
        <v>RA44-RA-RT-Prod-NW-HZ-SLB</v>
      </c>
      <c r="C332" s="303" t="str">
        <f t="shared" ca="1" si="87"/>
        <v>RA44-RT-NW-Prod</v>
      </c>
      <c r="D332" s="366">
        <f t="shared" ca="1" si="88"/>
        <v>42913</v>
      </c>
      <c r="E332" s="366">
        <f t="shared" ca="1" si="89"/>
        <v>43011</v>
      </c>
    </row>
    <row r="333" spans="1:5" x14ac:dyDescent="0.2">
      <c r="A333" s="414" t="str">
        <f t="shared" si="85"/>
        <v>KDC-26</v>
      </c>
      <c r="B333" s="303" t="str">
        <f t="shared" ca="1" si="86"/>
        <v/>
      </c>
      <c r="C333" s="303" t="str">
        <f t="shared" ca="1" si="87"/>
        <v/>
      </c>
      <c r="D333" s="366" t="str">
        <f t="shared" ca="1" si="88"/>
        <v/>
      </c>
      <c r="E333" s="366" t="str">
        <f t="shared" ca="1" si="89"/>
        <v/>
      </c>
    </row>
    <row r="334" spans="1:5" x14ac:dyDescent="0.2">
      <c r="A334" s="414" t="str">
        <f t="shared" si="85"/>
        <v>KDC-28</v>
      </c>
      <c r="B334" s="303" t="str">
        <f t="shared" ca="1" si="86"/>
        <v/>
      </c>
      <c r="C334" s="303" t="str">
        <f t="shared" ca="1" si="87"/>
        <v/>
      </c>
      <c r="D334" s="366" t="str">
        <f t="shared" ca="1" si="88"/>
        <v/>
      </c>
      <c r="E334" s="366" t="str">
        <f t="shared" ca="1" si="89"/>
        <v/>
      </c>
    </row>
    <row r="335" spans="1:5" x14ac:dyDescent="0.2">
      <c r="A335" s="414" t="str">
        <f t="shared" si="85"/>
        <v>KDC-44</v>
      </c>
      <c r="B335" s="303" t="str">
        <f t="shared" ca="1" si="86"/>
        <v/>
      </c>
      <c r="C335" s="303" t="str">
        <f t="shared" ca="1" si="87"/>
        <v/>
      </c>
      <c r="D335" s="366" t="str">
        <f t="shared" ca="1" si="88"/>
        <v/>
      </c>
      <c r="E335" s="366" t="str">
        <f t="shared" ca="1" si="89"/>
        <v/>
      </c>
    </row>
    <row r="336" spans="1:5" x14ac:dyDescent="0.2">
      <c r="A336" s="414" t="str">
        <f t="shared" si="85"/>
        <v>KDC-49</v>
      </c>
      <c r="B336" s="303" t="str">
        <f t="shared" ca="1" si="86"/>
        <v/>
      </c>
      <c r="C336" s="303" t="str">
        <f t="shared" ca="1" si="87"/>
        <v/>
      </c>
      <c r="D336" s="366" t="str">
        <f t="shared" ca="1" si="88"/>
        <v/>
      </c>
      <c r="E336" s="366" t="str">
        <f t="shared" ca="1" si="89"/>
        <v/>
      </c>
    </row>
    <row r="337" spans="1:5" x14ac:dyDescent="0.2">
      <c r="A337" s="414" t="str">
        <f t="shared" si="85"/>
        <v>NDSC-15</v>
      </c>
      <c r="B337" s="303" t="str">
        <f t="shared" ca="1" si="86"/>
        <v/>
      </c>
      <c r="C337" s="303" t="str">
        <f t="shared" ca="1" si="87"/>
        <v/>
      </c>
      <c r="D337" s="366" t="str">
        <f t="shared" ca="1" si="88"/>
        <v/>
      </c>
      <c r="E337" s="366" t="str">
        <f t="shared" ca="1" si="89"/>
        <v/>
      </c>
    </row>
    <row r="338" spans="1:5" x14ac:dyDescent="0.2">
      <c r="A338" s="414" t="str">
        <f t="shared" si="85"/>
        <v>NDSC-16</v>
      </c>
      <c r="B338" s="303" t="str">
        <f t="shared" ca="1" si="86"/>
        <v/>
      </c>
      <c r="C338" s="303" t="str">
        <f t="shared" ca="1" si="87"/>
        <v/>
      </c>
      <c r="D338" s="366" t="str">
        <f t="shared" ca="1" si="88"/>
        <v/>
      </c>
      <c r="E338" s="366" t="str">
        <f t="shared" ca="1" si="89"/>
        <v/>
      </c>
    </row>
    <row r="339" spans="1:5" x14ac:dyDescent="0.2">
      <c r="A339" s="414" t="str">
        <f t="shared" si="85"/>
        <v>NDSC-17</v>
      </c>
      <c r="B339" s="303" t="str">
        <f t="shared" ca="1" si="86"/>
        <v/>
      </c>
      <c r="C339" s="303" t="str">
        <f t="shared" ca="1" si="87"/>
        <v/>
      </c>
      <c r="D339" s="366" t="str">
        <f t="shared" ca="1" si="88"/>
        <v/>
      </c>
      <c r="E339" s="366" t="str">
        <f t="shared" ca="1" si="89"/>
        <v/>
      </c>
    </row>
    <row r="340" spans="1:5" x14ac:dyDescent="0.2">
      <c r="A340" s="414" t="str">
        <f t="shared" si="85"/>
        <v>SP-158</v>
      </c>
      <c r="B340" s="303" t="str">
        <f t="shared" ca="1" si="86"/>
        <v/>
      </c>
      <c r="C340" s="303" t="str">
        <f t="shared" ca="1" si="87"/>
        <v/>
      </c>
      <c r="D340" s="366" t="str">
        <f t="shared" ca="1" si="88"/>
        <v/>
      </c>
      <c r="E340" s="366" t="str">
        <f t="shared" ca="1" si="89"/>
        <v/>
      </c>
    </row>
    <row r="341" spans="1:5" x14ac:dyDescent="0.2">
      <c r="A341" s="414" t="str">
        <f t="shared" si="85"/>
        <v>SP-159</v>
      </c>
      <c r="B341" s="303" t="str">
        <f t="shared" ca="1" si="86"/>
        <v/>
      </c>
      <c r="C341" s="303" t="str">
        <f t="shared" ca="1" si="87"/>
        <v/>
      </c>
      <c r="D341" s="366" t="str">
        <f t="shared" ca="1" si="88"/>
        <v/>
      </c>
      <c r="E341" s="366" t="str">
        <f t="shared" ca="1" si="89"/>
        <v/>
      </c>
    </row>
    <row r="342" spans="1:5" x14ac:dyDescent="0.2">
      <c r="A342" s="414" t="str">
        <f t="shared" si="85"/>
        <v>SP-185</v>
      </c>
      <c r="B342" s="303" t="str">
        <f t="shared" ca="1" si="86"/>
        <v/>
      </c>
      <c r="C342" s="303" t="str">
        <f t="shared" ca="1" si="87"/>
        <v/>
      </c>
      <c r="D342" s="366" t="str">
        <f t="shared" ca="1" si="88"/>
        <v/>
      </c>
      <c r="E342" s="366" t="str">
        <f t="shared" ca="1" si="89"/>
        <v/>
      </c>
    </row>
    <row r="343" spans="1:5" x14ac:dyDescent="0.2">
      <c r="A343" s="414" t="str">
        <f t="shared" si="85"/>
        <v>SP-186</v>
      </c>
      <c r="B343" s="303" t="str">
        <f t="shared" ca="1" si="86"/>
        <v/>
      </c>
      <c r="C343" s="303" t="str">
        <f t="shared" ca="1" si="87"/>
        <v/>
      </c>
      <c r="D343" s="366" t="str">
        <f t="shared" ca="1" si="88"/>
        <v/>
      </c>
      <c r="E343" s="366" t="str">
        <f t="shared" ca="1" si="89"/>
        <v/>
      </c>
    </row>
    <row r="344" spans="1:5" x14ac:dyDescent="0.2">
      <c r="A344" s="414" t="str">
        <f t="shared" si="85"/>
        <v>SP-266</v>
      </c>
      <c r="B344" s="303" t="str">
        <f t="shared" ca="1" si="86"/>
        <v/>
      </c>
      <c r="C344" s="303" t="str">
        <f t="shared" ca="1" si="87"/>
        <v/>
      </c>
      <c r="D344" s="366" t="str">
        <f t="shared" ca="1" si="88"/>
        <v/>
      </c>
      <c r="E344" s="366" t="str">
        <f t="shared" ca="1" si="89"/>
        <v/>
      </c>
    </row>
    <row r="345" spans="1:5" x14ac:dyDescent="0.2">
      <c r="A345" s="414" t="str">
        <f t="shared" si="85"/>
        <v>SP-267</v>
      </c>
      <c r="B345" s="303" t="str">
        <f t="shared" ca="1" si="86"/>
        <v/>
      </c>
      <c r="C345" s="303" t="str">
        <f t="shared" ca="1" si="87"/>
        <v/>
      </c>
      <c r="D345" s="366" t="str">
        <f t="shared" ca="1" si="88"/>
        <v/>
      </c>
      <c r="E345" s="366" t="str">
        <f t="shared" ca="1" si="89"/>
        <v/>
      </c>
    </row>
    <row r="346" spans="1:5" x14ac:dyDescent="0.2">
      <c r="A346" s="414" t="str">
        <f t="shared" si="85"/>
        <v>SP-279</v>
      </c>
      <c r="B346" s="303" t="str">
        <f t="shared" ca="1" si="86"/>
        <v/>
      </c>
      <c r="C346" s="303" t="str">
        <f t="shared" ca="1" si="87"/>
        <v/>
      </c>
      <c r="D346" s="366" t="str">
        <f t="shared" ca="1" si="88"/>
        <v/>
      </c>
      <c r="E346" s="366" t="str">
        <f t="shared" ca="1" si="89"/>
        <v/>
      </c>
    </row>
    <row r="347" spans="1:5" x14ac:dyDescent="0.2">
      <c r="A347" s="414" t="str">
        <f t="shared" si="85"/>
        <v>SP-282</v>
      </c>
      <c r="B347" s="303" t="str">
        <f t="shared" ca="1" si="86"/>
        <v/>
      </c>
      <c r="C347" s="303" t="str">
        <f t="shared" ca="1" si="87"/>
        <v/>
      </c>
      <c r="D347" s="366" t="str">
        <f t="shared" ca="1" si="88"/>
        <v/>
      </c>
      <c r="E347" s="366" t="str">
        <f t="shared" ca="1" si="89"/>
        <v/>
      </c>
    </row>
    <row r="348" spans="1:5" x14ac:dyDescent="0.2">
      <c r="A348" s="414" t="str">
        <f t="shared" si="85"/>
        <v>SP-283</v>
      </c>
      <c r="B348" s="303" t="str">
        <f t="shared" ca="1" si="86"/>
        <v/>
      </c>
      <c r="C348" s="303" t="str">
        <f t="shared" ca="1" si="87"/>
        <v/>
      </c>
      <c r="D348" s="366" t="str">
        <f t="shared" ca="1" si="88"/>
        <v/>
      </c>
      <c r="E348" s="366" t="str">
        <f t="shared" ca="1" si="89"/>
        <v/>
      </c>
    </row>
    <row r="349" spans="1:5" x14ac:dyDescent="0.2">
      <c r="A349" s="414" t="str">
        <f t="shared" si="85"/>
        <v>SP-288</v>
      </c>
      <c r="B349" s="303" t="str">
        <f t="shared" ca="1" si="86"/>
        <v/>
      </c>
      <c r="C349" s="303" t="str">
        <f t="shared" ca="1" si="87"/>
        <v/>
      </c>
      <c r="D349" s="366" t="str">
        <f t="shared" ca="1" si="88"/>
        <v/>
      </c>
      <c r="E349" s="366" t="str">
        <f t="shared" ca="1" si="89"/>
        <v/>
      </c>
    </row>
    <row r="350" spans="1:5" x14ac:dyDescent="0.2">
      <c r="A350" s="414" t="str">
        <f t="shared" si="85"/>
        <v>SP-294</v>
      </c>
      <c r="B350" s="303" t="str">
        <f t="shared" ca="1" si="86"/>
        <v/>
      </c>
      <c r="C350" s="303" t="str">
        <f t="shared" ca="1" si="87"/>
        <v/>
      </c>
      <c r="D350" s="366" t="str">
        <f t="shared" ca="1" si="88"/>
        <v/>
      </c>
      <c r="E350" s="366" t="str">
        <f t="shared" ca="1" si="89"/>
        <v/>
      </c>
    </row>
    <row r="351" spans="1:5" x14ac:dyDescent="0.2">
      <c r="A351" s="414" t="str">
        <f t="shared" si="85"/>
        <v>SP-295</v>
      </c>
      <c r="B351" s="303" t="str">
        <f t="shared" ca="1" si="86"/>
        <v/>
      </c>
      <c r="C351" s="303" t="str">
        <f t="shared" ca="1" si="87"/>
        <v/>
      </c>
      <c r="D351" s="366" t="str">
        <f t="shared" ca="1" si="88"/>
        <v/>
      </c>
      <c r="E351" s="366" t="str">
        <f t="shared" ca="1" si="89"/>
        <v/>
      </c>
    </row>
  </sheetData>
  <conditionalFormatting sqref="B2:BP22">
    <cfRule type="expression" dxfId="38" priority="36">
      <formula>FIND("RT-Prod-NW",B2:B22)&gt;0</formula>
    </cfRule>
    <cfRule type="expression" dxfId="37" priority="37">
      <formula>FIND("RT-Inj-NW",B2:B22)&gt;0</formula>
    </cfRule>
    <cfRule type="expression" dxfId="36" priority="38">
      <formula>FIND("RT-Prod-ST",B2:B22)&gt;0</formula>
    </cfRule>
    <cfRule type="expression" dxfId="35" priority="39">
      <formula>FIND("RT-Inj-ST",B2:B22)&gt;0</formula>
    </cfRule>
    <cfRule type="expression" dxfId="34" priority="40">
      <formula>FIND("ZU-Prod-NW",B2:B22)&gt;0</formula>
    </cfRule>
    <cfRule type="expression" dxfId="33" priority="41">
      <formula>FIND("ZU-Inj-NW",B2:B22)&gt;0</formula>
    </cfRule>
    <cfRule type="expression" dxfId="32" priority="42">
      <formula>FIND("ZU-Prod-ST",B2:B22)&gt;0</formula>
    </cfRule>
    <cfRule type="expression" dxfId="31" priority="43">
      <formula>FIND("ZU-Inj-ST",B2:B22)&gt;0</formula>
    </cfRule>
    <cfRule type="expression" dxfId="30" priority="44">
      <formula>FIND("LB-Prod-NW",B2:B22)&gt;0</formula>
    </cfRule>
    <cfRule type="expression" dxfId="29" priority="45">
      <formula>FIND("LB-Inj-NW",B2:B22)&gt;0</formula>
    </cfRule>
    <cfRule type="expression" dxfId="28" priority="46">
      <formula>FIND("LB-Prod-ST",B2:B22)&gt;0</formula>
    </cfRule>
    <cfRule type="expression" dxfId="27" priority="47">
      <formula>FIND("LB-Inj-ST",B2:B22)&gt;0</formula>
    </cfRule>
    <cfRule type="expression" dxfId="26" priority="48">
      <formula>FIND("UB-Prod-NW",B2:B22)&gt;0</formula>
    </cfRule>
    <cfRule type="expression" dxfId="25" priority="49">
      <formula>FIND("UB-Inj-NW",B2:B22)&gt;0</formula>
    </cfRule>
    <cfRule type="expression" dxfId="24" priority="50">
      <formula>FIND("UB-Prod-ST",B2:B22)&gt;0</formula>
    </cfRule>
    <cfRule type="expression" dxfId="23" priority="51">
      <formula>FIND("UB-Inj-ST",B2:B22)&gt;0</formula>
    </cfRule>
    <cfRule type="expression" dxfId="22" priority="52">
      <formula>FIND("MA-Prod-NW",B2:B22)&gt;0</formula>
    </cfRule>
    <cfRule type="expression" dxfId="21" priority="53">
      <formula>FIND("MA-Inj-NW",B2:B22)&gt;0</formula>
    </cfRule>
    <cfRule type="expression" dxfId="20" priority="54">
      <formula>FIND("MA-Prod-ST",B2:B22)&gt;0</formula>
    </cfRule>
    <cfRule type="expression" dxfId="19" priority="55">
      <formula>FIND("MA-Inj-ST",B2:B22)&gt;0</formula>
    </cfRule>
    <cfRule type="expression" dxfId="18" priority="56">
      <formula>FIND("MA-Prod",B2:B22)&gt;0</formula>
    </cfRule>
    <cfRule type="expression" dxfId="17" priority="57">
      <formula>FIND("MA-Inj",B2:B22)&gt;0</formula>
    </cfRule>
    <cfRule type="expression" dxfId="16" priority="58">
      <formula>FIND("UB-Prod",B2:B22)&gt;0</formula>
    </cfRule>
    <cfRule type="expression" dxfId="15" priority="59">
      <formula>FIND("UB-Inj",B2:B22)&gt;0</formula>
    </cfRule>
    <cfRule type="expression" dxfId="14" priority="60">
      <formula>FIND("ZU-Prod",B2:B22)&gt;0</formula>
    </cfRule>
    <cfRule type="expression" dxfId="13" priority="61">
      <formula>FIND("ZU-Inj",B2:B22)&gt;0</formula>
    </cfRule>
    <cfRule type="expression" dxfId="12" priority="62">
      <formula>FIND("RT-Prod",B2:B22)&gt;0</formula>
    </cfRule>
    <cfRule type="expression" dxfId="11" priority="63">
      <formula>FIND("RT-Inj",B2:B22)&gt;0</formula>
    </cfRule>
    <cfRule type="expression" dxfId="10" priority="64">
      <formula>FIND("LB-Prod",B2:B22)&gt;0</formula>
    </cfRule>
    <cfRule type="expression" dxfId="9" priority="65">
      <formula>FIND("LB-Inj",B2:B22)&gt;0</formula>
    </cfRule>
    <cfRule type="expression" dxfId="8" priority="66">
      <formula>FIND("MA",B2:B22)&gt;0</formula>
    </cfRule>
    <cfRule type="expression" dxfId="7" priority="67">
      <formula>FIND("LB",B2:B22)&gt;0</formula>
    </cfRule>
    <cfRule type="expression" dxfId="6" priority="68">
      <formula>FIND("UB",B2:B22)&gt;0</formula>
    </cfRule>
    <cfRule type="expression" dxfId="5" priority="69">
      <formula>FIND("ZU",B2:B22)&gt;0</formula>
    </cfRule>
    <cfRule type="expression" dxfId="4" priority="70">
      <formula>FIND("RT",B2:B22)&gt;0</formula>
    </cfRule>
  </conditionalFormatting>
  <pageMargins left="0.7" right="0.7" top="0.75" bottom="0.75" header="0.3" footer="0.3"/>
  <pageSetup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loringConditionalFormat">
                <anchor moveWithCells="1" sizeWithCells="1">
                  <from>
                    <xdr:col>3</xdr:col>
                    <xdr:colOff>38100</xdr:colOff>
                    <xdr:row>24</xdr:row>
                    <xdr:rowOff>0</xdr:rowOff>
                  </from>
                  <to>
                    <xdr:col>4</xdr:col>
                    <xdr:colOff>1238250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262"/>
  <sheetViews>
    <sheetView topLeftCell="C1" zoomScale="70" zoomScaleNormal="70" workbookViewId="0">
      <selection activeCell="G7" sqref="G7"/>
    </sheetView>
  </sheetViews>
  <sheetFormatPr defaultColWidth="15.7109375" defaultRowHeight="15" x14ac:dyDescent="0.25"/>
  <cols>
    <col min="1" max="1" width="15.7109375" style="416"/>
    <col min="2" max="2" width="33.42578125" style="416" customWidth="1"/>
    <col min="3" max="3" width="9.85546875" style="416" customWidth="1"/>
    <col min="4" max="4" width="9.140625" style="416" customWidth="1"/>
    <col min="5" max="5" width="12.42578125" style="416" customWidth="1"/>
    <col min="6" max="6" width="13.28515625" style="416" customWidth="1"/>
    <col min="7" max="7" width="13" style="416" customWidth="1"/>
    <col min="8" max="10" width="15.7109375" style="416" customWidth="1"/>
    <col min="11" max="11" width="10.7109375" style="416" customWidth="1"/>
    <col min="12" max="12" width="30.85546875" style="416" customWidth="1"/>
    <col min="13" max="13" width="27.28515625" style="51" customWidth="1"/>
    <col min="14" max="15" width="15.7109375" style="471"/>
    <col min="16" max="16" width="15.7109375" style="416"/>
    <col min="17" max="17" width="22.42578125" style="416" customWidth="1"/>
    <col min="18" max="16384" width="15.7109375" style="416"/>
  </cols>
  <sheetData>
    <row r="1" spans="1:16" s="25" customFormat="1" ht="21" x14ac:dyDescent="0.35">
      <c r="A1" s="577" t="s">
        <v>1681</v>
      </c>
      <c r="B1" s="577"/>
      <c r="C1" s="572"/>
      <c r="D1" s="572"/>
      <c r="E1" s="572"/>
      <c r="F1" s="572"/>
      <c r="G1" s="572"/>
      <c r="H1" s="435" t="s">
        <v>1683</v>
      </c>
      <c r="I1" s="435"/>
      <c r="J1" s="435"/>
      <c r="K1" s="25" t="s">
        <v>1684</v>
      </c>
      <c r="L1" s="579" t="str">
        <f>RigScheduleTest!$D$1</f>
        <v>Concatenated Rig and Well name</v>
      </c>
      <c r="M1" s="580"/>
      <c r="N1" s="503"/>
      <c r="O1" s="503"/>
    </row>
    <row r="2" spans="1:16" s="25" customFormat="1" x14ac:dyDescent="0.25">
      <c r="A2" s="578" t="s">
        <v>1682</v>
      </c>
      <c r="B2" s="578"/>
      <c r="C2" s="573"/>
      <c r="D2" s="573"/>
      <c r="E2" s="573"/>
      <c r="F2" s="573"/>
      <c r="G2" s="573"/>
      <c r="H2" s="436">
        <f>RigScheduleTest!G26</f>
        <v>42233</v>
      </c>
      <c r="I2" s="436"/>
      <c r="J2" s="436"/>
      <c r="K2" s="25" t="s">
        <v>7</v>
      </c>
      <c r="L2" s="579" t="str">
        <f>RigScheduleTest!$E$1</f>
        <v>Well_Type_Drilling</v>
      </c>
      <c r="M2" s="580"/>
      <c r="N2" s="503"/>
      <c r="O2" s="503"/>
    </row>
    <row r="3" spans="1:16" s="25" customFormat="1" x14ac:dyDescent="0.25">
      <c r="K3" s="25" t="s">
        <v>1685</v>
      </c>
      <c r="L3" s="581" t="str">
        <f>RigScheduleTest!$F$1</f>
        <v>Rig Schedule Meeting Date</v>
      </c>
      <c r="M3" s="582"/>
      <c r="N3" s="503"/>
      <c r="O3" s="503"/>
    </row>
    <row r="4" spans="1:16" s="25" customFormat="1" x14ac:dyDescent="0.25">
      <c r="L4" s="581"/>
      <c r="M4" s="582"/>
      <c r="N4" s="503"/>
      <c r="O4" s="503"/>
    </row>
    <row r="5" spans="1:16" s="25" customFormat="1" x14ac:dyDescent="0.25">
      <c r="K5" s="25" t="s">
        <v>575</v>
      </c>
      <c r="L5" s="575" t="str">
        <f>RigScheduleTest!$L$1</f>
        <v>Estimated spud date (Estimated RR date + estimated Rig move (5))</v>
      </c>
      <c r="M5" s="576"/>
      <c r="N5" s="503"/>
      <c r="O5" s="503"/>
    </row>
    <row r="6" spans="1:16" s="25" customFormat="1" x14ac:dyDescent="0.25">
      <c r="K6" s="25" t="s">
        <v>576</v>
      </c>
      <c r="L6" s="575" t="str">
        <f>RigScheduleTest!$M$1</f>
        <v>Estimated RR date (Estimated spud + planned days)</v>
      </c>
      <c r="M6" s="576"/>
      <c r="N6" s="503"/>
      <c r="O6" s="503"/>
    </row>
    <row r="7" spans="1:16" s="25" customFormat="1" x14ac:dyDescent="0.25">
      <c r="M7" s="470"/>
      <c r="N7" s="503"/>
      <c r="O7" s="503"/>
    </row>
    <row r="8" spans="1:16" s="25" customFormat="1" x14ac:dyDescent="0.25">
      <c r="M8" s="470"/>
      <c r="N8" s="503"/>
      <c r="O8" s="503"/>
    </row>
    <row r="9" spans="1:16" s="25" customFormat="1" x14ac:dyDescent="0.25">
      <c r="M9" s="470"/>
      <c r="N9" s="503"/>
      <c r="O9" s="503"/>
    </row>
    <row r="10" spans="1:16" s="25" customFormat="1" x14ac:dyDescent="0.25">
      <c r="I10" s="445" t="s">
        <v>1686</v>
      </c>
      <c r="J10" s="445" t="s">
        <v>1686</v>
      </c>
      <c r="M10" s="470"/>
      <c r="N10" s="503"/>
      <c r="O10" s="503"/>
    </row>
    <row r="11" spans="1:16" x14ac:dyDescent="0.25">
      <c r="A11" s="437" t="str">
        <f>RigScheduleTest!$B$1</f>
        <v>RIG</v>
      </c>
      <c r="B11" s="437" t="str">
        <f>$K$1</f>
        <v>Development Drilling</v>
      </c>
      <c r="C11" s="437" t="s">
        <v>1831</v>
      </c>
      <c r="D11" s="437" t="s">
        <v>867</v>
      </c>
      <c r="E11" s="437" t="s">
        <v>8</v>
      </c>
      <c r="F11" s="437" t="s">
        <v>2</v>
      </c>
      <c r="G11" s="437" t="s">
        <v>1513</v>
      </c>
      <c r="H11" s="438" t="str">
        <f>$K$3</f>
        <v>Rig Deployment Meeting</v>
      </c>
      <c r="I11" s="439" t="str">
        <f>$K$5</f>
        <v>Start</v>
      </c>
      <c r="J11" s="439" t="str">
        <f>$K$6</f>
        <v>End</v>
      </c>
      <c r="K11" s="444" t="s">
        <v>1068</v>
      </c>
      <c r="L11" s="444" t="s">
        <v>1577</v>
      </c>
      <c r="M11" s="496" t="s">
        <v>1934</v>
      </c>
      <c r="N11" s="504" t="s">
        <v>1940</v>
      </c>
      <c r="O11" s="504" t="s">
        <v>1941</v>
      </c>
    </row>
    <row r="12" spans="1:16" x14ac:dyDescent="0.25">
      <c r="A12" s="421" t="str">
        <f>RigScheduleTest!$B$2</f>
        <v>BWD-130</v>
      </c>
      <c r="B12" s="421" t="str">
        <f ca="1">RigScheduleTest!$D$2</f>
        <v>RA-0179-RA-ZU-Prod-ST-V-HAL</v>
      </c>
      <c r="C12" s="421" t="str">
        <f ca="1">IF(INDEX(Well_Data_NK_Upcoming!$G$2:$G$996,MATCH('Rig_Schedule_View (2)'!B12,Well_Data_NK_Upcoming!Concatenated_Wellname,0))=0,"",INDEX(Well_Data_NK_Upcoming!$G$2:$G$996,MATCH('Rig_Schedule_View (2)'!B12,Well_Data_NK_Upcoming!Concatenated_Wellname,0)))</f>
        <v>ZU</v>
      </c>
      <c r="D12" s="421" t="str">
        <f ca="1">IF(INDEX(Well_Data_NK_Upcoming!$K$2:$K$996,MATCH('Rig_Schedule_View (2)'!B12,Well_Data_NK_Upcoming!Concatenated_Wellname,0))=0,"",INDEX(Well_Data_NK_Upcoming!$K$2:$K$996,MATCH('Rig_Schedule_View (2)'!B12,Well_Data_NK_Upcoming!Concatenated_Wellname,0)))</f>
        <v>ST</v>
      </c>
      <c r="E12" s="421" t="str">
        <f ca="1">IF(INDEX(Well_Data_NK_Upcoming!$J$2:$J$996,MATCH('Rig_Schedule_View (2)'!B12,Well_Data_NK_Upcoming!Concatenated_Wellname,0))=0,"",INDEX(Well_Data_NK_Upcoming!$J$2:$J$996,MATCH('Rig_Schedule_View (2)'!B12,Well_Data_NK_Upcoming!Concatenated_Wellname,0)))</f>
        <v>Prod</v>
      </c>
      <c r="F12" s="421" t="str">
        <f ca="1">IF(INDEX(Well_Data_NK_Upcoming!$L$2:$L$996,MATCH('Rig_Schedule_View (2)'!B12,Well_Data_NK_Upcoming!Concatenated_Wellname,0))=0,"",INDEX(Well_Data_NK_Upcoming!$L$2:$L$996,MATCH('Rig_Schedule_View (2)'!B12,Well_Data_NK_Upcoming!Concatenated_Wellname,0)))</f>
        <v>V</v>
      </c>
      <c r="G12" s="421">
        <f ca="1">IF(INDEX(Well_Data_NK_Upcoming!$R$2:$R$996,MATCH('Rig_Schedule_View (2)'!B12,Well_Data_NK_Upcoming!Concatenated_Wellname,0))=0,"",INDEX(Well_Data_NK_Upcoming!$R$2:$R$996,MATCH('Rig_Schedule_View (2)'!B12,Well_Data_NK_Upcoming!Concatenated_Wellname,0)))</f>
        <v>35</v>
      </c>
      <c r="H12" s="526">
        <f>RigScheduleTest!$F$2</f>
        <v>42233</v>
      </c>
      <c r="I12" s="459">
        <f ca="1">IF(INDEX(Well_Data_NK_Upcoming!$O$2:$O$996,MATCH('Rig_Schedule_View (2)'!B12,Well_Data_NK_Upcoming!Concatenated_Wellname,0))=0,"",INDEX(Well_Data_NK_Upcoming!$O$2:$O$996,MATCH('Rig_Schedule_View (2)'!B12,Well_Data_NK_Upcoming!Concatenated_Wellname,0)))</f>
        <v>42222.083333333336</v>
      </c>
      <c r="J12" s="446">
        <f ca="1">RigScheduleTest!$H$2</f>
        <v>42258</v>
      </c>
      <c r="K12" s="574" t="s">
        <v>1917</v>
      </c>
      <c r="L12" s="548" t="s">
        <v>2237</v>
      </c>
      <c r="M12" s="549">
        <v>25</v>
      </c>
      <c r="N12" s="550"/>
      <c r="O12" s="550"/>
      <c r="P12" s="551"/>
    </row>
    <row r="13" spans="1:16" x14ac:dyDescent="0.25">
      <c r="A13" s="421" t="str">
        <f>RigScheduleTest!$B$2</f>
        <v>BWD-130</v>
      </c>
      <c r="B13" s="441" t="str">
        <f ca="1">RigScheduleTest!$I$2</f>
        <v>Rig-Exp-Aug</v>
      </c>
      <c r="C13" s="421" t="str">
        <f ca="1">IF(INDEX(Well_Data_NK_Upcoming!$G$2:$G$996,MATCH('Rig_Schedule_View (2)'!B13,Well_Data_NK_Upcoming!Concatenated_Wellname,0))=0,"",INDEX(Well_Data_NK_Upcoming!$G$2:$G$996,MATCH('Rig_Schedule_View (2)'!B13,Well_Data_NK_Upcoming!Concatenated_Wellname,0)))</f>
        <v/>
      </c>
      <c r="D13" s="421" t="str">
        <f ca="1">IF(INDEX(Well_Data_NK_Upcoming!$K$2:$K$996,MATCH('Rig_Schedule_View (2)'!B13,Well_Data_NK_Upcoming!Concatenated_Wellname,0))=0,"",INDEX(Well_Data_NK_Upcoming!$K$2:$K$996,MATCH('Rig_Schedule_View (2)'!B13,Well_Data_NK_Upcoming!Concatenated_Wellname,0)))</f>
        <v/>
      </c>
      <c r="E13" s="421" t="str">
        <f ca="1">IF(INDEX(Well_Data_NK_Upcoming!$J$2:$J$996,MATCH('Rig_Schedule_View (2)'!B13,Well_Data_NK_Upcoming!Concatenated_Wellname,0))=0,"",INDEX(Well_Data_NK_Upcoming!$J$2:$J$996,MATCH('Rig_Schedule_View (2)'!B13,Well_Data_NK_Upcoming!Concatenated_Wellname,0)))</f>
        <v/>
      </c>
      <c r="F13" s="421" t="str">
        <f ca="1">IF(INDEX(Well_Data_NK_Upcoming!$L$2:$L$996,MATCH('Rig_Schedule_View (2)'!B13,Well_Data_NK_Upcoming!Concatenated_Wellname,0))=0,"",INDEX(Well_Data_NK_Upcoming!$L$2:$L$996,MATCH('Rig_Schedule_View (2)'!B13,Well_Data_NK_Upcoming!Concatenated_Wellname,0)))</f>
        <v/>
      </c>
      <c r="G13" s="421" t="str">
        <f ca="1">IF(INDEX(Well_Data_NK_Upcoming!$R$2:$R$996,MATCH('Rig_Schedule_View (2)'!B13,Well_Data_NK_Upcoming!Concatenated_Wellname,0))=0,"",INDEX(Well_Data_NK_Upcoming!$R$2:$R$996,MATCH('Rig_Schedule_View (2)'!B13,Well_Data_NK_Upcoming!Concatenated_Wellname,0)))</f>
        <v/>
      </c>
      <c r="H13" s="526"/>
      <c r="I13" s="440" t="str">
        <f ca="1">RigScheduleTest!$L$2</f>
        <v/>
      </c>
      <c r="J13" s="440" t="str">
        <f ca="1">RigScheduleTest!$M$2</f>
        <v/>
      </c>
      <c r="K13" s="574"/>
      <c r="L13" s="552"/>
      <c r="M13" s="549"/>
      <c r="N13" s="550"/>
      <c r="O13" s="550"/>
      <c r="P13" s="551"/>
    </row>
    <row r="14" spans="1:16" x14ac:dyDescent="0.25">
      <c r="A14" s="421" t="str">
        <f>RigScheduleTest!$B$2</f>
        <v>BWD-130</v>
      </c>
      <c r="B14" s="441" t="str">
        <f ca="1">RigScheduleTest!$O$2</f>
        <v/>
      </c>
      <c r="C14" s="421" t="str">
        <f ca="1">IF(INDEX(Well_Data_NK_Upcoming!$G$2:$G$996,MATCH('Rig_Schedule_View (2)'!B14,Well_Data_NK_Upcoming!Concatenated_Wellname,0))=0,"",INDEX(Well_Data_NK_Upcoming!$G$2:$G$996,MATCH('Rig_Schedule_View (2)'!B14,Well_Data_NK_Upcoming!Concatenated_Wellname,0)))</f>
        <v/>
      </c>
      <c r="D14" s="421" t="str">
        <f ca="1">IF(INDEX(Well_Data_NK_Upcoming!$K$2:$K$996,MATCH('Rig_Schedule_View (2)'!B14,Well_Data_NK_Upcoming!Concatenated_Wellname,0))=0,"",INDEX(Well_Data_NK_Upcoming!$K$2:$K$996,MATCH('Rig_Schedule_View (2)'!B14,Well_Data_NK_Upcoming!Concatenated_Wellname,0)))</f>
        <v/>
      </c>
      <c r="E14" s="421" t="str">
        <f ca="1">IF(INDEX(Well_Data_NK_Upcoming!$J$2:$J$996,MATCH('Rig_Schedule_View (2)'!B14,Well_Data_NK_Upcoming!Concatenated_Wellname,0))=0,"",INDEX(Well_Data_NK_Upcoming!$J$2:$J$996,MATCH('Rig_Schedule_View (2)'!B14,Well_Data_NK_Upcoming!Concatenated_Wellname,0)))</f>
        <v/>
      </c>
      <c r="F14" s="421" t="str">
        <f ca="1">IF(INDEX(Well_Data_NK_Upcoming!$L$2:$L$996,MATCH('Rig_Schedule_View (2)'!B14,Well_Data_NK_Upcoming!Concatenated_Wellname,0))=0,"",INDEX(Well_Data_NK_Upcoming!$L$2:$L$996,MATCH('Rig_Schedule_View (2)'!B14,Well_Data_NK_Upcoming!Concatenated_Wellname,0)))</f>
        <v/>
      </c>
      <c r="G14" s="421" t="str">
        <f ca="1">IF(INDEX(Well_Data_NK_Upcoming!$R$2:$R$996,MATCH('Rig_Schedule_View (2)'!B14,Well_Data_NK_Upcoming!Concatenated_Wellname,0))=0,"",INDEX(Well_Data_NK_Upcoming!$R$2:$R$996,MATCH('Rig_Schedule_View (2)'!B14,Well_Data_NK_Upcoming!Concatenated_Wellname,0)))</f>
        <v/>
      </c>
      <c r="H14" s="526"/>
      <c r="I14" s="440" t="str">
        <f ca="1">RigScheduleTest!$R$2</f>
        <v/>
      </c>
      <c r="J14" s="440" t="str">
        <f ca="1">RigScheduleTest!$S$2</f>
        <v/>
      </c>
      <c r="K14" s="574"/>
      <c r="L14" s="552"/>
      <c r="M14" s="549"/>
      <c r="N14" s="550"/>
      <c r="O14" s="550"/>
      <c r="P14" s="551"/>
    </row>
    <row r="15" spans="1:16" x14ac:dyDescent="0.25">
      <c r="A15" s="421" t="str">
        <f>RigScheduleTest!$B$2</f>
        <v>BWD-130</v>
      </c>
      <c r="B15" s="442" t="str">
        <f ca="1">RigScheduleTest!$U$2</f>
        <v/>
      </c>
      <c r="C15" s="421" t="str">
        <f ca="1">IF(INDEX(Well_Data_NK_Upcoming!$G$2:$G$996,MATCH('Rig_Schedule_View (2)'!B15,Well_Data_NK_Upcoming!Concatenated_Wellname,0))=0,"",INDEX(Well_Data_NK_Upcoming!$G$2:$G$996,MATCH('Rig_Schedule_View (2)'!B15,Well_Data_NK_Upcoming!Concatenated_Wellname,0)))</f>
        <v/>
      </c>
      <c r="D15" s="421" t="str">
        <f ca="1">IF(INDEX(Well_Data_NK_Upcoming!$K$2:$K$996,MATCH('Rig_Schedule_View (2)'!B15,Well_Data_NK_Upcoming!Concatenated_Wellname,0))=0,"",INDEX(Well_Data_NK_Upcoming!$K$2:$K$996,MATCH('Rig_Schedule_View (2)'!B15,Well_Data_NK_Upcoming!Concatenated_Wellname,0)))</f>
        <v/>
      </c>
      <c r="E15" s="421" t="str">
        <f ca="1">IF(INDEX(Well_Data_NK_Upcoming!$J$2:$J$996,MATCH('Rig_Schedule_View (2)'!B15,Well_Data_NK_Upcoming!Concatenated_Wellname,0))=0,"",INDEX(Well_Data_NK_Upcoming!$J$2:$J$996,MATCH('Rig_Schedule_View (2)'!B15,Well_Data_NK_Upcoming!Concatenated_Wellname,0)))</f>
        <v/>
      </c>
      <c r="F15" s="421" t="str">
        <f ca="1">IF(INDEX(Well_Data_NK_Upcoming!$L$2:$L$996,MATCH('Rig_Schedule_View (2)'!B15,Well_Data_NK_Upcoming!Concatenated_Wellname,0))=0,"",INDEX(Well_Data_NK_Upcoming!$L$2:$L$996,MATCH('Rig_Schedule_View (2)'!B15,Well_Data_NK_Upcoming!Concatenated_Wellname,0)))</f>
        <v/>
      </c>
      <c r="G15" s="421" t="str">
        <f ca="1">IF(INDEX(Well_Data_NK_Upcoming!$R$2:$R$996,MATCH('Rig_Schedule_View (2)'!B15,Well_Data_NK_Upcoming!Concatenated_Wellname,0))=0,"",INDEX(Well_Data_NK_Upcoming!$R$2:$R$996,MATCH('Rig_Schedule_View (2)'!B15,Well_Data_NK_Upcoming!Concatenated_Wellname,0)))</f>
        <v/>
      </c>
      <c r="H15" s="526"/>
      <c r="I15" s="443" t="str">
        <f ca="1">RigScheduleTest!$X$2</f>
        <v/>
      </c>
      <c r="J15" s="443" t="str">
        <f ca="1">RigScheduleTest!$Y$2</f>
        <v/>
      </c>
      <c r="K15" s="574"/>
      <c r="L15" s="552"/>
      <c r="M15" s="549"/>
      <c r="N15" s="550"/>
      <c r="O15" s="550"/>
      <c r="P15" s="551"/>
    </row>
    <row r="16" spans="1:16" x14ac:dyDescent="0.25">
      <c r="A16" s="421" t="str">
        <f>RigScheduleTest!$B$2</f>
        <v>BWD-130</v>
      </c>
      <c r="B16" s="442" t="str">
        <f ca="1">RigScheduleTest!$AA$2</f>
        <v/>
      </c>
      <c r="C16" s="421" t="str">
        <f ca="1">IF(INDEX(Well_Data_NK_Upcoming!$G$2:$G$996,MATCH('Rig_Schedule_View (2)'!B16,Well_Data_NK_Upcoming!Concatenated_Wellname,0))=0,"",INDEX(Well_Data_NK_Upcoming!$G$2:$G$996,MATCH('Rig_Schedule_View (2)'!B16,Well_Data_NK_Upcoming!Concatenated_Wellname,0)))</f>
        <v/>
      </c>
      <c r="D16" s="421" t="str">
        <f ca="1">IF(INDEX(Well_Data_NK_Upcoming!$K$2:$K$996,MATCH('Rig_Schedule_View (2)'!B16,Well_Data_NK_Upcoming!Concatenated_Wellname,0))=0,"",INDEX(Well_Data_NK_Upcoming!$K$2:$K$996,MATCH('Rig_Schedule_View (2)'!B16,Well_Data_NK_Upcoming!Concatenated_Wellname,0)))</f>
        <v/>
      </c>
      <c r="E16" s="421" t="str">
        <f ca="1">IF(INDEX(Well_Data_NK_Upcoming!$J$2:$J$996,MATCH('Rig_Schedule_View (2)'!B16,Well_Data_NK_Upcoming!Concatenated_Wellname,0))=0,"",INDEX(Well_Data_NK_Upcoming!$J$2:$J$996,MATCH('Rig_Schedule_View (2)'!B16,Well_Data_NK_Upcoming!Concatenated_Wellname,0)))</f>
        <v/>
      </c>
      <c r="F16" s="421" t="str">
        <f ca="1">IF(INDEX(Well_Data_NK_Upcoming!$L$2:$L$996,MATCH('Rig_Schedule_View (2)'!B16,Well_Data_NK_Upcoming!Concatenated_Wellname,0))=0,"",INDEX(Well_Data_NK_Upcoming!$L$2:$L$996,MATCH('Rig_Schedule_View (2)'!B16,Well_Data_NK_Upcoming!Concatenated_Wellname,0)))</f>
        <v/>
      </c>
      <c r="G16" s="421" t="str">
        <f ca="1">IF(INDEX(Well_Data_NK_Upcoming!$R$2:$R$996,MATCH('Rig_Schedule_View (2)'!B16,Well_Data_NK_Upcoming!Concatenated_Wellname,0))=0,"",INDEX(Well_Data_NK_Upcoming!$R$2:$R$996,MATCH('Rig_Schedule_View (2)'!B16,Well_Data_NK_Upcoming!Concatenated_Wellname,0)))</f>
        <v/>
      </c>
      <c r="H16" s="526"/>
      <c r="I16" s="443" t="str">
        <f ca="1">RigScheduleTest!$AD$2</f>
        <v/>
      </c>
      <c r="J16" s="443" t="str">
        <f ca="1">RigScheduleTest!$AE$2</f>
        <v/>
      </c>
      <c r="K16" s="574"/>
      <c r="L16" s="552"/>
      <c r="M16" s="549"/>
      <c r="N16" s="550"/>
      <c r="O16" s="550"/>
      <c r="P16" s="551"/>
    </row>
    <row r="17" spans="1:16" x14ac:dyDescent="0.25">
      <c r="A17" s="421" t="str">
        <f>RigScheduleTest!$B$2</f>
        <v>BWD-130</v>
      </c>
      <c r="B17" s="442" t="str">
        <f ca="1">RigScheduleTest!$AG$2</f>
        <v/>
      </c>
      <c r="C17" s="421" t="str">
        <f ca="1">IF(INDEX(Well_Data_NK_Upcoming!$G$2:$G$996,MATCH('Rig_Schedule_View (2)'!B17,Well_Data_NK_Upcoming!Concatenated_Wellname,0))=0,"",INDEX(Well_Data_NK_Upcoming!$G$2:$G$996,MATCH('Rig_Schedule_View (2)'!B17,Well_Data_NK_Upcoming!Concatenated_Wellname,0)))</f>
        <v/>
      </c>
      <c r="D17" s="421" t="str">
        <f ca="1">IF(INDEX(Well_Data_NK_Upcoming!$K$2:$K$996,MATCH('Rig_Schedule_View (2)'!B17,Well_Data_NK_Upcoming!Concatenated_Wellname,0))=0,"",INDEX(Well_Data_NK_Upcoming!$K$2:$K$996,MATCH('Rig_Schedule_View (2)'!B17,Well_Data_NK_Upcoming!Concatenated_Wellname,0)))</f>
        <v/>
      </c>
      <c r="E17" s="421" t="str">
        <f ca="1">IF(INDEX(Well_Data_NK_Upcoming!$J$2:$J$996,MATCH('Rig_Schedule_View (2)'!B17,Well_Data_NK_Upcoming!Concatenated_Wellname,0))=0,"",INDEX(Well_Data_NK_Upcoming!$J$2:$J$996,MATCH('Rig_Schedule_View (2)'!B17,Well_Data_NK_Upcoming!Concatenated_Wellname,0)))</f>
        <v/>
      </c>
      <c r="F17" s="421" t="str">
        <f ca="1">IF(INDEX(Well_Data_NK_Upcoming!$L$2:$L$996,MATCH('Rig_Schedule_View (2)'!B17,Well_Data_NK_Upcoming!Concatenated_Wellname,0))=0,"",INDEX(Well_Data_NK_Upcoming!$L$2:$L$996,MATCH('Rig_Schedule_View (2)'!B17,Well_Data_NK_Upcoming!Concatenated_Wellname,0)))</f>
        <v/>
      </c>
      <c r="G17" s="421" t="str">
        <f ca="1">IF(INDEX(Well_Data_NK_Upcoming!$R$2:$R$996,MATCH('Rig_Schedule_View (2)'!B17,Well_Data_NK_Upcoming!Concatenated_Wellname,0))=0,"",INDEX(Well_Data_NK_Upcoming!$R$2:$R$996,MATCH('Rig_Schedule_View (2)'!B17,Well_Data_NK_Upcoming!Concatenated_Wellname,0)))</f>
        <v/>
      </c>
      <c r="H17" s="526"/>
      <c r="I17" s="443" t="str">
        <f ca="1">RigScheduleTest!$AJ$2</f>
        <v/>
      </c>
      <c r="J17" s="443" t="str">
        <f ca="1">RigScheduleTest!$AK$2</f>
        <v/>
      </c>
      <c r="K17" s="574"/>
      <c r="L17" s="552"/>
      <c r="M17" s="549"/>
      <c r="N17" s="550"/>
      <c r="O17" s="550"/>
      <c r="P17" s="551"/>
    </row>
    <row r="18" spans="1:16" x14ac:dyDescent="0.25">
      <c r="A18" s="421" t="str">
        <f>RigScheduleTest!$B$2</f>
        <v>BWD-130</v>
      </c>
      <c r="B18" s="442" t="str">
        <f ca="1">RigScheduleTest!$AM$2</f>
        <v/>
      </c>
      <c r="C18" s="421" t="str">
        <f ca="1">IF(INDEX(Well_Data_NK_Upcoming!$G$2:$G$996,MATCH('Rig_Schedule_View (2)'!B18,Well_Data_NK_Upcoming!Concatenated_Wellname,0))=0,"",INDEX(Well_Data_NK_Upcoming!$G$2:$G$996,MATCH('Rig_Schedule_View (2)'!B18,Well_Data_NK_Upcoming!Concatenated_Wellname,0)))</f>
        <v/>
      </c>
      <c r="D18" s="421" t="str">
        <f ca="1">IF(INDEX(Well_Data_NK_Upcoming!$K$2:$K$996,MATCH('Rig_Schedule_View (2)'!B18,Well_Data_NK_Upcoming!Concatenated_Wellname,0))=0,"",INDEX(Well_Data_NK_Upcoming!$K$2:$K$996,MATCH('Rig_Schedule_View (2)'!B18,Well_Data_NK_Upcoming!Concatenated_Wellname,0)))</f>
        <v/>
      </c>
      <c r="E18" s="421" t="str">
        <f ca="1">IF(INDEX(Well_Data_NK_Upcoming!$J$2:$J$996,MATCH('Rig_Schedule_View (2)'!B18,Well_Data_NK_Upcoming!Concatenated_Wellname,0))=0,"",INDEX(Well_Data_NK_Upcoming!$J$2:$J$996,MATCH('Rig_Schedule_View (2)'!B18,Well_Data_NK_Upcoming!Concatenated_Wellname,0)))</f>
        <v/>
      </c>
      <c r="F18" s="421" t="str">
        <f ca="1">IF(INDEX(Well_Data_NK_Upcoming!$L$2:$L$996,MATCH('Rig_Schedule_View (2)'!B18,Well_Data_NK_Upcoming!Concatenated_Wellname,0))=0,"",INDEX(Well_Data_NK_Upcoming!$L$2:$L$996,MATCH('Rig_Schedule_View (2)'!B18,Well_Data_NK_Upcoming!Concatenated_Wellname,0)))</f>
        <v/>
      </c>
      <c r="G18" s="421" t="str">
        <f ca="1">IF(INDEX(Well_Data_NK_Upcoming!$R$2:$R$996,MATCH('Rig_Schedule_View (2)'!B18,Well_Data_NK_Upcoming!Concatenated_Wellname,0))=0,"",INDEX(Well_Data_NK_Upcoming!$R$2:$R$996,MATCH('Rig_Schedule_View (2)'!B18,Well_Data_NK_Upcoming!Concatenated_Wellname,0)))</f>
        <v/>
      </c>
      <c r="H18" s="526"/>
      <c r="I18" s="443" t="str">
        <f ca="1">RigScheduleTest!$AP$2</f>
        <v/>
      </c>
      <c r="J18" s="443" t="str">
        <f ca="1">RigScheduleTest!$AQ$2</f>
        <v/>
      </c>
      <c r="K18" s="574"/>
      <c r="L18" s="552"/>
      <c r="M18" s="549"/>
      <c r="N18" s="550"/>
      <c r="O18" s="550"/>
      <c r="P18" s="551"/>
    </row>
    <row r="19" spans="1:16" x14ac:dyDescent="0.25">
      <c r="A19" s="421" t="str">
        <f>RigScheduleTest!$B$2</f>
        <v>BWD-130</v>
      </c>
      <c r="B19" s="442" t="str">
        <f ca="1">RigScheduleTest!$AS$2</f>
        <v/>
      </c>
      <c r="C19" s="421" t="str">
        <f ca="1">IF(INDEX(Well_Data_NK_Upcoming!$G$2:$G$996,MATCH('Rig_Schedule_View (2)'!B19,Well_Data_NK_Upcoming!Concatenated_Wellname,0))=0,"",INDEX(Well_Data_NK_Upcoming!$G$2:$G$996,MATCH('Rig_Schedule_View (2)'!B19,Well_Data_NK_Upcoming!Concatenated_Wellname,0)))</f>
        <v/>
      </c>
      <c r="D19" s="421" t="str">
        <f ca="1">IF(INDEX(Well_Data_NK_Upcoming!$K$2:$K$996,MATCH('Rig_Schedule_View (2)'!B19,Well_Data_NK_Upcoming!Concatenated_Wellname,0))=0,"",INDEX(Well_Data_NK_Upcoming!$K$2:$K$996,MATCH('Rig_Schedule_View (2)'!B19,Well_Data_NK_Upcoming!Concatenated_Wellname,0)))</f>
        <v/>
      </c>
      <c r="E19" s="421" t="str">
        <f ca="1">IF(INDEX(Well_Data_NK_Upcoming!$J$2:$J$996,MATCH('Rig_Schedule_View (2)'!B19,Well_Data_NK_Upcoming!Concatenated_Wellname,0))=0,"",INDEX(Well_Data_NK_Upcoming!$J$2:$J$996,MATCH('Rig_Schedule_View (2)'!B19,Well_Data_NK_Upcoming!Concatenated_Wellname,0)))</f>
        <v/>
      </c>
      <c r="F19" s="421" t="str">
        <f ca="1">IF(INDEX(Well_Data_NK_Upcoming!$L$2:$L$996,MATCH('Rig_Schedule_View (2)'!B19,Well_Data_NK_Upcoming!Concatenated_Wellname,0))=0,"",INDEX(Well_Data_NK_Upcoming!$L$2:$L$996,MATCH('Rig_Schedule_View (2)'!B19,Well_Data_NK_Upcoming!Concatenated_Wellname,0)))</f>
        <v/>
      </c>
      <c r="G19" s="421" t="str">
        <f ca="1">IF(INDEX(Well_Data_NK_Upcoming!$R$2:$R$996,MATCH('Rig_Schedule_View (2)'!B19,Well_Data_NK_Upcoming!Concatenated_Wellname,0))=0,"",INDEX(Well_Data_NK_Upcoming!$R$2:$R$996,MATCH('Rig_Schedule_View (2)'!B19,Well_Data_NK_Upcoming!Concatenated_Wellname,0)))</f>
        <v/>
      </c>
      <c r="H19" s="526"/>
      <c r="I19" s="443" t="str">
        <f ca="1">RigScheduleTest!$AV$2</f>
        <v/>
      </c>
      <c r="J19" s="443" t="str">
        <f ca="1">RigScheduleTest!$AW$2</f>
        <v/>
      </c>
      <c r="K19" s="574"/>
      <c r="L19" s="552"/>
      <c r="M19" s="549"/>
      <c r="N19" s="550"/>
      <c r="O19" s="550"/>
      <c r="P19" s="551"/>
    </row>
    <row r="20" spans="1:16" x14ac:dyDescent="0.25">
      <c r="A20" s="421" t="str">
        <f>RigScheduleTest!$B$2</f>
        <v>BWD-130</v>
      </c>
      <c r="B20" s="442" t="str">
        <f ca="1">RigScheduleTest!$AY$2</f>
        <v/>
      </c>
      <c r="C20" s="421" t="str">
        <f ca="1">IF(INDEX(Well_Data_NK_Upcoming!$G$2:$G$996,MATCH('Rig_Schedule_View (2)'!B20,Well_Data_NK_Upcoming!Concatenated_Wellname,0))=0,"",INDEX(Well_Data_NK_Upcoming!$G$2:$G$996,MATCH('Rig_Schedule_View (2)'!B20,Well_Data_NK_Upcoming!Concatenated_Wellname,0)))</f>
        <v/>
      </c>
      <c r="D20" s="421" t="str">
        <f ca="1">IF(INDEX(Well_Data_NK_Upcoming!$K$2:$K$996,MATCH('Rig_Schedule_View (2)'!B20,Well_Data_NK_Upcoming!Concatenated_Wellname,0))=0,"",INDEX(Well_Data_NK_Upcoming!$K$2:$K$996,MATCH('Rig_Schedule_View (2)'!B20,Well_Data_NK_Upcoming!Concatenated_Wellname,0)))</f>
        <v/>
      </c>
      <c r="E20" s="421" t="str">
        <f ca="1">IF(INDEX(Well_Data_NK_Upcoming!$J$2:$J$996,MATCH('Rig_Schedule_View (2)'!B20,Well_Data_NK_Upcoming!Concatenated_Wellname,0))=0,"",INDEX(Well_Data_NK_Upcoming!$J$2:$J$996,MATCH('Rig_Schedule_View (2)'!B20,Well_Data_NK_Upcoming!Concatenated_Wellname,0)))</f>
        <v/>
      </c>
      <c r="F20" s="421" t="str">
        <f ca="1">IF(INDEX(Well_Data_NK_Upcoming!$L$2:$L$996,MATCH('Rig_Schedule_View (2)'!B20,Well_Data_NK_Upcoming!Concatenated_Wellname,0))=0,"",INDEX(Well_Data_NK_Upcoming!$L$2:$L$996,MATCH('Rig_Schedule_View (2)'!B20,Well_Data_NK_Upcoming!Concatenated_Wellname,0)))</f>
        <v/>
      </c>
      <c r="G20" s="421" t="str">
        <f ca="1">IF(INDEX(Well_Data_NK_Upcoming!$R$2:$R$996,MATCH('Rig_Schedule_View (2)'!B20,Well_Data_NK_Upcoming!Concatenated_Wellname,0))=0,"",INDEX(Well_Data_NK_Upcoming!$R$2:$R$996,MATCH('Rig_Schedule_View (2)'!B20,Well_Data_NK_Upcoming!Concatenated_Wellname,0)))</f>
        <v/>
      </c>
      <c r="H20" s="526"/>
      <c r="I20" s="443" t="str">
        <f ca="1">RigScheduleTest!$BB$2</f>
        <v/>
      </c>
      <c r="J20" s="443" t="str">
        <f ca="1">RigScheduleTest!$BC$2</f>
        <v/>
      </c>
      <c r="K20" s="574"/>
      <c r="L20" s="552"/>
      <c r="M20" s="549"/>
      <c r="N20" s="550"/>
      <c r="O20" s="550"/>
      <c r="P20" s="551"/>
    </row>
    <row r="21" spans="1:16" x14ac:dyDescent="0.25">
      <c r="A21" s="421" t="str">
        <f>RigScheduleTest!$B$2</f>
        <v>BWD-130</v>
      </c>
      <c r="B21" s="442" t="str">
        <f ca="1">RigScheduleTest!$BE$2</f>
        <v/>
      </c>
      <c r="C21" s="421" t="str">
        <f ca="1">IF(INDEX(Well_Data_NK_Upcoming!$G$2:$G$996,MATCH('Rig_Schedule_View (2)'!B21,Well_Data_NK_Upcoming!Concatenated_Wellname,0))=0,"",INDEX(Well_Data_NK_Upcoming!$G$2:$G$996,MATCH('Rig_Schedule_View (2)'!B21,Well_Data_NK_Upcoming!Concatenated_Wellname,0)))</f>
        <v/>
      </c>
      <c r="D21" s="421" t="str">
        <f ca="1">IF(INDEX(Well_Data_NK_Upcoming!$K$2:$K$996,MATCH('Rig_Schedule_View (2)'!B21,Well_Data_NK_Upcoming!Concatenated_Wellname,0))=0,"",INDEX(Well_Data_NK_Upcoming!$K$2:$K$996,MATCH('Rig_Schedule_View (2)'!B21,Well_Data_NK_Upcoming!Concatenated_Wellname,0)))</f>
        <v/>
      </c>
      <c r="E21" s="421" t="str">
        <f ca="1">IF(INDEX(Well_Data_NK_Upcoming!$J$2:$J$996,MATCH('Rig_Schedule_View (2)'!B21,Well_Data_NK_Upcoming!Concatenated_Wellname,0))=0,"",INDEX(Well_Data_NK_Upcoming!$J$2:$J$996,MATCH('Rig_Schedule_View (2)'!B21,Well_Data_NK_Upcoming!Concatenated_Wellname,0)))</f>
        <v/>
      </c>
      <c r="F21" s="421" t="str">
        <f ca="1">IF(INDEX(Well_Data_NK_Upcoming!$L$2:$L$996,MATCH('Rig_Schedule_View (2)'!B21,Well_Data_NK_Upcoming!Concatenated_Wellname,0))=0,"",INDEX(Well_Data_NK_Upcoming!$L$2:$L$996,MATCH('Rig_Schedule_View (2)'!B21,Well_Data_NK_Upcoming!Concatenated_Wellname,0)))</f>
        <v/>
      </c>
      <c r="G21" s="421" t="str">
        <f ca="1">IF(INDEX(Well_Data_NK_Upcoming!$R$2:$R$996,MATCH('Rig_Schedule_View (2)'!B21,Well_Data_NK_Upcoming!Concatenated_Wellname,0))=0,"",INDEX(Well_Data_NK_Upcoming!$R$2:$R$996,MATCH('Rig_Schedule_View (2)'!B21,Well_Data_NK_Upcoming!Concatenated_Wellname,0)))</f>
        <v/>
      </c>
      <c r="H21" s="526"/>
      <c r="I21" s="443" t="str">
        <f ca="1">RigScheduleTest!$BH$2</f>
        <v/>
      </c>
      <c r="J21" s="443" t="str">
        <f ca="1">RigScheduleTest!$BI$2</f>
        <v/>
      </c>
      <c r="K21" s="574"/>
      <c r="L21" s="552"/>
      <c r="M21" s="549"/>
      <c r="N21" s="550"/>
      <c r="O21" s="550"/>
      <c r="P21" s="551"/>
    </row>
    <row r="22" spans="1:16" x14ac:dyDescent="0.25">
      <c r="A22" s="421" t="str">
        <f>RigScheduleTest!$B$2</f>
        <v>BWD-130</v>
      </c>
      <c r="B22" s="442" t="str">
        <f ca="1">RigScheduleTest!$BK$2</f>
        <v/>
      </c>
      <c r="C22" s="421" t="str">
        <f ca="1">IF(INDEX(Well_Data_NK_Upcoming!$G$2:$G$996,MATCH('Rig_Schedule_View (2)'!B22,Well_Data_NK_Upcoming!Concatenated_Wellname,0))=0,"",INDEX(Well_Data_NK_Upcoming!$G$2:$G$996,MATCH('Rig_Schedule_View (2)'!B22,Well_Data_NK_Upcoming!Concatenated_Wellname,0)))</f>
        <v/>
      </c>
      <c r="D22" s="421" t="str">
        <f ca="1">IF(INDEX(Well_Data_NK_Upcoming!$K$2:$K$996,MATCH('Rig_Schedule_View (2)'!B22,Well_Data_NK_Upcoming!Concatenated_Wellname,0))=0,"",INDEX(Well_Data_NK_Upcoming!$K$2:$K$996,MATCH('Rig_Schedule_View (2)'!B22,Well_Data_NK_Upcoming!Concatenated_Wellname,0)))</f>
        <v/>
      </c>
      <c r="E22" s="421" t="str">
        <f ca="1">IF(INDEX(Well_Data_NK_Upcoming!$J$2:$J$996,MATCH('Rig_Schedule_View (2)'!B22,Well_Data_NK_Upcoming!Concatenated_Wellname,0))=0,"",INDEX(Well_Data_NK_Upcoming!$J$2:$J$996,MATCH('Rig_Schedule_View (2)'!B22,Well_Data_NK_Upcoming!Concatenated_Wellname,0)))</f>
        <v/>
      </c>
      <c r="F22" s="421" t="str">
        <f ca="1">IF(INDEX(Well_Data_NK_Upcoming!$L$2:$L$996,MATCH('Rig_Schedule_View (2)'!B22,Well_Data_NK_Upcoming!Concatenated_Wellname,0))=0,"",INDEX(Well_Data_NK_Upcoming!$L$2:$L$996,MATCH('Rig_Schedule_View (2)'!B22,Well_Data_NK_Upcoming!Concatenated_Wellname,0)))</f>
        <v/>
      </c>
      <c r="G22" s="421" t="str">
        <f ca="1">IF(INDEX(Well_Data_NK_Upcoming!$R$2:$R$996,MATCH('Rig_Schedule_View (2)'!B22,Well_Data_NK_Upcoming!Concatenated_Wellname,0))=0,"",INDEX(Well_Data_NK_Upcoming!$R$2:$R$996,MATCH('Rig_Schedule_View (2)'!B22,Well_Data_NK_Upcoming!Concatenated_Wellname,0)))</f>
        <v/>
      </c>
      <c r="H22" s="526"/>
      <c r="I22" s="443" t="str">
        <f ca="1">RigScheduleTest!$BN$2</f>
        <v/>
      </c>
      <c r="J22" s="443" t="str">
        <f ca="1">RigScheduleTest!$BO$2</f>
        <v/>
      </c>
      <c r="K22" s="574"/>
      <c r="L22" s="552"/>
      <c r="M22" s="549"/>
      <c r="N22" s="550"/>
      <c r="O22" s="550"/>
      <c r="P22" s="551"/>
    </row>
    <row r="23" spans="1:16" x14ac:dyDescent="0.25">
      <c r="A23" s="437" t="str">
        <f>RigScheduleTest!$B$1</f>
        <v>RIG</v>
      </c>
      <c r="B23" s="437" t="str">
        <f>$K$1</f>
        <v>Development Drilling</v>
      </c>
      <c r="C23" s="437" t="s">
        <v>1831</v>
      </c>
      <c r="D23" s="437" t="s">
        <v>867</v>
      </c>
      <c r="E23" s="437" t="s">
        <v>8</v>
      </c>
      <c r="F23" s="437" t="s">
        <v>2</v>
      </c>
      <c r="G23" s="437" t="s">
        <v>1513</v>
      </c>
      <c r="H23" s="438" t="str">
        <f>$K$3</f>
        <v>Rig Deployment Meeting</v>
      </c>
      <c r="I23" s="439" t="str">
        <f>$K$5</f>
        <v>Start</v>
      </c>
      <c r="J23" s="439" t="s">
        <v>576</v>
      </c>
      <c r="K23" s="444" t="s">
        <v>1068</v>
      </c>
      <c r="L23" s="444" t="s">
        <v>1577</v>
      </c>
      <c r="M23" s="496" t="s">
        <v>1934</v>
      </c>
      <c r="N23" s="504" t="s">
        <v>1940</v>
      </c>
      <c r="O23" s="504" t="s">
        <v>1941</v>
      </c>
      <c r="P23" s="502"/>
    </row>
    <row r="24" spans="1:16" x14ac:dyDescent="0.25">
      <c r="A24" s="421" t="str">
        <f>RigScheduleTest!$B$3</f>
        <v>KDC-25</v>
      </c>
      <c r="B24" s="421" t="str">
        <f ca="1">RigScheduleTest!$D$3</f>
        <v>RA-0561-RA-UB-Prod-NW-HZ-SLB</v>
      </c>
      <c r="C24" s="421" t="str">
        <f ca="1">IF(INDEX(Well_Data_NK_Upcoming!$G$2:$G$996,MATCH('Rig_Schedule_View (2)'!B24,Well_Data_NK_Upcoming!Concatenated_Wellname,0))=0,"",INDEX(Well_Data_NK_Upcoming!$G$2:$G$996,MATCH('Rig_Schedule_View (2)'!B24,Well_Data_NK_Upcoming!Concatenated_Wellname,0)))</f>
        <v>UB</v>
      </c>
      <c r="D24" s="421" t="str">
        <f ca="1">IF(INDEX(Well_Data_NK_Upcoming!$K$2:$K$996,MATCH('Rig_Schedule_View (2)'!B24,Well_Data_NK_Upcoming!Concatenated_Wellname,0))=0,"",INDEX(Well_Data_NK_Upcoming!$K$2:$K$996,MATCH('Rig_Schedule_View (2)'!B24,Well_Data_NK_Upcoming!Concatenated_Wellname,0)))</f>
        <v>NW</v>
      </c>
      <c r="E24" s="421" t="str">
        <f ca="1">IF(INDEX(Well_Data_NK_Upcoming!$J$2:$J$996,MATCH('Rig_Schedule_View (2)'!B24,Well_Data_NK_Upcoming!Concatenated_Wellname,0))=0,"",INDEX(Well_Data_NK_Upcoming!$J$2:$J$996,MATCH('Rig_Schedule_View (2)'!B24,Well_Data_NK_Upcoming!Concatenated_Wellname,0)))</f>
        <v>Prod</v>
      </c>
      <c r="F24" s="421" t="str">
        <f ca="1">IF(INDEX(Well_Data_NK_Upcoming!$L$2:$L$996,MATCH('Rig_Schedule_View (2)'!B24,Well_Data_NK_Upcoming!Concatenated_Wellname,0))=0,"",INDEX(Well_Data_NK_Upcoming!$L$2:$L$996,MATCH('Rig_Schedule_View (2)'!B24,Well_Data_NK_Upcoming!Concatenated_Wellname,0)))</f>
        <v>HZ</v>
      </c>
      <c r="G24" s="421">
        <f ca="1">IF(INDEX(Well_Data_NK_Upcoming!$R$2:$R$996,MATCH('Rig_Schedule_View (2)'!B24,Well_Data_NK_Upcoming!Concatenated_Wellname,0))=0,"",INDEX(Well_Data_NK_Upcoming!$R$2:$R$996,MATCH('Rig_Schedule_View (2)'!B24,Well_Data_NK_Upcoming!Concatenated_Wellname,0)))</f>
        <v>75</v>
      </c>
      <c r="H24" s="526">
        <f>RigScheduleTest!$F$3</f>
        <v>42233</v>
      </c>
      <c r="I24" s="459">
        <f ca="1">IF(INDEX(Well_Data_NK_Upcoming!$O$2:$O$996,MATCH('Rig_Schedule_View (2)'!B24,Well_Data_NK_Upcoming!Concatenated_Wellname,0))=0,"",INDEX(Well_Data_NK_Upcoming!$O$2:$O$996,MATCH('Rig_Schedule_View (2)'!B24,Well_Data_NK_Upcoming!Concatenated_Wellname,0)))</f>
        <v>42115.229166666664</v>
      </c>
      <c r="J24" s="446">
        <f ca="1">RigScheduleTest!$H$3</f>
        <v>42268</v>
      </c>
      <c r="K24" s="574" t="s">
        <v>1917</v>
      </c>
      <c r="L24" s="543" t="s">
        <v>2217</v>
      </c>
      <c r="M24" s="544">
        <v>35</v>
      </c>
      <c r="N24" s="550"/>
      <c r="O24" s="550"/>
      <c r="P24" s="551"/>
    </row>
    <row r="25" spans="1:16" x14ac:dyDescent="0.25">
      <c r="A25" s="421" t="str">
        <f>RigScheduleTest!$B$3</f>
        <v>KDC-25</v>
      </c>
      <c r="B25" s="441" t="str">
        <f ca="1">RigScheduleTest!$I$3</f>
        <v>RA-0581-RA-UB-Prod-NW-HZ-Sperry</v>
      </c>
      <c r="C25" s="421" t="str">
        <f ca="1">IF(INDEX(Well_Data_NK_Upcoming!$G$2:$G$996,MATCH('Rig_Schedule_View (2)'!B25,Well_Data_NK_Upcoming!Concatenated_Wellname,0))=0,"",INDEX(Well_Data_NK_Upcoming!$G$2:$G$996,MATCH('Rig_Schedule_View (2)'!B25,Well_Data_NK_Upcoming!Concatenated_Wellname,0)))</f>
        <v>UB</v>
      </c>
      <c r="D25" s="421" t="str">
        <f ca="1">IF(INDEX(Well_Data_NK_Upcoming!$K$2:$K$996,MATCH('Rig_Schedule_View (2)'!B25,Well_Data_NK_Upcoming!Concatenated_Wellname,0))=0,"",INDEX(Well_Data_NK_Upcoming!$K$2:$K$996,MATCH('Rig_Schedule_View (2)'!B25,Well_Data_NK_Upcoming!Concatenated_Wellname,0)))</f>
        <v>NW</v>
      </c>
      <c r="E25" s="421" t="str">
        <f ca="1">IF(INDEX(Well_Data_NK_Upcoming!$J$2:$J$996,MATCH('Rig_Schedule_View (2)'!B25,Well_Data_NK_Upcoming!Concatenated_Wellname,0))=0,"",INDEX(Well_Data_NK_Upcoming!$J$2:$J$996,MATCH('Rig_Schedule_View (2)'!B25,Well_Data_NK_Upcoming!Concatenated_Wellname,0)))</f>
        <v>Prod</v>
      </c>
      <c r="F25" s="421" t="str">
        <f ca="1">IF(INDEX(Well_Data_NK_Upcoming!$L$2:$L$996,MATCH('Rig_Schedule_View (2)'!B25,Well_Data_NK_Upcoming!Concatenated_Wellname,0))=0,"",INDEX(Well_Data_NK_Upcoming!$L$2:$L$996,MATCH('Rig_Schedule_View (2)'!B25,Well_Data_NK_Upcoming!Concatenated_Wellname,0)))</f>
        <v>HZ</v>
      </c>
      <c r="G25" s="421">
        <f ca="1">IF(INDEX(Well_Data_NK_Upcoming!$R$2:$R$996,MATCH('Rig_Schedule_View (2)'!B25,Well_Data_NK_Upcoming!Concatenated_Wellname,0))=0,"",INDEX(Well_Data_NK_Upcoming!$R$2:$R$996,MATCH('Rig_Schedule_View (2)'!B25,Well_Data_NK_Upcoming!Concatenated_Wellname,0)))</f>
        <v>75</v>
      </c>
      <c r="H25" s="526"/>
      <c r="I25" s="440">
        <f ca="1">RigScheduleTest!$L$3</f>
        <v>42273</v>
      </c>
      <c r="J25" s="440">
        <f ca="1">RigScheduleTest!$M$3</f>
        <v>42343</v>
      </c>
      <c r="K25" s="574"/>
      <c r="L25" s="546"/>
      <c r="M25" s="544"/>
      <c r="N25" s="545"/>
      <c r="O25" s="545"/>
      <c r="P25" s="551"/>
    </row>
    <row r="26" spans="1:16" x14ac:dyDescent="0.25">
      <c r="A26" s="421" t="str">
        <f>RigScheduleTest!$B$3</f>
        <v>KDC-25</v>
      </c>
      <c r="B26" s="441" t="str">
        <f ca="1">RigScheduleTest!$O$3</f>
        <v>RA-0569-RA-MA-Prod-NW-HZ-Sperry</v>
      </c>
      <c r="C26" s="421" t="str">
        <f ca="1">IF(INDEX(Well_Data_NK_Upcoming!$G$2:$G$996,MATCH('Rig_Schedule_View (2)'!B26,Well_Data_NK_Upcoming!Concatenated_Wellname,0))=0,"",INDEX(Well_Data_NK_Upcoming!$G$2:$G$996,MATCH('Rig_Schedule_View (2)'!B26,Well_Data_NK_Upcoming!Concatenated_Wellname,0)))</f>
        <v>MA</v>
      </c>
      <c r="D26" s="421" t="str">
        <f ca="1">IF(INDEX(Well_Data_NK_Upcoming!$K$2:$K$996,MATCH('Rig_Schedule_View (2)'!B26,Well_Data_NK_Upcoming!Concatenated_Wellname,0))=0,"",INDEX(Well_Data_NK_Upcoming!$K$2:$K$996,MATCH('Rig_Schedule_View (2)'!B26,Well_Data_NK_Upcoming!Concatenated_Wellname,0)))</f>
        <v>NW</v>
      </c>
      <c r="E26" s="421" t="str">
        <f ca="1">IF(INDEX(Well_Data_NK_Upcoming!$J$2:$J$996,MATCH('Rig_Schedule_View (2)'!B26,Well_Data_NK_Upcoming!Concatenated_Wellname,0))=0,"",INDEX(Well_Data_NK_Upcoming!$J$2:$J$996,MATCH('Rig_Schedule_View (2)'!B26,Well_Data_NK_Upcoming!Concatenated_Wellname,0)))</f>
        <v>Prod</v>
      </c>
      <c r="F26" s="421" t="str">
        <f ca="1">IF(INDEX(Well_Data_NK_Upcoming!$L$2:$L$996,MATCH('Rig_Schedule_View (2)'!B26,Well_Data_NK_Upcoming!Concatenated_Wellname,0))=0,"",INDEX(Well_Data_NK_Upcoming!$L$2:$L$996,MATCH('Rig_Schedule_View (2)'!B26,Well_Data_NK_Upcoming!Concatenated_Wellname,0)))</f>
        <v>HZ</v>
      </c>
      <c r="G26" s="421">
        <f ca="1">IF(INDEX(Well_Data_NK_Upcoming!$R$2:$R$996,MATCH('Rig_Schedule_View (2)'!B26,Well_Data_NK_Upcoming!Concatenated_Wellname,0))=0,"",INDEX(Well_Data_NK_Upcoming!$R$2:$R$996,MATCH('Rig_Schedule_View (2)'!B26,Well_Data_NK_Upcoming!Concatenated_Wellname,0)))</f>
        <v>75</v>
      </c>
      <c r="H26" s="526"/>
      <c r="I26" s="440">
        <f ca="1">RigScheduleTest!$R$3</f>
        <v>42348</v>
      </c>
      <c r="J26" s="440">
        <f ca="1">RigScheduleTest!$S$3</f>
        <v>42418</v>
      </c>
      <c r="K26" s="574"/>
      <c r="L26" s="546" t="s">
        <v>1987</v>
      </c>
      <c r="M26" s="544"/>
      <c r="N26" s="545" t="s">
        <v>1977</v>
      </c>
      <c r="O26" s="545"/>
      <c r="P26" s="551"/>
    </row>
    <row r="27" spans="1:16" x14ac:dyDescent="0.25">
      <c r="A27" s="421" t="str">
        <f>RigScheduleTest!$B$3</f>
        <v>KDC-25</v>
      </c>
      <c r="B27" s="442" t="str">
        <f ca="1">RigScheduleTest!$U$3</f>
        <v>RA5-RA-MA-Prod-NW-HZ-SLB</v>
      </c>
      <c r="C27" s="421" t="str">
        <f ca="1">IF(INDEX(Well_Data_NK_Upcoming!$G$2:$G$996,MATCH('Rig_Schedule_View (2)'!B27,Well_Data_NK_Upcoming!Concatenated_Wellname,0))=0,"",INDEX(Well_Data_NK_Upcoming!$G$2:$G$996,MATCH('Rig_Schedule_View (2)'!B27,Well_Data_NK_Upcoming!Concatenated_Wellname,0)))</f>
        <v>MA</v>
      </c>
      <c r="D27" s="421" t="str">
        <f ca="1">IF(INDEX(Well_Data_NK_Upcoming!$K$2:$K$996,MATCH('Rig_Schedule_View (2)'!B27,Well_Data_NK_Upcoming!Concatenated_Wellname,0))=0,"",INDEX(Well_Data_NK_Upcoming!$K$2:$K$996,MATCH('Rig_Schedule_View (2)'!B27,Well_Data_NK_Upcoming!Concatenated_Wellname,0)))</f>
        <v>NW</v>
      </c>
      <c r="E27" s="421" t="str">
        <f ca="1">IF(INDEX(Well_Data_NK_Upcoming!$J$2:$J$996,MATCH('Rig_Schedule_View (2)'!B27,Well_Data_NK_Upcoming!Concatenated_Wellname,0))=0,"",INDEX(Well_Data_NK_Upcoming!$J$2:$J$996,MATCH('Rig_Schedule_View (2)'!B27,Well_Data_NK_Upcoming!Concatenated_Wellname,0)))</f>
        <v>Prod</v>
      </c>
      <c r="F27" s="421" t="str">
        <f ca="1">IF(INDEX(Well_Data_NK_Upcoming!$L$2:$L$996,MATCH('Rig_Schedule_View (2)'!B27,Well_Data_NK_Upcoming!Concatenated_Wellname,0))=0,"",INDEX(Well_Data_NK_Upcoming!$L$2:$L$996,MATCH('Rig_Schedule_View (2)'!B27,Well_Data_NK_Upcoming!Concatenated_Wellname,0)))</f>
        <v>HZ</v>
      </c>
      <c r="G27" s="421">
        <f ca="1">IF(INDEX(Well_Data_NK_Upcoming!$R$2:$R$996,MATCH('Rig_Schedule_View (2)'!B27,Well_Data_NK_Upcoming!Concatenated_Wellname,0))=0,"",INDEX(Well_Data_NK_Upcoming!$R$2:$R$996,MATCH('Rig_Schedule_View (2)'!B27,Well_Data_NK_Upcoming!Concatenated_Wellname,0)))</f>
        <v>75</v>
      </c>
      <c r="H27" s="526"/>
      <c r="I27" s="443">
        <f ca="1">RigScheduleTest!$X$3</f>
        <v>42423</v>
      </c>
      <c r="J27" s="443">
        <f ca="1">RigScheduleTest!$Y$3</f>
        <v>42493</v>
      </c>
      <c r="K27" s="574"/>
      <c r="L27" s="546"/>
      <c r="M27" s="544"/>
      <c r="N27" s="545"/>
      <c r="O27" s="545"/>
      <c r="P27" s="551"/>
    </row>
    <row r="28" spans="1:16" x14ac:dyDescent="0.25">
      <c r="A28" s="421" t="str">
        <f>RigScheduleTest!$B$3</f>
        <v>KDC-25</v>
      </c>
      <c r="B28" s="442" t="str">
        <f ca="1">RigScheduleTest!$AA$3</f>
        <v>SA-0142-SA-MA-Prod-ST-HZ-Baker</v>
      </c>
      <c r="C28" s="421" t="str">
        <f ca="1">IF(INDEX(Well_Data_NK_Upcoming!$G$2:$G$996,MATCH('Rig_Schedule_View (2)'!B28,Well_Data_NK_Upcoming!Concatenated_Wellname,0))=0,"",INDEX(Well_Data_NK_Upcoming!$G$2:$G$996,MATCH('Rig_Schedule_View (2)'!B28,Well_Data_NK_Upcoming!Concatenated_Wellname,0)))</f>
        <v>MA</v>
      </c>
      <c r="D28" s="421" t="str">
        <f ca="1">IF(INDEX(Well_Data_NK_Upcoming!$K$2:$K$996,MATCH('Rig_Schedule_View (2)'!B28,Well_Data_NK_Upcoming!Concatenated_Wellname,0))=0,"",INDEX(Well_Data_NK_Upcoming!$K$2:$K$996,MATCH('Rig_Schedule_View (2)'!B28,Well_Data_NK_Upcoming!Concatenated_Wellname,0)))</f>
        <v>ST</v>
      </c>
      <c r="E28" s="421" t="str">
        <f ca="1">IF(INDEX(Well_Data_NK_Upcoming!$J$2:$J$996,MATCH('Rig_Schedule_View (2)'!B28,Well_Data_NK_Upcoming!Concatenated_Wellname,0))=0,"",INDEX(Well_Data_NK_Upcoming!$J$2:$J$996,MATCH('Rig_Schedule_View (2)'!B28,Well_Data_NK_Upcoming!Concatenated_Wellname,0)))</f>
        <v>Prod</v>
      </c>
      <c r="F28" s="421" t="str">
        <f ca="1">IF(INDEX(Well_Data_NK_Upcoming!$L$2:$L$996,MATCH('Rig_Schedule_View (2)'!B28,Well_Data_NK_Upcoming!Concatenated_Wellname,0))=0,"",INDEX(Well_Data_NK_Upcoming!$L$2:$L$996,MATCH('Rig_Schedule_View (2)'!B28,Well_Data_NK_Upcoming!Concatenated_Wellname,0)))</f>
        <v>HZ</v>
      </c>
      <c r="G28" s="421">
        <f ca="1">IF(INDEX(Well_Data_NK_Upcoming!$R$2:$R$996,MATCH('Rig_Schedule_View (2)'!B28,Well_Data_NK_Upcoming!Concatenated_Wellname,0))=0,"",INDEX(Well_Data_NK_Upcoming!$R$2:$R$996,MATCH('Rig_Schedule_View (2)'!B28,Well_Data_NK_Upcoming!Concatenated_Wellname,0)))</f>
        <v>61</v>
      </c>
      <c r="H28" s="526"/>
      <c r="I28" s="443">
        <f ca="1">RigScheduleTest!$AD$3</f>
        <v>42498</v>
      </c>
      <c r="J28" s="443">
        <f ca="1">RigScheduleTest!$AE$3</f>
        <v>42554</v>
      </c>
      <c r="K28" s="574"/>
      <c r="L28" s="546"/>
      <c r="M28" s="544"/>
      <c r="N28" s="545"/>
      <c r="O28" s="545"/>
      <c r="P28" s="551"/>
    </row>
    <row r="29" spans="1:16" x14ac:dyDescent="0.25">
      <c r="A29" s="421" t="str">
        <f>RigScheduleTest!$B$3</f>
        <v>KDC-25</v>
      </c>
      <c r="B29" s="442" t="str">
        <f ca="1">RigScheduleTest!$AG$3</f>
        <v>SA15-SA-MA-Inj-ST-HZ</v>
      </c>
      <c r="C29" s="421" t="str">
        <f ca="1">IF(INDEX(Well_Data_NK_Upcoming!$G$2:$G$996,MATCH('Rig_Schedule_View (2)'!B29,Well_Data_NK_Upcoming!Concatenated_Wellname,0))=0,"",INDEX(Well_Data_NK_Upcoming!$G$2:$G$996,MATCH('Rig_Schedule_View (2)'!B29,Well_Data_NK_Upcoming!Concatenated_Wellname,0)))</f>
        <v>MA</v>
      </c>
      <c r="D29" s="421" t="str">
        <f ca="1">IF(INDEX(Well_Data_NK_Upcoming!$K$2:$K$996,MATCH('Rig_Schedule_View (2)'!B29,Well_Data_NK_Upcoming!Concatenated_Wellname,0))=0,"",INDEX(Well_Data_NK_Upcoming!$K$2:$K$996,MATCH('Rig_Schedule_View (2)'!B29,Well_Data_NK_Upcoming!Concatenated_Wellname,0)))</f>
        <v>ST</v>
      </c>
      <c r="E29" s="421" t="str">
        <f ca="1">IF(INDEX(Well_Data_NK_Upcoming!$J$2:$J$996,MATCH('Rig_Schedule_View (2)'!B29,Well_Data_NK_Upcoming!Concatenated_Wellname,0))=0,"",INDEX(Well_Data_NK_Upcoming!$J$2:$J$996,MATCH('Rig_Schedule_View (2)'!B29,Well_Data_NK_Upcoming!Concatenated_Wellname,0)))</f>
        <v>Inj</v>
      </c>
      <c r="F29" s="421" t="str">
        <f ca="1">IF(INDEX(Well_Data_NK_Upcoming!$L$2:$L$996,MATCH('Rig_Schedule_View (2)'!B29,Well_Data_NK_Upcoming!Concatenated_Wellname,0))=0,"",INDEX(Well_Data_NK_Upcoming!$L$2:$L$996,MATCH('Rig_Schedule_View (2)'!B29,Well_Data_NK_Upcoming!Concatenated_Wellname,0)))</f>
        <v>HZ</v>
      </c>
      <c r="G29" s="421">
        <f ca="1">IF(INDEX(Well_Data_NK_Upcoming!$R$2:$R$996,MATCH('Rig_Schedule_View (2)'!B29,Well_Data_NK_Upcoming!Concatenated_Wellname,0))=0,"",INDEX(Well_Data_NK_Upcoming!$R$2:$R$996,MATCH('Rig_Schedule_View (2)'!B29,Well_Data_NK_Upcoming!Concatenated_Wellname,0)))</f>
        <v>54</v>
      </c>
      <c r="H29" s="526"/>
      <c r="I29" s="443">
        <f ca="1">RigScheduleTest!$AJ$3</f>
        <v>42559</v>
      </c>
      <c r="J29" s="443">
        <f ca="1">RigScheduleTest!$AK$3</f>
        <v>42608</v>
      </c>
      <c r="K29" s="574"/>
      <c r="L29" s="546"/>
      <c r="M29" s="544"/>
      <c r="N29" s="545"/>
      <c r="O29" s="545"/>
      <c r="P29" s="551"/>
    </row>
    <row r="30" spans="1:16" x14ac:dyDescent="0.25">
      <c r="A30" s="421" t="str">
        <f>RigScheduleTest!$B$3</f>
        <v>KDC-25</v>
      </c>
      <c r="B30" s="442" t="str">
        <f ca="1">RigScheduleTest!$AM$3</f>
        <v>SA28-SA-MA-Prod-NW-HZ</v>
      </c>
      <c r="C30" s="421" t="str">
        <f ca="1">IF(INDEX(Well_Data_NK_Upcoming!$G$2:$G$996,MATCH('Rig_Schedule_View (2)'!B30,Well_Data_NK_Upcoming!Concatenated_Wellname,0))=0,"",INDEX(Well_Data_NK_Upcoming!$G$2:$G$996,MATCH('Rig_Schedule_View (2)'!B30,Well_Data_NK_Upcoming!Concatenated_Wellname,0)))</f>
        <v>MA</v>
      </c>
      <c r="D30" s="421" t="str">
        <f ca="1">IF(INDEX(Well_Data_NK_Upcoming!$K$2:$K$996,MATCH('Rig_Schedule_View (2)'!B30,Well_Data_NK_Upcoming!Concatenated_Wellname,0))=0,"",INDEX(Well_Data_NK_Upcoming!$K$2:$K$996,MATCH('Rig_Schedule_View (2)'!B30,Well_Data_NK_Upcoming!Concatenated_Wellname,0)))</f>
        <v>NW</v>
      </c>
      <c r="E30" s="421" t="str">
        <f ca="1">IF(INDEX(Well_Data_NK_Upcoming!$J$2:$J$996,MATCH('Rig_Schedule_View (2)'!B30,Well_Data_NK_Upcoming!Concatenated_Wellname,0))=0,"",INDEX(Well_Data_NK_Upcoming!$J$2:$J$996,MATCH('Rig_Schedule_View (2)'!B30,Well_Data_NK_Upcoming!Concatenated_Wellname,0)))</f>
        <v>Prod</v>
      </c>
      <c r="F30" s="421" t="str">
        <f ca="1">IF(INDEX(Well_Data_NK_Upcoming!$L$2:$L$996,MATCH('Rig_Schedule_View (2)'!B30,Well_Data_NK_Upcoming!Concatenated_Wellname,0))=0,"",INDEX(Well_Data_NK_Upcoming!$L$2:$L$996,MATCH('Rig_Schedule_View (2)'!B30,Well_Data_NK_Upcoming!Concatenated_Wellname,0)))</f>
        <v>HZ</v>
      </c>
      <c r="G30" s="421">
        <f ca="1">IF(INDEX(Well_Data_NK_Upcoming!$R$2:$R$996,MATCH('Rig_Schedule_View (2)'!B30,Well_Data_NK_Upcoming!Concatenated_Wellname,0))=0,"",INDEX(Well_Data_NK_Upcoming!$R$2:$R$996,MATCH('Rig_Schedule_View (2)'!B30,Well_Data_NK_Upcoming!Concatenated_Wellname,0)))</f>
        <v>75</v>
      </c>
      <c r="H30" s="526"/>
      <c r="I30" s="443">
        <f ca="1">RigScheduleTest!$AP$3</f>
        <v>42613</v>
      </c>
      <c r="J30" s="443">
        <f ca="1">RigScheduleTest!$AQ$3</f>
        <v>42683</v>
      </c>
      <c r="K30" s="574"/>
      <c r="L30" s="546"/>
      <c r="M30" s="544"/>
      <c r="N30" s="545"/>
      <c r="O30" s="545"/>
      <c r="P30" s="551"/>
    </row>
    <row r="31" spans="1:16" x14ac:dyDescent="0.25">
      <c r="A31" s="421" t="str">
        <f>RigScheduleTest!$B$3</f>
        <v>KDC-25</v>
      </c>
      <c r="B31" s="442" t="str">
        <f ca="1">RigScheduleTest!$AS$3</f>
        <v>RA25-RA-LB-Prod-NW-SL-SLB</v>
      </c>
      <c r="C31" s="421" t="str">
        <f ca="1">IF(INDEX(Well_Data_NK_Upcoming!$G$2:$G$996,MATCH('Rig_Schedule_View (2)'!B31,Well_Data_NK_Upcoming!Concatenated_Wellname,0))=0,"",INDEX(Well_Data_NK_Upcoming!$G$2:$G$996,MATCH('Rig_Schedule_View (2)'!B31,Well_Data_NK_Upcoming!Concatenated_Wellname,0)))</f>
        <v>LB</v>
      </c>
      <c r="D31" s="421" t="str">
        <f ca="1">IF(INDEX(Well_Data_NK_Upcoming!$K$2:$K$996,MATCH('Rig_Schedule_View (2)'!B31,Well_Data_NK_Upcoming!Concatenated_Wellname,0))=0,"",INDEX(Well_Data_NK_Upcoming!$K$2:$K$996,MATCH('Rig_Schedule_View (2)'!B31,Well_Data_NK_Upcoming!Concatenated_Wellname,0)))</f>
        <v>NW</v>
      </c>
      <c r="E31" s="421" t="str">
        <f ca="1">IF(INDEX(Well_Data_NK_Upcoming!$J$2:$J$996,MATCH('Rig_Schedule_View (2)'!B31,Well_Data_NK_Upcoming!Concatenated_Wellname,0))=0,"",INDEX(Well_Data_NK_Upcoming!$J$2:$J$996,MATCH('Rig_Schedule_View (2)'!B31,Well_Data_NK_Upcoming!Concatenated_Wellname,0)))</f>
        <v>Prod</v>
      </c>
      <c r="F31" s="421" t="str">
        <f ca="1">IF(INDEX(Well_Data_NK_Upcoming!$L$2:$L$996,MATCH('Rig_Schedule_View (2)'!B31,Well_Data_NK_Upcoming!Concatenated_Wellname,0))=0,"",INDEX(Well_Data_NK_Upcoming!$L$2:$L$996,MATCH('Rig_Schedule_View (2)'!B31,Well_Data_NK_Upcoming!Concatenated_Wellname,0)))</f>
        <v>SL</v>
      </c>
      <c r="G31" s="421">
        <f ca="1">IF(INDEX(Well_Data_NK_Upcoming!$R$2:$R$996,MATCH('Rig_Schedule_View (2)'!B31,Well_Data_NK_Upcoming!Concatenated_Wellname,0))=0,"",INDEX(Well_Data_NK_Upcoming!$R$2:$R$996,MATCH('Rig_Schedule_View (2)'!B31,Well_Data_NK_Upcoming!Concatenated_Wellname,0)))</f>
        <v>75</v>
      </c>
      <c r="H31" s="526"/>
      <c r="I31" s="443">
        <f ca="1">RigScheduleTest!$AV$3</f>
        <v>42688</v>
      </c>
      <c r="J31" s="443">
        <f ca="1">RigScheduleTest!$AW$3</f>
        <v>42758</v>
      </c>
      <c r="K31" s="574"/>
      <c r="L31" s="546"/>
      <c r="M31" s="544"/>
      <c r="N31" s="545"/>
      <c r="O31" s="545"/>
      <c r="P31" s="551"/>
    </row>
    <row r="32" spans="1:16" x14ac:dyDescent="0.25">
      <c r="A32" s="421" t="str">
        <f>RigScheduleTest!$B$3</f>
        <v>KDC-25</v>
      </c>
      <c r="B32" s="442" t="str">
        <f ca="1">RigScheduleTest!$AY$3</f>
        <v>SA52-SA-LB-Prod-NW-SL</v>
      </c>
      <c r="C32" s="421" t="str">
        <f ca="1">IF(INDEX(Well_Data_NK_Upcoming!$G$2:$G$996,MATCH('Rig_Schedule_View (2)'!B32,Well_Data_NK_Upcoming!Concatenated_Wellname,0))=0,"",INDEX(Well_Data_NK_Upcoming!$G$2:$G$996,MATCH('Rig_Schedule_View (2)'!B32,Well_Data_NK_Upcoming!Concatenated_Wellname,0)))</f>
        <v>LB</v>
      </c>
      <c r="D32" s="421" t="str">
        <f ca="1">IF(INDEX(Well_Data_NK_Upcoming!$K$2:$K$996,MATCH('Rig_Schedule_View (2)'!B32,Well_Data_NK_Upcoming!Concatenated_Wellname,0))=0,"",INDEX(Well_Data_NK_Upcoming!$K$2:$K$996,MATCH('Rig_Schedule_View (2)'!B32,Well_Data_NK_Upcoming!Concatenated_Wellname,0)))</f>
        <v>NW</v>
      </c>
      <c r="E32" s="421" t="str">
        <f ca="1">IF(INDEX(Well_Data_NK_Upcoming!$J$2:$J$996,MATCH('Rig_Schedule_View (2)'!B32,Well_Data_NK_Upcoming!Concatenated_Wellname,0))=0,"",INDEX(Well_Data_NK_Upcoming!$J$2:$J$996,MATCH('Rig_Schedule_View (2)'!B32,Well_Data_NK_Upcoming!Concatenated_Wellname,0)))</f>
        <v>Prod</v>
      </c>
      <c r="F32" s="421" t="str">
        <f ca="1">IF(INDEX(Well_Data_NK_Upcoming!$L$2:$L$996,MATCH('Rig_Schedule_View (2)'!B32,Well_Data_NK_Upcoming!Concatenated_Wellname,0))=0,"",INDEX(Well_Data_NK_Upcoming!$L$2:$L$996,MATCH('Rig_Schedule_View (2)'!B32,Well_Data_NK_Upcoming!Concatenated_Wellname,0)))</f>
        <v>SL</v>
      </c>
      <c r="G32" s="421">
        <f ca="1">IF(INDEX(Well_Data_NK_Upcoming!$R$2:$R$996,MATCH('Rig_Schedule_View (2)'!B32,Well_Data_NK_Upcoming!Concatenated_Wellname,0))=0,"",INDEX(Well_Data_NK_Upcoming!$R$2:$R$996,MATCH('Rig_Schedule_View (2)'!B32,Well_Data_NK_Upcoming!Concatenated_Wellname,0)))</f>
        <v>75</v>
      </c>
      <c r="H32" s="526"/>
      <c r="I32" s="443">
        <f ca="1">RigScheduleTest!$BB$3</f>
        <v>42763</v>
      </c>
      <c r="J32" s="443">
        <f ca="1">RigScheduleTest!$BC$3</f>
        <v>42833</v>
      </c>
      <c r="K32" s="574"/>
      <c r="L32" s="546"/>
      <c r="M32" s="544"/>
      <c r="N32" s="545"/>
      <c r="O32" s="545"/>
      <c r="P32" s="551"/>
    </row>
    <row r="33" spans="1:16" x14ac:dyDescent="0.25">
      <c r="A33" s="421" t="str">
        <f>RigScheduleTest!$B$3</f>
        <v>KDC-25</v>
      </c>
      <c r="B33" s="442" t="str">
        <f ca="1">RigScheduleTest!$BE$3</f>
        <v>SA58-SA-UB-Inj-NW-SL</v>
      </c>
      <c r="C33" s="421" t="str">
        <f ca="1">IF(INDEX(Well_Data_NK_Upcoming!$G$2:$G$996,MATCH('Rig_Schedule_View (2)'!B33,Well_Data_NK_Upcoming!Concatenated_Wellname,0))=0,"",INDEX(Well_Data_NK_Upcoming!$G$2:$G$996,MATCH('Rig_Schedule_View (2)'!B33,Well_Data_NK_Upcoming!Concatenated_Wellname,0)))</f>
        <v>UB</v>
      </c>
      <c r="D33" s="421" t="str">
        <f ca="1">IF(INDEX(Well_Data_NK_Upcoming!$K$2:$K$996,MATCH('Rig_Schedule_View (2)'!B33,Well_Data_NK_Upcoming!Concatenated_Wellname,0))=0,"",INDEX(Well_Data_NK_Upcoming!$K$2:$K$996,MATCH('Rig_Schedule_View (2)'!B33,Well_Data_NK_Upcoming!Concatenated_Wellname,0)))</f>
        <v>NW</v>
      </c>
      <c r="E33" s="421" t="str">
        <f ca="1">IF(INDEX(Well_Data_NK_Upcoming!$J$2:$J$996,MATCH('Rig_Schedule_View (2)'!B33,Well_Data_NK_Upcoming!Concatenated_Wellname,0))=0,"",INDEX(Well_Data_NK_Upcoming!$J$2:$J$996,MATCH('Rig_Schedule_View (2)'!B33,Well_Data_NK_Upcoming!Concatenated_Wellname,0)))</f>
        <v>Inj</v>
      </c>
      <c r="F33" s="421" t="str">
        <f ca="1">IF(INDEX(Well_Data_NK_Upcoming!$L$2:$L$996,MATCH('Rig_Schedule_View (2)'!B33,Well_Data_NK_Upcoming!Concatenated_Wellname,0))=0,"",INDEX(Well_Data_NK_Upcoming!$L$2:$L$996,MATCH('Rig_Schedule_View (2)'!B33,Well_Data_NK_Upcoming!Concatenated_Wellname,0)))</f>
        <v>SL</v>
      </c>
      <c r="G33" s="421">
        <f ca="1">IF(INDEX(Well_Data_NK_Upcoming!$R$2:$R$996,MATCH('Rig_Schedule_View (2)'!B33,Well_Data_NK_Upcoming!Concatenated_Wellname,0))=0,"",INDEX(Well_Data_NK_Upcoming!$R$2:$R$996,MATCH('Rig_Schedule_View (2)'!B33,Well_Data_NK_Upcoming!Concatenated_Wellname,0)))</f>
        <v>75</v>
      </c>
      <c r="H33" s="526"/>
      <c r="I33" s="443">
        <f ca="1">RigScheduleTest!$BH$3</f>
        <v>42838</v>
      </c>
      <c r="J33" s="443">
        <f ca="1">RigScheduleTest!$BI$3</f>
        <v>42908</v>
      </c>
      <c r="K33" s="574"/>
      <c r="L33" s="546"/>
      <c r="M33" s="544"/>
      <c r="N33" s="545"/>
      <c r="O33" s="545"/>
      <c r="P33" s="551"/>
    </row>
    <row r="34" spans="1:16" x14ac:dyDescent="0.25">
      <c r="A34" s="421" t="str">
        <f>RigScheduleTest!$B$3</f>
        <v>KDC-25</v>
      </c>
      <c r="B34" s="442" t="str">
        <f ca="1">RigScheduleTest!$BK$3</f>
        <v>RA44-RA-RT-Prod-NW-HZ-SLB</v>
      </c>
      <c r="C34" s="421" t="str">
        <f ca="1">IF(INDEX(Well_Data_NK_Upcoming!$G$2:$G$996,MATCH('Rig_Schedule_View (2)'!B34,Well_Data_NK_Upcoming!Concatenated_Wellname,0))=0,"",INDEX(Well_Data_NK_Upcoming!$G$2:$G$996,MATCH('Rig_Schedule_View (2)'!B34,Well_Data_NK_Upcoming!Concatenated_Wellname,0)))</f>
        <v>RT</v>
      </c>
      <c r="D34" s="421" t="str">
        <f ca="1">IF(INDEX(Well_Data_NK_Upcoming!$K$2:$K$996,MATCH('Rig_Schedule_View (2)'!B34,Well_Data_NK_Upcoming!Concatenated_Wellname,0))=0,"",INDEX(Well_Data_NK_Upcoming!$K$2:$K$996,MATCH('Rig_Schedule_View (2)'!B34,Well_Data_NK_Upcoming!Concatenated_Wellname,0)))</f>
        <v>NW</v>
      </c>
      <c r="E34" s="421" t="str">
        <f ca="1">IF(INDEX(Well_Data_NK_Upcoming!$J$2:$J$996,MATCH('Rig_Schedule_View (2)'!B34,Well_Data_NK_Upcoming!Concatenated_Wellname,0))=0,"",INDEX(Well_Data_NK_Upcoming!$J$2:$J$996,MATCH('Rig_Schedule_View (2)'!B34,Well_Data_NK_Upcoming!Concatenated_Wellname,0)))</f>
        <v>Prod</v>
      </c>
      <c r="F34" s="421" t="str">
        <f ca="1">IF(INDEX(Well_Data_NK_Upcoming!$L$2:$L$996,MATCH('Rig_Schedule_View (2)'!B34,Well_Data_NK_Upcoming!Concatenated_Wellname,0))=0,"",INDEX(Well_Data_NK_Upcoming!$L$2:$L$996,MATCH('Rig_Schedule_View (2)'!B34,Well_Data_NK_Upcoming!Concatenated_Wellname,0)))</f>
        <v>HZ</v>
      </c>
      <c r="G34" s="421">
        <f ca="1">IF(INDEX(Well_Data_NK_Upcoming!$R$2:$R$996,MATCH('Rig_Schedule_View (2)'!B34,Well_Data_NK_Upcoming!Concatenated_Wellname,0))=0,"",INDEX(Well_Data_NK_Upcoming!$R$2:$R$996,MATCH('Rig_Schedule_View (2)'!B34,Well_Data_NK_Upcoming!Concatenated_Wellname,0)))</f>
        <v>103</v>
      </c>
      <c r="H34" s="526"/>
      <c r="I34" s="443">
        <f ca="1">RigScheduleTest!$BN$3</f>
        <v>42913</v>
      </c>
      <c r="J34" s="443">
        <f ca="1">RigScheduleTest!$BO$3</f>
        <v>43011</v>
      </c>
      <c r="K34" s="574"/>
      <c r="L34" s="546"/>
      <c r="M34" s="544"/>
      <c r="N34" s="545"/>
      <c r="O34" s="545"/>
      <c r="P34" s="551"/>
    </row>
    <row r="35" spans="1:16" x14ac:dyDescent="0.25">
      <c r="A35" s="437" t="str">
        <f>RigScheduleTest!$B$1</f>
        <v>RIG</v>
      </c>
      <c r="B35" s="437" t="str">
        <f>$K$1</f>
        <v>Development Drilling</v>
      </c>
      <c r="C35" s="437" t="s">
        <v>1831</v>
      </c>
      <c r="D35" s="437" t="s">
        <v>867</v>
      </c>
      <c r="E35" s="437" t="s">
        <v>8</v>
      </c>
      <c r="F35" s="437" t="s">
        <v>2</v>
      </c>
      <c r="G35" s="437" t="s">
        <v>1513</v>
      </c>
      <c r="H35" s="438" t="str">
        <f>$K$3</f>
        <v>Rig Deployment Meeting</v>
      </c>
      <c r="I35" s="439" t="str">
        <f>$K$5</f>
        <v>Start</v>
      </c>
      <c r="J35" s="439" t="str">
        <f>$K$6</f>
        <v>End</v>
      </c>
      <c r="K35" s="444" t="s">
        <v>1068</v>
      </c>
      <c r="L35" s="444" t="s">
        <v>1577</v>
      </c>
      <c r="M35" s="496" t="s">
        <v>1934</v>
      </c>
      <c r="N35" s="504" t="s">
        <v>1940</v>
      </c>
      <c r="O35" s="504" t="s">
        <v>1941</v>
      </c>
      <c r="P35" s="502"/>
    </row>
    <row r="36" spans="1:16" x14ac:dyDescent="0.25">
      <c r="A36" s="442" t="str">
        <f>RigScheduleTest!$B$4</f>
        <v>KDC-26</v>
      </c>
      <c r="B36" s="421" t="str">
        <f ca="1">RigScheduleTest!$D$4</f>
        <v>SA-0495-SA-MA-Prod-ST-HZ-BHI</v>
      </c>
      <c r="C36" s="421" t="str">
        <f ca="1">IF(INDEX(Well_Data_NK_Upcoming!$G$2:$G$996,MATCH('Rig_Schedule_View (2)'!B36,Well_Data_NK_Upcoming!Concatenated_Wellname,0))=0,"",INDEX(Well_Data_NK_Upcoming!$G$2:$G$996,MATCH('Rig_Schedule_View (2)'!B36,Well_Data_NK_Upcoming!Concatenated_Wellname,0)))</f>
        <v>MA</v>
      </c>
      <c r="D36" s="421" t="str">
        <f ca="1">IF(INDEX(Well_Data_NK_Upcoming!$K$2:$K$996,MATCH('Rig_Schedule_View (2)'!B36,Well_Data_NK_Upcoming!Concatenated_Wellname,0))=0,"",INDEX(Well_Data_NK_Upcoming!$K$2:$K$996,MATCH('Rig_Schedule_View (2)'!B36,Well_Data_NK_Upcoming!Concatenated_Wellname,0)))</f>
        <v>ST</v>
      </c>
      <c r="E36" s="421" t="str">
        <f ca="1">IF(INDEX(Well_Data_NK_Upcoming!$J$2:$J$996,MATCH('Rig_Schedule_View (2)'!B36,Well_Data_NK_Upcoming!Concatenated_Wellname,0))=0,"",INDEX(Well_Data_NK_Upcoming!$J$2:$J$996,MATCH('Rig_Schedule_View (2)'!B36,Well_Data_NK_Upcoming!Concatenated_Wellname,0)))</f>
        <v>Prod</v>
      </c>
      <c r="F36" s="421" t="str">
        <f ca="1">IF(INDEX(Well_Data_NK_Upcoming!$L$2:$L$996,MATCH('Rig_Schedule_View (2)'!B36,Well_Data_NK_Upcoming!Concatenated_Wellname,0))=0,"",INDEX(Well_Data_NK_Upcoming!$L$2:$L$996,MATCH('Rig_Schedule_View (2)'!B36,Well_Data_NK_Upcoming!Concatenated_Wellname,0)))</f>
        <v>HZ</v>
      </c>
      <c r="G36" s="421">
        <f ca="1">IF(INDEX(Well_Data_NK_Upcoming!$R$2:$R$996,MATCH('Rig_Schedule_View (2)'!B36,Well_Data_NK_Upcoming!Concatenated_Wellname,0))=0,"",INDEX(Well_Data_NK_Upcoming!$R$2:$R$996,MATCH('Rig_Schedule_View (2)'!B36,Well_Data_NK_Upcoming!Concatenated_Wellname,0)))</f>
        <v>61</v>
      </c>
      <c r="H36" s="526">
        <f>RigScheduleTest!$F$4</f>
        <v>42233</v>
      </c>
      <c r="I36" s="459">
        <f ca="1">IF(INDEX(Well_Data_NK_Upcoming!$O$2:$O$996,MATCH('Rig_Schedule_View (2)'!B36,Well_Data_NK_Upcoming!Concatenated_Wellname,0))=0,"",INDEX(Well_Data_NK_Upcoming!$O$2:$O$996,MATCH('Rig_Schedule_View (2)'!B36,Well_Data_NK_Upcoming!Concatenated_Wellname,0)))</f>
        <v>42215.854166666664</v>
      </c>
      <c r="J36" s="446">
        <f ca="1">RigScheduleTest!$H$4</f>
        <v>42243</v>
      </c>
      <c r="K36" s="344" t="s">
        <v>1917</v>
      </c>
      <c r="L36" s="543"/>
      <c r="M36" s="544">
        <v>10</v>
      </c>
      <c r="N36" s="545"/>
      <c r="O36" s="545"/>
      <c r="P36" s="551"/>
    </row>
    <row r="37" spans="1:16" x14ac:dyDescent="0.25">
      <c r="A37" s="442" t="str">
        <f>RigScheduleTest!$B$4</f>
        <v>KDC-26</v>
      </c>
      <c r="B37" s="441" t="str">
        <f ca="1">RigScheduleTest!$I$4</f>
        <v>RA-0595-RA-ZU-Prod-NW-SL-Baker</v>
      </c>
      <c r="C37" s="421" t="str">
        <f ca="1">IF(INDEX(Well_Data_NK_Upcoming!$G$2:$G$996,MATCH('Rig_Schedule_View (2)'!B37,Well_Data_NK_Upcoming!Concatenated_Wellname,0))=0,"",INDEX(Well_Data_NK_Upcoming!$G$2:$G$996,MATCH('Rig_Schedule_View (2)'!B37,Well_Data_NK_Upcoming!Concatenated_Wellname,0)))</f>
        <v>ZU</v>
      </c>
      <c r="D37" s="421" t="str">
        <f ca="1">IF(INDEX(Well_Data_NK_Upcoming!$K$2:$K$996,MATCH('Rig_Schedule_View (2)'!B37,Well_Data_NK_Upcoming!Concatenated_Wellname,0))=0,"",INDEX(Well_Data_NK_Upcoming!$K$2:$K$996,MATCH('Rig_Schedule_View (2)'!B37,Well_Data_NK_Upcoming!Concatenated_Wellname,0)))</f>
        <v>NW</v>
      </c>
      <c r="E37" s="421" t="str">
        <f ca="1">IF(INDEX(Well_Data_NK_Upcoming!$J$2:$J$996,MATCH('Rig_Schedule_View (2)'!B37,Well_Data_NK_Upcoming!Concatenated_Wellname,0))=0,"",INDEX(Well_Data_NK_Upcoming!$J$2:$J$996,MATCH('Rig_Schedule_View (2)'!B37,Well_Data_NK_Upcoming!Concatenated_Wellname,0)))</f>
        <v>Prod</v>
      </c>
      <c r="F37" s="421" t="str">
        <f ca="1">IF(INDEX(Well_Data_NK_Upcoming!$L$2:$L$996,MATCH('Rig_Schedule_View (2)'!B37,Well_Data_NK_Upcoming!Concatenated_Wellname,0))=0,"",INDEX(Well_Data_NK_Upcoming!$L$2:$L$996,MATCH('Rig_Schedule_View (2)'!B37,Well_Data_NK_Upcoming!Concatenated_Wellname,0)))</f>
        <v>SL</v>
      </c>
      <c r="G37" s="421">
        <f ca="1">IF(INDEX(Well_Data_NK_Upcoming!$R$2:$R$996,MATCH('Rig_Schedule_View (2)'!B37,Well_Data_NK_Upcoming!Concatenated_Wellname,0))=0,"",INDEX(Well_Data_NK_Upcoming!$R$2:$R$996,MATCH('Rig_Schedule_View (2)'!B37,Well_Data_NK_Upcoming!Concatenated_Wellname,0)))</f>
        <v>103</v>
      </c>
      <c r="H37" s="526"/>
      <c r="I37" s="440">
        <f ca="1">RigScheduleTest!$L$4</f>
        <v>42248</v>
      </c>
      <c r="J37" s="440">
        <f ca="1">RigScheduleTest!$M$4</f>
        <v>42346</v>
      </c>
      <c r="K37" s="344"/>
      <c r="L37" s="546" t="s">
        <v>2236</v>
      </c>
      <c r="M37" s="544"/>
      <c r="N37" s="545"/>
      <c r="O37" s="545"/>
      <c r="P37" s="551"/>
    </row>
    <row r="38" spans="1:16" x14ac:dyDescent="0.25">
      <c r="A38" s="442" t="str">
        <f>RigScheduleTest!$B$4</f>
        <v>KDC-26</v>
      </c>
      <c r="B38" s="441" t="str">
        <f ca="1">RigScheduleTest!$O$4</f>
        <v>AD-0008-AD-ZU-Inj-ST-SL</v>
      </c>
      <c r="C38" s="421" t="str">
        <f ca="1">IF(INDEX(Well_Data_NK_Upcoming!$G$2:$G$996,MATCH('Rig_Schedule_View (2)'!B38,Well_Data_NK_Upcoming!Concatenated_Wellname,0))=0,"",INDEX(Well_Data_NK_Upcoming!$G$2:$G$996,MATCH('Rig_Schedule_View (2)'!B38,Well_Data_NK_Upcoming!Concatenated_Wellname,0)))</f>
        <v>ZU</v>
      </c>
      <c r="D38" s="421" t="str">
        <f ca="1">IF(INDEX(Well_Data_NK_Upcoming!$K$2:$K$996,MATCH('Rig_Schedule_View (2)'!B38,Well_Data_NK_Upcoming!Concatenated_Wellname,0))=0,"",INDEX(Well_Data_NK_Upcoming!$K$2:$K$996,MATCH('Rig_Schedule_View (2)'!B38,Well_Data_NK_Upcoming!Concatenated_Wellname,0)))</f>
        <v>ST</v>
      </c>
      <c r="E38" s="421" t="str">
        <f ca="1">IF(INDEX(Well_Data_NK_Upcoming!$J$2:$J$996,MATCH('Rig_Schedule_View (2)'!B38,Well_Data_NK_Upcoming!Concatenated_Wellname,0))=0,"",INDEX(Well_Data_NK_Upcoming!$J$2:$J$996,MATCH('Rig_Schedule_View (2)'!B38,Well_Data_NK_Upcoming!Concatenated_Wellname,0)))</f>
        <v>Inj</v>
      </c>
      <c r="F38" s="421" t="str">
        <f ca="1">IF(INDEX(Well_Data_NK_Upcoming!$L$2:$L$996,MATCH('Rig_Schedule_View (2)'!B38,Well_Data_NK_Upcoming!Concatenated_Wellname,0))=0,"",INDEX(Well_Data_NK_Upcoming!$L$2:$L$996,MATCH('Rig_Schedule_View (2)'!B38,Well_Data_NK_Upcoming!Concatenated_Wellname,0)))</f>
        <v>SL</v>
      </c>
      <c r="G38" s="421">
        <f ca="1">IF(INDEX(Well_Data_NK_Upcoming!$R$2:$R$996,MATCH('Rig_Schedule_View (2)'!B38,Well_Data_NK_Upcoming!Concatenated_Wellname,0))=0,"",INDEX(Well_Data_NK_Upcoming!$R$2:$R$996,MATCH('Rig_Schedule_View (2)'!B38,Well_Data_NK_Upcoming!Concatenated_Wellname,0)))</f>
        <v>61</v>
      </c>
      <c r="H38" s="526"/>
      <c r="I38" s="440">
        <f ca="1">RigScheduleTest!$R$4</f>
        <v>42351</v>
      </c>
      <c r="J38" s="440">
        <f ca="1">RigScheduleTest!$S$4</f>
        <v>42407</v>
      </c>
      <c r="K38" s="344"/>
      <c r="L38" s="567"/>
      <c r="M38" s="544"/>
      <c r="N38" s="545"/>
      <c r="O38" s="545"/>
      <c r="P38" s="551"/>
    </row>
    <row r="39" spans="1:16" x14ac:dyDescent="0.25">
      <c r="A39" s="442" t="str">
        <f>RigScheduleTest!$B$4</f>
        <v>KDC-26</v>
      </c>
      <c r="B39" s="442" t="str">
        <f ca="1">RigScheduleTest!$U$4</f>
        <v>SA5-SA-MA-Inj-ST-HZ</v>
      </c>
      <c r="C39" s="421" t="str">
        <f ca="1">IF(INDEX(Well_Data_NK_Upcoming!$G$2:$G$996,MATCH('Rig_Schedule_View (2)'!B39,Well_Data_NK_Upcoming!Concatenated_Wellname,0))=0,"",INDEX(Well_Data_NK_Upcoming!$G$2:$G$996,MATCH('Rig_Schedule_View (2)'!B39,Well_Data_NK_Upcoming!Concatenated_Wellname,0)))</f>
        <v>MA</v>
      </c>
      <c r="D39" s="421" t="str">
        <f ca="1">IF(INDEX(Well_Data_NK_Upcoming!$K$2:$K$996,MATCH('Rig_Schedule_View (2)'!B39,Well_Data_NK_Upcoming!Concatenated_Wellname,0))=0,"",INDEX(Well_Data_NK_Upcoming!$K$2:$K$996,MATCH('Rig_Schedule_View (2)'!B39,Well_Data_NK_Upcoming!Concatenated_Wellname,0)))</f>
        <v>ST</v>
      </c>
      <c r="E39" s="421" t="str">
        <f ca="1">IF(INDEX(Well_Data_NK_Upcoming!$J$2:$J$996,MATCH('Rig_Schedule_View (2)'!B39,Well_Data_NK_Upcoming!Concatenated_Wellname,0))=0,"",INDEX(Well_Data_NK_Upcoming!$J$2:$J$996,MATCH('Rig_Schedule_View (2)'!B39,Well_Data_NK_Upcoming!Concatenated_Wellname,0)))</f>
        <v>Inj</v>
      </c>
      <c r="F39" s="421" t="str">
        <f ca="1">IF(INDEX(Well_Data_NK_Upcoming!$L$2:$L$996,MATCH('Rig_Schedule_View (2)'!B39,Well_Data_NK_Upcoming!Concatenated_Wellname,0))=0,"",INDEX(Well_Data_NK_Upcoming!$L$2:$L$996,MATCH('Rig_Schedule_View (2)'!B39,Well_Data_NK_Upcoming!Concatenated_Wellname,0)))</f>
        <v>HZ</v>
      </c>
      <c r="G39" s="421">
        <f ca="1">IF(INDEX(Well_Data_NK_Upcoming!$R$2:$R$996,MATCH('Rig_Schedule_View (2)'!B39,Well_Data_NK_Upcoming!Concatenated_Wellname,0))=0,"",INDEX(Well_Data_NK_Upcoming!$R$2:$R$996,MATCH('Rig_Schedule_View (2)'!B39,Well_Data_NK_Upcoming!Concatenated_Wellname,0)))</f>
        <v>54</v>
      </c>
      <c r="H39" s="526"/>
      <c r="I39" s="443">
        <f ca="1">RigScheduleTest!$X$4</f>
        <v>42412</v>
      </c>
      <c r="J39" s="443">
        <f ca="1">RigScheduleTest!$Y$4</f>
        <v>42461</v>
      </c>
      <c r="K39" s="344"/>
      <c r="L39" s="567"/>
      <c r="M39" s="544"/>
      <c r="N39" s="545" t="s">
        <v>1977</v>
      </c>
      <c r="O39" s="545"/>
      <c r="P39" s="551"/>
    </row>
    <row r="40" spans="1:16" x14ac:dyDescent="0.25">
      <c r="A40" s="442" t="str">
        <f>RigScheduleTest!$B$4</f>
        <v>KDC-26</v>
      </c>
      <c r="B40" s="442" t="str">
        <f ca="1">RigScheduleTest!$AA$4</f>
        <v>SA17-SA-MA-Prod-NW-HZ</v>
      </c>
      <c r="C40" s="421" t="str">
        <f ca="1">IF(INDEX(Well_Data_NK_Upcoming!$G$2:$G$996,MATCH('Rig_Schedule_View (2)'!B40,Well_Data_NK_Upcoming!Concatenated_Wellname,0))=0,"",INDEX(Well_Data_NK_Upcoming!$G$2:$G$996,MATCH('Rig_Schedule_View (2)'!B40,Well_Data_NK_Upcoming!Concatenated_Wellname,0)))</f>
        <v>MA</v>
      </c>
      <c r="D40" s="421" t="str">
        <f ca="1">IF(INDEX(Well_Data_NK_Upcoming!$K$2:$K$996,MATCH('Rig_Schedule_View (2)'!B40,Well_Data_NK_Upcoming!Concatenated_Wellname,0))=0,"",INDEX(Well_Data_NK_Upcoming!$K$2:$K$996,MATCH('Rig_Schedule_View (2)'!B40,Well_Data_NK_Upcoming!Concatenated_Wellname,0)))</f>
        <v>NW</v>
      </c>
      <c r="E40" s="421" t="str">
        <f ca="1">IF(INDEX(Well_Data_NK_Upcoming!$J$2:$J$996,MATCH('Rig_Schedule_View (2)'!B40,Well_Data_NK_Upcoming!Concatenated_Wellname,0))=0,"",INDEX(Well_Data_NK_Upcoming!$J$2:$J$996,MATCH('Rig_Schedule_View (2)'!B40,Well_Data_NK_Upcoming!Concatenated_Wellname,0)))</f>
        <v>Prod</v>
      </c>
      <c r="F40" s="421" t="str">
        <f ca="1">IF(INDEX(Well_Data_NK_Upcoming!$L$2:$L$996,MATCH('Rig_Schedule_View (2)'!B40,Well_Data_NK_Upcoming!Concatenated_Wellname,0))=0,"",INDEX(Well_Data_NK_Upcoming!$L$2:$L$996,MATCH('Rig_Schedule_View (2)'!B40,Well_Data_NK_Upcoming!Concatenated_Wellname,0)))</f>
        <v>HZ</v>
      </c>
      <c r="G40" s="421">
        <f ca="1">IF(INDEX(Well_Data_NK_Upcoming!$R$2:$R$996,MATCH('Rig_Schedule_View (2)'!B40,Well_Data_NK_Upcoming!Concatenated_Wellname,0))=0,"",INDEX(Well_Data_NK_Upcoming!$R$2:$R$996,MATCH('Rig_Schedule_View (2)'!B40,Well_Data_NK_Upcoming!Concatenated_Wellname,0)))</f>
        <v>75</v>
      </c>
      <c r="H40" s="526"/>
      <c r="I40" s="443">
        <f ca="1">RigScheduleTest!$AD$4</f>
        <v>42466</v>
      </c>
      <c r="J40" s="443">
        <f ca="1">RigScheduleTest!$AE$4</f>
        <v>42536</v>
      </c>
      <c r="K40" s="344"/>
      <c r="L40" s="546"/>
      <c r="M40" s="544"/>
      <c r="N40" s="545"/>
      <c r="O40" s="545"/>
      <c r="P40" s="551"/>
    </row>
    <row r="41" spans="1:16" x14ac:dyDescent="0.25">
      <c r="A41" s="442" t="str">
        <f>RigScheduleTest!$B$4</f>
        <v>KDC-26</v>
      </c>
      <c r="B41" s="442" t="str">
        <f ca="1">RigScheduleTest!$AG$4</f>
        <v>RA17-RA-MA-Inj-NW-HZ-SLB</v>
      </c>
      <c r="C41" s="421" t="str">
        <f ca="1">IF(INDEX(Well_Data_NK_Upcoming!$G$2:$G$996,MATCH('Rig_Schedule_View (2)'!B41,Well_Data_NK_Upcoming!Concatenated_Wellname,0))=0,"",INDEX(Well_Data_NK_Upcoming!$G$2:$G$996,MATCH('Rig_Schedule_View (2)'!B41,Well_Data_NK_Upcoming!Concatenated_Wellname,0)))</f>
        <v>MA</v>
      </c>
      <c r="D41" s="421" t="str">
        <f ca="1">IF(INDEX(Well_Data_NK_Upcoming!$K$2:$K$996,MATCH('Rig_Schedule_View (2)'!B41,Well_Data_NK_Upcoming!Concatenated_Wellname,0))=0,"",INDEX(Well_Data_NK_Upcoming!$K$2:$K$996,MATCH('Rig_Schedule_View (2)'!B41,Well_Data_NK_Upcoming!Concatenated_Wellname,0)))</f>
        <v>NW</v>
      </c>
      <c r="E41" s="421" t="str">
        <f ca="1">IF(INDEX(Well_Data_NK_Upcoming!$J$2:$J$996,MATCH('Rig_Schedule_View (2)'!B41,Well_Data_NK_Upcoming!Concatenated_Wellname,0))=0,"",INDEX(Well_Data_NK_Upcoming!$J$2:$J$996,MATCH('Rig_Schedule_View (2)'!B41,Well_Data_NK_Upcoming!Concatenated_Wellname,0)))</f>
        <v>Inj</v>
      </c>
      <c r="F41" s="421" t="str">
        <f ca="1">IF(INDEX(Well_Data_NK_Upcoming!$L$2:$L$996,MATCH('Rig_Schedule_View (2)'!B41,Well_Data_NK_Upcoming!Concatenated_Wellname,0))=0,"",INDEX(Well_Data_NK_Upcoming!$L$2:$L$996,MATCH('Rig_Schedule_View (2)'!B41,Well_Data_NK_Upcoming!Concatenated_Wellname,0)))</f>
        <v>HZ</v>
      </c>
      <c r="G41" s="421">
        <f ca="1">IF(INDEX(Well_Data_NK_Upcoming!$R$2:$R$996,MATCH('Rig_Schedule_View (2)'!B41,Well_Data_NK_Upcoming!Concatenated_Wellname,0))=0,"",INDEX(Well_Data_NK_Upcoming!$R$2:$R$996,MATCH('Rig_Schedule_View (2)'!B41,Well_Data_NK_Upcoming!Concatenated_Wellname,0)))</f>
        <v>68</v>
      </c>
      <c r="H41" s="526"/>
      <c r="I41" s="443">
        <f ca="1">RigScheduleTest!$AJ$4</f>
        <v>42541</v>
      </c>
      <c r="J41" s="443">
        <f ca="1">RigScheduleTest!$AK$4</f>
        <v>42604</v>
      </c>
      <c r="K41" s="344"/>
      <c r="L41" s="546"/>
      <c r="M41" s="544"/>
      <c r="N41" s="545"/>
      <c r="O41" s="545"/>
      <c r="P41" s="551"/>
    </row>
    <row r="42" spans="1:16" x14ac:dyDescent="0.25">
      <c r="A42" s="442" t="str">
        <f>RigScheduleTest!$B$4</f>
        <v>KDC-26</v>
      </c>
      <c r="B42" s="442" t="str">
        <f ca="1">RigScheduleTest!$AM$4</f>
        <v>SA46-SA-LB-Prod-NW-SL</v>
      </c>
      <c r="C42" s="421" t="str">
        <f ca="1">IF(INDEX(Well_Data_NK_Upcoming!$G$2:$G$996,MATCH('Rig_Schedule_View (2)'!B42,Well_Data_NK_Upcoming!Concatenated_Wellname,0))=0,"",INDEX(Well_Data_NK_Upcoming!$G$2:$G$996,MATCH('Rig_Schedule_View (2)'!B42,Well_Data_NK_Upcoming!Concatenated_Wellname,0)))</f>
        <v>LB</v>
      </c>
      <c r="D42" s="421" t="str">
        <f ca="1">IF(INDEX(Well_Data_NK_Upcoming!$K$2:$K$996,MATCH('Rig_Schedule_View (2)'!B42,Well_Data_NK_Upcoming!Concatenated_Wellname,0))=0,"",INDEX(Well_Data_NK_Upcoming!$K$2:$K$996,MATCH('Rig_Schedule_View (2)'!B42,Well_Data_NK_Upcoming!Concatenated_Wellname,0)))</f>
        <v>NW</v>
      </c>
      <c r="E42" s="421" t="str">
        <f ca="1">IF(INDEX(Well_Data_NK_Upcoming!$J$2:$J$996,MATCH('Rig_Schedule_View (2)'!B42,Well_Data_NK_Upcoming!Concatenated_Wellname,0))=0,"",INDEX(Well_Data_NK_Upcoming!$J$2:$J$996,MATCH('Rig_Schedule_View (2)'!B42,Well_Data_NK_Upcoming!Concatenated_Wellname,0)))</f>
        <v>Prod</v>
      </c>
      <c r="F42" s="421" t="str">
        <f ca="1">IF(INDEX(Well_Data_NK_Upcoming!$L$2:$L$996,MATCH('Rig_Schedule_View (2)'!B42,Well_Data_NK_Upcoming!Concatenated_Wellname,0))=0,"",INDEX(Well_Data_NK_Upcoming!$L$2:$L$996,MATCH('Rig_Schedule_View (2)'!B42,Well_Data_NK_Upcoming!Concatenated_Wellname,0)))</f>
        <v>SL</v>
      </c>
      <c r="G42" s="421">
        <f ca="1">IF(INDEX(Well_Data_NK_Upcoming!$R$2:$R$996,MATCH('Rig_Schedule_View (2)'!B42,Well_Data_NK_Upcoming!Concatenated_Wellname,0))=0,"",INDEX(Well_Data_NK_Upcoming!$R$2:$R$996,MATCH('Rig_Schedule_View (2)'!B42,Well_Data_NK_Upcoming!Concatenated_Wellname,0)))</f>
        <v>75</v>
      </c>
      <c r="H42" s="526"/>
      <c r="I42" s="443">
        <f ca="1">RigScheduleTest!$AP$4</f>
        <v>42609</v>
      </c>
      <c r="J42" s="443">
        <f ca="1">RigScheduleTest!$AQ$4</f>
        <v>42679</v>
      </c>
      <c r="K42" s="344"/>
      <c r="L42" s="546"/>
      <c r="M42" s="544"/>
      <c r="N42" s="545"/>
      <c r="O42" s="545"/>
      <c r="P42" s="551"/>
    </row>
    <row r="43" spans="1:16" x14ac:dyDescent="0.25">
      <c r="A43" s="442" t="str">
        <f>RigScheduleTest!$B$4</f>
        <v>KDC-26</v>
      </c>
      <c r="B43" s="442" t="str">
        <f ca="1">RigScheduleTest!$AS$4</f>
        <v>SA53-SA-UB-Inj-NW-SL</v>
      </c>
      <c r="C43" s="421" t="str">
        <f ca="1">IF(INDEX(Well_Data_NK_Upcoming!$G$2:$G$996,MATCH('Rig_Schedule_View (2)'!B43,Well_Data_NK_Upcoming!Concatenated_Wellname,0))=0,"",INDEX(Well_Data_NK_Upcoming!$G$2:$G$996,MATCH('Rig_Schedule_View (2)'!B43,Well_Data_NK_Upcoming!Concatenated_Wellname,0)))</f>
        <v>UB</v>
      </c>
      <c r="D43" s="421" t="str">
        <f ca="1">IF(INDEX(Well_Data_NK_Upcoming!$K$2:$K$996,MATCH('Rig_Schedule_View (2)'!B43,Well_Data_NK_Upcoming!Concatenated_Wellname,0))=0,"",INDEX(Well_Data_NK_Upcoming!$K$2:$K$996,MATCH('Rig_Schedule_View (2)'!B43,Well_Data_NK_Upcoming!Concatenated_Wellname,0)))</f>
        <v>NW</v>
      </c>
      <c r="E43" s="421" t="str">
        <f ca="1">IF(INDEX(Well_Data_NK_Upcoming!$J$2:$J$996,MATCH('Rig_Schedule_View (2)'!B43,Well_Data_NK_Upcoming!Concatenated_Wellname,0))=0,"",INDEX(Well_Data_NK_Upcoming!$J$2:$J$996,MATCH('Rig_Schedule_View (2)'!B43,Well_Data_NK_Upcoming!Concatenated_Wellname,0)))</f>
        <v>Inj</v>
      </c>
      <c r="F43" s="421" t="str">
        <f ca="1">IF(INDEX(Well_Data_NK_Upcoming!$L$2:$L$996,MATCH('Rig_Schedule_View (2)'!B43,Well_Data_NK_Upcoming!Concatenated_Wellname,0))=0,"",INDEX(Well_Data_NK_Upcoming!$L$2:$L$996,MATCH('Rig_Schedule_View (2)'!B43,Well_Data_NK_Upcoming!Concatenated_Wellname,0)))</f>
        <v>SL</v>
      </c>
      <c r="G43" s="421">
        <f ca="1">IF(INDEX(Well_Data_NK_Upcoming!$R$2:$R$996,MATCH('Rig_Schedule_View (2)'!B43,Well_Data_NK_Upcoming!Concatenated_Wellname,0))=0,"",INDEX(Well_Data_NK_Upcoming!$R$2:$R$996,MATCH('Rig_Schedule_View (2)'!B43,Well_Data_NK_Upcoming!Concatenated_Wellname,0)))</f>
        <v>75</v>
      </c>
      <c r="H43" s="526"/>
      <c r="I43" s="443">
        <f ca="1">RigScheduleTest!$AV$4</f>
        <v>42684</v>
      </c>
      <c r="J43" s="443">
        <f ca="1">RigScheduleTest!$AW$4</f>
        <v>42754</v>
      </c>
      <c r="K43" s="344"/>
      <c r="L43" s="546"/>
      <c r="M43" s="544"/>
      <c r="N43" s="545"/>
      <c r="O43" s="545"/>
      <c r="P43" s="551"/>
    </row>
    <row r="44" spans="1:16" x14ac:dyDescent="0.25">
      <c r="A44" s="442" t="str">
        <f>RigScheduleTest!$B$4</f>
        <v>KDC-26</v>
      </c>
      <c r="B44" s="442" t="str">
        <f ca="1">RigScheduleTest!$AY$4</f>
        <v>SA-0600-SA-MA-Prod-NW-HZ-Baker</v>
      </c>
      <c r="C44" s="421" t="str">
        <f ca="1">IF(INDEX(Well_Data_NK_Upcoming!$G$2:$G$996,MATCH('Rig_Schedule_View (2)'!B44,Well_Data_NK_Upcoming!Concatenated_Wellname,0))=0,"",INDEX(Well_Data_NK_Upcoming!$G$2:$G$996,MATCH('Rig_Schedule_View (2)'!B44,Well_Data_NK_Upcoming!Concatenated_Wellname,0)))</f>
        <v>MA</v>
      </c>
      <c r="D44" s="421" t="str">
        <f ca="1">IF(INDEX(Well_Data_NK_Upcoming!$K$2:$K$996,MATCH('Rig_Schedule_View (2)'!B44,Well_Data_NK_Upcoming!Concatenated_Wellname,0))=0,"",INDEX(Well_Data_NK_Upcoming!$K$2:$K$996,MATCH('Rig_Schedule_View (2)'!B44,Well_Data_NK_Upcoming!Concatenated_Wellname,0)))</f>
        <v>NW</v>
      </c>
      <c r="E44" s="421" t="str">
        <f ca="1">IF(INDEX(Well_Data_NK_Upcoming!$J$2:$J$996,MATCH('Rig_Schedule_View (2)'!B44,Well_Data_NK_Upcoming!Concatenated_Wellname,0))=0,"",INDEX(Well_Data_NK_Upcoming!$J$2:$J$996,MATCH('Rig_Schedule_View (2)'!B44,Well_Data_NK_Upcoming!Concatenated_Wellname,0)))</f>
        <v>Prod</v>
      </c>
      <c r="F44" s="421" t="str">
        <f ca="1">IF(INDEX(Well_Data_NK_Upcoming!$L$2:$L$996,MATCH('Rig_Schedule_View (2)'!B44,Well_Data_NK_Upcoming!Concatenated_Wellname,0))=0,"",INDEX(Well_Data_NK_Upcoming!$L$2:$L$996,MATCH('Rig_Schedule_View (2)'!B44,Well_Data_NK_Upcoming!Concatenated_Wellname,0)))</f>
        <v>HZ</v>
      </c>
      <c r="G44" s="421">
        <f ca="1">IF(INDEX(Well_Data_NK_Upcoming!$R$2:$R$996,MATCH('Rig_Schedule_View (2)'!B44,Well_Data_NK_Upcoming!Concatenated_Wellname,0))=0,"",INDEX(Well_Data_NK_Upcoming!$R$2:$R$996,MATCH('Rig_Schedule_View (2)'!B44,Well_Data_NK_Upcoming!Concatenated_Wellname,0)))</f>
        <v>75</v>
      </c>
      <c r="H44" s="526"/>
      <c r="I44" s="443">
        <f ca="1">RigScheduleTest!$BB$4</f>
        <v>42759</v>
      </c>
      <c r="J44" s="443">
        <f ca="1">RigScheduleTest!$BC$4</f>
        <v>42829</v>
      </c>
      <c r="K44" s="344"/>
      <c r="L44" s="546"/>
      <c r="M44" s="544"/>
      <c r="N44" s="545"/>
      <c r="O44" s="545"/>
      <c r="P44" s="551"/>
    </row>
    <row r="45" spans="1:16" x14ac:dyDescent="0.25">
      <c r="A45" s="442" t="str">
        <f>RigScheduleTest!$B$4</f>
        <v>KDC-26</v>
      </c>
      <c r="B45" s="442" t="str">
        <f ca="1">RigScheduleTest!$BE$4</f>
        <v>RQ-0180-RQ-ZU-Prod-NW</v>
      </c>
      <c r="C45" s="421" t="str">
        <f ca="1">IF(INDEX(Well_Data_NK_Upcoming!$G$2:$G$996,MATCH('Rig_Schedule_View (2)'!B45,Well_Data_NK_Upcoming!Concatenated_Wellname,0))=0,"",INDEX(Well_Data_NK_Upcoming!$G$2:$G$996,MATCH('Rig_Schedule_View (2)'!B45,Well_Data_NK_Upcoming!Concatenated_Wellname,0)))</f>
        <v>ZU</v>
      </c>
      <c r="D45" s="421" t="str">
        <f ca="1">IF(INDEX(Well_Data_NK_Upcoming!$K$2:$K$996,MATCH('Rig_Schedule_View (2)'!B45,Well_Data_NK_Upcoming!Concatenated_Wellname,0))=0,"",INDEX(Well_Data_NK_Upcoming!$K$2:$K$996,MATCH('Rig_Schedule_View (2)'!B45,Well_Data_NK_Upcoming!Concatenated_Wellname,0)))</f>
        <v>NW</v>
      </c>
      <c r="E45" s="421" t="str">
        <f ca="1">IF(INDEX(Well_Data_NK_Upcoming!$J$2:$J$996,MATCH('Rig_Schedule_View (2)'!B45,Well_Data_NK_Upcoming!Concatenated_Wellname,0))=0,"",INDEX(Well_Data_NK_Upcoming!$J$2:$J$996,MATCH('Rig_Schedule_View (2)'!B45,Well_Data_NK_Upcoming!Concatenated_Wellname,0)))</f>
        <v>Prod</v>
      </c>
      <c r="F45" s="421" t="str">
        <f ca="1">IF(INDEX(Well_Data_NK_Upcoming!$L$2:$L$996,MATCH('Rig_Schedule_View (2)'!B45,Well_Data_NK_Upcoming!Concatenated_Wellname,0))=0,"",INDEX(Well_Data_NK_Upcoming!$L$2:$L$996,MATCH('Rig_Schedule_View (2)'!B45,Well_Data_NK_Upcoming!Concatenated_Wellname,0)))</f>
        <v/>
      </c>
      <c r="G45" s="421">
        <f ca="1">IF(INDEX(Well_Data_NK_Upcoming!$R$2:$R$996,MATCH('Rig_Schedule_View (2)'!B45,Well_Data_NK_Upcoming!Concatenated_Wellname,0))=0,"",INDEX(Well_Data_NK_Upcoming!$R$2:$R$996,MATCH('Rig_Schedule_View (2)'!B45,Well_Data_NK_Upcoming!Concatenated_Wellname,0)))</f>
        <v>103</v>
      </c>
      <c r="H45" s="526"/>
      <c r="I45" s="443">
        <f ca="1">RigScheduleTest!$BH$4</f>
        <v>42834</v>
      </c>
      <c r="J45" s="443">
        <f ca="1">RigScheduleTest!$BI$4</f>
        <v>42932</v>
      </c>
      <c r="K45" s="344"/>
      <c r="L45" s="546"/>
      <c r="M45" s="544"/>
      <c r="N45" s="545"/>
      <c r="O45" s="545"/>
      <c r="P45" s="551"/>
    </row>
    <row r="46" spans="1:16" x14ac:dyDescent="0.25">
      <c r="A46" s="442" t="str">
        <f>RigScheduleTest!$B$4</f>
        <v>KDC-26</v>
      </c>
      <c r="B46" s="442" t="str">
        <f ca="1">RigScheduleTest!$BK$4</f>
        <v/>
      </c>
      <c r="C46" s="421" t="str">
        <f ca="1">IF(INDEX(Well_Data_NK_Upcoming!$G$2:$G$996,MATCH('Rig_Schedule_View (2)'!B46,Well_Data_NK_Upcoming!Concatenated_Wellname,0))=0,"",INDEX(Well_Data_NK_Upcoming!$G$2:$G$996,MATCH('Rig_Schedule_View (2)'!B46,Well_Data_NK_Upcoming!Concatenated_Wellname,0)))</f>
        <v/>
      </c>
      <c r="D46" s="421" t="str">
        <f ca="1">IF(INDEX(Well_Data_NK_Upcoming!$K$2:$K$996,MATCH('Rig_Schedule_View (2)'!B46,Well_Data_NK_Upcoming!Concatenated_Wellname,0))=0,"",INDEX(Well_Data_NK_Upcoming!$K$2:$K$996,MATCH('Rig_Schedule_View (2)'!B46,Well_Data_NK_Upcoming!Concatenated_Wellname,0)))</f>
        <v/>
      </c>
      <c r="E46" s="421" t="str">
        <f ca="1">IF(INDEX(Well_Data_NK_Upcoming!$J$2:$J$996,MATCH('Rig_Schedule_View (2)'!B46,Well_Data_NK_Upcoming!Concatenated_Wellname,0))=0,"",INDEX(Well_Data_NK_Upcoming!$J$2:$J$996,MATCH('Rig_Schedule_View (2)'!B46,Well_Data_NK_Upcoming!Concatenated_Wellname,0)))</f>
        <v/>
      </c>
      <c r="F46" s="421" t="str">
        <f ca="1">IF(INDEX(Well_Data_NK_Upcoming!$L$2:$L$996,MATCH('Rig_Schedule_View (2)'!B46,Well_Data_NK_Upcoming!Concatenated_Wellname,0))=0,"",INDEX(Well_Data_NK_Upcoming!$L$2:$L$996,MATCH('Rig_Schedule_View (2)'!B46,Well_Data_NK_Upcoming!Concatenated_Wellname,0)))</f>
        <v/>
      </c>
      <c r="G46" s="421" t="str">
        <f ca="1">IF(INDEX(Well_Data_NK_Upcoming!$R$2:$R$996,MATCH('Rig_Schedule_View (2)'!B46,Well_Data_NK_Upcoming!Concatenated_Wellname,0))=0,"",INDEX(Well_Data_NK_Upcoming!$R$2:$R$996,MATCH('Rig_Schedule_View (2)'!B46,Well_Data_NK_Upcoming!Concatenated_Wellname,0)))</f>
        <v/>
      </c>
      <c r="H46" s="526"/>
      <c r="I46" s="443" t="str">
        <f ca="1">RigScheduleTest!$BN$4</f>
        <v/>
      </c>
      <c r="J46" s="443" t="str">
        <f ca="1">RigScheduleTest!$BO$4</f>
        <v/>
      </c>
      <c r="K46" s="344"/>
      <c r="L46" s="546"/>
      <c r="M46" s="544"/>
      <c r="N46" s="545"/>
      <c r="O46" s="545"/>
      <c r="P46" s="551"/>
    </row>
    <row r="47" spans="1:16" x14ac:dyDescent="0.25">
      <c r="A47" s="437" t="str">
        <f>RigScheduleTest!$B$1</f>
        <v>RIG</v>
      </c>
      <c r="B47" s="437" t="str">
        <f>$K$1</f>
        <v>Development Drilling</v>
      </c>
      <c r="C47" s="437" t="s">
        <v>1831</v>
      </c>
      <c r="D47" s="437" t="s">
        <v>867</v>
      </c>
      <c r="E47" s="437" t="s">
        <v>8</v>
      </c>
      <c r="F47" s="437" t="s">
        <v>2</v>
      </c>
      <c r="G47" s="437" t="s">
        <v>1513</v>
      </c>
      <c r="H47" s="438" t="str">
        <f>$K$3</f>
        <v>Rig Deployment Meeting</v>
      </c>
      <c r="I47" s="439" t="str">
        <f>$K$5</f>
        <v>Start</v>
      </c>
      <c r="J47" s="439" t="str">
        <f>$K$6</f>
        <v>End</v>
      </c>
      <c r="K47" s="444" t="s">
        <v>1068</v>
      </c>
      <c r="L47" s="444" t="s">
        <v>1577</v>
      </c>
      <c r="M47" s="496" t="s">
        <v>1934</v>
      </c>
      <c r="N47" s="504" t="s">
        <v>1940</v>
      </c>
      <c r="O47" s="504" t="s">
        <v>1941</v>
      </c>
      <c r="P47" s="502"/>
    </row>
    <row r="48" spans="1:16" x14ac:dyDescent="0.25">
      <c r="A48" s="442" t="str">
        <f>RigScheduleTest!$B$5</f>
        <v>KDC-28</v>
      </c>
      <c r="B48" s="421" t="str">
        <f ca="1">RigScheduleTest!$D$5</f>
        <v/>
      </c>
      <c r="C48" s="421" t="str">
        <f ca="1">IF(INDEX(Well_Data_NK_Upcoming!$G$2:$G$996,MATCH('Rig_Schedule_View (2)'!B48,Well_Data_NK_Upcoming!Concatenated_Wellname,0))=0,"",INDEX(Well_Data_NK_Upcoming!$G$2:$G$996,MATCH('Rig_Schedule_View (2)'!B48,Well_Data_NK_Upcoming!Concatenated_Wellname,0)))</f>
        <v/>
      </c>
      <c r="D48" s="421" t="str">
        <f ca="1">IF(INDEX(Well_Data_NK_Upcoming!$K$2:$K$996,MATCH('Rig_Schedule_View (2)'!B48,Well_Data_NK_Upcoming!Concatenated_Wellname,0))=0,"",INDEX(Well_Data_NK_Upcoming!$K$2:$K$996,MATCH('Rig_Schedule_View (2)'!B48,Well_Data_NK_Upcoming!Concatenated_Wellname,0)))</f>
        <v/>
      </c>
      <c r="E48" s="421" t="str">
        <f ca="1">IF(INDEX(Well_Data_NK_Upcoming!$J$2:$J$996,MATCH('Rig_Schedule_View (2)'!B48,Well_Data_NK_Upcoming!Concatenated_Wellname,0))=0,"",INDEX(Well_Data_NK_Upcoming!$J$2:$J$996,MATCH('Rig_Schedule_View (2)'!B48,Well_Data_NK_Upcoming!Concatenated_Wellname,0)))</f>
        <v/>
      </c>
      <c r="F48" s="421" t="str">
        <f ca="1">IF(INDEX(Well_Data_NK_Upcoming!$L$2:$L$996,MATCH('Rig_Schedule_View (2)'!B48,Well_Data_NK_Upcoming!Concatenated_Wellname,0))=0,"",INDEX(Well_Data_NK_Upcoming!$L$2:$L$996,MATCH('Rig_Schedule_View (2)'!B48,Well_Data_NK_Upcoming!Concatenated_Wellname,0)))</f>
        <v/>
      </c>
      <c r="G48" s="421" t="str">
        <f ca="1">IF(INDEX(Well_Data_NK_Upcoming!$R$2:$R$996,MATCH('Rig_Schedule_View (2)'!B48,Well_Data_NK_Upcoming!Concatenated_Wellname,0))=0,"",INDEX(Well_Data_NK_Upcoming!$R$2:$R$996,MATCH('Rig_Schedule_View (2)'!B48,Well_Data_NK_Upcoming!Concatenated_Wellname,0)))</f>
        <v/>
      </c>
      <c r="H48" s="526">
        <f>RigScheduleTest!$F$5</f>
        <v>42233</v>
      </c>
      <c r="I48" s="459" t="str">
        <f ca="1">IF(INDEX(Well_Data_NK_Upcoming!$O$2:$O$996,MATCH('Rig_Schedule_View (2)'!B48,Well_Data_NK_Upcoming!Concatenated_Wellname,0))=0,"",INDEX(Well_Data_NK_Upcoming!$O$2:$O$996,MATCH('Rig_Schedule_View (2)'!B48,Well_Data_NK_Upcoming!Concatenated_Wellname,0)))</f>
        <v/>
      </c>
      <c r="J48" s="446" t="str">
        <f ca="1">RigScheduleTest!$H$5</f>
        <v/>
      </c>
      <c r="K48" s="574" t="s">
        <v>1917</v>
      </c>
      <c r="L48" s="552"/>
      <c r="M48" s="549"/>
      <c r="N48" s="550"/>
      <c r="O48" s="550"/>
      <c r="P48" s="551"/>
    </row>
    <row r="49" spans="1:17" x14ac:dyDescent="0.25">
      <c r="A49" s="442" t="str">
        <f>RigScheduleTest!$B$5</f>
        <v>KDC-28</v>
      </c>
      <c r="B49" s="441" t="str">
        <f ca="1">RigScheduleTest!$I$5</f>
        <v>Rig_Expired</v>
      </c>
      <c r="C49" s="421" t="str">
        <f ca="1">IF(INDEX(Well_Data_NK_Upcoming!$G$2:$G$996,MATCH('Rig_Schedule_View (2)'!B49,Well_Data_NK_Upcoming!Concatenated_Wellname,0))=0,"",INDEX(Well_Data_NK_Upcoming!$G$2:$G$996,MATCH('Rig_Schedule_View (2)'!B49,Well_Data_NK_Upcoming!Concatenated_Wellname,0)))</f>
        <v/>
      </c>
      <c r="D49" s="421" t="str">
        <f ca="1">IF(INDEX(Well_Data_NK_Upcoming!$K$2:$K$996,MATCH('Rig_Schedule_View (2)'!B49,Well_Data_NK_Upcoming!Concatenated_Wellname,0))=0,"",INDEX(Well_Data_NK_Upcoming!$K$2:$K$996,MATCH('Rig_Schedule_View (2)'!B49,Well_Data_NK_Upcoming!Concatenated_Wellname,0)))</f>
        <v/>
      </c>
      <c r="E49" s="421" t="str">
        <f ca="1">IF(INDEX(Well_Data_NK_Upcoming!$J$2:$J$996,MATCH('Rig_Schedule_View (2)'!B49,Well_Data_NK_Upcoming!Concatenated_Wellname,0))=0,"",INDEX(Well_Data_NK_Upcoming!$J$2:$J$996,MATCH('Rig_Schedule_View (2)'!B49,Well_Data_NK_Upcoming!Concatenated_Wellname,0)))</f>
        <v/>
      </c>
      <c r="F49" s="421" t="str">
        <f ca="1">IF(INDEX(Well_Data_NK_Upcoming!$L$2:$L$996,MATCH('Rig_Schedule_View (2)'!B49,Well_Data_NK_Upcoming!Concatenated_Wellname,0))=0,"",INDEX(Well_Data_NK_Upcoming!$L$2:$L$996,MATCH('Rig_Schedule_View (2)'!B49,Well_Data_NK_Upcoming!Concatenated_Wellname,0)))</f>
        <v/>
      </c>
      <c r="G49" s="421" t="str">
        <f ca="1">IF(INDEX(Well_Data_NK_Upcoming!$R$2:$R$996,MATCH('Rig_Schedule_View (2)'!B49,Well_Data_NK_Upcoming!Concatenated_Wellname,0))=0,"",INDEX(Well_Data_NK_Upcoming!$R$2:$R$996,MATCH('Rig_Schedule_View (2)'!B49,Well_Data_NK_Upcoming!Concatenated_Wellname,0)))</f>
        <v/>
      </c>
      <c r="H49" s="526"/>
      <c r="I49" s="440" t="str">
        <f ca="1">RigScheduleTest!$L$5</f>
        <v/>
      </c>
      <c r="J49" s="440" t="str">
        <f ca="1">RigScheduleTest!$M$5</f>
        <v/>
      </c>
      <c r="K49" s="574"/>
      <c r="L49" s="552"/>
      <c r="M49" s="549"/>
      <c r="N49" s="550"/>
      <c r="O49" s="550"/>
      <c r="P49" s="551"/>
    </row>
    <row r="50" spans="1:17" x14ac:dyDescent="0.25">
      <c r="A50" s="442" t="str">
        <f>RigScheduleTest!$B$5</f>
        <v>KDC-28</v>
      </c>
      <c r="B50" s="441" t="str">
        <f ca="1">RigScheduleTest!$O$5</f>
        <v/>
      </c>
      <c r="C50" s="421" t="str">
        <f ca="1">IF(INDEX(Well_Data_NK_Upcoming!$G$2:$G$996,MATCH('Rig_Schedule_View (2)'!B50,Well_Data_NK_Upcoming!Concatenated_Wellname,0))=0,"",INDEX(Well_Data_NK_Upcoming!$G$2:$G$996,MATCH('Rig_Schedule_View (2)'!B50,Well_Data_NK_Upcoming!Concatenated_Wellname,0)))</f>
        <v/>
      </c>
      <c r="D50" s="421" t="str">
        <f ca="1">IF(INDEX(Well_Data_NK_Upcoming!$K$2:$K$996,MATCH('Rig_Schedule_View (2)'!B50,Well_Data_NK_Upcoming!Concatenated_Wellname,0))=0,"",INDEX(Well_Data_NK_Upcoming!$K$2:$K$996,MATCH('Rig_Schedule_View (2)'!B50,Well_Data_NK_Upcoming!Concatenated_Wellname,0)))</f>
        <v/>
      </c>
      <c r="E50" s="421" t="str">
        <f ca="1">IF(INDEX(Well_Data_NK_Upcoming!$J$2:$J$996,MATCH('Rig_Schedule_View (2)'!B50,Well_Data_NK_Upcoming!Concatenated_Wellname,0))=0,"",INDEX(Well_Data_NK_Upcoming!$J$2:$J$996,MATCH('Rig_Schedule_View (2)'!B50,Well_Data_NK_Upcoming!Concatenated_Wellname,0)))</f>
        <v/>
      </c>
      <c r="F50" s="421" t="str">
        <f ca="1">IF(INDEX(Well_Data_NK_Upcoming!$L$2:$L$996,MATCH('Rig_Schedule_View (2)'!B50,Well_Data_NK_Upcoming!Concatenated_Wellname,0))=0,"",INDEX(Well_Data_NK_Upcoming!$L$2:$L$996,MATCH('Rig_Schedule_View (2)'!B50,Well_Data_NK_Upcoming!Concatenated_Wellname,0)))</f>
        <v/>
      </c>
      <c r="G50" s="421" t="str">
        <f ca="1">IF(INDEX(Well_Data_NK_Upcoming!$R$2:$R$996,MATCH('Rig_Schedule_View (2)'!B50,Well_Data_NK_Upcoming!Concatenated_Wellname,0))=0,"",INDEX(Well_Data_NK_Upcoming!$R$2:$R$996,MATCH('Rig_Schedule_View (2)'!B50,Well_Data_NK_Upcoming!Concatenated_Wellname,0)))</f>
        <v/>
      </c>
      <c r="H50" s="526"/>
      <c r="I50" s="440" t="str">
        <f ca="1">RigScheduleTest!$R$5</f>
        <v/>
      </c>
      <c r="J50" s="440" t="str">
        <f ca="1">RigScheduleTest!$S$5</f>
        <v/>
      </c>
      <c r="K50" s="574"/>
      <c r="L50" s="552"/>
      <c r="M50" s="549"/>
      <c r="N50" s="550"/>
      <c r="O50" s="550"/>
      <c r="P50" s="551"/>
    </row>
    <row r="51" spans="1:17" x14ac:dyDescent="0.25">
      <c r="A51" s="442" t="str">
        <f>RigScheduleTest!$B$5</f>
        <v>KDC-28</v>
      </c>
      <c r="B51" s="442" t="str">
        <f ca="1">RigScheduleTest!$U$5</f>
        <v/>
      </c>
      <c r="C51" s="421" t="str">
        <f ca="1">IF(INDEX(Well_Data_NK_Upcoming!$G$2:$G$996,MATCH('Rig_Schedule_View (2)'!B51,Well_Data_NK_Upcoming!Concatenated_Wellname,0))=0,"",INDEX(Well_Data_NK_Upcoming!$G$2:$G$996,MATCH('Rig_Schedule_View (2)'!B51,Well_Data_NK_Upcoming!Concatenated_Wellname,0)))</f>
        <v/>
      </c>
      <c r="D51" s="421" t="str">
        <f ca="1">IF(INDEX(Well_Data_NK_Upcoming!$K$2:$K$996,MATCH('Rig_Schedule_View (2)'!B51,Well_Data_NK_Upcoming!Concatenated_Wellname,0))=0,"",INDEX(Well_Data_NK_Upcoming!$K$2:$K$996,MATCH('Rig_Schedule_View (2)'!B51,Well_Data_NK_Upcoming!Concatenated_Wellname,0)))</f>
        <v/>
      </c>
      <c r="E51" s="421" t="str">
        <f ca="1">IF(INDEX(Well_Data_NK_Upcoming!$J$2:$J$996,MATCH('Rig_Schedule_View (2)'!B51,Well_Data_NK_Upcoming!Concatenated_Wellname,0))=0,"",INDEX(Well_Data_NK_Upcoming!$J$2:$J$996,MATCH('Rig_Schedule_View (2)'!B51,Well_Data_NK_Upcoming!Concatenated_Wellname,0)))</f>
        <v/>
      </c>
      <c r="F51" s="421" t="str">
        <f ca="1">IF(INDEX(Well_Data_NK_Upcoming!$L$2:$L$996,MATCH('Rig_Schedule_View (2)'!B51,Well_Data_NK_Upcoming!Concatenated_Wellname,0))=0,"",INDEX(Well_Data_NK_Upcoming!$L$2:$L$996,MATCH('Rig_Schedule_View (2)'!B51,Well_Data_NK_Upcoming!Concatenated_Wellname,0)))</f>
        <v/>
      </c>
      <c r="G51" s="421" t="str">
        <f ca="1">IF(INDEX(Well_Data_NK_Upcoming!$R$2:$R$996,MATCH('Rig_Schedule_View (2)'!B51,Well_Data_NK_Upcoming!Concatenated_Wellname,0))=0,"",INDEX(Well_Data_NK_Upcoming!$R$2:$R$996,MATCH('Rig_Schedule_View (2)'!B51,Well_Data_NK_Upcoming!Concatenated_Wellname,0)))</f>
        <v/>
      </c>
      <c r="H51" s="526"/>
      <c r="I51" s="443" t="str">
        <f ca="1">RigScheduleTest!$X$5</f>
        <v/>
      </c>
      <c r="J51" s="443" t="str">
        <f ca="1">RigScheduleTest!$Y$5</f>
        <v/>
      </c>
      <c r="K51" s="574"/>
      <c r="L51" s="552"/>
      <c r="M51" s="549"/>
      <c r="N51" s="550"/>
      <c r="O51" s="550"/>
      <c r="P51" s="551"/>
    </row>
    <row r="52" spans="1:17" x14ac:dyDescent="0.25">
      <c r="A52" s="442" t="str">
        <f>RigScheduleTest!$B$5</f>
        <v>KDC-28</v>
      </c>
      <c r="B52" s="442" t="str">
        <f ca="1">RigScheduleTest!$AA$5</f>
        <v/>
      </c>
      <c r="C52" s="421" t="str">
        <f ca="1">IF(INDEX(Well_Data_NK_Upcoming!$G$2:$G$996,MATCH('Rig_Schedule_View (2)'!B52,Well_Data_NK_Upcoming!Concatenated_Wellname,0))=0,"",INDEX(Well_Data_NK_Upcoming!$G$2:$G$996,MATCH('Rig_Schedule_View (2)'!B52,Well_Data_NK_Upcoming!Concatenated_Wellname,0)))</f>
        <v/>
      </c>
      <c r="D52" s="421" t="str">
        <f ca="1">IF(INDEX(Well_Data_NK_Upcoming!$K$2:$K$996,MATCH('Rig_Schedule_View (2)'!B52,Well_Data_NK_Upcoming!Concatenated_Wellname,0))=0,"",INDEX(Well_Data_NK_Upcoming!$K$2:$K$996,MATCH('Rig_Schedule_View (2)'!B52,Well_Data_NK_Upcoming!Concatenated_Wellname,0)))</f>
        <v/>
      </c>
      <c r="E52" s="421" t="str">
        <f ca="1">IF(INDEX(Well_Data_NK_Upcoming!$J$2:$J$996,MATCH('Rig_Schedule_View (2)'!B52,Well_Data_NK_Upcoming!Concatenated_Wellname,0))=0,"",INDEX(Well_Data_NK_Upcoming!$J$2:$J$996,MATCH('Rig_Schedule_View (2)'!B52,Well_Data_NK_Upcoming!Concatenated_Wellname,0)))</f>
        <v/>
      </c>
      <c r="F52" s="421" t="str">
        <f ca="1">IF(INDEX(Well_Data_NK_Upcoming!$L$2:$L$996,MATCH('Rig_Schedule_View (2)'!B52,Well_Data_NK_Upcoming!Concatenated_Wellname,0))=0,"",INDEX(Well_Data_NK_Upcoming!$L$2:$L$996,MATCH('Rig_Schedule_View (2)'!B52,Well_Data_NK_Upcoming!Concatenated_Wellname,0)))</f>
        <v/>
      </c>
      <c r="G52" s="421" t="str">
        <f ca="1">IF(INDEX(Well_Data_NK_Upcoming!$R$2:$R$996,MATCH('Rig_Schedule_View (2)'!B52,Well_Data_NK_Upcoming!Concatenated_Wellname,0))=0,"",INDEX(Well_Data_NK_Upcoming!$R$2:$R$996,MATCH('Rig_Schedule_View (2)'!B52,Well_Data_NK_Upcoming!Concatenated_Wellname,0)))</f>
        <v/>
      </c>
      <c r="H52" s="526"/>
      <c r="I52" s="443" t="str">
        <f ca="1">RigScheduleTest!$AD$5</f>
        <v/>
      </c>
      <c r="J52" s="443" t="str">
        <f ca="1">RigScheduleTest!$AE$5</f>
        <v/>
      </c>
      <c r="K52" s="574"/>
      <c r="L52" s="552"/>
      <c r="M52" s="549"/>
      <c r="N52" s="550"/>
      <c r="O52" s="550"/>
      <c r="P52" s="551"/>
    </row>
    <row r="53" spans="1:17" x14ac:dyDescent="0.25">
      <c r="A53" s="442" t="str">
        <f>RigScheduleTest!$B$5</f>
        <v>KDC-28</v>
      </c>
      <c r="B53" s="442" t="str">
        <f ca="1">RigScheduleTest!$AG$5</f>
        <v/>
      </c>
      <c r="C53" s="421" t="str">
        <f ca="1">IF(INDEX(Well_Data_NK_Upcoming!$G$2:$G$996,MATCH('Rig_Schedule_View (2)'!B53,Well_Data_NK_Upcoming!Concatenated_Wellname,0))=0,"",INDEX(Well_Data_NK_Upcoming!$G$2:$G$996,MATCH('Rig_Schedule_View (2)'!B53,Well_Data_NK_Upcoming!Concatenated_Wellname,0)))</f>
        <v/>
      </c>
      <c r="D53" s="421" t="str">
        <f ca="1">IF(INDEX(Well_Data_NK_Upcoming!$K$2:$K$996,MATCH('Rig_Schedule_View (2)'!B53,Well_Data_NK_Upcoming!Concatenated_Wellname,0))=0,"",INDEX(Well_Data_NK_Upcoming!$K$2:$K$996,MATCH('Rig_Schedule_View (2)'!B53,Well_Data_NK_Upcoming!Concatenated_Wellname,0)))</f>
        <v/>
      </c>
      <c r="E53" s="421" t="str">
        <f ca="1">IF(INDEX(Well_Data_NK_Upcoming!$J$2:$J$996,MATCH('Rig_Schedule_View (2)'!B53,Well_Data_NK_Upcoming!Concatenated_Wellname,0))=0,"",INDEX(Well_Data_NK_Upcoming!$J$2:$J$996,MATCH('Rig_Schedule_View (2)'!B53,Well_Data_NK_Upcoming!Concatenated_Wellname,0)))</f>
        <v/>
      </c>
      <c r="F53" s="421" t="str">
        <f ca="1">IF(INDEX(Well_Data_NK_Upcoming!$L$2:$L$996,MATCH('Rig_Schedule_View (2)'!B53,Well_Data_NK_Upcoming!Concatenated_Wellname,0))=0,"",INDEX(Well_Data_NK_Upcoming!$L$2:$L$996,MATCH('Rig_Schedule_View (2)'!B53,Well_Data_NK_Upcoming!Concatenated_Wellname,0)))</f>
        <v/>
      </c>
      <c r="G53" s="421" t="str">
        <f ca="1">IF(INDEX(Well_Data_NK_Upcoming!$R$2:$R$996,MATCH('Rig_Schedule_View (2)'!B53,Well_Data_NK_Upcoming!Concatenated_Wellname,0))=0,"",INDEX(Well_Data_NK_Upcoming!$R$2:$R$996,MATCH('Rig_Schedule_View (2)'!B53,Well_Data_NK_Upcoming!Concatenated_Wellname,0)))</f>
        <v/>
      </c>
      <c r="H53" s="526"/>
      <c r="I53" s="443" t="str">
        <f ca="1">RigScheduleTest!$AJ$5</f>
        <v/>
      </c>
      <c r="J53" s="443" t="str">
        <f ca="1">RigScheduleTest!$AK$5</f>
        <v/>
      </c>
      <c r="K53" s="574"/>
      <c r="L53" s="552"/>
      <c r="M53" s="549"/>
      <c r="N53" s="550"/>
      <c r="O53" s="550"/>
      <c r="P53" s="551"/>
    </row>
    <row r="54" spans="1:17" x14ac:dyDescent="0.25">
      <c r="A54" s="442" t="str">
        <f>RigScheduleTest!$B$5</f>
        <v>KDC-28</v>
      </c>
      <c r="B54" s="442" t="str">
        <f ca="1">RigScheduleTest!$AM$5</f>
        <v/>
      </c>
      <c r="C54" s="421" t="str">
        <f ca="1">IF(INDEX(Well_Data_NK_Upcoming!$G$2:$G$996,MATCH('Rig_Schedule_View (2)'!B54,Well_Data_NK_Upcoming!Concatenated_Wellname,0))=0,"",INDEX(Well_Data_NK_Upcoming!$G$2:$G$996,MATCH('Rig_Schedule_View (2)'!B54,Well_Data_NK_Upcoming!Concatenated_Wellname,0)))</f>
        <v/>
      </c>
      <c r="D54" s="421" t="str">
        <f ca="1">IF(INDEX(Well_Data_NK_Upcoming!$K$2:$K$996,MATCH('Rig_Schedule_View (2)'!B54,Well_Data_NK_Upcoming!Concatenated_Wellname,0))=0,"",INDEX(Well_Data_NK_Upcoming!$K$2:$K$996,MATCH('Rig_Schedule_View (2)'!B54,Well_Data_NK_Upcoming!Concatenated_Wellname,0)))</f>
        <v/>
      </c>
      <c r="E54" s="421" t="str">
        <f ca="1">IF(INDEX(Well_Data_NK_Upcoming!$J$2:$J$996,MATCH('Rig_Schedule_View (2)'!B54,Well_Data_NK_Upcoming!Concatenated_Wellname,0))=0,"",INDEX(Well_Data_NK_Upcoming!$J$2:$J$996,MATCH('Rig_Schedule_View (2)'!B54,Well_Data_NK_Upcoming!Concatenated_Wellname,0)))</f>
        <v/>
      </c>
      <c r="F54" s="421" t="str">
        <f ca="1">IF(INDEX(Well_Data_NK_Upcoming!$L$2:$L$996,MATCH('Rig_Schedule_View (2)'!B54,Well_Data_NK_Upcoming!Concatenated_Wellname,0))=0,"",INDEX(Well_Data_NK_Upcoming!$L$2:$L$996,MATCH('Rig_Schedule_View (2)'!B54,Well_Data_NK_Upcoming!Concatenated_Wellname,0)))</f>
        <v/>
      </c>
      <c r="G54" s="421" t="str">
        <f ca="1">IF(INDEX(Well_Data_NK_Upcoming!$R$2:$R$996,MATCH('Rig_Schedule_View (2)'!B54,Well_Data_NK_Upcoming!Concatenated_Wellname,0))=0,"",INDEX(Well_Data_NK_Upcoming!$R$2:$R$996,MATCH('Rig_Schedule_View (2)'!B54,Well_Data_NK_Upcoming!Concatenated_Wellname,0)))</f>
        <v/>
      </c>
      <c r="H54" s="526"/>
      <c r="I54" s="443" t="str">
        <f ca="1">RigScheduleTest!$AP$5</f>
        <v/>
      </c>
      <c r="J54" s="443" t="str">
        <f ca="1">RigScheduleTest!$AQ$5</f>
        <v/>
      </c>
      <c r="K54" s="574"/>
      <c r="L54" s="552"/>
      <c r="M54" s="549"/>
      <c r="N54" s="550"/>
      <c r="O54" s="550"/>
      <c r="P54" s="551"/>
    </row>
    <row r="55" spans="1:17" x14ac:dyDescent="0.25">
      <c r="A55" s="442" t="str">
        <f>RigScheduleTest!$B$5</f>
        <v>KDC-28</v>
      </c>
      <c r="B55" s="442" t="str">
        <f ca="1">RigScheduleTest!$AS$5</f>
        <v/>
      </c>
      <c r="C55" s="421" t="str">
        <f ca="1">IF(INDEX(Well_Data_NK_Upcoming!$G$2:$G$996,MATCH('Rig_Schedule_View (2)'!B55,Well_Data_NK_Upcoming!Concatenated_Wellname,0))=0,"",INDEX(Well_Data_NK_Upcoming!$G$2:$G$996,MATCH('Rig_Schedule_View (2)'!B55,Well_Data_NK_Upcoming!Concatenated_Wellname,0)))</f>
        <v/>
      </c>
      <c r="D55" s="421" t="str">
        <f ca="1">IF(INDEX(Well_Data_NK_Upcoming!$K$2:$K$996,MATCH('Rig_Schedule_View (2)'!B55,Well_Data_NK_Upcoming!Concatenated_Wellname,0))=0,"",INDEX(Well_Data_NK_Upcoming!$K$2:$K$996,MATCH('Rig_Schedule_View (2)'!B55,Well_Data_NK_Upcoming!Concatenated_Wellname,0)))</f>
        <v/>
      </c>
      <c r="E55" s="421" t="str">
        <f ca="1">IF(INDEX(Well_Data_NK_Upcoming!$J$2:$J$996,MATCH('Rig_Schedule_View (2)'!B55,Well_Data_NK_Upcoming!Concatenated_Wellname,0))=0,"",INDEX(Well_Data_NK_Upcoming!$J$2:$J$996,MATCH('Rig_Schedule_View (2)'!B55,Well_Data_NK_Upcoming!Concatenated_Wellname,0)))</f>
        <v/>
      </c>
      <c r="F55" s="421" t="str">
        <f ca="1">IF(INDEX(Well_Data_NK_Upcoming!$L$2:$L$996,MATCH('Rig_Schedule_View (2)'!B55,Well_Data_NK_Upcoming!Concatenated_Wellname,0))=0,"",INDEX(Well_Data_NK_Upcoming!$L$2:$L$996,MATCH('Rig_Schedule_View (2)'!B55,Well_Data_NK_Upcoming!Concatenated_Wellname,0)))</f>
        <v/>
      </c>
      <c r="G55" s="421" t="str">
        <f ca="1">IF(INDEX(Well_Data_NK_Upcoming!$R$2:$R$996,MATCH('Rig_Schedule_View (2)'!B55,Well_Data_NK_Upcoming!Concatenated_Wellname,0))=0,"",INDEX(Well_Data_NK_Upcoming!$R$2:$R$996,MATCH('Rig_Schedule_View (2)'!B55,Well_Data_NK_Upcoming!Concatenated_Wellname,0)))</f>
        <v/>
      </c>
      <c r="H55" s="526"/>
      <c r="I55" s="443" t="str">
        <f ca="1">RigScheduleTest!$AV$5</f>
        <v/>
      </c>
      <c r="J55" s="443" t="str">
        <f ca="1">RigScheduleTest!$AW$5</f>
        <v/>
      </c>
      <c r="K55" s="574"/>
      <c r="L55" s="552"/>
      <c r="M55" s="549"/>
      <c r="N55" s="550"/>
      <c r="O55" s="550"/>
      <c r="P55" s="551"/>
    </row>
    <row r="56" spans="1:17" x14ac:dyDescent="0.25">
      <c r="A56" s="442" t="str">
        <f>RigScheduleTest!$B$5</f>
        <v>KDC-28</v>
      </c>
      <c r="B56" s="442" t="str">
        <f ca="1">RigScheduleTest!$AY$5</f>
        <v/>
      </c>
      <c r="C56" s="421" t="str">
        <f ca="1">IF(INDEX(Well_Data_NK_Upcoming!$G$2:$G$996,MATCH('Rig_Schedule_View (2)'!B56,Well_Data_NK_Upcoming!Concatenated_Wellname,0))=0,"",INDEX(Well_Data_NK_Upcoming!$G$2:$G$996,MATCH('Rig_Schedule_View (2)'!B56,Well_Data_NK_Upcoming!Concatenated_Wellname,0)))</f>
        <v/>
      </c>
      <c r="D56" s="421" t="str">
        <f ca="1">IF(INDEX(Well_Data_NK_Upcoming!$K$2:$K$996,MATCH('Rig_Schedule_View (2)'!B56,Well_Data_NK_Upcoming!Concatenated_Wellname,0))=0,"",INDEX(Well_Data_NK_Upcoming!$K$2:$K$996,MATCH('Rig_Schedule_View (2)'!B56,Well_Data_NK_Upcoming!Concatenated_Wellname,0)))</f>
        <v/>
      </c>
      <c r="E56" s="421" t="str">
        <f ca="1">IF(INDEX(Well_Data_NK_Upcoming!$J$2:$J$996,MATCH('Rig_Schedule_View (2)'!B56,Well_Data_NK_Upcoming!Concatenated_Wellname,0))=0,"",INDEX(Well_Data_NK_Upcoming!$J$2:$J$996,MATCH('Rig_Schedule_View (2)'!B56,Well_Data_NK_Upcoming!Concatenated_Wellname,0)))</f>
        <v/>
      </c>
      <c r="F56" s="421" t="str">
        <f ca="1">IF(INDEX(Well_Data_NK_Upcoming!$L$2:$L$996,MATCH('Rig_Schedule_View (2)'!B56,Well_Data_NK_Upcoming!Concatenated_Wellname,0))=0,"",INDEX(Well_Data_NK_Upcoming!$L$2:$L$996,MATCH('Rig_Schedule_View (2)'!B56,Well_Data_NK_Upcoming!Concatenated_Wellname,0)))</f>
        <v/>
      </c>
      <c r="G56" s="421" t="str">
        <f ca="1">IF(INDEX(Well_Data_NK_Upcoming!$R$2:$R$996,MATCH('Rig_Schedule_View (2)'!B56,Well_Data_NK_Upcoming!Concatenated_Wellname,0))=0,"",INDEX(Well_Data_NK_Upcoming!$R$2:$R$996,MATCH('Rig_Schedule_View (2)'!B56,Well_Data_NK_Upcoming!Concatenated_Wellname,0)))</f>
        <v/>
      </c>
      <c r="H56" s="526"/>
      <c r="I56" s="443" t="str">
        <f ca="1">RigScheduleTest!$BB$5</f>
        <v/>
      </c>
      <c r="J56" s="443" t="str">
        <f ca="1">RigScheduleTest!$BC$5</f>
        <v/>
      </c>
      <c r="K56" s="574"/>
      <c r="L56" s="552"/>
      <c r="M56" s="549"/>
      <c r="N56" s="550"/>
      <c r="O56" s="550"/>
      <c r="P56" s="551"/>
    </row>
    <row r="57" spans="1:17" x14ac:dyDescent="0.25">
      <c r="A57" s="442" t="str">
        <f>RigScheduleTest!$B$5</f>
        <v>KDC-28</v>
      </c>
      <c r="B57" s="442" t="str">
        <f ca="1">RigScheduleTest!$BE$5</f>
        <v/>
      </c>
      <c r="C57" s="421" t="str">
        <f ca="1">IF(INDEX(Well_Data_NK_Upcoming!$G$2:$G$996,MATCH('Rig_Schedule_View (2)'!B57,Well_Data_NK_Upcoming!Concatenated_Wellname,0))=0,"",INDEX(Well_Data_NK_Upcoming!$G$2:$G$996,MATCH('Rig_Schedule_View (2)'!B57,Well_Data_NK_Upcoming!Concatenated_Wellname,0)))</f>
        <v/>
      </c>
      <c r="D57" s="421" t="str">
        <f ca="1">IF(INDEX(Well_Data_NK_Upcoming!$K$2:$K$996,MATCH('Rig_Schedule_View (2)'!B57,Well_Data_NK_Upcoming!Concatenated_Wellname,0))=0,"",INDEX(Well_Data_NK_Upcoming!$K$2:$K$996,MATCH('Rig_Schedule_View (2)'!B57,Well_Data_NK_Upcoming!Concatenated_Wellname,0)))</f>
        <v/>
      </c>
      <c r="E57" s="421" t="str">
        <f ca="1">IF(INDEX(Well_Data_NK_Upcoming!$J$2:$J$996,MATCH('Rig_Schedule_View (2)'!B57,Well_Data_NK_Upcoming!Concatenated_Wellname,0))=0,"",INDEX(Well_Data_NK_Upcoming!$J$2:$J$996,MATCH('Rig_Schedule_View (2)'!B57,Well_Data_NK_Upcoming!Concatenated_Wellname,0)))</f>
        <v/>
      </c>
      <c r="F57" s="421" t="str">
        <f ca="1">IF(INDEX(Well_Data_NK_Upcoming!$L$2:$L$996,MATCH('Rig_Schedule_View (2)'!B57,Well_Data_NK_Upcoming!Concatenated_Wellname,0))=0,"",INDEX(Well_Data_NK_Upcoming!$L$2:$L$996,MATCH('Rig_Schedule_View (2)'!B57,Well_Data_NK_Upcoming!Concatenated_Wellname,0)))</f>
        <v/>
      </c>
      <c r="G57" s="421" t="str">
        <f ca="1">IF(INDEX(Well_Data_NK_Upcoming!$R$2:$R$996,MATCH('Rig_Schedule_View (2)'!B57,Well_Data_NK_Upcoming!Concatenated_Wellname,0))=0,"",INDEX(Well_Data_NK_Upcoming!$R$2:$R$996,MATCH('Rig_Schedule_View (2)'!B57,Well_Data_NK_Upcoming!Concatenated_Wellname,0)))</f>
        <v/>
      </c>
      <c r="H57" s="526"/>
      <c r="I57" s="443" t="str">
        <f ca="1">RigScheduleTest!$BH$5</f>
        <v/>
      </c>
      <c r="J57" s="443" t="str">
        <f ca="1">RigScheduleTest!$BI$5</f>
        <v/>
      </c>
      <c r="K57" s="574"/>
      <c r="L57" s="552"/>
      <c r="M57" s="549"/>
      <c r="N57" s="550"/>
      <c r="O57" s="550"/>
      <c r="P57" s="551"/>
    </row>
    <row r="58" spans="1:17" x14ac:dyDescent="0.25">
      <c r="A58" s="442" t="str">
        <f>RigScheduleTest!$B$5</f>
        <v>KDC-28</v>
      </c>
      <c r="B58" s="442" t="str">
        <f ca="1">RigScheduleTest!$BK$5</f>
        <v/>
      </c>
      <c r="C58" s="421" t="str">
        <f ca="1">IF(INDEX(Well_Data_NK_Upcoming!$G$2:$G$996,MATCH('Rig_Schedule_View (2)'!B58,Well_Data_NK_Upcoming!Concatenated_Wellname,0))=0,"",INDEX(Well_Data_NK_Upcoming!$G$2:$G$996,MATCH('Rig_Schedule_View (2)'!B58,Well_Data_NK_Upcoming!Concatenated_Wellname,0)))</f>
        <v/>
      </c>
      <c r="D58" s="421" t="str">
        <f ca="1">IF(INDEX(Well_Data_NK_Upcoming!$K$2:$K$996,MATCH('Rig_Schedule_View (2)'!B58,Well_Data_NK_Upcoming!Concatenated_Wellname,0))=0,"",INDEX(Well_Data_NK_Upcoming!$K$2:$K$996,MATCH('Rig_Schedule_View (2)'!B58,Well_Data_NK_Upcoming!Concatenated_Wellname,0)))</f>
        <v/>
      </c>
      <c r="E58" s="421" t="str">
        <f ca="1">IF(INDEX(Well_Data_NK_Upcoming!$J$2:$J$996,MATCH('Rig_Schedule_View (2)'!B58,Well_Data_NK_Upcoming!Concatenated_Wellname,0))=0,"",INDEX(Well_Data_NK_Upcoming!$J$2:$J$996,MATCH('Rig_Schedule_View (2)'!B58,Well_Data_NK_Upcoming!Concatenated_Wellname,0)))</f>
        <v/>
      </c>
      <c r="F58" s="421" t="str">
        <f ca="1">IF(INDEX(Well_Data_NK_Upcoming!$L$2:$L$996,MATCH('Rig_Schedule_View (2)'!B58,Well_Data_NK_Upcoming!Concatenated_Wellname,0))=0,"",INDEX(Well_Data_NK_Upcoming!$L$2:$L$996,MATCH('Rig_Schedule_View (2)'!B58,Well_Data_NK_Upcoming!Concatenated_Wellname,0)))</f>
        <v/>
      </c>
      <c r="G58" s="421" t="str">
        <f ca="1">IF(INDEX(Well_Data_NK_Upcoming!$R$2:$R$996,MATCH('Rig_Schedule_View (2)'!B58,Well_Data_NK_Upcoming!Concatenated_Wellname,0))=0,"",INDEX(Well_Data_NK_Upcoming!$R$2:$R$996,MATCH('Rig_Schedule_View (2)'!B58,Well_Data_NK_Upcoming!Concatenated_Wellname,0)))</f>
        <v/>
      </c>
      <c r="H58" s="526"/>
      <c r="I58" s="443" t="str">
        <f ca="1">RigScheduleTest!$BN$5</f>
        <v/>
      </c>
      <c r="J58" s="443" t="str">
        <f ca="1">RigScheduleTest!$BO$5</f>
        <v/>
      </c>
      <c r="K58" s="574"/>
      <c r="L58" s="552"/>
      <c r="M58" s="549"/>
      <c r="N58" s="550"/>
      <c r="O58" s="550"/>
      <c r="P58" s="551"/>
    </row>
    <row r="59" spans="1:17" x14ac:dyDescent="0.25">
      <c r="A59" s="437" t="str">
        <f>RigScheduleTest!$B$1</f>
        <v>RIG</v>
      </c>
      <c r="B59" s="437" t="str">
        <f>$K$1</f>
        <v>Development Drilling</v>
      </c>
      <c r="C59" s="437" t="s">
        <v>1831</v>
      </c>
      <c r="D59" s="437" t="s">
        <v>867</v>
      </c>
      <c r="E59" s="437" t="s">
        <v>8</v>
      </c>
      <c r="F59" s="437" t="s">
        <v>2</v>
      </c>
      <c r="G59" s="437" t="s">
        <v>1513</v>
      </c>
      <c r="H59" s="438" t="str">
        <f>$K$3</f>
        <v>Rig Deployment Meeting</v>
      </c>
      <c r="I59" s="439" t="str">
        <f>$K$5</f>
        <v>Start</v>
      </c>
      <c r="J59" s="439" t="str">
        <f>$K$6</f>
        <v>End</v>
      </c>
      <c r="K59" s="444" t="s">
        <v>1068</v>
      </c>
      <c r="L59" s="444" t="s">
        <v>1577</v>
      </c>
      <c r="M59" s="496" t="s">
        <v>1934</v>
      </c>
      <c r="N59" s="504" t="s">
        <v>1940</v>
      </c>
      <c r="O59" s="504" t="s">
        <v>1941</v>
      </c>
      <c r="P59" s="502"/>
    </row>
    <row r="60" spans="1:17" x14ac:dyDescent="0.25">
      <c r="A60" s="442" t="str">
        <f>RigScheduleTest!$B$6</f>
        <v>KDC-44</v>
      </c>
      <c r="B60" s="421" t="str">
        <f ca="1">RigScheduleTest!$D$6</f>
        <v>ETA-OCT</v>
      </c>
      <c r="C60" s="421" t="str">
        <f ca="1">IF(INDEX(Well_Data_NK_Upcoming!$G$2:$G$996,MATCH('Rig_Schedule_View (2)'!B60,Well_Data_NK_Upcoming!Concatenated_Wellname,0))=0,"",INDEX(Well_Data_NK_Upcoming!$G$2:$G$996,MATCH('Rig_Schedule_View (2)'!B60,Well_Data_NK_Upcoming!Concatenated_Wellname,0)))</f>
        <v/>
      </c>
      <c r="D60" s="421" t="str">
        <f ca="1">IF(INDEX(Well_Data_NK_Upcoming!$K$2:$K$996,MATCH('Rig_Schedule_View (2)'!B60,Well_Data_NK_Upcoming!Concatenated_Wellname,0))=0,"",INDEX(Well_Data_NK_Upcoming!$K$2:$K$996,MATCH('Rig_Schedule_View (2)'!B60,Well_Data_NK_Upcoming!Concatenated_Wellname,0)))</f>
        <v/>
      </c>
      <c r="E60" s="421" t="str">
        <f ca="1">IF(INDEX(Well_Data_NK_Upcoming!$J$2:$J$996,MATCH('Rig_Schedule_View (2)'!B60,Well_Data_NK_Upcoming!Concatenated_Wellname,0))=0,"",INDEX(Well_Data_NK_Upcoming!$J$2:$J$996,MATCH('Rig_Schedule_View (2)'!B60,Well_Data_NK_Upcoming!Concatenated_Wellname,0)))</f>
        <v/>
      </c>
      <c r="F60" s="421" t="str">
        <f ca="1">IF(INDEX(Well_Data_NK_Upcoming!$L$2:$L$996,MATCH('Rig_Schedule_View (2)'!B60,Well_Data_NK_Upcoming!Concatenated_Wellname,0))=0,"",INDEX(Well_Data_NK_Upcoming!$L$2:$L$996,MATCH('Rig_Schedule_View (2)'!B60,Well_Data_NK_Upcoming!Concatenated_Wellname,0)))</f>
        <v/>
      </c>
      <c r="G60" s="421" t="str">
        <f ca="1">IF(INDEX(Well_Data_NK_Upcoming!$R$2:$R$996,MATCH('Rig_Schedule_View (2)'!B60,Well_Data_NK_Upcoming!Concatenated_Wellname,0))=0,"",INDEX(Well_Data_NK_Upcoming!$R$2:$R$996,MATCH('Rig_Schedule_View (2)'!B60,Well_Data_NK_Upcoming!Concatenated_Wellname,0)))</f>
        <v/>
      </c>
      <c r="H60" s="526">
        <f>RigScheduleTest!$F$6</f>
        <v>42233</v>
      </c>
      <c r="I60" s="459" t="str">
        <f ca="1">IF(INDEX(Well_Data_NK_Upcoming!$O$2:$O$996,MATCH('Rig_Schedule_View (2)'!B60,Well_Data_NK_Upcoming!Concatenated_Wellname,0))=0,"",INDEX(Well_Data_NK_Upcoming!$O$2:$O$996,MATCH('Rig_Schedule_View (2)'!B60,Well_Data_NK_Upcoming!Concatenated_Wellname,0)))</f>
        <v>ETA-OCT</v>
      </c>
      <c r="J60" s="446">
        <f ca="1">RigScheduleTest!$H$6</f>
        <v>42286</v>
      </c>
      <c r="K60" s="574" t="s">
        <v>1917</v>
      </c>
      <c r="L60" s="548" t="s">
        <v>2237</v>
      </c>
      <c r="M60" s="549">
        <v>53</v>
      </c>
      <c r="N60" s="545"/>
      <c r="O60" s="545"/>
      <c r="P60" s="548"/>
      <c r="Q60" s="39"/>
    </row>
    <row r="61" spans="1:17" x14ac:dyDescent="0.25">
      <c r="A61" s="442" t="str">
        <f>RigScheduleTest!$B$6</f>
        <v>KDC-44</v>
      </c>
      <c r="B61" s="441" t="str">
        <f ca="1">RigScheduleTest!$I$6</f>
        <v>SA-0589-SA-MA-Inj-NW-HZ</v>
      </c>
      <c r="C61" s="421" t="str">
        <f ca="1">IF(INDEX(Well_Data_NK_Upcoming!$G$2:$G$996,MATCH('Rig_Schedule_View (2)'!B61,Well_Data_NK_Upcoming!Concatenated_Wellname,0))=0,"",INDEX(Well_Data_NK_Upcoming!$G$2:$G$996,MATCH('Rig_Schedule_View (2)'!B61,Well_Data_NK_Upcoming!Concatenated_Wellname,0)))</f>
        <v>MA</v>
      </c>
      <c r="D61" s="421" t="str">
        <f ca="1">IF(INDEX(Well_Data_NK_Upcoming!$K$2:$K$996,MATCH('Rig_Schedule_View (2)'!B61,Well_Data_NK_Upcoming!Concatenated_Wellname,0))=0,"",INDEX(Well_Data_NK_Upcoming!$K$2:$K$996,MATCH('Rig_Schedule_View (2)'!B61,Well_Data_NK_Upcoming!Concatenated_Wellname,0)))</f>
        <v>NW</v>
      </c>
      <c r="E61" s="421" t="str">
        <f ca="1">IF(INDEX(Well_Data_NK_Upcoming!$J$2:$J$996,MATCH('Rig_Schedule_View (2)'!B61,Well_Data_NK_Upcoming!Concatenated_Wellname,0))=0,"",INDEX(Well_Data_NK_Upcoming!$J$2:$J$996,MATCH('Rig_Schedule_View (2)'!B61,Well_Data_NK_Upcoming!Concatenated_Wellname,0)))</f>
        <v>Inj</v>
      </c>
      <c r="F61" s="421" t="str">
        <f ca="1">IF(INDEX(Well_Data_NK_Upcoming!$L$2:$L$996,MATCH('Rig_Schedule_View (2)'!B61,Well_Data_NK_Upcoming!Concatenated_Wellname,0))=0,"",INDEX(Well_Data_NK_Upcoming!$L$2:$L$996,MATCH('Rig_Schedule_View (2)'!B61,Well_Data_NK_Upcoming!Concatenated_Wellname,0)))</f>
        <v>HZ</v>
      </c>
      <c r="G61" s="421">
        <f ca="1">IF(INDEX(Well_Data_NK_Upcoming!$R$2:$R$996,MATCH('Rig_Schedule_View (2)'!B61,Well_Data_NK_Upcoming!Concatenated_Wellname,0))=0,"",INDEX(Well_Data_NK_Upcoming!$R$2:$R$996,MATCH('Rig_Schedule_View (2)'!B61,Well_Data_NK_Upcoming!Concatenated_Wellname,0)))</f>
        <v>68</v>
      </c>
      <c r="H61" s="526"/>
      <c r="I61" s="440">
        <f ca="1">RigScheduleTest!$L$6</f>
        <v>42291</v>
      </c>
      <c r="J61" s="440">
        <f ca="1">RigScheduleTest!$M$6</f>
        <v>42354</v>
      </c>
      <c r="K61" s="574"/>
      <c r="L61" s="546"/>
      <c r="M61" s="544"/>
      <c r="N61" s="545"/>
      <c r="O61" s="545"/>
      <c r="P61" s="551"/>
    </row>
    <row r="62" spans="1:17" x14ac:dyDescent="0.25">
      <c r="A62" s="442" t="str">
        <f>RigScheduleTest!$B$6</f>
        <v>KDC-44</v>
      </c>
      <c r="B62" s="441" t="str">
        <f ca="1">RigScheduleTest!$O$6</f>
        <v>RA-0594-RA-ZU-Prod-NW-HZ</v>
      </c>
      <c r="C62" s="421" t="str">
        <f ca="1">IF(INDEX(Well_Data_NK_Upcoming!$G$2:$G$996,MATCH('Rig_Schedule_View (2)'!B62,Well_Data_NK_Upcoming!Concatenated_Wellname,0))=0,"",INDEX(Well_Data_NK_Upcoming!$G$2:$G$996,MATCH('Rig_Schedule_View (2)'!B62,Well_Data_NK_Upcoming!Concatenated_Wellname,0)))</f>
        <v>ZU</v>
      </c>
      <c r="D62" s="421" t="str">
        <f ca="1">IF(INDEX(Well_Data_NK_Upcoming!$K$2:$K$996,MATCH('Rig_Schedule_View (2)'!B62,Well_Data_NK_Upcoming!Concatenated_Wellname,0))=0,"",INDEX(Well_Data_NK_Upcoming!$K$2:$K$996,MATCH('Rig_Schedule_View (2)'!B62,Well_Data_NK_Upcoming!Concatenated_Wellname,0)))</f>
        <v>NW</v>
      </c>
      <c r="E62" s="421" t="str">
        <f ca="1">IF(INDEX(Well_Data_NK_Upcoming!$J$2:$J$996,MATCH('Rig_Schedule_View (2)'!B62,Well_Data_NK_Upcoming!Concatenated_Wellname,0))=0,"",INDEX(Well_Data_NK_Upcoming!$J$2:$J$996,MATCH('Rig_Schedule_View (2)'!B62,Well_Data_NK_Upcoming!Concatenated_Wellname,0)))</f>
        <v>Prod</v>
      </c>
      <c r="F62" s="421" t="str">
        <f ca="1">IF(INDEX(Well_Data_NK_Upcoming!$L$2:$L$996,MATCH('Rig_Schedule_View (2)'!B62,Well_Data_NK_Upcoming!Concatenated_Wellname,0))=0,"",INDEX(Well_Data_NK_Upcoming!$L$2:$L$996,MATCH('Rig_Schedule_View (2)'!B62,Well_Data_NK_Upcoming!Concatenated_Wellname,0)))</f>
        <v>HZ</v>
      </c>
      <c r="G62" s="421">
        <f ca="1">IF(INDEX(Well_Data_NK_Upcoming!$R$2:$R$996,MATCH('Rig_Schedule_View (2)'!B62,Well_Data_NK_Upcoming!Concatenated_Wellname,0))=0,"",INDEX(Well_Data_NK_Upcoming!$R$2:$R$996,MATCH('Rig_Schedule_View (2)'!B62,Well_Data_NK_Upcoming!Concatenated_Wellname,0)))</f>
        <v>103</v>
      </c>
      <c r="H62" s="526"/>
      <c r="I62" s="440">
        <f ca="1">RigScheduleTest!$R$6</f>
        <v>42359</v>
      </c>
      <c r="J62" s="440">
        <f ca="1">RigScheduleTest!$S$6</f>
        <v>42457</v>
      </c>
      <c r="K62" s="574"/>
      <c r="L62" s="546"/>
      <c r="M62" s="544"/>
      <c r="N62" s="545"/>
      <c r="O62" s="545"/>
      <c r="P62" s="551"/>
    </row>
    <row r="63" spans="1:17" x14ac:dyDescent="0.25">
      <c r="A63" s="442" t="str">
        <f>RigScheduleTest!$B$6</f>
        <v>KDC-44</v>
      </c>
      <c r="B63" s="442" t="str">
        <f ca="1">RigScheduleTest!$U$6</f>
        <v>RQ-0181-RQ-ZU-Prod-NW</v>
      </c>
      <c r="C63" s="421" t="str">
        <f ca="1">IF(INDEX(Well_Data_NK_Upcoming!$G$2:$G$996,MATCH('Rig_Schedule_View (2)'!B63,Well_Data_NK_Upcoming!Concatenated_Wellname,0))=0,"",INDEX(Well_Data_NK_Upcoming!$G$2:$G$996,MATCH('Rig_Schedule_View (2)'!B63,Well_Data_NK_Upcoming!Concatenated_Wellname,0)))</f>
        <v>ZU</v>
      </c>
      <c r="D63" s="421" t="str">
        <f ca="1">IF(INDEX(Well_Data_NK_Upcoming!$K$2:$K$996,MATCH('Rig_Schedule_View (2)'!B63,Well_Data_NK_Upcoming!Concatenated_Wellname,0))=0,"",INDEX(Well_Data_NK_Upcoming!$K$2:$K$996,MATCH('Rig_Schedule_View (2)'!B63,Well_Data_NK_Upcoming!Concatenated_Wellname,0)))</f>
        <v>NW</v>
      </c>
      <c r="E63" s="421" t="str">
        <f ca="1">IF(INDEX(Well_Data_NK_Upcoming!$J$2:$J$996,MATCH('Rig_Schedule_View (2)'!B63,Well_Data_NK_Upcoming!Concatenated_Wellname,0))=0,"",INDEX(Well_Data_NK_Upcoming!$J$2:$J$996,MATCH('Rig_Schedule_View (2)'!B63,Well_Data_NK_Upcoming!Concatenated_Wellname,0)))</f>
        <v>Prod</v>
      </c>
      <c r="F63" s="421" t="str">
        <f ca="1">IF(INDEX(Well_Data_NK_Upcoming!$L$2:$L$996,MATCH('Rig_Schedule_View (2)'!B63,Well_Data_NK_Upcoming!Concatenated_Wellname,0))=0,"",INDEX(Well_Data_NK_Upcoming!$L$2:$L$996,MATCH('Rig_Schedule_View (2)'!B63,Well_Data_NK_Upcoming!Concatenated_Wellname,0)))</f>
        <v/>
      </c>
      <c r="G63" s="421">
        <f ca="1">IF(INDEX(Well_Data_NK_Upcoming!$R$2:$R$996,MATCH('Rig_Schedule_View (2)'!B63,Well_Data_NK_Upcoming!Concatenated_Wellname,0))=0,"",INDEX(Well_Data_NK_Upcoming!$R$2:$R$996,MATCH('Rig_Schedule_View (2)'!B63,Well_Data_NK_Upcoming!Concatenated_Wellname,0)))</f>
        <v>103</v>
      </c>
      <c r="H63" s="526"/>
      <c r="I63" s="443">
        <f ca="1">RigScheduleTest!$X$6</f>
        <v>42462</v>
      </c>
      <c r="J63" s="443">
        <f ca="1">RigScheduleTest!$Y$6</f>
        <v>42560</v>
      </c>
      <c r="K63" s="574"/>
      <c r="L63" s="546" t="s">
        <v>2406</v>
      </c>
      <c r="M63" s="544"/>
      <c r="N63" s="545"/>
      <c r="O63" s="545"/>
      <c r="P63" s="551"/>
    </row>
    <row r="64" spans="1:17" x14ac:dyDescent="0.25">
      <c r="A64" s="442" t="str">
        <f>RigScheduleTest!$B$6</f>
        <v>KDC-44</v>
      </c>
      <c r="B64" s="442" t="str">
        <f ca="1">RigScheduleTest!$AA$6</f>
        <v>Rig-mov-exploration</v>
      </c>
      <c r="C64" s="421" t="str">
        <f ca="1">IF(INDEX(Well_Data_NK_Upcoming!$G$2:$G$996,MATCH('Rig_Schedule_View (2)'!B64,Well_Data_NK_Upcoming!Concatenated_Wellname,0))=0,"",INDEX(Well_Data_NK_Upcoming!$G$2:$G$996,MATCH('Rig_Schedule_View (2)'!B64,Well_Data_NK_Upcoming!Concatenated_Wellname,0)))</f>
        <v/>
      </c>
      <c r="D64" s="421" t="str">
        <f ca="1">IF(INDEX(Well_Data_NK_Upcoming!$K$2:$K$996,MATCH('Rig_Schedule_View (2)'!B64,Well_Data_NK_Upcoming!Concatenated_Wellname,0))=0,"",INDEX(Well_Data_NK_Upcoming!$K$2:$K$996,MATCH('Rig_Schedule_View (2)'!B64,Well_Data_NK_Upcoming!Concatenated_Wellname,0)))</f>
        <v/>
      </c>
      <c r="E64" s="421" t="str">
        <f ca="1">IF(INDEX(Well_Data_NK_Upcoming!$J$2:$J$996,MATCH('Rig_Schedule_View (2)'!B64,Well_Data_NK_Upcoming!Concatenated_Wellname,0))=0,"",INDEX(Well_Data_NK_Upcoming!$J$2:$J$996,MATCH('Rig_Schedule_View (2)'!B64,Well_Data_NK_Upcoming!Concatenated_Wellname,0)))</f>
        <v/>
      </c>
      <c r="F64" s="421" t="str">
        <f ca="1">IF(INDEX(Well_Data_NK_Upcoming!$L$2:$L$996,MATCH('Rig_Schedule_View (2)'!B64,Well_Data_NK_Upcoming!Concatenated_Wellname,0))=0,"",INDEX(Well_Data_NK_Upcoming!$L$2:$L$996,MATCH('Rig_Schedule_View (2)'!B64,Well_Data_NK_Upcoming!Concatenated_Wellname,0)))</f>
        <v/>
      </c>
      <c r="G64" s="421" t="str">
        <f ca="1">IF(INDEX(Well_Data_NK_Upcoming!$R$2:$R$996,MATCH('Rig_Schedule_View (2)'!B64,Well_Data_NK_Upcoming!Concatenated_Wellname,0))=0,"",INDEX(Well_Data_NK_Upcoming!$R$2:$R$996,MATCH('Rig_Schedule_View (2)'!B64,Well_Data_NK_Upcoming!Concatenated_Wellname,0)))</f>
        <v/>
      </c>
      <c r="H64" s="526"/>
      <c r="I64" s="443" t="str">
        <f ca="1">RigScheduleTest!$AD$6</f>
        <v/>
      </c>
      <c r="J64" s="443" t="str">
        <f ca="1">RigScheduleTest!$AE$6</f>
        <v/>
      </c>
      <c r="K64" s="574"/>
      <c r="L64" s="546"/>
      <c r="M64" s="544"/>
      <c r="N64" s="545"/>
      <c r="O64" s="545"/>
      <c r="P64" s="551"/>
    </row>
    <row r="65" spans="1:16" x14ac:dyDescent="0.25">
      <c r="A65" s="442" t="str">
        <f>RigScheduleTest!$B$6</f>
        <v>KDC-44</v>
      </c>
      <c r="B65" s="442" t="str">
        <f ca="1">RigScheduleTest!$AG$6</f>
        <v>RA13-RA-MA-Prod-NW-HZ-SLB</v>
      </c>
      <c r="C65" s="421" t="str">
        <f ca="1">IF(INDEX(Well_Data_NK_Upcoming!$G$2:$G$996,MATCH('Rig_Schedule_View (2)'!B65,Well_Data_NK_Upcoming!Concatenated_Wellname,0))=0,"",INDEX(Well_Data_NK_Upcoming!$G$2:$G$996,MATCH('Rig_Schedule_View (2)'!B65,Well_Data_NK_Upcoming!Concatenated_Wellname,0)))</f>
        <v>MA</v>
      </c>
      <c r="D65" s="421" t="str">
        <f ca="1">IF(INDEX(Well_Data_NK_Upcoming!$K$2:$K$996,MATCH('Rig_Schedule_View (2)'!B65,Well_Data_NK_Upcoming!Concatenated_Wellname,0))=0,"",INDEX(Well_Data_NK_Upcoming!$K$2:$K$996,MATCH('Rig_Schedule_View (2)'!B65,Well_Data_NK_Upcoming!Concatenated_Wellname,0)))</f>
        <v>NW</v>
      </c>
      <c r="E65" s="421" t="str">
        <f ca="1">IF(INDEX(Well_Data_NK_Upcoming!$J$2:$J$996,MATCH('Rig_Schedule_View (2)'!B65,Well_Data_NK_Upcoming!Concatenated_Wellname,0))=0,"",INDEX(Well_Data_NK_Upcoming!$J$2:$J$996,MATCH('Rig_Schedule_View (2)'!B65,Well_Data_NK_Upcoming!Concatenated_Wellname,0)))</f>
        <v>Prod</v>
      </c>
      <c r="F65" s="421" t="str">
        <f ca="1">IF(INDEX(Well_Data_NK_Upcoming!$L$2:$L$996,MATCH('Rig_Schedule_View (2)'!B65,Well_Data_NK_Upcoming!Concatenated_Wellname,0))=0,"",INDEX(Well_Data_NK_Upcoming!$L$2:$L$996,MATCH('Rig_Schedule_View (2)'!B65,Well_Data_NK_Upcoming!Concatenated_Wellname,0)))</f>
        <v>HZ</v>
      </c>
      <c r="G65" s="421">
        <f ca="1">IF(INDEX(Well_Data_NK_Upcoming!$R$2:$R$996,MATCH('Rig_Schedule_View (2)'!B65,Well_Data_NK_Upcoming!Concatenated_Wellname,0))=0,"",INDEX(Well_Data_NK_Upcoming!$R$2:$R$996,MATCH('Rig_Schedule_View (2)'!B65,Well_Data_NK_Upcoming!Concatenated_Wellname,0)))</f>
        <v>75</v>
      </c>
      <c r="H65" s="526"/>
      <c r="I65" s="443" t="str">
        <f ca="1">RigScheduleTest!$AJ$6</f>
        <v/>
      </c>
      <c r="J65" s="443" t="str">
        <f ca="1">RigScheduleTest!$AK$6</f>
        <v/>
      </c>
      <c r="K65" s="574"/>
      <c r="L65" s="546"/>
      <c r="M65" s="544"/>
      <c r="N65" s="545"/>
      <c r="O65" s="545"/>
      <c r="P65" s="551"/>
    </row>
    <row r="66" spans="1:16" x14ac:dyDescent="0.25">
      <c r="A66" s="442" t="str">
        <f>RigScheduleTest!$B$6</f>
        <v>KDC-44</v>
      </c>
      <c r="B66" s="442" t="str">
        <f ca="1">RigScheduleTest!$AM$6</f>
        <v>SA29-SA-RT-Inj-NW-HZ</v>
      </c>
      <c r="C66" s="421" t="str">
        <f ca="1">IF(INDEX(Well_Data_NK_Upcoming!$G$2:$G$996,MATCH('Rig_Schedule_View (2)'!B66,Well_Data_NK_Upcoming!Concatenated_Wellname,0))=0,"",INDEX(Well_Data_NK_Upcoming!$G$2:$G$996,MATCH('Rig_Schedule_View (2)'!B66,Well_Data_NK_Upcoming!Concatenated_Wellname,0)))</f>
        <v>RT</v>
      </c>
      <c r="D66" s="421" t="str">
        <f ca="1">IF(INDEX(Well_Data_NK_Upcoming!$K$2:$K$996,MATCH('Rig_Schedule_View (2)'!B66,Well_Data_NK_Upcoming!Concatenated_Wellname,0))=0,"",INDEX(Well_Data_NK_Upcoming!$K$2:$K$996,MATCH('Rig_Schedule_View (2)'!B66,Well_Data_NK_Upcoming!Concatenated_Wellname,0)))</f>
        <v>NW</v>
      </c>
      <c r="E66" s="421" t="str">
        <f ca="1">IF(INDEX(Well_Data_NK_Upcoming!$J$2:$J$996,MATCH('Rig_Schedule_View (2)'!B66,Well_Data_NK_Upcoming!Concatenated_Wellname,0))=0,"",INDEX(Well_Data_NK_Upcoming!$J$2:$J$996,MATCH('Rig_Schedule_View (2)'!B66,Well_Data_NK_Upcoming!Concatenated_Wellname,0)))</f>
        <v>Inj</v>
      </c>
      <c r="F66" s="421" t="str">
        <f ca="1">IF(INDEX(Well_Data_NK_Upcoming!$L$2:$L$996,MATCH('Rig_Schedule_View (2)'!B66,Well_Data_NK_Upcoming!Concatenated_Wellname,0))=0,"",INDEX(Well_Data_NK_Upcoming!$L$2:$L$996,MATCH('Rig_Schedule_View (2)'!B66,Well_Data_NK_Upcoming!Concatenated_Wellname,0)))</f>
        <v>HZ</v>
      </c>
      <c r="G66" s="421" t="str">
        <f ca="1">IF(INDEX(Well_Data_NK_Upcoming!$R$2:$R$996,MATCH('Rig_Schedule_View (2)'!B66,Well_Data_NK_Upcoming!Concatenated_Wellname,0))=0,"",INDEX(Well_Data_NK_Upcoming!$R$2:$R$996,MATCH('Rig_Schedule_View (2)'!B66,Well_Data_NK_Upcoming!Concatenated_Wellname,0)))</f>
        <v/>
      </c>
      <c r="H66" s="526"/>
      <c r="I66" s="443" t="str">
        <f ca="1">RigScheduleTest!$AP$6</f>
        <v/>
      </c>
      <c r="J66" s="443" t="str">
        <f ca="1">RigScheduleTest!$AQ$6</f>
        <v/>
      </c>
      <c r="K66" s="574"/>
      <c r="L66" s="546"/>
      <c r="M66" s="544"/>
      <c r="N66" s="545"/>
      <c r="O66" s="545"/>
      <c r="P66" s="551"/>
    </row>
    <row r="67" spans="1:16" x14ac:dyDescent="0.25">
      <c r="A67" s="442" t="str">
        <f>RigScheduleTest!$B$6</f>
        <v>KDC-44</v>
      </c>
      <c r="B67" s="442" t="str">
        <f ca="1">RigScheduleTest!$AS$6</f>
        <v/>
      </c>
      <c r="C67" s="421" t="str">
        <f ca="1">IF(INDEX(Well_Data_NK_Upcoming!$G$2:$G$996,MATCH('Rig_Schedule_View (2)'!B67,Well_Data_NK_Upcoming!Concatenated_Wellname,0))=0,"",INDEX(Well_Data_NK_Upcoming!$G$2:$G$996,MATCH('Rig_Schedule_View (2)'!B67,Well_Data_NK_Upcoming!Concatenated_Wellname,0)))</f>
        <v/>
      </c>
      <c r="D67" s="421" t="str">
        <f ca="1">IF(INDEX(Well_Data_NK_Upcoming!$K$2:$K$996,MATCH('Rig_Schedule_View (2)'!B67,Well_Data_NK_Upcoming!Concatenated_Wellname,0))=0,"",INDEX(Well_Data_NK_Upcoming!$K$2:$K$996,MATCH('Rig_Schedule_View (2)'!B67,Well_Data_NK_Upcoming!Concatenated_Wellname,0)))</f>
        <v/>
      </c>
      <c r="E67" s="421" t="str">
        <f ca="1">IF(INDEX(Well_Data_NK_Upcoming!$J$2:$J$996,MATCH('Rig_Schedule_View (2)'!B67,Well_Data_NK_Upcoming!Concatenated_Wellname,0))=0,"",INDEX(Well_Data_NK_Upcoming!$J$2:$J$996,MATCH('Rig_Schedule_View (2)'!B67,Well_Data_NK_Upcoming!Concatenated_Wellname,0)))</f>
        <v/>
      </c>
      <c r="F67" s="421" t="str">
        <f ca="1">IF(INDEX(Well_Data_NK_Upcoming!$L$2:$L$996,MATCH('Rig_Schedule_View (2)'!B67,Well_Data_NK_Upcoming!Concatenated_Wellname,0))=0,"",INDEX(Well_Data_NK_Upcoming!$L$2:$L$996,MATCH('Rig_Schedule_View (2)'!B67,Well_Data_NK_Upcoming!Concatenated_Wellname,0)))</f>
        <v/>
      </c>
      <c r="G67" s="421" t="str">
        <f ca="1">IF(INDEX(Well_Data_NK_Upcoming!$R$2:$R$996,MATCH('Rig_Schedule_View (2)'!B67,Well_Data_NK_Upcoming!Concatenated_Wellname,0))=0,"",INDEX(Well_Data_NK_Upcoming!$R$2:$R$996,MATCH('Rig_Schedule_View (2)'!B67,Well_Data_NK_Upcoming!Concatenated_Wellname,0)))</f>
        <v/>
      </c>
      <c r="H67" s="526"/>
      <c r="I67" s="443" t="str">
        <f ca="1">RigScheduleTest!$AV$6</f>
        <v/>
      </c>
      <c r="J67" s="443" t="str">
        <f ca="1">RigScheduleTest!$AW$6</f>
        <v/>
      </c>
      <c r="K67" s="574"/>
      <c r="L67" s="546"/>
      <c r="M67" s="544"/>
      <c r="N67" s="545"/>
      <c r="O67" s="545"/>
      <c r="P67" s="551"/>
    </row>
    <row r="68" spans="1:16" x14ac:dyDescent="0.25">
      <c r="A68" s="442" t="str">
        <f>RigScheduleTest!$B$6</f>
        <v>KDC-44</v>
      </c>
      <c r="B68" s="442" t="str">
        <f ca="1">RigScheduleTest!$AY$6</f>
        <v/>
      </c>
      <c r="C68" s="421" t="str">
        <f ca="1">IF(INDEX(Well_Data_NK_Upcoming!$G$2:$G$996,MATCH('Rig_Schedule_View (2)'!B68,Well_Data_NK_Upcoming!Concatenated_Wellname,0))=0,"",INDEX(Well_Data_NK_Upcoming!$G$2:$G$996,MATCH('Rig_Schedule_View (2)'!B68,Well_Data_NK_Upcoming!Concatenated_Wellname,0)))</f>
        <v/>
      </c>
      <c r="D68" s="421" t="str">
        <f ca="1">IF(INDEX(Well_Data_NK_Upcoming!$K$2:$K$996,MATCH('Rig_Schedule_View (2)'!B68,Well_Data_NK_Upcoming!Concatenated_Wellname,0))=0,"",INDEX(Well_Data_NK_Upcoming!$K$2:$K$996,MATCH('Rig_Schedule_View (2)'!B68,Well_Data_NK_Upcoming!Concatenated_Wellname,0)))</f>
        <v/>
      </c>
      <c r="E68" s="421" t="str">
        <f ca="1">IF(INDEX(Well_Data_NK_Upcoming!$J$2:$J$996,MATCH('Rig_Schedule_View (2)'!B68,Well_Data_NK_Upcoming!Concatenated_Wellname,0))=0,"",INDEX(Well_Data_NK_Upcoming!$J$2:$J$996,MATCH('Rig_Schedule_View (2)'!B68,Well_Data_NK_Upcoming!Concatenated_Wellname,0)))</f>
        <v/>
      </c>
      <c r="F68" s="421" t="str">
        <f ca="1">IF(INDEX(Well_Data_NK_Upcoming!$L$2:$L$996,MATCH('Rig_Schedule_View (2)'!B68,Well_Data_NK_Upcoming!Concatenated_Wellname,0))=0,"",INDEX(Well_Data_NK_Upcoming!$L$2:$L$996,MATCH('Rig_Schedule_View (2)'!B68,Well_Data_NK_Upcoming!Concatenated_Wellname,0)))</f>
        <v/>
      </c>
      <c r="G68" s="421" t="str">
        <f ca="1">IF(INDEX(Well_Data_NK_Upcoming!$R$2:$R$996,MATCH('Rig_Schedule_View (2)'!B68,Well_Data_NK_Upcoming!Concatenated_Wellname,0))=0,"",INDEX(Well_Data_NK_Upcoming!$R$2:$R$996,MATCH('Rig_Schedule_View (2)'!B68,Well_Data_NK_Upcoming!Concatenated_Wellname,0)))</f>
        <v/>
      </c>
      <c r="H68" s="526"/>
      <c r="I68" s="443" t="str">
        <f ca="1">RigScheduleTest!$BB$6</f>
        <v/>
      </c>
      <c r="J68" s="443" t="str">
        <f ca="1">RigScheduleTest!$BC$6</f>
        <v/>
      </c>
      <c r="K68" s="574"/>
      <c r="L68" s="546"/>
      <c r="M68" s="544"/>
      <c r="N68" s="545"/>
      <c r="O68" s="545"/>
      <c r="P68" s="551"/>
    </row>
    <row r="69" spans="1:16" x14ac:dyDescent="0.25">
      <c r="A69" s="442" t="str">
        <f>RigScheduleTest!$B$6</f>
        <v>KDC-44</v>
      </c>
      <c r="B69" s="442" t="str">
        <f ca="1">RigScheduleTest!$BE$6</f>
        <v/>
      </c>
      <c r="C69" s="421" t="str">
        <f ca="1">IF(INDEX(Well_Data_NK_Upcoming!$G$2:$G$996,MATCH('Rig_Schedule_View (2)'!B69,Well_Data_NK_Upcoming!Concatenated_Wellname,0))=0,"",INDEX(Well_Data_NK_Upcoming!$G$2:$G$996,MATCH('Rig_Schedule_View (2)'!B69,Well_Data_NK_Upcoming!Concatenated_Wellname,0)))</f>
        <v/>
      </c>
      <c r="D69" s="421" t="str">
        <f ca="1">IF(INDEX(Well_Data_NK_Upcoming!$K$2:$K$996,MATCH('Rig_Schedule_View (2)'!B69,Well_Data_NK_Upcoming!Concatenated_Wellname,0))=0,"",INDEX(Well_Data_NK_Upcoming!$K$2:$K$996,MATCH('Rig_Schedule_View (2)'!B69,Well_Data_NK_Upcoming!Concatenated_Wellname,0)))</f>
        <v/>
      </c>
      <c r="E69" s="421" t="str">
        <f ca="1">IF(INDEX(Well_Data_NK_Upcoming!$J$2:$J$996,MATCH('Rig_Schedule_View (2)'!B69,Well_Data_NK_Upcoming!Concatenated_Wellname,0))=0,"",INDEX(Well_Data_NK_Upcoming!$J$2:$J$996,MATCH('Rig_Schedule_View (2)'!B69,Well_Data_NK_Upcoming!Concatenated_Wellname,0)))</f>
        <v/>
      </c>
      <c r="F69" s="421" t="str">
        <f ca="1">IF(INDEX(Well_Data_NK_Upcoming!$L$2:$L$996,MATCH('Rig_Schedule_View (2)'!B69,Well_Data_NK_Upcoming!Concatenated_Wellname,0))=0,"",INDEX(Well_Data_NK_Upcoming!$L$2:$L$996,MATCH('Rig_Schedule_View (2)'!B69,Well_Data_NK_Upcoming!Concatenated_Wellname,0)))</f>
        <v/>
      </c>
      <c r="G69" s="421" t="str">
        <f ca="1">IF(INDEX(Well_Data_NK_Upcoming!$R$2:$R$996,MATCH('Rig_Schedule_View (2)'!B69,Well_Data_NK_Upcoming!Concatenated_Wellname,0))=0,"",INDEX(Well_Data_NK_Upcoming!$R$2:$R$996,MATCH('Rig_Schedule_View (2)'!B69,Well_Data_NK_Upcoming!Concatenated_Wellname,0)))</f>
        <v/>
      </c>
      <c r="H69" s="526"/>
      <c r="I69" s="443" t="str">
        <f ca="1">RigScheduleTest!$BH$6</f>
        <v/>
      </c>
      <c r="J69" s="443" t="str">
        <f ca="1">RigScheduleTest!$BI$6</f>
        <v/>
      </c>
      <c r="K69" s="574"/>
      <c r="L69" s="546"/>
      <c r="M69" s="544"/>
      <c r="N69" s="545"/>
      <c r="O69" s="545"/>
      <c r="P69" s="551"/>
    </row>
    <row r="70" spans="1:16" x14ac:dyDescent="0.25">
      <c r="A70" s="442" t="str">
        <f>RigScheduleTest!$B$6</f>
        <v>KDC-44</v>
      </c>
      <c r="B70" s="442" t="str">
        <f ca="1">RigScheduleTest!$BK$6</f>
        <v/>
      </c>
      <c r="C70" s="421" t="str">
        <f ca="1">IF(INDEX(Well_Data_NK_Upcoming!$G$2:$G$996,MATCH('Rig_Schedule_View (2)'!B70,Well_Data_NK_Upcoming!Concatenated_Wellname,0))=0,"",INDEX(Well_Data_NK_Upcoming!$G$2:$G$996,MATCH('Rig_Schedule_View (2)'!B70,Well_Data_NK_Upcoming!Concatenated_Wellname,0)))</f>
        <v/>
      </c>
      <c r="D70" s="421" t="str">
        <f ca="1">IF(INDEX(Well_Data_NK_Upcoming!$K$2:$K$996,MATCH('Rig_Schedule_View (2)'!B70,Well_Data_NK_Upcoming!Concatenated_Wellname,0))=0,"",INDEX(Well_Data_NK_Upcoming!$K$2:$K$996,MATCH('Rig_Schedule_View (2)'!B70,Well_Data_NK_Upcoming!Concatenated_Wellname,0)))</f>
        <v/>
      </c>
      <c r="E70" s="421" t="str">
        <f ca="1">IF(INDEX(Well_Data_NK_Upcoming!$J$2:$J$996,MATCH('Rig_Schedule_View (2)'!B70,Well_Data_NK_Upcoming!Concatenated_Wellname,0))=0,"",INDEX(Well_Data_NK_Upcoming!$J$2:$J$996,MATCH('Rig_Schedule_View (2)'!B70,Well_Data_NK_Upcoming!Concatenated_Wellname,0)))</f>
        <v/>
      </c>
      <c r="F70" s="421" t="str">
        <f ca="1">IF(INDEX(Well_Data_NK_Upcoming!$L$2:$L$996,MATCH('Rig_Schedule_View (2)'!B70,Well_Data_NK_Upcoming!Concatenated_Wellname,0))=0,"",INDEX(Well_Data_NK_Upcoming!$L$2:$L$996,MATCH('Rig_Schedule_View (2)'!B70,Well_Data_NK_Upcoming!Concatenated_Wellname,0)))</f>
        <v/>
      </c>
      <c r="G70" s="421" t="str">
        <f ca="1">IF(INDEX(Well_Data_NK_Upcoming!$R$2:$R$996,MATCH('Rig_Schedule_View (2)'!B70,Well_Data_NK_Upcoming!Concatenated_Wellname,0))=0,"",INDEX(Well_Data_NK_Upcoming!$R$2:$R$996,MATCH('Rig_Schedule_View (2)'!B70,Well_Data_NK_Upcoming!Concatenated_Wellname,0)))</f>
        <v/>
      </c>
      <c r="H70" s="526"/>
      <c r="I70" s="443" t="str">
        <f ca="1">RigScheduleTest!$BN$6</f>
        <v/>
      </c>
      <c r="J70" s="443" t="str">
        <f ca="1">RigScheduleTest!$BO$6</f>
        <v/>
      </c>
      <c r="K70" s="574"/>
      <c r="L70" s="546"/>
      <c r="M70" s="544"/>
      <c r="N70" s="545"/>
      <c r="O70" s="545"/>
      <c r="P70" s="551"/>
    </row>
    <row r="71" spans="1:16" x14ac:dyDescent="0.25">
      <c r="A71" s="437" t="str">
        <f>RigScheduleTest!$B$1</f>
        <v>RIG</v>
      </c>
      <c r="B71" s="437" t="str">
        <f>$K$1</f>
        <v>Development Drilling</v>
      </c>
      <c r="C71" s="437" t="s">
        <v>1831</v>
      </c>
      <c r="D71" s="437" t="s">
        <v>867</v>
      </c>
      <c r="E71" s="437" t="s">
        <v>8</v>
      </c>
      <c r="F71" s="437" t="s">
        <v>2</v>
      </c>
      <c r="G71" s="437" t="s">
        <v>1513</v>
      </c>
      <c r="H71" s="438" t="str">
        <f>$K$3</f>
        <v>Rig Deployment Meeting</v>
      </c>
      <c r="I71" s="439" t="str">
        <f>$K$5</f>
        <v>Start</v>
      </c>
      <c r="J71" s="439" t="str">
        <f>$K$6</f>
        <v>End</v>
      </c>
      <c r="K71" s="444" t="s">
        <v>1068</v>
      </c>
      <c r="L71" s="444" t="s">
        <v>1577</v>
      </c>
      <c r="M71" s="496" t="s">
        <v>1934</v>
      </c>
      <c r="N71" s="504" t="s">
        <v>1940</v>
      </c>
      <c r="O71" s="504" t="s">
        <v>1941</v>
      </c>
      <c r="P71" s="502"/>
    </row>
    <row r="72" spans="1:16" x14ac:dyDescent="0.25">
      <c r="A72" s="442" t="str">
        <f>RigScheduleTest!$B$7</f>
        <v>KDC-49</v>
      </c>
      <c r="B72" s="421" t="str">
        <f ca="1">RigScheduleTest!$D$7</f>
        <v>SA-0587-SA-MA-Prod-NW-HZ-BHI</v>
      </c>
      <c r="C72" s="421" t="str">
        <f ca="1">IF(INDEX(Well_Data_NK_Upcoming!$G$2:$G$996,MATCH('Rig_Schedule_View (2)'!B72,Well_Data_NK_Upcoming!Concatenated_Wellname,0))=0,"",INDEX(Well_Data_NK_Upcoming!$G$2:$G$996,MATCH('Rig_Schedule_View (2)'!B72,Well_Data_NK_Upcoming!Concatenated_Wellname,0)))</f>
        <v>MA</v>
      </c>
      <c r="D72" s="421" t="str">
        <f ca="1">IF(INDEX(Well_Data_NK_Upcoming!$K$2:$K$996,MATCH('Rig_Schedule_View (2)'!B72,Well_Data_NK_Upcoming!Concatenated_Wellname,0))=0,"",INDEX(Well_Data_NK_Upcoming!$K$2:$K$996,MATCH('Rig_Schedule_View (2)'!B72,Well_Data_NK_Upcoming!Concatenated_Wellname,0)))</f>
        <v>NW</v>
      </c>
      <c r="E72" s="421" t="str">
        <f ca="1">IF(INDEX(Well_Data_NK_Upcoming!$J$2:$J$996,MATCH('Rig_Schedule_View (2)'!B72,Well_Data_NK_Upcoming!Concatenated_Wellname,0))=0,"",INDEX(Well_Data_NK_Upcoming!$J$2:$J$996,MATCH('Rig_Schedule_View (2)'!B72,Well_Data_NK_Upcoming!Concatenated_Wellname,0)))</f>
        <v>Prod</v>
      </c>
      <c r="F72" s="421" t="str">
        <f ca="1">IF(INDEX(Well_Data_NK_Upcoming!$L$2:$L$996,MATCH('Rig_Schedule_View (2)'!B72,Well_Data_NK_Upcoming!Concatenated_Wellname,0))=0,"",INDEX(Well_Data_NK_Upcoming!$L$2:$L$996,MATCH('Rig_Schedule_View (2)'!B72,Well_Data_NK_Upcoming!Concatenated_Wellname,0)))</f>
        <v>HZ</v>
      </c>
      <c r="G72" s="421">
        <f ca="1">IF(INDEX(Well_Data_NK_Upcoming!$R$2:$R$996,MATCH('Rig_Schedule_View (2)'!B72,Well_Data_NK_Upcoming!Concatenated_Wellname,0))=0,"",INDEX(Well_Data_NK_Upcoming!$R$2:$R$996,MATCH('Rig_Schedule_View (2)'!B72,Well_Data_NK_Upcoming!Concatenated_Wellname,0)))</f>
        <v>75</v>
      </c>
      <c r="H72" s="526">
        <f>RigScheduleTest!$F$7</f>
        <v>42233</v>
      </c>
      <c r="I72" s="459" t="str">
        <f ca="1">IF(INDEX(Well_Data_NK_Upcoming!$O$2:$O$996,MATCH('Rig_Schedule_View (2)'!B72,Well_Data_NK_Upcoming!Concatenated_Wellname,0))=0,"",INDEX(Well_Data_NK_Upcoming!$O$2:$O$996,MATCH('Rig_Schedule_View (2)'!B72,Well_Data_NK_Upcoming!Concatenated_Wellname,0)))</f>
        <v>RigMove</v>
      </c>
      <c r="J72" s="446">
        <f ca="1">RigScheduleTest!$H$7</f>
        <v>42273</v>
      </c>
      <c r="K72" s="574" t="s">
        <v>1917</v>
      </c>
      <c r="L72" s="543"/>
      <c r="M72" s="544">
        <v>40</v>
      </c>
      <c r="N72" s="545"/>
      <c r="O72" s="545"/>
      <c r="P72" s="551"/>
    </row>
    <row r="73" spans="1:16" x14ac:dyDescent="0.25">
      <c r="A73" s="442" t="str">
        <f>RigScheduleTest!$B$7</f>
        <v>KDC-49</v>
      </c>
      <c r="B73" s="441" t="str">
        <f ca="1">RigScheduleTest!$I$7</f>
        <v>SA-0593-SA-MA-Prod-NW-HZ-SLB</v>
      </c>
      <c r="C73" s="421" t="str">
        <f ca="1">IF(INDEX(Well_Data_NK_Upcoming!$G$2:$G$996,MATCH('Rig_Schedule_View (2)'!B73,Well_Data_NK_Upcoming!Concatenated_Wellname,0))=0,"",INDEX(Well_Data_NK_Upcoming!$G$2:$G$996,MATCH('Rig_Schedule_View (2)'!B73,Well_Data_NK_Upcoming!Concatenated_Wellname,0)))</f>
        <v>MA</v>
      </c>
      <c r="D73" s="421" t="str">
        <f ca="1">IF(INDEX(Well_Data_NK_Upcoming!$K$2:$K$996,MATCH('Rig_Schedule_View (2)'!B73,Well_Data_NK_Upcoming!Concatenated_Wellname,0))=0,"",INDEX(Well_Data_NK_Upcoming!$K$2:$K$996,MATCH('Rig_Schedule_View (2)'!B73,Well_Data_NK_Upcoming!Concatenated_Wellname,0)))</f>
        <v>NW</v>
      </c>
      <c r="E73" s="421" t="str">
        <f ca="1">IF(INDEX(Well_Data_NK_Upcoming!$J$2:$J$996,MATCH('Rig_Schedule_View (2)'!B73,Well_Data_NK_Upcoming!Concatenated_Wellname,0))=0,"",INDEX(Well_Data_NK_Upcoming!$J$2:$J$996,MATCH('Rig_Schedule_View (2)'!B73,Well_Data_NK_Upcoming!Concatenated_Wellname,0)))</f>
        <v>Prod</v>
      </c>
      <c r="F73" s="421" t="str">
        <f ca="1">IF(INDEX(Well_Data_NK_Upcoming!$L$2:$L$996,MATCH('Rig_Schedule_View (2)'!B73,Well_Data_NK_Upcoming!Concatenated_Wellname,0))=0,"",INDEX(Well_Data_NK_Upcoming!$L$2:$L$996,MATCH('Rig_Schedule_View (2)'!B73,Well_Data_NK_Upcoming!Concatenated_Wellname,0)))</f>
        <v>HZ</v>
      </c>
      <c r="G73" s="421">
        <f ca="1">IF(INDEX(Well_Data_NK_Upcoming!$R$2:$R$996,MATCH('Rig_Schedule_View (2)'!B73,Well_Data_NK_Upcoming!Concatenated_Wellname,0))=0,"",INDEX(Well_Data_NK_Upcoming!$R$2:$R$996,MATCH('Rig_Schedule_View (2)'!B73,Well_Data_NK_Upcoming!Concatenated_Wellname,0)))</f>
        <v>75</v>
      </c>
      <c r="H73" s="526"/>
      <c r="I73" s="440">
        <f ca="1">RigScheduleTest!$L$7</f>
        <v>42278</v>
      </c>
      <c r="J73" s="440">
        <f ca="1">RigScheduleTest!$M$7</f>
        <v>42348</v>
      </c>
      <c r="K73" s="574"/>
      <c r="L73" s="546"/>
      <c r="M73" s="544"/>
      <c r="N73" s="545"/>
      <c r="O73" s="545" t="s">
        <v>2218</v>
      </c>
      <c r="P73" s="551"/>
    </row>
    <row r="74" spans="1:16" x14ac:dyDescent="0.25">
      <c r="A74" s="442" t="str">
        <f>RigScheduleTest!$B$7</f>
        <v>KDC-49</v>
      </c>
      <c r="B74" s="441" t="str">
        <f ca="1">RigScheduleTest!$O$7</f>
        <v>RA6-RA-MA-Prod-NW-HZ-SLB</v>
      </c>
      <c r="C74" s="421" t="str">
        <f ca="1">IF(INDEX(Well_Data_NK_Upcoming!$G$2:$G$996,MATCH('Rig_Schedule_View (2)'!B74,Well_Data_NK_Upcoming!Concatenated_Wellname,0))=0,"",INDEX(Well_Data_NK_Upcoming!$G$2:$G$996,MATCH('Rig_Schedule_View (2)'!B74,Well_Data_NK_Upcoming!Concatenated_Wellname,0)))</f>
        <v>MA</v>
      </c>
      <c r="D74" s="421" t="str">
        <f ca="1">IF(INDEX(Well_Data_NK_Upcoming!$K$2:$K$996,MATCH('Rig_Schedule_View (2)'!B74,Well_Data_NK_Upcoming!Concatenated_Wellname,0))=0,"",INDEX(Well_Data_NK_Upcoming!$K$2:$K$996,MATCH('Rig_Schedule_View (2)'!B74,Well_Data_NK_Upcoming!Concatenated_Wellname,0)))</f>
        <v>NW</v>
      </c>
      <c r="E74" s="421" t="str">
        <f ca="1">IF(INDEX(Well_Data_NK_Upcoming!$J$2:$J$996,MATCH('Rig_Schedule_View (2)'!B74,Well_Data_NK_Upcoming!Concatenated_Wellname,0))=0,"",INDEX(Well_Data_NK_Upcoming!$J$2:$J$996,MATCH('Rig_Schedule_View (2)'!B74,Well_Data_NK_Upcoming!Concatenated_Wellname,0)))</f>
        <v>Prod</v>
      </c>
      <c r="F74" s="421" t="str">
        <f ca="1">IF(INDEX(Well_Data_NK_Upcoming!$L$2:$L$996,MATCH('Rig_Schedule_View (2)'!B74,Well_Data_NK_Upcoming!Concatenated_Wellname,0))=0,"",INDEX(Well_Data_NK_Upcoming!$L$2:$L$996,MATCH('Rig_Schedule_View (2)'!B74,Well_Data_NK_Upcoming!Concatenated_Wellname,0)))</f>
        <v>HZ</v>
      </c>
      <c r="G74" s="421">
        <f ca="1">IF(INDEX(Well_Data_NK_Upcoming!$R$2:$R$996,MATCH('Rig_Schedule_View (2)'!B74,Well_Data_NK_Upcoming!Concatenated_Wellname,0))=0,"",INDEX(Well_Data_NK_Upcoming!$R$2:$R$996,MATCH('Rig_Schedule_View (2)'!B74,Well_Data_NK_Upcoming!Concatenated_Wellname,0)))</f>
        <v>75</v>
      </c>
      <c r="H74" s="526"/>
      <c r="I74" s="440">
        <f ca="1">RigScheduleTest!$R$7</f>
        <v>42353</v>
      </c>
      <c r="J74" s="440">
        <f ca="1">RigScheduleTest!$S$7</f>
        <v>42423</v>
      </c>
      <c r="K74" s="574"/>
      <c r="L74" s="544" t="s">
        <v>1978</v>
      </c>
      <c r="M74" s="544"/>
      <c r="N74" s="545"/>
      <c r="O74" s="545"/>
      <c r="P74" s="551"/>
    </row>
    <row r="75" spans="1:16" x14ac:dyDescent="0.25">
      <c r="A75" s="442" t="str">
        <f>RigScheduleTest!$B$7</f>
        <v>KDC-49</v>
      </c>
      <c r="B75" s="442" t="str">
        <f ca="1">RigScheduleTest!$U$7</f>
        <v>RA-0596-RA-ZU-Prod-NW-HZ-SLB</v>
      </c>
      <c r="C75" s="421" t="str">
        <f ca="1">IF(INDEX(Well_Data_NK_Upcoming!$G$2:$G$996,MATCH('Rig_Schedule_View (2)'!B75,Well_Data_NK_Upcoming!Concatenated_Wellname,0))=0,"",INDEX(Well_Data_NK_Upcoming!$G$2:$G$996,MATCH('Rig_Schedule_View (2)'!B75,Well_Data_NK_Upcoming!Concatenated_Wellname,0)))</f>
        <v>ZU</v>
      </c>
      <c r="D75" s="421" t="str">
        <f ca="1">IF(INDEX(Well_Data_NK_Upcoming!$K$2:$K$996,MATCH('Rig_Schedule_View (2)'!B75,Well_Data_NK_Upcoming!Concatenated_Wellname,0))=0,"",INDEX(Well_Data_NK_Upcoming!$K$2:$K$996,MATCH('Rig_Schedule_View (2)'!B75,Well_Data_NK_Upcoming!Concatenated_Wellname,0)))</f>
        <v>NW</v>
      </c>
      <c r="E75" s="421" t="str">
        <f ca="1">IF(INDEX(Well_Data_NK_Upcoming!$J$2:$J$996,MATCH('Rig_Schedule_View (2)'!B75,Well_Data_NK_Upcoming!Concatenated_Wellname,0))=0,"",INDEX(Well_Data_NK_Upcoming!$J$2:$J$996,MATCH('Rig_Schedule_View (2)'!B75,Well_Data_NK_Upcoming!Concatenated_Wellname,0)))</f>
        <v>Prod</v>
      </c>
      <c r="F75" s="421" t="str">
        <f ca="1">IF(INDEX(Well_Data_NK_Upcoming!$L$2:$L$996,MATCH('Rig_Schedule_View (2)'!B75,Well_Data_NK_Upcoming!Concatenated_Wellname,0))=0,"",INDEX(Well_Data_NK_Upcoming!$L$2:$L$996,MATCH('Rig_Schedule_View (2)'!B75,Well_Data_NK_Upcoming!Concatenated_Wellname,0)))</f>
        <v>HZ</v>
      </c>
      <c r="G75" s="421">
        <f ca="1">IF(INDEX(Well_Data_NK_Upcoming!$R$2:$R$996,MATCH('Rig_Schedule_View (2)'!B75,Well_Data_NK_Upcoming!Concatenated_Wellname,0))=0,"",INDEX(Well_Data_NK_Upcoming!$R$2:$R$996,MATCH('Rig_Schedule_View (2)'!B75,Well_Data_NK_Upcoming!Concatenated_Wellname,0)))</f>
        <v>103</v>
      </c>
      <c r="H75" s="526"/>
      <c r="I75" s="443">
        <f ca="1">RigScheduleTest!$X$7</f>
        <v>42428</v>
      </c>
      <c r="J75" s="443">
        <f ca="1">RigScheduleTest!$Y$7</f>
        <v>42526</v>
      </c>
      <c r="K75" s="574"/>
      <c r="L75" s="546"/>
      <c r="M75" s="544"/>
      <c r="N75" s="545"/>
      <c r="O75" s="545"/>
      <c r="P75" s="551"/>
    </row>
    <row r="76" spans="1:16" x14ac:dyDescent="0.25">
      <c r="A76" s="442" t="str">
        <f>RigScheduleTest!$B$7</f>
        <v>KDC-49</v>
      </c>
      <c r="B76" s="442" t="str">
        <f ca="1">RigScheduleTest!$AA$7</f>
        <v>SA18-SA-MA-Inj-NW-HZ</v>
      </c>
      <c r="C76" s="421" t="str">
        <f ca="1">IF(INDEX(Well_Data_NK_Upcoming!$G$2:$G$996,MATCH('Rig_Schedule_View (2)'!B76,Well_Data_NK_Upcoming!Concatenated_Wellname,0))=0,"",INDEX(Well_Data_NK_Upcoming!$G$2:$G$996,MATCH('Rig_Schedule_View (2)'!B76,Well_Data_NK_Upcoming!Concatenated_Wellname,0)))</f>
        <v>MA</v>
      </c>
      <c r="D76" s="421" t="str">
        <f ca="1">IF(INDEX(Well_Data_NK_Upcoming!$K$2:$K$996,MATCH('Rig_Schedule_View (2)'!B76,Well_Data_NK_Upcoming!Concatenated_Wellname,0))=0,"",INDEX(Well_Data_NK_Upcoming!$K$2:$K$996,MATCH('Rig_Schedule_View (2)'!B76,Well_Data_NK_Upcoming!Concatenated_Wellname,0)))</f>
        <v>NW</v>
      </c>
      <c r="E76" s="421" t="str">
        <f ca="1">IF(INDEX(Well_Data_NK_Upcoming!$J$2:$J$996,MATCH('Rig_Schedule_View (2)'!B76,Well_Data_NK_Upcoming!Concatenated_Wellname,0))=0,"",INDEX(Well_Data_NK_Upcoming!$J$2:$J$996,MATCH('Rig_Schedule_View (2)'!B76,Well_Data_NK_Upcoming!Concatenated_Wellname,0)))</f>
        <v>Inj</v>
      </c>
      <c r="F76" s="421" t="str">
        <f ca="1">IF(INDEX(Well_Data_NK_Upcoming!$L$2:$L$996,MATCH('Rig_Schedule_View (2)'!B76,Well_Data_NK_Upcoming!Concatenated_Wellname,0))=0,"",INDEX(Well_Data_NK_Upcoming!$L$2:$L$996,MATCH('Rig_Schedule_View (2)'!B76,Well_Data_NK_Upcoming!Concatenated_Wellname,0)))</f>
        <v>HZ</v>
      </c>
      <c r="G76" s="421">
        <f ca="1">IF(INDEX(Well_Data_NK_Upcoming!$R$2:$R$996,MATCH('Rig_Schedule_View (2)'!B76,Well_Data_NK_Upcoming!Concatenated_Wellname,0))=0,"",INDEX(Well_Data_NK_Upcoming!$R$2:$R$996,MATCH('Rig_Schedule_View (2)'!B76,Well_Data_NK_Upcoming!Concatenated_Wellname,0)))</f>
        <v>68</v>
      </c>
      <c r="H76" s="526"/>
      <c r="I76" s="443">
        <f ca="1">RigScheduleTest!$AD$7</f>
        <v>42531</v>
      </c>
      <c r="J76" s="443">
        <f ca="1">RigScheduleTest!$AE$7</f>
        <v>42594</v>
      </c>
      <c r="K76" s="574"/>
      <c r="L76" s="546"/>
      <c r="M76" s="544"/>
      <c r="N76" s="545"/>
      <c r="O76" s="545"/>
      <c r="P76" s="551"/>
    </row>
    <row r="77" spans="1:16" x14ac:dyDescent="0.25">
      <c r="A77" s="442" t="str">
        <f>RigScheduleTest!$B$7</f>
        <v>KDC-49</v>
      </c>
      <c r="B77" s="442" t="str">
        <f ca="1">RigScheduleTest!$AG$7</f>
        <v>RA18-RA-LB-Prod-NW-SL-SLB</v>
      </c>
      <c r="C77" s="421" t="str">
        <f ca="1">IF(INDEX(Well_Data_NK_Upcoming!$G$2:$G$996,MATCH('Rig_Schedule_View (2)'!B77,Well_Data_NK_Upcoming!Concatenated_Wellname,0))=0,"",INDEX(Well_Data_NK_Upcoming!$G$2:$G$996,MATCH('Rig_Schedule_View (2)'!B77,Well_Data_NK_Upcoming!Concatenated_Wellname,0)))</f>
        <v>LB</v>
      </c>
      <c r="D77" s="421" t="str">
        <f ca="1">IF(INDEX(Well_Data_NK_Upcoming!$K$2:$K$996,MATCH('Rig_Schedule_View (2)'!B77,Well_Data_NK_Upcoming!Concatenated_Wellname,0))=0,"",INDEX(Well_Data_NK_Upcoming!$K$2:$K$996,MATCH('Rig_Schedule_View (2)'!B77,Well_Data_NK_Upcoming!Concatenated_Wellname,0)))</f>
        <v>NW</v>
      </c>
      <c r="E77" s="421" t="str">
        <f ca="1">IF(INDEX(Well_Data_NK_Upcoming!$J$2:$J$996,MATCH('Rig_Schedule_View (2)'!B77,Well_Data_NK_Upcoming!Concatenated_Wellname,0))=0,"",INDEX(Well_Data_NK_Upcoming!$J$2:$J$996,MATCH('Rig_Schedule_View (2)'!B77,Well_Data_NK_Upcoming!Concatenated_Wellname,0)))</f>
        <v>Prod</v>
      </c>
      <c r="F77" s="421" t="str">
        <f ca="1">IF(INDEX(Well_Data_NK_Upcoming!$L$2:$L$996,MATCH('Rig_Schedule_View (2)'!B77,Well_Data_NK_Upcoming!Concatenated_Wellname,0))=0,"",INDEX(Well_Data_NK_Upcoming!$L$2:$L$996,MATCH('Rig_Schedule_View (2)'!B77,Well_Data_NK_Upcoming!Concatenated_Wellname,0)))</f>
        <v>SL</v>
      </c>
      <c r="G77" s="421">
        <f ca="1">IF(INDEX(Well_Data_NK_Upcoming!$R$2:$R$996,MATCH('Rig_Schedule_View (2)'!B77,Well_Data_NK_Upcoming!Concatenated_Wellname,0))=0,"",INDEX(Well_Data_NK_Upcoming!$R$2:$R$996,MATCH('Rig_Schedule_View (2)'!B77,Well_Data_NK_Upcoming!Concatenated_Wellname,0)))</f>
        <v>75</v>
      </c>
      <c r="H77" s="526"/>
      <c r="I77" s="443">
        <f ca="1">RigScheduleTest!$AJ$7</f>
        <v>42599</v>
      </c>
      <c r="J77" s="443">
        <f ca="1">RigScheduleTest!$AK$7</f>
        <v>42669</v>
      </c>
      <c r="K77" s="574"/>
      <c r="L77" s="546"/>
      <c r="M77" s="544"/>
      <c r="N77" s="545"/>
      <c r="O77" s="545"/>
      <c r="P77" s="551"/>
    </row>
    <row r="78" spans="1:16" x14ac:dyDescent="0.25">
      <c r="A78" s="442" t="str">
        <f>RigScheduleTest!$B$7</f>
        <v>KDC-49</v>
      </c>
      <c r="B78" s="442" t="str">
        <f ca="1">RigScheduleTest!$AM$7</f>
        <v>RA26-RA-UB-Prod-NW-SL-SLB</v>
      </c>
      <c r="C78" s="421" t="str">
        <f ca="1">IF(INDEX(Well_Data_NK_Upcoming!$G$2:$G$996,MATCH('Rig_Schedule_View (2)'!B78,Well_Data_NK_Upcoming!Concatenated_Wellname,0))=0,"",INDEX(Well_Data_NK_Upcoming!$G$2:$G$996,MATCH('Rig_Schedule_View (2)'!B78,Well_Data_NK_Upcoming!Concatenated_Wellname,0)))</f>
        <v>UB</v>
      </c>
      <c r="D78" s="421" t="str">
        <f ca="1">IF(INDEX(Well_Data_NK_Upcoming!$K$2:$K$996,MATCH('Rig_Schedule_View (2)'!B78,Well_Data_NK_Upcoming!Concatenated_Wellname,0))=0,"",INDEX(Well_Data_NK_Upcoming!$K$2:$K$996,MATCH('Rig_Schedule_View (2)'!B78,Well_Data_NK_Upcoming!Concatenated_Wellname,0)))</f>
        <v>NW</v>
      </c>
      <c r="E78" s="421" t="str">
        <f ca="1">IF(INDEX(Well_Data_NK_Upcoming!$J$2:$J$996,MATCH('Rig_Schedule_View (2)'!B78,Well_Data_NK_Upcoming!Concatenated_Wellname,0))=0,"",INDEX(Well_Data_NK_Upcoming!$J$2:$J$996,MATCH('Rig_Schedule_View (2)'!B78,Well_Data_NK_Upcoming!Concatenated_Wellname,0)))</f>
        <v>Prod</v>
      </c>
      <c r="F78" s="421" t="str">
        <f ca="1">IF(INDEX(Well_Data_NK_Upcoming!$L$2:$L$996,MATCH('Rig_Schedule_View (2)'!B78,Well_Data_NK_Upcoming!Concatenated_Wellname,0))=0,"",INDEX(Well_Data_NK_Upcoming!$L$2:$L$996,MATCH('Rig_Schedule_View (2)'!B78,Well_Data_NK_Upcoming!Concatenated_Wellname,0)))</f>
        <v>SL</v>
      </c>
      <c r="G78" s="421">
        <f ca="1">IF(INDEX(Well_Data_NK_Upcoming!$R$2:$R$996,MATCH('Rig_Schedule_View (2)'!B78,Well_Data_NK_Upcoming!Concatenated_Wellname,0))=0,"",INDEX(Well_Data_NK_Upcoming!$R$2:$R$996,MATCH('Rig_Schedule_View (2)'!B78,Well_Data_NK_Upcoming!Concatenated_Wellname,0)))</f>
        <v>75</v>
      </c>
      <c r="H78" s="526"/>
      <c r="I78" s="443">
        <f ca="1">RigScheduleTest!$AP$7</f>
        <v>42674</v>
      </c>
      <c r="J78" s="443">
        <f ca="1">RigScheduleTest!$AQ$7</f>
        <v>42744</v>
      </c>
      <c r="K78" s="574"/>
      <c r="L78" s="546"/>
      <c r="M78" s="544"/>
      <c r="N78" s="545"/>
      <c r="O78" s="545"/>
      <c r="P78" s="551"/>
    </row>
    <row r="79" spans="1:16" x14ac:dyDescent="0.25">
      <c r="A79" s="442" t="str">
        <f>RigScheduleTest!$B$7</f>
        <v>KDC-49</v>
      </c>
      <c r="B79" s="442" t="str">
        <f ca="1">RigScheduleTest!$AS$7</f>
        <v/>
      </c>
      <c r="C79" s="421" t="str">
        <f ca="1">IF(INDEX(Well_Data_NK_Upcoming!$G$2:$G$996,MATCH('Rig_Schedule_View (2)'!B79,Well_Data_NK_Upcoming!Concatenated_Wellname,0))=0,"",INDEX(Well_Data_NK_Upcoming!$G$2:$G$996,MATCH('Rig_Schedule_View (2)'!B79,Well_Data_NK_Upcoming!Concatenated_Wellname,0)))</f>
        <v/>
      </c>
      <c r="D79" s="421" t="str">
        <f ca="1">IF(INDEX(Well_Data_NK_Upcoming!$K$2:$K$996,MATCH('Rig_Schedule_View (2)'!B79,Well_Data_NK_Upcoming!Concatenated_Wellname,0))=0,"",INDEX(Well_Data_NK_Upcoming!$K$2:$K$996,MATCH('Rig_Schedule_View (2)'!B79,Well_Data_NK_Upcoming!Concatenated_Wellname,0)))</f>
        <v/>
      </c>
      <c r="E79" s="421" t="str">
        <f ca="1">IF(INDEX(Well_Data_NK_Upcoming!$J$2:$J$996,MATCH('Rig_Schedule_View (2)'!B79,Well_Data_NK_Upcoming!Concatenated_Wellname,0))=0,"",INDEX(Well_Data_NK_Upcoming!$J$2:$J$996,MATCH('Rig_Schedule_View (2)'!B79,Well_Data_NK_Upcoming!Concatenated_Wellname,0)))</f>
        <v/>
      </c>
      <c r="F79" s="421" t="str">
        <f ca="1">IF(INDEX(Well_Data_NK_Upcoming!$L$2:$L$996,MATCH('Rig_Schedule_View (2)'!B79,Well_Data_NK_Upcoming!Concatenated_Wellname,0))=0,"",INDEX(Well_Data_NK_Upcoming!$L$2:$L$996,MATCH('Rig_Schedule_View (2)'!B79,Well_Data_NK_Upcoming!Concatenated_Wellname,0)))</f>
        <v/>
      </c>
      <c r="G79" s="421" t="str">
        <f ca="1">IF(INDEX(Well_Data_NK_Upcoming!$R$2:$R$996,MATCH('Rig_Schedule_View (2)'!B79,Well_Data_NK_Upcoming!Concatenated_Wellname,0))=0,"",INDEX(Well_Data_NK_Upcoming!$R$2:$R$996,MATCH('Rig_Schedule_View (2)'!B79,Well_Data_NK_Upcoming!Concatenated_Wellname,0)))</f>
        <v/>
      </c>
      <c r="H79" s="526"/>
      <c r="I79" s="443" t="str">
        <f ca="1">RigScheduleTest!$AV$7</f>
        <v/>
      </c>
      <c r="J79" s="443" t="str">
        <f ca="1">RigScheduleTest!$AW$7</f>
        <v/>
      </c>
      <c r="K79" s="574"/>
      <c r="L79" s="546"/>
      <c r="M79" s="544"/>
      <c r="N79" s="545"/>
      <c r="O79" s="545"/>
      <c r="P79" s="551"/>
    </row>
    <row r="80" spans="1:16" x14ac:dyDescent="0.25">
      <c r="A80" s="442" t="str">
        <f>RigScheduleTest!$B$7</f>
        <v>KDC-49</v>
      </c>
      <c r="B80" s="442" t="str">
        <f ca="1">RigScheduleTest!$AY$7</f>
        <v/>
      </c>
      <c r="C80" s="421" t="str">
        <f ca="1">IF(INDEX(Well_Data_NK_Upcoming!$G$2:$G$996,MATCH('Rig_Schedule_View (2)'!B80,Well_Data_NK_Upcoming!Concatenated_Wellname,0))=0,"",INDEX(Well_Data_NK_Upcoming!$G$2:$G$996,MATCH('Rig_Schedule_View (2)'!B80,Well_Data_NK_Upcoming!Concatenated_Wellname,0)))</f>
        <v/>
      </c>
      <c r="D80" s="421" t="str">
        <f ca="1">IF(INDEX(Well_Data_NK_Upcoming!$K$2:$K$996,MATCH('Rig_Schedule_View (2)'!B80,Well_Data_NK_Upcoming!Concatenated_Wellname,0))=0,"",INDEX(Well_Data_NK_Upcoming!$K$2:$K$996,MATCH('Rig_Schedule_View (2)'!B80,Well_Data_NK_Upcoming!Concatenated_Wellname,0)))</f>
        <v/>
      </c>
      <c r="E80" s="421" t="str">
        <f ca="1">IF(INDEX(Well_Data_NK_Upcoming!$J$2:$J$996,MATCH('Rig_Schedule_View (2)'!B80,Well_Data_NK_Upcoming!Concatenated_Wellname,0))=0,"",INDEX(Well_Data_NK_Upcoming!$J$2:$J$996,MATCH('Rig_Schedule_View (2)'!B80,Well_Data_NK_Upcoming!Concatenated_Wellname,0)))</f>
        <v/>
      </c>
      <c r="F80" s="421" t="str">
        <f ca="1">IF(INDEX(Well_Data_NK_Upcoming!$L$2:$L$996,MATCH('Rig_Schedule_View (2)'!B80,Well_Data_NK_Upcoming!Concatenated_Wellname,0))=0,"",INDEX(Well_Data_NK_Upcoming!$L$2:$L$996,MATCH('Rig_Schedule_View (2)'!B80,Well_Data_NK_Upcoming!Concatenated_Wellname,0)))</f>
        <v/>
      </c>
      <c r="G80" s="421" t="str">
        <f ca="1">IF(INDEX(Well_Data_NK_Upcoming!$R$2:$R$996,MATCH('Rig_Schedule_View (2)'!B80,Well_Data_NK_Upcoming!Concatenated_Wellname,0))=0,"",INDEX(Well_Data_NK_Upcoming!$R$2:$R$996,MATCH('Rig_Schedule_View (2)'!B80,Well_Data_NK_Upcoming!Concatenated_Wellname,0)))</f>
        <v/>
      </c>
      <c r="H80" s="526"/>
      <c r="I80" s="443" t="str">
        <f ca="1">RigScheduleTest!$BB$7</f>
        <v/>
      </c>
      <c r="J80" s="443" t="str">
        <f ca="1">RigScheduleTest!$BC$7</f>
        <v/>
      </c>
      <c r="K80" s="574"/>
      <c r="L80" s="546"/>
      <c r="M80" s="544"/>
      <c r="N80" s="545"/>
      <c r="O80" s="545"/>
      <c r="P80" s="551"/>
    </row>
    <row r="81" spans="1:16" x14ac:dyDescent="0.25">
      <c r="A81" s="442" t="str">
        <f>RigScheduleTest!$B$7</f>
        <v>KDC-49</v>
      </c>
      <c r="B81" s="442" t="str">
        <f ca="1">RigScheduleTest!$BE$7</f>
        <v/>
      </c>
      <c r="C81" s="421" t="str">
        <f ca="1">IF(INDEX(Well_Data_NK_Upcoming!$G$2:$G$996,MATCH('Rig_Schedule_View (2)'!B81,Well_Data_NK_Upcoming!Concatenated_Wellname,0))=0,"",INDEX(Well_Data_NK_Upcoming!$G$2:$G$996,MATCH('Rig_Schedule_View (2)'!B81,Well_Data_NK_Upcoming!Concatenated_Wellname,0)))</f>
        <v/>
      </c>
      <c r="D81" s="421" t="str">
        <f ca="1">IF(INDEX(Well_Data_NK_Upcoming!$K$2:$K$996,MATCH('Rig_Schedule_View (2)'!B81,Well_Data_NK_Upcoming!Concatenated_Wellname,0))=0,"",INDEX(Well_Data_NK_Upcoming!$K$2:$K$996,MATCH('Rig_Schedule_View (2)'!B81,Well_Data_NK_Upcoming!Concatenated_Wellname,0)))</f>
        <v/>
      </c>
      <c r="E81" s="421" t="str">
        <f ca="1">IF(INDEX(Well_Data_NK_Upcoming!$J$2:$J$996,MATCH('Rig_Schedule_View (2)'!B81,Well_Data_NK_Upcoming!Concatenated_Wellname,0))=0,"",INDEX(Well_Data_NK_Upcoming!$J$2:$J$996,MATCH('Rig_Schedule_View (2)'!B81,Well_Data_NK_Upcoming!Concatenated_Wellname,0)))</f>
        <v/>
      </c>
      <c r="F81" s="421" t="str">
        <f ca="1">IF(INDEX(Well_Data_NK_Upcoming!$L$2:$L$996,MATCH('Rig_Schedule_View (2)'!B81,Well_Data_NK_Upcoming!Concatenated_Wellname,0))=0,"",INDEX(Well_Data_NK_Upcoming!$L$2:$L$996,MATCH('Rig_Schedule_View (2)'!B81,Well_Data_NK_Upcoming!Concatenated_Wellname,0)))</f>
        <v/>
      </c>
      <c r="G81" s="421" t="str">
        <f ca="1">IF(INDEX(Well_Data_NK_Upcoming!$R$2:$R$996,MATCH('Rig_Schedule_View (2)'!B81,Well_Data_NK_Upcoming!Concatenated_Wellname,0))=0,"",INDEX(Well_Data_NK_Upcoming!$R$2:$R$996,MATCH('Rig_Schedule_View (2)'!B81,Well_Data_NK_Upcoming!Concatenated_Wellname,0)))</f>
        <v/>
      </c>
      <c r="H81" s="526"/>
      <c r="I81" s="443" t="str">
        <f ca="1">RigScheduleTest!$BH$7</f>
        <v/>
      </c>
      <c r="J81" s="443" t="str">
        <f ca="1">RigScheduleTest!$BI$7</f>
        <v/>
      </c>
      <c r="K81" s="574"/>
      <c r="L81" s="546"/>
      <c r="M81" s="544"/>
      <c r="N81" s="545"/>
      <c r="O81" s="545"/>
      <c r="P81" s="551"/>
    </row>
    <row r="82" spans="1:16" x14ac:dyDescent="0.25">
      <c r="A82" s="442" t="str">
        <f>RigScheduleTest!$B$7</f>
        <v>KDC-49</v>
      </c>
      <c r="B82" s="442" t="str">
        <f ca="1">RigScheduleTest!$BK$7</f>
        <v/>
      </c>
      <c r="C82" s="421" t="str">
        <f ca="1">IF(INDEX(Well_Data_NK_Upcoming!$G$2:$G$996,MATCH('Rig_Schedule_View (2)'!B82,Well_Data_NK_Upcoming!Concatenated_Wellname,0))=0,"",INDEX(Well_Data_NK_Upcoming!$G$2:$G$996,MATCH('Rig_Schedule_View (2)'!B82,Well_Data_NK_Upcoming!Concatenated_Wellname,0)))</f>
        <v/>
      </c>
      <c r="D82" s="421" t="str">
        <f ca="1">IF(INDEX(Well_Data_NK_Upcoming!$K$2:$K$996,MATCH('Rig_Schedule_View (2)'!B82,Well_Data_NK_Upcoming!Concatenated_Wellname,0))=0,"",INDEX(Well_Data_NK_Upcoming!$K$2:$K$996,MATCH('Rig_Schedule_View (2)'!B82,Well_Data_NK_Upcoming!Concatenated_Wellname,0)))</f>
        <v/>
      </c>
      <c r="E82" s="421" t="str">
        <f ca="1">IF(INDEX(Well_Data_NK_Upcoming!$J$2:$J$996,MATCH('Rig_Schedule_View (2)'!B82,Well_Data_NK_Upcoming!Concatenated_Wellname,0))=0,"",INDEX(Well_Data_NK_Upcoming!$J$2:$J$996,MATCH('Rig_Schedule_View (2)'!B82,Well_Data_NK_Upcoming!Concatenated_Wellname,0)))</f>
        <v/>
      </c>
      <c r="F82" s="421" t="str">
        <f ca="1">IF(INDEX(Well_Data_NK_Upcoming!$L$2:$L$996,MATCH('Rig_Schedule_View (2)'!B82,Well_Data_NK_Upcoming!Concatenated_Wellname,0))=0,"",INDEX(Well_Data_NK_Upcoming!$L$2:$L$996,MATCH('Rig_Schedule_View (2)'!B82,Well_Data_NK_Upcoming!Concatenated_Wellname,0)))</f>
        <v/>
      </c>
      <c r="G82" s="421" t="str">
        <f ca="1">IF(INDEX(Well_Data_NK_Upcoming!$R$2:$R$996,MATCH('Rig_Schedule_View (2)'!B82,Well_Data_NK_Upcoming!Concatenated_Wellname,0))=0,"",INDEX(Well_Data_NK_Upcoming!$R$2:$R$996,MATCH('Rig_Schedule_View (2)'!B82,Well_Data_NK_Upcoming!Concatenated_Wellname,0)))</f>
        <v/>
      </c>
      <c r="H82" s="526"/>
      <c r="I82" s="443" t="str">
        <f ca="1">RigScheduleTest!$BN$7</f>
        <v/>
      </c>
      <c r="J82" s="443" t="str">
        <f ca="1">RigScheduleTest!$BO$7</f>
        <v/>
      </c>
      <c r="K82" s="574"/>
      <c r="L82" s="546"/>
      <c r="M82" s="544"/>
      <c r="N82" s="545"/>
      <c r="O82" s="545"/>
      <c r="P82" s="551"/>
    </row>
    <row r="83" spans="1:16" x14ac:dyDescent="0.25">
      <c r="A83" s="437" t="str">
        <f>RigScheduleTest!$B$1</f>
        <v>RIG</v>
      </c>
      <c r="B83" s="437" t="str">
        <f>$K$1</f>
        <v>Development Drilling</v>
      </c>
      <c r="C83" s="437" t="s">
        <v>1831</v>
      </c>
      <c r="D83" s="437" t="s">
        <v>867</v>
      </c>
      <c r="E83" s="437" t="s">
        <v>8</v>
      </c>
      <c r="F83" s="437" t="s">
        <v>2</v>
      </c>
      <c r="G83" s="437" t="s">
        <v>1513</v>
      </c>
      <c r="H83" s="438" t="str">
        <f>$K$3</f>
        <v>Rig Deployment Meeting</v>
      </c>
      <c r="I83" s="439" t="str">
        <f>$K$5</f>
        <v>Start</v>
      </c>
      <c r="J83" s="439" t="str">
        <f>$K$6</f>
        <v>End</v>
      </c>
      <c r="K83" s="444" t="s">
        <v>1068</v>
      </c>
      <c r="L83" s="444" t="s">
        <v>1577</v>
      </c>
      <c r="M83" s="496" t="s">
        <v>1934</v>
      </c>
      <c r="N83" s="504" t="s">
        <v>1940</v>
      </c>
      <c r="O83" s="504" t="s">
        <v>1941</v>
      </c>
      <c r="P83" s="502"/>
    </row>
    <row r="84" spans="1:16" x14ac:dyDescent="0.25">
      <c r="A84" s="442" t="str">
        <f>RigScheduleTest!$B$8</f>
        <v>NDSC-15</v>
      </c>
      <c r="B84" s="421" t="str">
        <f ca="1">RigScheduleTest!$D$8</f>
        <v>RA-0590-RA-UB-Prod-NW-HZ-WFD</v>
      </c>
      <c r="C84" s="421" t="str">
        <f ca="1">IF(INDEX(Well_Data_NK_Upcoming!$G$2:$G$996,MATCH('Rig_Schedule_View (2)'!B84,Well_Data_NK_Upcoming!Concatenated_Wellname,0))=0,"",INDEX(Well_Data_NK_Upcoming!$G$2:$G$996,MATCH('Rig_Schedule_View (2)'!B84,Well_Data_NK_Upcoming!Concatenated_Wellname,0)))</f>
        <v>UB</v>
      </c>
      <c r="D84" s="421" t="str">
        <f ca="1">IF(INDEX(Well_Data_NK_Upcoming!$K$2:$K$996,MATCH('Rig_Schedule_View (2)'!B84,Well_Data_NK_Upcoming!Concatenated_Wellname,0))=0,"",INDEX(Well_Data_NK_Upcoming!$K$2:$K$996,MATCH('Rig_Schedule_View (2)'!B84,Well_Data_NK_Upcoming!Concatenated_Wellname,0)))</f>
        <v>NW</v>
      </c>
      <c r="E84" s="421" t="str">
        <f ca="1">IF(INDEX(Well_Data_NK_Upcoming!$J$2:$J$996,MATCH('Rig_Schedule_View (2)'!B84,Well_Data_NK_Upcoming!Concatenated_Wellname,0))=0,"",INDEX(Well_Data_NK_Upcoming!$J$2:$J$996,MATCH('Rig_Schedule_View (2)'!B84,Well_Data_NK_Upcoming!Concatenated_Wellname,0)))</f>
        <v>Prod</v>
      </c>
      <c r="F84" s="421" t="str">
        <f ca="1">IF(INDEX(Well_Data_NK_Upcoming!$L$2:$L$996,MATCH('Rig_Schedule_View (2)'!B84,Well_Data_NK_Upcoming!Concatenated_Wellname,0))=0,"",INDEX(Well_Data_NK_Upcoming!$L$2:$L$996,MATCH('Rig_Schedule_View (2)'!B84,Well_Data_NK_Upcoming!Concatenated_Wellname,0)))</f>
        <v>HZ</v>
      </c>
      <c r="G84" s="421">
        <f ca="1">IF(INDEX(Well_Data_NK_Upcoming!$R$2:$R$996,MATCH('Rig_Schedule_View (2)'!B84,Well_Data_NK_Upcoming!Concatenated_Wellname,0))=0,"",INDEX(Well_Data_NK_Upcoming!$R$2:$R$996,MATCH('Rig_Schedule_View (2)'!B84,Well_Data_NK_Upcoming!Concatenated_Wellname,0)))</f>
        <v>75</v>
      </c>
      <c r="H84" s="526">
        <f>RigScheduleTest!$F$8</f>
        <v>42233</v>
      </c>
      <c r="I84" s="459" t="str">
        <f ca="1">IF(INDEX(Well_Data_NK_Upcoming!$O$2:$O$996,MATCH('Rig_Schedule_View (2)'!B84,Well_Data_NK_Upcoming!Concatenated_Wellname,0))=0,"",INDEX(Well_Data_NK_Upcoming!$O$2:$O$996,MATCH('Rig_Schedule_View (2)'!B84,Well_Data_NK_Upcoming!Concatenated_Wellname,0)))</f>
        <v>RigMove</v>
      </c>
      <c r="J84" s="446" t="str">
        <f ca="1">RigScheduleTest!$H$8</f>
        <v/>
      </c>
      <c r="K84" s="574" t="s">
        <v>1917</v>
      </c>
      <c r="L84" s="543"/>
      <c r="M84" s="544">
        <v>2</v>
      </c>
      <c r="N84" s="545"/>
      <c r="O84" s="545"/>
      <c r="P84" s="551"/>
    </row>
    <row r="85" spans="1:16" x14ac:dyDescent="0.25">
      <c r="A85" s="442" t="str">
        <f>RigScheduleTest!$B$8</f>
        <v>NDSC-15</v>
      </c>
      <c r="B85" s="441" t="str">
        <f ca="1">RigScheduleTest!$I$8</f>
        <v>SA-0603-SA-MA-Prod-NW-HZ-Sperry</v>
      </c>
      <c r="C85" s="421" t="str">
        <f ca="1">IF(INDEX(Well_Data_NK_Upcoming!$G$2:$G$996,MATCH('Rig_Schedule_View (2)'!B85,Well_Data_NK_Upcoming!Concatenated_Wellname,0))=0,"",INDEX(Well_Data_NK_Upcoming!$G$2:$G$996,MATCH('Rig_Schedule_View (2)'!B85,Well_Data_NK_Upcoming!Concatenated_Wellname,0)))</f>
        <v>MA</v>
      </c>
      <c r="D85" s="421" t="str">
        <f ca="1">IF(INDEX(Well_Data_NK_Upcoming!$K$2:$K$996,MATCH('Rig_Schedule_View (2)'!B85,Well_Data_NK_Upcoming!Concatenated_Wellname,0))=0,"",INDEX(Well_Data_NK_Upcoming!$K$2:$K$996,MATCH('Rig_Schedule_View (2)'!B85,Well_Data_NK_Upcoming!Concatenated_Wellname,0)))</f>
        <v>NW</v>
      </c>
      <c r="E85" s="421" t="str">
        <f ca="1">IF(INDEX(Well_Data_NK_Upcoming!$J$2:$J$996,MATCH('Rig_Schedule_View (2)'!B85,Well_Data_NK_Upcoming!Concatenated_Wellname,0))=0,"",INDEX(Well_Data_NK_Upcoming!$J$2:$J$996,MATCH('Rig_Schedule_View (2)'!B85,Well_Data_NK_Upcoming!Concatenated_Wellname,0)))</f>
        <v>Prod</v>
      </c>
      <c r="F85" s="421" t="str">
        <f ca="1">IF(INDEX(Well_Data_NK_Upcoming!$L$2:$L$996,MATCH('Rig_Schedule_View (2)'!B85,Well_Data_NK_Upcoming!Concatenated_Wellname,0))=0,"",INDEX(Well_Data_NK_Upcoming!$L$2:$L$996,MATCH('Rig_Schedule_View (2)'!B85,Well_Data_NK_Upcoming!Concatenated_Wellname,0)))</f>
        <v>HZ</v>
      </c>
      <c r="G85" s="421">
        <f ca="1">IF(INDEX(Well_Data_NK_Upcoming!$R$2:$R$996,MATCH('Rig_Schedule_View (2)'!B85,Well_Data_NK_Upcoming!Concatenated_Wellname,0))=0,"",INDEX(Well_Data_NK_Upcoming!$R$2:$R$996,MATCH('Rig_Schedule_View (2)'!B85,Well_Data_NK_Upcoming!Concatenated_Wellname,0)))</f>
        <v>75</v>
      </c>
      <c r="H85" s="526"/>
      <c r="I85" s="440" t="str">
        <f ca="1">RigScheduleTest!$L$8</f>
        <v/>
      </c>
      <c r="J85" s="440" t="str">
        <f ca="1">RigScheduleTest!$M$8</f>
        <v/>
      </c>
      <c r="K85" s="574"/>
      <c r="L85" s="546" t="s">
        <v>2222</v>
      </c>
      <c r="M85" s="544"/>
      <c r="N85" s="545" t="s">
        <v>1981</v>
      </c>
      <c r="O85" s="545" t="s">
        <v>1981</v>
      </c>
      <c r="P85" s="551"/>
    </row>
    <row r="86" spans="1:16" x14ac:dyDescent="0.25">
      <c r="A86" s="442" t="str">
        <f>RigScheduleTest!$B$8</f>
        <v>NDSC-15</v>
      </c>
      <c r="B86" s="441" t="str">
        <f ca="1">RigScheduleTest!$O$8</f>
        <v>SA3-SA-UB-Prod-NW-SL</v>
      </c>
      <c r="C86" s="421" t="str">
        <f ca="1">IF(INDEX(Well_Data_NK_Upcoming!$G$2:$G$996,MATCH('Rig_Schedule_View (2)'!B86,Well_Data_NK_Upcoming!Concatenated_Wellname,0))=0,"",INDEX(Well_Data_NK_Upcoming!$G$2:$G$996,MATCH('Rig_Schedule_View (2)'!B86,Well_Data_NK_Upcoming!Concatenated_Wellname,0)))</f>
        <v>UB</v>
      </c>
      <c r="D86" s="421" t="str">
        <f ca="1">IF(INDEX(Well_Data_NK_Upcoming!$K$2:$K$996,MATCH('Rig_Schedule_View (2)'!B86,Well_Data_NK_Upcoming!Concatenated_Wellname,0))=0,"",INDEX(Well_Data_NK_Upcoming!$K$2:$K$996,MATCH('Rig_Schedule_View (2)'!B86,Well_Data_NK_Upcoming!Concatenated_Wellname,0)))</f>
        <v>NW</v>
      </c>
      <c r="E86" s="421" t="str">
        <f ca="1">IF(INDEX(Well_Data_NK_Upcoming!$J$2:$J$996,MATCH('Rig_Schedule_View (2)'!B86,Well_Data_NK_Upcoming!Concatenated_Wellname,0))=0,"",INDEX(Well_Data_NK_Upcoming!$J$2:$J$996,MATCH('Rig_Schedule_View (2)'!B86,Well_Data_NK_Upcoming!Concatenated_Wellname,0)))</f>
        <v>Prod</v>
      </c>
      <c r="F86" s="421" t="str">
        <f ca="1">IF(INDEX(Well_Data_NK_Upcoming!$L$2:$L$996,MATCH('Rig_Schedule_View (2)'!B86,Well_Data_NK_Upcoming!Concatenated_Wellname,0))=0,"",INDEX(Well_Data_NK_Upcoming!$L$2:$L$996,MATCH('Rig_Schedule_View (2)'!B86,Well_Data_NK_Upcoming!Concatenated_Wellname,0)))</f>
        <v>SL</v>
      </c>
      <c r="G86" s="421">
        <f ca="1">IF(INDEX(Well_Data_NK_Upcoming!$R$2:$R$996,MATCH('Rig_Schedule_View (2)'!B86,Well_Data_NK_Upcoming!Concatenated_Wellname,0))=0,"",INDEX(Well_Data_NK_Upcoming!$R$2:$R$996,MATCH('Rig_Schedule_View (2)'!B86,Well_Data_NK_Upcoming!Concatenated_Wellname,0)))</f>
        <v>75</v>
      </c>
      <c r="H86" s="526"/>
      <c r="I86" s="440" t="str">
        <f ca="1">RigScheduleTest!$R$8</f>
        <v/>
      </c>
      <c r="J86" s="440" t="str">
        <f ca="1">RigScheduleTest!$S$8</f>
        <v/>
      </c>
      <c r="K86" s="574"/>
      <c r="L86" s="546"/>
      <c r="M86" s="544"/>
      <c r="N86" s="545" t="s">
        <v>2229</v>
      </c>
      <c r="O86" s="545"/>
      <c r="P86" s="551"/>
    </row>
    <row r="87" spans="1:16" x14ac:dyDescent="0.25">
      <c r="A87" s="442" t="str">
        <f>RigScheduleTest!$B$8</f>
        <v>NDSC-15</v>
      </c>
      <c r="B87" s="442" t="str">
        <f ca="1">RigScheduleTest!$U$8</f>
        <v>SA-0471-SA-LB-Prod-ST-HZ</v>
      </c>
      <c r="C87" s="421" t="str">
        <f ca="1">IF(INDEX(Well_Data_NK_Upcoming!$G$2:$G$996,MATCH('Rig_Schedule_View (2)'!B87,Well_Data_NK_Upcoming!Concatenated_Wellname,0))=0,"",INDEX(Well_Data_NK_Upcoming!$G$2:$G$996,MATCH('Rig_Schedule_View (2)'!B87,Well_Data_NK_Upcoming!Concatenated_Wellname,0)))</f>
        <v>LB</v>
      </c>
      <c r="D87" s="421" t="str">
        <f ca="1">IF(INDEX(Well_Data_NK_Upcoming!$K$2:$K$996,MATCH('Rig_Schedule_View (2)'!B87,Well_Data_NK_Upcoming!Concatenated_Wellname,0))=0,"",INDEX(Well_Data_NK_Upcoming!$K$2:$K$996,MATCH('Rig_Schedule_View (2)'!B87,Well_Data_NK_Upcoming!Concatenated_Wellname,0)))</f>
        <v>ST</v>
      </c>
      <c r="E87" s="421" t="str">
        <f ca="1">IF(INDEX(Well_Data_NK_Upcoming!$J$2:$J$996,MATCH('Rig_Schedule_View (2)'!B87,Well_Data_NK_Upcoming!Concatenated_Wellname,0))=0,"",INDEX(Well_Data_NK_Upcoming!$J$2:$J$996,MATCH('Rig_Schedule_View (2)'!B87,Well_Data_NK_Upcoming!Concatenated_Wellname,0)))</f>
        <v>Prod</v>
      </c>
      <c r="F87" s="421" t="str">
        <f ca="1">IF(INDEX(Well_Data_NK_Upcoming!$L$2:$L$996,MATCH('Rig_Schedule_View (2)'!B87,Well_Data_NK_Upcoming!Concatenated_Wellname,0))=0,"",INDEX(Well_Data_NK_Upcoming!$L$2:$L$996,MATCH('Rig_Schedule_View (2)'!B87,Well_Data_NK_Upcoming!Concatenated_Wellname,0)))</f>
        <v>HZ</v>
      </c>
      <c r="G87" s="421">
        <f ca="1">IF(INDEX(Well_Data_NK_Upcoming!$R$2:$R$996,MATCH('Rig_Schedule_View (2)'!B87,Well_Data_NK_Upcoming!Concatenated_Wellname,0))=0,"",INDEX(Well_Data_NK_Upcoming!$R$2:$R$996,MATCH('Rig_Schedule_View (2)'!B87,Well_Data_NK_Upcoming!Concatenated_Wellname,0)))</f>
        <v>75</v>
      </c>
      <c r="H87" s="526"/>
      <c r="I87" s="443" t="str">
        <f ca="1">RigScheduleTest!$X$8</f>
        <v/>
      </c>
      <c r="J87" s="443" t="str">
        <f ca="1">RigScheduleTest!$Y$8</f>
        <v/>
      </c>
      <c r="K87" s="574"/>
      <c r="L87" s="546"/>
      <c r="M87" s="544"/>
      <c r="N87" s="545"/>
      <c r="O87" s="545"/>
      <c r="P87" s="551"/>
    </row>
    <row r="88" spans="1:16" x14ac:dyDescent="0.25">
      <c r="A88" s="442" t="str">
        <f>RigScheduleTest!$B$8</f>
        <v>NDSC-15</v>
      </c>
      <c r="B88" s="442" t="str">
        <f ca="1">RigScheduleTest!$AA$8</f>
        <v>RA19-RA-ZU-Prod-NW-HZ-SLB</v>
      </c>
      <c r="C88" s="421" t="str">
        <f ca="1">IF(INDEX(Well_Data_NK_Upcoming!$G$2:$G$996,MATCH('Rig_Schedule_View (2)'!B88,Well_Data_NK_Upcoming!Concatenated_Wellname,0))=0,"",INDEX(Well_Data_NK_Upcoming!$G$2:$G$996,MATCH('Rig_Schedule_View (2)'!B88,Well_Data_NK_Upcoming!Concatenated_Wellname,0)))</f>
        <v>ZU</v>
      </c>
      <c r="D88" s="421" t="str">
        <f ca="1">IF(INDEX(Well_Data_NK_Upcoming!$K$2:$K$996,MATCH('Rig_Schedule_View (2)'!B88,Well_Data_NK_Upcoming!Concatenated_Wellname,0))=0,"",INDEX(Well_Data_NK_Upcoming!$K$2:$K$996,MATCH('Rig_Schedule_View (2)'!B88,Well_Data_NK_Upcoming!Concatenated_Wellname,0)))</f>
        <v>NW</v>
      </c>
      <c r="E88" s="421" t="str">
        <f ca="1">IF(INDEX(Well_Data_NK_Upcoming!$J$2:$J$996,MATCH('Rig_Schedule_View (2)'!B88,Well_Data_NK_Upcoming!Concatenated_Wellname,0))=0,"",INDEX(Well_Data_NK_Upcoming!$J$2:$J$996,MATCH('Rig_Schedule_View (2)'!B88,Well_Data_NK_Upcoming!Concatenated_Wellname,0)))</f>
        <v>Prod</v>
      </c>
      <c r="F88" s="421" t="str">
        <f ca="1">IF(INDEX(Well_Data_NK_Upcoming!$L$2:$L$996,MATCH('Rig_Schedule_View (2)'!B88,Well_Data_NK_Upcoming!Concatenated_Wellname,0))=0,"",INDEX(Well_Data_NK_Upcoming!$L$2:$L$996,MATCH('Rig_Schedule_View (2)'!B88,Well_Data_NK_Upcoming!Concatenated_Wellname,0)))</f>
        <v>HZ</v>
      </c>
      <c r="G88" s="421">
        <f ca="1">IF(INDEX(Well_Data_NK_Upcoming!$R$2:$R$996,MATCH('Rig_Schedule_View (2)'!B88,Well_Data_NK_Upcoming!Concatenated_Wellname,0))=0,"",INDEX(Well_Data_NK_Upcoming!$R$2:$R$996,MATCH('Rig_Schedule_View (2)'!B88,Well_Data_NK_Upcoming!Concatenated_Wellname,0)))</f>
        <v>103</v>
      </c>
      <c r="H88" s="526"/>
      <c r="I88" s="443" t="str">
        <f ca="1">RigScheduleTest!$AD$8</f>
        <v/>
      </c>
      <c r="J88" s="443" t="str">
        <f ca="1">RigScheduleTest!$AE$8</f>
        <v/>
      </c>
      <c r="K88" s="574"/>
      <c r="L88" s="546"/>
      <c r="M88" s="544"/>
      <c r="N88" s="545"/>
      <c r="O88" s="545"/>
      <c r="P88" s="551"/>
    </row>
    <row r="89" spans="1:16" x14ac:dyDescent="0.25">
      <c r="A89" s="442" t="str">
        <f>RigScheduleTest!$B$8</f>
        <v>NDSC-15</v>
      </c>
      <c r="B89" s="442" t="str">
        <f ca="1">RigScheduleTest!$AG$8</f>
        <v>SA47-SA-MA-Inj-NW-HZ</v>
      </c>
      <c r="C89" s="421" t="str">
        <f ca="1">IF(INDEX(Well_Data_NK_Upcoming!$G$2:$G$996,MATCH('Rig_Schedule_View (2)'!B89,Well_Data_NK_Upcoming!Concatenated_Wellname,0))=0,"",INDEX(Well_Data_NK_Upcoming!$G$2:$G$996,MATCH('Rig_Schedule_View (2)'!B89,Well_Data_NK_Upcoming!Concatenated_Wellname,0)))</f>
        <v>MA</v>
      </c>
      <c r="D89" s="421" t="str">
        <f ca="1">IF(INDEX(Well_Data_NK_Upcoming!$K$2:$K$996,MATCH('Rig_Schedule_View (2)'!B89,Well_Data_NK_Upcoming!Concatenated_Wellname,0))=0,"",INDEX(Well_Data_NK_Upcoming!$K$2:$K$996,MATCH('Rig_Schedule_View (2)'!B89,Well_Data_NK_Upcoming!Concatenated_Wellname,0)))</f>
        <v>NW</v>
      </c>
      <c r="E89" s="421" t="str">
        <f ca="1">IF(INDEX(Well_Data_NK_Upcoming!$J$2:$J$996,MATCH('Rig_Schedule_View (2)'!B89,Well_Data_NK_Upcoming!Concatenated_Wellname,0))=0,"",INDEX(Well_Data_NK_Upcoming!$J$2:$J$996,MATCH('Rig_Schedule_View (2)'!B89,Well_Data_NK_Upcoming!Concatenated_Wellname,0)))</f>
        <v>Inj</v>
      </c>
      <c r="F89" s="421" t="str">
        <f ca="1">IF(INDEX(Well_Data_NK_Upcoming!$L$2:$L$996,MATCH('Rig_Schedule_View (2)'!B89,Well_Data_NK_Upcoming!Concatenated_Wellname,0))=0,"",INDEX(Well_Data_NK_Upcoming!$L$2:$L$996,MATCH('Rig_Schedule_View (2)'!B89,Well_Data_NK_Upcoming!Concatenated_Wellname,0)))</f>
        <v>HZ</v>
      </c>
      <c r="G89" s="421">
        <f ca="1">IF(INDEX(Well_Data_NK_Upcoming!$R$2:$R$996,MATCH('Rig_Schedule_View (2)'!B89,Well_Data_NK_Upcoming!Concatenated_Wellname,0))=0,"",INDEX(Well_Data_NK_Upcoming!$R$2:$R$996,MATCH('Rig_Schedule_View (2)'!B89,Well_Data_NK_Upcoming!Concatenated_Wellname,0)))</f>
        <v>68</v>
      </c>
      <c r="H89" s="526"/>
      <c r="I89" s="443" t="str">
        <f ca="1">RigScheduleTest!$AJ$8</f>
        <v/>
      </c>
      <c r="J89" s="443" t="str">
        <f ca="1">RigScheduleTest!$AK$8</f>
        <v/>
      </c>
      <c r="K89" s="574"/>
      <c r="L89" s="546"/>
      <c r="M89" s="544"/>
      <c r="N89" s="545"/>
      <c r="O89" s="545"/>
      <c r="P89" s="551"/>
    </row>
    <row r="90" spans="1:16" x14ac:dyDescent="0.25">
      <c r="A90" s="442" t="str">
        <f>RigScheduleTest!$B$8</f>
        <v>NDSC-15</v>
      </c>
      <c r="B90" s="442" t="str">
        <f ca="1">RigScheduleTest!$AM$8</f>
        <v>RA35-RA-LB-Prod-NW-SL-SLB</v>
      </c>
      <c r="C90" s="421" t="str">
        <f ca="1">IF(INDEX(Well_Data_NK_Upcoming!$G$2:$G$996,MATCH('Rig_Schedule_View (2)'!B90,Well_Data_NK_Upcoming!Concatenated_Wellname,0))=0,"",INDEX(Well_Data_NK_Upcoming!$G$2:$G$996,MATCH('Rig_Schedule_View (2)'!B90,Well_Data_NK_Upcoming!Concatenated_Wellname,0)))</f>
        <v>LB</v>
      </c>
      <c r="D90" s="421" t="str">
        <f ca="1">IF(INDEX(Well_Data_NK_Upcoming!$K$2:$K$996,MATCH('Rig_Schedule_View (2)'!B90,Well_Data_NK_Upcoming!Concatenated_Wellname,0))=0,"",INDEX(Well_Data_NK_Upcoming!$K$2:$K$996,MATCH('Rig_Schedule_View (2)'!B90,Well_Data_NK_Upcoming!Concatenated_Wellname,0)))</f>
        <v>NW</v>
      </c>
      <c r="E90" s="421" t="str">
        <f ca="1">IF(INDEX(Well_Data_NK_Upcoming!$J$2:$J$996,MATCH('Rig_Schedule_View (2)'!B90,Well_Data_NK_Upcoming!Concatenated_Wellname,0))=0,"",INDEX(Well_Data_NK_Upcoming!$J$2:$J$996,MATCH('Rig_Schedule_View (2)'!B90,Well_Data_NK_Upcoming!Concatenated_Wellname,0)))</f>
        <v>Prod</v>
      </c>
      <c r="F90" s="421" t="str">
        <f ca="1">IF(INDEX(Well_Data_NK_Upcoming!$L$2:$L$996,MATCH('Rig_Schedule_View (2)'!B90,Well_Data_NK_Upcoming!Concatenated_Wellname,0))=0,"",INDEX(Well_Data_NK_Upcoming!$L$2:$L$996,MATCH('Rig_Schedule_View (2)'!B90,Well_Data_NK_Upcoming!Concatenated_Wellname,0)))</f>
        <v>SL</v>
      </c>
      <c r="G90" s="421">
        <f ca="1">IF(INDEX(Well_Data_NK_Upcoming!$R$2:$R$996,MATCH('Rig_Schedule_View (2)'!B90,Well_Data_NK_Upcoming!Concatenated_Wellname,0))=0,"",INDEX(Well_Data_NK_Upcoming!$R$2:$R$996,MATCH('Rig_Schedule_View (2)'!B90,Well_Data_NK_Upcoming!Concatenated_Wellname,0)))</f>
        <v>75</v>
      </c>
      <c r="H90" s="526"/>
      <c r="I90" s="443" t="str">
        <f ca="1">RigScheduleTest!$AP$8</f>
        <v/>
      </c>
      <c r="J90" s="443" t="str">
        <f ca="1">RigScheduleTest!$AQ$8</f>
        <v/>
      </c>
      <c r="K90" s="574"/>
      <c r="L90" s="546"/>
      <c r="M90" s="544"/>
      <c r="N90" s="545"/>
      <c r="O90" s="545"/>
      <c r="P90" s="551"/>
    </row>
    <row r="91" spans="1:16" x14ac:dyDescent="0.25">
      <c r="A91" s="442" t="str">
        <f>RigScheduleTest!$B$8</f>
        <v>NDSC-15</v>
      </c>
      <c r="B91" s="442" t="str">
        <f ca="1">RigScheduleTest!$AS$8</f>
        <v>RA41-RA-UB-Prod-NW-HZ-SLB</v>
      </c>
      <c r="C91" s="421" t="str">
        <f ca="1">IF(INDEX(Well_Data_NK_Upcoming!$G$2:$G$996,MATCH('Rig_Schedule_View (2)'!B91,Well_Data_NK_Upcoming!Concatenated_Wellname,0))=0,"",INDEX(Well_Data_NK_Upcoming!$G$2:$G$996,MATCH('Rig_Schedule_View (2)'!B91,Well_Data_NK_Upcoming!Concatenated_Wellname,0)))</f>
        <v>UB</v>
      </c>
      <c r="D91" s="421" t="str">
        <f ca="1">IF(INDEX(Well_Data_NK_Upcoming!$K$2:$K$996,MATCH('Rig_Schedule_View (2)'!B91,Well_Data_NK_Upcoming!Concatenated_Wellname,0))=0,"",INDEX(Well_Data_NK_Upcoming!$K$2:$K$996,MATCH('Rig_Schedule_View (2)'!B91,Well_Data_NK_Upcoming!Concatenated_Wellname,0)))</f>
        <v>NW</v>
      </c>
      <c r="E91" s="421" t="str">
        <f ca="1">IF(INDEX(Well_Data_NK_Upcoming!$J$2:$J$996,MATCH('Rig_Schedule_View (2)'!B91,Well_Data_NK_Upcoming!Concatenated_Wellname,0))=0,"",INDEX(Well_Data_NK_Upcoming!$J$2:$J$996,MATCH('Rig_Schedule_View (2)'!B91,Well_Data_NK_Upcoming!Concatenated_Wellname,0)))</f>
        <v>Prod</v>
      </c>
      <c r="F91" s="421" t="str">
        <f ca="1">IF(INDEX(Well_Data_NK_Upcoming!$L$2:$L$996,MATCH('Rig_Schedule_View (2)'!B91,Well_Data_NK_Upcoming!Concatenated_Wellname,0))=0,"",INDEX(Well_Data_NK_Upcoming!$L$2:$L$996,MATCH('Rig_Schedule_View (2)'!B91,Well_Data_NK_Upcoming!Concatenated_Wellname,0)))</f>
        <v>HZ</v>
      </c>
      <c r="G91" s="421">
        <f ca="1">IF(INDEX(Well_Data_NK_Upcoming!$R$2:$R$996,MATCH('Rig_Schedule_View (2)'!B91,Well_Data_NK_Upcoming!Concatenated_Wellname,0))=0,"",INDEX(Well_Data_NK_Upcoming!$R$2:$R$996,MATCH('Rig_Schedule_View (2)'!B91,Well_Data_NK_Upcoming!Concatenated_Wellname,0)))</f>
        <v>75</v>
      </c>
      <c r="H91" s="526"/>
      <c r="I91" s="443" t="str">
        <f ca="1">RigScheduleTest!$AV$8</f>
        <v/>
      </c>
      <c r="J91" s="443" t="str">
        <f ca="1">RigScheduleTest!$AW$8</f>
        <v/>
      </c>
      <c r="K91" s="574"/>
      <c r="L91" s="546"/>
      <c r="M91" s="544"/>
      <c r="N91" s="545"/>
      <c r="O91" s="545"/>
      <c r="P91" s="551"/>
    </row>
    <row r="92" spans="1:16" x14ac:dyDescent="0.25">
      <c r="A92" s="442" t="str">
        <f>RigScheduleTest!$B$8</f>
        <v>NDSC-15</v>
      </c>
      <c r="B92" s="442" t="str">
        <f ca="1">RigScheduleTest!$AY$8</f>
        <v>RQ-RQ-ZU-Prod-NW-HZ</v>
      </c>
      <c r="C92" s="421" t="str">
        <f ca="1">IF(INDEX(Well_Data_NK_Upcoming!$G$2:$G$996,MATCH('Rig_Schedule_View (2)'!B92,Well_Data_NK_Upcoming!Concatenated_Wellname,0))=0,"",INDEX(Well_Data_NK_Upcoming!$G$2:$G$996,MATCH('Rig_Schedule_View (2)'!B92,Well_Data_NK_Upcoming!Concatenated_Wellname,0)))</f>
        <v>ZU</v>
      </c>
      <c r="D92" s="421" t="str">
        <f ca="1">IF(INDEX(Well_Data_NK_Upcoming!$K$2:$K$996,MATCH('Rig_Schedule_View (2)'!B92,Well_Data_NK_Upcoming!Concatenated_Wellname,0))=0,"",INDEX(Well_Data_NK_Upcoming!$K$2:$K$996,MATCH('Rig_Schedule_View (2)'!B92,Well_Data_NK_Upcoming!Concatenated_Wellname,0)))</f>
        <v>NW</v>
      </c>
      <c r="E92" s="421" t="str">
        <f ca="1">IF(INDEX(Well_Data_NK_Upcoming!$J$2:$J$996,MATCH('Rig_Schedule_View (2)'!B92,Well_Data_NK_Upcoming!Concatenated_Wellname,0))=0,"",INDEX(Well_Data_NK_Upcoming!$J$2:$J$996,MATCH('Rig_Schedule_View (2)'!B92,Well_Data_NK_Upcoming!Concatenated_Wellname,0)))</f>
        <v>Prod</v>
      </c>
      <c r="F92" s="421" t="str">
        <f ca="1">IF(INDEX(Well_Data_NK_Upcoming!$L$2:$L$996,MATCH('Rig_Schedule_View (2)'!B92,Well_Data_NK_Upcoming!Concatenated_Wellname,0))=0,"",INDEX(Well_Data_NK_Upcoming!$L$2:$L$996,MATCH('Rig_Schedule_View (2)'!B92,Well_Data_NK_Upcoming!Concatenated_Wellname,0)))</f>
        <v>HZ</v>
      </c>
      <c r="G92" s="421">
        <f ca="1">IF(INDEX(Well_Data_NK_Upcoming!$R$2:$R$996,MATCH('Rig_Schedule_View (2)'!B92,Well_Data_NK_Upcoming!Concatenated_Wellname,0))=0,"",INDEX(Well_Data_NK_Upcoming!$R$2:$R$996,MATCH('Rig_Schedule_View (2)'!B92,Well_Data_NK_Upcoming!Concatenated_Wellname,0)))</f>
        <v>103</v>
      </c>
      <c r="H92" s="526"/>
      <c r="I92" s="443" t="str">
        <f ca="1">RigScheduleTest!$BB$8</f>
        <v/>
      </c>
      <c r="J92" s="443" t="str">
        <f ca="1">RigScheduleTest!$BC$8</f>
        <v/>
      </c>
      <c r="K92" s="574"/>
      <c r="L92" s="546"/>
      <c r="M92" s="544"/>
      <c r="N92" s="545"/>
      <c r="O92" s="545"/>
      <c r="P92" s="551"/>
    </row>
    <row r="93" spans="1:16" x14ac:dyDescent="0.25">
      <c r="A93" s="442" t="str">
        <f>RigScheduleTest!$B$8</f>
        <v>NDSC-15</v>
      </c>
      <c r="B93" s="442" t="str">
        <f ca="1">RigScheduleTest!$BE$8</f>
        <v/>
      </c>
      <c r="C93" s="421" t="str">
        <f ca="1">IF(INDEX(Well_Data_NK_Upcoming!$G$2:$G$996,MATCH('Rig_Schedule_View (2)'!B93,Well_Data_NK_Upcoming!Concatenated_Wellname,0))=0,"",INDEX(Well_Data_NK_Upcoming!$G$2:$G$996,MATCH('Rig_Schedule_View (2)'!B93,Well_Data_NK_Upcoming!Concatenated_Wellname,0)))</f>
        <v/>
      </c>
      <c r="D93" s="421" t="str">
        <f ca="1">IF(INDEX(Well_Data_NK_Upcoming!$K$2:$K$996,MATCH('Rig_Schedule_View (2)'!B93,Well_Data_NK_Upcoming!Concatenated_Wellname,0))=0,"",INDEX(Well_Data_NK_Upcoming!$K$2:$K$996,MATCH('Rig_Schedule_View (2)'!B93,Well_Data_NK_Upcoming!Concatenated_Wellname,0)))</f>
        <v/>
      </c>
      <c r="E93" s="421" t="str">
        <f ca="1">IF(INDEX(Well_Data_NK_Upcoming!$J$2:$J$996,MATCH('Rig_Schedule_View (2)'!B93,Well_Data_NK_Upcoming!Concatenated_Wellname,0))=0,"",INDEX(Well_Data_NK_Upcoming!$J$2:$J$996,MATCH('Rig_Schedule_View (2)'!B93,Well_Data_NK_Upcoming!Concatenated_Wellname,0)))</f>
        <v/>
      </c>
      <c r="F93" s="421" t="str">
        <f ca="1">IF(INDEX(Well_Data_NK_Upcoming!$L$2:$L$996,MATCH('Rig_Schedule_View (2)'!B93,Well_Data_NK_Upcoming!Concatenated_Wellname,0))=0,"",INDEX(Well_Data_NK_Upcoming!$L$2:$L$996,MATCH('Rig_Schedule_View (2)'!B93,Well_Data_NK_Upcoming!Concatenated_Wellname,0)))</f>
        <v/>
      </c>
      <c r="G93" s="421" t="str">
        <f ca="1">IF(INDEX(Well_Data_NK_Upcoming!$R$2:$R$996,MATCH('Rig_Schedule_View (2)'!B93,Well_Data_NK_Upcoming!Concatenated_Wellname,0))=0,"",INDEX(Well_Data_NK_Upcoming!$R$2:$R$996,MATCH('Rig_Schedule_View (2)'!B93,Well_Data_NK_Upcoming!Concatenated_Wellname,0)))</f>
        <v/>
      </c>
      <c r="H93" s="526"/>
      <c r="I93" s="443" t="str">
        <f ca="1">RigScheduleTest!$BH$8</f>
        <v/>
      </c>
      <c r="J93" s="443" t="str">
        <f ca="1">RigScheduleTest!$BI$8</f>
        <v/>
      </c>
      <c r="K93" s="574"/>
      <c r="L93" s="546"/>
      <c r="M93" s="544"/>
      <c r="N93" s="545"/>
      <c r="O93" s="545"/>
      <c r="P93" s="551"/>
    </row>
    <row r="94" spans="1:16" x14ac:dyDescent="0.25">
      <c r="A94" s="442" t="str">
        <f>RigScheduleTest!$B$8</f>
        <v>NDSC-15</v>
      </c>
      <c r="B94" s="442" t="str">
        <f ca="1">RigScheduleTest!$BK$8</f>
        <v/>
      </c>
      <c r="C94" s="421" t="str">
        <f ca="1">IF(INDEX(Well_Data_NK_Upcoming!$G$2:$G$996,MATCH('Rig_Schedule_View (2)'!B94,Well_Data_NK_Upcoming!Concatenated_Wellname,0))=0,"",INDEX(Well_Data_NK_Upcoming!$G$2:$G$996,MATCH('Rig_Schedule_View (2)'!B94,Well_Data_NK_Upcoming!Concatenated_Wellname,0)))</f>
        <v/>
      </c>
      <c r="D94" s="421" t="str">
        <f ca="1">IF(INDEX(Well_Data_NK_Upcoming!$K$2:$K$996,MATCH('Rig_Schedule_View (2)'!B94,Well_Data_NK_Upcoming!Concatenated_Wellname,0))=0,"",INDEX(Well_Data_NK_Upcoming!$K$2:$K$996,MATCH('Rig_Schedule_View (2)'!B94,Well_Data_NK_Upcoming!Concatenated_Wellname,0)))</f>
        <v/>
      </c>
      <c r="E94" s="421" t="str">
        <f ca="1">IF(INDEX(Well_Data_NK_Upcoming!$J$2:$J$996,MATCH('Rig_Schedule_View (2)'!B94,Well_Data_NK_Upcoming!Concatenated_Wellname,0))=0,"",INDEX(Well_Data_NK_Upcoming!$J$2:$J$996,MATCH('Rig_Schedule_View (2)'!B94,Well_Data_NK_Upcoming!Concatenated_Wellname,0)))</f>
        <v/>
      </c>
      <c r="F94" s="421" t="str">
        <f ca="1">IF(INDEX(Well_Data_NK_Upcoming!$L$2:$L$996,MATCH('Rig_Schedule_View (2)'!B94,Well_Data_NK_Upcoming!Concatenated_Wellname,0))=0,"",INDEX(Well_Data_NK_Upcoming!$L$2:$L$996,MATCH('Rig_Schedule_View (2)'!B94,Well_Data_NK_Upcoming!Concatenated_Wellname,0)))</f>
        <v/>
      </c>
      <c r="G94" s="421" t="str">
        <f ca="1">IF(INDEX(Well_Data_NK_Upcoming!$R$2:$R$996,MATCH('Rig_Schedule_View (2)'!B94,Well_Data_NK_Upcoming!Concatenated_Wellname,0))=0,"",INDEX(Well_Data_NK_Upcoming!$R$2:$R$996,MATCH('Rig_Schedule_View (2)'!B94,Well_Data_NK_Upcoming!Concatenated_Wellname,0)))</f>
        <v/>
      </c>
      <c r="H94" s="526"/>
      <c r="I94" s="443" t="str">
        <f ca="1">RigScheduleTest!$BN$8</f>
        <v/>
      </c>
      <c r="J94" s="443" t="str">
        <f ca="1">RigScheduleTest!$BO$8</f>
        <v/>
      </c>
      <c r="K94" s="574"/>
      <c r="L94" s="546"/>
      <c r="M94" s="544"/>
      <c r="N94" s="545"/>
      <c r="O94" s="545"/>
      <c r="P94" s="551"/>
    </row>
    <row r="95" spans="1:16" x14ac:dyDescent="0.25">
      <c r="A95" s="437" t="str">
        <f>RigScheduleTest!$B$1</f>
        <v>RIG</v>
      </c>
      <c r="B95" s="437" t="str">
        <f>$K$1</f>
        <v>Development Drilling</v>
      </c>
      <c r="C95" s="437" t="s">
        <v>1831</v>
      </c>
      <c r="D95" s="437" t="s">
        <v>867</v>
      </c>
      <c r="E95" s="437" t="s">
        <v>8</v>
      </c>
      <c r="F95" s="437" t="s">
        <v>2</v>
      </c>
      <c r="G95" s="437" t="s">
        <v>1513</v>
      </c>
      <c r="H95" s="438" t="str">
        <f>$K$3</f>
        <v>Rig Deployment Meeting</v>
      </c>
      <c r="I95" s="439" t="str">
        <f>$K$5</f>
        <v>Start</v>
      </c>
      <c r="J95" s="439" t="str">
        <f>$K$6</f>
        <v>End</v>
      </c>
      <c r="K95" s="444" t="s">
        <v>1068</v>
      </c>
      <c r="L95" s="444" t="s">
        <v>1577</v>
      </c>
      <c r="M95" s="496" t="s">
        <v>1934</v>
      </c>
      <c r="N95" s="504" t="s">
        <v>1940</v>
      </c>
      <c r="O95" s="504" t="s">
        <v>1941</v>
      </c>
      <c r="P95" s="502"/>
    </row>
    <row r="96" spans="1:16" x14ac:dyDescent="0.25">
      <c r="A96" s="442" t="str">
        <f>RigScheduleTest!$B$9</f>
        <v>NDSC-16</v>
      </c>
      <c r="B96" s="421" t="str">
        <f ca="1">RigScheduleTest!$D$9</f>
        <v>SA-0166-SA-MA-Prod-ST-HZ-SLB</v>
      </c>
      <c r="C96" s="421" t="str">
        <f ca="1">IF(INDEX(Well_Data_NK_Upcoming!$G$2:$G$996,MATCH('Rig_Schedule_View (2)'!B96,Well_Data_NK_Upcoming!Concatenated_Wellname,0))=0,"",INDEX(Well_Data_NK_Upcoming!$G$2:$G$996,MATCH('Rig_Schedule_View (2)'!B96,Well_Data_NK_Upcoming!Concatenated_Wellname,0)))</f>
        <v>MA</v>
      </c>
      <c r="D96" s="421" t="str">
        <f ca="1">IF(INDEX(Well_Data_NK_Upcoming!$K$2:$K$996,MATCH('Rig_Schedule_View (2)'!B96,Well_Data_NK_Upcoming!Concatenated_Wellname,0))=0,"",INDEX(Well_Data_NK_Upcoming!$K$2:$K$996,MATCH('Rig_Schedule_View (2)'!B96,Well_Data_NK_Upcoming!Concatenated_Wellname,0)))</f>
        <v>ST</v>
      </c>
      <c r="E96" s="421" t="str">
        <f ca="1">IF(INDEX(Well_Data_NK_Upcoming!$J$2:$J$996,MATCH('Rig_Schedule_View (2)'!B96,Well_Data_NK_Upcoming!Concatenated_Wellname,0))=0,"",INDEX(Well_Data_NK_Upcoming!$J$2:$J$996,MATCH('Rig_Schedule_View (2)'!B96,Well_Data_NK_Upcoming!Concatenated_Wellname,0)))</f>
        <v>Prod</v>
      </c>
      <c r="F96" s="421" t="str">
        <f ca="1">IF(INDEX(Well_Data_NK_Upcoming!$L$2:$L$996,MATCH('Rig_Schedule_View (2)'!B96,Well_Data_NK_Upcoming!Concatenated_Wellname,0))=0,"",INDEX(Well_Data_NK_Upcoming!$L$2:$L$996,MATCH('Rig_Schedule_View (2)'!B96,Well_Data_NK_Upcoming!Concatenated_Wellname,0)))</f>
        <v>HZ</v>
      </c>
      <c r="G96" s="421">
        <f ca="1">IF(INDEX(Well_Data_NK_Upcoming!$R$2:$R$996,MATCH('Rig_Schedule_View (2)'!B96,Well_Data_NK_Upcoming!Concatenated_Wellname,0))=0,"",INDEX(Well_Data_NK_Upcoming!$R$2:$R$996,MATCH('Rig_Schedule_View (2)'!B96,Well_Data_NK_Upcoming!Concatenated_Wellname,0)))</f>
        <v>61</v>
      </c>
      <c r="H96" s="526">
        <f>RigScheduleTest!$F$9</f>
        <v>42233</v>
      </c>
      <c r="I96" s="459">
        <f ca="1">IF(INDEX(Well_Data_NK_Upcoming!$O$2:$O$996,MATCH('Rig_Schedule_View (2)'!B96,Well_Data_NK_Upcoming!Concatenated_Wellname,0))=0,"",INDEX(Well_Data_NK_Upcoming!$O$2:$O$996,MATCH('Rig_Schedule_View (2)'!B96,Well_Data_NK_Upcoming!Concatenated_Wellname,0)))</f>
        <v>42222.041666666664</v>
      </c>
      <c r="J96" s="446">
        <f ca="1">RigScheduleTest!$H$9</f>
        <v>42247</v>
      </c>
      <c r="K96" s="574" t="s">
        <v>1917</v>
      </c>
      <c r="L96" s="543"/>
      <c r="M96" s="544">
        <v>14</v>
      </c>
      <c r="N96" s="545"/>
      <c r="O96" s="545"/>
      <c r="P96" s="551"/>
    </row>
    <row r="97" spans="1:16" x14ac:dyDescent="0.25">
      <c r="A97" s="442" t="str">
        <f>RigScheduleTest!$B$9</f>
        <v>NDSC-16</v>
      </c>
      <c r="B97" s="441" t="str">
        <f ca="1">RigScheduleTest!$I$9</f>
        <v>RA-0311-RA-MA-Prod-ST-HZ-SLB</v>
      </c>
      <c r="C97" s="421" t="str">
        <f ca="1">IF(INDEX(Well_Data_NK_Upcoming!$G$2:$G$996,MATCH('Rig_Schedule_View (2)'!B97,Well_Data_NK_Upcoming!Concatenated_Wellname,0))=0,"",INDEX(Well_Data_NK_Upcoming!$G$2:$G$996,MATCH('Rig_Schedule_View (2)'!B97,Well_Data_NK_Upcoming!Concatenated_Wellname,0)))</f>
        <v>MA</v>
      </c>
      <c r="D97" s="421" t="str">
        <f ca="1">IF(INDEX(Well_Data_NK_Upcoming!$K$2:$K$996,MATCH('Rig_Schedule_View (2)'!B97,Well_Data_NK_Upcoming!Concatenated_Wellname,0))=0,"",INDEX(Well_Data_NK_Upcoming!$K$2:$K$996,MATCH('Rig_Schedule_View (2)'!B97,Well_Data_NK_Upcoming!Concatenated_Wellname,0)))</f>
        <v>ST</v>
      </c>
      <c r="E97" s="421" t="str">
        <f ca="1">IF(INDEX(Well_Data_NK_Upcoming!$J$2:$J$996,MATCH('Rig_Schedule_View (2)'!B97,Well_Data_NK_Upcoming!Concatenated_Wellname,0))=0,"",INDEX(Well_Data_NK_Upcoming!$J$2:$J$996,MATCH('Rig_Schedule_View (2)'!B97,Well_Data_NK_Upcoming!Concatenated_Wellname,0)))</f>
        <v>Prod</v>
      </c>
      <c r="F97" s="421" t="str">
        <f ca="1">IF(INDEX(Well_Data_NK_Upcoming!$L$2:$L$996,MATCH('Rig_Schedule_View (2)'!B97,Well_Data_NK_Upcoming!Concatenated_Wellname,0))=0,"",INDEX(Well_Data_NK_Upcoming!$L$2:$L$996,MATCH('Rig_Schedule_View (2)'!B97,Well_Data_NK_Upcoming!Concatenated_Wellname,0)))</f>
        <v>HZ</v>
      </c>
      <c r="G97" s="421">
        <f ca="1">IF(INDEX(Well_Data_NK_Upcoming!$R$2:$R$996,MATCH('Rig_Schedule_View (2)'!B97,Well_Data_NK_Upcoming!Concatenated_Wellname,0))=0,"",INDEX(Well_Data_NK_Upcoming!$R$2:$R$996,MATCH('Rig_Schedule_View (2)'!B97,Well_Data_NK_Upcoming!Concatenated_Wellname,0)))</f>
        <v>61</v>
      </c>
      <c r="H97" s="526"/>
      <c r="I97" s="440">
        <f ca="1">RigScheduleTest!$L$9</f>
        <v>42252</v>
      </c>
      <c r="J97" s="440">
        <f ca="1">RigScheduleTest!$M$9</f>
        <v>42308</v>
      </c>
      <c r="K97" s="574"/>
      <c r="L97" s="553" t="s">
        <v>2231</v>
      </c>
      <c r="M97" s="544"/>
      <c r="N97" s="545" t="s">
        <v>1981</v>
      </c>
      <c r="O97" s="545"/>
      <c r="P97" s="551"/>
    </row>
    <row r="98" spans="1:16" x14ac:dyDescent="0.25">
      <c r="A98" s="442" t="str">
        <f>RigScheduleTest!$B$9</f>
        <v>NDSC-16</v>
      </c>
      <c r="B98" s="441" t="str">
        <f ca="1">RigScheduleTest!$O$9</f>
        <v>RA-0593-RA-ZU-Prod-NW-HZ-SLB</v>
      </c>
      <c r="C98" s="421" t="str">
        <f ca="1">IF(INDEX(Well_Data_NK_Upcoming!$G$2:$G$996,MATCH('Rig_Schedule_View (2)'!B98,Well_Data_NK_Upcoming!Concatenated_Wellname,0))=0,"",INDEX(Well_Data_NK_Upcoming!$G$2:$G$996,MATCH('Rig_Schedule_View (2)'!B98,Well_Data_NK_Upcoming!Concatenated_Wellname,0)))</f>
        <v>ZU</v>
      </c>
      <c r="D98" s="421" t="str">
        <f ca="1">IF(INDEX(Well_Data_NK_Upcoming!$K$2:$K$996,MATCH('Rig_Schedule_View (2)'!B98,Well_Data_NK_Upcoming!Concatenated_Wellname,0))=0,"",INDEX(Well_Data_NK_Upcoming!$K$2:$K$996,MATCH('Rig_Schedule_View (2)'!B98,Well_Data_NK_Upcoming!Concatenated_Wellname,0)))</f>
        <v>NW</v>
      </c>
      <c r="E98" s="421" t="str">
        <f ca="1">IF(INDEX(Well_Data_NK_Upcoming!$J$2:$J$996,MATCH('Rig_Schedule_View (2)'!B98,Well_Data_NK_Upcoming!Concatenated_Wellname,0))=0,"",INDEX(Well_Data_NK_Upcoming!$J$2:$J$996,MATCH('Rig_Schedule_View (2)'!B98,Well_Data_NK_Upcoming!Concatenated_Wellname,0)))</f>
        <v>Prod</v>
      </c>
      <c r="F98" s="421" t="str">
        <f ca="1">IF(INDEX(Well_Data_NK_Upcoming!$L$2:$L$996,MATCH('Rig_Schedule_View (2)'!B98,Well_Data_NK_Upcoming!Concatenated_Wellname,0))=0,"",INDEX(Well_Data_NK_Upcoming!$L$2:$L$996,MATCH('Rig_Schedule_View (2)'!B98,Well_Data_NK_Upcoming!Concatenated_Wellname,0)))</f>
        <v>HZ</v>
      </c>
      <c r="G98" s="421">
        <f ca="1">IF(INDEX(Well_Data_NK_Upcoming!$R$2:$R$996,MATCH('Rig_Schedule_View (2)'!B98,Well_Data_NK_Upcoming!Concatenated_Wellname,0))=0,"",INDEX(Well_Data_NK_Upcoming!$R$2:$R$996,MATCH('Rig_Schedule_View (2)'!B98,Well_Data_NK_Upcoming!Concatenated_Wellname,0)))</f>
        <v>103</v>
      </c>
      <c r="H98" s="526"/>
      <c r="I98" s="440">
        <f ca="1">RigScheduleTest!$R$9</f>
        <v>42313</v>
      </c>
      <c r="J98" s="440">
        <f ca="1">RigScheduleTest!$S$9</f>
        <v>42411</v>
      </c>
      <c r="K98" s="574"/>
      <c r="L98" s="546" t="s">
        <v>2230</v>
      </c>
      <c r="M98" s="544"/>
      <c r="N98" s="545"/>
      <c r="O98" s="545"/>
      <c r="P98" s="551"/>
    </row>
    <row r="99" spans="1:16" x14ac:dyDescent="0.25">
      <c r="A99" s="442" t="str">
        <f>RigScheduleTest!$B$9</f>
        <v>NDSC-16</v>
      </c>
      <c r="B99" s="442" t="str">
        <f ca="1">RigScheduleTest!$U$9</f>
        <v>RA10-RA-ZU-Prod-SLB</v>
      </c>
      <c r="C99" s="421" t="str">
        <f ca="1">IF(INDEX(Well_Data_NK_Upcoming!$G$2:$G$996,MATCH('Rig_Schedule_View (2)'!B99,Well_Data_NK_Upcoming!Concatenated_Wellname,0))=0,"",INDEX(Well_Data_NK_Upcoming!$G$2:$G$996,MATCH('Rig_Schedule_View (2)'!B99,Well_Data_NK_Upcoming!Concatenated_Wellname,0)))</f>
        <v>ZU</v>
      </c>
      <c r="D99" s="421" t="str">
        <f ca="1">IF(INDEX(Well_Data_NK_Upcoming!$K$2:$K$996,MATCH('Rig_Schedule_View (2)'!B99,Well_Data_NK_Upcoming!Concatenated_Wellname,0))=0,"",INDEX(Well_Data_NK_Upcoming!$K$2:$K$996,MATCH('Rig_Schedule_View (2)'!B99,Well_Data_NK_Upcoming!Concatenated_Wellname,0)))</f>
        <v/>
      </c>
      <c r="E99" s="421" t="str">
        <f ca="1">IF(INDEX(Well_Data_NK_Upcoming!$J$2:$J$996,MATCH('Rig_Schedule_View (2)'!B99,Well_Data_NK_Upcoming!Concatenated_Wellname,0))=0,"",INDEX(Well_Data_NK_Upcoming!$J$2:$J$996,MATCH('Rig_Schedule_View (2)'!B99,Well_Data_NK_Upcoming!Concatenated_Wellname,0)))</f>
        <v>Prod</v>
      </c>
      <c r="F99" s="421" t="str">
        <f ca="1">IF(INDEX(Well_Data_NK_Upcoming!$L$2:$L$996,MATCH('Rig_Schedule_View (2)'!B99,Well_Data_NK_Upcoming!Concatenated_Wellname,0))=0,"",INDEX(Well_Data_NK_Upcoming!$L$2:$L$996,MATCH('Rig_Schedule_View (2)'!B99,Well_Data_NK_Upcoming!Concatenated_Wellname,0)))</f>
        <v/>
      </c>
      <c r="G99" s="421">
        <f ca="1">IF(INDEX(Well_Data_NK_Upcoming!$R$2:$R$996,MATCH('Rig_Schedule_View (2)'!B99,Well_Data_NK_Upcoming!Concatenated_Wellname,0))=0,"",INDEX(Well_Data_NK_Upcoming!$R$2:$R$996,MATCH('Rig_Schedule_View (2)'!B99,Well_Data_NK_Upcoming!Concatenated_Wellname,0)))</f>
        <v>103</v>
      </c>
      <c r="H99" s="526"/>
      <c r="I99" s="443">
        <f ca="1">RigScheduleTest!$X$9</f>
        <v>42416</v>
      </c>
      <c r="J99" s="443">
        <f ca="1">RigScheduleTest!$Y$9</f>
        <v>42514</v>
      </c>
      <c r="K99" s="574"/>
      <c r="L99" s="546"/>
      <c r="M99" s="544"/>
      <c r="N99" s="545"/>
      <c r="O99" s="545"/>
      <c r="P99" s="551"/>
    </row>
    <row r="100" spans="1:16" x14ac:dyDescent="0.25">
      <c r="A100" s="442" t="str">
        <f>RigScheduleTest!$B$9</f>
        <v>NDSC-16</v>
      </c>
      <c r="B100" s="442" t="str">
        <f ca="1">RigScheduleTest!$AA$9</f>
        <v>SA19-SA-MA-Prod-NW-HZ</v>
      </c>
      <c r="C100" s="421" t="str">
        <f ca="1">IF(INDEX(Well_Data_NK_Upcoming!$G$2:$G$996,MATCH('Rig_Schedule_View (2)'!B100,Well_Data_NK_Upcoming!Concatenated_Wellname,0))=0,"",INDEX(Well_Data_NK_Upcoming!$G$2:$G$996,MATCH('Rig_Schedule_View (2)'!B100,Well_Data_NK_Upcoming!Concatenated_Wellname,0)))</f>
        <v>MA</v>
      </c>
      <c r="D100" s="421" t="str">
        <f ca="1">IF(INDEX(Well_Data_NK_Upcoming!$K$2:$K$996,MATCH('Rig_Schedule_View (2)'!B100,Well_Data_NK_Upcoming!Concatenated_Wellname,0))=0,"",INDEX(Well_Data_NK_Upcoming!$K$2:$K$996,MATCH('Rig_Schedule_View (2)'!B100,Well_Data_NK_Upcoming!Concatenated_Wellname,0)))</f>
        <v>NW</v>
      </c>
      <c r="E100" s="421" t="str">
        <f ca="1">IF(INDEX(Well_Data_NK_Upcoming!$J$2:$J$996,MATCH('Rig_Schedule_View (2)'!B100,Well_Data_NK_Upcoming!Concatenated_Wellname,0))=0,"",INDEX(Well_Data_NK_Upcoming!$J$2:$J$996,MATCH('Rig_Schedule_View (2)'!B100,Well_Data_NK_Upcoming!Concatenated_Wellname,0)))</f>
        <v>Prod</v>
      </c>
      <c r="F100" s="421" t="str">
        <f ca="1">IF(INDEX(Well_Data_NK_Upcoming!$L$2:$L$996,MATCH('Rig_Schedule_View (2)'!B100,Well_Data_NK_Upcoming!Concatenated_Wellname,0))=0,"",INDEX(Well_Data_NK_Upcoming!$L$2:$L$996,MATCH('Rig_Schedule_View (2)'!B100,Well_Data_NK_Upcoming!Concatenated_Wellname,0)))</f>
        <v>HZ</v>
      </c>
      <c r="G100" s="421">
        <f ca="1">IF(INDEX(Well_Data_NK_Upcoming!$R$2:$R$996,MATCH('Rig_Schedule_View (2)'!B100,Well_Data_NK_Upcoming!Concatenated_Wellname,0))=0,"",INDEX(Well_Data_NK_Upcoming!$R$2:$R$996,MATCH('Rig_Schedule_View (2)'!B100,Well_Data_NK_Upcoming!Concatenated_Wellname,0)))</f>
        <v>75</v>
      </c>
      <c r="H100" s="526"/>
      <c r="I100" s="443">
        <f ca="1">RigScheduleTest!$AD$9</f>
        <v>42519</v>
      </c>
      <c r="J100" s="443">
        <f ca="1">RigScheduleTest!$AE$9</f>
        <v>42589</v>
      </c>
      <c r="K100" s="574"/>
      <c r="L100" s="546"/>
      <c r="M100" s="544"/>
      <c r="N100" s="545"/>
      <c r="O100" s="545"/>
      <c r="P100" s="551"/>
    </row>
    <row r="101" spans="1:16" x14ac:dyDescent="0.25">
      <c r="A101" s="442" t="str">
        <f>RigScheduleTest!$B$9</f>
        <v>NDSC-16</v>
      </c>
      <c r="B101" s="442" t="str">
        <f ca="1">RigScheduleTest!$AG$9</f>
        <v>RA20-RA-LB-Prod-NW-SL-SLB</v>
      </c>
      <c r="C101" s="421" t="str">
        <f ca="1">IF(INDEX(Well_Data_NK_Upcoming!$G$2:$G$996,MATCH('Rig_Schedule_View (2)'!B101,Well_Data_NK_Upcoming!Concatenated_Wellname,0))=0,"",INDEX(Well_Data_NK_Upcoming!$G$2:$G$996,MATCH('Rig_Schedule_View (2)'!B101,Well_Data_NK_Upcoming!Concatenated_Wellname,0)))</f>
        <v>LB</v>
      </c>
      <c r="D101" s="421" t="str">
        <f ca="1">IF(INDEX(Well_Data_NK_Upcoming!$K$2:$K$996,MATCH('Rig_Schedule_View (2)'!B101,Well_Data_NK_Upcoming!Concatenated_Wellname,0))=0,"",INDEX(Well_Data_NK_Upcoming!$K$2:$K$996,MATCH('Rig_Schedule_View (2)'!B101,Well_Data_NK_Upcoming!Concatenated_Wellname,0)))</f>
        <v>NW</v>
      </c>
      <c r="E101" s="421" t="str">
        <f ca="1">IF(INDEX(Well_Data_NK_Upcoming!$J$2:$J$996,MATCH('Rig_Schedule_View (2)'!B101,Well_Data_NK_Upcoming!Concatenated_Wellname,0))=0,"",INDEX(Well_Data_NK_Upcoming!$J$2:$J$996,MATCH('Rig_Schedule_View (2)'!B101,Well_Data_NK_Upcoming!Concatenated_Wellname,0)))</f>
        <v>Prod</v>
      </c>
      <c r="F101" s="421" t="str">
        <f ca="1">IF(INDEX(Well_Data_NK_Upcoming!$L$2:$L$996,MATCH('Rig_Schedule_View (2)'!B101,Well_Data_NK_Upcoming!Concatenated_Wellname,0))=0,"",INDEX(Well_Data_NK_Upcoming!$L$2:$L$996,MATCH('Rig_Schedule_View (2)'!B101,Well_Data_NK_Upcoming!Concatenated_Wellname,0)))</f>
        <v>SL</v>
      </c>
      <c r="G101" s="421">
        <f ca="1">IF(INDEX(Well_Data_NK_Upcoming!$R$2:$R$996,MATCH('Rig_Schedule_View (2)'!B101,Well_Data_NK_Upcoming!Concatenated_Wellname,0))=0,"",INDEX(Well_Data_NK_Upcoming!$R$2:$R$996,MATCH('Rig_Schedule_View (2)'!B101,Well_Data_NK_Upcoming!Concatenated_Wellname,0)))</f>
        <v>75</v>
      </c>
      <c r="H101" s="526"/>
      <c r="I101" s="443">
        <f ca="1">RigScheduleTest!$AJ$9</f>
        <v>42594</v>
      </c>
      <c r="J101" s="443">
        <f ca="1">RigScheduleTest!$AK$9</f>
        <v>42664</v>
      </c>
      <c r="K101" s="574"/>
      <c r="L101" s="546"/>
      <c r="M101" s="544"/>
      <c r="N101" s="545"/>
      <c r="O101" s="545"/>
      <c r="P101" s="551"/>
    </row>
    <row r="102" spans="1:16" x14ac:dyDescent="0.25">
      <c r="A102" s="442" t="str">
        <f>RigScheduleTest!$B$9</f>
        <v>NDSC-16</v>
      </c>
      <c r="B102" s="442" t="str">
        <f ca="1">RigScheduleTest!$AM$9</f>
        <v>RA27-RA-UB-Prod-NW-SL-SLB</v>
      </c>
      <c r="C102" s="421" t="str">
        <f ca="1">IF(INDEX(Well_Data_NK_Upcoming!$G$2:$G$996,MATCH('Rig_Schedule_View (2)'!B102,Well_Data_NK_Upcoming!Concatenated_Wellname,0))=0,"",INDEX(Well_Data_NK_Upcoming!$G$2:$G$996,MATCH('Rig_Schedule_View (2)'!B102,Well_Data_NK_Upcoming!Concatenated_Wellname,0)))</f>
        <v>UB</v>
      </c>
      <c r="D102" s="421" t="str">
        <f ca="1">IF(INDEX(Well_Data_NK_Upcoming!$K$2:$K$996,MATCH('Rig_Schedule_View (2)'!B102,Well_Data_NK_Upcoming!Concatenated_Wellname,0))=0,"",INDEX(Well_Data_NK_Upcoming!$K$2:$K$996,MATCH('Rig_Schedule_View (2)'!B102,Well_Data_NK_Upcoming!Concatenated_Wellname,0)))</f>
        <v>NW</v>
      </c>
      <c r="E102" s="421" t="str">
        <f ca="1">IF(INDEX(Well_Data_NK_Upcoming!$J$2:$J$996,MATCH('Rig_Schedule_View (2)'!B102,Well_Data_NK_Upcoming!Concatenated_Wellname,0))=0,"",INDEX(Well_Data_NK_Upcoming!$J$2:$J$996,MATCH('Rig_Schedule_View (2)'!B102,Well_Data_NK_Upcoming!Concatenated_Wellname,0)))</f>
        <v>Prod</v>
      </c>
      <c r="F102" s="421" t="str">
        <f ca="1">IF(INDEX(Well_Data_NK_Upcoming!$L$2:$L$996,MATCH('Rig_Schedule_View (2)'!B102,Well_Data_NK_Upcoming!Concatenated_Wellname,0))=0,"",INDEX(Well_Data_NK_Upcoming!$L$2:$L$996,MATCH('Rig_Schedule_View (2)'!B102,Well_Data_NK_Upcoming!Concatenated_Wellname,0)))</f>
        <v>SL</v>
      </c>
      <c r="G102" s="421">
        <f ca="1">IF(INDEX(Well_Data_NK_Upcoming!$R$2:$R$996,MATCH('Rig_Schedule_View (2)'!B102,Well_Data_NK_Upcoming!Concatenated_Wellname,0))=0,"",INDEX(Well_Data_NK_Upcoming!$R$2:$R$996,MATCH('Rig_Schedule_View (2)'!B102,Well_Data_NK_Upcoming!Concatenated_Wellname,0)))</f>
        <v>75</v>
      </c>
      <c r="H102" s="526"/>
      <c r="I102" s="443">
        <f ca="1">RigScheduleTest!$AP$9</f>
        <v>42669</v>
      </c>
      <c r="J102" s="443">
        <f ca="1">RigScheduleTest!$AQ$9</f>
        <v>42739</v>
      </c>
      <c r="K102" s="574"/>
      <c r="L102" s="546"/>
      <c r="M102" s="544"/>
      <c r="N102" s="545"/>
      <c r="O102" s="545"/>
      <c r="P102" s="551"/>
    </row>
    <row r="103" spans="1:16" x14ac:dyDescent="0.25">
      <c r="A103" s="442" t="str">
        <f>RigScheduleTest!$B$9</f>
        <v>NDSC-16</v>
      </c>
      <c r="B103" s="442" t="str">
        <f ca="1">RigScheduleTest!$AS$9</f>
        <v>SA54-SA-RT-Prod-NW-HZ</v>
      </c>
      <c r="C103" s="421" t="str">
        <f ca="1">IF(INDEX(Well_Data_NK_Upcoming!$G$2:$G$996,MATCH('Rig_Schedule_View (2)'!B103,Well_Data_NK_Upcoming!Concatenated_Wellname,0))=0,"",INDEX(Well_Data_NK_Upcoming!$G$2:$G$996,MATCH('Rig_Schedule_View (2)'!B103,Well_Data_NK_Upcoming!Concatenated_Wellname,0)))</f>
        <v>RT</v>
      </c>
      <c r="D103" s="421" t="str">
        <f ca="1">IF(INDEX(Well_Data_NK_Upcoming!$K$2:$K$996,MATCH('Rig_Schedule_View (2)'!B103,Well_Data_NK_Upcoming!Concatenated_Wellname,0))=0,"",INDEX(Well_Data_NK_Upcoming!$K$2:$K$996,MATCH('Rig_Schedule_View (2)'!B103,Well_Data_NK_Upcoming!Concatenated_Wellname,0)))</f>
        <v>NW</v>
      </c>
      <c r="E103" s="421" t="str">
        <f ca="1">IF(INDEX(Well_Data_NK_Upcoming!$J$2:$J$996,MATCH('Rig_Schedule_View (2)'!B103,Well_Data_NK_Upcoming!Concatenated_Wellname,0))=0,"",INDEX(Well_Data_NK_Upcoming!$J$2:$J$996,MATCH('Rig_Schedule_View (2)'!B103,Well_Data_NK_Upcoming!Concatenated_Wellname,0)))</f>
        <v>Prod</v>
      </c>
      <c r="F103" s="421" t="str">
        <f ca="1">IF(INDEX(Well_Data_NK_Upcoming!$L$2:$L$996,MATCH('Rig_Schedule_View (2)'!B103,Well_Data_NK_Upcoming!Concatenated_Wellname,0))=0,"",INDEX(Well_Data_NK_Upcoming!$L$2:$L$996,MATCH('Rig_Schedule_View (2)'!B103,Well_Data_NK_Upcoming!Concatenated_Wellname,0)))</f>
        <v>HZ</v>
      </c>
      <c r="G103" s="421">
        <f ca="1">IF(INDEX(Well_Data_NK_Upcoming!$R$2:$R$996,MATCH('Rig_Schedule_View (2)'!B103,Well_Data_NK_Upcoming!Concatenated_Wellname,0))=0,"",INDEX(Well_Data_NK_Upcoming!$R$2:$R$996,MATCH('Rig_Schedule_View (2)'!B103,Well_Data_NK_Upcoming!Concatenated_Wellname,0)))</f>
        <v>103</v>
      </c>
      <c r="H103" s="526"/>
      <c r="I103" s="443">
        <f ca="1">RigScheduleTest!$AV$9</f>
        <v>42744</v>
      </c>
      <c r="J103" s="443">
        <f ca="1">RigScheduleTest!$AW$9</f>
        <v>42842</v>
      </c>
      <c r="K103" s="574"/>
      <c r="L103" s="546"/>
      <c r="M103" s="544"/>
      <c r="N103" s="545"/>
      <c r="O103" s="545"/>
      <c r="P103" s="551"/>
    </row>
    <row r="104" spans="1:16" x14ac:dyDescent="0.25">
      <c r="A104" s="442" t="str">
        <f>RigScheduleTest!$B$9</f>
        <v>NDSC-16</v>
      </c>
      <c r="B104" s="442" t="str">
        <f ca="1">RigScheduleTest!$AY$9</f>
        <v/>
      </c>
      <c r="C104" s="421" t="str">
        <f ca="1">IF(INDEX(Well_Data_NK_Upcoming!$G$2:$G$996,MATCH('Rig_Schedule_View (2)'!B104,Well_Data_NK_Upcoming!Concatenated_Wellname,0))=0,"",INDEX(Well_Data_NK_Upcoming!$G$2:$G$996,MATCH('Rig_Schedule_View (2)'!B104,Well_Data_NK_Upcoming!Concatenated_Wellname,0)))</f>
        <v/>
      </c>
      <c r="D104" s="421" t="str">
        <f ca="1">IF(INDEX(Well_Data_NK_Upcoming!$K$2:$K$996,MATCH('Rig_Schedule_View (2)'!B104,Well_Data_NK_Upcoming!Concatenated_Wellname,0))=0,"",INDEX(Well_Data_NK_Upcoming!$K$2:$K$996,MATCH('Rig_Schedule_View (2)'!B104,Well_Data_NK_Upcoming!Concatenated_Wellname,0)))</f>
        <v/>
      </c>
      <c r="E104" s="421" t="str">
        <f ca="1">IF(INDEX(Well_Data_NK_Upcoming!$J$2:$J$996,MATCH('Rig_Schedule_View (2)'!B104,Well_Data_NK_Upcoming!Concatenated_Wellname,0))=0,"",INDEX(Well_Data_NK_Upcoming!$J$2:$J$996,MATCH('Rig_Schedule_View (2)'!B104,Well_Data_NK_Upcoming!Concatenated_Wellname,0)))</f>
        <v/>
      </c>
      <c r="F104" s="421" t="str">
        <f ca="1">IF(INDEX(Well_Data_NK_Upcoming!$L$2:$L$996,MATCH('Rig_Schedule_View (2)'!B104,Well_Data_NK_Upcoming!Concatenated_Wellname,0))=0,"",INDEX(Well_Data_NK_Upcoming!$L$2:$L$996,MATCH('Rig_Schedule_View (2)'!B104,Well_Data_NK_Upcoming!Concatenated_Wellname,0)))</f>
        <v/>
      </c>
      <c r="G104" s="421" t="str">
        <f ca="1">IF(INDEX(Well_Data_NK_Upcoming!$R$2:$R$996,MATCH('Rig_Schedule_View (2)'!B104,Well_Data_NK_Upcoming!Concatenated_Wellname,0))=0,"",INDEX(Well_Data_NK_Upcoming!$R$2:$R$996,MATCH('Rig_Schedule_View (2)'!B104,Well_Data_NK_Upcoming!Concatenated_Wellname,0)))</f>
        <v/>
      </c>
      <c r="H104" s="526"/>
      <c r="I104" s="443" t="str">
        <f ca="1">RigScheduleTest!$BB$9</f>
        <v/>
      </c>
      <c r="J104" s="443" t="str">
        <f ca="1">RigScheduleTest!$BC$9</f>
        <v/>
      </c>
      <c r="K104" s="574"/>
      <c r="L104" s="546"/>
      <c r="M104" s="544"/>
      <c r="N104" s="545"/>
      <c r="O104" s="545"/>
      <c r="P104" s="551"/>
    </row>
    <row r="105" spans="1:16" x14ac:dyDescent="0.25">
      <c r="A105" s="442" t="str">
        <f>RigScheduleTest!$B$9</f>
        <v>NDSC-16</v>
      </c>
      <c r="B105" s="442" t="str">
        <f ca="1">RigScheduleTest!$BE$9</f>
        <v/>
      </c>
      <c r="C105" s="421" t="str">
        <f ca="1">IF(INDEX(Well_Data_NK_Upcoming!$G$2:$G$996,MATCH('Rig_Schedule_View (2)'!B105,Well_Data_NK_Upcoming!Concatenated_Wellname,0))=0,"",INDEX(Well_Data_NK_Upcoming!$G$2:$G$996,MATCH('Rig_Schedule_View (2)'!B105,Well_Data_NK_Upcoming!Concatenated_Wellname,0)))</f>
        <v/>
      </c>
      <c r="D105" s="421" t="str">
        <f ca="1">IF(INDEX(Well_Data_NK_Upcoming!$K$2:$K$996,MATCH('Rig_Schedule_View (2)'!B105,Well_Data_NK_Upcoming!Concatenated_Wellname,0))=0,"",INDEX(Well_Data_NK_Upcoming!$K$2:$K$996,MATCH('Rig_Schedule_View (2)'!B105,Well_Data_NK_Upcoming!Concatenated_Wellname,0)))</f>
        <v/>
      </c>
      <c r="E105" s="421" t="str">
        <f ca="1">IF(INDEX(Well_Data_NK_Upcoming!$J$2:$J$996,MATCH('Rig_Schedule_View (2)'!B105,Well_Data_NK_Upcoming!Concatenated_Wellname,0))=0,"",INDEX(Well_Data_NK_Upcoming!$J$2:$J$996,MATCH('Rig_Schedule_View (2)'!B105,Well_Data_NK_Upcoming!Concatenated_Wellname,0)))</f>
        <v/>
      </c>
      <c r="F105" s="421" t="str">
        <f ca="1">IF(INDEX(Well_Data_NK_Upcoming!$L$2:$L$996,MATCH('Rig_Schedule_View (2)'!B105,Well_Data_NK_Upcoming!Concatenated_Wellname,0))=0,"",INDEX(Well_Data_NK_Upcoming!$L$2:$L$996,MATCH('Rig_Schedule_View (2)'!B105,Well_Data_NK_Upcoming!Concatenated_Wellname,0)))</f>
        <v/>
      </c>
      <c r="G105" s="421" t="str">
        <f ca="1">IF(INDEX(Well_Data_NK_Upcoming!$R$2:$R$996,MATCH('Rig_Schedule_View (2)'!B105,Well_Data_NK_Upcoming!Concatenated_Wellname,0))=0,"",INDEX(Well_Data_NK_Upcoming!$R$2:$R$996,MATCH('Rig_Schedule_View (2)'!B105,Well_Data_NK_Upcoming!Concatenated_Wellname,0)))</f>
        <v/>
      </c>
      <c r="H105" s="526"/>
      <c r="I105" s="443" t="str">
        <f ca="1">RigScheduleTest!$BH$9</f>
        <v/>
      </c>
      <c r="J105" s="443" t="str">
        <f ca="1">RigScheduleTest!$BI$9</f>
        <v/>
      </c>
      <c r="K105" s="574"/>
      <c r="L105" s="546"/>
      <c r="M105" s="544"/>
      <c r="N105" s="545"/>
      <c r="O105" s="545"/>
      <c r="P105" s="551"/>
    </row>
    <row r="106" spans="1:16" x14ac:dyDescent="0.25">
      <c r="A106" s="442" t="str">
        <f>RigScheduleTest!$B$9</f>
        <v>NDSC-16</v>
      </c>
      <c r="B106" s="442" t="str">
        <f ca="1">RigScheduleTest!$BK$9</f>
        <v/>
      </c>
      <c r="C106" s="421" t="str">
        <f ca="1">IF(INDEX(Well_Data_NK_Upcoming!$G$2:$G$996,MATCH('Rig_Schedule_View (2)'!B106,Well_Data_NK_Upcoming!Concatenated_Wellname,0))=0,"",INDEX(Well_Data_NK_Upcoming!$G$2:$G$996,MATCH('Rig_Schedule_View (2)'!B106,Well_Data_NK_Upcoming!Concatenated_Wellname,0)))</f>
        <v/>
      </c>
      <c r="D106" s="421" t="str">
        <f ca="1">IF(INDEX(Well_Data_NK_Upcoming!$K$2:$K$996,MATCH('Rig_Schedule_View (2)'!B106,Well_Data_NK_Upcoming!Concatenated_Wellname,0))=0,"",INDEX(Well_Data_NK_Upcoming!$K$2:$K$996,MATCH('Rig_Schedule_View (2)'!B106,Well_Data_NK_Upcoming!Concatenated_Wellname,0)))</f>
        <v/>
      </c>
      <c r="E106" s="421" t="str">
        <f ca="1">IF(INDEX(Well_Data_NK_Upcoming!$J$2:$J$996,MATCH('Rig_Schedule_View (2)'!B106,Well_Data_NK_Upcoming!Concatenated_Wellname,0))=0,"",INDEX(Well_Data_NK_Upcoming!$J$2:$J$996,MATCH('Rig_Schedule_View (2)'!B106,Well_Data_NK_Upcoming!Concatenated_Wellname,0)))</f>
        <v/>
      </c>
      <c r="F106" s="421" t="str">
        <f ca="1">IF(INDEX(Well_Data_NK_Upcoming!$L$2:$L$996,MATCH('Rig_Schedule_View (2)'!B106,Well_Data_NK_Upcoming!Concatenated_Wellname,0))=0,"",INDEX(Well_Data_NK_Upcoming!$L$2:$L$996,MATCH('Rig_Schedule_View (2)'!B106,Well_Data_NK_Upcoming!Concatenated_Wellname,0)))</f>
        <v/>
      </c>
      <c r="G106" s="421" t="str">
        <f ca="1">IF(INDEX(Well_Data_NK_Upcoming!$R$2:$R$996,MATCH('Rig_Schedule_View (2)'!B106,Well_Data_NK_Upcoming!Concatenated_Wellname,0))=0,"",INDEX(Well_Data_NK_Upcoming!$R$2:$R$996,MATCH('Rig_Schedule_View (2)'!B106,Well_Data_NK_Upcoming!Concatenated_Wellname,0)))</f>
        <v/>
      </c>
      <c r="H106" s="526"/>
      <c r="I106" s="443" t="str">
        <f ca="1">RigScheduleTest!$BN$9</f>
        <v/>
      </c>
      <c r="J106" s="443" t="str">
        <f ca="1">RigScheduleTest!$BO$9</f>
        <v/>
      </c>
      <c r="K106" s="574"/>
      <c r="L106" s="546"/>
      <c r="M106" s="544"/>
      <c r="N106" s="545"/>
      <c r="O106" s="545"/>
      <c r="P106" s="551"/>
    </row>
    <row r="107" spans="1:16" x14ac:dyDescent="0.25">
      <c r="A107" s="437" t="str">
        <f>RigScheduleTest!$B$1</f>
        <v>RIG</v>
      </c>
      <c r="B107" s="437" t="str">
        <f>$K$1</f>
        <v>Development Drilling</v>
      </c>
      <c r="C107" s="437" t="s">
        <v>1831</v>
      </c>
      <c r="D107" s="437" t="s">
        <v>867</v>
      </c>
      <c r="E107" s="437" t="s">
        <v>8</v>
      </c>
      <c r="F107" s="437" t="s">
        <v>2</v>
      </c>
      <c r="G107" s="437" t="s">
        <v>1513</v>
      </c>
      <c r="H107" s="438" t="str">
        <f>$K$3</f>
        <v>Rig Deployment Meeting</v>
      </c>
      <c r="I107" s="439" t="str">
        <f>$K$5</f>
        <v>Start</v>
      </c>
      <c r="J107" s="439" t="str">
        <f>$K$6</f>
        <v>End</v>
      </c>
      <c r="K107" s="444" t="s">
        <v>1068</v>
      </c>
      <c r="L107" s="444" t="s">
        <v>1577</v>
      </c>
      <c r="M107" s="496" t="s">
        <v>1934</v>
      </c>
      <c r="N107" s="504" t="s">
        <v>1940</v>
      </c>
      <c r="O107" s="504" t="s">
        <v>1941</v>
      </c>
      <c r="P107" s="502"/>
    </row>
    <row r="108" spans="1:16" x14ac:dyDescent="0.25">
      <c r="A108" s="442" t="str">
        <f>RigScheduleTest!$B$10</f>
        <v>NDSC-17</v>
      </c>
      <c r="B108" s="421" t="str">
        <f ca="1">RigScheduleTest!$D$10</f>
        <v>RA-0577-RA-LB-Prod-NW-SL-SLB</v>
      </c>
      <c r="C108" s="421" t="str">
        <f ca="1">IF(INDEX(Well_Data_NK_Upcoming!$G$2:$G$996,MATCH('Rig_Schedule_View (2)'!B108,Well_Data_NK_Upcoming!Concatenated_Wellname,0))=0,"",INDEX(Well_Data_NK_Upcoming!$G$2:$G$996,MATCH('Rig_Schedule_View (2)'!B108,Well_Data_NK_Upcoming!Concatenated_Wellname,0)))</f>
        <v>LB</v>
      </c>
      <c r="D108" s="421" t="str">
        <f ca="1">IF(INDEX(Well_Data_NK_Upcoming!$K$2:$K$996,MATCH('Rig_Schedule_View (2)'!B108,Well_Data_NK_Upcoming!Concatenated_Wellname,0))=0,"",INDEX(Well_Data_NK_Upcoming!$K$2:$K$996,MATCH('Rig_Schedule_View (2)'!B108,Well_Data_NK_Upcoming!Concatenated_Wellname,0)))</f>
        <v>NW</v>
      </c>
      <c r="E108" s="421" t="str">
        <f ca="1">IF(INDEX(Well_Data_NK_Upcoming!$J$2:$J$996,MATCH('Rig_Schedule_View (2)'!B108,Well_Data_NK_Upcoming!Concatenated_Wellname,0))=0,"",INDEX(Well_Data_NK_Upcoming!$J$2:$J$996,MATCH('Rig_Schedule_View (2)'!B108,Well_Data_NK_Upcoming!Concatenated_Wellname,0)))</f>
        <v>Prod</v>
      </c>
      <c r="F108" s="421" t="str">
        <f ca="1">IF(INDEX(Well_Data_NK_Upcoming!$L$2:$L$996,MATCH('Rig_Schedule_View (2)'!B108,Well_Data_NK_Upcoming!Concatenated_Wellname,0))=0,"",INDEX(Well_Data_NK_Upcoming!$L$2:$L$996,MATCH('Rig_Schedule_View (2)'!B108,Well_Data_NK_Upcoming!Concatenated_Wellname,0)))</f>
        <v>SL</v>
      </c>
      <c r="G108" s="421">
        <f ca="1">IF(INDEX(Well_Data_NK_Upcoming!$R$2:$R$996,MATCH('Rig_Schedule_View (2)'!B108,Well_Data_NK_Upcoming!Concatenated_Wellname,0))=0,"",INDEX(Well_Data_NK_Upcoming!$R$2:$R$996,MATCH('Rig_Schedule_View (2)'!B108,Well_Data_NK_Upcoming!Concatenated_Wellname,0)))</f>
        <v>75</v>
      </c>
      <c r="H108" s="526">
        <f>RigScheduleTest!$F$10</f>
        <v>42233</v>
      </c>
      <c r="I108" s="459">
        <f ca="1">IF(INDEX(Well_Data_NK_Upcoming!$O$2:$O$996,MATCH('Rig_Schedule_View (2)'!B108,Well_Data_NK_Upcoming!Concatenated_Wellname,0))=0,"",INDEX(Well_Data_NK_Upcoming!$O$2:$O$996,MATCH('Rig_Schedule_View (2)'!B108,Well_Data_NK_Upcoming!Concatenated_Wellname,0)))</f>
        <v>42195</v>
      </c>
      <c r="J108" s="446">
        <f ca="1">RigScheduleTest!$H$10</f>
        <v>42247</v>
      </c>
      <c r="K108" s="574" t="s">
        <v>1917</v>
      </c>
      <c r="L108" s="543"/>
      <c r="M108" s="544">
        <v>14</v>
      </c>
      <c r="N108" s="545"/>
      <c r="O108" s="545"/>
      <c r="P108" s="551"/>
    </row>
    <row r="109" spans="1:16" x14ac:dyDescent="0.25">
      <c r="A109" s="442" t="str">
        <f>RigScheduleTest!$B$10</f>
        <v>NDSC-17</v>
      </c>
      <c r="B109" s="441" t="str">
        <f ca="1">RigScheduleTest!$I$10</f>
        <v>RA-0583-RA-LB-Prod-NW-SL-WFD</v>
      </c>
      <c r="C109" s="421" t="str">
        <f ca="1">IF(INDEX(Well_Data_NK_Upcoming!$G$2:$G$996,MATCH('Rig_Schedule_View (2)'!B109,Well_Data_NK_Upcoming!Concatenated_Wellname,0))=0,"",INDEX(Well_Data_NK_Upcoming!$G$2:$G$996,MATCH('Rig_Schedule_View (2)'!B109,Well_Data_NK_Upcoming!Concatenated_Wellname,0)))</f>
        <v>LB</v>
      </c>
      <c r="D109" s="421" t="str">
        <f ca="1">IF(INDEX(Well_Data_NK_Upcoming!$K$2:$K$996,MATCH('Rig_Schedule_View (2)'!B109,Well_Data_NK_Upcoming!Concatenated_Wellname,0))=0,"",INDEX(Well_Data_NK_Upcoming!$K$2:$K$996,MATCH('Rig_Schedule_View (2)'!B109,Well_Data_NK_Upcoming!Concatenated_Wellname,0)))</f>
        <v>NW</v>
      </c>
      <c r="E109" s="421" t="str">
        <f ca="1">IF(INDEX(Well_Data_NK_Upcoming!$J$2:$J$996,MATCH('Rig_Schedule_View (2)'!B109,Well_Data_NK_Upcoming!Concatenated_Wellname,0))=0,"",INDEX(Well_Data_NK_Upcoming!$J$2:$J$996,MATCH('Rig_Schedule_View (2)'!B109,Well_Data_NK_Upcoming!Concatenated_Wellname,0)))</f>
        <v>Prod</v>
      </c>
      <c r="F109" s="421" t="str">
        <f ca="1">IF(INDEX(Well_Data_NK_Upcoming!$L$2:$L$996,MATCH('Rig_Schedule_View (2)'!B109,Well_Data_NK_Upcoming!Concatenated_Wellname,0))=0,"",INDEX(Well_Data_NK_Upcoming!$L$2:$L$996,MATCH('Rig_Schedule_View (2)'!B109,Well_Data_NK_Upcoming!Concatenated_Wellname,0)))</f>
        <v>SL</v>
      </c>
      <c r="G109" s="421">
        <f ca="1">IF(INDEX(Well_Data_NK_Upcoming!$R$2:$R$996,MATCH('Rig_Schedule_View (2)'!B109,Well_Data_NK_Upcoming!Concatenated_Wellname,0))=0,"",INDEX(Well_Data_NK_Upcoming!$R$2:$R$996,MATCH('Rig_Schedule_View (2)'!B109,Well_Data_NK_Upcoming!Concatenated_Wellname,0)))</f>
        <v>75</v>
      </c>
      <c r="H109" s="526"/>
      <c r="I109" s="440">
        <f ca="1">RigScheduleTest!$L$10</f>
        <v>42252</v>
      </c>
      <c r="J109" s="440">
        <f ca="1">RigScheduleTest!$M$10</f>
        <v>42322</v>
      </c>
      <c r="K109" s="574"/>
      <c r="L109" s="546"/>
      <c r="M109" s="544"/>
      <c r="N109" s="545" t="s">
        <v>2234</v>
      </c>
      <c r="O109" s="545"/>
      <c r="P109" s="551"/>
    </row>
    <row r="110" spans="1:16" x14ac:dyDescent="0.25">
      <c r="A110" s="442" t="str">
        <f>RigScheduleTest!$B$10</f>
        <v>NDSC-17</v>
      </c>
      <c r="B110" s="441" t="str">
        <f ca="1">RigScheduleTest!$O$10</f>
        <v>RA3-RA-MA-Prod-NW-HZ-SLB</v>
      </c>
      <c r="C110" s="421" t="str">
        <f ca="1">IF(INDEX(Well_Data_NK_Upcoming!$G$2:$G$996,MATCH('Rig_Schedule_View (2)'!B110,Well_Data_NK_Upcoming!Concatenated_Wellname,0))=0,"",INDEX(Well_Data_NK_Upcoming!$G$2:$G$996,MATCH('Rig_Schedule_View (2)'!B110,Well_Data_NK_Upcoming!Concatenated_Wellname,0)))</f>
        <v>MA</v>
      </c>
      <c r="D110" s="421" t="str">
        <f ca="1">IF(INDEX(Well_Data_NK_Upcoming!$K$2:$K$996,MATCH('Rig_Schedule_View (2)'!B110,Well_Data_NK_Upcoming!Concatenated_Wellname,0))=0,"",INDEX(Well_Data_NK_Upcoming!$K$2:$K$996,MATCH('Rig_Schedule_View (2)'!B110,Well_Data_NK_Upcoming!Concatenated_Wellname,0)))</f>
        <v>NW</v>
      </c>
      <c r="E110" s="421" t="str">
        <f ca="1">IF(INDEX(Well_Data_NK_Upcoming!$J$2:$J$996,MATCH('Rig_Schedule_View (2)'!B110,Well_Data_NK_Upcoming!Concatenated_Wellname,0))=0,"",INDEX(Well_Data_NK_Upcoming!$J$2:$J$996,MATCH('Rig_Schedule_View (2)'!B110,Well_Data_NK_Upcoming!Concatenated_Wellname,0)))</f>
        <v>Prod</v>
      </c>
      <c r="F110" s="421" t="str">
        <f ca="1">IF(INDEX(Well_Data_NK_Upcoming!$L$2:$L$996,MATCH('Rig_Schedule_View (2)'!B110,Well_Data_NK_Upcoming!Concatenated_Wellname,0))=0,"",INDEX(Well_Data_NK_Upcoming!$L$2:$L$996,MATCH('Rig_Schedule_View (2)'!B110,Well_Data_NK_Upcoming!Concatenated_Wellname,0)))</f>
        <v>HZ</v>
      </c>
      <c r="G110" s="421">
        <f ca="1">IF(INDEX(Well_Data_NK_Upcoming!$R$2:$R$996,MATCH('Rig_Schedule_View (2)'!B110,Well_Data_NK_Upcoming!Concatenated_Wellname,0))=0,"",INDEX(Well_Data_NK_Upcoming!$R$2:$R$996,MATCH('Rig_Schedule_View (2)'!B110,Well_Data_NK_Upcoming!Concatenated_Wellname,0)))</f>
        <v>75</v>
      </c>
      <c r="H110" s="526"/>
      <c r="I110" s="440">
        <f ca="1">RigScheduleTest!$R$10</f>
        <v>42327</v>
      </c>
      <c r="J110" s="440">
        <f ca="1">RigScheduleTest!$S$10</f>
        <v>42397</v>
      </c>
      <c r="K110" s="574"/>
      <c r="L110" s="546" t="s">
        <v>2235</v>
      </c>
      <c r="M110" s="544"/>
      <c r="N110" s="545"/>
      <c r="O110" s="545"/>
      <c r="P110" s="551"/>
    </row>
    <row r="111" spans="1:16" x14ac:dyDescent="0.25">
      <c r="A111" s="442" t="str">
        <f>RigScheduleTest!$B$10</f>
        <v>NDSC-17</v>
      </c>
      <c r="B111" s="442" t="str">
        <f ca="1">RigScheduleTest!$U$10</f>
        <v>RA-0582-RA-UB-Prod-NW-HZ-WFD</v>
      </c>
      <c r="C111" s="421" t="str">
        <f ca="1">IF(INDEX(Well_Data_NK_Upcoming!$G$2:$G$996,MATCH('Rig_Schedule_View (2)'!B111,Well_Data_NK_Upcoming!Concatenated_Wellname,0))=0,"",INDEX(Well_Data_NK_Upcoming!$G$2:$G$996,MATCH('Rig_Schedule_View (2)'!B111,Well_Data_NK_Upcoming!Concatenated_Wellname,0)))</f>
        <v>UB</v>
      </c>
      <c r="D111" s="421" t="str">
        <f ca="1">IF(INDEX(Well_Data_NK_Upcoming!$K$2:$K$996,MATCH('Rig_Schedule_View (2)'!B111,Well_Data_NK_Upcoming!Concatenated_Wellname,0))=0,"",INDEX(Well_Data_NK_Upcoming!$K$2:$K$996,MATCH('Rig_Schedule_View (2)'!B111,Well_Data_NK_Upcoming!Concatenated_Wellname,0)))</f>
        <v>NW</v>
      </c>
      <c r="E111" s="421" t="str">
        <f ca="1">IF(INDEX(Well_Data_NK_Upcoming!$J$2:$J$996,MATCH('Rig_Schedule_View (2)'!B111,Well_Data_NK_Upcoming!Concatenated_Wellname,0))=0,"",INDEX(Well_Data_NK_Upcoming!$J$2:$J$996,MATCH('Rig_Schedule_View (2)'!B111,Well_Data_NK_Upcoming!Concatenated_Wellname,0)))</f>
        <v>Prod</v>
      </c>
      <c r="F111" s="421" t="str">
        <f ca="1">IF(INDEX(Well_Data_NK_Upcoming!$L$2:$L$996,MATCH('Rig_Schedule_View (2)'!B111,Well_Data_NK_Upcoming!Concatenated_Wellname,0))=0,"",INDEX(Well_Data_NK_Upcoming!$L$2:$L$996,MATCH('Rig_Schedule_View (2)'!B111,Well_Data_NK_Upcoming!Concatenated_Wellname,0)))</f>
        <v>HZ</v>
      </c>
      <c r="G111" s="421">
        <f ca="1">IF(INDEX(Well_Data_NK_Upcoming!$R$2:$R$996,MATCH('Rig_Schedule_View (2)'!B111,Well_Data_NK_Upcoming!Concatenated_Wellname,0))=0,"",INDEX(Well_Data_NK_Upcoming!$R$2:$R$996,MATCH('Rig_Schedule_View (2)'!B111,Well_Data_NK_Upcoming!Concatenated_Wellname,0)))</f>
        <v>75</v>
      </c>
      <c r="H111" s="526"/>
      <c r="I111" s="443">
        <f ca="1">RigScheduleTest!$X$10</f>
        <v>42402</v>
      </c>
      <c r="J111" s="443">
        <f ca="1">RigScheduleTest!$Y$10</f>
        <v>42472</v>
      </c>
      <c r="K111" s="574"/>
      <c r="L111" s="546"/>
      <c r="M111" s="544"/>
      <c r="N111" s="545"/>
      <c r="O111" s="545"/>
      <c r="P111" s="551"/>
    </row>
    <row r="112" spans="1:16" x14ac:dyDescent="0.25">
      <c r="A112" s="442" t="str">
        <f>RigScheduleTest!$B$10</f>
        <v>NDSC-17</v>
      </c>
      <c r="B112" s="442" t="str">
        <f ca="1">RigScheduleTest!$AA$10</f>
        <v>RA4-RA-MA-Prod</v>
      </c>
      <c r="C112" s="421" t="str">
        <f ca="1">IF(INDEX(Well_Data_NK_Upcoming!$G$2:$G$996,MATCH('Rig_Schedule_View (2)'!B112,Well_Data_NK_Upcoming!Concatenated_Wellname,0))=0,"",INDEX(Well_Data_NK_Upcoming!$G$2:$G$996,MATCH('Rig_Schedule_View (2)'!B112,Well_Data_NK_Upcoming!Concatenated_Wellname,0)))</f>
        <v>MA</v>
      </c>
      <c r="D112" s="421" t="str">
        <f ca="1">IF(INDEX(Well_Data_NK_Upcoming!$K$2:$K$996,MATCH('Rig_Schedule_View (2)'!B112,Well_Data_NK_Upcoming!Concatenated_Wellname,0))=0,"",INDEX(Well_Data_NK_Upcoming!$K$2:$K$996,MATCH('Rig_Schedule_View (2)'!B112,Well_Data_NK_Upcoming!Concatenated_Wellname,0)))</f>
        <v/>
      </c>
      <c r="E112" s="421" t="str">
        <f ca="1">IF(INDEX(Well_Data_NK_Upcoming!$J$2:$J$996,MATCH('Rig_Schedule_View (2)'!B112,Well_Data_NK_Upcoming!Concatenated_Wellname,0))=0,"",INDEX(Well_Data_NK_Upcoming!$J$2:$J$996,MATCH('Rig_Schedule_View (2)'!B112,Well_Data_NK_Upcoming!Concatenated_Wellname,0)))</f>
        <v>Prod</v>
      </c>
      <c r="F112" s="421" t="str">
        <f ca="1">IF(INDEX(Well_Data_NK_Upcoming!$L$2:$L$996,MATCH('Rig_Schedule_View (2)'!B112,Well_Data_NK_Upcoming!Concatenated_Wellname,0))=0,"",INDEX(Well_Data_NK_Upcoming!$L$2:$L$996,MATCH('Rig_Schedule_View (2)'!B112,Well_Data_NK_Upcoming!Concatenated_Wellname,0)))</f>
        <v/>
      </c>
      <c r="G112" s="421">
        <f ca="1">IF(INDEX(Well_Data_NK_Upcoming!$R$2:$R$996,MATCH('Rig_Schedule_View (2)'!B112,Well_Data_NK_Upcoming!Concatenated_Wellname,0))=0,"",INDEX(Well_Data_NK_Upcoming!$R$2:$R$996,MATCH('Rig_Schedule_View (2)'!B112,Well_Data_NK_Upcoming!Concatenated_Wellname,0)))</f>
        <v>75</v>
      </c>
      <c r="H112" s="526"/>
      <c r="I112" s="443">
        <f ca="1">RigScheduleTest!$AD$10</f>
        <v>42477</v>
      </c>
      <c r="J112" s="443">
        <f ca="1">RigScheduleTest!$AE$10</f>
        <v>42547</v>
      </c>
      <c r="K112" s="574"/>
      <c r="L112" s="547"/>
      <c r="M112" s="544"/>
      <c r="N112" s="545"/>
      <c r="O112" s="545"/>
      <c r="P112" s="551"/>
    </row>
    <row r="113" spans="1:16" x14ac:dyDescent="0.25">
      <c r="A113" s="442" t="str">
        <f>RigScheduleTest!$B$10</f>
        <v>NDSC-17</v>
      </c>
      <c r="B113" s="442" t="str">
        <f ca="1">RigScheduleTest!$AG$10</f>
        <v>SA20-SA-MA-Prod-NW-HZ</v>
      </c>
      <c r="C113" s="421" t="str">
        <f ca="1">IF(INDEX(Well_Data_NK_Upcoming!$G$2:$G$996,MATCH('Rig_Schedule_View (2)'!B113,Well_Data_NK_Upcoming!Concatenated_Wellname,0))=0,"",INDEX(Well_Data_NK_Upcoming!$G$2:$G$996,MATCH('Rig_Schedule_View (2)'!B113,Well_Data_NK_Upcoming!Concatenated_Wellname,0)))</f>
        <v>MA</v>
      </c>
      <c r="D113" s="421" t="str">
        <f ca="1">IF(INDEX(Well_Data_NK_Upcoming!$K$2:$K$996,MATCH('Rig_Schedule_View (2)'!B113,Well_Data_NK_Upcoming!Concatenated_Wellname,0))=0,"",INDEX(Well_Data_NK_Upcoming!$K$2:$K$996,MATCH('Rig_Schedule_View (2)'!B113,Well_Data_NK_Upcoming!Concatenated_Wellname,0)))</f>
        <v>NW</v>
      </c>
      <c r="E113" s="421" t="str">
        <f ca="1">IF(INDEX(Well_Data_NK_Upcoming!$J$2:$J$996,MATCH('Rig_Schedule_View (2)'!B113,Well_Data_NK_Upcoming!Concatenated_Wellname,0))=0,"",INDEX(Well_Data_NK_Upcoming!$J$2:$J$996,MATCH('Rig_Schedule_View (2)'!B113,Well_Data_NK_Upcoming!Concatenated_Wellname,0)))</f>
        <v>Prod</v>
      </c>
      <c r="F113" s="421" t="str">
        <f ca="1">IF(INDEX(Well_Data_NK_Upcoming!$L$2:$L$996,MATCH('Rig_Schedule_View (2)'!B113,Well_Data_NK_Upcoming!Concatenated_Wellname,0))=0,"",INDEX(Well_Data_NK_Upcoming!$L$2:$L$996,MATCH('Rig_Schedule_View (2)'!B113,Well_Data_NK_Upcoming!Concatenated_Wellname,0)))</f>
        <v>HZ</v>
      </c>
      <c r="G113" s="421">
        <f ca="1">IF(INDEX(Well_Data_NK_Upcoming!$R$2:$R$996,MATCH('Rig_Schedule_View (2)'!B113,Well_Data_NK_Upcoming!Concatenated_Wellname,0))=0,"",INDEX(Well_Data_NK_Upcoming!$R$2:$R$996,MATCH('Rig_Schedule_View (2)'!B113,Well_Data_NK_Upcoming!Concatenated_Wellname,0)))</f>
        <v>75</v>
      </c>
      <c r="H113" s="526"/>
      <c r="I113" s="443">
        <f ca="1">RigScheduleTest!$AJ$10</f>
        <v>42552</v>
      </c>
      <c r="J113" s="443">
        <f ca="1">RigScheduleTest!$AK$10</f>
        <v>42622</v>
      </c>
      <c r="K113" s="574"/>
      <c r="L113" s="546"/>
      <c r="M113" s="544"/>
      <c r="N113" s="545"/>
      <c r="O113" s="545"/>
      <c r="P113" s="551"/>
    </row>
    <row r="114" spans="1:16" x14ac:dyDescent="0.25">
      <c r="A114" s="442" t="str">
        <f>RigScheduleTest!$B$10</f>
        <v>NDSC-17</v>
      </c>
      <c r="B114" s="442" t="str">
        <f ca="1">RigScheduleTest!$AM$10</f>
        <v>RA21-RA-LB-Prod-NW-SL-SLB</v>
      </c>
      <c r="C114" s="421" t="str">
        <f ca="1">IF(INDEX(Well_Data_NK_Upcoming!$G$2:$G$996,MATCH('Rig_Schedule_View (2)'!B114,Well_Data_NK_Upcoming!Concatenated_Wellname,0))=0,"",INDEX(Well_Data_NK_Upcoming!$G$2:$G$996,MATCH('Rig_Schedule_View (2)'!B114,Well_Data_NK_Upcoming!Concatenated_Wellname,0)))</f>
        <v>LB</v>
      </c>
      <c r="D114" s="421" t="str">
        <f ca="1">IF(INDEX(Well_Data_NK_Upcoming!$K$2:$K$996,MATCH('Rig_Schedule_View (2)'!B114,Well_Data_NK_Upcoming!Concatenated_Wellname,0))=0,"",INDEX(Well_Data_NK_Upcoming!$K$2:$K$996,MATCH('Rig_Schedule_View (2)'!B114,Well_Data_NK_Upcoming!Concatenated_Wellname,0)))</f>
        <v>NW</v>
      </c>
      <c r="E114" s="421" t="str">
        <f ca="1">IF(INDEX(Well_Data_NK_Upcoming!$J$2:$J$996,MATCH('Rig_Schedule_View (2)'!B114,Well_Data_NK_Upcoming!Concatenated_Wellname,0))=0,"",INDEX(Well_Data_NK_Upcoming!$J$2:$J$996,MATCH('Rig_Schedule_View (2)'!B114,Well_Data_NK_Upcoming!Concatenated_Wellname,0)))</f>
        <v>Prod</v>
      </c>
      <c r="F114" s="421" t="str">
        <f ca="1">IF(INDEX(Well_Data_NK_Upcoming!$L$2:$L$996,MATCH('Rig_Schedule_View (2)'!B114,Well_Data_NK_Upcoming!Concatenated_Wellname,0))=0,"",INDEX(Well_Data_NK_Upcoming!$L$2:$L$996,MATCH('Rig_Schedule_View (2)'!B114,Well_Data_NK_Upcoming!Concatenated_Wellname,0)))</f>
        <v>SL</v>
      </c>
      <c r="G114" s="421">
        <f ca="1">IF(INDEX(Well_Data_NK_Upcoming!$R$2:$R$996,MATCH('Rig_Schedule_View (2)'!B114,Well_Data_NK_Upcoming!Concatenated_Wellname,0))=0,"",INDEX(Well_Data_NK_Upcoming!$R$2:$R$996,MATCH('Rig_Schedule_View (2)'!B114,Well_Data_NK_Upcoming!Concatenated_Wellname,0)))</f>
        <v>75</v>
      </c>
      <c r="H114" s="526"/>
      <c r="I114" s="443">
        <f ca="1">RigScheduleTest!$AP$10</f>
        <v>42627</v>
      </c>
      <c r="J114" s="443">
        <f ca="1">RigScheduleTest!$AQ$10</f>
        <v>42697</v>
      </c>
      <c r="K114" s="574"/>
      <c r="L114" s="546"/>
      <c r="M114" s="544"/>
      <c r="N114" s="545"/>
      <c r="O114" s="545"/>
      <c r="P114" s="551"/>
    </row>
    <row r="115" spans="1:16" x14ac:dyDescent="0.25">
      <c r="A115" s="442" t="str">
        <f>RigScheduleTest!$B$10</f>
        <v>NDSC-17</v>
      </c>
      <c r="B115" s="442" t="str">
        <f ca="1">RigScheduleTest!$AS$10</f>
        <v>RA28-RA-UB-Prod-NW-HZ-SLB</v>
      </c>
      <c r="C115" s="421" t="str">
        <f ca="1">IF(INDEX(Well_Data_NK_Upcoming!$G$2:$G$996,MATCH('Rig_Schedule_View (2)'!B115,Well_Data_NK_Upcoming!Concatenated_Wellname,0))=0,"",INDEX(Well_Data_NK_Upcoming!$G$2:$G$996,MATCH('Rig_Schedule_View (2)'!B115,Well_Data_NK_Upcoming!Concatenated_Wellname,0)))</f>
        <v>UB</v>
      </c>
      <c r="D115" s="421" t="str">
        <f ca="1">IF(INDEX(Well_Data_NK_Upcoming!$K$2:$K$996,MATCH('Rig_Schedule_View (2)'!B115,Well_Data_NK_Upcoming!Concatenated_Wellname,0))=0,"",INDEX(Well_Data_NK_Upcoming!$K$2:$K$996,MATCH('Rig_Schedule_View (2)'!B115,Well_Data_NK_Upcoming!Concatenated_Wellname,0)))</f>
        <v>NW</v>
      </c>
      <c r="E115" s="421" t="str">
        <f ca="1">IF(INDEX(Well_Data_NK_Upcoming!$J$2:$J$996,MATCH('Rig_Schedule_View (2)'!B115,Well_Data_NK_Upcoming!Concatenated_Wellname,0))=0,"",INDEX(Well_Data_NK_Upcoming!$J$2:$J$996,MATCH('Rig_Schedule_View (2)'!B115,Well_Data_NK_Upcoming!Concatenated_Wellname,0)))</f>
        <v>Prod</v>
      </c>
      <c r="F115" s="421" t="str">
        <f ca="1">IF(INDEX(Well_Data_NK_Upcoming!$L$2:$L$996,MATCH('Rig_Schedule_View (2)'!B115,Well_Data_NK_Upcoming!Concatenated_Wellname,0))=0,"",INDEX(Well_Data_NK_Upcoming!$L$2:$L$996,MATCH('Rig_Schedule_View (2)'!B115,Well_Data_NK_Upcoming!Concatenated_Wellname,0)))</f>
        <v>HZ</v>
      </c>
      <c r="G115" s="421">
        <f ca="1">IF(INDEX(Well_Data_NK_Upcoming!$R$2:$R$996,MATCH('Rig_Schedule_View (2)'!B115,Well_Data_NK_Upcoming!Concatenated_Wellname,0))=0,"",INDEX(Well_Data_NK_Upcoming!$R$2:$R$996,MATCH('Rig_Schedule_View (2)'!B115,Well_Data_NK_Upcoming!Concatenated_Wellname,0)))</f>
        <v>75</v>
      </c>
      <c r="H115" s="526"/>
      <c r="I115" s="443">
        <f ca="1">RigScheduleTest!$AV$10</f>
        <v>42702</v>
      </c>
      <c r="J115" s="443">
        <f ca="1">RigScheduleTest!$AW$10</f>
        <v>42772</v>
      </c>
      <c r="K115" s="574"/>
      <c r="L115" s="546"/>
      <c r="M115" s="544"/>
      <c r="N115" s="545"/>
      <c r="O115" s="545"/>
      <c r="P115" s="551"/>
    </row>
    <row r="116" spans="1:16" x14ac:dyDescent="0.25">
      <c r="A116" s="442" t="str">
        <f>RigScheduleTest!$B$10</f>
        <v>NDSC-17</v>
      </c>
      <c r="B116" s="442" t="str">
        <f ca="1">RigScheduleTest!$AY$10</f>
        <v>SA55-SA-RT-Inj-NW-HZ</v>
      </c>
      <c r="C116" s="421" t="str">
        <f ca="1">IF(INDEX(Well_Data_NK_Upcoming!$G$2:$G$996,MATCH('Rig_Schedule_View (2)'!B116,Well_Data_NK_Upcoming!Concatenated_Wellname,0))=0,"",INDEX(Well_Data_NK_Upcoming!$G$2:$G$996,MATCH('Rig_Schedule_View (2)'!B116,Well_Data_NK_Upcoming!Concatenated_Wellname,0)))</f>
        <v>RT</v>
      </c>
      <c r="D116" s="421" t="str">
        <f ca="1">IF(INDEX(Well_Data_NK_Upcoming!$K$2:$K$996,MATCH('Rig_Schedule_View (2)'!B116,Well_Data_NK_Upcoming!Concatenated_Wellname,0))=0,"",INDEX(Well_Data_NK_Upcoming!$K$2:$K$996,MATCH('Rig_Schedule_View (2)'!B116,Well_Data_NK_Upcoming!Concatenated_Wellname,0)))</f>
        <v>NW</v>
      </c>
      <c r="E116" s="421" t="str">
        <f ca="1">IF(INDEX(Well_Data_NK_Upcoming!$J$2:$J$996,MATCH('Rig_Schedule_View (2)'!B116,Well_Data_NK_Upcoming!Concatenated_Wellname,0))=0,"",INDEX(Well_Data_NK_Upcoming!$J$2:$J$996,MATCH('Rig_Schedule_View (2)'!B116,Well_Data_NK_Upcoming!Concatenated_Wellname,0)))</f>
        <v>Inj</v>
      </c>
      <c r="F116" s="421" t="str">
        <f ca="1">IF(INDEX(Well_Data_NK_Upcoming!$L$2:$L$996,MATCH('Rig_Schedule_View (2)'!B116,Well_Data_NK_Upcoming!Concatenated_Wellname,0))=0,"",INDEX(Well_Data_NK_Upcoming!$L$2:$L$996,MATCH('Rig_Schedule_View (2)'!B116,Well_Data_NK_Upcoming!Concatenated_Wellname,0)))</f>
        <v>HZ</v>
      </c>
      <c r="G116" s="421" t="str">
        <f ca="1">IF(INDEX(Well_Data_NK_Upcoming!$R$2:$R$996,MATCH('Rig_Schedule_View (2)'!B116,Well_Data_NK_Upcoming!Concatenated_Wellname,0))=0,"",INDEX(Well_Data_NK_Upcoming!$R$2:$R$996,MATCH('Rig_Schedule_View (2)'!B116,Well_Data_NK_Upcoming!Concatenated_Wellname,0)))</f>
        <v/>
      </c>
      <c r="H116" s="526"/>
      <c r="I116" s="443" t="str">
        <f ca="1">RigScheduleTest!$BB$10</f>
        <v/>
      </c>
      <c r="J116" s="443" t="str">
        <f ca="1">RigScheduleTest!$BC$10</f>
        <v/>
      </c>
      <c r="K116" s="574"/>
      <c r="L116" s="546"/>
      <c r="M116" s="544"/>
      <c r="N116" s="545"/>
      <c r="O116" s="545"/>
      <c r="P116" s="551"/>
    </row>
    <row r="117" spans="1:16" x14ac:dyDescent="0.25">
      <c r="A117" s="442" t="str">
        <f>RigScheduleTest!$B$10</f>
        <v>NDSC-17</v>
      </c>
      <c r="B117" s="442" t="str">
        <f ca="1">RigScheduleTest!$BE$10</f>
        <v/>
      </c>
      <c r="C117" s="421" t="str">
        <f ca="1">IF(INDEX(Well_Data_NK_Upcoming!$G$2:$G$996,MATCH('Rig_Schedule_View (2)'!B117,Well_Data_NK_Upcoming!Concatenated_Wellname,0))=0,"",INDEX(Well_Data_NK_Upcoming!$G$2:$G$996,MATCH('Rig_Schedule_View (2)'!B117,Well_Data_NK_Upcoming!Concatenated_Wellname,0)))</f>
        <v/>
      </c>
      <c r="D117" s="421" t="str">
        <f ca="1">IF(INDEX(Well_Data_NK_Upcoming!$K$2:$K$996,MATCH('Rig_Schedule_View (2)'!B117,Well_Data_NK_Upcoming!Concatenated_Wellname,0))=0,"",INDEX(Well_Data_NK_Upcoming!$K$2:$K$996,MATCH('Rig_Schedule_View (2)'!B117,Well_Data_NK_Upcoming!Concatenated_Wellname,0)))</f>
        <v/>
      </c>
      <c r="E117" s="421" t="str">
        <f ca="1">IF(INDEX(Well_Data_NK_Upcoming!$J$2:$J$996,MATCH('Rig_Schedule_View (2)'!B117,Well_Data_NK_Upcoming!Concatenated_Wellname,0))=0,"",INDEX(Well_Data_NK_Upcoming!$J$2:$J$996,MATCH('Rig_Schedule_View (2)'!B117,Well_Data_NK_Upcoming!Concatenated_Wellname,0)))</f>
        <v/>
      </c>
      <c r="F117" s="421" t="str">
        <f ca="1">IF(INDEX(Well_Data_NK_Upcoming!$L$2:$L$996,MATCH('Rig_Schedule_View (2)'!B117,Well_Data_NK_Upcoming!Concatenated_Wellname,0))=0,"",INDEX(Well_Data_NK_Upcoming!$L$2:$L$996,MATCH('Rig_Schedule_View (2)'!B117,Well_Data_NK_Upcoming!Concatenated_Wellname,0)))</f>
        <v/>
      </c>
      <c r="G117" s="421" t="str">
        <f ca="1">IF(INDEX(Well_Data_NK_Upcoming!$R$2:$R$996,MATCH('Rig_Schedule_View (2)'!B117,Well_Data_NK_Upcoming!Concatenated_Wellname,0))=0,"",INDEX(Well_Data_NK_Upcoming!$R$2:$R$996,MATCH('Rig_Schedule_View (2)'!B117,Well_Data_NK_Upcoming!Concatenated_Wellname,0)))</f>
        <v/>
      </c>
      <c r="H117" s="526"/>
      <c r="I117" s="443" t="str">
        <f ca="1">RigScheduleTest!$BH$10</f>
        <v/>
      </c>
      <c r="J117" s="443" t="str">
        <f ca="1">RigScheduleTest!$BI$10</f>
        <v/>
      </c>
      <c r="K117" s="574"/>
      <c r="L117" s="546"/>
      <c r="M117" s="544"/>
      <c r="N117" s="545"/>
      <c r="O117" s="545"/>
      <c r="P117" s="551"/>
    </row>
    <row r="118" spans="1:16" x14ac:dyDescent="0.25">
      <c r="A118" s="442" t="str">
        <f>RigScheduleTest!$B$10</f>
        <v>NDSC-17</v>
      </c>
      <c r="B118" s="442" t="str">
        <f ca="1">RigScheduleTest!$BK$10</f>
        <v/>
      </c>
      <c r="C118" s="421" t="str">
        <f ca="1">IF(INDEX(Well_Data_NK_Upcoming!$G$2:$G$996,MATCH('Rig_Schedule_View (2)'!B118,Well_Data_NK_Upcoming!Concatenated_Wellname,0))=0,"",INDEX(Well_Data_NK_Upcoming!$G$2:$G$996,MATCH('Rig_Schedule_View (2)'!B118,Well_Data_NK_Upcoming!Concatenated_Wellname,0)))</f>
        <v/>
      </c>
      <c r="D118" s="421" t="str">
        <f ca="1">IF(INDEX(Well_Data_NK_Upcoming!$K$2:$K$996,MATCH('Rig_Schedule_View (2)'!B118,Well_Data_NK_Upcoming!Concatenated_Wellname,0))=0,"",INDEX(Well_Data_NK_Upcoming!$K$2:$K$996,MATCH('Rig_Schedule_View (2)'!B118,Well_Data_NK_Upcoming!Concatenated_Wellname,0)))</f>
        <v/>
      </c>
      <c r="E118" s="421" t="str">
        <f ca="1">IF(INDEX(Well_Data_NK_Upcoming!$J$2:$J$996,MATCH('Rig_Schedule_View (2)'!B118,Well_Data_NK_Upcoming!Concatenated_Wellname,0))=0,"",INDEX(Well_Data_NK_Upcoming!$J$2:$J$996,MATCH('Rig_Schedule_View (2)'!B118,Well_Data_NK_Upcoming!Concatenated_Wellname,0)))</f>
        <v/>
      </c>
      <c r="F118" s="421" t="str">
        <f ca="1">IF(INDEX(Well_Data_NK_Upcoming!$L$2:$L$996,MATCH('Rig_Schedule_View (2)'!B118,Well_Data_NK_Upcoming!Concatenated_Wellname,0))=0,"",INDEX(Well_Data_NK_Upcoming!$L$2:$L$996,MATCH('Rig_Schedule_View (2)'!B118,Well_Data_NK_Upcoming!Concatenated_Wellname,0)))</f>
        <v/>
      </c>
      <c r="G118" s="421" t="str">
        <f ca="1">IF(INDEX(Well_Data_NK_Upcoming!$R$2:$R$996,MATCH('Rig_Schedule_View (2)'!B118,Well_Data_NK_Upcoming!Concatenated_Wellname,0))=0,"",INDEX(Well_Data_NK_Upcoming!$R$2:$R$996,MATCH('Rig_Schedule_View (2)'!B118,Well_Data_NK_Upcoming!Concatenated_Wellname,0)))</f>
        <v/>
      </c>
      <c r="H118" s="526"/>
      <c r="I118" s="443" t="str">
        <f ca="1">RigScheduleTest!$BN$10</f>
        <v/>
      </c>
      <c r="J118" s="443" t="str">
        <f ca="1">RigScheduleTest!$BO$10</f>
        <v/>
      </c>
      <c r="K118" s="574"/>
      <c r="L118" s="546"/>
      <c r="M118" s="544"/>
      <c r="N118" s="545"/>
      <c r="O118" s="545"/>
      <c r="P118" s="551"/>
    </row>
    <row r="119" spans="1:16" x14ac:dyDescent="0.25">
      <c r="A119" s="437" t="str">
        <f>RigScheduleTest!$B$1</f>
        <v>RIG</v>
      </c>
      <c r="B119" s="437" t="str">
        <f>$K$1</f>
        <v>Development Drilling</v>
      </c>
      <c r="C119" s="437" t="s">
        <v>1831</v>
      </c>
      <c r="D119" s="437" t="s">
        <v>867</v>
      </c>
      <c r="E119" s="437" t="s">
        <v>8</v>
      </c>
      <c r="F119" s="437" t="s">
        <v>2</v>
      </c>
      <c r="G119" s="437" t="s">
        <v>1513</v>
      </c>
      <c r="H119" s="438" t="str">
        <f>$K$3</f>
        <v>Rig Deployment Meeting</v>
      </c>
      <c r="I119" s="439" t="str">
        <f>$K$5</f>
        <v>Start</v>
      </c>
      <c r="J119" s="439" t="str">
        <f>$K$6</f>
        <v>End</v>
      </c>
      <c r="K119" s="444" t="s">
        <v>1068</v>
      </c>
      <c r="L119" s="444" t="s">
        <v>1577</v>
      </c>
      <c r="M119" s="496" t="s">
        <v>1934</v>
      </c>
      <c r="N119" s="504" t="s">
        <v>1940</v>
      </c>
      <c r="O119" s="504" t="s">
        <v>1941</v>
      </c>
      <c r="P119" s="502"/>
    </row>
    <row r="120" spans="1:16" x14ac:dyDescent="0.25">
      <c r="A120" s="442" t="str">
        <f>RigScheduleTest!$B$11</f>
        <v>SP-158</v>
      </c>
      <c r="B120" s="421" t="str">
        <f ca="1">RigScheduleTest!$D$11</f>
        <v>RA-0592-RA-UB-Prod-NW-SL-SLB</v>
      </c>
      <c r="C120" s="421" t="str">
        <f ca="1">IF(INDEX(Well_Data_NK_Upcoming!$G$2:$G$996,MATCH('Rig_Schedule_View (2)'!B120,Well_Data_NK_Upcoming!Concatenated_Wellname,0))=0,"",INDEX(Well_Data_NK_Upcoming!$G$2:$G$996,MATCH('Rig_Schedule_View (2)'!B120,Well_Data_NK_Upcoming!Concatenated_Wellname,0)))</f>
        <v>UB</v>
      </c>
      <c r="D120" s="421" t="str">
        <f ca="1">IF(INDEX(Well_Data_NK_Upcoming!$K$2:$K$996,MATCH('Rig_Schedule_View (2)'!B120,Well_Data_NK_Upcoming!Concatenated_Wellname,0))=0,"",INDEX(Well_Data_NK_Upcoming!$K$2:$K$996,MATCH('Rig_Schedule_View (2)'!B120,Well_Data_NK_Upcoming!Concatenated_Wellname,0)))</f>
        <v>NW</v>
      </c>
      <c r="E120" s="421" t="str">
        <f ca="1">IF(INDEX(Well_Data_NK_Upcoming!$J$2:$J$996,MATCH('Rig_Schedule_View (2)'!B120,Well_Data_NK_Upcoming!Concatenated_Wellname,0))=0,"",INDEX(Well_Data_NK_Upcoming!$J$2:$J$996,MATCH('Rig_Schedule_View (2)'!B120,Well_Data_NK_Upcoming!Concatenated_Wellname,0)))</f>
        <v>Prod</v>
      </c>
      <c r="F120" s="421" t="str">
        <f ca="1">IF(INDEX(Well_Data_NK_Upcoming!$L$2:$L$996,MATCH('Rig_Schedule_View (2)'!B120,Well_Data_NK_Upcoming!Concatenated_Wellname,0))=0,"",INDEX(Well_Data_NK_Upcoming!$L$2:$L$996,MATCH('Rig_Schedule_View (2)'!B120,Well_Data_NK_Upcoming!Concatenated_Wellname,0)))</f>
        <v>SL</v>
      </c>
      <c r="G120" s="421">
        <f ca="1">IF(INDEX(Well_Data_NK_Upcoming!$R$2:$R$996,MATCH('Rig_Schedule_View (2)'!B120,Well_Data_NK_Upcoming!Concatenated_Wellname,0))=0,"",INDEX(Well_Data_NK_Upcoming!$R$2:$R$996,MATCH('Rig_Schedule_View (2)'!B120,Well_Data_NK_Upcoming!Concatenated_Wellname,0)))</f>
        <v>75</v>
      </c>
      <c r="H120" s="526">
        <f>RigScheduleTest!$F$11</f>
        <v>42233</v>
      </c>
      <c r="I120" s="459">
        <f ca="1">IF(INDEX(Well_Data_NK_Upcoming!$O$2:$O$996,MATCH('Rig_Schedule_View (2)'!B120,Well_Data_NK_Upcoming!Concatenated_Wellname,0))=0,"",INDEX(Well_Data_NK_Upcoming!$O$2:$O$996,MATCH('Rig_Schedule_View (2)'!B120,Well_Data_NK_Upcoming!Concatenated_Wellname,0)))</f>
        <v>42195.166666666664</v>
      </c>
      <c r="J120" s="446">
        <f ca="1">RigScheduleTest!$H$11</f>
        <v>42245</v>
      </c>
      <c r="K120" s="574" t="s">
        <v>1917</v>
      </c>
      <c r="L120" s="548" t="s">
        <v>2237</v>
      </c>
      <c r="M120" s="549">
        <v>12</v>
      </c>
      <c r="N120" s="545"/>
      <c r="O120" s="545"/>
      <c r="P120" s="551"/>
    </row>
    <row r="121" spans="1:16" x14ac:dyDescent="0.25">
      <c r="A121" s="442" t="str">
        <f>RigScheduleTest!$B$11</f>
        <v>SP-158</v>
      </c>
      <c r="B121" s="441" t="str">
        <f ca="1">RigScheduleTest!$I$11</f>
        <v>RA-0518-RA-UB-Prod-ST-HZ-SLB</v>
      </c>
      <c r="C121" s="421" t="str">
        <f ca="1">IF(INDEX(Well_Data_NK_Upcoming!$G$2:$G$996,MATCH('Rig_Schedule_View (2)'!B121,Well_Data_NK_Upcoming!Concatenated_Wellname,0))=0,"",INDEX(Well_Data_NK_Upcoming!$G$2:$G$996,MATCH('Rig_Schedule_View (2)'!B121,Well_Data_NK_Upcoming!Concatenated_Wellname,0)))</f>
        <v>UB</v>
      </c>
      <c r="D121" s="421" t="str">
        <f ca="1">IF(INDEX(Well_Data_NK_Upcoming!$K$2:$K$996,MATCH('Rig_Schedule_View (2)'!B121,Well_Data_NK_Upcoming!Concatenated_Wellname,0))=0,"",INDEX(Well_Data_NK_Upcoming!$K$2:$K$996,MATCH('Rig_Schedule_View (2)'!B121,Well_Data_NK_Upcoming!Concatenated_Wellname,0)))</f>
        <v>ST</v>
      </c>
      <c r="E121" s="421" t="str">
        <f ca="1">IF(INDEX(Well_Data_NK_Upcoming!$J$2:$J$996,MATCH('Rig_Schedule_View (2)'!B121,Well_Data_NK_Upcoming!Concatenated_Wellname,0))=0,"",INDEX(Well_Data_NK_Upcoming!$J$2:$J$996,MATCH('Rig_Schedule_View (2)'!B121,Well_Data_NK_Upcoming!Concatenated_Wellname,0)))</f>
        <v>Prod</v>
      </c>
      <c r="F121" s="421" t="str">
        <f ca="1">IF(INDEX(Well_Data_NK_Upcoming!$L$2:$L$996,MATCH('Rig_Schedule_View (2)'!B121,Well_Data_NK_Upcoming!Concatenated_Wellname,0))=0,"",INDEX(Well_Data_NK_Upcoming!$L$2:$L$996,MATCH('Rig_Schedule_View (2)'!B121,Well_Data_NK_Upcoming!Concatenated_Wellname,0)))</f>
        <v>HZ</v>
      </c>
      <c r="G121" s="421">
        <f ca="1">IF(INDEX(Well_Data_NK_Upcoming!$R$2:$R$996,MATCH('Rig_Schedule_View (2)'!B121,Well_Data_NK_Upcoming!Concatenated_Wellname,0))=0,"",INDEX(Well_Data_NK_Upcoming!$R$2:$R$996,MATCH('Rig_Schedule_View (2)'!B121,Well_Data_NK_Upcoming!Concatenated_Wellname,0)))</f>
        <v>61</v>
      </c>
      <c r="H121" s="526"/>
      <c r="I121" s="440">
        <f ca="1">RigScheduleTest!$L$11</f>
        <v>42250</v>
      </c>
      <c r="J121" s="440">
        <f ca="1">RigScheduleTest!$M$11</f>
        <v>42306</v>
      </c>
      <c r="K121" s="574"/>
      <c r="L121" s="549" t="s">
        <v>1979</v>
      </c>
      <c r="M121" s="549"/>
      <c r="N121" s="545"/>
      <c r="O121" s="545"/>
      <c r="P121" s="551"/>
    </row>
    <row r="122" spans="1:16" x14ac:dyDescent="0.25">
      <c r="A122" s="442" t="str">
        <f>RigScheduleTest!$B$11</f>
        <v>SP-158</v>
      </c>
      <c r="B122" s="441" t="str">
        <f ca="1">RigScheduleTest!$O$11</f>
        <v>RA-0396-RA-MA-Prod-ST-HZ-SLB</v>
      </c>
      <c r="C122" s="421" t="str">
        <f ca="1">IF(INDEX(Well_Data_NK_Upcoming!$G$2:$G$996,MATCH('Rig_Schedule_View (2)'!B122,Well_Data_NK_Upcoming!Concatenated_Wellname,0))=0,"",INDEX(Well_Data_NK_Upcoming!$G$2:$G$996,MATCH('Rig_Schedule_View (2)'!B122,Well_Data_NK_Upcoming!Concatenated_Wellname,0)))</f>
        <v>MA</v>
      </c>
      <c r="D122" s="421" t="str">
        <f ca="1">IF(INDEX(Well_Data_NK_Upcoming!$K$2:$K$996,MATCH('Rig_Schedule_View (2)'!B122,Well_Data_NK_Upcoming!Concatenated_Wellname,0))=0,"",INDEX(Well_Data_NK_Upcoming!$K$2:$K$996,MATCH('Rig_Schedule_View (2)'!B122,Well_Data_NK_Upcoming!Concatenated_Wellname,0)))</f>
        <v>ST</v>
      </c>
      <c r="E122" s="421" t="str">
        <f ca="1">IF(INDEX(Well_Data_NK_Upcoming!$J$2:$J$996,MATCH('Rig_Schedule_View (2)'!B122,Well_Data_NK_Upcoming!Concatenated_Wellname,0))=0,"",INDEX(Well_Data_NK_Upcoming!$J$2:$J$996,MATCH('Rig_Schedule_View (2)'!B122,Well_Data_NK_Upcoming!Concatenated_Wellname,0)))</f>
        <v>Prod</v>
      </c>
      <c r="F122" s="421" t="str">
        <f ca="1">IF(INDEX(Well_Data_NK_Upcoming!$L$2:$L$996,MATCH('Rig_Schedule_View (2)'!B122,Well_Data_NK_Upcoming!Concatenated_Wellname,0))=0,"",INDEX(Well_Data_NK_Upcoming!$L$2:$L$996,MATCH('Rig_Schedule_View (2)'!B122,Well_Data_NK_Upcoming!Concatenated_Wellname,0)))</f>
        <v>HZ</v>
      </c>
      <c r="G122" s="421">
        <f ca="1">IF(INDEX(Well_Data_NK_Upcoming!$R$2:$R$996,MATCH('Rig_Schedule_View (2)'!B122,Well_Data_NK_Upcoming!Concatenated_Wellname,0))=0,"",INDEX(Well_Data_NK_Upcoming!$R$2:$R$996,MATCH('Rig_Schedule_View (2)'!B122,Well_Data_NK_Upcoming!Concatenated_Wellname,0)))</f>
        <v>61</v>
      </c>
      <c r="H122" s="526"/>
      <c r="I122" s="440">
        <f ca="1">RigScheduleTest!$R$11</f>
        <v>42311</v>
      </c>
      <c r="J122" s="440">
        <f ca="1">RigScheduleTest!$S$11</f>
        <v>42367</v>
      </c>
      <c r="K122" s="574"/>
      <c r="L122" s="546"/>
      <c r="M122" s="544"/>
      <c r="N122" s="545"/>
      <c r="O122" s="545"/>
      <c r="P122" s="551"/>
    </row>
    <row r="123" spans="1:16" x14ac:dyDescent="0.25">
      <c r="A123" s="442" t="str">
        <f>RigScheduleTest!$B$11</f>
        <v>SP-158</v>
      </c>
      <c r="B123" s="442" t="str">
        <f ca="1">RigScheduleTest!$U$11</f>
        <v>SA1-SA-MA-Prod-NW-HZ</v>
      </c>
      <c r="C123" s="421" t="str">
        <f ca="1">IF(INDEX(Well_Data_NK_Upcoming!$G$2:$G$996,MATCH('Rig_Schedule_View (2)'!B123,Well_Data_NK_Upcoming!Concatenated_Wellname,0))=0,"",INDEX(Well_Data_NK_Upcoming!$G$2:$G$996,MATCH('Rig_Schedule_View (2)'!B123,Well_Data_NK_Upcoming!Concatenated_Wellname,0)))</f>
        <v>MA</v>
      </c>
      <c r="D123" s="421" t="str">
        <f ca="1">IF(INDEX(Well_Data_NK_Upcoming!$K$2:$K$996,MATCH('Rig_Schedule_View (2)'!B123,Well_Data_NK_Upcoming!Concatenated_Wellname,0))=0,"",INDEX(Well_Data_NK_Upcoming!$K$2:$K$996,MATCH('Rig_Schedule_View (2)'!B123,Well_Data_NK_Upcoming!Concatenated_Wellname,0)))</f>
        <v>NW</v>
      </c>
      <c r="E123" s="421" t="str">
        <f ca="1">IF(INDEX(Well_Data_NK_Upcoming!$J$2:$J$996,MATCH('Rig_Schedule_View (2)'!B123,Well_Data_NK_Upcoming!Concatenated_Wellname,0))=0,"",INDEX(Well_Data_NK_Upcoming!$J$2:$J$996,MATCH('Rig_Schedule_View (2)'!B123,Well_Data_NK_Upcoming!Concatenated_Wellname,0)))</f>
        <v>Prod</v>
      </c>
      <c r="F123" s="421" t="str">
        <f ca="1">IF(INDEX(Well_Data_NK_Upcoming!$L$2:$L$996,MATCH('Rig_Schedule_View (2)'!B123,Well_Data_NK_Upcoming!Concatenated_Wellname,0))=0,"",INDEX(Well_Data_NK_Upcoming!$L$2:$L$996,MATCH('Rig_Schedule_View (2)'!B123,Well_Data_NK_Upcoming!Concatenated_Wellname,0)))</f>
        <v>HZ</v>
      </c>
      <c r="G123" s="421">
        <f ca="1">IF(INDEX(Well_Data_NK_Upcoming!$R$2:$R$996,MATCH('Rig_Schedule_View (2)'!B123,Well_Data_NK_Upcoming!Concatenated_Wellname,0))=0,"",INDEX(Well_Data_NK_Upcoming!$R$2:$R$996,MATCH('Rig_Schedule_View (2)'!B123,Well_Data_NK_Upcoming!Concatenated_Wellname,0)))</f>
        <v>75</v>
      </c>
      <c r="H123" s="526"/>
      <c r="I123" s="443">
        <f ca="1">RigScheduleTest!$X$11</f>
        <v>42372</v>
      </c>
      <c r="J123" s="443">
        <f ca="1">RigScheduleTest!$Y$11</f>
        <v>42442</v>
      </c>
      <c r="K123" s="574"/>
      <c r="L123" s="546"/>
      <c r="M123" s="544"/>
      <c r="N123" s="545"/>
      <c r="O123" s="545"/>
      <c r="P123" s="551"/>
    </row>
    <row r="124" spans="1:16" x14ac:dyDescent="0.25">
      <c r="A124" s="442" t="str">
        <f>RigScheduleTest!$B$11</f>
        <v>SP-158</v>
      </c>
      <c r="B124" s="442" t="str">
        <f ca="1">RigScheduleTest!$AA$11</f>
        <v>Rig-Exp-13Jan2016</v>
      </c>
      <c r="C124" s="421" t="str">
        <f ca="1">IF(INDEX(Well_Data_NK_Upcoming!$G$2:$G$996,MATCH('Rig_Schedule_View (2)'!B124,Well_Data_NK_Upcoming!Concatenated_Wellname,0))=0,"",INDEX(Well_Data_NK_Upcoming!$G$2:$G$996,MATCH('Rig_Schedule_View (2)'!B124,Well_Data_NK_Upcoming!Concatenated_Wellname,0)))</f>
        <v/>
      </c>
      <c r="D124" s="421" t="str">
        <f ca="1">IF(INDEX(Well_Data_NK_Upcoming!$K$2:$K$996,MATCH('Rig_Schedule_View (2)'!B124,Well_Data_NK_Upcoming!Concatenated_Wellname,0))=0,"",INDEX(Well_Data_NK_Upcoming!$K$2:$K$996,MATCH('Rig_Schedule_View (2)'!B124,Well_Data_NK_Upcoming!Concatenated_Wellname,0)))</f>
        <v/>
      </c>
      <c r="E124" s="421" t="str">
        <f ca="1">IF(INDEX(Well_Data_NK_Upcoming!$J$2:$J$996,MATCH('Rig_Schedule_View (2)'!B124,Well_Data_NK_Upcoming!Concatenated_Wellname,0))=0,"",INDEX(Well_Data_NK_Upcoming!$J$2:$J$996,MATCH('Rig_Schedule_View (2)'!B124,Well_Data_NK_Upcoming!Concatenated_Wellname,0)))</f>
        <v/>
      </c>
      <c r="F124" s="421" t="str">
        <f ca="1">IF(INDEX(Well_Data_NK_Upcoming!$L$2:$L$996,MATCH('Rig_Schedule_View (2)'!B124,Well_Data_NK_Upcoming!Concatenated_Wellname,0))=0,"",INDEX(Well_Data_NK_Upcoming!$L$2:$L$996,MATCH('Rig_Schedule_View (2)'!B124,Well_Data_NK_Upcoming!Concatenated_Wellname,0)))</f>
        <v/>
      </c>
      <c r="G124" s="421" t="str">
        <f ca="1">IF(INDEX(Well_Data_NK_Upcoming!$R$2:$R$996,MATCH('Rig_Schedule_View (2)'!B124,Well_Data_NK_Upcoming!Concatenated_Wellname,0))=0,"",INDEX(Well_Data_NK_Upcoming!$R$2:$R$996,MATCH('Rig_Schedule_View (2)'!B124,Well_Data_NK_Upcoming!Concatenated_Wellname,0)))</f>
        <v/>
      </c>
      <c r="H124" s="526"/>
      <c r="I124" s="443" t="str">
        <f ca="1">RigScheduleTest!$AD$11</f>
        <v/>
      </c>
      <c r="J124" s="443" t="str">
        <f ca="1">RigScheduleTest!$AE$11</f>
        <v/>
      </c>
      <c r="K124" s="574"/>
      <c r="L124" s="546"/>
      <c r="M124" s="544"/>
      <c r="N124" s="545"/>
      <c r="O124" s="545"/>
      <c r="P124" s="551"/>
    </row>
    <row r="125" spans="1:16" x14ac:dyDescent="0.25">
      <c r="A125" s="442" t="str">
        <f>RigScheduleTest!$B$11</f>
        <v>SP-158</v>
      </c>
      <c r="B125" s="442" t="str">
        <f ca="1">RigScheduleTest!$AG$11</f>
        <v>SA8-SA-UB-Prod-NW-SL</v>
      </c>
      <c r="C125" s="421" t="str">
        <f ca="1">IF(INDEX(Well_Data_NK_Upcoming!$G$2:$G$996,MATCH('Rig_Schedule_View (2)'!B125,Well_Data_NK_Upcoming!Concatenated_Wellname,0))=0,"",INDEX(Well_Data_NK_Upcoming!$G$2:$G$996,MATCH('Rig_Schedule_View (2)'!B125,Well_Data_NK_Upcoming!Concatenated_Wellname,0)))</f>
        <v>UB</v>
      </c>
      <c r="D125" s="421" t="str">
        <f ca="1">IF(INDEX(Well_Data_NK_Upcoming!$K$2:$K$996,MATCH('Rig_Schedule_View (2)'!B125,Well_Data_NK_Upcoming!Concatenated_Wellname,0))=0,"",INDEX(Well_Data_NK_Upcoming!$K$2:$K$996,MATCH('Rig_Schedule_View (2)'!B125,Well_Data_NK_Upcoming!Concatenated_Wellname,0)))</f>
        <v>NW</v>
      </c>
      <c r="E125" s="421" t="str">
        <f ca="1">IF(INDEX(Well_Data_NK_Upcoming!$J$2:$J$996,MATCH('Rig_Schedule_View (2)'!B125,Well_Data_NK_Upcoming!Concatenated_Wellname,0))=0,"",INDEX(Well_Data_NK_Upcoming!$J$2:$J$996,MATCH('Rig_Schedule_View (2)'!B125,Well_Data_NK_Upcoming!Concatenated_Wellname,0)))</f>
        <v>Prod</v>
      </c>
      <c r="F125" s="421" t="str">
        <f ca="1">IF(INDEX(Well_Data_NK_Upcoming!$L$2:$L$996,MATCH('Rig_Schedule_View (2)'!B125,Well_Data_NK_Upcoming!Concatenated_Wellname,0))=0,"",INDEX(Well_Data_NK_Upcoming!$L$2:$L$996,MATCH('Rig_Schedule_View (2)'!B125,Well_Data_NK_Upcoming!Concatenated_Wellname,0)))</f>
        <v>SL</v>
      </c>
      <c r="G125" s="421">
        <f ca="1">IF(INDEX(Well_Data_NK_Upcoming!$R$2:$R$996,MATCH('Rig_Schedule_View (2)'!B125,Well_Data_NK_Upcoming!Concatenated_Wellname,0))=0,"",INDEX(Well_Data_NK_Upcoming!$R$2:$R$996,MATCH('Rig_Schedule_View (2)'!B125,Well_Data_NK_Upcoming!Concatenated_Wellname,0)))</f>
        <v>75</v>
      </c>
      <c r="H125" s="526"/>
      <c r="I125" s="443" t="str">
        <f ca="1">RigScheduleTest!$AJ$11</f>
        <v/>
      </c>
      <c r="J125" s="443" t="str">
        <f ca="1">RigScheduleTest!$AK$11</f>
        <v/>
      </c>
      <c r="K125" s="574"/>
      <c r="L125" s="546"/>
      <c r="M125" s="544"/>
      <c r="N125" s="545"/>
      <c r="O125" s="545"/>
      <c r="P125" s="551"/>
    </row>
    <row r="126" spans="1:16" x14ac:dyDescent="0.25">
      <c r="A126" s="442" t="str">
        <f>RigScheduleTest!$B$11</f>
        <v>SP-158</v>
      </c>
      <c r="B126" s="442" t="str">
        <f ca="1">RigScheduleTest!$AM$11</f>
        <v>RA14-RA-UB-Prod-NW-HZ-SLB</v>
      </c>
      <c r="C126" s="421" t="str">
        <f ca="1">IF(INDEX(Well_Data_NK_Upcoming!$G$2:$G$996,MATCH('Rig_Schedule_View (2)'!B126,Well_Data_NK_Upcoming!Concatenated_Wellname,0))=0,"",INDEX(Well_Data_NK_Upcoming!$G$2:$G$996,MATCH('Rig_Schedule_View (2)'!B126,Well_Data_NK_Upcoming!Concatenated_Wellname,0)))</f>
        <v>UB</v>
      </c>
      <c r="D126" s="421" t="str">
        <f ca="1">IF(INDEX(Well_Data_NK_Upcoming!$K$2:$K$996,MATCH('Rig_Schedule_View (2)'!B126,Well_Data_NK_Upcoming!Concatenated_Wellname,0))=0,"",INDEX(Well_Data_NK_Upcoming!$K$2:$K$996,MATCH('Rig_Schedule_View (2)'!B126,Well_Data_NK_Upcoming!Concatenated_Wellname,0)))</f>
        <v>NW</v>
      </c>
      <c r="E126" s="421" t="str">
        <f ca="1">IF(INDEX(Well_Data_NK_Upcoming!$J$2:$J$996,MATCH('Rig_Schedule_View (2)'!B126,Well_Data_NK_Upcoming!Concatenated_Wellname,0))=0,"",INDEX(Well_Data_NK_Upcoming!$J$2:$J$996,MATCH('Rig_Schedule_View (2)'!B126,Well_Data_NK_Upcoming!Concatenated_Wellname,0)))</f>
        <v>Prod</v>
      </c>
      <c r="F126" s="421" t="str">
        <f ca="1">IF(INDEX(Well_Data_NK_Upcoming!$L$2:$L$996,MATCH('Rig_Schedule_View (2)'!B126,Well_Data_NK_Upcoming!Concatenated_Wellname,0))=0,"",INDEX(Well_Data_NK_Upcoming!$L$2:$L$996,MATCH('Rig_Schedule_View (2)'!B126,Well_Data_NK_Upcoming!Concatenated_Wellname,0)))</f>
        <v>HZ</v>
      </c>
      <c r="G126" s="421">
        <f ca="1">IF(INDEX(Well_Data_NK_Upcoming!$R$2:$R$996,MATCH('Rig_Schedule_View (2)'!B126,Well_Data_NK_Upcoming!Concatenated_Wellname,0))=0,"",INDEX(Well_Data_NK_Upcoming!$R$2:$R$996,MATCH('Rig_Schedule_View (2)'!B126,Well_Data_NK_Upcoming!Concatenated_Wellname,0)))</f>
        <v>75</v>
      </c>
      <c r="H126" s="526"/>
      <c r="I126" s="443" t="str">
        <f ca="1">RigScheduleTest!$AP$11</f>
        <v/>
      </c>
      <c r="J126" s="443" t="str">
        <f ca="1">RigScheduleTest!$AQ$11</f>
        <v/>
      </c>
      <c r="K126" s="574"/>
      <c r="L126" s="546"/>
      <c r="M126" s="544"/>
      <c r="N126" s="545"/>
      <c r="O126" s="545"/>
      <c r="P126" s="551"/>
    </row>
    <row r="127" spans="1:16" x14ac:dyDescent="0.25">
      <c r="A127" s="442" t="str">
        <f>RigScheduleTest!$B$11</f>
        <v>SP-158</v>
      </c>
      <c r="B127" s="442" t="str">
        <f ca="1">RigScheduleTest!$AS$11</f>
        <v/>
      </c>
      <c r="C127" s="421" t="str">
        <f ca="1">IF(INDEX(Well_Data_NK_Upcoming!$G$2:$G$996,MATCH('Rig_Schedule_View (2)'!B127,Well_Data_NK_Upcoming!Concatenated_Wellname,0))=0,"",INDEX(Well_Data_NK_Upcoming!$G$2:$G$996,MATCH('Rig_Schedule_View (2)'!B127,Well_Data_NK_Upcoming!Concatenated_Wellname,0)))</f>
        <v/>
      </c>
      <c r="D127" s="421" t="str">
        <f ca="1">IF(INDEX(Well_Data_NK_Upcoming!$K$2:$K$996,MATCH('Rig_Schedule_View (2)'!B127,Well_Data_NK_Upcoming!Concatenated_Wellname,0))=0,"",INDEX(Well_Data_NK_Upcoming!$K$2:$K$996,MATCH('Rig_Schedule_View (2)'!B127,Well_Data_NK_Upcoming!Concatenated_Wellname,0)))</f>
        <v/>
      </c>
      <c r="E127" s="421" t="str">
        <f ca="1">IF(INDEX(Well_Data_NK_Upcoming!$J$2:$J$996,MATCH('Rig_Schedule_View (2)'!B127,Well_Data_NK_Upcoming!Concatenated_Wellname,0))=0,"",INDEX(Well_Data_NK_Upcoming!$J$2:$J$996,MATCH('Rig_Schedule_View (2)'!B127,Well_Data_NK_Upcoming!Concatenated_Wellname,0)))</f>
        <v/>
      </c>
      <c r="F127" s="421" t="str">
        <f ca="1">IF(INDEX(Well_Data_NK_Upcoming!$L$2:$L$996,MATCH('Rig_Schedule_View (2)'!B127,Well_Data_NK_Upcoming!Concatenated_Wellname,0))=0,"",INDEX(Well_Data_NK_Upcoming!$L$2:$L$996,MATCH('Rig_Schedule_View (2)'!B127,Well_Data_NK_Upcoming!Concatenated_Wellname,0)))</f>
        <v/>
      </c>
      <c r="G127" s="421" t="str">
        <f ca="1">IF(INDEX(Well_Data_NK_Upcoming!$R$2:$R$996,MATCH('Rig_Schedule_View (2)'!B127,Well_Data_NK_Upcoming!Concatenated_Wellname,0))=0,"",INDEX(Well_Data_NK_Upcoming!$R$2:$R$996,MATCH('Rig_Schedule_View (2)'!B127,Well_Data_NK_Upcoming!Concatenated_Wellname,0)))</f>
        <v/>
      </c>
      <c r="H127" s="526"/>
      <c r="I127" s="443" t="str">
        <f ca="1">RigScheduleTest!$AV$11</f>
        <v/>
      </c>
      <c r="J127" s="443" t="str">
        <f ca="1">RigScheduleTest!$AW$11</f>
        <v/>
      </c>
      <c r="K127" s="574"/>
      <c r="L127" s="546"/>
      <c r="M127" s="544"/>
      <c r="N127" s="545"/>
      <c r="O127" s="545"/>
      <c r="P127" s="551"/>
    </row>
    <row r="128" spans="1:16" x14ac:dyDescent="0.25">
      <c r="A128" s="442" t="str">
        <f>RigScheduleTest!$B$11</f>
        <v>SP-158</v>
      </c>
      <c r="B128" s="442" t="str">
        <f ca="1">RigScheduleTest!$AY$11</f>
        <v/>
      </c>
      <c r="C128" s="421" t="str">
        <f ca="1">IF(INDEX(Well_Data_NK_Upcoming!$G$2:$G$996,MATCH('Rig_Schedule_View (2)'!B128,Well_Data_NK_Upcoming!Concatenated_Wellname,0))=0,"",INDEX(Well_Data_NK_Upcoming!$G$2:$G$996,MATCH('Rig_Schedule_View (2)'!B128,Well_Data_NK_Upcoming!Concatenated_Wellname,0)))</f>
        <v/>
      </c>
      <c r="D128" s="421" t="str">
        <f ca="1">IF(INDEX(Well_Data_NK_Upcoming!$K$2:$K$996,MATCH('Rig_Schedule_View (2)'!B128,Well_Data_NK_Upcoming!Concatenated_Wellname,0))=0,"",INDEX(Well_Data_NK_Upcoming!$K$2:$K$996,MATCH('Rig_Schedule_View (2)'!B128,Well_Data_NK_Upcoming!Concatenated_Wellname,0)))</f>
        <v/>
      </c>
      <c r="E128" s="421" t="str">
        <f ca="1">IF(INDEX(Well_Data_NK_Upcoming!$J$2:$J$996,MATCH('Rig_Schedule_View (2)'!B128,Well_Data_NK_Upcoming!Concatenated_Wellname,0))=0,"",INDEX(Well_Data_NK_Upcoming!$J$2:$J$996,MATCH('Rig_Schedule_View (2)'!B128,Well_Data_NK_Upcoming!Concatenated_Wellname,0)))</f>
        <v/>
      </c>
      <c r="F128" s="421" t="str">
        <f ca="1">IF(INDEX(Well_Data_NK_Upcoming!$L$2:$L$996,MATCH('Rig_Schedule_View (2)'!B128,Well_Data_NK_Upcoming!Concatenated_Wellname,0))=0,"",INDEX(Well_Data_NK_Upcoming!$L$2:$L$996,MATCH('Rig_Schedule_View (2)'!B128,Well_Data_NK_Upcoming!Concatenated_Wellname,0)))</f>
        <v/>
      </c>
      <c r="G128" s="421" t="str">
        <f ca="1">IF(INDEX(Well_Data_NK_Upcoming!$R$2:$R$996,MATCH('Rig_Schedule_View (2)'!B128,Well_Data_NK_Upcoming!Concatenated_Wellname,0))=0,"",INDEX(Well_Data_NK_Upcoming!$R$2:$R$996,MATCH('Rig_Schedule_View (2)'!B128,Well_Data_NK_Upcoming!Concatenated_Wellname,0)))</f>
        <v/>
      </c>
      <c r="H128" s="526"/>
      <c r="I128" s="443" t="str">
        <f ca="1">RigScheduleTest!$BB$11</f>
        <v/>
      </c>
      <c r="J128" s="443" t="str">
        <f ca="1">RigScheduleTest!$BC$11</f>
        <v/>
      </c>
      <c r="K128" s="574"/>
      <c r="L128" s="546"/>
      <c r="M128" s="544"/>
      <c r="N128" s="545"/>
      <c r="O128" s="545"/>
      <c r="P128" s="551"/>
    </row>
    <row r="129" spans="1:16" x14ac:dyDescent="0.25">
      <c r="A129" s="442" t="str">
        <f>RigScheduleTest!$B$11</f>
        <v>SP-158</v>
      </c>
      <c r="B129" s="442" t="str">
        <f ca="1">RigScheduleTest!$BE$11</f>
        <v/>
      </c>
      <c r="C129" s="421" t="str">
        <f ca="1">IF(INDEX(Well_Data_NK_Upcoming!$G$2:$G$996,MATCH('Rig_Schedule_View (2)'!B129,Well_Data_NK_Upcoming!Concatenated_Wellname,0))=0,"",INDEX(Well_Data_NK_Upcoming!$G$2:$G$996,MATCH('Rig_Schedule_View (2)'!B129,Well_Data_NK_Upcoming!Concatenated_Wellname,0)))</f>
        <v/>
      </c>
      <c r="D129" s="421" t="str">
        <f ca="1">IF(INDEX(Well_Data_NK_Upcoming!$K$2:$K$996,MATCH('Rig_Schedule_View (2)'!B129,Well_Data_NK_Upcoming!Concatenated_Wellname,0))=0,"",INDEX(Well_Data_NK_Upcoming!$K$2:$K$996,MATCH('Rig_Schedule_View (2)'!B129,Well_Data_NK_Upcoming!Concatenated_Wellname,0)))</f>
        <v/>
      </c>
      <c r="E129" s="421" t="str">
        <f ca="1">IF(INDEX(Well_Data_NK_Upcoming!$J$2:$J$996,MATCH('Rig_Schedule_View (2)'!B129,Well_Data_NK_Upcoming!Concatenated_Wellname,0))=0,"",INDEX(Well_Data_NK_Upcoming!$J$2:$J$996,MATCH('Rig_Schedule_View (2)'!B129,Well_Data_NK_Upcoming!Concatenated_Wellname,0)))</f>
        <v/>
      </c>
      <c r="F129" s="421" t="str">
        <f ca="1">IF(INDEX(Well_Data_NK_Upcoming!$L$2:$L$996,MATCH('Rig_Schedule_View (2)'!B129,Well_Data_NK_Upcoming!Concatenated_Wellname,0))=0,"",INDEX(Well_Data_NK_Upcoming!$L$2:$L$996,MATCH('Rig_Schedule_View (2)'!B129,Well_Data_NK_Upcoming!Concatenated_Wellname,0)))</f>
        <v/>
      </c>
      <c r="G129" s="421" t="str">
        <f ca="1">IF(INDEX(Well_Data_NK_Upcoming!$R$2:$R$996,MATCH('Rig_Schedule_View (2)'!B129,Well_Data_NK_Upcoming!Concatenated_Wellname,0))=0,"",INDEX(Well_Data_NK_Upcoming!$R$2:$R$996,MATCH('Rig_Schedule_View (2)'!B129,Well_Data_NK_Upcoming!Concatenated_Wellname,0)))</f>
        <v/>
      </c>
      <c r="H129" s="526"/>
      <c r="I129" s="443" t="str">
        <f ca="1">RigScheduleTest!$BH$11</f>
        <v/>
      </c>
      <c r="J129" s="443" t="str">
        <f ca="1">RigScheduleTest!$BI$11</f>
        <v/>
      </c>
      <c r="K129" s="574"/>
      <c r="L129" s="546"/>
      <c r="M129" s="544"/>
      <c r="N129" s="545"/>
      <c r="O129" s="545"/>
      <c r="P129" s="551"/>
    </row>
    <row r="130" spans="1:16" x14ac:dyDescent="0.25">
      <c r="A130" s="442" t="str">
        <f>RigScheduleTest!$B$11</f>
        <v>SP-158</v>
      </c>
      <c r="B130" s="442" t="str">
        <f ca="1">RigScheduleTest!$BK$11</f>
        <v/>
      </c>
      <c r="C130" s="421" t="str">
        <f ca="1">IF(INDEX(Well_Data_NK_Upcoming!$G$2:$G$996,MATCH('Rig_Schedule_View (2)'!B130,Well_Data_NK_Upcoming!Concatenated_Wellname,0))=0,"",INDEX(Well_Data_NK_Upcoming!$G$2:$G$996,MATCH('Rig_Schedule_View (2)'!B130,Well_Data_NK_Upcoming!Concatenated_Wellname,0)))</f>
        <v/>
      </c>
      <c r="D130" s="421" t="str">
        <f ca="1">IF(INDEX(Well_Data_NK_Upcoming!$K$2:$K$996,MATCH('Rig_Schedule_View (2)'!B130,Well_Data_NK_Upcoming!Concatenated_Wellname,0))=0,"",INDEX(Well_Data_NK_Upcoming!$K$2:$K$996,MATCH('Rig_Schedule_View (2)'!B130,Well_Data_NK_Upcoming!Concatenated_Wellname,0)))</f>
        <v/>
      </c>
      <c r="E130" s="421" t="str">
        <f ca="1">IF(INDEX(Well_Data_NK_Upcoming!$J$2:$J$996,MATCH('Rig_Schedule_View (2)'!B130,Well_Data_NK_Upcoming!Concatenated_Wellname,0))=0,"",INDEX(Well_Data_NK_Upcoming!$J$2:$J$996,MATCH('Rig_Schedule_View (2)'!B130,Well_Data_NK_Upcoming!Concatenated_Wellname,0)))</f>
        <v/>
      </c>
      <c r="F130" s="421" t="str">
        <f ca="1">IF(INDEX(Well_Data_NK_Upcoming!$L$2:$L$996,MATCH('Rig_Schedule_View (2)'!B130,Well_Data_NK_Upcoming!Concatenated_Wellname,0))=0,"",INDEX(Well_Data_NK_Upcoming!$L$2:$L$996,MATCH('Rig_Schedule_View (2)'!B130,Well_Data_NK_Upcoming!Concatenated_Wellname,0)))</f>
        <v/>
      </c>
      <c r="G130" s="421" t="str">
        <f ca="1">IF(INDEX(Well_Data_NK_Upcoming!$R$2:$R$996,MATCH('Rig_Schedule_View (2)'!B130,Well_Data_NK_Upcoming!Concatenated_Wellname,0))=0,"",INDEX(Well_Data_NK_Upcoming!$R$2:$R$996,MATCH('Rig_Schedule_View (2)'!B130,Well_Data_NK_Upcoming!Concatenated_Wellname,0)))</f>
        <v/>
      </c>
      <c r="H130" s="526"/>
      <c r="I130" s="443" t="str">
        <f ca="1">RigScheduleTest!$BN$11</f>
        <v/>
      </c>
      <c r="J130" s="443" t="str">
        <f ca="1">RigScheduleTest!$BO$11</f>
        <v/>
      </c>
      <c r="K130" s="574"/>
      <c r="L130" s="546"/>
      <c r="M130" s="544"/>
      <c r="N130" s="545"/>
      <c r="O130" s="545"/>
      <c r="P130" s="551"/>
    </row>
    <row r="131" spans="1:16" x14ac:dyDescent="0.25">
      <c r="A131" s="437" t="str">
        <f>RigScheduleTest!$B$1</f>
        <v>RIG</v>
      </c>
      <c r="B131" s="437" t="str">
        <f>$K$1</f>
        <v>Development Drilling</v>
      </c>
      <c r="C131" s="437" t="s">
        <v>1831</v>
      </c>
      <c r="D131" s="437" t="s">
        <v>867</v>
      </c>
      <c r="E131" s="437" t="s">
        <v>8</v>
      </c>
      <c r="F131" s="437" t="s">
        <v>2</v>
      </c>
      <c r="G131" s="437" t="s">
        <v>1513</v>
      </c>
      <c r="H131" s="438" t="str">
        <f>$K$3</f>
        <v>Rig Deployment Meeting</v>
      </c>
      <c r="I131" s="439" t="str">
        <f>$K$5</f>
        <v>Start</v>
      </c>
      <c r="J131" s="439" t="str">
        <f>$K$6</f>
        <v>End</v>
      </c>
      <c r="K131" s="444" t="s">
        <v>1068</v>
      </c>
      <c r="L131" s="444" t="s">
        <v>1577</v>
      </c>
      <c r="M131" s="496" t="s">
        <v>1934</v>
      </c>
      <c r="N131" s="504" t="s">
        <v>1940</v>
      </c>
      <c r="O131" s="504" t="s">
        <v>1941</v>
      </c>
      <c r="P131" s="502"/>
    </row>
    <row r="132" spans="1:16" x14ac:dyDescent="0.25">
      <c r="A132" s="442" t="str">
        <f>RigScheduleTest!$B$12</f>
        <v>SP-159</v>
      </c>
      <c r="B132" s="421" t="str">
        <f ca="1">RigScheduleTest!$D$12</f>
        <v>RA-0046-RA-MA-Prod-ST-HZ-SLB</v>
      </c>
      <c r="C132" s="421" t="str">
        <f ca="1">IF(INDEX(Well_Data_NK_Upcoming!$G$2:$G$996,MATCH('Rig_Schedule_View (2)'!B132,Well_Data_NK_Upcoming!Concatenated_Wellname,0))=0,"",INDEX(Well_Data_NK_Upcoming!$G$2:$G$996,MATCH('Rig_Schedule_View (2)'!B132,Well_Data_NK_Upcoming!Concatenated_Wellname,0)))</f>
        <v>MA</v>
      </c>
      <c r="D132" s="421" t="str">
        <f ca="1">IF(INDEX(Well_Data_NK_Upcoming!$K$2:$K$996,MATCH('Rig_Schedule_View (2)'!B132,Well_Data_NK_Upcoming!Concatenated_Wellname,0))=0,"",INDEX(Well_Data_NK_Upcoming!$K$2:$K$996,MATCH('Rig_Schedule_View (2)'!B132,Well_Data_NK_Upcoming!Concatenated_Wellname,0)))</f>
        <v>ST</v>
      </c>
      <c r="E132" s="421" t="str">
        <f ca="1">IF(INDEX(Well_Data_NK_Upcoming!$J$2:$J$996,MATCH('Rig_Schedule_View (2)'!B132,Well_Data_NK_Upcoming!Concatenated_Wellname,0))=0,"",INDEX(Well_Data_NK_Upcoming!$J$2:$J$996,MATCH('Rig_Schedule_View (2)'!B132,Well_Data_NK_Upcoming!Concatenated_Wellname,0)))</f>
        <v>Prod</v>
      </c>
      <c r="F132" s="421" t="str">
        <f ca="1">IF(INDEX(Well_Data_NK_Upcoming!$L$2:$L$996,MATCH('Rig_Schedule_View (2)'!B132,Well_Data_NK_Upcoming!Concatenated_Wellname,0))=0,"",INDEX(Well_Data_NK_Upcoming!$L$2:$L$996,MATCH('Rig_Schedule_View (2)'!B132,Well_Data_NK_Upcoming!Concatenated_Wellname,0)))</f>
        <v>HZ</v>
      </c>
      <c r="G132" s="421">
        <f ca="1">IF(INDEX(Well_Data_NK_Upcoming!$R$2:$R$996,MATCH('Rig_Schedule_View (2)'!B132,Well_Data_NK_Upcoming!Concatenated_Wellname,0))=0,"",INDEX(Well_Data_NK_Upcoming!$R$2:$R$996,MATCH('Rig_Schedule_View (2)'!B132,Well_Data_NK_Upcoming!Concatenated_Wellname,0)))</f>
        <v>61</v>
      </c>
      <c r="H132" s="526">
        <f>RigScheduleTest!$F$12</f>
        <v>42233</v>
      </c>
      <c r="I132" s="459">
        <f ca="1">IF(INDEX(Well_Data_NK_Upcoming!$O$2:$O$996,MATCH('Rig_Schedule_View (2)'!B132,Well_Data_NK_Upcoming!Concatenated_Wellname,0))=0,"",INDEX(Well_Data_NK_Upcoming!$O$2:$O$996,MATCH('Rig_Schedule_View (2)'!B132,Well_Data_NK_Upcoming!Concatenated_Wellname,0)))</f>
        <v>42194.958333333336</v>
      </c>
      <c r="J132" s="446">
        <f ca="1">RigScheduleTest!$H$12</f>
        <v>42239</v>
      </c>
      <c r="K132" s="574" t="s">
        <v>1917</v>
      </c>
      <c r="L132" s="543"/>
      <c r="M132" s="544">
        <v>6</v>
      </c>
      <c r="N132" s="545"/>
      <c r="O132" s="545"/>
      <c r="P132" s="551"/>
    </row>
    <row r="133" spans="1:16" x14ac:dyDescent="0.25">
      <c r="A133" s="442" t="str">
        <f>RigScheduleTest!$B$12</f>
        <v>SP-159</v>
      </c>
      <c r="B133" s="441" t="str">
        <f ca="1">RigScheduleTest!$I$12</f>
        <v>RA-0018-RA-MA-Prod-ST-HZ-Anadrill</v>
      </c>
      <c r="C133" s="421" t="str">
        <f ca="1">IF(INDEX(Well_Data_NK_Upcoming!$G$2:$G$996,MATCH('Rig_Schedule_View (2)'!B133,Well_Data_NK_Upcoming!Concatenated_Wellname,0))=0,"",INDEX(Well_Data_NK_Upcoming!$G$2:$G$996,MATCH('Rig_Schedule_View (2)'!B133,Well_Data_NK_Upcoming!Concatenated_Wellname,0)))</f>
        <v>MA</v>
      </c>
      <c r="D133" s="421" t="str">
        <f ca="1">IF(INDEX(Well_Data_NK_Upcoming!$K$2:$K$996,MATCH('Rig_Schedule_View (2)'!B133,Well_Data_NK_Upcoming!Concatenated_Wellname,0))=0,"",INDEX(Well_Data_NK_Upcoming!$K$2:$K$996,MATCH('Rig_Schedule_View (2)'!B133,Well_Data_NK_Upcoming!Concatenated_Wellname,0)))</f>
        <v>ST</v>
      </c>
      <c r="E133" s="421" t="str">
        <f ca="1">IF(INDEX(Well_Data_NK_Upcoming!$J$2:$J$996,MATCH('Rig_Schedule_View (2)'!B133,Well_Data_NK_Upcoming!Concatenated_Wellname,0))=0,"",INDEX(Well_Data_NK_Upcoming!$J$2:$J$996,MATCH('Rig_Schedule_View (2)'!B133,Well_Data_NK_Upcoming!Concatenated_Wellname,0)))</f>
        <v>Prod</v>
      </c>
      <c r="F133" s="421" t="str">
        <f ca="1">IF(INDEX(Well_Data_NK_Upcoming!$L$2:$L$996,MATCH('Rig_Schedule_View (2)'!B133,Well_Data_NK_Upcoming!Concatenated_Wellname,0))=0,"",INDEX(Well_Data_NK_Upcoming!$L$2:$L$996,MATCH('Rig_Schedule_View (2)'!B133,Well_Data_NK_Upcoming!Concatenated_Wellname,0)))</f>
        <v>HZ</v>
      </c>
      <c r="G133" s="421">
        <f ca="1">IF(INDEX(Well_Data_NK_Upcoming!$R$2:$R$996,MATCH('Rig_Schedule_View (2)'!B133,Well_Data_NK_Upcoming!Concatenated_Wellname,0))=0,"",INDEX(Well_Data_NK_Upcoming!$R$2:$R$996,MATCH('Rig_Schedule_View (2)'!B133,Well_Data_NK_Upcoming!Concatenated_Wellname,0)))</f>
        <v>61</v>
      </c>
      <c r="H133" s="526"/>
      <c r="I133" s="440">
        <f ca="1">RigScheduleTest!$L$12</f>
        <v>42244</v>
      </c>
      <c r="J133" s="440">
        <f ca="1">RigScheduleTest!$M$12</f>
        <v>42300</v>
      </c>
      <c r="K133" s="574"/>
      <c r="L133" s="546"/>
      <c r="M133" s="544"/>
      <c r="N133" s="545"/>
      <c r="O133" s="545" t="s">
        <v>1986</v>
      </c>
      <c r="P133" s="551"/>
    </row>
    <row r="134" spans="1:16" x14ac:dyDescent="0.25">
      <c r="A134" s="442" t="str">
        <f>RigScheduleTest!$B$12</f>
        <v>SP-159</v>
      </c>
      <c r="B134" s="441" t="str">
        <f ca="1">RigScheduleTest!$O$12</f>
        <v>RA-0271-RA-MA-Inj-ST-HZ-Anadrill</v>
      </c>
      <c r="C134" s="421" t="str">
        <f ca="1">IF(INDEX(Well_Data_NK_Upcoming!$G$2:$G$996,MATCH('Rig_Schedule_View (2)'!B134,Well_Data_NK_Upcoming!Concatenated_Wellname,0))=0,"",INDEX(Well_Data_NK_Upcoming!$G$2:$G$996,MATCH('Rig_Schedule_View (2)'!B134,Well_Data_NK_Upcoming!Concatenated_Wellname,0)))</f>
        <v>MA</v>
      </c>
      <c r="D134" s="421" t="str">
        <f ca="1">IF(INDEX(Well_Data_NK_Upcoming!$K$2:$K$996,MATCH('Rig_Schedule_View (2)'!B134,Well_Data_NK_Upcoming!Concatenated_Wellname,0))=0,"",INDEX(Well_Data_NK_Upcoming!$K$2:$K$996,MATCH('Rig_Schedule_View (2)'!B134,Well_Data_NK_Upcoming!Concatenated_Wellname,0)))</f>
        <v>ST</v>
      </c>
      <c r="E134" s="421" t="str">
        <f ca="1">IF(INDEX(Well_Data_NK_Upcoming!$J$2:$J$996,MATCH('Rig_Schedule_View (2)'!B134,Well_Data_NK_Upcoming!Concatenated_Wellname,0))=0,"",INDEX(Well_Data_NK_Upcoming!$J$2:$J$996,MATCH('Rig_Schedule_View (2)'!B134,Well_Data_NK_Upcoming!Concatenated_Wellname,0)))</f>
        <v>Inj</v>
      </c>
      <c r="F134" s="421" t="str">
        <f ca="1">IF(INDEX(Well_Data_NK_Upcoming!$L$2:$L$996,MATCH('Rig_Schedule_View (2)'!B134,Well_Data_NK_Upcoming!Concatenated_Wellname,0))=0,"",INDEX(Well_Data_NK_Upcoming!$L$2:$L$996,MATCH('Rig_Schedule_View (2)'!B134,Well_Data_NK_Upcoming!Concatenated_Wellname,0)))</f>
        <v>HZ</v>
      </c>
      <c r="G134" s="421">
        <f ca="1">IF(INDEX(Well_Data_NK_Upcoming!$R$2:$R$996,MATCH('Rig_Schedule_View (2)'!B134,Well_Data_NK_Upcoming!Concatenated_Wellname,0))=0,"",INDEX(Well_Data_NK_Upcoming!$R$2:$R$996,MATCH('Rig_Schedule_View (2)'!B134,Well_Data_NK_Upcoming!Concatenated_Wellname,0)))</f>
        <v>54</v>
      </c>
      <c r="H134" s="526"/>
      <c r="I134" s="440">
        <f ca="1">RigScheduleTest!$R$12</f>
        <v>42305</v>
      </c>
      <c r="J134" s="440">
        <f ca="1">RigScheduleTest!$S$12</f>
        <v>42354</v>
      </c>
      <c r="K134" s="574"/>
      <c r="L134" s="546"/>
      <c r="M134" s="544"/>
      <c r="N134" s="545"/>
      <c r="O134" s="545" t="s">
        <v>1986</v>
      </c>
      <c r="P134" s="551"/>
    </row>
    <row r="135" spans="1:16" x14ac:dyDescent="0.25">
      <c r="A135" s="442" t="str">
        <f>RigScheduleTest!$B$12</f>
        <v>SP-159</v>
      </c>
      <c r="B135" s="442" t="str">
        <f ca="1">RigScheduleTest!$U$12</f>
        <v>RA-0166-RA-MA-Prod-ST-HZ-SLB</v>
      </c>
      <c r="C135" s="421" t="str">
        <f ca="1">IF(INDEX(Well_Data_NK_Upcoming!$G$2:$G$996,MATCH('Rig_Schedule_View (2)'!B135,Well_Data_NK_Upcoming!Concatenated_Wellname,0))=0,"",INDEX(Well_Data_NK_Upcoming!$G$2:$G$996,MATCH('Rig_Schedule_View (2)'!B135,Well_Data_NK_Upcoming!Concatenated_Wellname,0)))</f>
        <v>MA</v>
      </c>
      <c r="D135" s="421" t="str">
        <f ca="1">IF(INDEX(Well_Data_NK_Upcoming!$K$2:$K$996,MATCH('Rig_Schedule_View (2)'!B135,Well_Data_NK_Upcoming!Concatenated_Wellname,0))=0,"",INDEX(Well_Data_NK_Upcoming!$K$2:$K$996,MATCH('Rig_Schedule_View (2)'!B135,Well_Data_NK_Upcoming!Concatenated_Wellname,0)))</f>
        <v>ST</v>
      </c>
      <c r="E135" s="421" t="str">
        <f ca="1">IF(INDEX(Well_Data_NK_Upcoming!$J$2:$J$996,MATCH('Rig_Schedule_View (2)'!B135,Well_Data_NK_Upcoming!Concatenated_Wellname,0))=0,"",INDEX(Well_Data_NK_Upcoming!$J$2:$J$996,MATCH('Rig_Schedule_View (2)'!B135,Well_Data_NK_Upcoming!Concatenated_Wellname,0)))</f>
        <v>Prod</v>
      </c>
      <c r="F135" s="421" t="str">
        <f ca="1">IF(INDEX(Well_Data_NK_Upcoming!$L$2:$L$996,MATCH('Rig_Schedule_View (2)'!B135,Well_Data_NK_Upcoming!Concatenated_Wellname,0))=0,"",INDEX(Well_Data_NK_Upcoming!$L$2:$L$996,MATCH('Rig_Schedule_View (2)'!B135,Well_Data_NK_Upcoming!Concatenated_Wellname,0)))</f>
        <v>HZ</v>
      </c>
      <c r="G135" s="421">
        <f ca="1">IF(INDEX(Well_Data_NK_Upcoming!$R$2:$R$996,MATCH('Rig_Schedule_View (2)'!B135,Well_Data_NK_Upcoming!Concatenated_Wellname,0))=0,"",INDEX(Well_Data_NK_Upcoming!$R$2:$R$996,MATCH('Rig_Schedule_View (2)'!B135,Well_Data_NK_Upcoming!Concatenated_Wellname,0)))</f>
        <v>61</v>
      </c>
      <c r="H135" s="526"/>
      <c r="I135" s="443">
        <f ca="1">RigScheduleTest!$X$12</f>
        <v>42359</v>
      </c>
      <c r="J135" s="443">
        <f ca="1">RigScheduleTest!$Y$12</f>
        <v>42415</v>
      </c>
      <c r="K135" s="574"/>
      <c r="L135" s="546" t="s">
        <v>2219</v>
      </c>
      <c r="M135" s="544"/>
      <c r="N135" s="545"/>
      <c r="O135" s="545"/>
      <c r="P135" s="551"/>
    </row>
    <row r="136" spans="1:16" x14ac:dyDescent="0.25">
      <c r="A136" s="442" t="str">
        <f>RigScheduleTest!$B$12</f>
        <v>SP-159</v>
      </c>
      <c r="B136" s="442" t="str">
        <f ca="1">RigScheduleTest!$AA$12</f>
        <v>Rig-Exp14Feb2016</v>
      </c>
      <c r="C136" s="421" t="str">
        <f ca="1">IF(INDEX(Well_Data_NK_Upcoming!$G$2:$G$996,MATCH('Rig_Schedule_View (2)'!B136,Well_Data_NK_Upcoming!Concatenated_Wellname,0))=0,"",INDEX(Well_Data_NK_Upcoming!$G$2:$G$996,MATCH('Rig_Schedule_View (2)'!B136,Well_Data_NK_Upcoming!Concatenated_Wellname,0)))</f>
        <v/>
      </c>
      <c r="D136" s="421" t="str">
        <f ca="1">IF(INDEX(Well_Data_NK_Upcoming!$K$2:$K$996,MATCH('Rig_Schedule_View (2)'!B136,Well_Data_NK_Upcoming!Concatenated_Wellname,0))=0,"",INDEX(Well_Data_NK_Upcoming!$K$2:$K$996,MATCH('Rig_Schedule_View (2)'!B136,Well_Data_NK_Upcoming!Concatenated_Wellname,0)))</f>
        <v/>
      </c>
      <c r="E136" s="421" t="str">
        <f ca="1">IF(INDEX(Well_Data_NK_Upcoming!$J$2:$J$996,MATCH('Rig_Schedule_View (2)'!B136,Well_Data_NK_Upcoming!Concatenated_Wellname,0))=0,"",INDEX(Well_Data_NK_Upcoming!$J$2:$J$996,MATCH('Rig_Schedule_View (2)'!B136,Well_Data_NK_Upcoming!Concatenated_Wellname,0)))</f>
        <v/>
      </c>
      <c r="F136" s="421" t="str">
        <f ca="1">IF(INDEX(Well_Data_NK_Upcoming!$L$2:$L$996,MATCH('Rig_Schedule_View (2)'!B136,Well_Data_NK_Upcoming!Concatenated_Wellname,0))=0,"",INDEX(Well_Data_NK_Upcoming!$L$2:$L$996,MATCH('Rig_Schedule_View (2)'!B136,Well_Data_NK_Upcoming!Concatenated_Wellname,0)))</f>
        <v/>
      </c>
      <c r="G136" s="421" t="str">
        <f ca="1">IF(INDEX(Well_Data_NK_Upcoming!$R$2:$R$996,MATCH('Rig_Schedule_View (2)'!B136,Well_Data_NK_Upcoming!Concatenated_Wellname,0))=0,"",INDEX(Well_Data_NK_Upcoming!$R$2:$R$996,MATCH('Rig_Schedule_View (2)'!B136,Well_Data_NK_Upcoming!Concatenated_Wellname,0)))</f>
        <v/>
      </c>
      <c r="H136" s="526"/>
      <c r="I136" s="443" t="str">
        <f ca="1">RigScheduleTest!$AD$12</f>
        <v/>
      </c>
      <c r="J136" s="443" t="str">
        <f ca="1">RigScheduleTest!$AE$12</f>
        <v/>
      </c>
      <c r="K136" s="574"/>
      <c r="L136" s="546"/>
      <c r="M136" s="544"/>
      <c r="N136" s="545"/>
      <c r="O136" s="545"/>
      <c r="P136" s="551"/>
    </row>
    <row r="137" spans="1:16" x14ac:dyDescent="0.25">
      <c r="A137" s="442" t="str">
        <f>RigScheduleTest!$B$12</f>
        <v>SP-159</v>
      </c>
      <c r="B137" s="442" t="str">
        <f ca="1">RigScheduleTest!$AG$12</f>
        <v>RA15-RA-ZU-Inj-NW-HZ-SLB</v>
      </c>
      <c r="C137" s="421" t="str">
        <f ca="1">IF(INDEX(Well_Data_NK_Upcoming!$G$2:$G$996,MATCH('Rig_Schedule_View (2)'!B137,Well_Data_NK_Upcoming!Concatenated_Wellname,0))=0,"",INDEX(Well_Data_NK_Upcoming!$G$2:$G$996,MATCH('Rig_Schedule_View (2)'!B137,Well_Data_NK_Upcoming!Concatenated_Wellname,0)))</f>
        <v>ZU</v>
      </c>
      <c r="D137" s="421" t="str">
        <f ca="1">IF(INDEX(Well_Data_NK_Upcoming!$K$2:$K$996,MATCH('Rig_Schedule_View (2)'!B137,Well_Data_NK_Upcoming!Concatenated_Wellname,0))=0,"",INDEX(Well_Data_NK_Upcoming!$K$2:$K$996,MATCH('Rig_Schedule_View (2)'!B137,Well_Data_NK_Upcoming!Concatenated_Wellname,0)))</f>
        <v>NW</v>
      </c>
      <c r="E137" s="421" t="str">
        <f ca="1">IF(INDEX(Well_Data_NK_Upcoming!$J$2:$J$996,MATCH('Rig_Schedule_View (2)'!B137,Well_Data_NK_Upcoming!Concatenated_Wellname,0))=0,"",INDEX(Well_Data_NK_Upcoming!$J$2:$J$996,MATCH('Rig_Schedule_View (2)'!B137,Well_Data_NK_Upcoming!Concatenated_Wellname,0)))</f>
        <v>Inj</v>
      </c>
      <c r="F137" s="421" t="str">
        <f ca="1">IF(INDEX(Well_Data_NK_Upcoming!$L$2:$L$996,MATCH('Rig_Schedule_View (2)'!B137,Well_Data_NK_Upcoming!Concatenated_Wellname,0))=0,"",INDEX(Well_Data_NK_Upcoming!$L$2:$L$996,MATCH('Rig_Schedule_View (2)'!B137,Well_Data_NK_Upcoming!Concatenated_Wellname,0)))</f>
        <v>HZ</v>
      </c>
      <c r="G137" s="421" t="str">
        <f ca="1">IF(INDEX(Well_Data_NK_Upcoming!$R$2:$R$996,MATCH('Rig_Schedule_View (2)'!B137,Well_Data_NK_Upcoming!Concatenated_Wellname,0))=0,"",INDEX(Well_Data_NK_Upcoming!$R$2:$R$996,MATCH('Rig_Schedule_View (2)'!B137,Well_Data_NK_Upcoming!Concatenated_Wellname,0)))</f>
        <v/>
      </c>
      <c r="H137" s="526"/>
      <c r="I137" s="443" t="str">
        <f ca="1">RigScheduleTest!$AJ$12</f>
        <v/>
      </c>
      <c r="J137" s="443" t="str">
        <f ca="1">RigScheduleTest!$AK$12</f>
        <v/>
      </c>
      <c r="K137" s="574"/>
      <c r="L137" s="546"/>
      <c r="M137" s="544"/>
      <c r="N137" s="545"/>
      <c r="O137" s="545"/>
      <c r="P137" s="551"/>
    </row>
    <row r="138" spans="1:16" x14ac:dyDescent="0.25">
      <c r="A138" s="442" t="str">
        <f>RigScheduleTest!$B$12</f>
        <v>SP-159</v>
      </c>
      <c r="B138" s="442" t="str">
        <f ca="1">RigScheduleTest!$AM$12</f>
        <v>SA30-SA-UB-Inj-NW-SL</v>
      </c>
      <c r="C138" s="421" t="str">
        <f ca="1">IF(INDEX(Well_Data_NK_Upcoming!$G$2:$G$996,MATCH('Rig_Schedule_View (2)'!B138,Well_Data_NK_Upcoming!Concatenated_Wellname,0))=0,"",INDEX(Well_Data_NK_Upcoming!$G$2:$G$996,MATCH('Rig_Schedule_View (2)'!B138,Well_Data_NK_Upcoming!Concatenated_Wellname,0)))</f>
        <v>UB</v>
      </c>
      <c r="D138" s="421" t="str">
        <f ca="1">IF(INDEX(Well_Data_NK_Upcoming!$K$2:$K$996,MATCH('Rig_Schedule_View (2)'!B138,Well_Data_NK_Upcoming!Concatenated_Wellname,0))=0,"",INDEX(Well_Data_NK_Upcoming!$K$2:$K$996,MATCH('Rig_Schedule_View (2)'!B138,Well_Data_NK_Upcoming!Concatenated_Wellname,0)))</f>
        <v>NW</v>
      </c>
      <c r="E138" s="421" t="str">
        <f ca="1">IF(INDEX(Well_Data_NK_Upcoming!$J$2:$J$996,MATCH('Rig_Schedule_View (2)'!B138,Well_Data_NK_Upcoming!Concatenated_Wellname,0))=0,"",INDEX(Well_Data_NK_Upcoming!$J$2:$J$996,MATCH('Rig_Schedule_View (2)'!B138,Well_Data_NK_Upcoming!Concatenated_Wellname,0)))</f>
        <v>Inj</v>
      </c>
      <c r="F138" s="421" t="str">
        <f ca="1">IF(INDEX(Well_Data_NK_Upcoming!$L$2:$L$996,MATCH('Rig_Schedule_View (2)'!B138,Well_Data_NK_Upcoming!Concatenated_Wellname,0))=0,"",INDEX(Well_Data_NK_Upcoming!$L$2:$L$996,MATCH('Rig_Schedule_View (2)'!B138,Well_Data_NK_Upcoming!Concatenated_Wellname,0)))</f>
        <v>SL</v>
      </c>
      <c r="G138" s="421">
        <f ca="1">IF(INDEX(Well_Data_NK_Upcoming!$R$2:$R$996,MATCH('Rig_Schedule_View (2)'!B138,Well_Data_NK_Upcoming!Concatenated_Wellname,0))=0,"",INDEX(Well_Data_NK_Upcoming!$R$2:$R$996,MATCH('Rig_Schedule_View (2)'!B138,Well_Data_NK_Upcoming!Concatenated_Wellname,0)))</f>
        <v>75</v>
      </c>
      <c r="H138" s="526"/>
      <c r="I138" s="443" t="str">
        <f ca="1">RigScheduleTest!$AP$12</f>
        <v/>
      </c>
      <c r="J138" s="443" t="str">
        <f ca="1">RigScheduleTest!$AQ$12</f>
        <v/>
      </c>
      <c r="K138" s="574"/>
      <c r="L138" s="546"/>
      <c r="M138" s="544"/>
      <c r="N138" s="545"/>
      <c r="O138" s="545"/>
      <c r="P138" s="551"/>
    </row>
    <row r="139" spans="1:16" x14ac:dyDescent="0.25">
      <c r="A139" s="442" t="str">
        <f>RigScheduleTest!$B$12</f>
        <v>SP-159</v>
      </c>
      <c r="B139" s="442" t="str">
        <f ca="1">RigScheduleTest!$AS$12</f>
        <v>SA48-SA-Prod-NW-SL</v>
      </c>
      <c r="C139" s="421" t="str">
        <f ca="1">IF(INDEX(Well_Data_NK_Upcoming!$G$2:$G$996,MATCH('Rig_Schedule_View (2)'!B139,Well_Data_NK_Upcoming!Concatenated_Wellname,0))=0,"",INDEX(Well_Data_NK_Upcoming!$G$2:$G$996,MATCH('Rig_Schedule_View (2)'!B139,Well_Data_NK_Upcoming!Concatenated_Wellname,0)))</f>
        <v/>
      </c>
      <c r="D139" s="421" t="str">
        <f ca="1">IF(INDEX(Well_Data_NK_Upcoming!$K$2:$K$996,MATCH('Rig_Schedule_View (2)'!B139,Well_Data_NK_Upcoming!Concatenated_Wellname,0))=0,"",INDEX(Well_Data_NK_Upcoming!$K$2:$K$996,MATCH('Rig_Schedule_View (2)'!B139,Well_Data_NK_Upcoming!Concatenated_Wellname,0)))</f>
        <v>NW</v>
      </c>
      <c r="E139" s="421" t="str">
        <f ca="1">IF(INDEX(Well_Data_NK_Upcoming!$J$2:$J$996,MATCH('Rig_Schedule_View (2)'!B139,Well_Data_NK_Upcoming!Concatenated_Wellname,0))=0,"",INDEX(Well_Data_NK_Upcoming!$J$2:$J$996,MATCH('Rig_Schedule_View (2)'!B139,Well_Data_NK_Upcoming!Concatenated_Wellname,0)))</f>
        <v>Prod</v>
      </c>
      <c r="F139" s="421" t="str">
        <f ca="1">IF(INDEX(Well_Data_NK_Upcoming!$L$2:$L$996,MATCH('Rig_Schedule_View (2)'!B139,Well_Data_NK_Upcoming!Concatenated_Wellname,0))=0,"",INDEX(Well_Data_NK_Upcoming!$L$2:$L$996,MATCH('Rig_Schedule_View (2)'!B139,Well_Data_NK_Upcoming!Concatenated_Wellname,0)))</f>
        <v>SL</v>
      </c>
      <c r="G139" s="421" t="str">
        <f ca="1">IF(INDEX(Well_Data_NK_Upcoming!$R$2:$R$996,MATCH('Rig_Schedule_View (2)'!B139,Well_Data_NK_Upcoming!Concatenated_Wellname,0))=0,"",INDEX(Well_Data_NK_Upcoming!$R$2:$R$996,MATCH('Rig_Schedule_View (2)'!B139,Well_Data_NK_Upcoming!Concatenated_Wellname,0)))</f>
        <v/>
      </c>
      <c r="H139" s="526"/>
      <c r="I139" s="443" t="str">
        <f ca="1">RigScheduleTest!$AV$12</f>
        <v/>
      </c>
      <c r="J139" s="443" t="str">
        <f ca="1">RigScheduleTest!$AW$12</f>
        <v/>
      </c>
      <c r="K139" s="574"/>
      <c r="L139" s="546"/>
      <c r="M139" s="544"/>
      <c r="N139" s="545"/>
      <c r="O139" s="545"/>
      <c r="P139" s="551"/>
    </row>
    <row r="140" spans="1:16" x14ac:dyDescent="0.25">
      <c r="A140" s="442" t="str">
        <f>RigScheduleTest!$B$12</f>
        <v>SP-159</v>
      </c>
      <c r="B140" s="442" t="str">
        <f ca="1">RigScheduleTest!$AY$12</f>
        <v/>
      </c>
      <c r="C140" s="421" t="str">
        <f ca="1">IF(INDEX(Well_Data_NK_Upcoming!$G$2:$G$996,MATCH('Rig_Schedule_View (2)'!B140,Well_Data_NK_Upcoming!Concatenated_Wellname,0))=0,"",INDEX(Well_Data_NK_Upcoming!$G$2:$G$996,MATCH('Rig_Schedule_View (2)'!B140,Well_Data_NK_Upcoming!Concatenated_Wellname,0)))</f>
        <v/>
      </c>
      <c r="D140" s="421" t="str">
        <f ca="1">IF(INDEX(Well_Data_NK_Upcoming!$K$2:$K$996,MATCH('Rig_Schedule_View (2)'!B140,Well_Data_NK_Upcoming!Concatenated_Wellname,0))=0,"",INDEX(Well_Data_NK_Upcoming!$K$2:$K$996,MATCH('Rig_Schedule_View (2)'!B140,Well_Data_NK_Upcoming!Concatenated_Wellname,0)))</f>
        <v/>
      </c>
      <c r="E140" s="421" t="str">
        <f ca="1">IF(INDEX(Well_Data_NK_Upcoming!$J$2:$J$996,MATCH('Rig_Schedule_View (2)'!B140,Well_Data_NK_Upcoming!Concatenated_Wellname,0))=0,"",INDEX(Well_Data_NK_Upcoming!$J$2:$J$996,MATCH('Rig_Schedule_View (2)'!B140,Well_Data_NK_Upcoming!Concatenated_Wellname,0)))</f>
        <v/>
      </c>
      <c r="F140" s="421" t="str">
        <f ca="1">IF(INDEX(Well_Data_NK_Upcoming!$L$2:$L$996,MATCH('Rig_Schedule_View (2)'!B140,Well_Data_NK_Upcoming!Concatenated_Wellname,0))=0,"",INDEX(Well_Data_NK_Upcoming!$L$2:$L$996,MATCH('Rig_Schedule_View (2)'!B140,Well_Data_NK_Upcoming!Concatenated_Wellname,0)))</f>
        <v/>
      </c>
      <c r="G140" s="421" t="str">
        <f ca="1">IF(INDEX(Well_Data_NK_Upcoming!$R$2:$R$996,MATCH('Rig_Schedule_View (2)'!B140,Well_Data_NK_Upcoming!Concatenated_Wellname,0))=0,"",INDEX(Well_Data_NK_Upcoming!$R$2:$R$996,MATCH('Rig_Schedule_View (2)'!B140,Well_Data_NK_Upcoming!Concatenated_Wellname,0)))</f>
        <v/>
      </c>
      <c r="H140" s="526"/>
      <c r="I140" s="443" t="str">
        <f ca="1">RigScheduleTest!$BB$12</f>
        <v/>
      </c>
      <c r="J140" s="443" t="str">
        <f ca="1">RigScheduleTest!$BC$12</f>
        <v/>
      </c>
      <c r="K140" s="574"/>
      <c r="L140" s="546"/>
      <c r="M140" s="544"/>
      <c r="N140" s="545"/>
      <c r="O140" s="545"/>
      <c r="P140" s="551"/>
    </row>
    <row r="141" spans="1:16" x14ac:dyDescent="0.25">
      <c r="A141" s="442" t="str">
        <f>RigScheduleTest!$B$12</f>
        <v>SP-159</v>
      </c>
      <c r="B141" s="442" t="str">
        <f ca="1">RigScheduleTest!$BE$12</f>
        <v/>
      </c>
      <c r="C141" s="421" t="str">
        <f ca="1">IF(INDEX(Well_Data_NK_Upcoming!$G$2:$G$996,MATCH('Rig_Schedule_View (2)'!B141,Well_Data_NK_Upcoming!Concatenated_Wellname,0))=0,"",INDEX(Well_Data_NK_Upcoming!$G$2:$G$996,MATCH('Rig_Schedule_View (2)'!B141,Well_Data_NK_Upcoming!Concatenated_Wellname,0)))</f>
        <v/>
      </c>
      <c r="D141" s="421" t="str">
        <f ca="1">IF(INDEX(Well_Data_NK_Upcoming!$K$2:$K$996,MATCH('Rig_Schedule_View (2)'!B141,Well_Data_NK_Upcoming!Concatenated_Wellname,0))=0,"",INDEX(Well_Data_NK_Upcoming!$K$2:$K$996,MATCH('Rig_Schedule_View (2)'!B141,Well_Data_NK_Upcoming!Concatenated_Wellname,0)))</f>
        <v/>
      </c>
      <c r="E141" s="421" t="str">
        <f ca="1">IF(INDEX(Well_Data_NK_Upcoming!$J$2:$J$996,MATCH('Rig_Schedule_View (2)'!B141,Well_Data_NK_Upcoming!Concatenated_Wellname,0))=0,"",INDEX(Well_Data_NK_Upcoming!$J$2:$J$996,MATCH('Rig_Schedule_View (2)'!B141,Well_Data_NK_Upcoming!Concatenated_Wellname,0)))</f>
        <v/>
      </c>
      <c r="F141" s="421" t="str">
        <f ca="1">IF(INDEX(Well_Data_NK_Upcoming!$L$2:$L$996,MATCH('Rig_Schedule_View (2)'!B141,Well_Data_NK_Upcoming!Concatenated_Wellname,0))=0,"",INDEX(Well_Data_NK_Upcoming!$L$2:$L$996,MATCH('Rig_Schedule_View (2)'!B141,Well_Data_NK_Upcoming!Concatenated_Wellname,0)))</f>
        <v/>
      </c>
      <c r="G141" s="421" t="str">
        <f ca="1">IF(INDEX(Well_Data_NK_Upcoming!$R$2:$R$996,MATCH('Rig_Schedule_View (2)'!B141,Well_Data_NK_Upcoming!Concatenated_Wellname,0))=0,"",INDEX(Well_Data_NK_Upcoming!$R$2:$R$996,MATCH('Rig_Schedule_View (2)'!B141,Well_Data_NK_Upcoming!Concatenated_Wellname,0)))</f>
        <v/>
      </c>
      <c r="H141" s="526"/>
      <c r="I141" s="443" t="str">
        <f ca="1">RigScheduleTest!$BH$12</f>
        <v/>
      </c>
      <c r="J141" s="443" t="str">
        <f ca="1">RigScheduleTest!$BI$12</f>
        <v/>
      </c>
      <c r="K141" s="574"/>
      <c r="L141" s="546"/>
      <c r="M141" s="544"/>
      <c r="N141" s="545"/>
      <c r="O141" s="545"/>
      <c r="P141" s="551"/>
    </row>
    <row r="142" spans="1:16" x14ac:dyDescent="0.25">
      <c r="A142" s="442" t="str">
        <f>RigScheduleTest!$B$12</f>
        <v>SP-159</v>
      </c>
      <c r="B142" s="442" t="str">
        <f ca="1">RigScheduleTest!$BK$12</f>
        <v/>
      </c>
      <c r="C142" s="421" t="str">
        <f ca="1">IF(INDEX(Well_Data_NK_Upcoming!$G$2:$G$996,MATCH('Rig_Schedule_View (2)'!B142,Well_Data_NK_Upcoming!Concatenated_Wellname,0))=0,"",INDEX(Well_Data_NK_Upcoming!$G$2:$G$996,MATCH('Rig_Schedule_View (2)'!B142,Well_Data_NK_Upcoming!Concatenated_Wellname,0)))</f>
        <v/>
      </c>
      <c r="D142" s="421" t="str">
        <f ca="1">IF(INDEX(Well_Data_NK_Upcoming!$K$2:$K$996,MATCH('Rig_Schedule_View (2)'!B142,Well_Data_NK_Upcoming!Concatenated_Wellname,0))=0,"",INDEX(Well_Data_NK_Upcoming!$K$2:$K$996,MATCH('Rig_Schedule_View (2)'!B142,Well_Data_NK_Upcoming!Concatenated_Wellname,0)))</f>
        <v/>
      </c>
      <c r="E142" s="421" t="str">
        <f ca="1">IF(INDEX(Well_Data_NK_Upcoming!$J$2:$J$996,MATCH('Rig_Schedule_View (2)'!B142,Well_Data_NK_Upcoming!Concatenated_Wellname,0))=0,"",INDEX(Well_Data_NK_Upcoming!$J$2:$J$996,MATCH('Rig_Schedule_View (2)'!B142,Well_Data_NK_Upcoming!Concatenated_Wellname,0)))</f>
        <v/>
      </c>
      <c r="F142" s="421" t="str">
        <f ca="1">IF(INDEX(Well_Data_NK_Upcoming!$L$2:$L$996,MATCH('Rig_Schedule_View (2)'!B142,Well_Data_NK_Upcoming!Concatenated_Wellname,0))=0,"",INDEX(Well_Data_NK_Upcoming!$L$2:$L$996,MATCH('Rig_Schedule_View (2)'!B142,Well_Data_NK_Upcoming!Concatenated_Wellname,0)))</f>
        <v/>
      </c>
      <c r="G142" s="421" t="str">
        <f ca="1">IF(INDEX(Well_Data_NK_Upcoming!$R$2:$R$996,MATCH('Rig_Schedule_View (2)'!B142,Well_Data_NK_Upcoming!Concatenated_Wellname,0))=0,"",INDEX(Well_Data_NK_Upcoming!$R$2:$R$996,MATCH('Rig_Schedule_View (2)'!B142,Well_Data_NK_Upcoming!Concatenated_Wellname,0)))</f>
        <v/>
      </c>
      <c r="H142" s="526"/>
      <c r="I142" s="443" t="str">
        <f ca="1">RigScheduleTest!$BN$12</f>
        <v/>
      </c>
      <c r="J142" s="443" t="str">
        <f ca="1">RigScheduleTest!$BO$12</f>
        <v/>
      </c>
      <c r="K142" s="574"/>
      <c r="L142" s="546"/>
      <c r="M142" s="544"/>
      <c r="N142" s="545"/>
      <c r="O142" s="545"/>
      <c r="P142" s="551"/>
    </row>
    <row r="143" spans="1:16" x14ac:dyDescent="0.25">
      <c r="A143" s="437" t="str">
        <f>RigScheduleTest!$B$1</f>
        <v>RIG</v>
      </c>
      <c r="B143" s="437" t="str">
        <f>$K$1</f>
        <v>Development Drilling</v>
      </c>
      <c r="C143" s="437" t="s">
        <v>1831</v>
      </c>
      <c r="D143" s="437" t="s">
        <v>867</v>
      </c>
      <c r="E143" s="437" t="s">
        <v>8</v>
      </c>
      <c r="F143" s="437" t="s">
        <v>2</v>
      </c>
      <c r="G143" s="437" t="s">
        <v>1513</v>
      </c>
      <c r="H143" s="438" t="str">
        <f>$K$3</f>
        <v>Rig Deployment Meeting</v>
      </c>
      <c r="I143" s="439" t="str">
        <f>$K$5</f>
        <v>Start</v>
      </c>
      <c r="J143" s="439" t="str">
        <f>$K$6</f>
        <v>End</v>
      </c>
      <c r="K143" s="444" t="s">
        <v>1068</v>
      </c>
      <c r="L143" s="444" t="s">
        <v>1577</v>
      </c>
      <c r="M143" s="496" t="s">
        <v>1934</v>
      </c>
      <c r="N143" s="504" t="s">
        <v>1940</v>
      </c>
      <c r="O143" s="504" t="s">
        <v>1941</v>
      </c>
      <c r="P143" s="502"/>
    </row>
    <row r="144" spans="1:16" x14ac:dyDescent="0.25">
      <c r="A144" s="442" t="str">
        <f>RigScheduleTest!$B$13</f>
        <v>SP-185</v>
      </c>
      <c r="B144" s="421" t="str">
        <f ca="1">RigScheduleTest!$D$13</f>
        <v>RA-0573-RA-ZU-Prod-NW-SL-BHI</v>
      </c>
      <c r="C144" s="421" t="str">
        <f ca="1">IF(INDEX(Well_Data_NK_Upcoming!$G$2:$G$996,MATCH('Rig_Schedule_View (2)'!B144,Well_Data_NK_Upcoming!Concatenated_Wellname,0))=0,"",INDEX(Well_Data_NK_Upcoming!$G$2:$G$996,MATCH('Rig_Schedule_View (2)'!B144,Well_Data_NK_Upcoming!Concatenated_Wellname,0)))</f>
        <v>ZU</v>
      </c>
      <c r="D144" s="421" t="str">
        <f ca="1">IF(INDEX(Well_Data_NK_Upcoming!$K$2:$K$996,MATCH('Rig_Schedule_View (2)'!B144,Well_Data_NK_Upcoming!Concatenated_Wellname,0))=0,"",INDEX(Well_Data_NK_Upcoming!$K$2:$K$996,MATCH('Rig_Schedule_View (2)'!B144,Well_Data_NK_Upcoming!Concatenated_Wellname,0)))</f>
        <v>NW</v>
      </c>
      <c r="E144" s="421" t="str">
        <f ca="1">IF(INDEX(Well_Data_NK_Upcoming!$J$2:$J$996,MATCH('Rig_Schedule_View (2)'!B144,Well_Data_NK_Upcoming!Concatenated_Wellname,0))=0,"",INDEX(Well_Data_NK_Upcoming!$J$2:$J$996,MATCH('Rig_Schedule_View (2)'!B144,Well_Data_NK_Upcoming!Concatenated_Wellname,0)))</f>
        <v>Prod</v>
      </c>
      <c r="F144" s="421" t="str">
        <f ca="1">IF(INDEX(Well_Data_NK_Upcoming!$L$2:$L$996,MATCH('Rig_Schedule_View (2)'!B144,Well_Data_NK_Upcoming!Concatenated_Wellname,0))=0,"",INDEX(Well_Data_NK_Upcoming!$L$2:$L$996,MATCH('Rig_Schedule_View (2)'!B144,Well_Data_NK_Upcoming!Concatenated_Wellname,0)))</f>
        <v>SL</v>
      </c>
      <c r="G144" s="421">
        <f ca="1">IF(INDEX(Well_Data_NK_Upcoming!$R$2:$R$996,MATCH('Rig_Schedule_View (2)'!B144,Well_Data_NK_Upcoming!Concatenated_Wellname,0))=0,"",INDEX(Well_Data_NK_Upcoming!$R$2:$R$996,MATCH('Rig_Schedule_View (2)'!B144,Well_Data_NK_Upcoming!Concatenated_Wellname,0)))</f>
        <v>103</v>
      </c>
      <c r="H144" s="526">
        <f>RigScheduleTest!$F$13</f>
        <v>42233</v>
      </c>
      <c r="I144" s="459">
        <f ca="1">IF(INDEX(Well_Data_NK_Upcoming!$O$2:$O$996,MATCH('Rig_Schedule_View (2)'!B144,Well_Data_NK_Upcoming!Concatenated_Wellname,0))=0,"",INDEX(Well_Data_NK_Upcoming!$O$2:$O$996,MATCH('Rig_Schedule_View (2)'!B144,Well_Data_NK_Upcoming!Concatenated_Wellname,0)))</f>
        <v>42206.75</v>
      </c>
      <c r="J144" s="446">
        <f ca="1">RigScheduleTest!$H$13</f>
        <v>42278</v>
      </c>
      <c r="K144" s="574" t="s">
        <v>1917</v>
      </c>
      <c r="L144" s="543"/>
      <c r="M144" s="544">
        <v>45</v>
      </c>
      <c r="N144" s="545"/>
      <c r="O144" s="545"/>
      <c r="P144" s="551"/>
    </row>
    <row r="145" spans="1:16" x14ac:dyDescent="0.25">
      <c r="A145" s="442" t="str">
        <f>RigScheduleTest!$B$13</f>
        <v>SP-185</v>
      </c>
      <c r="B145" s="441" t="str">
        <f ca="1">RigScheduleTest!$I$13</f>
        <v>RA-0574-RA-ZU-Prod-NW-HZ-Baker</v>
      </c>
      <c r="C145" s="421" t="str">
        <f ca="1">IF(INDEX(Well_Data_NK_Upcoming!$G$2:$G$996,MATCH('Rig_Schedule_View (2)'!B145,Well_Data_NK_Upcoming!Concatenated_Wellname,0))=0,"",INDEX(Well_Data_NK_Upcoming!$G$2:$G$996,MATCH('Rig_Schedule_View (2)'!B145,Well_Data_NK_Upcoming!Concatenated_Wellname,0)))</f>
        <v>ZU</v>
      </c>
      <c r="D145" s="421" t="str">
        <f ca="1">IF(INDEX(Well_Data_NK_Upcoming!$K$2:$K$996,MATCH('Rig_Schedule_View (2)'!B145,Well_Data_NK_Upcoming!Concatenated_Wellname,0))=0,"",INDEX(Well_Data_NK_Upcoming!$K$2:$K$996,MATCH('Rig_Schedule_View (2)'!B145,Well_Data_NK_Upcoming!Concatenated_Wellname,0)))</f>
        <v>NW</v>
      </c>
      <c r="E145" s="421" t="str">
        <f ca="1">IF(INDEX(Well_Data_NK_Upcoming!$J$2:$J$996,MATCH('Rig_Schedule_View (2)'!B145,Well_Data_NK_Upcoming!Concatenated_Wellname,0))=0,"",INDEX(Well_Data_NK_Upcoming!$J$2:$J$996,MATCH('Rig_Schedule_View (2)'!B145,Well_Data_NK_Upcoming!Concatenated_Wellname,0)))</f>
        <v>Prod</v>
      </c>
      <c r="F145" s="421" t="str">
        <f ca="1">IF(INDEX(Well_Data_NK_Upcoming!$L$2:$L$996,MATCH('Rig_Schedule_View (2)'!B145,Well_Data_NK_Upcoming!Concatenated_Wellname,0))=0,"",INDEX(Well_Data_NK_Upcoming!$L$2:$L$996,MATCH('Rig_Schedule_View (2)'!B145,Well_Data_NK_Upcoming!Concatenated_Wellname,0)))</f>
        <v>HZ</v>
      </c>
      <c r="G145" s="421">
        <f ca="1">IF(INDEX(Well_Data_NK_Upcoming!$R$2:$R$996,MATCH('Rig_Schedule_View (2)'!B145,Well_Data_NK_Upcoming!Concatenated_Wellname,0))=0,"",INDEX(Well_Data_NK_Upcoming!$R$2:$R$996,MATCH('Rig_Schedule_View (2)'!B145,Well_Data_NK_Upcoming!Concatenated_Wellname,0)))</f>
        <v>103</v>
      </c>
      <c r="H145" s="526"/>
      <c r="I145" s="440">
        <f ca="1">RigScheduleTest!$L$13</f>
        <v>42283</v>
      </c>
      <c r="J145" s="440">
        <f ca="1">RigScheduleTest!$M$13</f>
        <v>42381</v>
      </c>
      <c r="K145" s="574"/>
      <c r="L145" s="546"/>
      <c r="M145" s="544"/>
      <c r="N145" s="545" t="s">
        <v>2220</v>
      </c>
      <c r="O145" s="545" t="s">
        <v>1986</v>
      </c>
      <c r="P145" s="551"/>
    </row>
    <row r="146" spans="1:16" x14ac:dyDescent="0.25">
      <c r="A146" s="442" t="str">
        <f>RigScheduleTest!$B$13</f>
        <v>SP-185</v>
      </c>
      <c r="B146" s="441" t="str">
        <f ca="1">RigScheduleTest!$O$13</f>
        <v>RA-0572-RA-LB-Prod-NW-HZ-Baker</v>
      </c>
      <c r="C146" s="421" t="str">
        <f ca="1">IF(INDEX(Well_Data_NK_Upcoming!$G$2:$G$996,MATCH('Rig_Schedule_View (2)'!B146,Well_Data_NK_Upcoming!Concatenated_Wellname,0))=0,"",INDEX(Well_Data_NK_Upcoming!$G$2:$G$996,MATCH('Rig_Schedule_View (2)'!B146,Well_Data_NK_Upcoming!Concatenated_Wellname,0)))</f>
        <v>LB</v>
      </c>
      <c r="D146" s="421" t="str">
        <f ca="1">IF(INDEX(Well_Data_NK_Upcoming!$K$2:$K$996,MATCH('Rig_Schedule_View (2)'!B146,Well_Data_NK_Upcoming!Concatenated_Wellname,0))=0,"",INDEX(Well_Data_NK_Upcoming!$K$2:$K$996,MATCH('Rig_Schedule_View (2)'!B146,Well_Data_NK_Upcoming!Concatenated_Wellname,0)))</f>
        <v>NW</v>
      </c>
      <c r="E146" s="421" t="str">
        <f ca="1">IF(INDEX(Well_Data_NK_Upcoming!$J$2:$J$996,MATCH('Rig_Schedule_View (2)'!B146,Well_Data_NK_Upcoming!Concatenated_Wellname,0))=0,"",INDEX(Well_Data_NK_Upcoming!$J$2:$J$996,MATCH('Rig_Schedule_View (2)'!B146,Well_Data_NK_Upcoming!Concatenated_Wellname,0)))</f>
        <v>Prod</v>
      </c>
      <c r="F146" s="421" t="str">
        <f ca="1">IF(INDEX(Well_Data_NK_Upcoming!$L$2:$L$996,MATCH('Rig_Schedule_View (2)'!B146,Well_Data_NK_Upcoming!Concatenated_Wellname,0))=0,"",INDEX(Well_Data_NK_Upcoming!$L$2:$L$996,MATCH('Rig_Schedule_View (2)'!B146,Well_Data_NK_Upcoming!Concatenated_Wellname,0)))</f>
        <v>HZ</v>
      </c>
      <c r="G146" s="421">
        <f ca="1">IF(INDEX(Well_Data_NK_Upcoming!$R$2:$R$996,MATCH('Rig_Schedule_View (2)'!B146,Well_Data_NK_Upcoming!Concatenated_Wellname,0))=0,"",INDEX(Well_Data_NK_Upcoming!$R$2:$R$996,MATCH('Rig_Schedule_View (2)'!B146,Well_Data_NK_Upcoming!Concatenated_Wellname,0)))</f>
        <v>75</v>
      </c>
      <c r="H146" s="526"/>
      <c r="I146" s="440">
        <f ca="1">RigScheduleTest!$R$13</f>
        <v>42386</v>
      </c>
      <c r="J146" s="440">
        <f ca="1">RigScheduleTest!$S$13</f>
        <v>42456</v>
      </c>
      <c r="K146" s="574"/>
      <c r="L146" s="547"/>
      <c r="M146" s="544"/>
      <c r="N146" s="545" t="s">
        <v>2220</v>
      </c>
      <c r="O146" s="545"/>
      <c r="P146" s="551"/>
    </row>
    <row r="147" spans="1:16" x14ac:dyDescent="0.25">
      <c r="A147" s="442" t="str">
        <f>RigScheduleTest!$B$13</f>
        <v>SP-185</v>
      </c>
      <c r="B147" s="442" t="str">
        <f ca="1">RigScheduleTest!$U$13</f>
        <v>RA-0571-RA-MA-Prod-NW-HZ-Baker</v>
      </c>
      <c r="C147" s="421" t="str">
        <f ca="1">IF(INDEX(Well_Data_NK_Upcoming!$G$2:$G$996,MATCH('Rig_Schedule_View (2)'!B147,Well_Data_NK_Upcoming!Concatenated_Wellname,0))=0,"",INDEX(Well_Data_NK_Upcoming!$G$2:$G$996,MATCH('Rig_Schedule_View (2)'!B147,Well_Data_NK_Upcoming!Concatenated_Wellname,0)))</f>
        <v>MA</v>
      </c>
      <c r="D147" s="421" t="str">
        <f ca="1">IF(INDEX(Well_Data_NK_Upcoming!$K$2:$K$996,MATCH('Rig_Schedule_View (2)'!B147,Well_Data_NK_Upcoming!Concatenated_Wellname,0))=0,"",INDEX(Well_Data_NK_Upcoming!$K$2:$K$996,MATCH('Rig_Schedule_View (2)'!B147,Well_Data_NK_Upcoming!Concatenated_Wellname,0)))</f>
        <v>NW</v>
      </c>
      <c r="E147" s="421" t="str">
        <f ca="1">IF(INDEX(Well_Data_NK_Upcoming!$J$2:$J$996,MATCH('Rig_Schedule_View (2)'!B147,Well_Data_NK_Upcoming!Concatenated_Wellname,0))=0,"",INDEX(Well_Data_NK_Upcoming!$J$2:$J$996,MATCH('Rig_Schedule_View (2)'!B147,Well_Data_NK_Upcoming!Concatenated_Wellname,0)))</f>
        <v>Prod</v>
      </c>
      <c r="F147" s="421" t="str">
        <f ca="1">IF(INDEX(Well_Data_NK_Upcoming!$L$2:$L$996,MATCH('Rig_Schedule_View (2)'!B147,Well_Data_NK_Upcoming!Concatenated_Wellname,0))=0,"",INDEX(Well_Data_NK_Upcoming!$L$2:$L$996,MATCH('Rig_Schedule_View (2)'!B147,Well_Data_NK_Upcoming!Concatenated_Wellname,0)))</f>
        <v>HZ</v>
      </c>
      <c r="G147" s="421">
        <f ca="1">IF(INDEX(Well_Data_NK_Upcoming!$R$2:$R$996,MATCH('Rig_Schedule_View (2)'!B147,Well_Data_NK_Upcoming!Concatenated_Wellname,0))=0,"",INDEX(Well_Data_NK_Upcoming!$R$2:$R$996,MATCH('Rig_Schedule_View (2)'!B147,Well_Data_NK_Upcoming!Concatenated_Wellname,0)))</f>
        <v>75</v>
      </c>
      <c r="H147" s="526"/>
      <c r="I147" s="443">
        <f ca="1">RigScheduleTest!$X$13</f>
        <v>42461</v>
      </c>
      <c r="J147" s="443">
        <f ca="1">RigScheduleTest!$Y$13</f>
        <v>42531</v>
      </c>
      <c r="K147" s="574"/>
      <c r="L147" s="547"/>
      <c r="M147" s="544"/>
      <c r="N147" s="545" t="s">
        <v>2220</v>
      </c>
      <c r="O147" s="545"/>
      <c r="P147" s="551"/>
    </row>
    <row r="148" spans="1:16" x14ac:dyDescent="0.25">
      <c r="A148" s="442" t="str">
        <f>RigScheduleTest!$B$13</f>
        <v>SP-185</v>
      </c>
      <c r="B148" s="442" t="str">
        <f ca="1">RigScheduleTest!$AA$13</f>
        <v>RA22-RA-UB-Prod-NW-HZ-SLB</v>
      </c>
      <c r="C148" s="421" t="str">
        <f ca="1">IF(INDEX(Well_Data_NK_Upcoming!$G$2:$G$996,MATCH('Rig_Schedule_View (2)'!B148,Well_Data_NK_Upcoming!Concatenated_Wellname,0))=0,"",INDEX(Well_Data_NK_Upcoming!$G$2:$G$996,MATCH('Rig_Schedule_View (2)'!B148,Well_Data_NK_Upcoming!Concatenated_Wellname,0)))</f>
        <v>UB</v>
      </c>
      <c r="D148" s="421" t="str">
        <f ca="1">IF(INDEX(Well_Data_NK_Upcoming!$K$2:$K$996,MATCH('Rig_Schedule_View (2)'!B148,Well_Data_NK_Upcoming!Concatenated_Wellname,0))=0,"",INDEX(Well_Data_NK_Upcoming!$K$2:$K$996,MATCH('Rig_Schedule_View (2)'!B148,Well_Data_NK_Upcoming!Concatenated_Wellname,0)))</f>
        <v>NW</v>
      </c>
      <c r="E148" s="421" t="str">
        <f ca="1">IF(INDEX(Well_Data_NK_Upcoming!$J$2:$J$996,MATCH('Rig_Schedule_View (2)'!B148,Well_Data_NK_Upcoming!Concatenated_Wellname,0))=0,"",INDEX(Well_Data_NK_Upcoming!$J$2:$J$996,MATCH('Rig_Schedule_View (2)'!B148,Well_Data_NK_Upcoming!Concatenated_Wellname,0)))</f>
        <v>Prod</v>
      </c>
      <c r="F148" s="421" t="str">
        <f ca="1">IF(INDEX(Well_Data_NK_Upcoming!$L$2:$L$996,MATCH('Rig_Schedule_View (2)'!B148,Well_Data_NK_Upcoming!Concatenated_Wellname,0))=0,"",INDEX(Well_Data_NK_Upcoming!$L$2:$L$996,MATCH('Rig_Schedule_View (2)'!B148,Well_Data_NK_Upcoming!Concatenated_Wellname,0)))</f>
        <v>HZ</v>
      </c>
      <c r="G148" s="421">
        <f ca="1">IF(INDEX(Well_Data_NK_Upcoming!$R$2:$R$996,MATCH('Rig_Schedule_View (2)'!B148,Well_Data_NK_Upcoming!Concatenated_Wellname,0))=0,"",INDEX(Well_Data_NK_Upcoming!$R$2:$R$996,MATCH('Rig_Schedule_View (2)'!B148,Well_Data_NK_Upcoming!Concatenated_Wellname,0)))</f>
        <v>75</v>
      </c>
      <c r="H148" s="526"/>
      <c r="I148" s="443">
        <f ca="1">RigScheduleTest!$AD$13</f>
        <v>42536</v>
      </c>
      <c r="J148" s="443">
        <f ca="1">RigScheduleTest!$AE$13</f>
        <v>42606</v>
      </c>
      <c r="K148" s="574"/>
      <c r="L148" s="547"/>
      <c r="M148" s="544"/>
      <c r="N148" s="545"/>
      <c r="O148" s="545"/>
      <c r="P148" s="551"/>
    </row>
    <row r="149" spans="1:16" x14ac:dyDescent="0.25">
      <c r="A149" s="442" t="str">
        <f>RigScheduleTest!$B$13</f>
        <v>SP-185</v>
      </c>
      <c r="B149" s="442" t="str">
        <f ca="1">RigScheduleTest!$AG$13</f>
        <v>SA49-SA-UB-Inj-NW-SL</v>
      </c>
      <c r="C149" s="421" t="str">
        <f ca="1">IF(INDEX(Well_Data_NK_Upcoming!$G$2:$G$996,MATCH('Rig_Schedule_View (2)'!B149,Well_Data_NK_Upcoming!Concatenated_Wellname,0))=0,"",INDEX(Well_Data_NK_Upcoming!$G$2:$G$996,MATCH('Rig_Schedule_View (2)'!B149,Well_Data_NK_Upcoming!Concatenated_Wellname,0)))</f>
        <v>UB</v>
      </c>
      <c r="D149" s="421" t="str">
        <f ca="1">IF(INDEX(Well_Data_NK_Upcoming!$K$2:$K$996,MATCH('Rig_Schedule_View (2)'!B149,Well_Data_NK_Upcoming!Concatenated_Wellname,0))=0,"",INDEX(Well_Data_NK_Upcoming!$K$2:$K$996,MATCH('Rig_Schedule_View (2)'!B149,Well_Data_NK_Upcoming!Concatenated_Wellname,0)))</f>
        <v>NW</v>
      </c>
      <c r="E149" s="421" t="str">
        <f ca="1">IF(INDEX(Well_Data_NK_Upcoming!$J$2:$J$996,MATCH('Rig_Schedule_View (2)'!B149,Well_Data_NK_Upcoming!Concatenated_Wellname,0))=0,"",INDEX(Well_Data_NK_Upcoming!$J$2:$J$996,MATCH('Rig_Schedule_View (2)'!B149,Well_Data_NK_Upcoming!Concatenated_Wellname,0)))</f>
        <v>Inj</v>
      </c>
      <c r="F149" s="421" t="str">
        <f ca="1">IF(INDEX(Well_Data_NK_Upcoming!$L$2:$L$996,MATCH('Rig_Schedule_View (2)'!B149,Well_Data_NK_Upcoming!Concatenated_Wellname,0))=0,"",INDEX(Well_Data_NK_Upcoming!$L$2:$L$996,MATCH('Rig_Schedule_View (2)'!B149,Well_Data_NK_Upcoming!Concatenated_Wellname,0)))</f>
        <v>SL</v>
      </c>
      <c r="G149" s="421">
        <f ca="1">IF(INDEX(Well_Data_NK_Upcoming!$R$2:$R$996,MATCH('Rig_Schedule_View (2)'!B149,Well_Data_NK_Upcoming!Concatenated_Wellname,0))=0,"",INDEX(Well_Data_NK_Upcoming!$R$2:$R$996,MATCH('Rig_Schedule_View (2)'!B149,Well_Data_NK_Upcoming!Concatenated_Wellname,0)))</f>
        <v>75</v>
      </c>
      <c r="H149" s="526"/>
      <c r="I149" s="443">
        <f ca="1">RigScheduleTest!$AJ$13</f>
        <v>42611</v>
      </c>
      <c r="J149" s="443">
        <f ca="1">RigScheduleTest!$AK$13</f>
        <v>42681</v>
      </c>
      <c r="K149" s="574"/>
      <c r="L149" s="546"/>
      <c r="M149" s="544"/>
      <c r="N149" s="545"/>
      <c r="O149" s="545"/>
      <c r="P149" s="551"/>
    </row>
    <row r="150" spans="1:16" x14ac:dyDescent="0.25">
      <c r="A150" s="442" t="str">
        <f>RigScheduleTest!$B$13</f>
        <v>SP-185</v>
      </c>
      <c r="B150" s="442" t="str">
        <f ca="1">RigScheduleTest!$AM$13</f>
        <v>SA56-SA-Prod-NW-SL</v>
      </c>
      <c r="C150" s="421" t="str">
        <f ca="1">IF(INDEX(Well_Data_NK_Upcoming!$G$2:$G$996,MATCH('Rig_Schedule_View (2)'!B150,Well_Data_NK_Upcoming!Concatenated_Wellname,0))=0,"",INDEX(Well_Data_NK_Upcoming!$G$2:$G$996,MATCH('Rig_Schedule_View (2)'!B150,Well_Data_NK_Upcoming!Concatenated_Wellname,0)))</f>
        <v/>
      </c>
      <c r="D150" s="421" t="str">
        <f ca="1">IF(INDEX(Well_Data_NK_Upcoming!$K$2:$K$996,MATCH('Rig_Schedule_View (2)'!B150,Well_Data_NK_Upcoming!Concatenated_Wellname,0))=0,"",INDEX(Well_Data_NK_Upcoming!$K$2:$K$996,MATCH('Rig_Schedule_View (2)'!B150,Well_Data_NK_Upcoming!Concatenated_Wellname,0)))</f>
        <v>NW</v>
      </c>
      <c r="E150" s="421" t="str">
        <f ca="1">IF(INDEX(Well_Data_NK_Upcoming!$J$2:$J$996,MATCH('Rig_Schedule_View (2)'!B150,Well_Data_NK_Upcoming!Concatenated_Wellname,0))=0,"",INDEX(Well_Data_NK_Upcoming!$J$2:$J$996,MATCH('Rig_Schedule_View (2)'!B150,Well_Data_NK_Upcoming!Concatenated_Wellname,0)))</f>
        <v>Prod</v>
      </c>
      <c r="F150" s="421" t="str">
        <f ca="1">IF(INDEX(Well_Data_NK_Upcoming!$L$2:$L$996,MATCH('Rig_Schedule_View (2)'!B150,Well_Data_NK_Upcoming!Concatenated_Wellname,0))=0,"",INDEX(Well_Data_NK_Upcoming!$L$2:$L$996,MATCH('Rig_Schedule_View (2)'!B150,Well_Data_NK_Upcoming!Concatenated_Wellname,0)))</f>
        <v>SL</v>
      </c>
      <c r="G150" s="421" t="str">
        <f ca="1">IF(INDEX(Well_Data_NK_Upcoming!$R$2:$R$996,MATCH('Rig_Schedule_View (2)'!B150,Well_Data_NK_Upcoming!Concatenated_Wellname,0))=0,"",INDEX(Well_Data_NK_Upcoming!$R$2:$R$996,MATCH('Rig_Schedule_View (2)'!B150,Well_Data_NK_Upcoming!Concatenated_Wellname,0)))</f>
        <v/>
      </c>
      <c r="H150" s="526"/>
      <c r="I150" s="443" t="str">
        <f ca="1">RigScheduleTest!$AP$13</f>
        <v/>
      </c>
      <c r="J150" s="443" t="str">
        <f ca="1">RigScheduleTest!$AQ$13</f>
        <v/>
      </c>
      <c r="K150" s="574"/>
      <c r="L150" s="546"/>
      <c r="M150" s="544"/>
      <c r="N150" s="545"/>
      <c r="O150" s="545"/>
      <c r="P150" s="551"/>
    </row>
    <row r="151" spans="1:16" x14ac:dyDescent="0.25">
      <c r="A151" s="442" t="str">
        <f>RigScheduleTest!$B$13</f>
        <v>SP-185</v>
      </c>
      <c r="B151" s="442" t="str">
        <f ca="1">RigScheduleTest!$AS$13</f>
        <v/>
      </c>
      <c r="C151" s="421" t="str">
        <f ca="1">IF(INDEX(Well_Data_NK_Upcoming!$G$2:$G$996,MATCH('Rig_Schedule_View (2)'!B151,Well_Data_NK_Upcoming!Concatenated_Wellname,0))=0,"",INDEX(Well_Data_NK_Upcoming!$G$2:$G$996,MATCH('Rig_Schedule_View (2)'!B151,Well_Data_NK_Upcoming!Concatenated_Wellname,0)))</f>
        <v/>
      </c>
      <c r="D151" s="421" t="str">
        <f ca="1">IF(INDEX(Well_Data_NK_Upcoming!$K$2:$K$996,MATCH('Rig_Schedule_View (2)'!B151,Well_Data_NK_Upcoming!Concatenated_Wellname,0))=0,"",INDEX(Well_Data_NK_Upcoming!$K$2:$K$996,MATCH('Rig_Schedule_View (2)'!B151,Well_Data_NK_Upcoming!Concatenated_Wellname,0)))</f>
        <v/>
      </c>
      <c r="E151" s="421" t="str">
        <f ca="1">IF(INDEX(Well_Data_NK_Upcoming!$J$2:$J$996,MATCH('Rig_Schedule_View (2)'!B151,Well_Data_NK_Upcoming!Concatenated_Wellname,0))=0,"",INDEX(Well_Data_NK_Upcoming!$J$2:$J$996,MATCH('Rig_Schedule_View (2)'!B151,Well_Data_NK_Upcoming!Concatenated_Wellname,0)))</f>
        <v/>
      </c>
      <c r="F151" s="421" t="str">
        <f ca="1">IF(INDEX(Well_Data_NK_Upcoming!$L$2:$L$996,MATCH('Rig_Schedule_View (2)'!B151,Well_Data_NK_Upcoming!Concatenated_Wellname,0))=0,"",INDEX(Well_Data_NK_Upcoming!$L$2:$L$996,MATCH('Rig_Schedule_View (2)'!B151,Well_Data_NK_Upcoming!Concatenated_Wellname,0)))</f>
        <v/>
      </c>
      <c r="G151" s="421" t="str">
        <f ca="1">IF(INDEX(Well_Data_NK_Upcoming!$R$2:$R$996,MATCH('Rig_Schedule_View (2)'!B151,Well_Data_NK_Upcoming!Concatenated_Wellname,0))=0,"",INDEX(Well_Data_NK_Upcoming!$R$2:$R$996,MATCH('Rig_Schedule_View (2)'!B151,Well_Data_NK_Upcoming!Concatenated_Wellname,0)))</f>
        <v/>
      </c>
      <c r="H151" s="526"/>
      <c r="I151" s="443" t="str">
        <f ca="1">RigScheduleTest!$AV$13</f>
        <v/>
      </c>
      <c r="J151" s="443" t="str">
        <f ca="1">RigScheduleTest!$AW$13</f>
        <v/>
      </c>
      <c r="K151" s="574"/>
      <c r="L151" s="546"/>
      <c r="M151" s="544"/>
      <c r="N151" s="545"/>
      <c r="O151" s="545"/>
      <c r="P151" s="551"/>
    </row>
    <row r="152" spans="1:16" x14ac:dyDescent="0.25">
      <c r="A152" s="442" t="str">
        <f>RigScheduleTest!$B$13</f>
        <v>SP-185</v>
      </c>
      <c r="B152" s="442" t="str">
        <f ca="1">RigScheduleTest!$AY$13</f>
        <v/>
      </c>
      <c r="C152" s="421" t="str">
        <f ca="1">IF(INDEX(Well_Data_NK_Upcoming!$G$2:$G$996,MATCH('Rig_Schedule_View (2)'!B152,Well_Data_NK_Upcoming!Concatenated_Wellname,0))=0,"",INDEX(Well_Data_NK_Upcoming!$G$2:$G$996,MATCH('Rig_Schedule_View (2)'!B152,Well_Data_NK_Upcoming!Concatenated_Wellname,0)))</f>
        <v/>
      </c>
      <c r="D152" s="421" t="str">
        <f ca="1">IF(INDEX(Well_Data_NK_Upcoming!$K$2:$K$996,MATCH('Rig_Schedule_View (2)'!B152,Well_Data_NK_Upcoming!Concatenated_Wellname,0))=0,"",INDEX(Well_Data_NK_Upcoming!$K$2:$K$996,MATCH('Rig_Schedule_View (2)'!B152,Well_Data_NK_Upcoming!Concatenated_Wellname,0)))</f>
        <v/>
      </c>
      <c r="E152" s="421" t="str">
        <f ca="1">IF(INDEX(Well_Data_NK_Upcoming!$J$2:$J$996,MATCH('Rig_Schedule_View (2)'!B152,Well_Data_NK_Upcoming!Concatenated_Wellname,0))=0,"",INDEX(Well_Data_NK_Upcoming!$J$2:$J$996,MATCH('Rig_Schedule_View (2)'!B152,Well_Data_NK_Upcoming!Concatenated_Wellname,0)))</f>
        <v/>
      </c>
      <c r="F152" s="421" t="str">
        <f ca="1">IF(INDEX(Well_Data_NK_Upcoming!$L$2:$L$996,MATCH('Rig_Schedule_View (2)'!B152,Well_Data_NK_Upcoming!Concatenated_Wellname,0))=0,"",INDEX(Well_Data_NK_Upcoming!$L$2:$L$996,MATCH('Rig_Schedule_View (2)'!B152,Well_Data_NK_Upcoming!Concatenated_Wellname,0)))</f>
        <v/>
      </c>
      <c r="G152" s="421" t="str">
        <f ca="1">IF(INDEX(Well_Data_NK_Upcoming!$R$2:$R$996,MATCH('Rig_Schedule_View (2)'!B152,Well_Data_NK_Upcoming!Concatenated_Wellname,0))=0,"",INDEX(Well_Data_NK_Upcoming!$R$2:$R$996,MATCH('Rig_Schedule_View (2)'!B152,Well_Data_NK_Upcoming!Concatenated_Wellname,0)))</f>
        <v/>
      </c>
      <c r="H152" s="526"/>
      <c r="I152" s="443" t="str">
        <f ca="1">RigScheduleTest!$BB$13</f>
        <v/>
      </c>
      <c r="J152" s="443" t="str">
        <f ca="1">RigScheduleTest!$BC$13</f>
        <v/>
      </c>
      <c r="K152" s="574"/>
      <c r="L152" s="546"/>
      <c r="M152" s="544"/>
      <c r="N152" s="545"/>
      <c r="O152" s="545"/>
      <c r="P152" s="551"/>
    </row>
    <row r="153" spans="1:16" x14ac:dyDescent="0.25">
      <c r="A153" s="442" t="str">
        <f>RigScheduleTest!$B$13</f>
        <v>SP-185</v>
      </c>
      <c r="B153" s="442" t="str">
        <f ca="1">RigScheduleTest!$BE$13</f>
        <v/>
      </c>
      <c r="C153" s="421" t="str">
        <f ca="1">IF(INDEX(Well_Data_NK_Upcoming!$G$2:$G$996,MATCH('Rig_Schedule_View (2)'!B153,Well_Data_NK_Upcoming!Concatenated_Wellname,0))=0,"",INDEX(Well_Data_NK_Upcoming!$G$2:$G$996,MATCH('Rig_Schedule_View (2)'!B153,Well_Data_NK_Upcoming!Concatenated_Wellname,0)))</f>
        <v/>
      </c>
      <c r="D153" s="421" t="str">
        <f ca="1">IF(INDEX(Well_Data_NK_Upcoming!$K$2:$K$996,MATCH('Rig_Schedule_View (2)'!B153,Well_Data_NK_Upcoming!Concatenated_Wellname,0))=0,"",INDEX(Well_Data_NK_Upcoming!$K$2:$K$996,MATCH('Rig_Schedule_View (2)'!B153,Well_Data_NK_Upcoming!Concatenated_Wellname,0)))</f>
        <v/>
      </c>
      <c r="E153" s="421" t="str">
        <f ca="1">IF(INDEX(Well_Data_NK_Upcoming!$J$2:$J$996,MATCH('Rig_Schedule_View (2)'!B153,Well_Data_NK_Upcoming!Concatenated_Wellname,0))=0,"",INDEX(Well_Data_NK_Upcoming!$J$2:$J$996,MATCH('Rig_Schedule_View (2)'!B153,Well_Data_NK_Upcoming!Concatenated_Wellname,0)))</f>
        <v/>
      </c>
      <c r="F153" s="421" t="str">
        <f ca="1">IF(INDEX(Well_Data_NK_Upcoming!$L$2:$L$996,MATCH('Rig_Schedule_View (2)'!B153,Well_Data_NK_Upcoming!Concatenated_Wellname,0))=0,"",INDEX(Well_Data_NK_Upcoming!$L$2:$L$996,MATCH('Rig_Schedule_View (2)'!B153,Well_Data_NK_Upcoming!Concatenated_Wellname,0)))</f>
        <v/>
      </c>
      <c r="G153" s="421" t="str">
        <f ca="1">IF(INDEX(Well_Data_NK_Upcoming!$R$2:$R$996,MATCH('Rig_Schedule_View (2)'!B153,Well_Data_NK_Upcoming!Concatenated_Wellname,0))=0,"",INDEX(Well_Data_NK_Upcoming!$R$2:$R$996,MATCH('Rig_Schedule_View (2)'!B153,Well_Data_NK_Upcoming!Concatenated_Wellname,0)))</f>
        <v/>
      </c>
      <c r="H153" s="526"/>
      <c r="I153" s="443" t="str">
        <f ca="1">RigScheduleTest!$BH$13</f>
        <v/>
      </c>
      <c r="J153" s="443" t="str">
        <f ca="1">RigScheduleTest!$BI$13</f>
        <v/>
      </c>
      <c r="K153" s="574"/>
      <c r="L153" s="546"/>
      <c r="M153" s="544"/>
      <c r="N153" s="545"/>
      <c r="O153" s="545"/>
      <c r="P153" s="551"/>
    </row>
    <row r="154" spans="1:16" x14ac:dyDescent="0.25">
      <c r="A154" s="442" t="str">
        <f>RigScheduleTest!$B$13</f>
        <v>SP-185</v>
      </c>
      <c r="B154" s="442" t="str">
        <f ca="1">RigScheduleTest!$BK$13</f>
        <v/>
      </c>
      <c r="C154" s="421" t="str">
        <f ca="1">IF(INDEX(Well_Data_NK_Upcoming!$G$2:$G$996,MATCH('Rig_Schedule_View (2)'!B154,Well_Data_NK_Upcoming!Concatenated_Wellname,0))=0,"",INDEX(Well_Data_NK_Upcoming!$G$2:$G$996,MATCH('Rig_Schedule_View (2)'!B154,Well_Data_NK_Upcoming!Concatenated_Wellname,0)))</f>
        <v/>
      </c>
      <c r="D154" s="421" t="str">
        <f ca="1">IF(INDEX(Well_Data_NK_Upcoming!$K$2:$K$996,MATCH('Rig_Schedule_View (2)'!B154,Well_Data_NK_Upcoming!Concatenated_Wellname,0))=0,"",INDEX(Well_Data_NK_Upcoming!$K$2:$K$996,MATCH('Rig_Schedule_View (2)'!B154,Well_Data_NK_Upcoming!Concatenated_Wellname,0)))</f>
        <v/>
      </c>
      <c r="E154" s="421" t="str">
        <f ca="1">IF(INDEX(Well_Data_NK_Upcoming!$J$2:$J$996,MATCH('Rig_Schedule_View (2)'!B154,Well_Data_NK_Upcoming!Concatenated_Wellname,0))=0,"",INDEX(Well_Data_NK_Upcoming!$J$2:$J$996,MATCH('Rig_Schedule_View (2)'!B154,Well_Data_NK_Upcoming!Concatenated_Wellname,0)))</f>
        <v/>
      </c>
      <c r="F154" s="421" t="str">
        <f ca="1">IF(INDEX(Well_Data_NK_Upcoming!$L$2:$L$996,MATCH('Rig_Schedule_View (2)'!B154,Well_Data_NK_Upcoming!Concatenated_Wellname,0))=0,"",INDEX(Well_Data_NK_Upcoming!$L$2:$L$996,MATCH('Rig_Schedule_View (2)'!B154,Well_Data_NK_Upcoming!Concatenated_Wellname,0)))</f>
        <v/>
      </c>
      <c r="G154" s="421" t="str">
        <f ca="1">IF(INDEX(Well_Data_NK_Upcoming!$R$2:$R$996,MATCH('Rig_Schedule_View (2)'!B154,Well_Data_NK_Upcoming!Concatenated_Wellname,0))=0,"",INDEX(Well_Data_NK_Upcoming!$R$2:$R$996,MATCH('Rig_Schedule_View (2)'!B154,Well_Data_NK_Upcoming!Concatenated_Wellname,0)))</f>
        <v/>
      </c>
      <c r="H154" s="526"/>
      <c r="I154" s="443" t="str">
        <f ca="1">RigScheduleTest!$BN$13</f>
        <v/>
      </c>
      <c r="J154" s="443" t="str">
        <f ca="1">RigScheduleTest!$BO$13</f>
        <v/>
      </c>
      <c r="K154" s="574"/>
      <c r="L154" s="546"/>
      <c r="M154" s="544"/>
      <c r="N154" s="545"/>
      <c r="O154" s="545"/>
      <c r="P154" s="551"/>
    </row>
    <row r="155" spans="1:16" x14ac:dyDescent="0.25">
      <c r="A155" s="437" t="str">
        <f>RigScheduleTest!$B$1</f>
        <v>RIG</v>
      </c>
      <c r="B155" s="437" t="str">
        <f>$K$1</f>
        <v>Development Drilling</v>
      </c>
      <c r="C155" s="437" t="s">
        <v>1831</v>
      </c>
      <c r="D155" s="437" t="s">
        <v>867</v>
      </c>
      <c r="E155" s="437" t="s">
        <v>8</v>
      </c>
      <c r="F155" s="437" t="s">
        <v>2</v>
      </c>
      <c r="G155" s="437" t="s">
        <v>1513</v>
      </c>
      <c r="H155" s="438" t="str">
        <f>$K$3</f>
        <v>Rig Deployment Meeting</v>
      </c>
      <c r="I155" s="439" t="str">
        <f>$K$5</f>
        <v>Start</v>
      </c>
      <c r="J155" s="439" t="str">
        <f>$K$6</f>
        <v>End</v>
      </c>
      <c r="K155" s="444" t="s">
        <v>1068</v>
      </c>
      <c r="L155" s="444" t="s">
        <v>1577</v>
      </c>
      <c r="M155" s="496" t="s">
        <v>1934</v>
      </c>
      <c r="N155" s="504" t="s">
        <v>1940</v>
      </c>
      <c r="O155" s="504" t="s">
        <v>1941</v>
      </c>
      <c r="P155" s="502"/>
    </row>
    <row r="156" spans="1:16" x14ac:dyDescent="0.25">
      <c r="A156" s="442" t="str">
        <f>RigScheduleTest!$B$14</f>
        <v>SP-186</v>
      </c>
      <c r="B156" s="421" t="str">
        <f ca="1">RigScheduleTest!$D$14</f>
        <v>SA-0248-SA-LB-Prod-ST-SL-BHI</v>
      </c>
      <c r="C156" s="421" t="str">
        <f ca="1">IF(INDEX(Well_Data_NK_Upcoming!$G$2:$G$996,MATCH('Rig_Schedule_View (2)'!B156,Well_Data_NK_Upcoming!Concatenated_Wellname,0))=0,"",INDEX(Well_Data_NK_Upcoming!$G$2:$G$996,MATCH('Rig_Schedule_View (2)'!B156,Well_Data_NK_Upcoming!Concatenated_Wellname,0)))</f>
        <v>LB</v>
      </c>
      <c r="D156" s="421" t="str">
        <f ca="1">IF(INDEX(Well_Data_NK_Upcoming!$K$2:$K$996,MATCH('Rig_Schedule_View (2)'!B156,Well_Data_NK_Upcoming!Concatenated_Wellname,0))=0,"",INDEX(Well_Data_NK_Upcoming!$K$2:$K$996,MATCH('Rig_Schedule_View (2)'!B156,Well_Data_NK_Upcoming!Concatenated_Wellname,0)))</f>
        <v>ST</v>
      </c>
      <c r="E156" s="421" t="str">
        <f ca="1">IF(INDEX(Well_Data_NK_Upcoming!$J$2:$J$996,MATCH('Rig_Schedule_View (2)'!B156,Well_Data_NK_Upcoming!Concatenated_Wellname,0))=0,"",INDEX(Well_Data_NK_Upcoming!$J$2:$J$996,MATCH('Rig_Schedule_View (2)'!B156,Well_Data_NK_Upcoming!Concatenated_Wellname,0)))</f>
        <v>Prod</v>
      </c>
      <c r="F156" s="421" t="str">
        <f ca="1">IF(INDEX(Well_Data_NK_Upcoming!$L$2:$L$996,MATCH('Rig_Schedule_View (2)'!B156,Well_Data_NK_Upcoming!Concatenated_Wellname,0))=0,"",INDEX(Well_Data_NK_Upcoming!$L$2:$L$996,MATCH('Rig_Schedule_View (2)'!B156,Well_Data_NK_Upcoming!Concatenated_Wellname,0)))</f>
        <v>SL</v>
      </c>
      <c r="G156" s="421">
        <f ca="1">IF(INDEX(Well_Data_NK_Upcoming!$R$2:$R$996,MATCH('Rig_Schedule_View (2)'!B156,Well_Data_NK_Upcoming!Concatenated_Wellname,0))=0,"",INDEX(Well_Data_NK_Upcoming!$R$2:$R$996,MATCH('Rig_Schedule_View (2)'!B156,Well_Data_NK_Upcoming!Concatenated_Wellname,0)))</f>
        <v>61</v>
      </c>
      <c r="H156" s="526">
        <f>RigScheduleTest!$F$14</f>
        <v>42233</v>
      </c>
      <c r="I156" s="459">
        <f ca="1">IF(INDEX(Well_Data_NK_Upcoming!$O$2:$O$996,MATCH('Rig_Schedule_View (2)'!B156,Well_Data_NK_Upcoming!Concatenated_Wellname,0))=0,"",INDEX(Well_Data_NK_Upcoming!$O$2:$O$996,MATCH('Rig_Schedule_View (2)'!B156,Well_Data_NK_Upcoming!Concatenated_Wellname,0)))</f>
        <v>42224.833333333336</v>
      </c>
      <c r="J156" s="446">
        <f ca="1">RigScheduleTest!$H$14</f>
        <v>42253</v>
      </c>
      <c r="K156" s="574" t="s">
        <v>1917</v>
      </c>
      <c r="L156" s="543"/>
      <c r="M156" s="544">
        <v>20</v>
      </c>
      <c r="N156" s="545"/>
      <c r="O156" s="545"/>
      <c r="P156" s="551"/>
    </row>
    <row r="157" spans="1:16" x14ac:dyDescent="0.25">
      <c r="A157" s="442" t="str">
        <f>RigScheduleTest!$B$14</f>
        <v>SP-186</v>
      </c>
      <c r="B157" s="441" t="str">
        <f ca="1">RigScheduleTest!$I$14</f>
        <v>RA-0563-RA-ZU-Prod-NW-ML-Baker</v>
      </c>
      <c r="C157" s="421" t="str">
        <f ca="1">IF(INDEX(Well_Data_NK_Upcoming!$G$2:$G$996,MATCH('Rig_Schedule_View (2)'!B157,Well_Data_NK_Upcoming!Concatenated_Wellname,0))=0,"",INDEX(Well_Data_NK_Upcoming!$G$2:$G$996,MATCH('Rig_Schedule_View (2)'!B157,Well_Data_NK_Upcoming!Concatenated_Wellname,0)))</f>
        <v>ZU</v>
      </c>
      <c r="D157" s="421" t="str">
        <f ca="1">IF(INDEX(Well_Data_NK_Upcoming!$K$2:$K$996,MATCH('Rig_Schedule_View (2)'!B157,Well_Data_NK_Upcoming!Concatenated_Wellname,0))=0,"",INDEX(Well_Data_NK_Upcoming!$K$2:$K$996,MATCH('Rig_Schedule_View (2)'!B157,Well_Data_NK_Upcoming!Concatenated_Wellname,0)))</f>
        <v>NW</v>
      </c>
      <c r="E157" s="421" t="str">
        <f ca="1">IF(INDEX(Well_Data_NK_Upcoming!$J$2:$J$996,MATCH('Rig_Schedule_View (2)'!B157,Well_Data_NK_Upcoming!Concatenated_Wellname,0))=0,"",INDEX(Well_Data_NK_Upcoming!$J$2:$J$996,MATCH('Rig_Schedule_View (2)'!B157,Well_Data_NK_Upcoming!Concatenated_Wellname,0)))</f>
        <v>Prod</v>
      </c>
      <c r="F157" s="421" t="str">
        <f ca="1">IF(INDEX(Well_Data_NK_Upcoming!$L$2:$L$996,MATCH('Rig_Schedule_View (2)'!B157,Well_Data_NK_Upcoming!Concatenated_Wellname,0))=0,"",INDEX(Well_Data_NK_Upcoming!$L$2:$L$996,MATCH('Rig_Schedule_View (2)'!B157,Well_Data_NK_Upcoming!Concatenated_Wellname,0)))</f>
        <v>ML</v>
      </c>
      <c r="G157" s="421">
        <f ca="1">IF(INDEX(Well_Data_NK_Upcoming!$R$2:$R$996,MATCH('Rig_Schedule_View (2)'!B157,Well_Data_NK_Upcoming!Concatenated_Wellname,0))=0,"",INDEX(Well_Data_NK_Upcoming!$R$2:$R$996,MATCH('Rig_Schedule_View (2)'!B157,Well_Data_NK_Upcoming!Concatenated_Wellname,0)))</f>
        <v>150</v>
      </c>
      <c r="H157" s="526"/>
      <c r="I157" s="440">
        <f ca="1">RigScheduleTest!$L$14</f>
        <v>42258</v>
      </c>
      <c r="J157" s="440">
        <f ca="1">RigScheduleTest!$M$14</f>
        <v>42403</v>
      </c>
      <c r="K157" s="574"/>
      <c r="L157" s="546" t="s">
        <v>2221</v>
      </c>
      <c r="M157" s="544"/>
      <c r="N157" s="545"/>
      <c r="O157" s="545"/>
      <c r="P157" s="551"/>
    </row>
    <row r="158" spans="1:16" x14ac:dyDescent="0.25">
      <c r="A158" s="442" t="str">
        <f>RigScheduleTest!$B$14</f>
        <v>SP-186</v>
      </c>
      <c r="B158" s="441" t="str">
        <f ca="1">RigScheduleTest!$O$14</f>
        <v>SA9-SA-MA-Prod-NW-HZ</v>
      </c>
      <c r="C158" s="421" t="str">
        <f ca="1">IF(INDEX(Well_Data_NK_Upcoming!$G$2:$G$996,MATCH('Rig_Schedule_View (2)'!B158,Well_Data_NK_Upcoming!Concatenated_Wellname,0))=0,"",INDEX(Well_Data_NK_Upcoming!$G$2:$G$996,MATCH('Rig_Schedule_View (2)'!B158,Well_Data_NK_Upcoming!Concatenated_Wellname,0)))</f>
        <v>MA</v>
      </c>
      <c r="D158" s="421" t="str">
        <f ca="1">IF(INDEX(Well_Data_NK_Upcoming!$K$2:$K$996,MATCH('Rig_Schedule_View (2)'!B158,Well_Data_NK_Upcoming!Concatenated_Wellname,0))=0,"",INDEX(Well_Data_NK_Upcoming!$K$2:$K$996,MATCH('Rig_Schedule_View (2)'!B158,Well_Data_NK_Upcoming!Concatenated_Wellname,0)))</f>
        <v>NW</v>
      </c>
      <c r="E158" s="421" t="str">
        <f ca="1">IF(INDEX(Well_Data_NK_Upcoming!$J$2:$J$996,MATCH('Rig_Schedule_View (2)'!B158,Well_Data_NK_Upcoming!Concatenated_Wellname,0))=0,"",INDEX(Well_Data_NK_Upcoming!$J$2:$J$996,MATCH('Rig_Schedule_View (2)'!B158,Well_Data_NK_Upcoming!Concatenated_Wellname,0)))</f>
        <v>Prod</v>
      </c>
      <c r="F158" s="421" t="str">
        <f ca="1">IF(INDEX(Well_Data_NK_Upcoming!$L$2:$L$996,MATCH('Rig_Schedule_View (2)'!B158,Well_Data_NK_Upcoming!Concatenated_Wellname,0))=0,"",INDEX(Well_Data_NK_Upcoming!$L$2:$L$996,MATCH('Rig_Schedule_View (2)'!B158,Well_Data_NK_Upcoming!Concatenated_Wellname,0)))</f>
        <v>HZ</v>
      </c>
      <c r="G158" s="421">
        <f ca="1">IF(INDEX(Well_Data_NK_Upcoming!$R$2:$R$996,MATCH('Rig_Schedule_View (2)'!B158,Well_Data_NK_Upcoming!Concatenated_Wellname,0))=0,"",INDEX(Well_Data_NK_Upcoming!$R$2:$R$996,MATCH('Rig_Schedule_View (2)'!B158,Well_Data_NK_Upcoming!Concatenated_Wellname,0)))</f>
        <v>75</v>
      </c>
      <c r="H158" s="526"/>
      <c r="I158" s="440">
        <f ca="1">RigScheduleTest!$R$14</f>
        <v>42408</v>
      </c>
      <c r="J158" s="440">
        <f ca="1">RigScheduleTest!$S$14</f>
        <v>42478</v>
      </c>
      <c r="K158" s="574"/>
      <c r="L158" s="546"/>
      <c r="M158" s="544"/>
      <c r="N158" s="545"/>
      <c r="O158" s="545"/>
      <c r="P158" s="551"/>
    </row>
    <row r="159" spans="1:16" x14ac:dyDescent="0.25">
      <c r="A159" s="442" t="str">
        <f>RigScheduleTest!$B$14</f>
        <v>SP-186</v>
      </c>
      <c r="B159" s="442" t="str">
        <f ca="1">RigScheduleTest!$U$14</f>
        <v>SA21-SA-MA-Prod-NW-HZ</v>
      </c>
      <c r="C159" s="421" t="str">
        <f ca="1">IF(INDEX(Well_Data_NK_Upcoming!$G$2:$G$996,MATCH('Rig_Schedule_View (2)'!B159,Well_Data_NK_Upcoming!Concatenated_Wellname,0))=0,"",INDEX(Well_Data_NK_Upcoming!$G$2:$G$996,MATCH('Rig_Schedule_View (2)'!B159,Well_Data_NK_Upcoming!Concatenated_Wellname,0)))</f>
        <v>MA</v>
      </c>
      <c r="D159" s="421" t="str">
        <f ca="1">IF(INDEX(Well_Data_NK_Upcoming!$K$2:$K$996,MATCH('Rig_Schedule_View (2)'!B159,Well_Data_NK_Upcoming!Concatenated_Wellname,0))=0,"",INDEX(Well_Data_NK_Upcoming!$K$2:$K$996,MATCH('Rig_Schedule_View (2)'!B159,Well_Data_NK_Upcoming!Concatenated_Wellname,0)))</f>
        <v>NW</v>
      </c>
      <c r="E159" s="421" t="str">
        <f ca="1">IF(INDEX(Well_Data_NK_Upcoming!$J$2:$J$996,MATCH('Rig_Schedule_View (2)'!B159,Well_Data_NK_Upcoming!Concatenated_Wellname,0))=0,"",INDEX(Well_Data_NK_Upcoming!$J$2:$J$996,MATCH('Rig_Schedule_View (2)'!B159,Well_Data_NK_Upcoming!Concatenated_Wellname,0)))</f>
        <v>Prod</v>
      </c>
      <c r="F159" s="421" t="str">
        <f ca="1">IF(INDEX(Well_Data_NK_Upcoming!$L$2:$L$996,MATCH('Rig_Schedule_View (2)'!B159,Well_Data_NK_Upcoming!Concatenated_Wellname,0))=0,"",INDEX(Well_Data_NK_Upcoming!$L$2:$L$996,MATCH('Rig_Schedule_View (2)'!B159,Well_Data_NK_Upcoming!Concatenated_Wellname,0)))</f>
        <v>HZ</v>
      </c>
      <c r="G159" s="421">
        <f ca="1">IF(INDEX(Well_Data_NK_Upcoming!$R$2:$R$996,MATCH('Rig_Schedule_View (2)'!B159,Well_Data_NK_Upcoming!Concatenated_Wellname,0))=0,"",INDEX(Well_Data_NK_Upcoming!$R$2:$R$996,MATCH('Rig_Schedule_View (2)'!B159,Well_Data_NK_Upcoming!Concatenated_Wellname,0)))</f>
        <v>75</v>
      </c>
      <c r="H159" s="526"/>
      <c r="I159" s="443">
        <f ca="1">RigScheduleTest!$X$14</f>
        <v>42483</v>
      </c>
      <c r="J159" s="443">
        <f ca="1">RigScheduleTest!$Y$14</f>
        <v>42553</v>
      </c>
      <c r="K159" s="574"/>
      <c r="L159" s="546"/>
      <c r="M159" s="544"/>
      <c r="N159" s="545"/>
      <c r="O159" s="545"/>
      <c r="P159" s="551"/>
    </row>
    <row r="160" spans="1:16" x14ac:dyDescent="0.25">
      <c r="A160" s="442" t="str">
        <f>RigScheduleTest!$B$14</f>
        <v>SP-186</v>
      </c>
      <c r="B160" s="442" t="str">
        <f ca="1">RigScheduleTest!$AA$14</f>
        <v>SA40-SA-MA-Prod-NW-HZ</v>
      </c>
      <c r="C160" s="421" t="str">
        <f ca="1">IF(INDEX(Well_Data_NK_Upcoming!$G$2:$G$996,MATCH('Rig_Schedule_View (2)'!B160,Well_Data_NK_Upcoming!Concatenated_Wellname,0))=0,"",INDEX(Well_Data_NK_Upcoming!$G$2:$G$996,MATCH('Rig_Schedule_View (2)'!B160,Well_Data_NK_Upcoming!Concatenated_Wellname,0)))</f>
        <v>MA</v>
      </c>
      <c r="D160" s="421" t="str">
        <f ca="1">IF(INDEX(Well_Data_NK_Upcoming!$K$2:$K$996,MATCH('Rig_Schedule_View (2)'!B160,Well_Data_NK_Upcoming!Concatenated_Wellname,0))=0,"",INDEX(Well_Data_NK_Upcoming!$K$2:$K$996,MATCH('Rig_Schedule_View (2)'!B160,Well_Data_NK_Upcoming!Concatenated_Wellname,0)))</f>
        <v>NW</v>
      </c>
      <c r="E160" s="421" t="str">
        <f ca="1">IF(INDEX(Well_Data_NK_Upcoming!$J$2:$J$996,MATCH('Rig_Schedule_View (2)'!B160,Well_Data_NK_Upcoming!Concatenated_Wellname,0))=0,"",INDEX(Well_Data_NK_Upcoming!$J$2:$J$996,MATCH('Rig_Schedule_View (2)'!B160,Well_Data_NK_Upcoming!Concatenated_Wellname,0)))</f>
        <v>Prod</v>
      </c>
      <c r="F160" s="421" t="str">
        <f ca="1">IF(INDEX(Well_Data_NK_Upcoming!$L$2:$L$996,MATCH('Rig_Schedule_View (2)'!B160,Well_Data_NK_Upcoming!Concatenated_Wellname,0))=0,"",INDEX(Well_Data_NK_Upcoming!$L$2:$L$996,MATCH('Rig_Schedule_View (2)'!B160,Well_Data_NK_Upcoming!Concatenated_Wellname,0)))</f>
        <v>HZ</v>
      </c>
      <c r="G160" s="421">
        <f ca="1">IF(INDEX(Well_Data_NK_Upcoming!$R$2:$R$996,MATCH('Rig_Schedule_View (2)'!B160,Well_Data_NK_Upcoming!Concatenated_Wellname,0))=0,"",INDEX(Well_Data_NK_Upcoming!$R$2:$R$996,MATCH('Rig_Schedule_View (2)'!B160,Well_Data_NK_Upcoming!Concatenated_Wellname,0)))</f>
        <v>75</v>
      </c>
      <c r="H160" s="526"/>
      <c r="I160" s="443">
        <f ca="1">RigScheduleTest!$AD$14</f>
        <v>42558</v>
      </c>
      <c r="J160" s="443">
        <f ca="1">RigScheduleTest!$AE$14</f>
        <v>42628</v>
      </c>
      <c r="K160" s="574"/>
      <c r="L160" s="546"/>
      <c r="M160" s="544"/>
      <c r="N160" s="545"/>
      <c r="O160" s="545"/>
      <c r="P160" s="551"/>
    </row>
    <row r="161" spans="1:16" x14ac:dyDescent="0.25">
      <c r="A161" s="442" t="str">
        <f>RigScheduleTest!$B$14</f>
        <v>SP-186</v>
      </c>
      <c r="B161" s="442" t="str">
        <f ca="1">RigScheduleTest!$AG$14</f>
        <v>RA29-RA-MA-Inj-NW-HZ-SLB</v>
      </c>
      <c r="C161" s="421" t="str">
        <f ca="1">IF(INDEX(Well_Data_NK_Upcoming!$G$2:$G$996,MATCH('Rig_Schedule_View (2)'!B161,Well_Data_NK_Upcoming!Concatenated_Wellname,0))=0,"",INDEX(Well_Data_NK_Upcoming!$G$2:$G$996,MATCH('Rig_Schedule_View (2)'!B161,Well_Data_NK_Upcoming!Concatenated_Wellname,0)))</f>
        <v>MA</v>
      </c>
      <c r="D161" s="421" t="str">
        <f ca="1">IF(INDEX(Well_Data_NK_Upcoming!$K$2:$K$996,MATCH('Rig_Schedule_View (2)'!B161,Well_Data_NK_Upcoming!Concatenated_Wellname,0))=0,"",INDEX(Well_Data_NK_Upcoming!$K$2:$K$996,MATCH('Rig_Schedule_View (2)'!B161,Well_Data_NK_Upcoming!Concatenated_Wellname,0)))</f>
        <v>NW</v>
      </c>
      <c r="E161" s="421" t="str">
        <f ca="1">IF(INDEX(Well_Data_NK_Upcoming!$J$2:$J$996,MATCH('Rig_Schedule_View (2)'!B161,Well_Data_NK_Upcoming!Concatenated_Wellname,0))=0,"",INDEX(Well_Data_NK_Upcoming!$J$2:$J$996,MATCH('Rig_Schedule_View (2)'!B161,Well_Data_NK_Upcoming!Concatenated_Wellname,0)))</f>
        <v>Inj</v>
      </c>
      <c r="F161" s="421" t="str">
        <f ca="1">IF(INDEX(Well_Data_NK_Upcoming!$L$2:$L$996,MATCH('Rig_Schedule_View (2)'!B161,Well_Data_NK_Upcoming!Concatenated_Wellname,0))=0,"",INDEX(Well_Data_NK_Upcoming!$L$2:$L$996,MATCH('Rig_Schedule_View (2)'!B161,Well_Data_NK_Upcoming!Concatenated_Wellname,0)))</f>
        <v>HZ</v>
      </c>
      <c r="G161" s="421">
        <f ca="1">IF(INDEX(Well_Data_NK_Upcoming!$R$2:$R$996,MATCH('Rig_Schedule_View (2)'!B161,Well_Data_NK_Upcoming!Concatenated_Wellname,0))=0,"",INDEX(Well_Data_NK_Upcoming!$R$2:$R$996,MATCH('Rig_Schedule_View (2)'!B161,Well_Data_NK_Upcoming!Concatenated_Wellname,0)))</f>
        <v>68</v>
      </c>
      <c r="H161" s="526"/>
      <c r="I161" s="443">
        <f ca="1">RigScheduleTest!$AJ$14</f>
        <v>42633</v>
      </c>
      <c r="J161" s="443">
        <f ca="1">RigScheduleTest!$AK$14</f>
        <v>42696</v>
      </c>
      <c r="K161" s="574"/>
      <c r="L161" s="546"/>
      <c r="M161" s="544"/>
      <c r="N161" s="545"/>
      <c r="O161" s="545"/>
      <c r="P161" s="551"/>
    </row>
    <row r="162" spans="1:16" x14ac:dyDescent="0.25">
      <c r="A162" s="442" t="str">
        <f>RigScheduleTest!$B$14</f>
        <v>SP-186</v>
      </c>
      <c r="B162" s="442" t="str">
        <f ca="1">RigScheduleTest!$AM$14</f>
        <v>RA36-RA-MA-Prod-NW-HZ-SLB</v>
      </c>
      <c r="C162" s="421" t="str">
        <f ca="1">IF(INDEX(Well_Data_NK_Upcoming!$G$2:$G$996,MATCH('Rig_Schedule_View (2)'!B162,Well_Data_NK_Upcoming!Concatenated_Wellname,0))=0,"",INDEX(Well_Data_NK_Upcoming!$G$2:$G$996,MATCH('Rig_Schedule_View (2)'!B162,Well_Data_NK_Upcoming!Concatenated_Wellname,0)))</f>
        <v>MA</v>
      </c>
      <c r="D162" s="421" t="str">
        <f ca="1">IF(INDEX(Well_Data_NK_Upcoming!$K$2:$K$996,MATCH('Rig_Schedule_View (2)'!B162,Well_Data_NK_Upcoming!Concatenated_Wellname,0))=0,"",INDEX(Well_Data_NK_Upcoming!$K$2:$K$996,MATCH('Rig_Schedule_View (2)'!B162,Well_Data_NK_Upcoming!Concatenated_Wellname,0)))</f>
        <v>NW</v>
      </c>
      <c r="E162" s="421" t="str">
        <f ca="1">IF(INDEX(Well_Data_NK_Upcoming!$J$2:$J$996,MATCH('Rig_Schedule_View (2)'!B162,Well_Data_NK_Upcoming!Concatenated_Wellname,0))=0,"",INDEX(Well_Data_NK_Upcoming!$J$2:$J$996,MATCH('Rig_Schedule_View (2)'!B162,Well_Data_NK_Upcoming!Concatenated_Wellname,0)))</f>
        <v>Prod</v>
      </c>
      <c r="F162" s="421" t="str">
        <f ca="1">IF(INDEX(Well_Data_NK_Upcoming!$L$2:$L$996,MATCH('Rig_Schedule_View (2)'!B162,Well_Data_NK_Upcoming!Concatenated_Wellname,0))=0,"",INDEX(Well_Data_NK_Upcoming!$L$2:$L$996,MATCH('Rig_Schedule_View (2)'!B162,Well_Data_NK_Upcoming!Concatenated_Wellname,0)))</f>
        <v>HZ</v>
      </c>
      <c r="G162" s="421">
        <f ca="1">IF(INDEX(Well_Data_NK_Upcoming!$R$2:$R$996,MATCH('Rig_Schedule_View (2)'!B162,Well_Data_NK_Upcoming!Concatenated_Wellname,0))=0,"",INDEX(Well_Data_NK_Upcoming!$R$2:$R$996,MATCH('Rig_Schedule_View (2)'!B162,Well_Data_NK_Upcoming!Concatenated_Wellname,0)))</f>
        <v>75</v>
      </c>
      <c r="H162" s="526"/>
      <c r="I162" s="443">
        <f ca="1">RigScheduleTest!$AP$14</f>
        <v>42701</v>
      </c>
      <c r="J162" s="443">
        <f ca="1">RigScheduleTest!$AQ$14</f>
        <v>42771</v>
      </c>
      <c r="K162" s="574"/>
      <c r="L162" s="546"/>
      <c r="M162" s="544"/>
      <c r="N162" s="545"/>
      <c r="O162" s="545"/>
      <c r="P162" s="551"/>
    </row>
    <row r="163" spans="1:16" x14ac:dyDescent="0.25">
      <c r="A163" s="442" t="str">
        <f>RigScheduleTest!$B$14</f>
        <v>SP-186</v>
      </c>
      <c r="B163" s="442" t="str">
        <f ca="1">RigScheduleTest!$AS$14</f>
        <v>SA59-SA-MA-Inj-ST-SL</v>
      </c>
      <c r="C163" s="421" t="str">
        <f ca="1">IF(INDEX(Well_Data_NK_Upcoming!$G$2:$G$996,MATCH('Rig_Schedule_View (2)'!B163,Well_Data_NK_Upcoming!Concatenated_Wellname,0))=0,"",INDEX(Well_Data_NK_Upcoming!$G$2:$G$996,MATCH('Rig_Schedule_View (2)'!B163,Well_Data_NK_Upcoming!Concatenated_Wellname,0)))</f>
        <v>MA</v>
      </c>
      <c r="D163" s="421" t="str">
        <f ca="1">IF(INDEX(Well_Data_NK_Upcoming!$K$2:$K$996,MATCH('Rig_Schedule_View (2)'!B163,Well_Data_NK_Upcoming!Concatenated_Wellname,0))=0,"",INDEX(Well_Data_NK_Upcoming!$K$2:$K$996,MATCH('Rig_Schedule_View (2)'!B163,Well_Data_NK_Upcoming!Concatenated_Wellname,0)))</f>
        <v>ST</v>
      </c>
      <c r="E163" s="421" t="str">
        <f ca="1">IF(INDEX(Well_Data_NK_Upcoming!$J$2:$J$996,MATCH('Rig_Schedule_View (2)'!B163,Well_Data_NK_Upcoming!Concatenated_Wellname,0))=0,"",INDEX(Well_Data_NK_Upcoming!$J$2:$J$996,MATCH('Rig_Schedule_View (2)'!B163,Well_Data_NK_Upcoming!Concatenated_Wellname,0)))</f>
        <v>Inj</v>
      </c>
      <c r="F163" s="421" t="str">
        <f ca="1">IF(INDEX(Well_Data_NK_Upcoming!$L$2:$L$996,MATCH('Rig_Schedule_View (2)'!B163,Well_Data_NK_Upcoming!Concatenated_Wellname,0))=0,"",INDEX(Well_Data_NK_Upcoming!$L$2:$L$996,MATCH('Rig_Schedule_View (2)'!B163,Well_Data_NK_Upcoming!Concatenated_Wellname,0)))</f>
        <v>SL</v>
      </c>
      <c r="G163" s="421">
        <f ca="1">IF(INDEX(Well_Data_NK_Upcoming!$R$2:$R$996,MATCH('Rig_Schedule_View (2)'!B163,Well_Data_NK_Upcoming!Concatenated_Wellname,0))=0,"",INDEX(Well_Data_NK_Upcoming!$R$2:$R$996,MATCH('Rig_Schedule_View (2)'!B163,Well_Data_NK_Upcoming!Concatenated_Wellname,0)))</f>
        <v>61</v>
      </c>
      <c r="H163" s="526"/>
      <c r="I163" s="443">
        <f ca="1">RigScheduleTest!$AV$14</f>
        <v>42776</v>
      </c>
      <c r="J163" s="443">
        <f ca="1">RigScheduleTest!$AW$14</f>
        <v>42832</v>
      </c>
      <c r="K163" s="574"/>
      <c r="L163" s="546"/>
      <c r="M163" s="544"/>
      <c r="N163" s="545"/>
      <c r="O163" s="545"/>
      <c r="P163" s="551"/>
    </row>
    <row r="164" spans="1:16" x14ac:dyDescent="0.25">
      <c r="A164" s="442" t="str">
        <f>RigScheduleTest!$B$14</f>
        <v>SP-186</v>
      </c>
      <c r="B164" s="442" t="str">
        <f ca="1">RigScheduleTest!$AY$14</f>
        <v/>
      </c>
      <c r="C164" s="421" t="str">
        <f ca="1">IF(INDEX(Well_Data_NK_Upcoming!$G$2:$G$996,MATCH('Rig_Schedule_View (2)'!B164,Well_Data_NK_Upcoming!Concatenated_Wellname,0))=0,"",INDEX(Well_Data_NK_Upcoming!$G$2:$G$996,MATCH('Rig_Schedule_View (2)'!B164,Well_Data_NK_Upcoming!Concatenated_Wellname,0)))</f>
        <v/>
      </c>
      <c r="D164" s="421" t="str">
        <f ca="1">IF(INDEX(Well_Data_NK_Upcoming!$K$2:$K$996,MATCH('Rig_Schedule_View (2)'!B164,Well_Data_NK_Upcoming!Concatenated_Wellname,0))=0,"",INDEX(Well_Data_NK_Upcoming!$K$2:$K$996,MATCH('Rig_Schedule_View (2)'!B164,Well_Data_NK_Upcoming!Concatenated_Wellname,0)))</f>
        <v/>
      </c>
      <c r="E164" s="421" t="str">
        <f ca="1">IF(INDEX(Well_Data_NK_Upcoming!$J$2:$J$996,MATCH('Rig_Schedule_View (2)'!B164,Well_Data_NK_Upcoming!Concatenated_Wellname,0))=0,"",INDEX(Well_Data_NK_Upcoming!$J$2:$J$996,MATCH('Rig_Schedule_View (2)'!B164,Well_Data_NK_Upcoming!Concatenated_Wellname,0)))</f>
        <v/>
      </c>
      <c r="F164" s="421" t="str">
        <f ca="1">IF(INDEX(Well_Data_NK_Upcoming!$L$2:$L$996,MATCH('Rig_Schedule_View (2)'!B164,Well_Data_NK_Upcoming!Concatenated_Wellname,0))=0,"",INDEX(Well_Data_NK_Upcoming!$L$2:$L$996,MATCH('Rig_Schedule_View (2)'!B164,Well_Data_NK_Upcoming!Concatenated_Wellname,0)))</f>
        <v/>
      </c>
      <c r="G164" s="421" t="str">
        <f ca="1">IF(INDEX(Well_Data_NK_Upcoming!$R$2:$R$996,MATCH('Rig_Schedule_View (2)'!B164,Well_Data_NK_Upcoming!Concatenated_Wellname,0))=0,"",INDEX(Well_Data_NK_Upcoming!$R$2:$R$996,MATCH('Rig_Schedule_View (2)'!B164,Well_Data_NK_Upcoming!Concatenated_Wellname,0)))</f>
        <v/>
      </c>
      <c r="H164" s="526"/>
      <c r="I164" s="443" t="str">
        <f ca="1">RigScheduleTest!$BB$14</f>
        <v/>
      </c>
      <c r="J164" s="443" t="str">
        <f ca="1">RigScheduleTest!$BC$14</f>
        <v/>
      </c>
      <c r="K164" s="574"/>
      <c r="L164" s="546"/>
      <c r="M164" s="544"/>
      <c r="N164" s="545"/>
      <c r="O164" s="545"/>
      <c r="P164" s="551"/>
    </row>
    <row r="165" spans="1:16" x14ac:dyDescent="0.25">
      <c r="A165" s="442" t="str">
        <f>RigScheduleTest!$B$14</f>
        <v>SP-186</v>
      </c>
      <c r="B165" s="442" t="str">
        <f ca="1">RigScheduleTest!$BE$14</f>
        <v/>
      </c>
      <c r="C165" s="421" t="str">
        <f ca="1">IF(INDEX(Well_Data_NK_Upcoming!$G$2:$G$996,MATCH('Rig_Schedule_View (2)'!B165,Well_Data_NK_Upcoming!Concatenated_Wellname,0))=0,"",INDEX(Well_Data_NK_Upcoming!$G$2:$G$996,MATCH('Rig_Schedule_View (2)'!B165,Well_Data_NK_Upcoming!Concatenated_Wellname,0)))</f>
        <v/>
      </c>
      <c r="D165" s="421" t="str">
        <f ca="1">IF(INDEX(Well_Data_NK_Upcoming!$K$2:$K$996,MATCH('Rig_Schedule_View (2)'!B165,Well_Data_NK_Upcoming!Concatenated_Wellname,0))=0,"",INDEX(Well_Data_NK_Upcoming!$K$2:$K$996,MATCH('Rig_Schedule_View (2)'!B165,Well_Data_NK_Upcoming!Concatenated_Wellname,0)))</f>
        <v/>
      </c>
      <c r="E165" s="421" t="str">
        <f ca="1">IF(INDEX(Well_Data_NK_Upcoming!$J$2:$J$996,MATCH('Rig_Schedule_View (2)'!B165,Well_Data_NK_Upcoming!Concatenated_Wellname,0))=0,"",INDEX(Well_Data_NK_Upcoming!$J$2:$J$996,MATCH('Rig_Schedule_View (2)'!B165,Well_Data_NK_Upcoming!Concatenated_Wellname,0)))</f>
        <v/>
      </c>
      <c r="F165" s="421" t="str">
        <f ca="1">IF(INDEX(Well_Data_NK_Upcoming!$L$2:$L$996,MATCH('Rig_Schedule_View (2)'!B165,Well_Data_NK_Upcoming!Concatenated_Wellname,0))=0,"",INDEX(Well_Data_NK_Upcoming!$L$2:$L$996,MATCH('Rig_Schedule_View (2)'!B165,Well_Data_NK_Upcoming!Concatenated_Wellname,0)))</f>
        <v/>
      </c>
      <c r="G165" s="421" t="str">
        <f ca="1">IF(INDEX(Well_Data_NK_Upcoming!$R$2:$R$996,MATCH('Rig_Schedule_View (2)'!B165,Well_Data_NK_Upcoming!Concatenated_Wellname,0))=0,"",INDEX(Well_Data_NK_Upcoming!$R$2:$R$996,MATCH('Rig_Schedule_View (2)'!B165,Well_Data_NK_Upcoming!Concatenated_Wellname,0)))</f>
        <v/>
      </c>
      <c r="H165" s="526"/>
      <c r="I165" s="443" t="str">
        <f ca="1">RigScheduleTest!$BH$14</f>
        <v/>
      </c>
      <c r="J165" s="443" t="str">
        <f ca="1">RigScheduleTest!$BI$14</f>
        <v/>
      </c>
      <c r="K165" s="574"/>
      <c r="L165" s="546"/>
      <c r="M165" s="544"/>
      <c r="N165" s="545"/>
      <c r="O165" s="545"/>
      <c r="P165" s="551"/>
    </row>
    <row r="166" spans="1:16" x14ac:dyDescent="0.25">
      <c r="A166" s="442" t="str">
        <f>RigScheduleTest!$B$14</f>
        <v>SP-186</v>
      </c>
      <c r="B166" s="442" t="str">
        <f ca="1">RigScheduleTest!$BK$14</f>
        <v/>
      </c>
      <c r="C166" s="421" t="str">
        <f ca="1">IF(INDEX(Well_Data_NK_Upcoming!$G$2:$G$996,MATCH('Rig_Schedule_View (2)'!B166,Well_Data_NK_Upcoming!Concatenated_Wellname,0))=0,"",INDEX(Well_Data_NK_Upcoming!$G$2:$G$996,MATCH('Rig_Schedule_View (2)'!B166,Well_Data_NK_Upcoming!Concatenated_Wellname,0)))</f>
        <v/>
      </c>
      <c r="D166" s="421" t="str">
        <f ca="1">IF(INDEX(Well_Data_NK_Upcoming!$K$2:$K$996,MATCH('Rig_Schedule_View (2)'!B166,Well_Data_NK_Upcoming!Concatenated_Wellname,0))=0,"",INDEX(Well_Data_NK_Upcoming!$K$2:$K$996,MATCH('Rig_Schedule_View (2)'!B166,Well_Data_NK_Upcoming!Concatenated_Wellname,0)))</f>
        <v/>
      </c>
      <c r="E166" s="421" t="str">
        <f ca="1">IF(INDEX(Well_Data_NK_Upcoming!$J$2:$J$996,MATCH('Rig_Schedule_View (2)'!B166,Well_Data_NK_Upcoming!Concatenated_Wellname,0))=0,"",INDEX(Well_Data_NK_Upcoming!$J$2:$J$996,MATCH('Rig_Schedule_View (2)'!B166,Well_Data_NK_Upcoming!Concatenated_Wellname,0)))</f>
        <v/>
      </c>
      <c r="F166" s="421" t="str">
        <f ca="1">IF(INDEX(Well_Data_NK_Upcoming!$L$2:$L$996,MATCH('Rig_Schedule_View (2)'!B166,Well_Data_NK_Upcoming!Concatenated_Wellname,0))=0,"",INDEX(Well_Data_NK_Upcoming!$L$2:$L$996,MATCH('Rig_Schedule_View (2)'!B166,Well_Data_NK_Upcoming!Concatenated_Wellname,0)))</f>
        <v/>
      </c>
      <c r="G166" s="421" t="str">
        <f ca="1">IF(INDEX(Well_Data_NK_Upcoming!$R$2:$R$996,MATCH('Rig_Schedule_View (2)'!B166,Well_Data_NK_Upcoming!Concatenated_Wellname,0))=0,"",INDEX(Well_Data_NK_Upcoming!$R$2:$R$996,MATCH('Rig_Schedule_View (2)'!B166,Well_Data_NK_Upcoming!Concatenated_Wellname,0)))</f>
        <v/>
      </c>
      <c r="H166" s="526"/>
      <c r="I166" s="443" t="str">
        <f ca="1">RigScheduleTest!$BN$14</f>
        <v/>
      </c>
      <c r="J166" s="443" t="str">
        <f ca="1">RigScheduleTest!$BO$14</f>
        <v/>
      </c>
      <c r="K166" s="574"/>
      <c r="L166" s="546"/>
      <c r="M166" s="544"/>
      <c r="N166" s="545"/>
      <c r="O166" s="545"/>
      <c r="P166" s="551"/>
    </row>
    <row r="167" spans="1:16" x14ac:dyDescent="0.25">
      <c r="A167" s="437" t="str">
        <f>RigScheduleTest!$B$1</f>
        <v>RIG</v>
      </c>
      <c r="B167" s="437" t="str">
        <f>$K$1</f>
        <v>Development Drilling</v>
      </c>
      <c r="C167" s="437" t="s">
        <v>1831</v>
      </c>
      <c r="D167" s="437" t="s">
        <v>867</v>
      </c>
      <c r="E167" s="437" t="s">
        <v>8</v>
      </c>
      <c r="F167" s="437" t="s">
        <v>2</v>
      </c>
      <c r="G167" s="437" t="s">
        <v>1513</v>
      </c>
      <c r="H167" s="438" t="str">
        <f>$K$3</f>
        <v>Rig Deployment Meeting</v>
      </c>
      <c r="I167" s="439" t="str">
        <f>$K$5</f>
        <v>Start</v>
      </c>
      <c r="J167" s="439" t="str">
        <f>$K$6</f>
        <v>End</v>
      </c>
      <c r="K167" s="444" t="s">
        <v>1068</v>
      </c>
      <c r="L167" s="444" t="s">
        <v>1577</v>
      </c>
      <c r="M167" s="496" t="s">
        <v>1934</v>
      </c>
      <c r="N167" s="504" t="s">
        <v>1940</v>
      </c>
      <c r="O167" s="504" t="s">
        <v>1941</v>
      </c>
      <c r="P167" s="502"/>
    </row>
    <row r="168" spans="1:16" x14ac:dyDescent="0.25">
      <c r="A168" s="442" t="str">
        <f>RigScheduleTest!$B$15</f>
        <v>SP-266</v>
      </c>
      <c r="B168" s="421" t="str">
        <f ca="1">RigScheduleTest!$D$15</f>
        <v>RA-0564-RA-UB-Prod-NW-SL-WFD</v>
      </c>
      <c r="C168" s="421" t="str">
        <f ca="1">IF(INDEX(Well_Data_NK_Upcoming!$G$2:$G$996,MATCH('Rig_Schedule_View (2)'!B168,Well_Data_NK_Upcoming!Concatenated_Wellname,0))=0,"",INDEX(Well_Data_NK_Upcoming!$G$2:$G$996,MATCH('Rig_Schedule_View (2)'!B168,Well_Data_NK_Upcoming!Concatenated_Wellname,0)))</f>
        <v>UB</v>
      </c>
      <c r="D168" s="421" t="str">
        <f ca="1">IF(INDEX(Well_Data_NK_Upcoming!$K$2:$K$996,MATCH('Rig_Schedule_View (2)'!B168,Well_Data_NK_Upcoming!Concatenated_Wellname,0))=0,"",INDEX(Well_Data_NK_Upcoming!$K$2:$K$996,MATCH('Rig_Schedule_View (2)'!B168,Well_Data_NK_Upcoming!Concatenated_Wellname,0)))</f>
        <v>NW</v>
      </c>
      <c r="E168" s="421" t="str">
        <f ca="1">IF(INDEX(Well_Data_NK_Upcoming!$J$2:$J$996,MATCH('Rig_Schedule_View (2)'!B168,Well_Data_NK_Upcoming!Concatenated_Wellname,0))=0,"",INDEX(Well_Data_NK_Upcoming!$J$2:$J$996,MATCH('Rig_Schedule_View (2)'!B168,Well_Data_NK_Upcoming!Concatenated_Wellname,0)))</f>
        <v>Prod</v>
      </c>
      <c r="F168" s="421" t="str">
        <f ca="1">IF(INDEX(Well_Data_NK_Upcoming!$L$2:$L$996,MATCH('Rig_Schedule_View (2)'!B168,Well_Data_NK_Upcoming!Concatenated_Wellname,0))=0,"",INDEX(Well_Data_NK_Upcoming!$L$2:$L$996,MATCH('Rig_Schedule_View (2)'!B168,Well_Data_NK_Upcoming!Concatenated_Wellname,0)))</f>
        <v>SL</v>
      </c>
      <c r="G168" s="421">
        <f ca="1">IF(INDEX(Well_Data_NK_Upcoming!$R$2:$R$996,MATCH('Rig_Schedule_View (2)'!B168,Well_Data_NK_Upcoming!Concatenated_Wellname,0))=0,"",INDEX(Well_Data_NK_Upcoming!$R$2:$R$996,MATCH('Rig_Schedule_View (2)'!B168,Well_Data_NK_Upcoming!Concatenated_Wellname,0)))</f>
        <v>75</v>
      </c>
      <c r="H168" s="526">
        <f>RigScheduleTest!$F$15</f>
        <v>42233</v>
      </c>
      <c r="I168" s="459">
        <f ca="1">IF(INDEX(Well_Data_NK_Upcoming!$O$2:$O$996,MATCH('Rig_Schedule_View (2)'!B168,Well_Data_NK_Upcoming!Concatenated_Wellname,0))=0,"",INDEX(Well_Data_NK_Upcoming!$O$2:$O$996,MATCH('Rig_Schedule_View (2)'!B168,Well_Data_NK_Upcoming!Concatenated_Wellname,0)))</f>
        <v>42127.625</v>
      </c>
      <c r="J168" s="446">
        <f ca="1">RigScheduleTest!$H$15</f>
        <v>42243</v>
      </c>
      <c r="K168" s="574" t="s">
        <v>1917</v>
      </c>
      <c r="L168" s="543"/>
      <c r="M168" s="544">
        <v>10</v>
      </c>
      <c r="N168" s="545"/>
      <c r="O168" s="545"/>
      <c r="P168" s="551"/>
    </row>
    <row r="169" spans="1:16" x14ac:dyDescent="0.25">
      <c r="A169" s="442" t="str">
        <f>RigScheduleTest!$B$15</f>
        <v>SP-266</v>
      </c>
      <c r="B169" s="441" t="str">
        <f ca="1">RigScheduleTest!$I$15</f>
        <v>RA-0579-RA-LB-Prod-NW-SL-Sperry</v>
      </c>
      <c r="C169" s="421" t="str">
        <f ca="1">IF(INDEX(Well_Data_NK_Upcoming!$G$2:$G$996,MATCH('Rig_Schedule_View (2)'!B169,Well_Data_NK_Upcoming!Concatenated_Wellname,0))=0,"",INDEX(Well_Data_NK_Upcoming!$G$2:$G$996,MATCH('Rig_Schedule_View (2)'!B169,Well_Data_NK_Upcoming!Concatenated_Wellname,0)))</f>
        <v>LB</v>
      </c>
      <c r="D169" s="421" t="str">
        <f ca="1">IF(INDEX(Well_Data_NK_Upcoming!$K$2:$K$996,MATCH('Rig_Schedule_View (2)'!B169,Well_Data_NK_Upcoming!Concatenated_Wellname,0))=0,"",INDEX(Well_Data_NK_Upcoming!$K$2:$K$996,MATCH('Rig_Schedule_View (2)'!B169,Well_Data_NK_Upcoming!Concatenated_Wellname,0)))</f>
        <v>NW</v>
      </c>
      <c r="E169" s="421" t="str">
        <f ca="1">IF(INDEX(Well_Data_NK_Upcoming!$J$2:$J$996,MATCH('Rig_Schedule_View (2)'!B169,Well_Data_NK_Upcoming!Concatenated_Wellname,0))=0,"",INDEX(Well_Data_NK_Upcoming!$J$2:$J$996,MATCH('Rig_Schedule_View (2)'!B169,Well_Data_NK_Upcoming!Concatenated_Wellname,0)))</f>
        <v>Prod</v>
      </c>
      <c r="F169" s="421" t="str">
        <f ca="1">IF(INDEX(Well_Data_NK_Upcoming!$L$2:$L$996,MATCH('Rig_Schedule_View (2)'!B169,Well_Data_NK_Upcoming!Concatenated_Wellname,0))=0,"",INDEX(Well_Data_NK_Upcoming!$L$2:$L$996,MATCH('Rig_Schedule_View (2)'!B169,Well_Data_NK_Upcoming!Concatenated_Wellname,0)))</f>
        <v>SL</v>
      </c>
      <c r="G169" s="421">
        <f ca="1">IF(INDEX(Well_Data_NK_Upcoming!$R$2:$R$996,MATCH('Rig_Schedule_View (2)'!B169,Well_Data_NK_Upcoming!Concatenated_Wellname,0))=0,"",INDEX(Well_Data_NK_Upcoming!$R$2:$R$996,MATCH('Rig_Schedule_View (2)'!B169,Well_Data_NK_Upcoming!Concatenated_Wellname,0)))</f>
        <v>75</v>
      </c>
      <c r="H169" s="526"/>
      <c r="I169" s="440">
        <f ca="1">RigScheduleTest!$L$15</f>
        <v>42248</v>
      </c>
      <c r="J169" s="440">
        <f ca="1">RigScheduleTest!$M$15</f>
        <v>42318</v>
      </c>
      <c r="K169" s="574"/>
      <c r="L169" s="546" t="s">
        <v>2222</v>
      </c>
      <c r="M169" s="544"/>
      <c r="N169" s="545"/>
      <c r="O169" s="545"/>
      <c r="P169" s="551"/>
    </row>
    <row r="170" spans="1:16" x14ac:dyDescent="0.25">
      <c r="A170" s="442" t="str">
        <f>RigScheduleTest!$B$15</f>
        <v>SP-266</v>
      </c>
      <c r="B170" s="441" t="str">
        <f ca="1">RigScheduleTest!$O$15</f>
        <v>SA-0601-SA-MA-Prod-NW-HZ-SLB</v>
      </c>
      <c r="C170" s="421" t="str">
        <f ca="1">IF(INDEX(Well_Data_NK_Upcoming!$G$2:$G$996,MATCH('Rig_Schedule_View (2)'!B170,Well_Data_NK_Upcoming!Concatenated_Wellname,0))=0,"",INDEX(Well_Data_NK_Upcoming!$G$2:$G$996,MATCH('Rig_Schedule_View (2)'!B170,Well_Data_NK_Upcoming!Concatenated_Wellname,0)))</f>
        <v>MA</v>
      </c>
      <c r="D170" s="421" t="str">
        <f ca="1">IF(INDEX(Well_Data_NK_Upcoming!$K$2:$K$996,MATCH('Rig_Schedule_View (2)'!B170,Well_Data_NK_Upcoming!Concatenated_Wellname,0))=0,"",INDEX(Well_Data_NK_Upcoming!$K$2:$K$996,MATCH('Rig_Schedule_View (2)'!B170,Well_Data_NK_Upcoming!Concatenated_Wellname,0)))</f>
        <v>NW</v>
      </c>
      <c r="E170" s="421" t="str">
        <f ca="1">IF(INDEX(Well_Data_NK_Upcoming!$J$2:$J$996,MATCH('Rig_Schedule_View (2)'!B170,Well_Data_NK_Upcoming!Concatenated_Wellname,0))=0,"",INDEX(Well_Data_NK_Upcoming!$J$2:$J$996,MATCH('Rig_Schedule_View (2)'!B170,Well_Data_NK_Upcoming!Concatenated_Wellname,0)))</f>
        <v>Prod</v>
      </c>
      <c r="F170" s="421" t="str">
        <f ca="1">IF(INDEX(Well_Data_NK_Upcoming!$L$2:$L$996,MATCH('Rig_Schedule_View (2)'!B170,Well_Data_NK_Upcoming!Concatenated_Wellname,0))=0,"",INDEX(Well_Data_NK_Upcoming!$L$2:$L$996,MATCH('Rig_Schedule_View (2)'!B170,Well_Data_NK_Upcoming!Concatenated_Wellname,0)))</f>
        <v>HZ</v>
      </c>
      <c r="G170" s="421">
        <f ca="1">IF(INDEX(Well_Data_NK_Upcoming!$R$2:$R$996,MATCH('Rig_Schedule_View (2)'!B170,Well_Data_NK_Upcoming!Concatenated_Wellname,0))=0,"",INDEX(Well_Data_NK_Upcoming!$R$2:$R$996,MATCH('Rig_Schedule_View (2)'!B170,Well_Data_NK_Upcoming!Concatenated_Wellname,0)))</f>
        <v>75</v>
      </c>
      <c r="H170" s="526"/>
      <c r="I170" s="440">
        <f ca="1">RigScheduleTest!$R$15</f>
        <v>42323</v>
      </c>
      <c r="J170" s="440">
        <f ca="1">RigScheduleTest!$S$15</f>
        <v>42393</v>
      </c>
      <c r="K170" s="574"/>
      <c r="L170" s="546" t="s">
        <v>1987</v>
      </c>
      <c r="M170" s="544"/>
      <c r="N170" s="545" t="s">
        <v>2223</v>
      </c>
      <c r="O170" s="545"/>
      <c r="P170" s="551"/>
    </row>
    <row r="171" spans="1:16" x14ac:dyDescent="0.25">
      <c r="A171" s="442" t="str">
        <f>RigScheduleTest!$B$15</f>
        <v>SP-266</v>
      </c>
      <c r="B171" s="442" t="str">
        <f ca="1">RigScheduleTest!$U$15</f>
        <v>SA-0590-SA-LB-Prod-NW-SL-WFD</v>
      </c>
      <c r="C171" s="421" t="str">
        <f ca="1">IF(INDEX(Well_Data_NK_Upcoming!$G$2:$G$996,MATCH('Rig_Schedule_View (2)'!B171,Well_Data_NK_Upcoming!Concatenated_Wellname,0))=0,"",INDEX(Well_Data_NK_Upcoming!$G$2:$G$996,MATCH('Rig_Schedule_View (2)'!B171,Well_Data_NK_Upcoming!Concatenated_Wellname,0)))</f>
        <v>LB</v>
      </c>
      <c r="D171" s="421" t="str">
        <f ca="1">IF(INDEX(Well_Data_NK_Upcoming!$K$2:$K$996,MATCH('Rig_Schedule_View (2)'!B171,Well_Data_NK_Upcoming!Concatenated_Wellname,0))=0,"",INDEX(Well_Data_NK_Upcoming!$K$2:$K$996,MATCH('Rig_Schedule_View (2)'!B171,Well_Data_NK_Upcoming!Concatenated_Wellname,0)))</f>
        <v>NW</v>
      </c>
      <c r="E171" s="421" t="str">
        <f ca="1">IF(INDEX(Well_Data_NK_Upcoming!$J$2:$J$996,MATCH('Rig_Schedule_View (2)'!B171,Well_Data_NK_Upcoming!Concatenated_Wellname,0))=0,"",INDEX(Well_Data_NK_Upcoming!$J$2:$J$996,MATCH('Rig_Schedule_View (2)'!B171,Well_Data_NK_Upcoming!Concatenated_Wellname,0)))</f>
        <v>Prod</v>
      </c>
      <c r="F171" s="421" t="str">
        <f ca="1">IF(INDEX(Well_Data_NK_Upcoming!$L$2:$L$996,MATCH('Rig_Schedule_View (2)'!B171,Well_Data_NK_Upcoming!Concatenated_Wellname,0))=0,"",INDEX(Well_Data_NK_Upcoming!$L$2:$L$996,MATCH('Rig_Schedule_View (2)'!B171,Well_Data_NK_Upcoming!Concatenated_Wellname,0)))</f>
        <v>SL</v>
      </c>
      <c r="G171" s="421">
        <f ca="1">IF(INDEX(Well_Data_NK_Upcoming!$R$2:$R$996,MATCH('Rig_Schedule_View (2)'!B171,Well_Data_NK_Upcoming!Concatenated_Wellname,0))=0,"",INDEX(Well_Data_NK_Upcoming!$R$2:$R$996,MATCH('Rig_Schedule_View (2)'!B171,Well_Data_NK_Upcoming!Concatenated_Wellname,0)))</f>
        <v>75</v>
      </c>
      <c r="H171" s="526"/>
      <c r="I171" s="443">
        <f ca="1">RigScheduleTest!$X$15</f>
        <v>42398</v>
      </c>
      <c r="J171" s="443">
        <f ca="1">RigScheduleTest!$Y$15</f>
        <v>42468</v>
      </c>
      <c r="K171" s="574"/>
      <c r="L171" s="546"/>
      <c r="M171" s="544"/>
      <c r="N171" s="545"/>
      <c r="O171" s="545"/>
      <c r="P171" s="551"/>
    </row>
    <row r="172" spans="1:16" x14ac:dyDescent="0.25">
      <c r="A172" s="442" t="str">
        <f>RigScheduleTest!$B$15</f>
        <v>SP-266</v>
      </c>
      <c r="B172" s="442" t="str">
        <f ca="1">RigScheduleTest!$AA$15</f>
        <v>RA11-RA-MA-Prod-NW-HZ-SLB</v>
      </c>
      <c r="C172" s="421" t="str">
        <f ca="1">IF(INDEX(Well_Data_NK_Upcoming!$G$2:$G$996,MATCH('Rig_Schedule_View (2)'!B172,Well_Data_NK_Upcoming!Concatenated_Wellname,0))=0,"",INDEX(Well_Data_NK_Upcoming!$G$2:$G$996,MATCH('Rig_Schedule_View (2)'!B172,Well_Data_NK_Upcoming!Concatenated_Wellname,0)))</f>
        <v>MA</v>
      </c>
      <c r="D172" s="421" t="str">
        <f ca="1">IF(INDEX(Well_Data_NK_Upcoming!$K$2:$K$996,MATCH('Rig_Schedule_View (2)'!B172,Well_Data_NK_Upcoming!Concatenated_Wellname,0))=0,"",INDEX(Well_Data_NK_Upcoming!$K$2:$K$996,MATCH('Rig_Schedule_View (2)'!B172,Well_Data_NK_Upcoming!Concatenated_Wellname,0)))</f>
        <v>NW</v>
      </c>
      <c r="E172" s="421" t="str">
        <f ca="1">IF(INDEX(Well_Data_NK_Upcoming!$J$2:$J$996,MATCH('Rig_Schedule_View (2)'!B172,Well_Data_NK_Upcoming!Concatenated_Wellname,0))=0,"",INDEX(Well_Data_NK_Upcoming!$J$2:$J$996,MATCH('Rig_Schedule_View (2)'!B172,Well_Data_NK_Upcoming!Concatenated_Wellname,0)))</f>
        <v>Prod</v>
      </c>
      <c r="F172" s="421" t="str">
        <f ca="1">IF(INDEX(Well_Data_NK_Upcoming!$L$2:$L$996,MATCH('Rig_Schedule_View (2)'!B172,Well_Data_NK_Upcoming!Concatenated_Wellname,0))=0,"",INDEX(Well_Data_NK_Upcoming!$L$2:$L$996,MATCH('Rig_Schedule_View (2)'!B172,Well_Data_NK_Upcoming!Concatenated_Wellname,0)))</f>
        <v>HZ</v>
      </c>
      <c r="G172" s="421">
        <f ca="1">IF(INDEX(Well_Data_NK_Upcoming!$R$2:$R$996,MATCH('Rig_Schedule_View (2)'!B172,Well_Data_NK_Upcoming!Concatenated_Wellname,0))=0,"",INDEX(Well_Data_NK_Upcoming!$R$2:$R$996,MATCH('Rig_Schedule_View (2)'!B172,Well_Data_NK_Upcoming!Concatenated_Wellname,0)))</f>
        <v>75</v>
      </c>
      <c r="H172" s="526"/>
      <c r="I172" s="443">
        <f ca="1">RigScheduleTest!$AD$15</f>
        <v>42473</v>
      </c>
      <c r="J172" s="443">
        <f ca="1">RigScheduleTest!$AE$15</f>
        <v>42543</v>
      </c>
      <c r="K172" s="574"/>
      <c r="L172" s="546"/>
      <c r="M172" s="544"/>
      <c r="N172" s="545"/>
      <c r="O172" s="545"/>
      <c r="P172" s="551"/>
    </row>
    <row r="173" spans="1:16" x14ac:dyDescent="0.25">
      <c r="A173" s="442" t="str">
        <f>RigScheduleTest!$B$15</f>
        <v>SP-266</v>
      </c>
      <c r="B173" s="442" t="str">
        <f ca="1">RigScheduleTest!$AG$15</f>
        <v>SA22-SA-MA-Prod-NW-HZ</v>
      </c>
      <c r="C173" s="421" t="str">
        <f ca="1">IF(INDEX(Well_Data_NK_Upcoming!$G$2:$G$996,MATCH('Rig_Schedule_View (2)'!B173,Well_Data_NK_Upcoming!Concatenated_Wellname,0))=0,"",INDEX(Well_Data_NK_Upcoming!$G$2:$G$996,MATCH('Rig_Schedule_View (2)'!B173,Well_Data_NK_Upcoming!Concatenated_Wellname,0)))</f>
        <v>MA</v>
      </c>
      <c r="D173" s="421" t="str">
        <f ca="1">IF(INDEX(Well_Data_NK_Upcoming!$K$2:$K$996,MATCH('Rig_Schedule_View (2)'!B173,Well_Data_NK_Upcoming!Concatenated_Wellname,0))=0,"",INDEX(Well_Data_NK_Upcoming!$K$2:$K$996,MATCH('Rig_Schedule_View (2)'!B173,Well_Data_NK_Upcoming!Concatenated_Wellname,0)))</f>
        <v>NW</v>
      </c>
      <c r="E173" s="421" t="str">
        <f ca="1">IF(INDEX(Well_Data_NK_Upcoming!$J$2:$J$996,MATCH('Rig_Schedule_View (2)'!B173,Well_Data_NK_Upcoming!Concatenated_Wellname,0))=0,"",INDEX(Well_Data_NK_Upcoming!$J$2:$J$996,MATCH('Rig_Schedule_View (2)'!B173,Well_Data_NK_Upcoming!Concatenated_Wellname,0)))</f>
        <v>Prod</v>
      </c>
      <c r="F173" s="421" t="str">
        <f ca="1">IF(INDEX(Well_Data_NK_Upcoming!$L$2:$L$996,MATCH('Rig_Schedule_View (2)'!B173,Well_Data_NK_Upcoming!Concatenated_Wellname,0))=0,"",INDEX(Well_Data_NK_Upcoming!$L$2:$L$996,MATCH('Rig_Schedule_View (2)'!B173,Well_Data_NK_Upcoming!Concatenated_Wellname,0)))</f>
        <v>HZ</v>
      </c>
      <c r="G173" s="421">
        <f ca="1">IF(INDEX(Well_Data_NK_Upcoming!$R$2:$R$996,MATCH('Rig_Schedule_View (2)'!B173,Well_Data_NK_Upcoming!Concatenated_Wellname,0))=0,"",INDEX(Well_Data_NK_Upcoming!$R$2:$R$996,MATCH('Rig_Schedule_View (2)'!B173,Well_Data_NK_Upcoming!Concatenated_Wellname,0)))</f>
        <v>75</v>
      </c>
      <c r="H173" s="526"/>
      <c r="I173" s="443">
        <f ca="1">RigScheduleTest!$AJ$15</f>
        <v>42548</v>
      </c>
      <c r="J173" s="443">
        <f ca="1">RigScheduleTest!$AK$15</f>
        <v>42618</v>
      </c>
      <c r="K173" s="574"/>
      <c r="L173" s="546"/>
      <c r="M173" s="544"/>
      <c r="N173" s="545"/>
      <c r="O173" s="545"/>
      <c r="P173" s="551"/>
    </row>
    <row r="174" spans="1:16" x14ac:dyDescent="0.25">
      <c r="A174" s="442" t="str">
        <f>RigScheduleTest!$B$15</f>
        <v>SP-266</v>
      </c>
      <c r="B174" s="442" t="str">
        <f ca="1">RigScheduleTest!$AM$15</f>
        <v>SA41-SA-MA-Prod-NW-HZ</v>
      </c>
      <c r="C174" s="421" t="str">
        <f ca="1">IF(INDEX(Well_Data_NK_Upcoming!$G$2:$G$996,MATCH('Rig_Schedule_View (2)'!B174,Well_Data_NK_Upcoming!Concatenated_Wellname,0))=0,"",INDEX(Well_Data_NK_Upcoming!$G$2:$G$996,MATCH('Rig_Schedule_View (2)'!B174,Well_Data_NK_Upcoming!Concatenated_Wellname,0)))</f>
        <v>MA</v>
      </c>
      <c r="D174" s="421" t="str">
        <f ca="1">IF(INDEX(Well_Data_NK_Upcoming!$K$2:$K$996,MATCH('Rig_Schedule_View (2)'!B174,Well_Data_NK_Upcoming!Concatenated_Wellname,0))=0,"",INDEX(Well_Data_NK_Upcoming!$K$2:$K$996,MATCH('Rig_Schedule_View (2)'!B174,Well_Data_NK_Upcoming!Concatenated_Wellname,0)))</f>
        <v>NW</v>
      </c>
      <c r="E174" s="421" t="str">
        <f ca="1">IF(INDEX(Well_Data_NK_Upcoming!$J$2:$J$996,MATCH('Rig_Schedule_View (2)'!B174,Well_Data_NK_Upcoming!Concatenated_Wellname,0))=0,"",INDEX(Well_Data_NK_Upcoming!$J$2:$J$996,MATCH('Rig_Schedule_View (2)'!B174,Well_Data_NK_Upcoming!Concatenated_Wellname,0)))</f>
        <v>Prod</v>
      </c>
      <c r="F174" s="421" t="str">
        <f ca="1">IF(INDEX(Well_Data_NK_Upcoming!$L$2:$L$996,MATCH('Rig_Schedule_View (2)'!B174,Well_Data_NK_Upcoming!Concatenated_Wellname,0))=0,"",INDEX(Well_Data_NK_Upcoming!$L$2:$L$996,MATCH('Rig_Schedule_View (2)'!B174,Well_Data_NK_Upcoming!Concatenated_Wellname,0)))</f>
        <v>HZ</v>
      </c>
      <c r="G174" s="421">
        <f ca="1">IF(INDEX(Well_Data_NK_Upcoming!$R$2:$R$996,MATCH('Rig_Schedule_View (2)'!B174,Well_Data_NK_Upcoming!Concatenated_Wellname,0))=0,"",INDEX(Well_Data_NK_Upcoming!$R$2:$R$996,MATCH('Rig_Schedule_View (2)'!B174,Well_Data_NK_Upcoming!Concatenated_Wellname,0)))</f>
        <v>75</v>
      </c>
      <c r="H174" s="526"/>
      <c r="I174" s="443">
        <f ca="1">RigScheduleTest!$AP$15</f>
        <v>42623</v>
      </c>
      <c r="J174" s="443">
        <f ca="1">RigScheduleTest!$AQ$15</f>
        <v>42693</v>
      </c>
      <c r="K174" s="574"/>
      <c r="L174" s="546"/>
      <c r="M174" s="544"/>
      <c r="N174" s="545"/>
      <c r="O174" s="545"/>
      <c r="P174" s="551"/>
    </row>
    <row r="175" spans="1:16" x14ac:dyDescent="0.25">
      <c r="A175" s="442" t="str">
        <f>RigScheduleTest!$B$15</f>
        <v>SP-266</v>
      </c>
      <c r="B175" s="442" t="str">
        <f ca="1">RigScheduleTest!$AS$15</f>
        <v>RA30-RA-MA-Inj-NW-HZ-SLB</v>
      </c>
      <c r="C175" s="421" t="str">
        <f ca="1">IF(INDEX(Well_Data_NK_Upcoming!$G$2:$G$996,MATCH('Rig_Schedule_View (2)'!B175,Well_Data_NK_Upcoming!Concatenated_Wellname,0))=0,"",INDEX(Well_Data_NK_Upcoming!$G$2:$G$996,MATCH('Rig_Schedule_View (2)'!B175,Well_Data_NK_Upcoming!Concatenated_Wellname,0)))</f>
        <v>MA</v>
      </c>
      <c r="D175" s="421" t="str">
        <f ca="1">IF(INDEX(Well_Data_NK_Upcoming!$K$2:$K$996,MATCH('Rig_Schedule_View (2)'!B175,Well_Data_NK_Upcoming!Concatenated_Wellname,0))=0,"",INDEX(Well_Data_NK_Upcoming!$K$2:$K$996,MATCH('Rig_Schedule_View (2)'!B175,Well_Data_NK_Upcoming!Concatenated_Wellname,0)))</f>
        <v>NW</v>
      </c>
      <c r="E175" s="421" t="str">
        <f ca="1">IF(INDEX(Well_Data_NK_Upcoming!$J$2:$J$996,MATCH('Rig_Schedule_View (2)'!B175,Well_Data_NK_Upcoming!Concatenated_Wellname,0))=0,"",INDEX(Well_Data_NK_Upcoming!$J$2:$J$996,MATCH('Rig_Schedule_View (2)'!B175,Well_Data_NK_Upcoming!Concatenated_Wellname,0)))</f>
        <v>Inj</v>
      </c>
      <c r="F175" s="421" t="str">
        <f ca="1">IF(INDEX(Well_Data_NK_Upcoming!$L$2:$L$996,MATCH('Rig_Schedule_View (2)'!B175,Well_Data_NK_Upcoming!Concatenated_Wellname,0))=0,"",INDEX(Well_Data_NK_Upcoming!$L$2:$L$996,MATCH('Rig_Schedule_View (2)'!B175,Well_Data_NK_Upcoming!Concatenated_Wellname,0)))</f>
        <v>HZ</v>
      </c>
      <c r="G175" s="421">
        <f ca="1">IF(INDEX(Well_Data_NK_Upcoming!$R$2:$R$996,MATCH('Rig_Schedule_View (2)'!B175,Well_Data_NK_Upcoming!Concatenated_Wellname,0))=0,"",INDEX(Well_Data_NK_Upcoming!$R$2:$R$996,MATCH('Rig_Schedule_View (2)'!B175,Well_Data_NK_Upcoming!Concatenated_Wellname,0)))</f>
        <v>68</v>
      </c>
      <c r="H175" s="526"/>
      <c r="I175" s="443">
        <f ca="1">RigScheduleTest!$AV$15</f>
        <v>42698</v>
      </c>
      <c r="J175" s="443">
        <f ca="1">RigScheduleTest!$AW$15</f>
        <v>42761</v>
      </c>
      <c r="K175" s="574"/>
      <c r="L175" s="546"/>
      <c r="M175" s="544"/>
      <c r="N175" s="545"/>
      <c r="O175" s="545"/>
      <c r="P175" s="551"/>
    </row>
    <row r="176" spans="1:16" x14ac:dyDescent="0.25">
      <c r="A176" s="442" t="str">
        <f>RigScheduleTest!$B$15</f>
        <v>SP-266</v>
      </c>
      <c r="B176" s="442" t="str">
        <f ca="1">RigScheduleTest!$AY$15</f>
        <v>RA37-RA-MA-Prod-NW-HZ-SLB</v>
      </c>
      <c r="C176" s="421" t="str">
        <f ca="1">IF(INDEX(Well_Data_NK_Upcoming!$G$2:$G$996,MATCH('Rig_Schedule_View (2)'!B176,Well_Data_NK_Upcoming!Concatenated_Wellname,0))=0,"",INDEX(Well_Data_NK_Upcoming!$G$2:$G$996,MATCH('Rig_Schedule_View (2)'!B176,Well_Data_NK_Upcoming!Concatenated_Wellname,0)))</f>
        <v>MA</v>
      </c>
      <c r="D176" s="421" t="str">
        <f ca="1">IF(INDEX(Well_Data_NK_Upcoming!$K$2:$K$996,MATCH('Rig_Schedule_View (2)'!B176,Well_Data_NK_Upcoming!Concatenated_Wellname,0))=0,"",INDEX(Well_Data_NK_Upcoming!$K$2:$K$996,MATCH('Rig_Schedule_View (2)'!B176,Well_Data_NK_Upcoming!Concatenated_Wellname,0)))</f>
        <v>NW</v>
      </c>
      <c r="E176" s="421" t="str">
        <f ca="1">IF(INDEX(Well_Data_NK_Upcoming!$J$2:$J$996,MATCH('Rig_Schedule_View (2)'!B176,Well_Data_NK_Upcoming!Concatenated_Wellname,0))=0,"",INDEX(Well_Data_NK_Upcoming!$J$2:$J$996,MATCH('Rig_Schedule_View (2)'!B176,Well_Data_NK_Upcoming!Concatenated_Wellname,0)))</f>
        <v>Prod</v>
      </c>
      <c r="F176" s="421" t="str">
        <f ca="1">IF(INDEX(Well_Data_NK_Upcoming!$L$2:$L$996,MATCH('Rig_Schedule_View (2)'!B176,Well_Data_NK_Upcoming!Concatenated_Wellname,0))=0,"",INDEX(Well_Data_NK_Upcoming!$L$2:$L$996,MATCH('Rig_Schedule_View (2)'!B176,Well_Data_NK_Upcoming!Concatenated_Wellname,0)))</f>
        <v>HZ</v>
      </c>
      <c r="G176" s="421">
        <f ca="1">IF(INDEX(Well_Data_NK_Upcoming!$R$2:$R$996,MATCH('Rig_Schedule_View (2)'!B176,Well_Data_NK_Upcoming!Concatenated_Wellname,0))=0,"",INDEX(Well_Data_NK_Upcoming!$R$2:$R$996,MATCH('Rig_Schedule_View (2)'!B176,Well_Data_NK_Upcoming!Concatenated_Wellname,0)))</f>
        <v>75</v>
      </c>
      <c r="H176" s="526"/>
      <c r="I176" s="443">
        <f ca="1">RigScheduleTest!$BB$15</f>
        <v>42766</v>
      </c>
      <c r="J176" s="443">
        <f ca="1">RigScheduleTest!$BC$15</f>
        <v>42836</v>
      </c>
      <c r="K176" s="574"/>
      <c r="L176" s="546"/>
      <c r="M176" s="544"/>
      <c r="N176" s="545"/>
      <c r="O176" s="545"/>
      <c r="P176" s="551"/>
    </row>
    <row r="177" spans="1:16" x14ac:dyDescent="0.25">
      <c r="A177" s="442" t="str">
        <f>RigScheduleTest!$B$15</f>
        <v>SP-266</v>
      </c>
      <c r="B177" s="442" t="str">
        <f ca="1">RigScheduleTest!$BE$15</f>
        <v>RA42-RA-MA-Prod-ST-SL-SLB</v>
      </c>
      <c r="C177" s="421" t="str">
        <f ca="1">IF(INDEX(Well_Data_NK_Upcoming!$G$2:$G$996,MATCH('Rig_Schedule_View (2)'!B177,Well_Data_NK_Upcoming!Concatenated_Wellname,0))=0,"",INDEX(Well_Data_NK_Upcoming!$G$2:$G$996,MATCH('Rig_Schedule_View (2)'!B177,Well_Data_NK_Upcoming!Concatenated_Wellname,0)))</f>
        <v>MA</v>
      </c>
      <c r="D177" s="421" t="str">
        <f ca="1">IF(INDEX(Well_Data_NK_Upcoming!$K$2:$K$996,MATCH('Rig_Schedule_View (2)'!B177,Well_Data_NK_Upcoming!Concatenated_Wellname,0))=0,"",INDEX(Well_Data_NK_Upcoming!$K$2:$K$996,MATCH('Rig_Schedule_View (2)'!B177,Well_Data_NK_Upcoming!Concatenated_Wellname,0)))</f>
        <v>ST</v>
      </c>
      <c r="E177" s="421" t="str">
        <f ca="1">IF(INDEX(Well_Data_NK_Upcoming!$J$2:$J$996,MATCH('Rig_Schedule_View (2)'!B177,Well_Data_NK_Upcoming!Concatenated_Wellname,0))=0,"",INDEX(Well_Data_NK_Upcoming!$J$2:$J$996,MATCH('Rig_Schedule_View (2)'!B177,Well_Data_NK_Upcoming!Concatenated_Wellname,0)))</f>
        <v>Prod</v>
      </c>
      <c r="F177" s="421" t="str">
        <f ca="1">IF(INDEX(Well_Data_NK_Upcoming!$L$2:$L$996,MATCH('Rig_Schedule_View (2)'!B177,Well_Data_NK_Upcoming!Concatenated_Wellname,0))=0,"",INDEX(Well_Data_NK_Upcoming!$L$2:$L$996,MATCH('Rig_Schedule_View (2)'!B177,Well_Data_NK_Upcoming!Concatenated_Wellname,0)))</f>
        <v>SL</v>
      </c>
      <c r="G177" s="421">
        <f ca="1">IF(INDEX(Well_Data_NK_Upcoming!$R$2:$R$996,MATCH('Rig_Schedule_View (2)'!B177,Well_Data_NK_Upcoming!Concatenated_Wellname,0))=0,"",INDEX(Well_Data_NK_Upcoming!$R$2:$R$996,MATCH('Rig_Schedule_View (2)'!B177,Well_Data_NK_Upcoming!Concatenated_Wellname,0)))</f>
        <v>61</v>
      </c>
      <c r="H177" s="526"/>
      <c r="I177" s="443">
        <f ca="1">RigScheduleTest!$BH$15</f>
        <v>42841</v>
      </c>
      <c r="J177" s="443">
        <f ca="1">RigScheduleTest!$BI$15</f>
        <v>42897</v>
      </c>
      <c r="K177" s="574"/>
      <c r="L177" s="546"/>
      <c r="M177" s="544"/>
      <c r="N177" s="545"/>
      <c r="O177" s="545"/>
      <c r="P177" s="551"/>
    </row>
    <row r="178" spans="1:16" x14ac:dyDescent="0.25">
      <c r="A178" s="442" t="str">
        <f>RigScheduleTest!$B$15</f>
        <v>SP-266</v>
      </c>
      <c r="B178" s="442" t="str">
        <f ca="1">RigScheduleTest!$BK$15</f>
        <v/>
      </c>
      <c r="C178" s="421" t="str">
        <f ca="1">IF(INDEX(Well_Data_NK_Upcoming!$G$2:$G$996,MATCH('Rig_Schedule_View (2)'!B178,Well_Data_NK_Upcoming!Concatenated_Wellname,0))=0,"",INDEX(Well_Data_NK_Upcoming!$G$2:$G$996,MATCH('Rig_Schedule_View (2)'!B178,Well_Data_NK_Upcoming!Concatenated_Wellname,0)))</f>
        <v/>
      </c>
      <c r="D178" s="421" t="str">
        <f ca="1">IF(INDEX(Well_Data_NK_Upcoming!$K$2:$K$996,MATCH('Rig_Schedule_View (2)'!B178,Well_Data_NK_Upcoming!Concatenated_Wellname,0))=0,"",INDEX(Well_Data_NK_Upcoming!$K$2:$K$996,MATCH('Rig_Schedule_View (2)'!B178,Well_Data_NK_Upcoming!Concatenated_Wellname,0)))</f>
        <v/>
      </c>
      <c r="E178" s="421" t="str">
        <f ca="1">IF(INDEX(Well_Data_NK_Upcoming!$J$2:$J$996,MATCH('Rig_Schedule_View (2)'!B178,Well_Data_NK_Upcoming!Concatenated_Wellname,0))=0,"",INDEX(Well_Data_NK_Upcoming!$J$2:$J$996,MATCH('Rig_Schedule_View (2)'!B178,Well_Data_NK_Upcoming!Concatenated_Wellname,0)))</f>
        <v/>
      </c>
      <c r="F178" s="421" t="str">
        <f ca="1">IF(INDEX(Well_Data_NK_Upcoming!$L$2:$L$996,MATCH('Rig_Schedule_View (2)'!B178,Well_Data_NK_Upcoming!Concatenated_Wellname,0))=0,"",INDEX(Well_Data_NK_Upcoming!$L$2:$L$996,MATCH('Rig_Schedule_View (2)'!B178,Well_Data_NK_Upcoming!Concatenated_Wellname,0)))</f>
        <v/>
      </c>
      <c r="G178" s="421" t="str">
        <f ca="1">IF(INDEX(Well_Data_NK_Upcoming!$R$2:$R$996,MATCH('Rig_Schedule_View (2)'!B178,Well_Data_NK_Upcoming!Concatenated_Wellname,0))=0,"",INDEX(Well_Data_NK_Upcoming!$R$2:$R$996,MATCH('Rig_Schedule_View (2)'!B178,Well_Data_NK_Upcoming!Concatenated_Wellname,0)))</f>
        <v/>
      </c>
      <c r="H178" s="526"/>
      <c r="I178" s="443" t="str">
        <f ca="1">RigScheduleTest!$BN$15</f>
        <v/>
      </c>
      <c r="J178" s="443" t="str">
        <f ca="1">RigScheduleTest!$BO$15</f>
        <v/>
      </c>
      <c r="K178" s="574"/>
      <c r="L178" s="546"/>
      <c r="M178" s="544"/>
      <c r="N178" s="545"/>
      <c r="O178" s="545"/>
      <c r="P178" s="551"/>
    </row>
    <row r="179" spans="1:16" x14ac:dyDescent="0.25">
      <c r="A179" s="437" t="str">
        <f>RigScheduleTest!$B$1</f>
        <v>RIG</v>
      </c>
      <c r="B179" s="437" t="str">
        <f>$K$1</f>
        <v>Development Drilling</v>
      </c>
      <c r="C179" s="437" t="s">
        <v>1831</v>
      </c>
      <c r="D179" s="437" t="s">
        <v>867</v>
      </c>
      <c r="E179" s="437" t="s">
        <v>8</v>
      </c>
      <c r="F179" s="437" t="s">
        <v>2</v>
      </c>
      <c r="G179" s="437" t="s">
        <v>1513</v>
      </c>
      <c r="H179" s="438" t="str">
        <f>$K$3</f>
        <v>Rig Deployment Meeting</v>
      </c>
      <c r="I179" s="439" t="str">
        <f>$K$5</f>
        <v>Start</v>
      </c>
      <c r="J179" s="439" t="str">
        <f>$K$6</f>
        <v>End</v>
      </c>
      <c r="K179" s="444" t="s">
        <v>1068</v>
      </c>
      <c r="L179" s="444" t="s">
        <v>1577</v>
      </c>
      <c r="M179" s="496" t="s">
        <v>1934</v>
      </c>
      <c r="N179" s="504" t="s">
        <v>1940</v>
      </c>
      <c r="O179" s="504" t="s">
        <v>1941</v>
      </c>
      <c r="P179" s="502"/>
    </row>
    <row r="180" spans="1:16" x14ac:dyDescent="0.25">
      <c r="A180" s="442" t="str">
        <f>RigScheduleTest!$B$16</f>
        <v>SP-267</v>
      </c>
      <c r="B180" s="421" t="str">
        <f ca="1">RigScheduleTest!$D$16</f>
        <v>RA-0580-RA-LB-Prod-NW-SL-WFD</v>
      </c>
      <c r="C180" s="421" t="str">
        <f ca="1">IF(INDEX(Well_Data_NK_Upcoming!$G$2:$G$996,MATCH('Rig_Schedule_View (2)'!B180,Well_Data_NK_Upcoming!Concatenated_Wellname,0))=0,"",INDEX(Well_Data_NK_Upcoming!$G$2:$G$996,MATCH('Rig_Schedule_View (2)'!B180,Well_Data_NK_Upcoming!Concatenated_Wellname,0)))</f>
        <v>LB</v>
      </c>
      <c r="D180" s="421" t="str">
        <f ca="1">IF(INDEX(Well_Data_NK_Upcoming!$K$2:$K$996,MATCH('Rig_Schedule_View (2)'!B180,Well_Data_NK_Upcoming!Concatenated_Wellname,0))=0,"",INDEX(Well_Data_NK_Upcoming!$K$2:$K$996,MATCH('Rig_Schedule_View (2)'!B180,Well_Data_NK_Upcoming!Concatenated_Wellname,0)))</f>
        <v>NW</v>
      </c>
      <c r="E180" s="421" t="str">
        <f ca="1">IF(INDEX(Well_Data_NK_Upcoming!$J$2:$J$996,MATCH('Rig_Schedule_View (2)'!B180,Well_Data_NK_Upcoming!Concatenated_Wellname,0))=0,"",INDEX(Well_Data_NK_Upcoming!$J$2:$J$996,MATCH('Rig_Schedule_View (2)'!B180,Well_Data_NK_Upcoming!Concatenated_Wellname,0)))</f>
        <v>Prod</v>
      </c>
      <c r="F180" s="421" t="str">
        <f ca="1">IF(INDEX(Well_Data_NK_Upcoming!$L$2:$L$996,MATCH('Rig_Schedule_View (2)'!B180,Well_Data_NK_Upcoming!Concatenated_Wellname,0))=0,"",INDEX(Well_Data_NK_Upcoming!$L$2:$L$996,MATCH('Rig_Schedule_View (2)'!B180,Well_Data_NK_Upcoming!Concatenated_Wellname,0)))</f>
        <v>SL</v>
      </c>
      <c r="G180" s="421">
        <f ca="1">IF(INDEX(Well_Data_NK_Upcoming!$R$2:$R$996,MATCH('Rig_Schedule_View (2)'!B180,Well_Data_NK_Upcoming!Concatenated_Wellname,0))=0,"",INDEX(Well_Data_NK_Upcoming!$R$2:$R$996,MATCH('Rig_Schedule_View (2)'!B180,Well_Data_NK_Upcoming!Concatenated_Wellname,0)))</f>
        <v>75</v>
      </c>
      <c r="H180" s="526">
        <f>RigScheduleTest!$F$16</f>
        <v>42233</v>
      </c>
      <c r="I180" s="459">
        <f ca="1">IF(INDEX(Well_Data_NK_Upcoming!$O$2:$O$996,MATCH('Rig_Schedule_View (2)'!B180,Well_Data_NK_Upcoming!Concatenated_Wellname,0))=0,"",INDEX(Well_Data_NK_Upcoming!$O$2:$O$996,MATCH('Rig_Schedule_View (2)'!B180,Well_Data_NK_Upcoming!Concatenated_Wellname,0)))</f>
        <v>42205.5625</v>
      </c>
      <c r="J180" s="446">
        <f ca="1">RigScheduleTest!$H$16</f>
        <v>42247</v>
      </c>
      <c r="K180" s="574" t="s">
        <v>1917</v>
      </c>
      <c r="L180" s="543"/>
      <c r="M180" s="544">
        <v>14</v>
      </c>
      <c r="N180" s="545"/>
      <c r="O180" s="545"/>
      <c r="P180" s="551"/>
    </row>
    <row r="181" spans="1:16" x14ac:dyDescent="0.25">
      <c r="A181" s="442" t="str">
        <f>RigScheduleTest!$B$16</f>
        <v>SP-267</v>
      </c>
      <c r="B181" s="441" t="str">
        <f ca="1">RigScheduleTest!$I$16</f>
        <v>SA-0592-SA-LB-Prod-NW-SL-WFD</v>
      </c>
      <c r="C181" s="421" t="str">
        <f ca="1">IF(INDEX(Well_Data_NK_Upcoming!$G$2:$G$996,MATCH('Rig_Schedule_View (2)'!B181,Well_Data_NK_Upcoming!Concatenated_Wellname,0))=0,"",INDEX(Well_Data_NK_Upcoming!$G$2:$G$996,MATCH('Rig_Schedule_View (2)'!B181,Well_Data_NK_Upcoming!Concatenated_Wellname,0)))</f>
        <v>LB</v>
      </c>
      <c r="D181" s="421" t="str">
        <f ca="1">IF(INDEX(Well_Data_NK_Upcoming!$K$2:$K$996,MATCH('Rig_Schedule_View (2)'!B181,Well_Data_NK_Upcoming!Concatenated_Wellname,0))=0,"",INDEX(Well_Data_NK_Upcoming!$K$2:$K$996,MATCH('Rig_Schedule_View (2)'!B181,Well_Data_NK_Upcoming!Concatenated_Wellname,0)))</f>
        <v>NW</v>
      </c>
      <c r="E181" s="421" t="str">
        <f ca="1">IF(INDEX(Well_Data_NK_Upcoming!$J$2:$J$996,MATCH('Rig_Schedule_View (2)'!B181,Well_Data_NK_Upcoming!Concatenated_Wellname,0))=0,"",INDEX(Well_Data_NK_Upcoming!$J$2:$J$996,MATCH('Rig_Schedule_View (2)'!B181,Well_Data_NK_Upcoming!Concatenated_Wellname,0)))</f>
        <v>Prod</v>
      </c>
      <c r="F181" s="421" t="str">
        <f ca="1">IF(INDEX(Well_Data_NK_Upcoming!$L$2:$L$996,MATCH('Rig_Schedule_View (2)'!B181,Well_Data_NK_Upcoming!Concatenated_Wellname,0))=0,"",INDEX(Well_Data_NK_Upcoming!$L$2:$L$996,MATCH('Rig_Schedule_View (2)'!B181,Well_Data_NK_Upcoming!Concatenated_Wellname,0)))</f>
        <v>SL</v>
      </c>
      <c r="G181" s="421">
        <f ca="1">IF(INDEX(Well_Data_NK_Upcoming!$R$2:$R$996,MATCH('Rig_Schedule_View (2)'!B181,Well_Data_NK_Upcoming!Concatenated_Wellname,0))=0,"",INDEX(Well_Data_NK_Upcoming!$R$2:$R$996,MATCH('Rig_Schedule_View (2)'!B181,Well_Data_NK_Upcoming!Concatenated_Wellname,0)))</f>
        <v>75</v>
      </c>
      <c r="H181" s="526"/>
      <c r="I181" s="440">
        <f ca="1">RigScheduleTest!$L$16</f>
        <v>42252</v>
      </c>
      <c r="J181" s="440">
        <f ca="1">RigScheduleTest!$M$16</f>
        <v>42322</v>
      </c>
      <c r="K181" s="574"/>
      <c r="L181" s="545" t="s">
        <v>2225</v>
      </c>
      <c r="M181" s="544"/>
      <c r="N181" s="545"/>
      <c r="O181" s="545" t="s">
        <v>2224</v>
      </c>
      <c r="P181" s="551"/>
    </row>
    <row r="182" spans="1:16" x14ac:dyDescent="0.25">
      <c r="A182" s="442" t="str">
        <f>RigScheduleTest!$B$16</f>
        <v>SP-267</v>
      </c>
      <c r="B182" s="441" t="str">
        <f ca="1">RigScheduleTest!$O$16</f>
        <v>SA-0558-SA-MA-Inj-NW-V</v>
      </c>
      <c r="C182" s="421" t="str">
        <f ca="1">IF(INDEX(Well_Data_NK_Upcoming!$G$2:$G$996,MATCH('Rig_Schedule_View (2)'!B182,Well_Data_NK_Upcoming!Concatenated_Wellname,0))=0,"",INDEX(Well_Data_NK_Upcoming!$G$2:$G$996,MATCH('Rig_Schedule_View (2)'!B182,Well_Data_NK_Upcoming!Concatenated_Wellname,0)))</f>
        <v>MA</v>
      </c>
      <c r="D182" s="421" t="str">
        <f ca="1">IF(INDEX(Well_Data_NK_Upcoming!$K$2:$K$996,MATCH('Rig_Schedule_View (2)'!B182,Well_Data_NK_Upcoming!Concatenated_Wellname,0))=0,"",INDEX(Well_Data_NK_Upcoming!$K$2:$K$996,MATCH('Rig_Schedule_View (2)'!B182,Well_Data_NK_Upcoming!Concatenated_Wellname,0)))</f>
        <v>NW</v>
      </c>
      <c r="E182" s="421" t="str">
        <f ca="1">IF(INDEX(Well_Data_NK_Upcoming!$J$2:$J$996,MATCH('Rig_Schedule_View (2)'!B182,Well_Data_NK_Upcoming!Concatenated_Wellname,0))=0,"",INDEX(Well_Data_NK_Upcoming!$J$2:$J$996,MATCH('Rig_Schedule_View (2)'!B182,Well_Data_NK_Upcoming!Concatenated_Wellname,0)))</f>
        <v>Inj</v>
      </c>
      <c r="F182" s="421" t="str">
        <f ca="1">IF(INDEX(Well_Data_NK_Upcoming!$L$2:$L$996,MATCH('Rig_Schedule_View (2)'!B182,Well_Data_NK_Upcoming!Concatenated_Wellname,0))=0,"",INDEX(Well_Data_NK_Upcoming!$L$2:$L$996,MATCH('Rig_Schedule_View (2)'!B182,Well_Data_NK_Upcoming!Concatenated_Wellname,0)))</f>
        <v>V</v>
      </c>
      <c r="G182" s="421">
        <f ca="1">IF(INDEX(Well_Data_NK_Upcoming!$R$2:$R$996,MATCH('Rig_Schedule_View (2)'!B182,Well_Data_NK_Upcoming!Concatenated_Wellname,0))=0,"",INDEX(Well_Data_NK_Upcoming!$R$2:$R$996,MATCH('Rig_Schedule_View (2)'!B182,Well_Data_NK_Upcoming!Concatenated_Wellname,0)))</f>
        <v>75</v>
      </c>
      <c r="H182" s="526"/>
      <c r="I182" s="440">
        <f ca="1">RigScheduleTest!$R$16</f>
        <v>42327</v>
      </c>
      <c r="J182" s="440">
        <f ca="1">RigScheduleTest!$S$16</f>
        <v>42397</v>
      </c>
      <c r="K182" s="574"/>
      <c r="L182" s="546" t="s">
        <v>1982</v>
      </c>
      <c r="M182" s="544"/>
      <c r="N182" s="545" t="s">
        <v>2220</v>
      </c>
      <c r="O182" s="545"/>
      <c r="P182" s="551"/>
    </row>
    <row r="183" spans="1:16" x14ac:dyDescent="0.25">
      <c r="A183" s="442" t="str">
        <f>RigScheduleTest!$B$16</f>
        <v>SP-267</v>
      </c>
      <c r="B183" s="442" t="str">
        <f ca="1">RigScheduleTest!$U$16</f>
        <v>SA-0557-SA-MA-Inj-NW-V</v>
      </c>
      <c r="C183" s="421" t="str">
        <f ca="1">IF(INDEX(Well_Data_NK_Upcoming!$G$2:$G$996,MATCH('Rig_Schedule_View (2)'!B183,Well_Data_NK_Upcoming!Concatenated_Wellname,0))=0,"",INDEX(Well_Data_NK_Upcoming!$G$2:$G$996,MATCH('Rig_Schedule_View (2)'!B183,Well_Data_NK_Upcoming!Concatenated_Wellname,0)))</f>
        <v>MA</v>
      </c>
      <c r="D183" s="421" t="str">
        <f ca="1">IF(INDEX(Well_Data_NK_Upcoming!$K$2:$K$996,MATCH('Rig_Schedule_View (2)'!B183,Well_Data_NK_Upcoming!Concatenated_Wellname,0))=0,"",INDEX(Well_Data_NK_Upcoming!$K$2:$K$996,MATCH('Rig_Schedule_View (2)'!B183,Well_Data_NK_Upcoming!Concatenated_Wellname,0)))</f>
        <v>NW</v>
      </c>
      <c r="E183" s="421" t="str">
        <f ca="1">IF(INDEX(Well_Data_NK_Upcoming!$J$2:$J$996,MATCH('Rig_Schedule_View (2)'!B183,Well_Data_NK_Upcoming!Concatenated_Wellname,0))=0,"",INDEX(Well_Data_NK_Upcoming!$J$2:$J$996,MATCH('Rig_Schedule_View (2)'!B183,Well_Data_NK_Upcoming!Concatenated_Wellname,0)))</f>
        <v>Inj</v>
      </c>
      <c r="F183" s="421" t="str">
        <f ca="1">IF(INDEX(Well_Data_NK_Upcoming!$L$2:$L$996,MATCH('Rig_Schedule_View (2)'!B183,Well_Data_NK_Upcoming!Concatenated_Wellname,0))=0,"",INDEX(Well_Data_NK_Upcoming!$L$2:$L$996,MATCH('Rig_Schedule_View (2)'!B183,Well_Data_NK_Upcoming!Concatenated_Wellname,0)))</f>
        <v>V</v>
      </c>
      <c r="G183" s="421">
        <f ca="1">IF(INDEX(Well_Data_NK_Upcoming!$R$2:$R$996,MATCH('Rig_Schedule_View (2)'!B183,Well_Data_NK_Upcoming!Concatenated_Wellname,0))=0,"",INDEX(Well_Data_NK_Upcoming!$R$2:$R$996,MATCH('Rig_Schedule_View (2)'!B183,Well_Data_NK_Upcoming!Concatenated_Wellname,0)))</f>
        <v>75</v>
      </c>
      <c r="H183" s="526"/>
      <c r="I183" s="443">
        <f ca="1">RigScheduleTest!$X$16</f>
        <v>42402</v>
      </c>
      <c r="J183" s="443">
        <f ca="1">RigScheduleTest!$Y$16</f>
        <v>42472</v>
      </c>
      <c r="K183" s="574"/>
      <c r="L183" s="546" t="s">
        <v>1982</v>
      </c>
      <c r="M183" s="544"/>
      <c r="N183" s="545" t="s">
        <v>2220</v>
      </c>
      <c r="O183" s="545"/>
      <c r="P183" s="551"/>
    </row>
    <row r="184" spans="1:16" x14ac:dyDescent="0.25">
      <c r="A184" s="442" t="str">
        <f>RigScheduleTest!$B$16</f>
        <v>SP-267</v>
      </c>
      <c r="B184" s="442" t="str">
        <f ca="1">RigScheduleTest!$AA$16</f>
        <v>SA-0560-SA-MA-Inj-NW-V</v>
      </c>
      <c r="C184" s="421" t="str">
        <f ca="1">IF(INDEX(Well_Data_NK_Upcoming!$G$2:$G$996,MATCH('Rig_Schedule_View (2)'!B184,Well_Data_NK_Upcoming!Concatenated_Wellname,0))=0,"",INDEX(Well_Data_NK_Upcoming!$G$2:$G$996,MATCH('Rig_Schedule_View (2)'!B184,Well_Data_NK_Upcoming!Concatenated_Wellname,0)))</f>
        <v>MA</v>
      </c>
      <c r="D184" s="421" t="str">
        <f ca="1">IF(INDEX(Well_Data_NK_Upcoming!$K$2:$K$996,MATCH('Rig_Schedule_View (2)'!B184,Well_Data_NK_Upcoming!Concatenated_Wellname,0))=0,"",INDEX(Well_Data_NK_Upcoming!$K$2:$K$996,MATCH('Rig_Schedule_View (2)'!B184,Well_Data_NK_Upcoming!Concatenated_Wellname,0)))</f>
        <v>NW</v>
      </c>
      <c r="E184" s="421" t="str">
        <f ca="1">IF(INDEX(Well_Data_NK_Upcoming!$J$2:$J$996,MATCH('Rig_Schedule_View (2)'!B184,Well_Data_NK_Upcoming!Concatenated_Wellname,0))=0,"",INDEX(Well_Data_NK_Upcoming!$J$2:$J$996,MATCH('Rig_Schedule_View (2)'!B184,Well_Data_NK_Upcoming!Concatenated_Wellname,0)))</f>
        <v>Inj</v>
      </c>
      <c r="F184" s="421" t="str">
        <f ca="1">IF(INDEX(Well_Data_NK_Upcoming!$L$2:$L$996,MATCH('Rig_Schedule_View (2)'!B184,Well_Data_NK_Upcoming!Concatenated_Wellname,0))=0,"",INDEX(Well_Data_NK_Upcoming!$L$2:$L$996,MATCH('Rig_Schedule_View (2)'!B184,Well_Data_NK_Upcoming!Concatenated_Wellname,0)))</f>
        <v>V</v>
      </c>
      <c r="G184" s="421">
        <f ca="1">IF(INDEX(Well_Data_NK_Upcoming!$R$2:$R$996,MATCH('Rig_Schedule_View (2)'!B184,Well_Data_NK_Upcoming!Concatenated_Wellname,0))=0,"",INDEX(Well_Data_NK_Upcoming!$R$2:$R$996,MATCH('Rig_Schedule_View (2)'!B184,Well_Data_NK_Upcoming!Concatenated_Wellname,0)))</f>
        <v>75</v>
      </c>
      <c r="H184" s="526"/>
      <c r="I184" s="443">
        <f ca="1">RigScheduleTest!$AD$16</f>
        <v>42477</v>
      </c>
      <c r="J184" s="443">
        <f ca="1">RigScheduleTest!$AE$16</f>
        <v>42547</v>
      </c>
      <c r="K184" s="574"/>
      <c r="L184" s="546" t="s">
        <v>1982</v>
      </c>
      <c r="M184" s="544"/>
      <c r="N184" s="545" t="s">
        <v>2220</v>
      </c>
      <c r="O184" s="545"/>
      <c r="P184" s="551"/>
    </row>
    <row r="185" spans="1:16" x14ac:dyDescent="0.25">
      <c r="A185" s="442" t="str">
        <f>RigScheduleTest!$B$16</f>
        <v>SP-267</v>
      </c>
      <c r="B185" s="442" t="str">
        <f ca="1">RigScheduleTest!$AG$16</f>
        <v>RA23-RA-MA-Inj-ST-SLB</v>
      </c>
      <c r="C185" s="421" t="str">
        <f ca="1">IF(INDEX(Well_Data_NK_Upcoming!$G$2:$G$996,MATCH('Rig_Schedule_View (2)'!B185,Well_Data_NK_Upcoming!Concatenated_Wellname,0))=0,"",INDEX(Well_Data_NK_Upcoming!$G$2:$G$996,MATCH('Rig_Schedule_View (2)'!B185,Well_Data_NK_Upcoming!Concatenated_Wellname,0)))</f>
        <v>MA</v>
      </c>
      <c r="D185" s="421" t="str">
        <f ca="1">IF(INDEX(Well_Data_NK_Upcoming!$K$2:$K$996,MATCH('Rig_Schedule_View (2)'!B185,Well_Data_NK_Upcoming!Concatenated_Wellname,0))=0,"",INDEX(Well_Data_NK_Upcoming!$K$2:$K$996,MATCH('Rig_Schedule_View (2)'!B185,Well_Data_NK_Upcoming!Concatenated_Wellname,0)))</f>
        <v>ST</v>
      </c>
      <c r="E185" s="421" t="str">
        <f ca="1">IF(INDEX(Well_Data_NK_Upcoming!$J$2:$J$996,MATCH('Rig_Schedule_View (2)'!B185,Well_Data_NK_Upcoming!Concatenated_Wellname,0))=0,"",INDEX(Well_Data_NK_Upcoming!$J$2:$J$996,MATCH('Rig_Schedule_View (2)'!B185,Well_Data_NK_Upcoming!Concatenated_Wellname,0)))</f>
        <v>Inj</v>
      </c>
      <c r="F185" s="421" t="str">
        <f ca="1">IF(INDEX(Well_Data_NK_Upcoming!$L$2:$L$996,MATCH('Rig_Schedule_View (2)'!B185,Well_Data_NK_Upcoming!Concatenated_Wellname,0))=0,"",INDEX(Well_Data_NK_Upcoming!$L$2:$L$996,MATCH('Rig_Schedule_View (2)'!B185,Well_Data_NK_Upcoming!Concatenated_Wellname,0)))</f>
        <v/>
      </c>
      <c r="G185" s="421">
        <f ca="1">IF(INDEX(Well_Data_NK_Upcoming!$R$2:$R$996,MATCH('Rig_Schedule_View (2)'!B185,Well_Data_NK_Upcoming!Concatenated_Wellname,0))=0,"",INDEX(Well_Data_NK_Upcoming!$R$2:$R$996,MATCH('Rig_Schedule_View (2)'!B185,Well_Data_NK_Upcoming!Concatenated_Wellname,0)))</f>
        <v>54</v>
      </c>
      <c r="H185" s="526"/>
      <c r="I185" s="443">
        <f ca="1">RigScheduleTest!$AJ$16</f>
        <v>42552</v>
      </c>
      <c r="J185" s="443">
        <f ca="1">RigScheduleTest!$AK$16</f>
        <v>42601</v>
      </c>
      <c r="K185" s="574"/>
      <c r="L185" s="546"/>
      <c r="M185" s="544"/>
      <c r="N185" s="545"/>
      <c r="O185" s="545"/>
      <c r="P185" s="551"/>
    </row>
    <row r="186" spans="1:16" x14ac:dyDescent="0.25">
      <c r="A186" s="442" t="str">
        <f>RigScheduleTest!$B$16</f>
        <v>SP-267</v>
      </c>
      <c r="B186" s="442" t="str">
        <f ca="1">RigScheduleTest!$AM$16</f>
        <v>SA-0563-SA-UB-Inj-NW-V</v>
      </c>
      <c r="C186" s="421" t="str">
        <f ca="1">IF(INDEX(Well_Data_NK_Upcoming!$G$2:$G$996,MATCH('Rig_Schedule_View (2)'!B186,Well_Data_NK_Upcoming!Concatenated_Wellname,0))=0,"",INDEX(Well_Data_NK_Upcoming!$G$2:$G$996,MATCH('Rig_Schedule_View (2)'!B186,Well_Data_NK_Upcoming!Concatenated_Wellname,0)))</f>
        <v>UB</v>
      </c>
      <c r="D186" s="421" t="str">
        <f ca="1">IF(INDEX(Well_Data_NK_Upcoming!$K$2:$K$996,MATCH('Rig_Schedule_View (2)'!B186,Well_Data_NK_Upcoming!Concatenated_Wellname,0))=0,"",INDEX(Well_Data_NK_Upcoming!$K$2:$K$996,MATCH('Rig_Schedule_View (2)'!B186,Well_Data_NK_Upcoming!Concatenated_Wellname,0)))</f>
        <v>NW</v>
      </c>
      <c r="E186" s="421" t="str">
        <f ca="1">IF(INDEX(Well_Data_NK_Upcoming!$J$2:$J$996,MATCH('Rig_Schedule_View (2)'!B186,Well_Data_NK_Upcoming!Concatenated_Wellname,0))=0,"",INDEX(Well_Data_NK_Upcoming!$J$2:$J$996,MATCH('Rig_Schedule_View (2)'!B186,Well_Data_NK_Upcoming!Concatenated_Wellname,0)))</f>
        <v>Inj</v>
      </c>
      <c r="F186" s="421" t="str">
        <f ca="1">IF(INDEX(Well_Data_NK_Upcoming!$L$2:$L$996,MATCH('Rig_Schedule_View (2)'!B186,Well_Data_NK_Upcoming!Concatenated_Wellname,0))=0,"",INDEX(Well_Data_NK_Upcoming!$L$2:$L$996,MATCH('Rig_Schedule_View (2)'!B186,Well_Data_NK_Upcoming!Concatenated_Wellname,0)))</f>
        <v>V</v>
      </c>
      <c r="G186" s="421">
        <f ca="1">IF(INDEX(Well_Data_NK_Upcoming!$R$2:$R$996,MATCH('Rig_Schedule_View (2)'!B186,Well_Data_NK_Upcoming!Concatenated_Wellname,0))=0,"",INDEX(Well_Data_NK_Upcoming!$R$2:$R$996,MATCH('Rig_Schedule_View (2)'!B186,Well_Data_NK_Upcoming!Concatenated_Wellname,0)))</f>
        <v>75</v>
      </c>
      <c r="H186" s="526"/>
      <c r="I186" s="443">
        <f ca="1">RigScheduleTest!$AP$16</f>
        <v>42606</v>
      </c>
      <c r="J186" s="443">
        <f ca="1">RigScheduleTest!$AQ$16</f>
        <v>42676</v>
      </c>
      <c r="K186" s="574"/>
      <c r="L186" s="546"/>
      <c r="M186" s="544"/>
      <c r="N186" s="545"/>
      <c r="O186" s="545"/>
      <c r="P186" s="551"/>
    </row>
    <row r="187" spans="1:16" x14ac:dyDescent="0.25">
      <c r="A187" s="442" t="str">
        <f>RigScheduleTest!$B$16</f>
        <v>SP-267</v>
      </c>
      <c r="B187" s="442" t="str">
        <f ca="1">RigScheduleTest!$AS$16</f>
        <v>SA57-SA-MA-Prod-NW-HZ</v>
      </c>
      <c r="C187" s="421" t="str">
        <f ca="1">IF(INDEX(Well_Data_NK_Upcoming!$G$2:$G$996,MATCH('Rig_Schedule_View (2)'!B187,Well_Data_NK_Upcoming!Concatenated_Wellname,0))=0,"",INDEX(Well_Data_NK_Upcoming!$G$2:$G$996,MATCH('Rig_Schedule_View (2)'!B187,Well_Data_NK_Upcoming!Concatenated_Wellname,0)))</f>
        <v>MA</v>
      </c>
      <c r="D187" s="421" t="str">
        <f ca="1">IF(INDEX(Well_Data_NK_Upcoming!$K$2:$K$996,MATCH('Rig_Schedule_View (2)'!B187,Well_Data_NK_Upcoming!Concatenated_Wellname,0))=0,"",INDEX(Well_Data_NK_Upcoming!$K$2:$K$996,MATCH('Rig_Schedule_View (2)'!B187,Well_Data_NK_Upcoming!Concatenated_Wellname,0)))</f>
        <v>NW</v>
      </c>
      <c r="E187" s="421" t="str">
        <f ca="1">IF(INDEX(Well_Data_NK_Upcoming!$J$2:$J$996,MATCH('Rig_Schedule_View (2)'!B187,Well_Data_NK_Upcoming!Concatenated_Wellname,0))=0,"",INDEX(Well_Data_NK_Upcoming!$J$2:$J$996,MATCH('Rig_Schedule_View (2)'!B187,Well_Data_NK_Upcoming!Concatenated_Wellname,0)))</f>
        <v>Prod</v>
      </c>
      <c r="F187" s="421" t="str">
        <f ca="1">IF(INDEX(Well_Data_NK_Upcoming!$L$2:$L$996,MATCH('Rig_Schedule_View (2)'!B187,Well_Data_NK_Upcoming!Concatenated_Wellname,0))=0,"",INDEX(Well_Data_NK_Upcoming!$L$2:$L$996,MATCH('Rig_Schedule_View (2)'!B187,Well_Data_NK_Upcoming!Concatenated_Wellname,0)))</f>
        <v>HZ</v>
      </c>
      <c r="G187" s="421">
        <f ca="1">IF(INDEX(Well_Data_NK_Upcoming!$R$2:$R$996,MATCH('Rig_Schedule_View (2)'!B187,Well_Data_NK_Upcoming!Concatenated_Wellname,0))=0,"",INDEX(Well_Data_NK_Upcoming!$R$2:$R$996,MATCH('Rig_Schedule_View (2)'!B187,Well_Data_NK_Upcoming!Concatenated_Wellname,0)))</f>
        <v>75</v>
      </c>
      <c r="H187" s="526"/>
      <c r="I187" s="443">
        <f ca="1">RigScheduleTest!$AV$16</f>
        <v>42681</v>
      </c>
      <c r="J187" s="443">
        <f ca="1">RigScheduleTest!$AW$16</f>
        <v>42751</v>
      </c>
      <c r="K187" s="574"/>
      <c r="L187" s="546"/>
      <c r="M187" s="544"/>
      <c r="N187" s="545"/>
      <c r="O187" s="545"/>
      <c r="P187" s="551"/>
    </row>
    <row r="188" spans="1:16" x14ac:dyDescent="0.25">
      <c r="A188" s="442" t="str">
        <f>RigScheduleTest!$B$16</f>
        <v>SP-267</v>
      </c>
      <c r="B188" s="442" t="str">
        <f ca="1">RigScheduleTest!$AY$16</f>
        <v>RA43-RA-MA-Inj-NW-HZ-SLB</v>
      </c>
      <c r="C188" s="421" t="str">
        <f ca="1">IF(INDEX(Well_Data_NK_Upcoming!$G$2:$G$996,MATCH('Rig_Schedule_View (2)'!B188,Well_Data_NK_Upcoming!Concatenated_Wellname,0))=0,"",INDEX(Well_Data_NK_Upcoming!$G$2:$G$996,MATCH('Rig_Schedule_View (2)'!B188,Well_Data_NK_Upcoming!Concatenated_Wellname,0)))</f>
        <v>MA</v>
      </c>
      <c r="D188" s="421" t="str">
        <f ca="1">IF(INDEX(Well_Data_NK_Upcoming!$K$2:$K$996,MATCH('Rig_Schedule_View (2)'!B188,Well_Data_NK_Upcoming!Concatenated_Wellname,0))=0,"",INDEX(Well_Data_NK_Upcoming!$K$2:$K$996,MATCH('Rig_Schedule_View (2)'!B188,Well_Data_NK_Upcoming!Concatenated_Wellname,0)))</f>
        <v>NW</v>
      </c>
      <c r="E188" s="421" t="str">
        <f ca="1">IF(INDEX(Well_Data_NK_Upcoming!$J$2:$J$996,MATCH('Rig_Schedule_View (2)'!B188,Well_Data_NK_Upcoming!Concatenated_Wellname,0))=0,"",INDEX(Well_Data_NK_Upcoming!$J$2:$J$996,MATCH('Rig_Schedule_View (2)'!B188,Well_Data_NK_Upcoming!Concatenated_Wellname,0)))</f>
        <v>Inj</v>
      </c>
      <c r="F188" s="421" t="str">
        <f ca="1">IF(INDEX(Well_Data_NK_Upcoming!$L$2:$L$996,MATCH('Rig_Schedule_View (2)'!B188,Well_Data_NK_Upcoming!Concatenated_Wellname,0))=0,"",INDEX(Well_Data_NK_Upcoming!$L$2:$L$996,MATCH('Rig_Schedule_View (2)'!B188,Well_Data_NK_Upcoming!Concatenated_Wellname,0)))</f>
        <v>HZ</v>
      </c>
      <c r="G188" s="421">
        <f ca="1">IF(INDEX(Well_Data_NK_Upcoming!$R$2:$R$996,MATCH('Rig_Schedule_View (2)'!B188,Well_Data_NK_Upcoming!Concatenated_Wellname,0))=0,"",INDEX(Well_Data_NK_Upcoming!$R$2:$R$996,MATCH('Rig_Schedule_View (2)'!B188,Well_Data_NK_Upcoming!Concatenated_Wellname,0)))</f>
        <v>68</v>
      </c>
      <c r="H188" s="526"/>
      <c r="I188" s="443">
        <f ca="1">RigScheduleTest!$BB$16</f>
        <v>42756</v>
      </c>
      <c r="J188" s="443">
        <f ca="1">RigScheduleTest!$BC$16</f>
        <v>42819</v>
      </c>
      <c r="K188" s="574"/>
      <c r="L188" s="546"/>
      <c r="M188" s="544"/>
      <c r="N188" s="545"/>
      <c r="O188" s="545"/>
      <c r="P188" s="551"/>
    </row>
    <row r="189" spans="1:16" x14ac:dyDescent="0.25">
      <c r="A189" s="442" t="str">
        <f>RigScheduleTest!$B$16</f>
        <v>SP-267</v>
      </c>
      <c r="B189" s="442" t="str">
        <f ca="1">RigScheduleTest!$BE$16</f>
        <v>SA62-SA-UB-Inj-NW-SL</v>
      </c>
      <c r="C189" s="421" t="str">
        <f ca="1">IF(INDEX(Well_Data_NK_Upcoming!$G$2:$G$996,MATCH('Rig_Schedule_View (2)'!B189,Well_Data_NK_Upcoming!Concatenated_Wellname,0))=0,"",INDEX(Well_Data_NK_Upcoming!$G$2:$G$996,MATCH('Rig_Schedule_View (2)'!B189,Well_Data_NK_Upcoming!Concatenated_Wellname,0)))</f>
        <v>UB</v>
      </c>
      <c r="D189" s="421" t="str">
        <f ca="1">IF(INDEX(Well_Data_NK_Upcoming!$K$2:$K$996,MATCH('Rig_Schedule_View (2)'!B189,Well_Data_NK_Upcoming!Concatenated_Wellname,0))=0,"",INDEX(Well_Data_NK_Upcoming!$K$2:$K$996,MATCH('Rig_Schedule_View (2)'!B189,Well_Data_NK_Upcoming!Concatenated_Wellname,0)))</f>
        <v>NW</v>
      </c>
      <c r="E189" s="421" t="str">
        <f ca="1">IF(INDEX(Well_Data_NK_Upcoming!$J$2:$J$996,MATCH('Rig_Schedule_View (2)'!B189,Well_Data_NK_Upcoming!Concatenated_Wellname,0))=0,"",INDEX(Well_Data_NK_Upcoming!$J$2:$J$996,MATCH('Rig_Schedule_View (2)'!B189,Well_Data_NK_Upcoming!Concatenated_Wellname,0)))</f>
        <v>Inj</v>
      </c>
      <c r="F189" s="421" t="str">
        <f ca="1">IF(INDEX(Well_Data_NK_Upcoming!$L$2:$L$996,MATCH('Rig_Schedule_View (2)'!B189,Well_Data_NK_Upcoming!Concatenated_Wellname,0))=0,"",INDEX(Well_Data_NK_Upcoming!$L$2:$L$996,MATCH('Rig_Schedule_View (2)'!B189,Well_Data_NK_Upcoming!Concatenated_Wellname,0)))</f>
        <v>SL</v>
      </c>
      <c r="G189" s="421">
        <f ca="1">IF(INDEX(Well_Data_NK_Upcoming!$R$2:$R$996,MATCH('Rig_Schedule_View (2)'!B189,Well_Data_NK_Upcoming!Concatenated_Wellname,0))=0,"",INDEX(Well_Data_NK_Upcoming!$R$2:$R$996,MATCH('Rig_Schedule_View (2)'!B189,Well_Data_NK_Upcoming!Concatenated_Wellname,0)))</f>
        <v>75</v>
      </c>
      <c r="H189" s="526"/>
      <c r="I189" s="443">
        <f ca="1">RigScheduleTest!$BH$16</f>
        <v>42824</v>
      </c>
      <c r="J189" s="443">
        <f ca="1">RigScheduleTest!$BI$16</f>
        <v>42894</v>
      </c>
      <c r="K189" s="574"/>
      <c r="L189" s="546"/>
      <c r="M189" s="544"/>
      <c r="N189" s="545"/>
      <c r="O189" s="545"/>
      <c r="P189" s="551"/>
    </row>
    <row r="190" spans="1:16" x14ac:dyDescent="0.25">
      <c r="A190" s="442" t="str">
        <f>RigScheduleTest!$B$16</f>
        <v>SP-267</v>
      </c>
      <c r="B190" s="442" t="str">
        <f ca="1">RigScheduleTest!$BK$16</f>
        <v/>
      </c>
      <c r="C190" s="421" t="str">
        <f ca="1">IF(INDEX(Well_Data_NK_Upcoming!$G$2:$G$996,MATCH('Rig_Schedule_View (2)'!B190,Well_Data_NK_Upcoming!Concatenated_Wellname,0))=0,"",INDEX(Well_Data_NK_Upcoming!$G$2:$G$996,MATCH('Rig_Schedule_View (2)'!B190,Well_Data_NK_Upcoming!Concatenated_Wellname,0)))</f>
        <v/>
      </c>
      <c r="D190" s="421" t="str">
        <f ca="1">IF(INDEX(Well_Data_NK_Upcoming!$K$2:$K$996,MATCH('Rig_Schedule_View (2)'!B190,Well_Data_NK_Upcoming!Concatenated_Wellname,0))=0,"",INDEX(Well_Data_NK_Upcoming!$K$2:$K$996,MATCH('Rig_Schedule_View (2)'!B190,Well_Data_NK_Upcoming!Concatenated_Wellname,0)))</f>
        <v/>
      </c>
      <c r="E190" s="421" t="str">
        <f ca="1">IF(INDEX(Well_Data_NK_Upcoming!$J$2:$J$996,MATCH('Rig_Schedule_View (2)'!B190,Well_Data_NK_Upcoming!Concatenated_Wellname,0))=0,"",INDEX(Well_Data_NK_Upcoming!$J$2:$J$996,MATCH('Rig_Schedule_View (2)'!B190,Well_Data_NK_Upcoming!Concatenated_Wellname,0)))</f>
        <v/>
      </c>
      <c r="F190" s="421" t="str">
        <f ca="1">IF(INDEX(Well_Data_NK_Upcoming!$L$2:$L$996,MATCH('Rig_Schedule_View (2)'!B190,Well_Data_NK_Upcoming!Concatenated_Wellname,0))=0,"",INDEX(Well_Data_NK_Upcoming!$L$2:$L$996,MATCH('Rig_Schedule_View (2)'!B190,Well_Data_NK_Upcoming!Concatenated_Wellname,0)))</f>
        <v/>
      </c>
      <c r="G190" s="421" t="str">
        <f ca="1">IF(INDEX(Well_Data_NK_Upcoming!$R$2:$R$996,MATCH('Rig_Schedule_View (2)'!B190,Well_Data_NK_Upcoming!Concatenated_Wellname,0))=0,"",INDEX(Well_Data_NK_Upcoming!$R$2:$R$996,MATCH('Rig_Schedule_View (2)'!B190,Well_Data_NK_Upcoming!Concatenated_Wellname,0)))</f>
        <v/>
      </c>
      <c r="H190" s="526"/>
      <c r="I190" s="443" t="str">
        <f ca="1">RigScheduleTest!$BN$16</f>
        <v/>
      </c>
      <c r="J190" s="443" t="str">
        <f ca="1">RigScheduleTest!$BO$16</f>
        <v/>
      </c>
      <c r="K190" s="574"/>
      <c r="L190" s="546"/>
      <c r="M190" s="544"/>
      <c r="N190" s="545"/>
      <c r="O190" s="545"/>
      <c r="P190" s="551"/>
    </row>
    <row r="191" spans="1:16" x14ac:dyDescent="0.25">
      <c r="A191" s="437" t="str">
        <f>RigScheduleTest!$B$1</f>
        <v>RIG</v>
      </c>
      <c r="B191" s="437" t="str">
        <f>$K$1</f>
        <v>Development Drilling</v>
      </c>
      <c r="C191" s="437" t="s">
        <v>1831</v>
      </c>
      <c r="D191" s="437" t="s">
        <v>867</v>
      </c>
      <c r="E191" s="437" t="s">
        <v>8</v>
      </c>
      <c r="F191" s="437" t="s">
        <v>2</v>
      </c>
      <c r="G191" s="437" t="s">
        <v>1513</v>
      </c>
      <c r="H191" s="438" t="str">
        <f>$K$3</f>
        <v>Rig Deployment Meeting</v>
      </c>
      <c r="I191" s="439" t="str">
        <f>$K$5</f>
        <v>Start</v>
      </c>
      <c r="J191" s="439" t="str">
        <f>$K$6</f>
        <v>End</v>
      </c>
      <c r="K191" s="444" t="s">
        <v>1068</v>
      </c>
      <c r="L191" s="444" t="s">
        <v>1577</v>
      </c>
      <c r="M191" s="496" t="s">
        <v>1934</v>
      </c>
      <c r="N191" s="504" t="s">
        <v>1940</v>
      </c>
      <c r="O191" s="504" t="s">
        <v>1941</v>
      </c>
      <c r="P191" s="502"/>
    </row>
    <row r="192" spans="1:16" x14ac:dyDescent="0.25">
      <c r="A192" s="442" t="str">
        <f>RigScheduleTest!$B$17</f>
        <v>SP-279</v>
      </c>
      <c r="B192" s="421" t="str">
        <f ca="1">RigScheduleTest!$D$17</f>
        <v>SA-0599-SA-MA-Prod-NW-HZ-HAL</v>
      </c>
      <c r="C192" s="421" t="str">
        <f ca="1">IF(INDEX(Well_Data_NK_Upcoming!$G$2:$G$996,MATCH('Rig_Schedule_View (2)'!B192,Well_Data_NK_Upcoming!Concatenated_Wellname,0))=0,"",INDEX(Well_Data_NK_Upcoming!$G$2:$G$996,MATCH('Rig_Schedule_View (2)'!B192,Well_Data_NK_Upcoming!Concatenated_Wellname,0)))</f>
        <v>MA</v>
      </c>
      <c r="D192" s="421" t="str">
        <f ca="1">IF(INDEX(Well_Data_NK_Upcoming!$K$2:$K$996,MATCH('Rig_Schedule_View (2)'!B192,Well_Data_NK_Upcoming!Concatenated_Wellname,0))=0,"",INDEX(Well_Data_NK_Upcoming!$K$2:$K$996,MATCH('Rig_Schedule_View (2)'!B192,Well_Data_NK_Upcoming!Concatenated_Wellname,0)))</f>
        <v>NW</v>
      </c>
      <c r="E192" s="421" t="str">
        <f ca="1">IF(INDEX(Well_Data_NK_Upcoming!$J$2:$J$996,MATCH('Rig_Schedule_View (2)'!B192,Well_Data_NK_Upcoming!Concatenated_Wellname,0))=0,"",INDEX(Well_Data_NK_Upcoming!$J$2:$J$996,MATCH('Rig_Schedule_View (2)'!B192,Well_Data_NK_Upcoming!Concatenated_Wellname,0)))</f>
        <v>Prod</v>
      </c>
      <c r="F192" s="421" t="str">
        <f ca="1">IF(INDEX(Well_Data_NK_Upcoming!$L$2:$L$996,MATCH('Rig_Schedule_View (2)'!B192,Well_Data_NK_Upcoming!Concatenated_Wellname,0))=0,"",INDEX(Well_Data_NK_Upcoming!$L$2:$L$996,MATCH('Rig_Schedule_View (2)'!B192,Well_Data_NK_Upcoming!Concatenated_Wellname,0)))</f>
        <v>HZ</v>
      </c>
      <c r="G192" s="421">
        <f ca="1">IF(INDEX(Well_Data_NK_Upcoming!$R$2:$R$996,MATCH('Rig_Schedule_View (2)'!B192,Well_Data_NK_Upcoming!Concatenated_Wellname,0))=0,"",INDEX(Well_Data_NK_Upcoming!$R$2:$R$996,MATCH('Rig_Schedule_View (2)'!B192,Well_Data_NK_Upcoming!Concatenated_Wellname,0)))</f>
        <v>75</v>
      </c>
      <c r="H192" s="526">
        <f>RigScheduleTest!$F$17</f>
        <v>42233</v>
      </c>
      <c r="I192" s="459">
        <f ca="1">IF(INDEX(Well_Data_NK_Upcoming!$O$2:$O$996,MATCH('Rig_Schedule_View (2)'!B192,Well_Data_NK_Upcoming!Concatenated_Wellname,0))=0,"",INDEX(Well_Data_NK_Upcoming!$O$2:$O$996,MATCH('Rig_Schedule_View (2)'!B192,Well_Data_NK_Upcoming!Concatenated_Wellname,0)))</f>
        <v>42201.875</v>
      </c>
      <c r="J192" s="446">
        <f ca="1">RigScheduleTest!$H$17</f>
        <v>42254</v>
      </c>
      <c r="K192" s="574" t="s">
        <v>1917</v>
      </c>
      <c r="L192" s="543"/>
      <c r="M192" s="544">
        <v>21</v>
      </c>
      <c r="N192" s="545"/>
      <c r="O192" s="545"/>
      <c r="P192" s="551"/>
    </row>
    <row r="193" spans="1:16" x14ac:dyDescent="0.25">
      <c r="A193" s="442" t="str">
        <f>RigScheduleTest!$B$17</f>
        <v>SP-279</v>
      </c>
      <c r="B193" s="441" t="str">
        <f ca="1">RigScheduleTest!$I$17</f>
        <v>RA-0192ST-RA-LB-Prod-ST-SL-BHI</v>
      </c>
      <c r="C193" s="421" t="str">
        <f ca="1">IF(INDEX(Well_Data_NK_Upcoming!$G$2:$G$996,MATCH('Rig_Schedule_View (2)'!B193,Well_Data_NK_Upcoming!Concatenated_Wellname,0))=0,"",INDEX(Well_Data_NK_Upcoming!$G$2:$G$996,MATCH('Rig_Schedule_View (2)'!B193,Well_Data_NK_Upcoming!Concatenated_Wellname,0)))</f>
        <v>LB</v>
      </c>
      <c r="D193" s="421" t="str">
        <f ca="1">IF(INDEX(Well_Data_NK_Upcoming!$K$2:$K$996,MATCH('Rig_Schedule_View (2)'!B193,Well_Data_NK_Upcoming!Concatenated_Wellname,0))=0,"",INDEX(Well_Data_NK_Upcoming!$K$2:$K$996,MATCH('Rig_Schedule_View (2)'!B193,Well_Data_NK_Upcoming!Concatenated_Wellname,0)))</f>
        <v>ST</v>
      </c>
      <c r="E193" s="421" t="str">
        <f ca="1">IF(INDEX(Well_Data_NK_Upcoming!$J$2:$J$996,MATCH('Rig_Schedule_View (2)'!B193,Well_Data_NK_Upcoming!Concatenated_Wellname,0))=0,"",INDEX(Well_Data_NK_Upcoming!$J$2:$J$996,MATCH('Rig_Schedule_View (2)'!B193,Well_Data_NK_Upcoming!Concatenated_Wellname,0)))</f>
        <v>Prod</v>
      </c>
      <c r="F193" s="421" t="str">
        <f ca="1">IF(INDEX(Well_Data_NK_Upcoming!$L$2:$L$996,MATCH('Rig_Schedule_View (2)'!B193,Well_Data_NK_Upcoming!Concatenated_Wellname,0))=0,"",INDEX(Well_Data_NK_Upcoming!$L$2:$L$996,MATCH('Rig_Schedule_View (2)'!B193,Well_Data_NK_Upcoming!Concatenated_Wellname,0)))</f>
        <v>SL</v>
      </c>
      <c r="G193" s="421">
        <f ca="1">IF(INDEX(Well_Data_NK_Upcoming!$R$2:$R$996,MATCH('Rig_Schedule_View (2)'!B193,Well_Data_NK_Upcoming!Concatenated_Wellname,0))=0,"",INDEX(Well_Data_NK_Upcoming!$R$2:$R$996,MATCH('Rig_Schedule_View (2)'!B193,Well_Data_NK_Upcoming!Concatenated_Wellname,0)))</f>
        <v>61</v>
      </c>
      <c r="H193" s="526"/>
      <c r="I193" s="440">
        <f ca="1">RigScheduleTest!$L$17</f>
        <v>42259</v>
      </c>
      <c r="J193" s="440">
        <f ca="1">RigScheduleTest!$M$17</f>
        <v>42315</v>
      </c>
      <c r="K193" s="574"/>
      <c r="L193" s="546" t="s">
        <v>2226</v>
      </c>
      <c r="M193" s="544"/>
      <c r="N193" s="545"/>
      <c r="O193" s="545"/>
      <c r="P193" s="551"/>
    </row>
    <row r="194" spans="1:16" x14ac:dyDescent="0.25">
      <c r="A194" s="442" t="str">
        <f>RigScheduleTest!$B$17</f>
        <v>SP-279</v>
      </c>
      <c r="B194" s="441" t="str">
        <f ca="1">RigScheduleTest!$O$17</f>
        <v>RA2--RA-UB-Prod-NW-HZ</v>
      </c>
      <c r="C194" s="421" t="str">
        <f ca="1">IF(INDEX(Well_Data_NK_Upcoming!$G$2:$G$996,MATCH('Rig_Schedule_View (2)'!B194,Well_Data_NK_Upcoming!Concatenated_Wellname,0))=0,"",INDEX(Well_Data_NK_Upcoming!$G$2:$G$996,MATCH('Rig_Schedule_View (2)'!B194,Well_Data_NK_Upcoming!Concatenated_Wellname,0)))</f>
        <v>UB</v>
      </c>
      <c r="D194" s="421" t="str">
        <f ca="1">IF(INDEX(Well_Data_NK_Upcoming!$K$2:$K$996,MATCH('Rig_Schedule_View (2)'!B194,Well_Data_NK_Upcoming!Concatenated_Wellname,0))=0,"",INDEX(Well_Data_NK_Upcoming!$K$2:$K$996,MATCH('Rig_Schedule_View (2)'!B194,Well_Data_NK_Upcoming!Concatenated_Wellname,0)))</f>
        <v>NW</v>
      </c>
      <c r="E194" s="421" t="str">
        <f ca="1">IF(INDEX(Well_Data_NK_Upcoming!$J$2:$J$996,MATCH('Rig_Schedule_View (2)'!B194,Well_Data_NK_Upcoming!Concatenated_Wellname,0))=0,"",INDEX(Well_Data_NK_Upcoming!$J$2:$J$996,MATCH('Rig_Schedule_View (2)'!B194,Well_Data_NK_Upcoming!Concatenated_Wellname,0)))</f>
        <v>Prod</v>
      </c>
      <c r="F194" s="421" t="str">
        <f ca="1">IF(INDEX(Well_Data_NK_Upcoming!$L$2:$L$996,MATCH('Rig_Schedule_View (2)'!B194,Well_Data_NK_Upcoming!Concatenated_Wellname,0))=0,"",INDEX(Well_Data_NK_Upcoming!$L$2:$L$996,MATCH('Rig_Schedule_View (2)'!B194,Well_Data_NK_Upcoming!Concatenated_Wellname,0)))</f>
        <v>HZ</v>
      </c>
      <c r="G194" s="421">
        <f ca="1">IF(INDEX(Well_Data_NK_Upcoming!$R$2:$R$996,MATCH('Rig_Schedule_View (2)'!B194,Well_Data_NK_Upcoming!Concatenated_Wellname,0))=0,"",INDEX(Well_Data_NK_Upcoming!$R$2:$R$996,MATCH('Rig_Schedule_View (2)'!B194,Well_Data_NK_Upcoming!Concatenated_Wellname,0)))</f>
        <v>75</v>
      </c>
      <c r="H194" s="526"/>
      <c r="I194" s="440">
        <f ca="1">RigScheduleTest!$R$17</f>
        <v>42320</v>
      </c>
      <c r="J194" s="440">
        <f ca="1">RigScheduleTest!$S$17</f>
        <v>42390</v>
      </c>
      <c r="K194" s="574" t="s">
        <v>2407</v>
      </c>
      <c r="L194" s="546" t="s">
        <v>2227</v>
      </c>
      <c r="M194" s="544"/>
      <c r="N194" s="545"/>
      <c r="O194" s="545"/>
      <c r="P194" s="551"/>
    </row>
    <row r="195" spans="1:16" x14ac:dyDescent="0.25">
      <c r="A195" s="442" t="str">
        <f>RigScheduleTest!$B$17</f>
        <v>SP-279</v>
      </c>
      <c r="B195" s="442" t="str">
        <f ca="1">RigScheduleTest!$U$17</f>
        <v>SA10-SA-UB-Inj-NW-SL</v>
      </c>
      <c r="C195" s="421" t="str">
        <f ca="1">IF(INDEX(Well_Data_NK_Upcoming!$G$2:$G$996,MATCH('Rig_Schedule_View (2)'!B195,Well_Data_NK_Upcoming!Concatenated_Wellname,0))=0,"",INDEX(Well_Data_NK_Upcoming!$G$2:$G$996,MATCH('Rig_Schedule_View (2)'!B195,Well_Data_NK_Upcoming!Concatenated_Wellname,0)))</f>
        <v>UB</v>
      </c>
      <c r="D195" s="421" t="str">
        <f ca="1">IF(INDEX(Well_Data_NK_Upcoming!$K$2:$K$996,MATCH('Rig_Schedule_View (2)'!B195,Well_Data_NK_Upcoming!Concatenated_Wellname,0))=0,"",INDEX(Well_Data_NK_Upcoming!$K$2:$K$996,MATCH('Rig_Schedule_View (2)'!B195,Well_Data_NK_Upcoming!Concatenated_Wellname,0)))</f>
        <v>NW</v>
      </c>
      <c r="E195" s="421" t="str">
        <f ca="1">IF(INDEX(Well_Data_NK_Upcoming!$J$2:$J$996,MATCH('Rig_Schedule_View (2)'!B195,Well_Data_NK_Upcoming!Concatenated_Wellname,0))=0,"",INDEX(Well_Data_NK_Upcoming!$J$2:$J$996,MATCH('Rig_Schedule_View (2)'!B195,Well_Data_NK_Upcoming!Concatenated_Wellname,0)))</f>
        <v>Inj</v>
      </c>
      <c r="F195" s="421" t="str">
        <f ca="1">IF(INDEX(Well_Data_NK_Upcoming!$L$2:$L$996,MATCH('Rig_Schedule_View (2)'!B195,Well_Data_NK_Upcoming!Concatenated_Wellname,0))=0,"",INDEX(Well_Data_NK_Upcoming!$L$2:$L$996,MATCH('Rig_Schedule_View (2)'!B195,Well_Data_NK_Upcoming!Concatenated_Wellname,0)))</f>
        <v>SL</v>
      </c>
      <c r="G195" s="421">
        <f ca="1">IF(INDEX(Well_Data_NK_Upcoming!$R$2:$R$996,MATCH('Rig_Schedule_View (2)'!B195,Well_Data_NK_Upcoming!Concatenated_Wellname,0))=0,"",INDEX(Well_Data_NK_Upcoming!$R$2:$R$996,MATCH('Rig_Schedule_View (2)'!B195,Well_Data_NK_Upcoming!Concatenated_Wellname,0)))</f>
        <v>75</v>
      </c>
      <c r="H195" s="526"/>
      <c r="I195" s="443">
        <f ca="1">RigScheduleTest!$X$17</f>
        <v>42395</v>
      </c>
      <c r="J195" s="443">
        <f ca="1">RigScheduleTest!$Y$17</f>
        <v>42465</v>
      </c>
      <c r="K195" s="574"/>
      <c r="L195" s="546"/>
      <c r="M195" s="544"/>
      <c r="N195" s="545"/>
      <c r="O195" s="545"/>
      <c r="P195" s="551"/>
    </row>
    <row r="196" spans="1:16" x14ac:dyDescent="0.25">
      <c r="A196" s="442" t="str">
        <f>RigScheduleTest!$B$17</f>
        <v>SP-279</v>
      </c>
      <c r="B196" s="442" t="str">
        <f ca="1">RigScheduleTest!$AA$17</f>
        <v/>
      </c>
      <c r="C196" s="421" t="str">
        <f ca="1">IF(INDEX(Well_Data_NK_Upcoming!$G$2:$G$996,MATCH('Rig_Schedule_View (2)'!B196,Well_Data_NK_Upcoming!Concatenated_Wellname,0))=0,"",INDEX(Well_Data_NK_Upcoming!$G$2:$G$996,MATCH('Rig_Schedule_View (2)'!B196,Well_Data_NK_Upcoming!Concatenated_Wellname,0)))</f>
        <v/>
      </c>
      <c r="D196" s="421" t="str">
        <f ca="1">IF(INDEX(Well_Data_NK_Upcoming!$K$2:$K$996,MATCH('Rig_Schedule_View (2)'!B196,Well_Data_NK_Upcoming!Concatenated_Wellname,0))=0,"",INDEX(Well_Data_NK_Upcoming!$K$2:$K$996,MATCH('Rig_Schedule_View (2)'!B196,Well_Data_NK_Upcoming!Concatenated_Wellname,0)))</f>
        <v/>
      </c>
      <c r="E196" s="421" t="str">
        <f ca="1">IF(INDEX(Well_Data_NK_Upcoming!$J$2:$J$996,MATCH('Rig_Schedule_View (2)'!B196,Well_Data_NK_Upcoming!Concatenated_Wellname,0))=0,"",INDEX(Well_Data_NK_Upcoming!$J$2:$J$996,MATCH('Rig_Schedule_View (2)'!B196,Well_Data_NK_Upcoming!Concatenated_Wellname,0)))</f>
        <v/>
      </c>
      <c r="F196" s="421" t="str">
        <f ca="1">IF(INDEX(Well_Data_NK_Upcoming!$L$2:$L$996,MATCH('Rig_Schedule_View (2)'!B196,Well_Data_NK_Upcoming!Concatenated_Wellname,0))=0,"",INDEX(Well_Data_NK_Upcoming!$L$2:$L$996,MATCH('Rig_Schedule_View (2)'!B196,Well_Data_NK_Upcoming!Concatenated_Wellname,0)))</f>
        <v/>
      </c>
      <c r="G196" s="421" t="str">
        <f ca="1">IF(INDEX(Well_Data_NK_Upcoming!$R$2:$R$996,MATCH('Rig_Schedule_View (2)'!B196,Well_Data_NK_Upcoming!Concatenated_Wellname,0))=0,"",INDEX(Well_Data_NK_Upcoming!$R$2:$R$996,MATCH('Rig_Schedule_View (2)'!B196,Well_Data_NK_Upcoming!Concatenated_Wellname,0)))</f>
        <v/>
      </c>
      <c r="H196" s="526"/>
      <c r="I196" s="443" t="str">
        <f ca="1">RigScheduleTest!$AD$17</f>
        <v/>
      </c>
      <c r="J196" s="443" t="str">
        <f ca="1">RigScheduleTest!$AE$17</f>
        <v/>
      </c>
      <c r="K196" s="574"/>
      <c r="L196" s="546"/>
      <c r="M196" s="544"/>
      <c r="N196" s="545"/>
      <c r="O196" s="545"/>
      <c r="P196" s="551"/>
    </row>
    <row r="197" spans="1:16" x14ac:dyDescent="0.25">
      <c r="A197" s="442" t="str">
        <f>RigScheduleTest!$B$17</f>
        <v>SP-279</v>
      </c>
      <c r="B197" s="442" t="str">
        <f ca="1">RigScheduleTest!$AG$17</f>
        <v/>
      </c>
      <c r="C197" s="421" t="str">
        <f ca="1">IF(INDEX(Well_Data_NK_Upcoming!$G$2:$G$996,MATCH('Rig_Schedule_View (2)'!B197,Well_Data_NK_Upcoming!Concatenated_Wellname,0))=0,"",INDEX(Well_Data_NK_Upcoming!$G$2:$G$996,MATCH('Rig_Schedule_View (2)'!B197,Well_Data_NK_Upcoming!Concatenated_Wellname,0)))</f>
        <v/>
      </c>
      <c r="D197" s="421" t="str">
        <f ca="1">IF(INDEX(Well_Data_NK_Upcoming!$K$2:$K$996,MATCH('Rig_Schedule_View (2)'!B197,Well_Data_NK_Upcoming!Concatenated_Wellname,0))=0,"",INDEX(Well_Data_NK_Upcoming!$K$2:$K$996,MATCH('Rig_Schedule_View (2)'!B197,Well_Data_NK_Upcoming!Concatenated_Wellname,0)))</f>
        <v/>
      </c>
      <c r="E197" s="421" t="str">
        <f ca="1">IF(INDEX(Well_Data_NK_Upcoming!$J$2:$J$996,MATCH('Rig_Schedule_View (2)'!B197,Well_Data_NK_Upcoming!Concatenated_Wellname,0))=0,"",INDEX(Well_Data_NK_Upcoming!$J$2:$J$996,MATCH('Rig_Schedule_View (2)'!B197,Well_Data_NK_Upcoming!Concatenated_Wellname,0)))</f>
        <v/>
      </c>
      <c r="F197" s="421" t="str">
        <f ca="1">IF(INDEX(Well_Data_NK_Upcoming!$L$2:$L$996,MATCH('Rig_Schedule_View (2)'!B197,Well_Data_NK_Upcoming!Concatenated_Wellname,0))=0,"",INDEX(Well_Data_NK_Upcoming!$L$2:$L$996,MATCH('Rig_Schedule_View (2)'!B197,Well_Data_NK_Upcoming!Concatenated_Wellname,0)))</f>
        <v/>
      </c>
      <c r="G197" s="421" t="str">
        <f ca="1">IF(INDEX(Well_Data_NK_Upcoming!$R$2:$R$996,MATCH('Rig_Schedule_View (2)'!B197,Well_Data_NK_Upcoming!Concatenated_Wellname,0))=0,"",INDEX(Well_Data_NK_Upcoming!$R$2:$R$996,MATCH('Rig_Schedule_View (2)'!B197,Well_Data_NK_Upcoming!Concatenated_Wellname,0)))</f>
        <v/>
      </c>
      <c r="H197" s="526"/>
      <c r="I197" s="443" t="str">
        <f ca="1">RigScheduleTest!$AJ$17</f>
        <v/>
      </c>
      <c r="J197" s="443" t="str">
        <f ca="1">RigScheduleTest!$AK$17</f>
        <v/>
      </c>
      <c r="K197" s="574"/>
      <c r="L197" s="546"/>
      <c r="M197" s="544"/>
      <c r="N197" s="545"/>
      <c r="O197" s="545"/>
      <c r="P197" s="551"/>
    </row>
    <row r="198" spans="1:16" x14ac:dyDescent="0.25">
      <c r="A198" s="442" t="str">
        <f>RigScheduleTest!$B$17</f>
        <v>SP-279</v>
      </c>
      <c r="B198" s="442" t="str">
        <f ca="1">RigScheduleTest!$AM$17</f>
        <v/>
      </c>
      <c r="C198" s="421" t="str">
        <f ca="1">IF(INDEX(Well_Data_NK_Upcoming!$G$2:$G$996,MATCH('Rig_Schedule_View (2)'!B198,Well_Data_NK_Upcoming!Concatenated_Wellname,0))=0,"",INDEX(Well_Data_NK_Upcoming!$G$2:$G$996,MATCH('Rig_Schedule_View (2)'!B198,Well_Data_NK_Upcoming!Concatenated_Wellname,0)))</f>
        <v/>
      </c>
      <c r="D198" s="421" t="str">
        <f ca="1">IF(INDEX(Well_Data_NK_Upcoming!$K$2:$K$996,MATCH('Rig_Schedule_View (2)'!B198,Well_Data_NK_Upcoming!Concatenated_Wellname,0))=0,"",INDEX(Well_Data_NK_Upcoming!$K$2:$K$996,MATCH('Rig_Schedule_View (2)'!B198,Well_Data_NK_Upcoming!Concatenated_Wellname,0)))</f>
        <v/>
      </c>
      <c r="E198" s="421" t="str">
        <f ca="1">IF(INDEX(Well_Data_NK_Upcoming!$J$2:$J$996,MATCH('Rig_Schedule_View (2)'!B198,Well_Data_NK_Upcoming!Concatenated_Wellname,0))=0,"",INDEX(Well_Data_NK_Upcoming!$J$2:$J$996,MATCH('Rig_Schedule_View (2)'!B198,Well_Data_NK_Upcoming!Concatenated_Wellname,0)))</f>
        <v/>
      </c>
      <c r="F198" s="421" t="str">
        <f ca="1">IF(INDEX(Well_Data_NK_Upcoming!$L$2:$L$996,MATCH('Rig_Schedule_View (2)'!B198,Well_Data_NK_Upcoming!Concatenated_Wellname,0))=0,"",INDEX(Well_Data_NK_Upcoming!$L$2:$L$996,MATCH('Rig_Schedule_View (2)'!B198,Well_Data_NK_Upcoming!Concatenated_Wellname,0)))</f>
        <v/>
      </c>
      <c r="G198" s="421" t="str">
        <f ca="1">IF(INDEX(Well_Data_NK_Upcoming!$R$2:$R$996,MATCH('Rig_Schedule_View (2)'!B198,Well_Data_NK_Upcoming!Concatenated_Wellname,0))=0,"",INDEX(Well_Data_NK_Upcoming!$R$2:$R$996,MATCH('Rig_Schedule_View (2)'!B198,Well_Data_NK_Upcoming!Concatenated_Wellname,0)))</f>
        <v/>
      </c>
      <c r="H198" s="526"/>
      <c r="I198" s="443" t="str">
        <f ca="1">RigScheduleTest!$AP$17</f>
        <v/>
      </c>
      <c r="J198" s="443" t="str">
        <f ca="1">RigScheduleTest!$AQ$17</f>
        <v/>
      </c>
      <c r="K198" s="574"/>
      <c r="L198" s="546"/>
      <c r="M198" s="544"/>
      <c r="N198" s="545"/>
      <c r="O198" s="545"/>
      <c r="P198" s="551"/>
    </row>
    <row r="199" spans="1:16" x14ac:dyDescent="0.25">
      <c r="A199" s="442" t="str">
        <f>RigScheduleTest!$B$17</f>
        <v>SP-279</v>
      </c>
      <c r="B199" s="442" t="str">
        <f ca="1">RigScheduleTest!$AS$17</f>
        <v/>
      </c>
      <c r="C199" s="421" t="str">
        <f ca="1">IF(INDEX(Well_Data_NK_Upcoming!$G$2:$G$996,MATCH('Rig_Schedule_View (2)'!B199,Well_Data_NK_Upcoming!Concatenated_Wellname,0))=0,"",INDEX(Well_Data_NK_Upcoming!$G$2:$G$996,MATCH('Rig_Schedule_View (2)'!B199,Well_Data_NK_Upcoming!Concatenated_Wellname,0)))</f>
        <v/>
      </c>
      <c r="D199" s="421" t="str">
        <f ca="1">IF(INDEX(Well_Data_NK_Upcoming!$K$2:$K$996,MATCH('Rig_Schedule_View (2)'!B199,Well_Data_NK_Upcoming!Concatenated_Wellname,0))=0,"",INDEX(Well_Data_NK_Upcoming!$K$2:$K$996,MATCH('Rig_Schedule_View (2)'!B199,Well_Data_NK_Upcoming!Concatenated_Wellname,0)))</f>
        <v/>
      </c>
      <c r="E199" s="421" t="str">
        <f ca="1">IF(INDEX(Well_Data_NK_Upcoming!$J$2:$J$996,MATCH('Rig_Schedule_View (2)'!B199,Well_Data_NK_Upcoming!Concatenated_Wellname,0))=0,"",INDEX(Well_Data_NK_Upcoming!$J$2:$J$996,MATCH('Rig_Schedule_View (2)'!B199,Well_Data_NK_Upcoming!Concatenated_Wellname,0)))</f>
        <v/>
      </c>
      <c r="F199" s="421" t="str">
        <f ca="1">IF(INDEX(Well_Data_NK_Upcoming!$L$2:$L$996,MATCH('Rig_Schedule_View (2)'!B199,Well_Data_NK_Upcoming!Concatenated_Wellname,0))=0,"",INDEX(Well_Data_NK_Upcoming!$L$2:$L$996,MATCH('Rig_Schedule_View (2)'!B199,Well_Data_NK_Upcoming!Concatenated_Wellname,0)))</f>
        <v/>
      </c>
      <c r="G199" s="421" t="str">
        <f ca="1">IF(INDEX(Well_Data_NK_Upcoming!$R$2:$R$996,MATCH('Rig_Schedule_View (2)'!B199,Well_Data_NK_Upcoming!Concatenated_Wellname,0))=0,"",INDEX(Well_Data_NK_Upcoming!$R$2:$R$996,MATCH('Rig_Schedule_View (2)'!B199,Well_Data_NK_Upcoming!Concatenated_Wellname,0)))</f>
        <v/>
      </c>
      <c r="H199" s="526"/>
      <c r="I199" s="443" t="str">
        <f ca="1">RigScheduleTest!$AV$17</f>
        <v/>
      </c>
      <c r="J199" s="443" t="str">
        <f ca="1">RigScheduleTest!$AW$17</f>
        <v/>
      </c>
      <c r="K199" s="574"/>
      <c r="L199" s="546"/>
      <c r="M199" s="544"/>
      <c r="N199" s="545"/>
      <c r="O199" s="545"/>
      <c r="P199" s="551"/>
    </row>
    <row r="200" spans="1:16" x14ac:dyDescent="0.25">
      <c r="A200" s="442" t="str">
        <f>RigScheduleTest!$B$17</f>
        <v>SP-279</v>
      </c>
      <c r="B200" s="442" t="str">
        <f ca="1">RigScheduleTest!$AY$17</f>
        <v/>
      </c>
      <c r="C200" s="421" t="str">
        <f ca="1">IF(INDEX(Well_Data_NK_Upcoming!$G$2:$G$996,MATCH('Rig_Schedule_View (2)'!B200,Well_Data_NK_Upcoming!Concatenated_Wellname,0))=0,"",INDEX(Well_Data_NK_Upcoming!$G$2:$G$996,MATCH('Rig_Schedule_View (2)'!B200,Well_Data_NK_Upcoming!Concatenated_Wellname,0)))</f>
        <v/>
      </c>
      <c r="D200" s="421" t="str">
        <f ca="1">IF(INDEX(Well_Data_NK_Upcoming!$K$2:$K$996,MATCH('Rig_Schedule_View (2)'!B200,Well_Data_NK_Upcoming!Concatenated_Wellname,0))=0,"",INDEX(Well_Data_NK_Upcoming!$K$2:$K$996,MATCH('Rig_Schedule_View (2)'!B200,Well_Data_NK_Upcoming!Concatenated_Wellname,0)))</f>
        <v/>
      </c>
      <c r="E200" s="421" t="str">
        <f ca="1">IF(INDEX(Well_Data_NK_Upcoming!$J$2:$J$996,MATCH('Rig_Schedule_View (2)'!B200,Well_Data_NK_Upcoming!Concatenated_Wellname,0))=0,"",INDEX(Well_Data_NK_Upcoming!$J$2:$J$996,MATCH('Rig_Schedule_View (2)'!B200,Well_Data_NK_Upcoming!Concatenated_Wellname,0)))</f>
        <v/>
      </c>
      <c r="F200" s="421" t="str">
        <f ca="1">IF(INDEX(Well_Data_NK_Upcoming!$L$2:$L$996,MATCH('Rig_Schedule_View (2)'!B200,Well_Data_NK_Upcoming!Concatenated_Wellname,0))=0,"",INDEX(Well_Data_NK_Upcoming!$L$2:$L$996,MATCH('Rig_Schedule_View (2)'!B200,Well_Data_NK_Upcoming!Concatenated_Wellname,0)))</f>
        <v/>
      </c>
      <c r="G200" s="421" t="str">
        <f ca="1">IF(INDEX(Well_Data_NK_Upcoming!$R$2:$R$996,MATCH('Rig_Schedule_View (2)'!B200,Well_Data_NK_Upcoming!Concatenated_Wellname,0))=0,"",INDEX(Well_Data_NK_Upcoming!$R$2:$R$996,MATCH('Rig_Schedule_View (2)'!B200,Well_Data_NK_Upcoming!Concatenated_Wellname,0)))</f>
        <v/>
      </c>
      <c r="H200" s="526"/>
      <c r="I200" s="443" t="str">
        <f ca="1">RigScheduleTest!$BB$17</f>
        <v/>
      </c>
      <c r="J200" s="443" t="str">
        <f ca="1">RigScheduleTest!$BC$17</f>
        <v/>
      </c>
      <c r="K200" s="574"/>
      <c r="L200" s="546"/>
      <c r="M200" s="544"/>
      <c r="N200" s="545"/>
      <c r="O200" s="545"/>
      <c r="P200" s="551"/>
    </row>
    <row r="201" spans="1:16" x14ac:dyDescent="0.25">
      <c r="A201" s="442" t="str">
        <f>RigScheduleTest!$B$17</f>
        <v>SP-279</v>
      </c>
      <c r="B201" s="442" t="str">
        <f ca="1">RigScheduleTest!$BE$17</f>
        <v/>
      </c>
      <c r="C201" s="421" t="str">
        <f ca="1">IF(INDEX(Well_Data_NK_Upcoming!$G$2:$G$996,MATCH('Rig_Schedule_View (2)'!B201,Well_Data_NK_Upcoming!Concatenated_Wellname,0))=0,"",INDEX(Well_Data_NK_Upcoming!$G$2:$G$996,MATCH('Rig_Schedule_View (2)'!B201,Well_Data_NK_Upcoming!Concatenated_Wellname,0)))</f>
        <v/>
      </c>
      <c r="D201" s="421" t="str">
        <f ca="1">IF(INDEX(Well_Data_NK_Upcoming!$K$2:$K$996,MATCH('Rig_Schedule_View (2)'!B201,Well_Data_NK_Upcoming!Concatenated_Wellname,0))=0,"",INDEX(Well_Data_NK_Upcoming!$K$2:$K$996,MATCH('Rig_Schedule_View (2)'!B201,Well_Data_NK_Upcoming!Concatenated_Wellname,0)))</f>
        <v/>
      </c>
      <c r="E201" s="421" t="str">
        <f ca="1">IF(INDEX(Well_Data_NK_Upcoming!$J$2:$J$996,MATCH('Rig_Schedule_View (2)'!B201,Well_Data_NK_Upcoming!Concatenated_Wellname,0))=0,"",INDEX(Well_Data_NK_Upcoming!$J$2:$J$996,MATCH('Rig_Schedule_View (2)'!B201,Well_Data_NK_Upcoming!Concatenated_Wellname,0)))</f>
        <v/>
      </c>
      <c r="F201" s="421" t="str">
        <f ca="1">IF(INDEX(Well_Data_NK_Upcoming!$L$2:$L$996,MATCH('Rig_Schedule_View (2)'!B201,Well_Data_NK_Upcoming!Concatenated_Wellname,0))=0,"",INDEX(Well_Data_NK_Upcoming!$L$2:$L$996,MATCH('Rig_Schedule_View (2)'!B201,Well_Data_NK_Upcoming!Concatenated_Wellname,0)))</f>
        <v/>
      </c>
      <c r="G201" s="421" t="str">
        <f ca="1">IF(INDEX(Well_Data_NK_Upcoming!$R$2:$R$996,MATCH('Rig_Schedule_View (2)'!B201,Well_Data_NK_Upcoming!Concatenated_Wellname,0))=0,"",INDEX(Well_Data_NK_Upcoming!$R$2:$R$996,MATCH('Rig_Schedule_View (2)'!B201,Well_Data_NK_Upcoming!Concatenated_Wellname,0)))</f>
        <v/>
      </c>
      <c r="H201" s="526"/>
      <c r="I201" s="443" t="str">
        <f ca="1">RigScheduleTest!$BH$17</f>
        <v/>
      </c>
      <c r="J201" s="443" t="str">
        <f ca="1">RigScheduleTest!$BI$17</f>
        <v/>
      </c>
      <c r="K201" s="574"/>
      <c r="L201" s="546"/>
      <c r="M201" s="544"/>
      <c r="N201" s="545"/>
      <c r="O201" s="545"/>
      <c r="P201" s="551"/>
    </row>
    <row r="202" spans="1:16" x14ac:dyDescent="0.25">
      <c r="A202" s="442" t="str">
        <f>RigScheduleTest!$B$17</f>
        <v>SP-279</v>
      </c>
      <c r="B202" s="442" t="str">
        <f ca="1">RigScheduleTest!$BK$17</f>
        <v/>
      </c>
      <c r="C202" s="421" t="str">
        <f ca="1">IF(INDEX(Well_Data_NK_Upcoming!$G$2:$G$996,MATCH('Rig_Schedule_View (2)'!B202,Well_Data_NK_Upcoming!Concatenated_Wellname,0))=0,"",INDEX(Well_Data_NK_Upcoming!$G$2:$G$996,MATCH('Rig_Schedule_View (2)'!B202,Well_Data_NK_Upcoming!Concatenated_Wellname,0)))</f>
        <v/>
      </c>
      <c r="D202" s="421" t="str">
        <f ca="1">IF(INDEX(Well_Data_NK_Upcoming!$K$2:$K$996,MATCH('Rig_Schedule_View (2)'!B202,Well_Data_NK_Upcoming!Concatenated_Wellname,0))=0,"",INDEX(Well_Data_NK_Upcoming!$K$2:$K$996,MATCH('Rig_Schedule_View (2)'!B202,Well_Data_NK_Upcoming!Concatenated_Wellname,0)))</f>
        <v/>
      </c>
      <c r="E202" s="421" t="str">
        <f ca="1">IF(INDEX(Well_Data_NK_Upcoming!$J$2:$J$996,MATCH('Rig_Schedule_View (2)'!B202,Well_Data_NK_Upcoming!Concatenated_Wellname,0))=0,"",INDEX(Well_Data_NK_Upcoming!$J$2:$J$996,MATCH('Rig_Schedule_View (2)'!B202,Well_Data_NK_Upcoming!Concatenated_Wellname,0)))</f>
        <v/>
      </c>
      <c r="F202" s="421" t="str">
        <f ca="1">IF(INDEX(Well_Data_NK_Upcoming!$L$2:$L$996,MATCH('Rig_Schedule_View (2)'!B202,Well_Data_NK_Upcoming!Concatenated_Wellname,0))=0,"",INDEX(Well_Data_NK_Upcoming!$L$2:$L$996,MATCH('Rig_Schedule_View (2)'!B202,Well_Data_NK_Upcoming!Concatenated_Wellname,0)))</f>
        <v/>
      </c>
      <c r="G202" s="421" t="str">
        <f ca="1">IF(INDEX(Well_Data_NK_Upcoming!$R$2:$R$996,MATCH('Rig_Schedule_View (2)'!B202,Well_Data_NK_Upcoming!Concatenated_Wellname,0))=0,"",INDEX(Well_Data_NK_Upcoming!$R$2:$R$996,MATCH('Rig_Schedule_View (2)'!B202,Well_Data_NK_Upcoming!Concatenated_Wellname,0)))</f>
        <v/>
      </c>
      <c r="H202" s="526"/>
      <c r="I202" s="443" t="str">
        <f ca="1">RigScheduleTest!$BN$17</f>
        <v/>
      </c>
      <c r="J202" s="443" t="str">
        <f ca="1">RigScheduleTest!$BO$17</f>
        <v/>
      </c>
      <c r="K202" s="574"/>
      <c r="L202" s="546"/>
      <c r="M202" s="544"/>
      <c r="N202" s="545"/>
      <c r="O202" s="545"/>
      <c r="P202" s="551"/>
    </row>
    <row r="203" spans="1:16" x14ac:dyDescent="0.25">
      <c r="A203" s="437" t="str">
        <f>RigScheduleTest!$B$1</f>
        <v>RIG</v>
      </c>
      <c r="B203" s="437" t="str">
        <f>$K$1</f>
        <v>Development Drilling</v>
      </c>
      <c r="C203" s="437" t="s">
        <v>1831</v>
      </c>
      <c r="D203" s="437" t="s">
        <v>867</v>
      </c>
      <c r="E203" s="437" t="s">
        <v>8</v>
      </c>
      <c r="F203" s="437" t="s">
        <v>2</v>
      </c>
      <c r="G203" s="437" t="s">
        <v>1513</v>
      </c>
      <c r="H203" s="438" t="str">
        <f>$K$3</f>
        <v>Rig Deployment Meeting</v>
      </c>
      <c r="I203" s="439" t="str">
        <f>$K$5</f>
        <v>Start</v>
      </c>
      <c r="J203" s="439" t="str">
        <f>$K$6</f>
        <v>End</v>
      </c>
      <c r="K203" s="444" t="s">
        <v>1068</v>
      </c>
      <c r="L203" s="444" t="s">
        <v>1577</v>
      </c>
      <c r="M203" s="496" t="s">
        <v>1934</v>
      </c>
      <c r="N203" s="504" t="s">
        <v>1940</v>
      </c>
      <c r="O203" s="504" t="s">
        <v>1941</v>
      </c>
      <c r="P203" s="502"/>
    </row>
    <row r="204" spans="1:16" x14ac:dyDescent="0.25">
      <c r="A204" s="442" t="str">
        <f>RigScheduleTest!$B$18</f>
        <v>SP-282</v>
      </c>
      <c r="B204" s="421" t="str">
        <f ca="1">RigScheduleTest!$D$18</f>
        <v>SA-0580-SA-MA-Prod-NW-HZ-SLB</v>
      </c>
      <c r="C204" s="421" t="str">
        <f ca="1">IF(INDEX(Well_Data_NK_Upcoming!$G$2:$G$996,MATCH('Rig_Schedule_View (2)'!B204,Well_Data_NK_Upcoming!Concatenated_Wellname,0))=0,"",INDEX(Well_Data_NK_Upcoming!$G$2:$G$996,MATCH('Rig_Schedule_View (2)'!B204,Well_Data_NK_Upcoming!Concatenated_Wellname,0)))</f>
        <v>MA</v>
      </c>
      <c r="D204" s="421" t="str">
        <f ca="1">IF(INDEX(Well_Data_NK_Upcoming!$K$2:$K$996,MATCH('Rig_Schedule_View (2)'!B204,Well_Data_NK_Upcoming!Concatenated_Wellname,0))=0,"",INDEX(Well_Data_NK_Upcoming!$K$2:$K$996,MATCH('Rig_Schedule_View (2)'!B204,Well_Data_NK_Upcoming!Concatenated_Wellname,0)))</f>
        <v>NW</v>
      </c>
      <c r="E204" s="421" t="str">
        <f ca="1">IF(INDEX(Well_Data_NK_Upcoming!$J$2:$J$996,MATCH('Rig_Schedule_View (2)'!B204,Well_Data_NK_Upcoming!Concatenated_Wellname,0))=0,"",INDEX(Well_Data_NK_Upcoming!$J$2:$J$996,MATCH('Rig_Schedule_View (2)'!B204,Well_Data_NK_Upcoming!Concatenated_Wellname,0)))</f>
        <v>Prod</v>
      </c>
      <c r="F204" s="421" t="str">
        <f ca="1">IF(INDEX(Well_Data_NK_Upcoming!$L$2:$L$996,MATCH('Rig_Schedule_View (2)'!B204,Well_Data_NK_Upcoming!Concatenated_Wellname,0))=0,"",INDEX(Well_Data_NK_Upcoming!$L$2:$L$996,MATCH('Rig_Schedule_View (2)'!B204,Well_Data_NK_Upcoming!Concatenated_Wellname,0)))</f>
        <v>HZ</v>
      </c>
      <c r="G204" s="421">
        <f ca="1">IF(INDEX(Well_Data_NK_Upcoming!$R$2:$R$996,MATCH('Rig_Schedule_View (2)'!B204,Well_Data_NK_Upcoming!Concatenated_Wellname,0))=0,"",INDEX(Well_Data_NK_Upcoming!$R$2:$R$996,MATCH('Rig_Schedule_View (2)'!B204,Well_Data_NK_Upcoming!Concatenated_Wellname,0)))</f>
        <v>75</v>
      </c>
      <c r="H204" s="526">
        <f>RigScheduleTest!$F$18</f>
        <v>42233</v>
      </c>
      <c r="I204" s="459">
        <f ca="1">IF(INDEX(Well_Data_NK_Upcoming!$O$2:$O$996,MATCH('Rig_Schedule_View (2)'!B204,Well_Data_NK_Upcoming!Concatenated_Wellname,0))=0,"",INDEX(Well_Data_NK_Upcoming!$O$2:$O$996,MATCH('Rig_Schedule_View (2)'!B204,Well_Data_NK_Upcoming!Concatenated_Wellname,0)))</f>
        <v>42161</v>
      </c>
      <c r="J204" s="446">
        <f ca="1">RigScheduleTest!$H$18</f>
        <v>42238</v>
      </c>
      <c r="K204" s="574" t="s">
        <v>1917</v>
      </c>
      <c r="L204" s="543"/>
      <c r="M204" s="544">
        <v>5</v>
      </c>
      <c r="N204" s="545"/>
      <c r="O204" s="545"/>
      <c r="P204" s="551"/>
    </row>
    <row r="205" spans="1:16" x14ac:dyDescent="0.25">
      <c r="A205" s="442" t="str">
        <f>RigScheduleTest!$B$18</f>
        <v>SP-282</v>
      </c>
      <c r="B205" s="441" t="str">
        <f ca="1">RigScheduleTest!$I$18</f>
        <v>SA-0602-SA-MA-Prod-NW-HZ-SLB</v>
      </c>
      <c r="C205" s="421" t="str">
        <f ca="1">IF(INDEX(Well_Data_NK_Upcoming!$G$2:$G$996,MATCH('Rig_Schedule_View (2)'!B205,Well_Data_NK_Upcoming!Concatenated_Wellname,0))=0,"",INDEX(Well_Data_NK_Upcoming!$G$2:$G$996,MATCH('Rig_Schedule_View (2)'!B205,Well_Data_NK_Upcoming!Concatenated_Wellname,0)))</f>
        <v>MA</v>
      </c>
      <c r="D205" s="421" t="str">
        <f ca="1">IF(INDEX(Well_Data_NK_Upcoming!$K$2:$K$996,MATCH('Rig_Schedule_View (2)'!B205,Well_Data_NK_Upcoming!Concatenated_Wellname,0))=0,"",INDEX(Well_Data_NK_Upcoming!$K$2:$K$996,MATCH('Rig_Schedule_View (2)'!B205,Well_Data_NK_Upcoming!Concatenated_Wellname,0)))</f>
        <v>NW</v>
      </c>
      <c r="E205" s="421" t="str">
        <f ca="1">IF(INDEX(Well_Data_NK_Upcoming!$J$2:$J$996,MATCH('Rig_Schedule_View (2)'!B205,Well_Data_NK_Upcoming!Concatenated_Wellname,0))=0,"",INDEX(Well_Data_NK_Upcoming!$J$2:$J$996,MATCH('Rig_Schedule_View (2)'!B205,Well_Data_NK_Upcoming!Concatenated_Wellname,0)))</f>
        <v>Prod</v>
      </c>
      <c r="F205" s="421" t="str">
        <f ca="1">IF(INDEX(Well_Data_NK_Upcoming!$L$2:$L$996,MATCH('Rig_Schedule_View (2)'!B205,Well_Data_NK_Upcoming!Concatenated_Wellname,0))=0,"",INDEX(Well_Data_NK_Upcoming!$L$2:$L$996,MATCH('Rig_Schedule_View (2)'!B205,Well_Data_NK_Upcoming!Concatenated_Wellname,0)))</f>
        <v>HZ</v>
      </c>
      <c r="G205" s="421">
        <f ca="1">IF(INDEX(Well_Data_NK_Upcoming!$R$2:$R$996,MATCH('Rig_Schedule_View (2)'!B205,Well_Data_NK_Upcoming!Concatenated_Wellname,0))=0,"",INDEX(Well_Data_NK_Upcoming!$R$2:$R$996,MATCH('Rig_Schedule_View (2)'!B205,Well_Data_NK_Upcoming!Concatenated_Wellname,0)))</f>
        <v>75</v>
      </c>
      <c r="H205" s="526"/>
      <c r="I205" s="440">
        <f ca="1">RigScheduleTest!$L$18</f>
        <v>42243</v>
      </c>
      <c r="J205" s="440">
        <f ca="1">RigScheduleTest!$M$18</f>
        <v>42313</v>
      </c>
      <c r="K205" s="574"/>
      <c r="L205" s="546" t="s">
        <v>2222</v>
      </c>
      <c r="M205" s="544"/>
      <c r="N205" s="545"/>
      <c r="O205" s="545"/>
      <c r="P205" s="551"/>
    </row>
    <row r="206" spans="1:16" x14ac:dyDescent="0.25">
      <c r="A206" s="442" t="str">
        <f>RigScheduleTest!$B$18</f>
        <v>SP-282</v>
      </c>
      <c r="B206" s="441" t="str">
        <f ca="1">RigScheduleTest!$O$18</f>
        <v>SA-0613-SA-UB-Prod-NW-HZ</v>
      </c>
      <c r="C206" s="421" t="str">
        <f ca="1">IF(INDEX(Well_Data_NK_Upcoming!$G$2:$G$996,MATCH('Rig_Schedule_View (2)'!B206,Well_Data_NK_Upcoming!Concatenated_Wellname,0))=0,"",INDEX(Well_Data_NK_Upcoming!$G$2:$G$996,MATCH('Rig_Schedule_View (2)'!B206,Well_Data_NK_Upcoming!Concatenated_Wellname,0)))</f>
        <v>UB</v>
      </c>
      <c r="D206" s="421" t="str">
        <f ca="1">IF(INDEX(Well_Data_NK_Upcoming!$K$2:$K$996,MATCH('Rig_Schedule_View (2)'!B206,Well_Data_NK_Upcoming!Concatenated_Wellname,0))=0,"",INDEX(Well_Data_NK_Upcoming!$K$2:$K$996,MATCH('Rig_Schedule_View (2)'!B206,Well_Data_NK_Upcoming!Concatenated_Wellname,0)))</f>
        <v>NW</v>
      </c>
      <c r="E206" s="421" t="str">
        <f ca="1">IF(INDEX(Well_Data_NK_Upcoming!$J$2:$J$996,MATCH('Rig_Schedule_View (2)'!B206,Well_Data_NK_Upcoming!Concatenated_Wellname,0))=0,"",INDEX(Well_Data_NK_Upcoming!$J$2:$J$996,MATCH('Rig_Schedule_View (2)'!B206,Well_Data_NK_Upcoming!Concatenated_Wellname,0)))</f>
        <v>Prod</v>
      </c>
      <c r="F206" s="421" t="str">
        <f ca="1">IF(INDEX(Well_Data_NK_Upcoming!$L$2:$L$996,MATCH('Rig_Schedule_View (2)'!B206,Well_Data_NK_Upcoming!Concatenated_Wellname,0))=0,"",INDEX(Well_Data_NK_Upcoming!$L$2:$L$996,MATCH('Rig_Schedule_View (2)'!B206,Well_Data_NK_Upcoming!Concatenated_Wellname,0)))</f>
        <v>HZ</v>
      </c>
      <c r="G206" s="421">
        <f ca="1">IF(INDEX(Well_Data_NK_Upcoming!$R$2:$R$996,MATCH('Rig_Schedule_View (2)'!B206,Well_Data_NK_Upcoming!Concatenated_Wellname,0))=0,"",INDEX(Well_Data_NK_Upcoming!$R$2:$R$996,MATCH('Rig_Schedule_View (2)'!B206,Well_Data_NK_Upcoming!Concatenated_Wellname,0)))</f>
        <v>75</v>
      </c>
      <c r="H206" s="526"/>
      <c r="I206" s="440">
        <f ca="1">RigScheduleTest!$R$18</f>
        <v>42318</v>
      </c>
      <c r="J206" s="440">
        <f ca="1">RigScheduleTest!$S$18</f>
        <v>42388</v>
      </c>
      <c r="K206" s="574"/>
      <c r="L206" s="546" t="s">
        <v>2233</v>
      </c>
      <c r="M206" s="544"/>
      <c r="N206" s="545"/>
      <c r="O206" s="545"/>
      <c r="P206" s="551"/>
    </row>
    <row r="207" spans="1:16" x14ac:dyDescent="0.25">
      <c r="A207" s="442" t="str">
        <f>RigScheduleTest!$B$18</f>
        <v>SP-282</v>
      </c>
      <c r="B207" s="442" t="str">
        <f ca="1">RigScheduleTest!$U$18</f>
        <v>SA2-SA-LB-Prod-NW-SL</v>
      </c>
      <c r="C207" s="421" t="str">
        <f ca="1">IF(INDEX(Well_Data_NK_Upcoming!$G$2:$G$996,MATCH('Rig_Schedule_View (2)'!B207,Well_Data_NK_Upcoming!Concatenated_Wellname,0))=0,"",INDEX(Well_Data_NK_Upcoming!$G$2:$G$996,MATCH('Rig_Schedule_View (2)'!B207,Well_Data_NK_Upcoming!Concatenated_Wellname,0)))</f>
        <v>LB</v>
      </c>
      <c r="D207" s="421" t="str">
        <f ca="1">IF(INDEX(Well_Data_NK_Upcoming!$K$2:$K$996,MATCH('Rig_Schedule_View (2)'!B207,Well_Data_NK_Upcoming!Concatenated_Wellname,0))=0,"",INDEX(Well_Data_NK_Upcoming!$K$2:$K$996,MATCH('Rig_Schedule_View (2)'!B207,Well_Data_NK_Upcoming!Concatenated_Wellname,0)))</f>
        <v>NW</v>
      </c>
      <c r="E207" s="421" t="str">
        <f ca="1">IF(INDEX(Well_Data_NK_Upcoming!$J$2:$J$996,MATCH('Rig_Schedule_View (2)'!B207,Well_Data_NK_Upcoming!Concatenated_Wellname,0))=0,"",INDEX(Well_Data_NK_Upcoming!$J$2:$J$996,MATCH('Rig_Schedule_View (2)'!B207,Well_Data_NK_Upcoming!Concatenated_Wellname,0)))</f>
        <v>Prod</v>
      </c>
      <c r="F207" s="421" t="str">
        <f ca="1">IF(INDEX(Well_Data_NK_Upcoming!$L$2:$L$996,MATCH('Rig_Schedule_View (2)'!B207,Well_Data_NK_Upcoming!Concatenated_Wellname,0))=0,"",INDEX(Well_Data_NK_Upcoming!$L$2:$L$996,MATCH('Rig_Schedule_View (2)'!B207,Well_Data_NK_Upcoming!Concatenated_Wellname,0)))</f>
        <v>SL</v>
      </c>
      <c r="G207" s="421">
        <f ca="1">IF(INDEX(Well_Data_NK_Upcoming!$R$2:$R$996,MATCH('Rig_Schedule_View (2)'!B207,Well_Data_NK_Upcoming!Concatenated_Wellname,0))=0,"",INDEX(Well_Data_NK_Upcoming!$R$2:$R$996,MATCH('Rig_Schedule_View (2)'!B207,Well_Data_NK_Upcoming!Concatenated_Wellname,0)))</f>
        <v>75</v>
      </c>
      <c r="H207" s="526"/>
      <c r="I207" s="443">
        <f ca="1">RigScheduleTest!$X$18</f>
        <v>42393</v>
      </c>
      <c r="J207" s="443">
        <f ca="1">RigScheduleTest!$Y$18</f>
        <v>42463</v>
      </c>
      <c r="K207" s="574"/>
      <c r="L207" s="546"/>
      <c r="M207" s="544"/>
      <c r="N207" s="545"/>
      <c r="O207" s="545"/>
      <c r="P207" s="551"/>
    </row>
    <row r="208" spans="1:16" x14ac:dyDescent="0.25">
      <c r="A208" s="442" t="str">
        <f>RigScheduleTest!$B$18</f>
        <v>SP-282</v>
      </c>
      <c r="B208" s="442" t="str">
        <f ca="1">RigScheduleTest!$AA$18</f>
        <v>SA3-SA-LB-Prod-HZ</v>
      </c>
      <c r="C208" s="421" t="str">
        <f ca="1">IF(INDEX(Well_Data_NK_Upcoming!$G$2:$G$996,MATCH('Rig_Schedule_View (2)'!B208,Well_Data_NK_Upcoming!Concatenated_Wellname,0))=0,"",INDEX(Well_Data_NK_Upcoming!$G$2:$G$996,MATCH('Rig_Schedule_View (2)'!B208,Well_Data_NK_Upcoming!Concatenated_Wellname,0)))</f>
        <v>LB</v>
      </c>
      <c r="D208" s="421" t="str">
        <f ca="1">IF(INDEX(Well_Data_NK_Upcoming!$K$2:$K$996,MATCH('Rig_Schedule_View (2)'!B208,Well_Data_NK_Upcoming!Concatenated_Wellname,0))=0,"",INDEX(Well_Data_NK_Upcoming!$K$2:$K$996,MATCH('Rig_Schedule_View (2)'!B208,Well_Data_NK_Upcoming!Concatenated_Wellname,0)))</f>
        <v/>
      </c>
      <c r="E208" s="421" t="str">
        <f ca="1">IF(INDEX(Well_Data_NK_Upcoming!$J$2:$J$996,MATCH('Rig_Schedule_View (2)'!B208,Well_Data_NK_Upcoming!Concatenated_Wellname,0))=0,"",INDEX(Well_Data_NK_Upcoming!$J$2:$J$996,MATCH('Rig_Schedule_View (2)'!B208,Well_Data_NK_Upcoming!Concatenated_Wellname,0)))</f>
        <v>Prod</v>
      </c>
      <c r="F208" s="421" t="str">
        <f ca="1">IF(INDEX(Well_Data_NK_Upcoming!$L$2:$L$996,MATCH('Rig_Schedule_View (2)'!B208,Well_Data_NK_Upcoming!Concatenated_Wellname,0))=0,"",INDEX(Well_Data_NK_Upcoming!$L$2:$L$996,MATCH('Rig_Schedule_View (2)'!B208,Well_Data_NK_Upcoming!Concatenated_Wellname,0)))</f>
        <v>HZ</v>
      </c>
      <c r="G208" s="421">
        <f ca="1">IF(INDEX(Well_Data_NK_Upcoming!$R$2:$R$996,MATCH('Rig_Schedule_View (2)'!B208,Well_Data_NK_Upcoming!Concatenated_Wellname,0))=0,"",INDEX(Well_Data_NK_Upcoming!$R$2:$R$996,MATCH('Rig_Schedule_View (2)'!B208,Well_Data_NK_Upcoming!Concatenated_Wellname,0)))</f>
        <v>75</v>
      </c>
      <c r="H208" s="526"/>
      <c r="I208" s="443">
        <f ca="1">RigScheduleTest!$AD$18</f>
        <v>42468</v>
      </c>
      <c r="J208" s="443">
        <f ca="1">RigScheduleTest!$AE$18</f>
        <v>42538</v>
      </c>
      <c r="K208" s="574"/>
      <c r="L208" s="546"/>
      <c r="M208" s="544"/>
      <c r="N208" s="545"/>
      <c r="O208" s="545"/>
      <c r="P208" s="551"/>
    </row>
    <row r="209" spans="1:16" x14ac:dyDescent="0.25">
      <c r="A209" s="442" t="str">
        <f>RigScheduleTest!$B$18</f>
        <v>SP-282</v>
      </c>
      <c r="B209" s="442" t="str">
        <f ca="1">RigScheduleTest!$AG$18</f>
        <v/>
      </c>
      <c r="C209" s="421" t="str">
        <f ca="1">IF(INDEX(Well_Data_NK_Upcoming!$G$2:$G$996,MATCH('Rig_Schedule_View (2)'!B209,Well_Data_NK_Upcoming!Concatenated_Wellname,0))=0,"",INDEX(Well_Data_NK_Upcoming!$G$2:$G$996,MATCH('Rig_Schedule_View (2)'!B209,Well_Data_NK_Upcoming!Concatenated_Wellname,0)))</f>
        <v/>
      </c>
      <c r="D209" s="421" t="str">
        <f ca="1">IF(INDEX(Well_Data_NK_Upcoming!$K$2:$K$996,MATCH('Rig_Schedule_View (2)'!B209,Well_Data_NK_Upcoming!Concatenated_Wellname,0))=0,"",INDEX(Well_Data_NK_Upcoming!$K$2:$K$996,MATCH('Rig_Schedule_View (2)'!B209,Well_Data_NK_Upcoming!Concatenated_Wellname,0)))</f>
        <v/>
      </c>
      <c r="E209" s="421" t="str">
        <f ca="1">IF(INDEX(Well_Data_NK_Upcoming!$J$2:$J$996,MATCH('Rig_Schedule_View (2)'!B209,Well_Data_NK_Upcoming!Concatenated_Wellname,0))=0,"",INDEX(Well_Data_NK_Upcoming!$J$2:$J$996,MATCH('Rig_Schedule_View (2)'!B209,Well_Data_NK_Upcoming!Concatenated_Wellname,0)))</f>
        <v/>
      </c>
      <c r="F209" s="421" t="str">
        <f ca="1">IF(INDEX(Well_Data_NK_Upcoming!$L$2:$L$996,MATCH('Rig_Schedule_View (2)'!B209,Well_Data_NK_Upcoming!Concatenated_Wellname,0))=0,"",INDEX(Well_Data_NK_Upcoming!$L$2:$L$996,MATCH('Rig_Schedule_View (2)'!B209,Well_Data_NK_Upcoming!Concatenated_Wellname,0)))</f>
        <v/>
      </c>
      <c r="G209" s="421" t="str">
        <f ca="1">IF(INDEX(Well_Data_NK_Upcoming!$R$2:$R$996,MATCH('Rig_Schedule_View (2)'!B209,Well_Data_NK_Upcoming!Concatenated_Wellname,0))=0,"",INDEX(Well_Data_NK_Upcoming!$R$2:$R$996,MATCH('Rig_Schedule_View (2)'!B209,Well_Data_NK_Upcoming!Concatenated_Wellname,0)))</f>
        <v/>
      </c>
      <c r="H209" s="526"/>
      <c r="I209" s="443" t="str">
        <f ca="1">RigScheduleTest!$AJ$18</f>
        <v/>
      </c>
      <c r="J209" s="443" t="str">
        <f ca="1">RigScheduleTest!$AK$18</f>
        <v/>
      </c>
      <c r="K209" s="574"/>
      <c r="L209" s="546"/>
      <c r="M209" s="544"/>
      <c r="N209" s="545"/>
      <c r="O209" s="545"/>
      <c r="P209" s="551"/>
    </row>
    <row r="210" spans="1:16" x14ac:dyDescent="0.25">
      <c r="A210" s="442" t="str">
        <f>RigScheduleTest!$B$18</f>
        <v>SP-282</v>
      </c>
      <c r="B210" s="442" t="str">
        <f ca="1">RigScheduleTest!$AM$18</f>
        <v/>
      </c>
      <c r="C210" s="421" t="str">
        <f ca="1">IF(INDEX(Well_Data_NK_Upcoming!$G$2:$G$996,MATCH('Rig_Schedule_View (2)'!B210,Well_Data_NK_Upcoming!Concatenated_Wellname,0))=0,"",INDEX(Well_Data_NK_Upcoming!$G$2:$G$996,MATCH('Rig_Schedule_View (2)'!B210,Well_Data_NK_Upcoming!Concatenated_Wellname,0)))</f>
        <v/>
      </c>
      <c r="D210" s="421" t="str">
        <f ca="1">IF(INDEX(Well_Data_NK_Upcoming!$K$2:$K$996,MATCH('Rig_Schedule_View (2)'!B210,Well_Data_NK_Upcoming!Concatenated_Wellname,0))=0,"",INDEX(Well_Data_NK_Upcoming!$K$2:$K$996,MATCH('Rig_Schedule_View (2)'!B210,Well_Data_NK_Upcoming!Concatenated_Wellname,0)))</f>
        <v/>
      </c>
      <c r="E210" s="421" t="str">
        <f ca="1">IF(INDEX(Well_Data_NK_Upcoming!$J$2:$J$996,MATCH('Rig_Schedule_View (2)'!B210,Well_Data_NK_Upcoming!Concatenated_Wellname,0))=0,"",INDEX(Well_Data_NK_Upcoming!$J$2:$J$996,MATCH('Rig_Schedule_View (2)'!B210,Well_Data_NK_Upcoming!Concatenated_Wellname,0)))</f>
        <v/>
      </c>
      <c r="F210" s="421" t="str">
        <f ca="1">IF(INDEX(Well_Data_NK_Upcoming!$L$2:$L$996,MATCH('Rig_Schedule_View (2)'!B210,Well_Data_NK_Upcoming!Concatenated_Wellname,0))=0,"",INDEX(Well_Data_NK_Upcoming!$L$2:$L$996,MATCH('Rig_Schedule_View (2)'!B210,Well_Data_NK_Upcoming!Concatenated_Wellname,0)))</f>
        <v/>
      </c>
      <c r="G210" s="421" t="str">
        <f ca="1">IF(INDEX(Well_Data_NK_Upcoming!$R$2:$R$996,MATCH('Rig_Schedule_View (2)'!B210,Well_Data_NK_Upcoming!Concatenated_Wellname,0))=0,"",INDEX(Well_Data_NK_Upcoming!$R$2:$R$996,MATCH('Rig_Schedule_View (2)'!B210,Well_Data_NK_Upcoming!Concatenated_Wellname,0)))</f>
        <v/>
      </c>
      <c r="H210" s="526"/>
      <c r="I210" s="443" t="str">
        <f ca="1">RigScheduleTest!$AP$18</f>
        <v/>
      </c>
      <c r="J210" s="443" t="str">
        <f ca="1">RigScheduleTest!$AQ$18</f>
        <v/>
      </c>
      <c r="K210" s="574"/>
      <c r="L210" s="546"/>
      <c r="M210" s="544"/>
      <c r="N210" s="545"/>
      <c r="O210" s="545"/>
      <c r="P210" s="551"/>
    </row>
    <row r="211" spans="1:16" x14ac:dyDescent="0.25">
      <c r="A211" s="442" t="str">
        <f>RigScheduleTest!$B$18</f>
        <v>SP-282</v>
      </c>
      <c r="B211" s="442" t="str">
        <f ca="1">RigScheduleTest!$AS$18</f>
        <v/>
      </c>
      <c r="C211" s="421" t="str">
        <f ca="1">IF(INDEX(Well_Data_NK_Upcoming!$G$2:$G$996,MATCH('Rig_Schedule_View (2)'!B211,Well_Data_NK_Upcoming!Concatenated_Wellname,0))=0,"",INDEX(Well_Data_NK_Upcoming!$G$2:$G$996,MATCH('Rig_Schedule_View (2)'!B211,Well_Data_NK_Upcoming!Concatenated_Wellname,0)))</f>
        <v/>
      </c>
      <c r="D211" s="421" t="str">
        <f ca="1">IF(INDEX(Well_Data_NK_Upcoming!$K$2:$K$996,MATCH('Rig_Schedule_View (2)'!B211,Well_Data_NK_Upcoming!Concatenated_Wellname,0))=0,"",INDEX(Well_Data_NK_Upcoming!$K$2:$K$996,MATCH('Rig_Schedule_View (2)'!B211,Well_Data_NK_Upcoming!Concatenated_Wellname,0)))</f>
        <v/>
      </c>
      <c r="E211" s="421" t="str">
        <f ca="1">IF(INDEX(Well_Data_NK_Upcoming!$J$2:$J$996,MATCH('Rig_Schedule_View (2)'!B211,Well_Data_NK_Upcoming!Concatenated_Wellname,0))=0,"",INDEX(Well_Data_NK_Upcoming!$J$2:$J$996,MATCH('Rig_Schedule_View (2)'!B211,Well_Data_NK_Upcoming!Concatenated_Wellname,0)))</f>
        <v/>
      </c>
      <c r="F211" s="421" t="str">
        <f ca="1">IF(INDEX(Well_Data_NK_Upcoming!$L$2:$L$996,MATCH('Rig_Schedule_View (2)'!B211,Well_Data_NK_Upcoming!Concatenated_Wellname,0))=0,"",INDEX(Well_Data_NK_Upcoming!$L$2:$L$996,MATCH('Rig_Schedule_View (2)'!B211,Well_Data_NK_Upcoming!Concatenated_Wellname,0)))</f>
        <v/>
      </c>
      <c r="G211" s="421" t="str">
        <f ca="1">IF(INDEX(Well_Data_NK_Upcoming!$R$2:$R$996,MATCH('Rig_Schedule_View (2)'!B211,Well_Data_NK_Upcoming!Concatenated_Wellname,0))=0,"",INDEX(Well_Data_NK_Upcoming!$R$2:$R$996,MATCH('Rig_Schedule_View (2)'!B211,Well_Data_NK_Upcoming!Concatenated_Wellname,0)))</f>
        <v/>
      </c>
      <c r="H211" s="526"/>
      <c r="I211" s="443" t="str">
        <f ca="1">RigScheduleTest!$AV$18</f>
        <v/>
      </c>
      <c r="J211" s="443" t="str">
        <f ca="1">RigScheduleTest!$AW$18</f>
        <v/>
      </c>
      <c r="K211" s="574"/>
      <c r="L211" s="546"/>
      <c r="M211" s="544"/>
      <c r="N211" s="545"/>
      <c r="O211" s="545"/>
      <c r="P211" s="551"/>
    </row>
    <row r="212" spans="1:16" x14ac:dyDescent="0.25">
      <c r="A212" s="442" t="str">
        <f>RigScheduleTest!$B$18</f>
        <v>SP-282</v>
      </c>
      <c r="B212" s="442" t="str">
        <f ca="1">RigScheduleTest!$AY$18</f>
        <v/>
      </c>
      <c r="C212" s="421" t="str">
        <f ca="1">IF(INDEX(Well_Data_NK_Upcoming!$G$2:$G$996,MATCH('Rig_Schedule_View (2)'!B212,Well_Data_NK_Upcoming!Concatenated_Wellname,0))=0,"",INDEX(Well_Data_NK_Upcoming!$G$2:$G$996,MATCH('Rig_Schedule_View (2)'!B212,Well_Data_NK_Upcoming!Concatenated_Wellname,0)))</f>
        <v/>
      </c>
      <c r="D212" s="421" t="str">
        <f ca="1">IF(INDEX(Well_Data_NK_Upcoming!$K$2:$K$996,MATCH('Rig_Schedule_View (2)'!B212,Well_Data_NK_Upcoming!Concatenated_Wellname,0))=0,"",INDEX(Well_Data_NK_Upcoming!$K$2:$K$996,MATCH('Rig_Schedule_View (2)'!B212,Well_Data_NK_Upcoming!Concatenated_Wellname,0)))</f>
        <v/>
      </c>
      <c r="E212" s="421" t="str">
        <f ca="1">IF(INDEX(Well_Data_NK_Upcoming!$J$2:$J$996,MATCH('Rig_Schedule_View (2)'!B212,Well_Data_NK_Upcoming!Concatenated_Wellname,0))=0,"",INDEX(Well_Data_NK_Upcoming!$J$2:$J$996,MATCH('Rig_Schedule_View (2)'!B212,Well_Data_NK_Upcoming!Concatenated_Wellname,0)))</f>
        <v/>
      </c>
      <c r="F212" s="421" t="str">
        <f ca="1">IF(INDEX(Well_Data_NK_Upcoming!$L$2:$L$996,MATCH('Rig_Schedule_View (2)'!B212,Well_Data_NK_Upcoming!Concatenated_Wellname,0))=0,"",INDEX(Well_Data_NK_Upcoming!$L$2:$L$996,MATCH('Rig_Schedule_View (2)'!B212,Well_Data_NK_Upcoming!Concatenated_Wellname,0)))</f>
        <v/>
      </c>
      <c r="G212" s="421" t="str">
        <f ca="1">IF(INDEX(Well_Data_NK_Upcoming!$R$2:$R$996,MATCH('Rig_Schedule_View (2)'!B212,Well_Data_NK_Upcoming!Concatenated_Wellname,0))=0,"",INDEX(Well_Data_NK_Upcoming!$R$2:$R$996,MATCH('Rig_Schedule_View (2)'!B212,Well_Data_NK_Upcoming!Concatenated_Wellname,0)))</f>
        <v/>
      </c>
      <c r="H212" s="526"/>
      <c r="I212" s="443" t="str">
        <f ca="1">RigScheduleTest!$BB$18</f>
        <v/>
      </c>
      <c r="J212" s="443" t="str">
        <f ca="1">RigScheduleTest!$BC$18</f>
        <v/>
      </c>
      <c r="K212" s="574"/>
      <c r="L212" s="546"/>
      <c r="M212" s="544"/>
      <c r="N212" s="545"/>
      <c r="O212" s="545"/>
      <c r="P212" s="551"/>
    </row>
    <row r="213" spans="1:16" x14ac:dyDescent="0.25">
      <c r="A213" s="442" t="str">
        <f>RigScheduleTest!$B$18</f>
        <v>SP-282</v>
      </c>
      <c r="B213" s="442" t="str">
        <f ca="1">RigScheduleTest!$BE$18</f>
        <v/>
      </c>
      <c r="C213" s="421" t="str">
        <f ca="1">IF(INDEX(Well_Data_NK_Upcoming!$G$2:$G$996,MATCH('Rig_Schedule_View (2)'!B213,Well_Data_NK_Upcoming!Concatenated_Wellname,0))=0,"",INDEX(Well_Data_NK_Upcoming!$G$2:$G$996,MATCH('Rig_Schedule_View (2)'!B213,Well_Data_NK_Upcoming!Concatenated_Wellname,0)))</f>
        <v/>
      </c>
      <c r="D213" s="421" t="str">
        <f ca="1">IF(INDEX(Well_Data_NK_Upcoming!$K$2:$K$996,MATCH('Rig_Schedule_View (2)'!B213,Well_Data_NK_Upcoming!Concatenated_Wellname,0))=0,"",INDEX(Well_Data_NK_Upcoming!$K$2:$K$996,MATCH('Rig_Schedule_View (2)'!B213,Well_Data_NK_Upcoming!Concatenated_Wellname,0)))</f>
        <v/>
      </c>
      <c r="E213" s="421" t="str">
        <f ca="1">IF(INDEX(Well_Data_NK_Upcoming!$J$2:$J$996,MATCH('Rig_Schedule_View (2)'!B213,Well_Data_NK_Upcoming!Concatenated_Wellname,0))=0,"",INDEX(Well_Data_NK_Upcoming!$J$2:$J$996,MATCH('Rig_Schedule_View (2)'!B213,Well_Data_NK_Upcoming!Concatenated_Wellname,0)))</f>
        <v/>
      </c>
      <c r="F213" s="421" t="str">
        <f ca="1">IF(INDEX(Well_Data_NK_Upcoming!$L$2:$L$996,MATCH('Rig_Schedule_View (2)'!B213,Well_Data_NK_Upcoming!Concatenated_Wellname,0))=0,"",INDEX(Well_Data_NK_Upcoming!$L$2:$L$996,MATCH('Rig_Schedule_View (2)'!B213,Well_Data_NK_Upcoming!Concatenated_Wellname,0)))</f>
        <v/>
      </c>
      <c r="G213" s="421" t="str">
        <f ca="1">IF(INDEX(Well_Data_NK_Upcoming!$R$2:$R$996,MATCH('Rig_Schedule_View (2)'!B213,Well_Data_NK_Upcoming!Concatenated_Wellname,0))=0,"",INDEX(Well_Data_NK_Upcoming!$R$2:$R$996,MATCH('Rig_Schedule_View (2)'!B213,Well_Data_NK_Upcoming!Concatenated_Wellname,0)))</f>
        <v/>
      </c>
      <c r="H213" s="526"/>
      <c r="I213" s="443" t="str">
        <f ca="1">RigScheduleTest!$BH$18</f>
        <v/>
      </c>
      <c r="J213" s="443" t="str">
        <f ca="1">RigScheduleTest!$BI$18</f>
        <v/>
      </c>
      <c r="K213" s="574"/>
      <c r="L213" s="546"/>
      <c r="M213" s="544"/>
      <c r="N213" s="545"/>
      <c r="O213" s="545"/>
      <c r="P213" s="551"/>
    </row>
    <row r="214" spans="1:16" x14ac:dyDescent="0.25">
      <c r="A214" s="442" t="str">
        <f>RigScheduleTest!$B$18</f>
        <v>SP-282</v>
      </c>
      <c r="B214" s="442" t="str">
        <f ca="1">RigScheduleTest!$BK$18</f>
        <v/>
      </c>
      <c r="C214" s="421" t="str">
        <f ca="1">IF(INDEX(Well_Data_NK_Upcoming!$G$2:$G$996,MATCH('Rig_Schedule_View (2)'!B214,Well_Data_NK_Upcoming!Concatenated_Wellname,0))=0,"",INDEX(Well_Data_NK_Upcoming!$G$2:$G$996,MATCH('Rig_Schedule_View (2)'!B214,Well_Data_NK_Upcoming!Concatenated_Wellname,0)))</f>
        <v/>
      </c>
      <c r="D214" s="421" t="str">
        <f ca="1">IF(INDEX(Well_Data_NK_Upcoming!$K$2:$K$996,MATCH('Rig_Schedule_View (2)'!B214,Well_Data_NK_Upcoming!Concatenated_Wellname,0))=0,"",INDEX(Well_Data_NK_Upcoming!$K$2:$K$996,MATCH('Rig_Schedule_View (2)'!B214,Well_Data_NK_Upcoming!Concatenated_Wellname,0)))</f>
        <v/>
      </c>
      <c r="E214" s="421" t="str">
        <f ca="1">IF(INDEX(Well_Data_NK_Upcoming!$J$2:$J$996,MATCH('Rig_Schedule_View (2)'!B214,Well_Data_NK_Upcoming!Concatenated_Wellname,0))=0,"",INDEX(Well_Data_NK_Upcoming!$J$2:$J$996,MATCH('Rig_Schedule_View (2)'!B214,Well_Data_NK_Upcoming!Concatenated_Wellname,0)))</f>
        <v/>
      </c>
      <c r="F214" s="421" t="str">
        <f ca="1">IF(INDEX(Well_Data_NK_Upcoming!$L$2:$L$996,MATCH('Rig_Schedule_View (2)'!B214,Well_Data_NK_Upcoming!Concatenated_Wellname,0))=0,"",INDEX(Well_Data_NK_Upcoming!$L$2:$L$996,MATCH('Rig_Schedule_View (2)'!B214,Well_Data_NK_Upcoming!Concatenated_Wellname,0)))</f>
        <v/>
      </c>
      <c r="G214" s="421" t="str">
        <f ca="1">IF(INDEX(Well_Data_NK_Upcoming!$R$2:$R$996,MATCH('Rig_Schedule_View (2)'!B214,Well_Data_NK_Upcoming!Concatenated_Wellname,0))=0,"",INDEX(Well_Data_NK_Upcoming!$R$2:$R$996,MATCH('Rig_Schedule_View (2)'!B214,Well_Data_NK_Upcoming!Concatenated_Wellname,0)))</f>
        <v/>
      </c>
      <c r="H214" s="526"/>
      <c r="I214" s="443" t="str">
        <f ca="1">RigScheduleTest!$BN$18</f>
        <v/>
      </c>
      <c r="J214" s="443" t="str">
        <f ca="1">RigScheduleTest!$BO$18</f>
        <v/>
      </c>
      <c r="K214" s="574"/>
      <c r="L214" s="546"/>
      <c r="M214" s="544"/>
      <c r="N214" s="545"/>
      <c r="O214" s="545"/>
      <c r="P214" s="551"/>
    </row>
    <row r="215" spans="1:16" x14ac:dyDescent="0.25">
      <c r="A215" s="437" t="str">
        <f>RigScheduleTest!$B$1</f>
        <v>RIG</v>
      </c>
      <c r="B215" s="437" t="str">
        <f>$K$1</f>
        <v>Development Drilling</v>
      </c>
      <c r="C215" s="437" t="s">
        <v>1831</v>
      </c>
      <c r="D215" s="437" t="s">
        <v>867</v>
      </c>
      <c r="E215" s="437" t="s">
        <v>8</v>
      </c>
      <c r="F215" s="437" t="s">
        <v>2</v>
      </c>
      <c r="G215" s="437" t="s">
        <v>1513</v>
      </c>
      <c r="H215" s="438" t="str">
        <f>$K$3</f>
        <v>Rig Deployment Meeting</v>
      </c>
      <c r="I215" s="439" t="str">
        <f>$K$5</f>
        <v>Start</v>
      </c>
      <c r="J215" s="439" t="str">
        <f>$K$6</f>
        <v>End</v>
      </c>
      <c r="K215" s="444" t="s">
        <v>1068</v>
      </c>
      <c r="L215" s="444" t="s">
        <v>1577</v>
      </c>
      <c r="M215" s="496" t="s">
        <v>1934</v>
      </c>
      <c r="N215" s="504" t="s">
        <v>1940</v>
      </c>
      <c r="O215" s="504" t="s">
        <v>1941</v>
      </c>
      <c r="P215" s="502"/>
    </row>
    <row r="216" spans="1:16" x14ac:dyDescent="0.25">
      <c r="A216" s="442" t="str">
        <f>RigScheduleTest!$B$19</f>
        <v>SP-283</v>
      </c>
      <c r="B216" s="421" t="str">
        <f ca="1">RigScheduleTest!$D$19</f>
        <v>SA-0137-SA-MA-Prod-ST-HZ-BHI</v>
      </c>
      <c r="C216" s="421" t="str">
        <f ca="1">IF(INDEX(Well_Data_NK_Upcoming!$G$2:$G$996,MATCH('Rig_Schedule_View (2)'!B216,Well_Data_NK_Upcoming!Concatenated_Wellname,0))=0,"",INDEX(Well_Data_NK_Upcoming!$G$2:$G$996,MATCH('Rig_Schedule_View (2)'!B216,Well_Data_NK_Upcoming!Concatenated_Wellname,0)))</f>
        <v>MA</v>
      </c>
      <c r="D216" s="421" t="str">
        <f ca="1">IF(INDEX(Well_Data_NK_Upcoming!$K$2:$K$996,MATCH('Rig_Schedule_View (2)'!B216,Well_Data_NK_Upcoming!Concatenated_Wellname,0))=0,"",INDEX(Well_Data_NK_Upcoming!$K$2:$K$996,MATCH('Rig_Schedule_View (2)'!B216,Well_Data_NK_Upcoming!Concatenated_Wellname,0)))</f>
        <v>ST</v>
      </c>
      <c r="E216" s="421" t="str">
        <f ca="1">IF(INDEX(Well_Data_NK_Upcoming!$J$2:$J$996,MATCH('Rig_Schedule_View (2)'!B216,Well_Data_NK_Upcoming!Concatenated_Wellname,0))=0,"",INDEX(Well_Data_NK_Upcoming!$J$2:$J$996,MATCH('Rig_Schedule_View (2)'!B216,Well_Data_NK_Upcoming!Concatenated_Wellname,0)))</f>
        <v>Prod</v>
      </c>
      <c r="F216" s="421" t="str">
        <f ca="1">IF(INDEX(Well_Data_NK_Upcoming!$L$2:$L$996,MATCH('Rig_Schedule_View (2)'!B216,Well_Data_NK_Upcoming!Concatenated_Wellname,0))=0,"",INDEX(Well_Data_NK_Upcoming!$L$2:$L$996,MATCH('Rig_Schedule_View (2)'!B216,Well_Data_NK_Upcoming!Concatenated_Wellname,0)))</f>
        <v>HZ</v>
      </c>
      <c r="G216" s="421">
        <f ca="1">IF(INDEX(Well_Data_NK_Upcoming!$R$2:$R$996,MATCH('Rig_Schedule_View (2)'!B216,Well_Data_NK_Upcoming!Concatenated_Wellname,0))=0,"",INDEX(Well_Data_NK_Upcoming!$R$2:$R$996,MATCH('Rig_Schedule_View (2)'!B216,Well_Data_NK_Upcoming!Concatenated_Wellname,0)))</f>
        <v>61</v>
      </c>
      <c r="H216" s="526">
        <f>RigScheduleTest!$F$19</f>
        <v>42233</v>
      </c>
      <c r="I216" s="459">
        <f ca="1">IF(INDEX(Well_Data_NK_Upcoming!$O$2:$O$996,MATCH('Rig_Schedule_View (2)'!B216,Well_Data_NK_Upcoming!Concatenated_Wellname,0))=0,"",INDEX(Well_Data_NK_Upcoming!$O$2:$O$996,MATCH('Rig_Schedule_View (2)'!B216,Well_Data_NK_Upcoming!Concatenated_Wellname,0)))</f>
        <v>42208</v>
      </c>
      <c r="J216" s="446">
        <f ca="1">RigScheduleTest!$H$19</f>
        <v>42240</v>
      </c>
      <c r="K216" s="574" t="s">
        <v>1917</v>
      </c>
      <c r="L216" s="543"/>
      <c r="M216" s="544">
        <v>7</v>
      </c>
      <c r="N216" s="545"/>
      <c r="O216" s="545"/>
      <c r="P216" s="551"/>
    </row>
    <row r="217" spans="1:16" x14ac:dyDescent="0.25">
      <c r="A217" s="442" t="str">
        <f>RigScheduleTest!$B$19</f>
        <v>SP-283</v>
      </c>
      <c r="B217" s="441" t="str">
        <f ca="1">RigScheduleTest!$I$19</f>
        <v>RA-0165-RA-ZU-Inj-ST-V</v>
      </c>
      <c r="C217" s="421" t="str">
        <f ca="1">IF(INDEX(Well_Data_NK_Upcoming!$G$2:$G$996,MATCH('Rig_Schedule_View (2)'!B217,Well_Data_NK_Upcoming!Concatenated_Wellname,0))=0,"",INDEX(Well_Data_NK_Upcoming!$G$2:$G$996,MATCH('Rig_Schedule_View (2)'!B217,Well_Data_NK_Upcoming!Concatenated_Wellname,0)))</f>
        <v>ZU</v>
      </c>
      <c r="D217" s="421" t="str">
        <f ca="1">IF(INDEX(Well_Data_NK_Upcoming!$K$2:$K$996,MATCH('Rig_Schedule_View (2)'!B217,Well_Data_NK_Upcoming!Concatenated_Wellname,0))=0,"",INDEX(Well_Data_NK_Upcoming!$K$2:$K$996,MATCH('Rig_Schedule_View (2)'!B217,Well_Data_NK_Upcoming!Concatenated_Wellname,0)))</f>
        <v>ST</v>
      </c>
      <c r="E217" s="421" t="str">
        <f ca="1">IF(INDEX(Well_Data_NK_Upcoming!$J$2:$J$996,MATCH('Rig_Schedule_View (2)'!B217,Well_Data_NK_Upcoming!Concatenated_Wellname,0))=0,"",INDEX(Well_Data_NK_Upcoming!$J$2:$J$996,MATCH('Rig_Schedule_View (2)'!B217,Well_Data_NK_Upcoming!Concatenated_Wellname,0)))</f>
        <v>Inj</v>
      </c>
      <c r="F217" s="421" t="str">
        <f ca="1">IF(INDEX(Well_Data_NK_Upcoming!$L$2:$L$996,MATCH('Rig_Schedule_View (2)'!B217,Well_Data_NK_Upcoming!Concatenated_Wellname,0))=0,"",INDEX(Well_Data_NK_Upcoming!$L$2:$L$996,MATCH('Rig_Schedule_View (2)'!B217,Well_Data_NK_Upcoming!Concatenated_Wellname,0)))</f>
        <v>V</v>
      </c>
      <c r="G217" s="421">
        <f ca="1">IF(INDEX(Well_Data_NK_Upcoming!$R$2:$R$996,MATCH('Rig_Schedule_View (2)'!B217,Well_Data_NK_Upcoming!Concatenated_Wellname,0))=0,"",INDEX(Well_Data_NK_Upcoming!$R$2:$R$996,MATCH('Rig_Schedule_View (2)'!B217,Well_Data_NK_Upcoming!Concatenated_Wellname,0)))</f>
        <v>35</v>
      </c>
      <c r="H217" s="526"/>
      <c r="I217" s="440">
        <f ca="1">RigScheduleTest!$L$19</f>
        <v>42245</v>
      </c>
      <c r="J217" s="440">
        <f ca="1">RigScheduleTest!$M$19</f>
        <v>42275</v>
      </c>
      <c r="K217" s="574"/>
      <c r="L217" s="546" t="s">
        <v>2232</v>
      </c>
      <c r="M217" s="544"/>
      <c r="N217" s="545" t="s">
        <v>1981</v>
      </c>
      <c r="O217" s="545" t="s">
        <v>1980</v>
      </c>
      <c r="P217" s="551"/>
    </row>
    <row r="218" spans="1:16" x14ac:dyDescent="0.25">
      <c r="A218" s="442" t="str">
        <f>RigScheduleTest!$B$19</f>
        <v>SP-283</v>
      </c>
      <c r="B218" s="441" t="str">
        <f ca="1">RigScheduleTest!$O$19</f>
        <v>RA-0241-RA-MA-Prod-ST-HZ-Sperry</v>
      </c>
      <c r="C218" s="421" t="str">
        <f ca="1">IF(INDEX(Well_Data_NK_Upcoming!$G$2:$G$996,MATCH('Rig_Schedule_View (2)'!B218,Well_Data_NK_Upcoming!Concatenated_Wellname,0))=0,"",INDEX(Well_Data_NK_Upcoming!$G$2:$G$996,MATCH('Rig_Schedule_View (2)'!B218,Well_Data_NK_Upcoming!Concatenated_Wellname,0)))</f>
        <v>MA</v>
      </c>
      <c r="D218" s="421" t="str">
        <f ca="1">IF(INDEX(Well_Data_NK_Upcoming!$K$2:$K$996,MATCH('Rig_Schedule_View (2)'!B218,Well_Data_NK_Upcoming!Concatenated_Wellname,0))=0,"",INDEX(Well_Data_NK_Upcoming!$K$2:$K$996,MATCH('Rig_Schedule_View (2)'!B218,Well_Data_NK_Upcoming!Concatenated_Wellname,0)))</f>
        <v>ST</v>
      </c>
      <c r="E218" s="421" t="str">
        <f ca="1">IF(INDEX(Well_Data_NK_Upcoming!$J$2:$J$996,MATCH('Rig_Schedule_View (2)'!B218,Well_Data_NK_Upcoming!Concatenated_Wellname,0))=0,"",INDEX(Well_Data_NK_Upcoming!$J$2:$J$996,MATCH('Rig_Schedule_View (2)'!B218,Well_Data_NK_Upcoming!Concatenated_Wellname,0)))</f>
        <v>Prod</v>
      </c>
      <c r="F218" s="421" t="str">
        <f ca="1">IF(INDEX(Well_Data_NK_Upcoming!$L$2:$L$996,MATCH('Rig_Schedule_View (2)'!B218,Well_Data_NK_Upcoming!Concatenated_Wellname,0))=0,"",INDEX(Well_Data_NK_Upcoming!$L$2:$L$996,MATCH('Rig_Schedule_View (2)'!B218,Well_Data_NK_Upcoming!Concatenated_Wellname,0)))</f>
        <v>HZ</v>
      </c>
      <c r="G218" s="421">
        <f ca="1">IF(INDEX(Well_Data_NK_Upcoming!$R$2:$R$996,MATCH('Rig_Schedule_View (2)'!B218,Well_Data_NK_Upcoming!Concatenated_Wellname,0))=0,"",INDEX(Well_Data_NK_Upcoming!$R$2:$R$996,MATCH('Rig_Schedule_View (2)'!B218,Well_Data_NK_Upcoming!Concatenated_Wellname,0)))</f>
        <v>61</v>
      </c>
      <c r="H218" s="526"/>
      <c r="I218" s="440">
        <f ca="1">RigScheduleTest!$R$19</f>
        <v>42280</v>
      </c>
      <c r="J218" s="440">
        <f ca="1">RigScheduleTest!$S$19</f>
        <v>42336</v>
      </c>
      <c r="K218" s="574"/>
      <c r="L218" s="546" t="s">
        <v>1983</v>
      </c>
      <c r="M218" s="544"/>
      <c r="N218" s="545" t="s">
        <v>299</v>
      </c>
      <c r="O218" s="545"/>
      <c r="P218" s="551"/>
    </row>
    <row r="219" spans="1:16" x14ac:dyDescent="0.25">
      <c r="A219" s="442" t="str">
        <f>RigScheduleTest!$B$19</f>
        <v>SP-283</v>
      </c>
      <c r="B219" s="442" t="str">
        <f ca="1">RigScheduleTest!$U$19</f>
        <v>SA12-SA-UB-Prod-NW-SL</v>
      </c>
      <c r="C219" s="421" t="str">
        <f ca="1">IF(INDEX(Well_Data_NK_Upcoming!$G$2:$G$996,MATCH('Rig_Schedule_View (2)'!B219,Well_Data_NK_Upcoming!Concatenated_Wellname,0))=0,"",INDEX(Well_Data_NK_Upcoming!$G$2:$G$996,MATCH('Rig_Schedule_View (2)'!B219,Well_Data_NK_Upcoming!Concatenated_Wellname,0)))</f>
        <v>UB</v>
      </c>
      <c r="D219" s="421" t="str">
        <f ca="1">IF(INDEX(Well_Data_NK_Upcoming!$K$2:$K$996,MATCH('Rig_Schedule_View (2)'!B219,Well_Data_NK_Upcoming!Concatenated_Wellname,0))=0,"",INDEX(Well_Data_NK_Upcoming!$K$2:$K$996,MATCH('Rig_Schedule_View (2)'!B219,Well_Data_NK_Upcoming!Concatenated_Wellname,0)))</f>
        <v>NW</v>
      </c>
      <c r="E219" s="421" t="str">
        <f ca="1">IF(INDEX(Well_Data_NK_Upcoming!$J$2:$J$996,MATCH('Rig_Schedule_View (2)'!B219,Well_Data_NK_Upcoming!Concatenated_Wellname,0))=0,"",INDEX(Well_Data_NK_Upcoming!$J$2:$J$996,MATCH('Rig_Schedule_View (2)'!B219,Well_Data_NK_Upcoming!Concatenated_Wellname,0)))</f>
        <v>Prod</v>
      </c>
      <c r="F219" s="421" t="str">
        <f ca="1">IF(INDEX(Well_Data_NK_Upcoming!$L$2:$L$996,MATCH('Rig_Schedule_View (2)'!B219,Well_Data_NK_Upcoming!Concatenated_Wellname,0))=0,"",INDEX(Well_Data_NK_Upcoming!$L$2:$L$996,MATCH('Rig_Schedule_View (2)'!B219,Well_Data_NK_Upcoming!Concatenated_Wellname,0)))</f>
        <v>SL</v>
      </c>
      <c r="G219" s="421">
        <f ca="1">IF(INDEX(Well_Data_NK_Upcoming!$R$2:$R$996,MATCH('Rig_Schedule_View (2)'!B219,Well_Data_NK_Upcoming!Concatenated_Wellname,0))=0,"",INDEX(Well_Data_NK_Upcoming!$R$2:$R$996,MATCH('Rig_Schedule_View (2)'!B219,Well_Data_NK_Upcoming!Concatenated_Wellname,0)))</f>
        <v>75</v>
      </c>
      <c r="H219" s="526"/>
      <c r="I219" s="443">
        <f ca="1">RigScheduleTest!$X$19</f>
        <v>42341</v>
      </c>
      <c r="J219" s="443">
        <f ca="1">RigScheduleTest!$Y$19</f>
        <v>42411</v>
      </c>
      <c r="K219" s="574"/>
      <c r="L219" s="546"/>
      <c r="M219" s="544"/>
      <c r="N219" s="545"/>
      <c r="O219" s="545"/>
      <c r="P219" s="551"/>
    </row>
    <row r="220" spans="1:16" x14ac:dyDescent="0.25">
      <c r="A220" s="442" t="str">
        <f>RigScheduleTest!$B$19</f>
        <v>SP-283</v>
      </c>
      <c r="B220" s="442" t="str">
        <f ca="1">RigScheduleTest!$AA$19</f>
        <v>SA25-SA-MA-Prod-NW-HZ</v>
      </c>
      <c r="C220" s="421" t="str">
        <f ca="1">IF(INDEX(Well_Data_NK_Upcoming!$G$2:$G$996,MATCH('Rig_Schedule_View (2)'!B220,Well_Data_NK_Upcoming!Concatenated_Wellname,0))=0,"",INDEX(Well_Data_NK_Upcoming!$G$2:$G$996,MATCH('Rig_Schedule_View (2)'!B220,Well_Data_NK_Upcoming!Concatenated_Wellname,0)))</f>
        <v>MA</v>
      </c>
      <c r="D220" s="421" t="str">
        <f ca="1">IF(INDEX(Well_Data_NK_Upcoming!$K$2:$K$996,MATCH('Rig_Schedule_View (2)'!B220,Well_Data_NK_Upcoming!Concatenated_Wellname,0))=0,"",INDEX(Well_Data_NK_Upcoming!$K$2:$K$996,MATCH('Rig_Schedule_View (2)'!B220,Well_Data_NK_Upcoming!Concatenated_Wellname,0)))</f>
        <v>NW</v>
      </c>
      <c r="E220" s="421" t="str">
        <f ca="1">IF(INDEX(Well_Data_NK_Upcoming!$J$2:$J$996,MATCH('Rig_Schedule_View (2)'!B220,Well_Data_NK_Upcoming!Concatenated_Wellname,0))=0,"",INDEX(Well_Data_NK_Upcoming!$J$2:$J$996,MATCH('Rig_Schedule_View (2)'!B220,Well_Data_NK_Upcoming!Concatenated_Wellname,0)))</f>
        <v>Prod</v>
      </c>
      <c r="F220" s="421" t="str">
        <f ca="1">IF(INDEX(Well_Data_NK_Upcoming!$L$2:$L$996,MATCH('Rig_Schedule_View (2)'!B220,Well_Data_NK_Upcoming!Concatenated_Wellname,0))=0,"",INDEX(Well_Data_NK_Upcoming!$L$2:$L$996,MATCH('Rig_Schedule_View (2)'!B220,Well_Data_NK_Upcoming!Concatenated_Wellname,0)))</f>
        <v>HZ</v>
      </c>
      <c r="G220" s="421">
        <f ca="1">IF(INDEX(Well_Data_NK_Upcoming!$R$2:$R$996,MATCH('Rig_Schedule_View (2)'!B220,Well_Data_NK_Upcoming!Concatenated_Wellname,0))=0,"",INDEX(Well_Data_NK_Upcoming!$R$2:$R$996,MATCH('Rig_Schedule_View (2)'!B220,Well_Data_NK_Upcoming!Concatenated_Wellname,0)))</f>
        <v>75</v>
      </c>
      <c r="H220" s="526"/>
      <c r="I220" s="443">
        <f ca="1">RigScheduleTest!$AD$19</f>
        <v>42416</v>
      </c>
      <c r="J220" s="443">
        <f ca="1">RigScheduleTest!$AE$19</f>
        <v>42486</v>
      </c>
      <c r="K220" s="574"/>
      <c r="L220" s="546"/>
      <c r="M220" s="544"/>
      <c r="N220" s="545"/>
      <c r="O220" s="545"/>
      <c r="P220" s="551"/>
    </row>
    <row r="221" spans="1:16" x14ac:dyDescent="0.25">
      <c r="A221" s="442" t="str">
        <f>RigScheduleTest!$B$19</f>
        <v>SP-283</v>
      </c>
      <c r="B221" s="442" t="str">
        <f ca="1">RigScheduleTest!$AG$19</f>
        <v>SA43-SA-MA-Prod-NW-HZ</v>
      </c>
      <c r="C221" s="421" t="str">
        <f ca="1">IF(INDEX(Well_Data_NK_Upcoming!$G$2:$G$996,MATCH('Rig_Schedule_View (2)'!B221,Well_Data_NK_Upcoming!Concatenated_Wellname,0))=0,"",INDEX(Well_Data_NK_Upcoming!$G$2:$G$996,MATCH('Rig_Schedule_View (2)'!B221,Well_Data_NK_Upcoming!Concatenated_Wellname,0)))</f>
        <v>MA</v>
      </c>
      <c r="D221" s="421" t="str">
        <f ca="1">IF(INDEX(Well_Data_NK_Upcoming!$K$2:$K$996,MATCH('Rig_Schedule_View (2)'!B221,Well_Data_NK_Upcoming!Concatenated_Wellname,0))=0,"",INDEX(Well_Data_NK_Upcoming!$K$2:$K$996,MATCH('Rig_Schedule_View (2)'!B221,Well_Data_NK_Upcoming!Concatenated_Wellname,0)))</f>
        <v>NW</v>
      </c>
      <c r="E221" s="421" t="str">
        <f ca="1">IF(INDEX(Well_Data_NK_Upcoming!$J$2:$J$996,MATCH('Rig_Schedule_View (2)'!B221,Well_Data_NK_Upcoming!Concatenated_Wellname,0))=0,"",INDEX(Well_Data_NK_Upcoming!$J$2:$J$996,MATCH('Rig_Schedule_View (2)'!B221,Well_Data_NK_Upcoming!Concatenated_Wellname,0)))</f>
        <v>Prod</v>
      </c>
      <c r="F221" s="421" t="str">
        <f ca="1">IF(INDEX(Well_Data_NK_Upcoming!$L$2:$L$996,MATCH('Rig_Schedule_View (2)'!B221,Well_Data_NK_Upcoming!Concatenated_Wellname,0))=0,"",INDEX(Well_Data_NK_Upcoming!$L$2:$L$996,MATCH('Rig_Schedule_View (2)'!B221,Well_Data_NK_Upcoming!Concatenated_Wellname,0)))</f>
        <v>HZ</v>
      </c>
      <c r="G221" s="421">
        <f ca="1">IF(INDEX(Well_Data_NK_Upcoming!$R$2:$R$996,MATCH('Rig_Schedule_View (2)'!B221,Well_Data_NK_Upcoming!Concatenated_Wellname,0))=0,"",INDEX(Well_Data_NK_Upcoming!$R$2:$R$996,MATCH('Rig_Schedule_View (2)'!B221,Well_Data_NK_Upcoming!Concatenated_Wellname,0)))</f>
        <v>75</v>
      </c>
      <c r="H221" s="526"/>
      <c r="I221" s="443">
        <f ca="1">RigScheduleTest!$AJ$19</f>
        <v>42491</v>
      </c>
      <c r="J221" s="443">
        <f ca="1">RigScheduleTest!$AK$19</f>
        <v>42561</v>
      </c>
      <c r="K221" s="574"/>
      <c r="L221" s="546"/>
      <c r="M221" s="544"/>
      <c r="N221" s="545"/>
      <c r="O221" s="545"/>
      <c r="P221" s="551"/>
    </row>
    <row r="222" spans="1:16" x14ac:dyDescent="0.25">
      <c r="A222" s="442" t="str">
        <f>RigScheduleTest!$B$19</f>
        <v>SP-283</v>
      </c>
      <c r="B222" s="442" t="str">
        <f ca="1">RigScheduleTest!$AM$19</f>
        <v>RA32-RA-LB-Prod-NW-SL-SLB</v>
      </c>
      <c r="C222" s="421" t="str">
        <f ca="1">IF(INDEX(Well_Data_NK_Upcoming!$G$2:$G$996,MATCH('Rig_Schedule_View (2)'!B222,Well_Data_NK_Upcoming!Concatenated_Wellname,0))=0,"",INDEX(Well_Data_NK_Upcoming!$G$2:$G$996,MATCH('Rig_Schedule_View (2)'!B222,Well_Data_NK_Upcoming!Concatenated_Wellname,0)))</f>
        <v>LB</v>
      </c>
      <c r="D222" s="421" t="str">
        <f ca="1">IF(INDEX(Well_Data_NK_Upcoming!$K$2:$K$996,MATCH('Rig_Schedule_View (2)'!B222,Well_Data_NK_Upcoming!Concatenated_Wellname,0))=0,"",INDEX(Well_Data_NK_Upcoming!$K$2:$K$996,MATCH('Rig_Schedule_View (2)'!B222,Well_Data_NK_Upcoming!Concatenated_Wellname,0)))</f>
        <v>NW</v>
      </c>
      <c r="E222" s="421" t="str">
        <f ca="1">IF(INDEX(Well_Data_NK_Upcoming!$J$2:$J$996,MATCH('Rig_Schedule_View (2)'!B222,Well_Data_NK_Upcoming!Concatenated_Wellname,0))=0,"",INDEX(Well_Data_NK_Upcoming!$J$2:$J$996,MATCH('Rig_Schedule_View (2)'!B222,Well_Data_NK_Upcoming!Concatenated_Wellname,0)))</f>
        <v>Prod</v>
      </c>
      <c r="F222" s="421" t="str">
        <f ca="1">IF(INDEX(Well_Data_NK_Upcoming!$L$2:$L$996,MATCH('Rig_Schedule_View (2)'!B222,Well_Data_NK_Upcoming!Concatenated_Wellname,0))=0,"",INDEX(Well_Data_NK_Upcoming!$L$2:$L$996,MATCH('Rig_Schedule_View (2)'!B222,Well_Data_NK_Upcoming!Concatenated_Wellname,0)))</f>
        <v>SL</v>
      </c>
      <c r="G222" s="421">
        <f ca="1">IF(INDEX(Well_Data_NK_Upcoming!$R$2:$R$996,MATCH('Rig_Schedule_View (2)'!B222,Well_Data_NK_Upcoming!Concatenated_Wellname,0))=0,"",INDEX(Well_Data_NK_Upcoming!$R$2:$R$996,MATCH('Rig_Schedule_View (2)'!B222,Well_Data_NK_Upcoming!Concatenated_Wellname,0)))</f>
        <v>75</v>
      </c>
      <c r="H222" s="526"/>
      <c r="I222" s="443">
        <f ca="1">RigScheduleTest!$AP$19</f>
        <v>42566</v>
      </c>
      <c r="J222" s="443">
        <f ca="1">RigScheduleTest!$AQ$19</f>
        <v>42636</v>
      </c>
      <c r="K222" s="574"/>
      <c r="L222" s="546"/>
      <c r="M222" s="544"/>
      <c r="N222" s="545"/>
      <c r="O222" s="545"/>
      <c r="P222" s="551"/>
    </row>
    <row r="223" spans="1:16" x14ac:dyDescent="0.25">
      <c r="A223" s="442" t="str">
        <f>RigScheduleTest!$B$19</f>
        <v>SP-283</v>
      </c>
      <c r="B223" s="442" t="str">
        <f ca="1">RigScheduleTest!$AS$19</f>
        <v>RA39-RA-MA-Prod-NW-HZ-SLB</v>
      </c>
      <c r="C223" s="421" t="str">
        <f ca="1">IF(INDEX(Well_Data_NK_Upcoming!$G$2:$G$996,MATCH('Rig_Schedule_View (2)'!B223,Well_Data_NK_Upcoming!Concatenated_Wellname,0))=0,"",INDEX(Well_Data_NK_Upcoming!$G$2:$G$996,MATCH('Rig_Schedule_View (2)'!B223,Well_Data_NK_Upcoming!Concatenated_Wellname,0)))</f>
        <v>MA</v>
      </c>
      <c r="D223" s="421" t="str">
        <f ca="1">IF(INDEX(Well_Data_NK_Upcoming!$K$2:$K$996,MATCH('Rig_Schedule_View (2)'!B223,Well_Data_NK_Upcoming!Concatenated_Wellname,0))=0,"",INDEX(Well_Data_NK_Upcoming!$K$2:$K$996,MATCH('Rig_Schedule_View (2)'!B223,Well_Data_NK_Upcoming!Concatenated_Wellname,0)))</f>
        <v>NW</v>
      </c>
      <c r="E223" s="421" t="str">
        <f ca="1">IF(INDEX(Well_Data_NK_Upcoming!$J$2:$J$996,MATCH('Rig_Schedule_View (2)'!B223,Well_Data_NK_Upcoming!Concatenated_Wellname,0))=0,"",INDEX(Well_Data_NK_Upcoming!$J$2:$J$996,MATCH('Rig_Schedule_View (2)'!B223,Well_Data_NK_Upcoming!Concatenated_Wellname,0)))</f>
        <v>Prod</v>
      </c>
      <c r="F223" s="421" t="str">
        <f ca="1">IF(INDEX(Well_Data_NK_Upcoming!$L$2:$L$996,MATCH('Rig_Schedule_View (2)'!B223,Well_Data_NK_Upcoming!Concatenated_Wellname,0))=0,"",INDEX(Well_Data_NK_Upcoming!$L$2:$L$996,MATCH('Rig_Schedule_View (2)'!B223,Well_Data_NK_Upcoming!Concatenated_Wellname,0)))</f>
        <v>HZ</v>
      </c>
      <c r="G223" s="421">
        <f ca="1">IF(INDEX(Well_Data_NK_Upcoming!$R$2:$R$996,MATCH('Rig_Schedule_View (2)'!B223,Well_Data_NK_Upcoming!Concatenated_Wellname,0))=0,"",INDEX(Well_Data_NK_Upcoming!$R$2:$R$996,MATCH('Rig_Schedule_View (2)'!B223,Well_Data_NK_Upcoming!Concatenated_Wellname,0)))</f>
        <v>75</v>
      </c>
      <c r="H223" s="526"/>
      <c r="I223" s="443">
        <f ca="1">RigScheduleTest!$AV$19</f>
        <v>42641</v>
      </c>
      <c r="J223" s="443">
        <f ca="1">RigScheduleTest!$AW$19</f>
        <v>42711</v>
      </c>
      <c r="K223" s="574"/>
      <c r="L223" s="546"/>
      <c r="M223" s="544"/>
      <c r="N223" s="545"/>
      <c r="O223" s="545"/>
      <c r="P223" s="551"/>
    </row>
    <row r="224" spans="1:16" x14ac:dyDescent="0.25">
      <c r="A224" s="442" t="str">
        <f>RigScheduleTest!$B$19</f>
        <v>SP-283</v>
      </c>
      <c r="B224" s="442" t="str">
        <f ca="1">RigScheduleTest!$AY$19</f>
        <v>SA60-SA-MA-Inj-ST-SL</v>
      </c>
      <c r="C224" s="421" t="str">
        <f ca="1">IF(INDEX(Well_Data_NK_Upcoming!$G$2:$G$996,MATCH('Rig_Schedule_View (2)'!B224,Well_Data_NK_Upcoming!Concatenated_Wellname,0))=0,"",INDEX(Well_Data_NK_Upcoming!$G$2:$G$996,MATCH('Rig_Schedule_View (2)'!B224,Well_Data_NK_Upcoming!Concatenated_Wellname,0)))</f>
        <v>MA</v>
      </c>
      <c r="D224" s="421" t="str">
        <f ca="1">IF(INDEX(Well_Data_NK_Upcoming!$K$2:$K$996,MATCH('Rig_Schedule_View (2)'!B224,Well_Data_NK_Upcoming!Concatenated_Wellname,0))=0,"",INDEX(Well_Data_NK_Upcoming!$K$2:$K$996,MATCH('Rig_Schedule_View (2)'!B224,Well_Data_NK_Upcoming!Concatenated_Wellname,0)))</f>
        <v>ST</v>
      </c>
      <c r="E224" s="421" t="str">
        <f ca="1">IF(INDEX(Well_Data_NK_Upcoming!$J$2:$J$996,MATCH('Rig_Schedule_View (2)'!B224,Well_Data_NK_Upcoming!Concatenated_Wellname,0))=0,"",INDEX(Well_Data_NK_Upcoming!$J$2:$J$996,MATCH('Rig_Schedule_View (2)'!B224,Well_Data_NK_Upcoming!Concatenated_Wellname,0)))</f>
        <v>Inj</v>
      </c>
      <c r="F224" s="421" t="str">
        <f ca="1">IF(INDEX(Well_Data_NK_Upcoming!$L$2:$L$996,MATCH('Rig_Schedule_View (2)'!B224,Well_Data_NK_Upcoming!Concatenated_Wellname,0))=0,"",INDEX(Well_Data_NK_Upcoming!$L$2:$L$996,MATCH('Rig_Schedule_View (2)'!B224,Well_Data_NK_Upcoming!Concatenated_Wellname,0)))</f>
        <v>SL</v>
      </c>
      <c r="G224" s="421">
        <f ca="1">IF(INDEX(Well_Data_NK_Upcoming!$R$2:$R$996,MATCH('Rig_Schedule_View (2)'!B224,Well_Data_NK_Upcoming!Concatenated_Wellname,0))=0,"",INDEX(Well_Data_NK_Upcoming!$R$2:$R$996,MATCH('Rig_Schedule_View (2)'!B224,Well_Data_NK_Upcoming!Concatenated_Wellname,0)))</f>
        <v>61</v>
      </c>
      <c r="H224" s="526"/>
      <c r="I224" s="443">
        <f ca="1">RigScheduleTest!$BB$19</f>
        <v>42716</v>
      </c>
      <c r="J224" s="443">
        <f ca="1">RigScheduleTest!$BC$19</f>
        <v>42772</v>
      </c>
      <c r="K224" s="574"/>
      <c r="L224" s="546"/>
      <c r="M224" s="544"/>
      <c r="N224" s="545"/>
      <c r="O224" s="545"/>
      <c r="P224" s="551"/>
    </row>
    <row r="225" spans="1:16" x14ac:dyDescent="0.25">
      <c r="A225" s="442" t="str">
        <f>RigScheduleTest!$B$19</f>
        <v>SP-283</v>
      </c>
      <c r="B225" s="442" t="str">
        <f ca="1">RigScheduleTest!$BE$19</f>
        <v/>
      </c>
      <c r="C225" s="421" t="str">
        <f ca="1">IF(INDEX(Well_Data_NK_Upcoming!$G$2:$G$996,MATCH('Rig_Schedule_View (2)'!B225,Well_Data_NK_Upcoming!Concatenated_Wellname,0))=0,"",INDEX(Well_Data_NK_Upcoming!$G$2:$G$996,MATCH('Rig_Schedule_View (2)'!B225,Well_Data_NK_Upcoming!Concatenated_Wellname,0)))</f>
        <v/>
      </c>
      <c r="D225" s="421" t="str">
        <f ca="1">IF(INDEX(Well_Data_NK_Upcoming!$K$2:$K$996,MATCH('Rig_Schedule_View (2)'!B225,Well_Data_NK_Upcoming!Concatenated_Wellname,0))=0,"",INDEX(Well_Data_NK_Upcoming!$K$2:$K$996,MATCH('Rig_Schedule_View (2)'!B225,Well_Data_NK_Upcoming!Concatenated_Wellname,0)))</f>
        <v/>
      </c>
      <c r="E225" s="421" t="str">
        <f ca="1">IF(INDEX(Well_Data_NK_Upcoming!$J$2:$J$996,MATCH('Rig_Schedule_View (2)'!B225,Well_Data_NK_Upcoming!Concatenated_Wellname,0))=0,"",INDEX(Well_Data_NK_Upcoming!$J$2:$J$996,MATCH('Rig_Schedule_View (2)'!B225,Well_Data_NK_Upcoming!Concatenated_Wellname,0)))</f>
        <v/>
      </c>
      <c r="F225" s="421" t="str">
        <f ca="1">IF(INDEX(Well_Data_NK_Upcoming!$L$2:$L$996,MATCH('Rig_Schedule_View (2)'!B225,Well_Data_NK_Upcoming!Concatenated_Wellname,0))=0,"",INDEX(Well_Data_NK_Upcoming!$L$2:$L$996,MATCH('Rig_Schedule_View (2)'!B225,Well_Data_NK_Upcoming!Concatenated_Wellname,0)))</f>
        <v/>
      </c>
      <c r="G225" s="421" t="str">
        <f ca="1">IF(INDEX(Well_Data_NK_Upcoming!$R$2:$R$996,MATCH('Rig_Schedule_View (2)'!B225,Well_Data_NK_Upcoming!Concatenated_Wellname,0))=0,"",INDEX(Well_Data_NK_Upcoming!$R$2:$R$996,MATCH('Rig_Schedule_View (2)'!B225,Well_Data_NK_Upcoming!Concatenated_Wellname,0)))</f>
        <v/>
      </c>
      <c r="H225" s="526"/>
      <c r="I225" s="443" t="str">
        <f ca="1">RigScheduleTest!$BH$19</f>
        <v/>
      </c>
      <c r="J225" s="443" t="str">
        <f ca="1">RigScheduleTest!$BI$19</f>
        <v/>
      </c>
      <c r="K225" s="574"/>
      <c r="L225" s="546"/>
      <c r="M225" s="544"/>
      <c r="N225" s="545"/>
      <c r="O225" s="545"/>
      <c r="P225" s="551"/>
    </row>
    <row r="226" spans="1:16" x14ac:dyDescent="0.25">
      <c r="A226" s="442" t="str">
        <f>RigScheduleTest!$B$19</f>
        <v>SP-283</v>
      </c>
      <c r="B226" s="442" t="str">
        <f ca="1">RigScheduleTest!$BK$19</f>
        <v/>
      </c>
      <c r="C226" s="421" t="str">
        <f ca="1">IF(INDEX(Well_Data_NK_Upcoming!$G$2:$G$996,MATCH('Rig_Schedule_View (2)'!B226,Well_Data_NK_Upcoming!Concatenated_Wellname,0))=0,"",INDEX(Well_Data_NK_Upcoming!$G$2:$G$996,MATCH('Rig_Schedule_View (2)'!B226,Well_Data_NK_Upcoming!Concatenated_Wellname,0)))</f>
        <v/>
      </c>
      <c r="D226" s="421" t="str">
        <f ca="1">IF(INDEX(Well_Data_NK_Upcoming!$K$2:$K$996,MATCH('Rig_Schedule_View (2)'!B226,Well_Data_NK_Upcoming!Concatenated_Wellname,0))=0,"",INDEX(Well_Data_NK_Upcoming!$K$2:$K$996,MATCH('Rig_Schedule_View (2)'!B226,Well_Data_NK_Upcoming!Concatenated_Wellname,0)))</f>
        <v/>
      </c>
      <c r="E226" s="421" t="str">
        <f ca="1">IF(INDEX(Well_Data_NK_Upcoming!$J$2:$J$996,MATCH('Rig_Schedule_View (2)'!B226,Well_Data_NK_Upcoming!Concatenated_Wellname,0))=0,"",INDEX(Well_Data_NK_Upcoming!$J$2:$J$996,MATCH('Rig_Schedule_View (2)'!B226,Well_Data_NK_Upcoming!Concatenated_Wellname,0)))</f>
        <v/>
      </c>
      <c r="F226" s="421" t="str">
        <f ca="1">IF(INDEX(Well_Data_NK_Upcoming!$L$2:$L$996,MATCH('Rig_Schedule_View (2)'!B226,Well_Data_NK_Upcoming!Concatenated_Wellname,0))=0,"",INDEX(Well_Data_NK_Upcoming!$L$2:$L$996,MATCH('Rig_Schedule_View (2)'!B226,Well_Data_NK_Upcoming!Concatenated_Wellname,0)))</f>
        <v/>
      </c>
      <c r="G226" s="421" t="str">
        <f ca="1">IF(INDEX(Well_Data_NK_Upcoming!$R$2:$R$996,MATCH('Rig_Schedule_View (2)'!B226,Well_Data_NK_Upcoming!Concatenated_Wellname,0))=0,"",INDEX(Well_Data_NK_Upcoming!$R$2:$R$996,MATCH('Rig_Schedule_View (2)'!B226,Well_Data_NK_Upcoming!Concatenated_Wellname,0)))</f>
        <v/>
      </c>
      <c r="H226" s="526"/>
      <c r="I226" s="443" t="str">
        <f ca="1">RigScheduleTest!$BN$19</f>
        <v/>
      </c>
      <c r="J226" s="443" t="str">
        <f ca="1">RigScheduleTest!$BO$19</f>
        <v/>
      </c>
      <c r="K226" s="574"/>
      <c r="L226" s="546"/>
      <c r="M226" s="544"/>
      <c r="N226" s="545"/>
      <c r="O226" s="545"/>
      <c r="P226" s="551"/>
    </row>
    <row r="227" spans="1:16" x14ac:dyDescent="0.25">
      <c r="A227" s="437" t="str">
        <f>RigScheduleTest!$B$1</f>
        <v>RIG</v>
      </c>
      <c r="B227" s="437" t="str">
        <f>$K$1</f>
        <v>Development Drilling</v>
      </c>
      <c r="C227" s="437" t="s">
        <v>1831</v>
      </c>
      <c r="D227" s="437" t="s">
        <v>867</v>
      </c>
      <c r="E227" s="437" t="s">
        <v>8</v>
      </c>
      <c r="F227" s="437" t="s">
        <v>2</v>
      </c>
      <c r="G227" s="437" t="s">
        <v>1513</v>
      </c>
      <c r="H227" s="438" t="str">
        <f>$K$3</f>
        <v>Rig Deployment Meeting</v>
      </c>
      <c r="I227" s="439" t="str">
        <f>$K$5</f>
        <v>Start</v>
      </c>
      <c r="J227" s="439" t="str">
        <f>$K$6</f>
        <v>End</v>
      </c>
      <c r="K227" s="444" t="s">
        <v>1068</v>
      </c>
      <c r="L227" s="444" t="s">
        <v>1577</v>
      </c>
      <c r="M227" s="496" t="s">
        <v>1934</v>
      </c>
      <c r="N227" s="504" t="s">
        <v>1940</v>
      </c>
      <c r="O227" s="504" t="s">
        <v>1941</v>
      </c>
      <c r="P227" s="502"/>
    </row>
    <row r="228" spans="1:16" x14ac:dyDescent="0.25">
      <c r="A228" s="442" t="str">
        <f>RigScheduleTest!$B$20</f>
        <v>SP-288</v>
      </c>
      <c r="B228" s="421" t="str">
        <f ca="1">RigScheduleTest!$D$20</f>
        <v>SA-0152-SA-MA-Prod-ST-HZ-SLB</v>
      </c>
      <c r="C228" s="421" t="str">
        <f ca="1">IF(INDEX(Well_Data_NK_Upcoming!$G$2:$G$996,MATCH('Rig_Schedule_View (2)'!B228,Well_Data_NK_Upcoming!Concatenated_Wellname,0))=0,"",INDEX(Well_Data_NK_Upcoming!$G$2:$G$996,MATCH('Rig_Schedule_View (2)'!B228,Well_Data_NK_Upcoming!Concatenated_Wellname,0)))</f>
        <v>MA</v>
      </c>
      <c r="D228" s="421" t="str">
        <f ca="1">IF(INDEX(Well_Data_NK_Upcoming!$K$2:$K$996,MATCH('Rig_Schedule_View (2)'!B228,Well_Data_NK_Upcoming!Concatenated_Wellname,0))=0,"",INDEX(Well_Data_NK_Upcoming!$K$2:$K$996,MATCH('Rig_Schedule_View (2)'!B228,Well_Data_NK_Upcoming!Concatenated_Wellname,0)))</f>
        <v>ST</v>
      </c>
      <c r="E228" s="421" t="str">
        <f ca="1">IF(INDEX(Well_Data_NK_Upcoming!$J$2:$J$996,MATCH('Rig_Schedule_View (2)'!B228,Well_Data_NK_Upcoming!Concatenated_Wellname,0))=0,"",INDEX(Well_Data_NK_Upcoming!$J$2:$J$996,MATCH('Rig_Schedule_View (2)'!B228,Well_Data_NK_Upcoming!Concatenated_Wellname,0)))</f>
        <v>Prod</v>
      </c>
      <c r="F228" s="421" t="str">
        <f ca="1">IF(INDEX(Well_Data_NK_Upcoming!$L$2:$L$996,MATCH('Rig_Schedule_View (2)'!B228,Well_Data_NK_Upcoming!Concatenated_Wellname,0))=0,"",INDEX(Well_Data_NK_Upcoming!$L$2:$L$996,MATCH('Rig_Schedule_View (2)'!B228,Well_Data_NK_Upcoming!Concatenated_Wellname,0)))</f>
        <v>HZ</v>
      </c>
      <c r="G228" s="421">
        <f ca="1">IF(INDEX(Well_Data_NK_Upcoming!$R$2:$R$996,MATCH('Rig_Schedule_View (2)'!B228,Well_Data_NK_Upcoming!Concatenated_Wellname,0))=0,"",INDEX(Well_Data_NK_Upcoming!$R$2:$R$996,MATCH('Rig_Schedule_View (2)'!B228,Well_Data_NK_Upcoming!Concatenated_Wellname,0)))</f>
        <v>61</v>
      </c>
      <c r="H228" s="526">
        <f>RigScheduleTest!$F$20</f>
        <v>42233</v>
      </c>
      <c r="I228" s="459" t="str">
        <f ca="1">IF(INDEX(Well_Data_NK_Upcoming!$O$2:$O$996,MATCH('Rig_Schedule_View (2)'!B228,Well_Data_NK_Upcoming!Concatenated_Wellname,0))=0,"",INDEX(Well_Data_NK_Upcoming!$O$2:$O$996,MATCH('Rig_Schedule_View (2)'!B228,Well_Data_NK_Upcoming!Concatenated_Wellname,0)))</f>
        <v xml:space="preserve"> 8/19/2015 3:00</v>
      </c>
      <c r="J228" s="446">
        <f ca="1">RigScheduleTest!$H$20</f>
        <v>42275</v>
      </c>
      <c r="K228" s="574" t="s">
        <v>1917</v>
      </c>
      <c r="L228" s="543" t="s">
        <v>457</v>
      </c>
      <c r="M228" s="544" t="s">
        <v>2228</v>
      </c>
      <c r="N228" s="545"/>
      <c r="O228" s="545"/>
      <c r="P228" s="551"/>
    </row>
    <row r="229" spans="1:16" x14ac:dyDescent="0.25">
      <c r="A229" s="442" t="str">
        <f>RigScheduleTest!$B$20</f>
        <v>SP-288</v>
      </c>
      <c r="B229" s="441" t="str">
        <f ca="1">RigScheduleTest!$I$20</f>
        <v>RA-0575-RA-LB-Prod-NW-SL-WFD</v>
      </c>
      <c r="C229" s="421" t="str">
        <f ca="1">IF(INDEX(Well_Data_NK_Upcoming!$G$2:$G$996,MATCH('Rig_Schedule_View (2)'!B229,Well_Data_NK_Upcoming!Concatenated_Wellname,0))=0,"",INDEX(Well_Data_NK_Upcoming!$G$2:$G$996,MATCH('Rig_Schedule_View (2)'!B229,Well_Data_NK_Upcoming!Concatenated_Wellname,0)))</f>
        <v>LB</v>
      </c>
      <c r="D229" s="421" t="str">
        <f ca="1">IF(INDEX(Well_Data_NK_Upcoming!$K$2:$K$996,MATCH('Rig_Schedule_View (2)'!B229,Well_Data_NK_Upcoming!Concatenated_Wellname,0))=0,"",INDEX(Well_Data_NK_Upcoming!$K$2:$K$996,MATCH('Rig_Schedule_View (2)'!B229,Well_Data_NK_Upcoming!Concatenated_Wellname,0)))</f>
        <v>NW</v>
      </c>
      <c r="E229" s="421" t="str">
        <f ca="1">IF(INDEX(Well_Data_NK_Upcoming!$J$2:$J$996,MATCH('Rig_Schedule_View (2)'!B229,Well_Data_NK_Upcoming!Concatenated_Wellname,0))=0,"",INDEX(Well_Data_NK_Upcoming!$J$2:$J$996,MATCH('Rig_Schedule_View (2)'!B229,Well_Data_NK_Upcoming!Concatenated_Wellname,0)))</f>
        <v>Prod</v>
      </c>
      <c r="F229" s="421" t="str">
        <f ca="1">IF(INDEX(Well_Data_NK_Upcoming!$L$2:$L$996,MATCH('Rig_Schedule_View (2)'!B229,Well_Data_NK_Upcoming!Concatenated_Wellname,0))=0,"",INDEX(Well_Data_NK_Upcoming!$L$2:$L$996,MATCH('Rig_Schedule_View (2)'!B229,Well_Data_NK_Upcoming!Concatenated_Wellname,0)))</f>
        <v>SL</v>
      </c>
      <c r="G229" s="421">
        <f ca="1">IF(INDEX(Well_Data_NK_Upcoming!$R$2:$R$996,MATCH('Rig_Schedule_View (2)'!B229,Well_Data_NK_Upcoming!Concatenated_Wellname,0))=0,"",INDEX(Well_Data_NK_Upcoming!$R$2:$R$996,MATCH('Rig_Schedule_View (2)'!B229,Well_Data_NK_Upcoming!Concatenated_Wellname,0)))</f>
        <v>75</v>
      </c>
      <c r="H229" s="526"/>
      <c r="I229" s="440">
        <f ca="1">RigScheduleTest!$L$20</f>
        <v>42280</v>
      </c>
      <c r="J229" s="440">
        <f ca="1">RigScheduleTest!$M$20</f>
        <v>42350</v>
      </c>
      <c r="K229" s="574"/>
      <c r="L229" s="546"/>
      <c r="M229" s="544"/>
      <c r="N229" s="545" t="s">
        <v>1981</v>
      </c>
      <c r="O229" s="545" t="s">
        <v>1981</v>
      </c>
      <c r="P229" s="551"/>
    </row>
    <row r="230" spans="1:16" x14ac:dyDescent="0.25">
      <c r="A230" s="442" t="str">
        <f>RigScheduleTest!$B$20</f>
        <v>SP-288</v>
      </c>
      <c r="B230" s="441" t="str">
        <f ca="1">RigScheduleTest!$O$20</f>
        <v>SA-0060-SA-MA-Prod-ST-HZ-SLB</v>
      </c>
      <c r="C230" s="421" t="str">
        <f ca="1">IF(INDEX(Well_Data_NK_Upcoming!$G$2:$G$996,MATCH('Rig_Schedule_View (2)'!B230,Well_Data_NK_Upcoming!Concatenated_Wellname,0))=0,"",INDEX(Well_Data_NK_Upcoming!$G$2:$G$996,MATCH('Rig_Schedule_View (2)'!B230,Well_Data_NK_Upcoming!Concatenated_Wellname,0)))</f>
        <v>MA</v>
      </c>
      <c r="D230" s="421" t="str">
        <f ca="1">IF(INDEX(Well_Data_NK_Upcoming!$K$2:$K$996,MATCH('Rig_Schedule_View (2)'!B230,Well_Data_NK_Upcoming!Concatenated_Wellname,0))=0,"",INDEX(Well_Data_NK_Upcoming!$K$2:$K$996,MATCH('Rig_Schedule_View (2)'!B230,Well_Data_NK_Upcoming!Concatenated_Wellname,0)))</f>
        <v>ST</v>
      </c>
      <c r="E230" s="421" t="str">
        <f ca="1">IF(INDEX(Well_Data_NK_Upcoming!$J$2:$J$996,MATCH('Rig_Schedule_View (2)'!B230,Well_Data_NK_Upcoming!Concatenated_Wellname,0))=0,"",INDEX(Well_Data_NK_Upcoming!$J$2:$J$996,MATCH('Rig_Schedule_View (2)'!B230,Well_Data_NK_Upcoming!Concatenated_Wellname,0)))</f>
        <v>Prod</v>
      </c>
      <c r="F230" s="421" t="str">
        <f ca="1">IF(INDEX(Well_Data_NK_Upcoming!$L$2:$L$996,MATCH('Rig_Schedule_View (2)'!B230,Well_Data_NK_Upcoming!Concatenated_Wellname,0))=0,"",INDEX(Well_Data_NK_Upcoming!$L$2:$L$996,MATCH('Rig_Schedule_View (2)'!B230,Well_Data_NK_Upcoming!Concatenated_Wellname,0)))</f>
        <v>HZ</v>
      </c>
      <c r="G230" s="421">
        <f ca="1">IF(INDEX(Well_Data_NK_Upcoming!$R$2:$R$996,MATCH('Rig_Schedule_View (2)'!B230,Well_Data_NK_Upcoming!Concatenated_Wellname,0))=0,"",INDEX(Well_Data_NK_Upcoming!$R$2:$R$996,MATCH('Rig_Schedule_View (2)'!B230,Well_Data_NK_Upcoming!Concatenated_Wellname,0)))</f>
        <v>61</v>
      </c>
      <c r="H230" s="526"/>
      <c r="I230" s="440">
        <f ca="1">RigScheduleTest!$R$20</f>
        <v>42355</v>
      </c>
      <c r="J230" s="440">
        <f ca="1">RigScheduleTest!$S$20</f>
        <v>42411</v>
      </c>
      <c r="K230" s="574"/>
      <c r="L230" s="546" t="s">
        <v>2219</v>
      </c>
      <c r="M230" s="544"/>
      <c r="N230" s="545"/>
      <c r="O230" s="545" t="s">
        <v>1984</v>
      </c>
      <c r="P230" s="551"/>
    </row>
    <row r="231" spans="1:16" x14ac:dyDescent="0.25">
      <c r="A231" s="442" t="str">
        <f>RigScheduleTest!$B$20</f>
        <v>SP-288</v>
      </c>
      <c r="B231" s="442" t="str">
        <f ca="1">RigScheduleTest!$U$20</f>
        <v>RA12-RA-LB-Prod-NW-HZ-SLB</v>
      </c>
      <c r="C231" s="421" t="str">
        <f ca="1">IF(INDEX(Well_Data_NK_Upcoming!$G$2:$G$996,MATCH('Rig_Schedule_View (2)'!B231,Well_Data_NK_Upcoming!Concatenated_Wellname,0))=0,"",INDEX(Well_Data_NK_Upcoming!$G$2:$G$996,MATCH('Rig_Schedule_View (2)'!B231,Well_Data_NK_Upcoming!Concatenated_Wellname,0)))</f>
        <v>LB</v>
      </c>
      <c r="D231" s="421" t="str">
        <f ca="1">IF(INDEX(Well_Data_NK_Upcoming!$K$2:$K$996,MATCH('Rig_Schedule_View (2)'!B231,Well_Data_NK_Upcoming!Concatenated_Wellname,0))=0,"",INDEX(Well_Data_NK_Upcoming!$K$2:$K$996,MATCH('Rig_Schedule_View (2)'!B231,Well_Data_NK_Upcoming!Concatenated_Wellname,0)))</f>
        <v>NW</v>
      </c>
      <c r="E231" s="421" t="str">
        <f ca="1">IF(INDEX(Well_Data_NK_Upcoming!$J$2:$J$996,MATCH('Rig_Schedule_View (2)'!B231,Well_Data_NK_Upcoming!Concatenated_Wellname,0))=0,"",INDEX(Well_Data_NK_Upcoming!$J$2:$J$996,MATCH('Rig_Schedule_View (2)'!B231,Well_Data_NK_Upcoming!Concatenated_Wellname,0)))</f>
        <v>Prod</v>
      </c>
      <c r="F231" s="421" t="str">
        <f ca="1">IF(INDEX(Well_Data_NK_Upcoming!$L$2:$L$996,MATCH('Rig_Schedule_View (2)'!B231,Well_Data_NK_Upcoming!Concatenated_Wellname,0))=0,"",INDEX(Well_Data_NK_Upcoming!$L$2:$L$996,MATCH('Rig_Schedule_View (2)'!B231,Well_Data_NK_Upcoming!Concatenated_Wellname,0)))</f>
        <v>HZ</v>
      </c>
      <c r="G231" s="421">
        <f ca="1">IF(INDEX(Well_Data_NK_Upcoming!$R$2:$R$996,MATCH('Rig_Schedule_View (2)'!B231,Well_Data_NK_Upcoming!Concatenated_Wellname,0))=0,"",INDEX(Well_Data_NK_Upcoming!$R$2:$R$996,MATCH('Rig_Schedule_View (2)'!B231,Well_Data_NK_Upcoming!Concatenated_Wellname,0)))</f>
        <v>75</v>
      </c>
      <c r="H231" s="526"/>
      <c r="I231" s="443">
        <f ca="1">RigScheduleTest!$X$20</f>
        <v>42416</v>
      </c>
      <c r="J231" s="443">
        <f ca="1">RigScheduleTest!$Y$20</f>
        <v>42486</v>
      </c>
      <c r="K231" s="574"/>
      <c r="L231" s="546" t="s">
        <v>1985</v>
      </c>
      <c r="M231" s="544"/>
      <c r="N231" s="545"/>
      <c r="O231" s="545"/>
      <c r="P231" s="551"/>
    </row>
    <row r="232" spans="1:16" x14ac:dyDescent="0.25">
      <c r="A232" s="442" t="str">
        <f>RigScheduleTest!$B$20</f>
        <v>SP-288</v>
      </c>
      <c r="B232" s="442" t="str">
        <f ca="1">RigScheduleTest!$AA$20</f>
        <v>SA26-SA-MA-Prod-NW-HZ</v>
      </c>
      <c r="C232" s="421" t="str">
        <f ca="1">IF(INDEX(Well_Data_NK_Upcoming!$G$2:$G$996,MATCH('Rig_Schedule_View (2)'!B232,Well_Data_NK_Upcoming!Concatenated_Wellname,0))=0,"",INDEX(Well_Data_NK_Upcoming!$G$2:$G$996,MATCH('Rig_Schedule_View (2)'!B232,Well_Data_NK_Upcoming!Concatenated_Wellname,0)))</f>
        <v>MA</v>
      </c>
      <c r="D232" s="421" t="str">
        <f ca="1">IF(INDEX(Well_Data_NK_Upcoming!$K$2:$K$996,MATCH('Rig_Schedule_View (2)'!B232,Well_Data_NK_Upcoming!Concatenated_Wellname,0))=0,"",INDEX(Well_Data_NK_Upcoming!$K$2:$K$996,MATCH('Rig_Schedule_View (2)'!B232,Well_Data_NK_Upcoming!Concatenated_Wellname,0)))</f>
        <v>NW</v>
      </c>
      <c r="E232" s="421" t="str">
        <f ca="1">IF(INDEX(Well_Data_NK_Upcoming!$J$2:$J$996,MATCH('Rig_Schedule_View (2)'!B232,Well_Data_NK_Upcoming!Concatenated_Wellname,0))=0,"",INDEX(Well_Data_NK_Upcoming!$J$2:$J$996,MATCH('Rig_Schedule_View (2)'!B232,Well_Data_NK_Upcoming!Concatenated_Wellname,0)))</f>
        <v>Prod</v>
      </c>
      <c r="F232" s="421" t="str">
        <f ca="1">IF(INDEX(Well_Data_NK_Upcoming!$L$2:$L$996,MATCH('Rig_Schedule_View (2)'!B232,Well_Data_NK_Upcoming!Concatenated_Wellname,0))=0,"",INDEX(Well_Data_NK_Upcoming!$L$2:$L$996,MATCH('Rig_Schedule_View (2)'!B232,Well_Data_NK_Upcoming!Concatenated_Wellname,0)))</f>
        <v>HZ</v>
      </c>
      <c r="G232" s="421">
        <f ca="1">IF(INDEX(Well_Data_NK_Upcoming!$R$2:$R$996,MATCH('Rig_Schedule_View (2)'!B232,Well_Data_NK_Upcoming!Concatenated_Wellname,0))=0,"",INDEX(Well_Data_NK_Upcoming!$R$2:$R$996,MATCH('Rig_Schedule_View (2)'!B232,Well_Data_NK_Upcoming!Concatenated_Wellname,0)))</f>
        <v>75</v>
      </c>
      <c r="H232" s="526"/>
      <c r="I232" s="443">
        <f ca="1">RigScheduleTest!$AD$20</f>
        <v>42491</v>
      </c>
      <c r="J232" s="443">
        <f ca="1">RigScheduleTest!$AE$20</f>
        <v>42561</v>
      </c>
      <c r="K232" s="574"/>
      <c r="L232" s="546"/>
      <c r="M232" s="544"/>
      <c r="N232" s="545"/>
      <c r="O232" s="545"/>
      <c r="P232" s="551"/>
    </row>
    <row r="233" spans="1:16" x14ac:dyDescent="0.25">
      <c r="A233" s="442" t="str">
        <f>RigScheduleTest!$B$20</f>
        <v>SP-288</v>
      </c>
      <c r="B233" s="442" t="str">
        <f ca="1">RigScheduleTest!$AG$20</f>
        <v>SA44-SA-MA-Prod-NW-HZ</v>
      </c>
      <c r="C233" s="421" t="str">
        <f ca="1">IF(INDEX(Well_Data_NK_Upcoming!$G$2:$G$996,MATCH('Rig_Schedule_View (2)'!B233,Well_Data_NK_Upcoming!Concatenated_Wellname,0))=0,"",INDEX(Well_Data_NK_Upcoming!$G$2:$G$996,MATCH('Rig_Schedule_View (2)'!B233,Well_Data_NK_Upcoming!Concatenated_Wellname,0)))</f>
        <v>MA</v>
      </c>
      <c r="D233" s="421" t="str">
        <f ca="1">IF(INDEX(Well_Data_NK_Upcoming!$K$2:$K$996,MATCH('Rig_Schedule_View (2)'!B233,Well_Data_NK_Upcoming!Concatenated_Wellname,0))=0,"",INDEX(Well_Data_NK_Upcoming!$K$2:$K$996,MATCH('Rig_Schedule_View (2)'!B233,Well_Data_NK_Upcoming!Concatenated_Wellname,0)))</f>
        <v>NW</v>
      </c>
      <c r="E233" s="421" t="str">
        <f ca="1">IF(INDEX(Well_Data_NK_Upcoming!$J$2:$J$996,MATCH('Rig_Schedule_View (2)'!B233,Well_Data_NK_Upcoming!Concatenated_Wellname,0))=0,"",INDEX(Well_Data_NK_Upcoming!$J$2:$J$996,MATCH('Rig_Schedule_View (2)'!B233,Well_Data_NK_Upcoming!Concatenated_Wellname,0)))</f>
        <v>Prod</v>
      </c>
      <c r="F233" s="421" t="str">
        <f ca="1">IF(INDEX(Well_Data_NK_Upcoming!$L$2:$L$996,MATCH('Rig_Schedule_View (2)'!B233,Well_Data_NK_Upcoming!Concatenated_Wellname,0))=0,"",INDEX(Well_Data_NK_Upcoming!$L$2:$L$996,MATCH('Rig_Schedule_View (2)'!B233,Well_Data_NK_Upcoming!Concatenated_Wellname,0)))</f>
        <v>HZ</v>
      </c>
      <c r="G233" s="421">
        <f ca="1">IF(INDEX(Well_Data_NK_Upcoming!$R$2:$R$996,MATCH('Rig_Schedule_View (2)'!B233,Well_Data_NK_Upcoming!Concatenated_Wellname,0))=0,"",INDEX(Well_Data_NK_Upcoming!$R$2:$R$996,MATCH('Rig_Schedule_View (2)'!B233,Well_Data_NK_Upcoming!Concatenated_Wellname,0)))</f>
        <v>75</v>
      </c>
      <c r="H233" s="526"/>
      <c r="I233" s="443">
        <f ca="1">RigScheduleTest!$AJ$20</f>
        <v>42566</v>
      </c>
      <c r="J233" s="443">
        <f ca="1">RigScheduleTest!$AK$20</f>
        <v>42636</v>
      </c>
      <c r="K233" s="574"/>
      <c r="L233" s="546"/>
      <c r="M233" s="544"/>
      <c r="N233" s="545"/>
      <c r="O233" s="545"/>
      <c r="P233" s="551"/>
    </row>
    <row r="234" spans="1:16" x14ac:dyDescent="0.25">
      <c r="A234" s="442" t="str">
        <f>RigScheduleTest!$B$20</f>
        <v>SP-288</v>
      </c>
      <c r="B234" s="442" t="str">
        <f ca="1">RigScheduleTest!$AM$20</f>
        <v>RA33-RA-LB-Prod-NW-SL-SLB</v>
      </c>
      <c r="C234" s="421" t="str">
        <f ca="1">IF(INDEX(Well_Data_NK_Upcoming!$G$2:$G$996,MATCH('Rig_Schedule_View (2)'!B234,Well_Data_NK_Upcoming!Concatenated_Wellname,0))=0,"",INDEX(Well_Data_NK_Upcoming!$G$2:$G$996,MATCH('Rig_Schedule_View (2)'!B234,Well_Data_NK_Upcoming!Concatenated_Wellname,0)))</f>
        <v>LB</v>
      </c>
      <c r="D234" s="421" t="str">
        <f ca="1">IF(INDEX(Well_Data_NK_Upcoming!$K$2:$K$996,MATCH('Rig_Schedule_View (2)'!B234,Well_Data_NK_Upcoming!Concatenated_Wellname,0))=0,"",INDEX(Well_Data_NK_Upcoming!$K$2:$K$996,MATCH('Rig_Schedule_View (2)'!B234,Well_Data_NK_Upcoming!Concatenated_Wellname,0)))</f>
        <v>NW</v>
      </c>
      <c r="E234" s="421" t="str">
        <f ca="1">IF(INDEX(Well_Data_NK_Upcoming!$J$2:$J$996,MATCH('Rig_Schedule_View (2)'!B234,Well_Data_NK_Upcoming!Concatenated_Wellname,0))=0,"",INDEX(Well_Data_NK_Upcoming!$J$2:$J$996,MATCH('Rig_Schedule_View (2)'!B234,Well_Data_NK_Upcoming!Concatenated_Wellname,0)))</f>
        <v>Prod</v>
      </c>
      <c r="F234" s="421" t="str">
        <f ca="1">IF(INDEX(Well_Data_NK_Upcoming!$L$2:$L$996,MATCH('Rig_Schedule_View (2)'!B234,Well_Data_NK_Upcoming!Concatenated_Wellname,0))=0,"",INDEX(Well_Data_NK_Upcoming!$L$2:$L$996,MATCH('Rig_Schedule_View (2)'!B234,Well_Data_NK_Upcoming!Concatenated_Wellname,0)))</f>
        <v>SL</v>
      </c>
      <c r="G234" s="421">
        <f ca="1">IF(INDEX(Well_Data_NK_Upcoming!$R$2:$R$996,MATCH('Rig_Schedule_View (2)'!B234,Well_Data_NK_Upcoming!Concatenated_Wellname,0))=0,"",INDEX(Well_Data_NK_Upcoming!$R$2:$R$996,MATCH('Rig_Schedule_View (2)'!B234,Well_Data_NK_Upcoming!Concatenated_Wellname,0)))</f>
        <v>75</v>
      </c>
      <c r="H234" s="526"/>
      <c r="I234" s="443">
        <f ca="1">RigScheduleTest!$AP$20</f>
        <v>42641</v>
      </c>
      <c r="J234" s="443">
        <f ca="1">RigScheduleTest!$AQ$20</f>
        <v>42711</v>
      </c>
      <c r="K234" s="574"/>
      <c r="L234" s="546"/>
      <c r="M234" s="544"/>
      <c r="N234" s="545"/>
      <c r="O234" s="545"/>
      <c r="P234" s="551"/>
    </row>
    <row r="235" spans="1:16" x14ac:dyDescent="0.25">
      <c r="A235" s="442" t="str">
        <f>RigScheduleTest!$B$20</f>
        <v>SP-288</v>
      </c>
      <c r="B235" s="442" t="str">
        <f ca="1">RigScheduleTest!$AS$20</f>
        <v>RA40-RA-MA-Prod-NW-HZ-SLB</v>
      </c>
      <c r="C235" s="421" t="str">
        <f ca="1">IF(INDEX(Well_Data_NK_Upcoming!$G$2:$G$996,MATCH('Rig_Schedule_View (2)'!B235,Well_Data_NK_Upcoming!Concatenated_Wellname,0))=0,"",INDEX(Well_Data_NK_Upcoming!$G$2:$G$996,MATCH('Rig_Schedule_View (2)'!B235,Well_Data_NK_Upcoming!Concatenated_Wellname,0)))</f>
        <v>MA</v>
      </c>
      <c r="D235" s="421" t="str">
        <f ca="1">IF(INDEX(Well_Data_NK_Upcoming!$K$2:$K$996,MATCH('Rig_Schedule_View (2)'!B235,Well_Data_NK_Upcoming!Concatenated_Wellname,0))=0,"",INDEX(Well_Data_NK_Upcoming!$K$2:$K$996,MATCH('Rig_Schedule_View (2)'!B235,Well_Data_NK_Upcoming!Concatenated_Wellname,0)))</f>
        <v>NW</v>
      </c>
      <c r="E235" s="421" t="str">
        <f ca="1">IF(INDEX(Well_Data_NK_Upcoming!$J$2:$J$996,MATCH('Rig_Schedule_View (2)'!B235,Well_Data_NK_Upcoming!Concatenated_Wellname,0))=0,"",INDEX(Well_Data_NK_Upcoming!$J$2:$J$996,MATCH('Rig_Schedule_View (2)'!B235,Well_Data_NK_Upcoming!Concatenated_Wellname,0)))</f>
        <v>Prod</v>
      </c>
      <c r="F235" s="421" t="str">
        <f ca="1">IF(INDEX(Well_Data_NK_Upcoming!$L$2:$L$996,MATCH('Rig_Schedule_View (2)'!B235,Well_Data_NK_Upcoming!Concatenated_Wellname,0))=0,"",INDEX(Well_Data_NK_Upcoming!$L$2:$L$996,MATCH('Rig_Schedule_View (2)'!B235,Well_Data_NK_Upcoming!Concatenated_Wellname,0)))</f>
        <v>HZ</v>
      </c>
      <c r="G235" s="421">
        <f ca="1">IF(INDEX(Well_Data_NK_Upcoming!$R$2:$R$996,MATCH('Rig_Schedule_View (2)'!B235,Well_Data_NK_Upcoming!Concatenated_Wellname,0))=0,"",INDEX(Well_Data_NK_Upcoming!$R$2:$R$996,MATCH('Rig_Schedule_View (2)'!B235,Well_Data_NK_Upcoming!Concatenated_Wellname,0)))</f>
        <v>75</v>
      </c>
      <c r="H235" s="526"/>
      <c r="I235" s="443">
        <f ca="1">RigScheduleTest!$AV$20</f>
        <v>42716</v>
      </c>
      <c r="J235" s="443">
        <f ca="1">RigScheduleTest!$AW$20</f>
        <v>42786</v>
      </c>
      <c r="K235" s="574"/>
      <c r="L235" s="546"/>
      <c r="M235" s="544"/>
      <c r="N235" s="545"/>
      <c r="O235" s="545"/>
      <c r="P235" s="551"/>
    </row>
    <row r="236" spans="1:16" x14ac:dyDescent="0.25">
      <c r="A236" s="442" t="str">
        <f>RigScheduleTest!$B$20</f>
        <v>SP-288</v>
      </c>
      <c r="B236" s="442" t="str">
        <f ca="1">RigScheduleTest!$AY$20</f>
        <v>SA61-SA-MA-Observation-NW-V</v>
      </c>
      <c r="C236" s="421" t="str">
        <f ca="1">IF(INDEX(Well_Data_NK_Upcoming!$G$2:$G$996,MATCH('Rig_Schedule_View (2)'!B236,Well_Data_NK_Upcoming!Concatenated_Wellname,0))=0,"",INDEX(Well_Data_NK_Upcoming!$G$2:$G$996,MATCH('Rig_Schedule_View (2)'!B236,Well_Data_NK_Upcoming!Concatenated_Wellname,0)))</f>
        <v>MA</v>
      </c>
      <c r="D236" s="421" t="str">
        <f ca="1">IF(INDEX(Well_Data_NK_Upcoming!$K$2:$K$996,MATCH('Rig_Schedule_View (2)'!B236,Well_Data_NK_Upcoming!Concatenated_Wellname,0))=0,"",INDEX(Well_Data_NK_Upcoming!$K$2:$K$996,MATCH('Rig_Schedule_View (2)'!B236,Well_Data_NK_Upcoming!Concatenated_Wellname,0)))</f>
        <v>NW</v>
      </c>
      <c r="E236" s="421" t="str">
        <f ca="1">IF(INDEX(Well_Data_NK_Upcoming!$J$2:$J$996,MATCH('Rig_Schedule_View (2)'!B236,Well_Data_NK_Upcoming!Concatenated_Wellname,0))=0,"",INDEX(Well_Data_NK_Upcoming!$J$2:$J$996,MATCH('Rig_Schedule_View (2)'!B236,Well_Data_NK_Upcoming!Concatenated_Wellname,0)))</f>
        <v>Observation</v>
      </c>
      <c r="F236" s="421" t="str">
        <f ca="1">IF(INDEX(Well_Data_NK_Upcoming!$L$2:$L$996,MATCH('Rig_Schedule_View (2)'!B236,Well_Data_NK_Upcoming!Concatenated_Wellname,0))=0,"",INDEX(Well_Data_NK_Upcoming!$L$2:$L$996,MATCH('Rig_Schedule_View (2)'!B236,Well_Data_NK_Upcoming!Concatenated_Wellname,0)))</f>
        <v>V</v>
      </c>
      <c r="G236" s="421" t="str">
        <f ca="1">IF(INDEX(Well_Data_NK_Upcoming!$R$2:$R$996,MATCH('Rig_Schedule_View (2)'!B236,Well_Data_NK_Upcoming!Concatenated_Wellname,0))=0,"",INDEX(Well_Data_NK_Upcoming!$R$2:$R$996,MATCH('Rig_Schedule_View (2)'!B236,Well_Data_NK_Upcoming!Concatenated_Wellname,0)))</f>
        <v/>
      </c>
      <c r="H236" s="526"/>
      <c r="I236" s="443" t="str">
        <f ca="1">RigScheduleTest!$BB$20</f>
        <v/>
      </c>
      <c r="J236" s="443" t="str">
        <f ca="1">RigScheduleTest!$BC$20</f>
        <v/>
      </c>
      <c r="K236" s="574"/>
      <c r="L236" s="546"/>
      <c r="M236" s="544"/>
      <c r="N236" s="545"/>
      <c r="O236" s="545"/>
      <c r="P236" s="551"/>
    </row>
    <row r="237" spans="1:16" x14ac:dyDescent="0.25">
      <c r="A237" s="442" t="str">
        <f>RigScheduleTest!$B$20</f>
        <v>SP-288</v>
      </c>
      <c r="B237" s="442" t="str">
        <f ca="1">RigScheduleTest!$BE$20</f>
        <v/>
      </c>
      <c r="C237" s="421" t="str">
        <f ca="1">IF(INDEX(Well_Data_NK_Upcoming!$G$2:$G$996,MATCH('Rig_Schedule_View (2)'!B237,Well_Data_NK_Upcoming!Concatenated_Wellname,0))=0,"",INDEX(Well_Data_NK_Upcoming!$G$2:$G$996,MATCH('Rig_Schedule_View (2)'!B237,Well_Data_NK_Upcoming!Concatenated_Wellname,0)))</f>
        <v/>
      </c>
      <c r="D237" s="421" t="str">
        <f ca="1">IF(INDEX(Well_Data_NK_Upcoming!$K$2:$K$996,MATCH('Rig_Schedule_View (2)'!B237,Well_Data_NK_Upcoming!Concatenated_Wellname,0))=0,"",INDEX(Well_Data_NK_Upcoming!$K$2:$K$996,MATCH('Rig_Schedule_View (2)'!B237,Well_Data_NK_Upcoming!Concatenated_Wellname,0)))</f>
        <v/>
      </c>
      <c r="E237" s="421" t="str">
        <f ca="1">IF(INDEX(Well_Data_NK_Upcoming!$J$2:$J$996,MATCH('Rig_Schedule_View (2)'!B237,Well_Data_NK_Upcoming!Concatenated_Wellname,0))=0,"",INDEX(Well_Data_NK_Upcoming!$J$2:$J$996,MATCH('Rig_Schedule_View (2)'!B237,Well_Data_NK_Upcoming!Concatenated_Wellname,0)))</f>
        <v/>
      </c>
      <c r="F237" s="421" t="str">
        <f ca="1">IF(INDEX(Well_Data_NK_Upcoming!$L$2:$L$996,MATCH('Rig_Schedule_View (2)'!B237,Well_Data_NK_Upcoming!Concatenated_Wellname,0))=0,"",INDEX(Well_Data_NK_Upcoming!$L$2:$L$996,MATCH('Rig_Schedule_View (2)'!B237,Well_Data_NK_Upcoming!Concatenated_Wellname,0)))</f>
        <v/>
      </c>
      <c r="G237" s="421" t="str">
        <f ca="1">IF(INDEX(Well_Data_NK_Upcoming!$R$2:$R$996,MATCH('Rig_Schedule_View (2)'!B237,Well_Data_NK_Upcoming!Concatenated_Wellname,0))=0,"",INDEX(Well_Data_NK_Upcoming!$R$2:$R$996,MATCH('Rig_Schedule_View (2)'!B237,Well_Data_NK_Upcoming!Concatenated_Wellname,0)))</f>
        <v/>
      </c>
      <c r="H237" s="526"/>
      <c r="I237" s="443" t="str">
        <f ca="1">RigScheduleTest!$BH$20</f>
        <v/>
      </c>
      <c r="J237" s="443" t="str">
        <f ca="1">RigScheduleTest!$BI$20</f>
        <v/>
      </c>
      <c r="K237" s="574"/>
      <c r="L237" s="546"/>
      <c r="M237" s="544"/>
      <c r="N237" s="545"/>
      <c r="O237" s="545"/>
      <c r="P237" s="551"/>
    </row>
    <row r="238" spans="1:16" x14ac:dyDescent="0.25">
      <c r="A238" s="442" t="str">
        <f>RigScheduleTest!$B$20</f>
        <v>SP-288</v>
      </c>
      <c r="B238" s="442" t="str">
        <f ca="1">RigScheduleTest!$BK$20</f>
        <v/>
      </c>
      <c r="C238" s="421" t="str">
        <f ca="1">IF(INDEX(Well_Data_NK_Upcoming!$G$2:$G$996,MATCH('Rig_Schedule_View (2)'!B238,Well_Data_NK_Upcoming!Concatenated_Wellname,0))=0,"",INDEX(Well_Data_NK_Upcoming!$G$2:$G$996,MATCH('Rig_Schedule_View (2)'!B238,Well_Data_NK_Upcoming!Concatenated_Wellname,0)))</f>
        <v/>
      </c>
      <c r="D238" s="421" t="str">
        <f ca="1">IF(INDEX(Well_Data_NK_Upcoming!$K$2:$K$996,MATCH('Rig_Schedule_View (2)'!B238,Well_Data_NK_Upcoming!Concatenated_Wellname,0))=0,"",INDEX(Well_Data_NK_Upcoming!$K$2:$K$996,MATCH('Rig_Schedule_View (2)'!B238,Well_Data_NK_Upcoming!Concatenated_Wellname,0)))</f>
        <v/>
      </c>
      <c r="E238" s="421" t="str">
        <f ca="1">IF(INDEX(Well_Data_NK_Upcoming!$J$2:$J$996,MATCH('Rig_Schedule_View (2)'!B238,Well_Data_NK_Upcoming!Concatenated_Wellname,0))=0,"",INDEX(Well_Data_NK_Upcoming!$J$2:$J$996,MATCH('Rig_Schedule_View (2)'!B238,Well_Data_NK_Upcoming!Concatenated_Wellname,0)))</f>
        <v/>
      </c>
      <c r="F238" s="421" t="str">
        <f ca="1">IF(INDEX(Well_Data_NK_Upcoming!$L$2:$L$996,MATCH('Rig_Schedule_View (2)'!B238,Well_Data_NK_Upcoming!Concatenated_Wellname,0))=0,"",INDEX(Well_Data_NK_Upcoming!$L$2:$L$996,MATCH('Rig_Schedule_View (2)'!B238,Well_Data_NK_Upcoming!Concatenated_Wellname,0)))</f>
        <v/>
      </c>
      <c r="G238" s="421" t="str">
        <f ca="1">IF(INDEX(Well_Data_NK_Upcoming!$R$2:$R$996,MATCH('Rig_Schedule_View (2)'!B238,Well_Data_NK_Upcoming!Concatenated_Wellname,0))=0,"",INDEX(Well_Data_NK_Upcoming!$R$2:$R$996,MATCH('Rig_Schedule_View (2)'!B238,Well_Data_NK_Upcoming!Concatenated_Wellname,0)))</f>
        <v/>
      </c>
      <c r="H238" s="526"/>
      <c r="I238" s="443" t="str">
        <f ca="1">RigScheduleTest!$BN$20</f>
        <v/>
      </c>
      <c r="J238" s="443" t="str">
        <f ca="1">RigScheduleTest!$BO$20</f>
        <v/>
      </c>
      <c r="K238" s="574"/>
      <c r="L238" s="546"/>
      <c r="M238" s="544"/>
      <c r="N238" s="545"/>
      <c r="O238" s="545"/>
      <c r="P238" s="551"/>
    </row>
    <row r="239" spans="1:16" x14ac:dyDescent="0.25">
      <c r="A239" s="437" t="str">
        <f>RigScheduleTest!$B$1</f>
        <v>RIG</v>
      </c>
      <c r="B239" s="437" t="str">
        <f>$K$1</f>
        <v>Development Drilling</v>
      </c>
      <c r="C239" s="437" t="s">
        <v>1831</v>
      </c>
      <c r="D239" s="437" t="s">
        <v>867</v>
      </c>
      <c r="E239" s="437" t="s">
        <v>8</v>
      </c>
      <c r="F239" s="437" t="s">
        <v>2</v>
      </c>
      <c r="G239" s="437" t="s">
        <v>1513</v>
      </c>
      <c r="H239" s="438" t="str">
        <f>$K$3</f>
        <v>Rig Deployment Meeting</v>
      </c>
      <c r="I239" s="439" t="str">
        <f>$K$5</f>
        <v>Start</v>
      </c>
      <c r="J239" s="439" t="str">
        <f>$K$6</f>
        <v>End</v>
      </c>
      <c r="K239" s="444" t="s">
        <v>1068</v>
      </c>
      <c r="L239" s="444" t="s">
        <v>1577</v>
      </c>
      <c r="M239" s="496" t="s">
        <v>1934</v>
      </c>
      <c r="N239" s="504" t="s">
        <v>1940</v>
      </c>
      <c r="O239" s="504" t="s">
        <v>1941</v>
      </c>
      <c r="P239" s="502"/>
    </row>
    <row r="240" spans="1:16" x14ac:dyDescent="0.25">
      <c r="A240" s="442" t="str">
        <f>RigScheduleTest!$B$21</f>
        <v>SP-294</v>
      </c>
      <c r="B240" s="421" t="str">
        <f ca="1">RigScheduleTest!$D$21</f>
        <v>SA-0582-SA-LB-Prod-NW-HZ-SLB</v>
      </c>
      <c r="C240" s="421" t="str">
        <f ca="1">IF(INDEX(Well_Data_NK_Upcoming!$G$2:$G$996,MATCH('Rig_Schedule_View (2)'!B240,Well_Data_NK_Upcoming!Concatenated_Wellname,0))=0,"",INDEX(Well_Data_NK_Upcoming!$G$2:$G$996,MATCH('Rig_Schedule_View (2)'!B240,Well_Data_NK_Upcoming!Concatenated_Wellname,0)))</f>
        <v>LB</v>
      </c>
      <c r="D240" s="421" t="str">
        <f ca="1">IF(INDEX(Well_Data_NK_Upcoming!$K$2:$K$996,MATCH('Rig_Schedule_View (2)'!B240,Well_Data_NK_Upcoming!Concatenated_Wellname,0))=0,"",INDEX(Well_Data_NK_Upcoming!$K$2:$K$996,MATCH('Rig_Schedule_View (2)'!B240,Well_Data_NK_Upcoming!Concatenated_Wellname,0)))</f>
        <v>NW</v>
      </c>
      <c r="E240" s="421" t="str">
        <f ca="1">IF(INDEX(Well_Data_NK_Upcoming!$J$2:$J$996,MATCH('Rig_Schedule_View (2)'!B240,Well_Data_NK_Upcoming!Concatenated_Wellname,0))=0,"",INDEX(Well_Data_NK_Upcoming!$J$2:$J$996,MATCH('Rig_Schedule_View (2)'!B240,Well_Data_NK_Upcoming!Concatenated_Wellname,0)))</f>
        <v>Prod</v>
      </c>
      <c r="F240" s="421" t="str">
        <f ca="1">IF(INDEX(Well_Data_NK_Upcoming!$L$2:$L$996,MATCH('Rig_Schedule_View (2)'!B240,Well_Data_NK_Upcoming!Concatenated_Wellname,0))=0,"",INDEX(Well_Data_NK_Upcoming!$L$2:$L$996,MATCH('Rig_Schedule_View (2)'!B240,Well_Data_NK_Upcoming!Concatenated_Wellname,0)))</f>
        <v>HZ</v>
      </c>
      <c r="G240" s="421">
        <f ca="1">IF(INDEX(Well_Data_NK_Upcoming!$R$2:$R$996,MATCH('Rig_Schedule_View (2)'!B240,Well_Data_NK_Upcoming!Concatenated_Wellname,0))=0,"",INDEX(Well_Data_NK_Upcoming!$R$2:$R$996,MATCH('Rig_Schedule_View (2)'!B240,Well_Data_NK_Upcoming!Concatenated_Wellname,0)))</f>
        <v>75</v>
      </c>
      <c r="H240" s="526">
        <f>RigScheduleTest!$F$21</f>
        <v>42233</v>
      </c>
      <c r="I240" s="459">
        <f ca="1">IF(INDEX(Well_Data_NK_Upcoming!$O$2:$O$996,MATCH('Rig_Schedule_View (2)'!B240,Well_Data_NK_Upcoming!Concatenated_Wellname,0))=0,"",INDEX(Well_Data_NK_Upcoming!$O$2:$O$996,MATCH('Rig_Schedule_View (2)'!B240,Well_Data_NK_Upcoming!Concatenated_Wellname,0)))</f>
        <v>42191.041666666664</v>
      </c>
      <c r="J240" s="446">
        <f ca="1">RigScheduleTest!$H$21</f>
        <v>42243</v>
      </c>
      <c r="K240" s="574" t="s">
        <v>1917</v>
      </c>
      <c r="L240" s="543"/>
      <c r="M240" s="544">
        <v>10</v>
      </c>
      <c r="N240" s="545"/>
      <c r="O240" s="545"/>
      <c r="P240" s="551"/>
    </row>
    <row r="241" spans="1:16" x14ac:dyDescent="0.25">
      <c r="A241" s="442" t="str">
        <f>RigScheduleTest!$B$21</f>
        <v>SP-294</v>
      </c>
      <c r="B241" s="441" t="str">
        <f ca="1">RigScheduleTest!$I$21</f>
        <v>SA-0586-SA-MA-Prod-NW-HZ-Baker</v>
      </c>
      <c r="C241" s="421" t="str">
        <f ca="1">IF(INDEX(Well_Data_NK_Upcoming!$G$2:$G$996,MATCH('Rig_Schedule_View (2)'!B241,Well_Data_NK_Upcoming!Concatenated_Wellname,0))=0,"",INDEX(Well_Data_NK_Upcoming!$G$2:$G$996,MATCH('Rig_Schedule_View (2)'!B241,Well_Data_NK_Upcoming!Concatenated_Wellname,0)))</f>
        <v>MA</v>
      </c>
      <c r="D241" s="421" t="str">
        <f ca="1">IF(INDEX(Well_Data_NK_Upcoming!$K$2:$K$996,MATCH('Rig_Schedule_View (2)'!B241,Well_Data_NK_Upcoming!Concatenated_Wellname,0))=0,"",INDEX(Well_Data_NK_Upcoming!$K$2:$K$996,MATCH('Rig_Schedule_View (2)'!B241,Well_Data_NK_Upcoming!Concatenated_Wellname,0)))</f>
        <v>NW</v>
      </c>
      <c r="E241" s="421" t="str">
        <f ca="1">IF(INDEX(Well_Data_NK_Upcoming!$J$2:$J$996,MATCH('Rig_Schedule_View (2)'!B241,Well_Data_NK_Upcoming!Concatenated_Wellname,0))=0,"",INDEX(Well_Data_NK_Upcoming!$J$2:$J$996,MATCH('Rig_Schedule_View (2)'!B241,Well_Data_NK_Upcoming!Concatenated_Wellname,0)))</f>
        <v>Prod</v>
      </c>
      <c r="F241" s="421" t="str">
        <f ca="1">IF(INDEX(Well_Data_NK_Upcoming!$L$2:$L$996,MATCH('Rig_Schedule_View (2)'!B241,Well_Data_NK_Upcoming!Concatenated_Wellname,0))=0,"",INDEX(Well_Data_NK_Upcoming!$L$2:$L$996,MATCH('Rig_Schedule_View (2)'!B241,Well_Data_NK_Upcoming!Concatenated_Wellname,0)))</f>
        <v>HZ</v>
      </c>
      <c r="G241" s="421">
        <f ca="1">IF(INDEX(Well_Data_NK_Upcoming!$R$2:$R$996,MATCH('Rig_Schedule_View (2)'!B241,Well_Data_NK_Upcoming!Concatenated_Wellname,0))=0,"",INDEX(Well_Data_NK_Upcoming!$R$2:$R$996,MATCH('Rig_Schedule_View (2)'!B241,Well_Data_NK_Upcoming!Concatenated_Wellname,0)))</f>
        <v>75</v>
      </c>
      <c r="H241" s="526"/>
      <c r="I241" s="440">
        <f ca="1">RigScheduleTest!$L$21</f>
        <v>42248</v>
      </c>
      <c r="J241" s="440">
        <f ca="1">RigScheduleTest!$M$21</f>
        <v>42318</v>
      </c>
      <c r="K241" s="574"/>
      <c r="L241" s="546" t="s">
        <v>2222</v>
      </c>
      <c r="M241" s="544"/>
      <c r="N241" s="545"/>
      <c r="O241" s="545" t="s">
        <v>1986</v>
      </c>
      <c r="P241" s="551"/>
    </row>
    <row r="242" spans="1:16" x14ac:dyDescent="0.25">
      <c r="A242" s="442" t="str">
        <f>RigScheduleTest!$B$21</f>
        <v>SP-294</v>
      </c>
      <c r="B242" s="441" t="str">
        <f ca="1">RigScheduleTest!$O$21</f>
        <v>SA-0612-SA-UB-Prod-NW-SL</v>
      </c>
      <c r="C242" s="421" t="str">
        <f ca="1">IF(INDEX(Well_Data_NK_Upcoming!$G$2:$G$996,MATCH('Rig_Schedule_View (2)'!B242,Well_Data_NK_Upcoming!Concatenated_Wellname,0))=0,"",INDEX(Well_Data_NK_Upcoming!$G$2:$G$996,MATCH('Rig_Schedule_View (2)'!B242,Well_Data_NK_Upcoming!Concatenated_Wellname,0)))</f>
        <v>UB</v>
      </c>
      <c r="D242" s="421" t="str">
        <f ca="1">IF(INDEX(Well_Data_NK_Upcoming!$K$2:$K$996,MATCH('Rig_Schedule_View (2)'!B242,Well_Data_NK_Upcoming!Concatenated_Wellname,0))=0,"",INDEX(Well_Data_NK_Upcoming!$K$2:$K$996,MATCH('Rig_Schedule_View (2)'!B242,Well_Data_NK_Upcoming!Concatenated_Wellname,0)))</f>
        <v>NW</v>
      </c>
      <c r="E242" s="421" t="str">
        <f ca="1">IF(INDEX(Well_Data_NK_Upcoming!$J$2:$J$996,MATCH('Rig_Schedule_View (2)'!B242,Well_Data_NK_Upcoming!Concatenated_Wellname,0))=0,"",INDEX(Well_Data_NK_Upcoming!$J$2:$J$996,MATCH('Rig_Schedule_View (2)'!B242,Well_Data_NK_Upcoming!Concatenated_Wellname,0)))</f>
        <v>Prod</v>
      </c>
      <c r="F242" s="421" t="str">
        <f ca="1">IF(INDEX(Well_Data_NK_Upcoming!$L$2:$L$996,MATCH('Rig_Schedule_View (2)'!B242,Well_Data_NK_Upcoming!Concatenated_Wellname,0))=0,"",INDEX(Well_Data_NK_Upcoming!$L$2:$L$996,MATCH('Rig_Schedule_View (2)'!B242,Well_Data_NK_Upcoming!Concatenated_Wellname,0)))</f>
        <v>SL</v>
      </c>
      <c r="G242" s="421">
        <f ca="1">IF(INDEX(Well_Data_NK_Upcoming!$R$2:$R$996,MATCH('Rig_Schedule_View (2)'!B242,Well_Data_NK_Upcoming!Concatenated_Wellname,0))=0,"",INDEX(Well_Data_NK_Upcoming!$R$2:$R$996,MATCH('Rig_Schedule_View (2)'!B242,Well_Data_NK_Upcoming!Concatenated_Wellname,0)))</f>
        <v>75</v>
      </c>
      <c r="H242" s="526"/>
      <c r="I242" s="440">
        <f ca="1">RigScheduleTest!$R$21</f>
        <v>42323</v>
      </c>
      <c r="J242" s="440">
        <f ca="1">RigScheduleTest!$S$21</f>
        <v>42393</v>
      </c>
      <c r="K242" s="574"/>
      <c r="L242" s="546" t="s">
        <v>2219</v>
      </c>
      <c r="M242" s="544"/>
      <c r="N242" s="545" t="s">
        <v>299</v>
      </c>
      <c r="O242" s="545"/>
      <c r="P242" s="551"/>
    </row>
    <row r="243" spans="1:16" x14ac:dyDescent="0.25">
      <c r="A243" s="442" t="str">
        <f>RigScheduleTest!$B$21</f>
        <v>SP-294</v>
      </c>
      <c r="B243" s="442" t="str">
        <f ca="1">RigScheduleTest!$U$21</f>
        <v>SA4-SA-MA-Prod-NW-HZ</v>
      </c>
      <c r="C243" s="421" t="str">
        <f ca="1">IF(INDEX(Well_Data_NK_Upcoming!$G$2:$G$996,MATCH('Rig_Schedule_View (2)'!B243,Well_Data_NK_Upcoming!Concatenated_Wellname,0))=0,"",INDEX(Well_Data_NK_Upcoming!$G$2:$G$996,MATCH('Rig_Schedule_View (2)'!B243,Well_Data_NK_Upcoming!Concatenated_Wellname,0)))</f>
        <v>MA</v>
      </c>
      <c r="D243" s="421" t="str">
        <f ca="1">IF(INDEX(Well_Data_NK_Upcoming!$K$2:$K$996,MATCH('Rig_Schedule_View (2)'!B243,Well_Data_NK_Upcoming!Concatenated_Wellname,0))=0,"",INDEX(Well_Data_NK_Upcoming!$K$2:$K$996,MATCH('Rig_Schedule_View (2)'!B243,Well_Data_NK_Upcoming!Concatenated_Wellname,0)))</f>
        <v>NW</v>
      </c>
      <c r="E243" s="421" t="str">
        <f ca="1">IF(INDEX(Well_Data_NK_Upcoming!$J$2:$J$996,MATCH('Rig_Schedule_View (2)'!B243,Well_Data_NK_Upcoming!Concatenated_Wellname,0))=0,"",INDEX(Well_Data_NK_Upcoming!$J$2:$J$996,MATCH('Rig_Schedule_View (2)'!B243,Well_Data_NK_Upcoming!Concatenated_Wellname,0)))</f>
        <v>Prod</v>
      </c>
      <c r="F243" s="421" t="str">
        <f ca="1">IF(INDEX(Well_Data_NK_Upcoming!$L$2:$L$996,MATCH('Rig_Schedule_View (2)'!B243,Well_Data_NK_Upcoming!Concatenated_Wellname,0))=0,"",INDEX(Well_Data_NK_Upcoming!$L$2:$L$996,MATCH('Rig_Schedule_View (2)'!B243,Well_Data_NK_Upcoming!Concatenated_Wellname,0)))</f>
        <v>HZ</v>
      </c>
      <c r="G243" s="421">
        <f ca="1">IF(INDEX(Well_Data_NK_Upcoming!$R$2:$R$996,MATCH('Rig_Schedule_View (2)'!B243,Well_Data_NK_Upcoming!Concatenated_Wellname,0))=0,"",INDEX(Well_Data_NK_Upcoming!$R$2:$R$996,MATCH('Rig_Schedule_View (2)'!B243,Well_Data_NK_Upcoming!Concatenated_Wellname,0)))</f>
        <v>75</v>
      </c>
      <c r="H243" s="526"/>
      <c r="I243" s="443">
        <f ca="1">RigScheduleTest!$X$21</f>
        <v>42398</v>
      </c>
      <c r="J243" s="443">
        <f ca="1">RigScheduleTest!$Y$21</f>
        <v>42468</v>
      </c>
      <c r="K243" s="574"/>
      <c r="L243" s="546"/>
      <c r="M243" s="544"/>
      <c r="N243" s="545"/>
      <c r="O243" s="545"/>
      <c r="P243" s="551"/>
    </row>
    <row r="244" spans="1:16" x14ac:dyDescent="0.25">
      <c r="A244" s="442" t="str">
        <f>RigScheduleTest!$B$21</f>
        <v>SP-294</v>
      </c>
      <c r="B244" s="442" t="str">
        <f ca="1">RigScheduleTest!$AA$21</f>
        <v>SA13-SA-MA-Prod-NW-HZ</v>
      </c>
      <c r="C244" s="421" t="str">
        <f ca="1">IF(INDEX(Well_Data_NK_Upcoming!$G$2:$G$996,MATCH('Rig_Schedule_View (2)'!B244,Well_Data_NK_Upcoming!Concatenated_Wellname,0))=0,"",INDEX(Well_Data_NK_Upcoming!$G$2:$G$996,MATCH('Rig_Schedule_View (2)'!B244,Well_Data_NK_Upcoming!Concatenated_Wellname,0)))</f>
        <v>MA</v>
      </c>
      <c r="D244" s="421" t="str">
        <f ca="1">IF(INDEX(Well_Data_NK_Upcoming!$K$2:$K$996,MATCH('Rig_Schedule_View (2)'!B244,Well_Data_NK_Upcoming!Concatenated_Wellname,0))=0,"",INDEX(Well_Data_NK_Upcoming!$K$2:$K$996,MATCH('Rig_Schedule_View (2)'!B244,Well_Data_NK_Upcoming!Concatenated_Wellname,0)))</f>
        <v>NW</v>
      </c>
      <c r="E244" s="421" t="str">
        <f ca="1">IF(INDEX(Well_Data_NK_Upcoming!$J$2:$J$996,MATCH('Rig_Schedule_View (2)'!B244,Well_Data_NK_Upcoming!Concatenated_Wellname,0))=0,"",INDEX(Well_Data_NK_Upcoming!$J$2:$J$996,MATCH('Rig_Schedule_View (2)'!B244,Well_Data_NK_Upcoming!Concatenated_Wellname,0)))</f>
        <v>Prod</v>
      </c>
      <c r="F244" s="421" t="str">
        <f ca="1">IF(INDEX(Well_Data_NK_Upcoming!$L$2:$L$996,MATCH('Rig_Schedule_View (2)'!B244,Well_Data_NK_Upcoming!Concatenated_Wellname,0))=0,"",INDEX(Well_Data_NK_Upcoming!$L$2:$L$996,MATCH('Rig_Schedule_View (2)'!B244,Well_Data_NK_Upcoming!Concatenated_Wellname,0)))</f>
        <v>HZ</v>
      </c>
      <c r="G244" s="421">
        <f ca="1">IF(INDEX(Well_Data_NK_Upcoming!$R$2:$R$996,MATCH('Rig_Schedule_View (2)'!B244,Well_Data_NK_Upcoming!Concatenated_Wellname,0))=0,"",INDEX(Well_Data_NK_Upcoming!$R$2:$R$996,MATCH('Rig_Schedule_View (2)'!B244,Well_Data_NK_Upcoming!Concatenated_Wellname,0)))</f>
        <v>75</v>
      </c>
      <c r="H244" s="526"/>
      <c r="I244" s="443">
        <f ca="1">RigScheduleTest!$AD$21</f>
        <v>42473</v>
      </c>
      <c r="J244" s="443">
        <f ca="1">RigScheduleTest!$AE$21</f>
        <v>42543</v>
      </c>
      <c r="K244" s="574"/>
      <c r="L244" s="546"/>
      <c r="M244" s="544"/>
      <c r="N244" s="545"/>
      <c r="O244" s="545"/>
      <c r="P244" s="551"/>
    </row>
    <row r="245" spans="1:16" x14ac:dyDescent="0.25">
      <c r="A245" s="442" t="str">
        <f>RigScheduleTest!$B$21</f>
        <v>SP-294</v>
      </c>
      <c r="B245" s="442" t="str">
        <f ca="1">RigScheduleTest!$AG$21</f>
        <v>RA16-RA-MA-Inj-NW-HZ-SLB</v>
      </c>
      <c r="C245" s="421" t="str">
        <f ca="1">IF(INDEX(Well_Data_NK_Upcoming!$G$2:$G$996,MATCH('Rig_Schedule_View (2)'!B245,Well_Data_NK_Upcoming!Concatenated_Wellname,0))=0,"",INDEX(Well_Data_NK_Upcoming!$G$2:$G$996,MATCH('Rig_Schedule_View (2)'!B245,Well_Data_NK_Upcoming!Concatenated_Wellname,0)))</f>
        <v>MA</v>
      </c>
      <c r="D245" s="421" t="str">
        <f ca="1">IF(INDEX(Well_Data_NK_Upcoming!$K$2:$K$996,MATCH('Rig_Schedule_View (2)'!B245,Well_Data_NK_Upcoming!Concatenated_Wellname,0))=0,"",INDEX(Well_Data_NK_Upcoming!$K$2:$K$996,MATCH('Rig_Schedule_View (2)'!B245,Well_Data_NK_Upcoming!Concatenated_Wellname,0)))</f>
        <v>NW</v>
      </c>
      <c r="E245" s="421" t="str">
        <f ca="1">IF(INDEX(Well_Data_NK_Upcoming!$J$2:$J$996,MATCH('Rig_Schedule_View (2)'!B245,Well_Data_NK_Upcoming!Concatenated_Wellname,0))=0,"",INDEX(Well_Data_NK_Upcoming!$J$2:$J$996,MATCH('Rig_Schedule_View (2)'!B245,Well_Data_NK_Upcoming!Concatenated_Wellname,0)))</f>
        <v>Inj</v>
      </c>
      <c r="F245" s="421" t="str">
        <f ca="1">IF(INDEX(Well_Data_NK_Upcoming!$L$2:$L$996,MATCH('Rig_Schedule_View (2)'!B245,Well_Data_NK_Upcoming!Concatenated_Wellname,0))=0,"",INDEX(Well_Data_NK_Upcoming!$L$2:$L$996,MATCH('Rig_Schedule_View (2)'!B245,Well_Data_NK_Upcoming!Concatenated_Wellname,0)))</f>
        <v>HZ</v>
      </c>
      <c r="G245" s="421">
        <f ca="1">IF(INDEX(Well_Data_NK_Upcoming!$R$2:$R$996,MATCH('Rig_Schedule_View (2)'!B245,Well_Data_NK_Upcoming!Concatenated_Wellname,0))=0,"",INDEX(Well_Data_NK_Upcoming!$R$2:$R$996,MATCH('Rig_Schedule_View (2)'!B245,Well_Data_NK_Upcoming!Concatenated_Wellname,0)))</f>
        <v>68</v>
      </c>
      <c r="H245" s="526"/>
      <c r="I245" s="443">
        <f ca="1">RigScheduleTest!$AJ$21</f>
        <v>42548</v>
      </c>
      <c r="J245" s="443">
        <f ca="1">RigScheduleTest!$AK$21</f>
        <v>42611</v>
      </c>
      <c r="K245" s="574"/>
      <c r="L245" s="546"/>
      <c r="M245" s="544"/>
      <c r="N245" s="545"/>
      <c r="O245" s="545"/>
      <c r="P245" s="551"/>
    </row>
    <row r="246" spans="1:16" x14ac:dyDescent="0.25">
      <c r="A246" s="442" t="str">
        <f>RigScheduleTest!$B$21</f>
        <v>SP-294</v>
      </c>
      <c r="B246" s="442" t="str">
        <f ca="1">RigScheduleTest!$AM$21</f>
        <v>SA45-SA-ZU-Prod-NW-HZ</v>
      </c>
      <c r="C246" s="421" t="str">
        <f ca="1">IF(INDEX(Well_Data_NK_Upcoming!$G$2:$G$996,MATCH('Rig_Schedule_View (2)'!B246,Well_Data_NK_Upcoming!Concatenated_Wellname,0))=0,"",INDEX(Well_Data_NK_Upcoming!$G$2:$G$996,MATCH('Rig_Schedule_View (2)'!B246,Well_Data_NK_Upcoming!Concatenated_Wellname,0)))</f>
        <v>ZU</v>
      </c>
      <c r="D246" s="421" t="str">
        <f ca="1">IF(INDEX(Well_Data_NK_Upcoming!$K$2:$K$996,MATCH('Rig_Schedule_View (2)'!B246,Well_Data_NK_Upcoming!Concatenated_Wellname,0))=0,"",INDEX(Well_Data_NK_Upcoming!$K$2:$K$996,MATCH('Rig_Schedule_View (2)'!B246,Well_Data_NK_Upcoming!Concatenated_Wellname,0)))</f>
        <v>NW</v>
      </c>
      <c r="E246" s="421" t="str">
        <f ca="1">IF(INDEX(Well_Data_NK_Upcoming!$J$2:$J$996,MATCH('Rig_Schedule_View (2)'!B246,Well_Data_NK_Upcoming!Concatenated_Wellname,0))=0,"",INDEX(Well_Data_NK_Upcoming!$J$2:$J$996,MATCH('Rig_Schedule_View (2)'!B246,Well_Data_NK_Upcoming!Concatenated_Wellname,0)))</f>
        <v>Prod</v>
      </c>
      <c r="F246" s="421" t="str">
        <f ca="1">IF(INDEX(Well_Data_NK_Upcoming!$L$2:$L$996,MATCH('Rig_Schedule_View (2)'!B246,Well_Data_NK_Upcoming!Concatenated_Wellname,0))=0,"",INDEX(Well_Data_NK_Upcoming!$L$2:$L$996,MATCH('Rig_Schedule_View (2)'!B246,Well_Data_NK_Upcoming!Concatenated_Wellname,0)))</f>
        <v>HZ</v>
      </c>
      <c r="G246" s="421">
        <f ca="1">IF(INDEX(Well_Data_NK_Upcoming!$R$2:$R$996,MATCH('Rig_Schedule_View (2)'!B246,Well_Data_NK_Upcoming!Concatenated_Wellname,0))=0,"",INDEX(Well_Data_NK_Upcoming!$R$2:$R$996,MATCH('Rig_Schedule_View (2)'!B246,Well_Data_NK_Upcoming!Concatenated_Wellname,0)))</f>
        <v>103</v>
      </c>
      <c r="H246" s="526"/>
      <c r="I246" s="443">
        <f ca="1">RigScheduleTest!$AP$21</f>
        <v>42616</v>
      </c>
      <c r="J246" s="443">
        <f ca="1">RigScheduleTest!$AQ$21</f>
        <v>42714</v>
      </c>
      <c r="K246" s="574"/>
      <c r="L246" s="546"/>
      <c r="M246" s="544"/>
      <c r="N246" s="545"/>
      <c r="O246" s="545"/>
      <c r="P246" s="551"/>
    </row>
    <row r="247" spans="1:16" x14ac:dyDescent="0.25">
      <c r="A247" s="442" t="str">
        <f>RigScheduleTest!$B$21</f>
        <v>SP-294</v>
      </c>
      <c r="B247" s="442" t="str">
        <f ca="1">RigScheduleTest!$AS$21</f>
        <v>SA51-SA-RT-Inj-NW-HZ</v>
      </c>
      <c r="C247" s="421" t="str">
        <f ca="1">IF(INDEX(Well_Data_NK_Upcoming!$G$2:$G$996,MATCH('Rig_Schedule_View (2)'!B247,Well_Data_NK_Upcoming!Concatenated_Wellname,0))=0,"",INDEX(Well_Data_NK_Upcoming!$G$2:$G$996,MATCH('Rig_Schedule_View (2)'!B247,Well_Data_NK_Upcoming!Concatenated_Wellname,0)))</f>
        <v>RT</v>
      </c>
      <c r="D247" s="421" t="str">
        <f ca="1">IF(INDEX(Well_Data_NK_Upcoming!$K$2:$K$996,MATCH('Rig_Schedule_View (2)'!B247,Well_Data_NK_Upcoming!Concatenated_Wellname,0))=0,"",INDEX(Well_Data_NK_Upcoming!$K$2:$K$996,MATCH('Rig_Schedule_View (2)'!B247,Well_Data_NK_Upcoming!Concatenated_Wellname,0)))</f>
        <v>NW</v>
      </c>
      <c r="E247" s="421" t="str">
        <f ca="1">IF(INDEX(Well_Data_NK_Upcoming!$J$2:$J$996,MATCH('Rig_Schedule_View (2)'!B247,Well_Data_NK_Upcoming!Concatenated_Wellname,0))=0,"",INDEX(Well_Data_NK_Upcoming!$J$2:$J$996,MATCH('Rig_Schedule_View (2)'!B247,Well_Data_NK_Upcoming!Concatenated_Wellname,0)))</f>
        <v>Inj</v>
      </c>
      <c r="F247" s="421" t="str">
        <f ca="1">IF(INDEX(Well_Data_NK_Upcoming!$L$2:$L$996,MATCH('Rig_Schedule_View (2)'!B247,Well_Data_NK_Upcoming!Concatenated_Wellname,0))=0,"",INDEX(Well_Data_NK_Upcoming!$L$2:$L$996,MATCH('Rig_Schedule_View (2)'!B247,Well_Data_NK_Upcoming!Concatenated_Wellname,0)))</f>
        <v>HZ</v>
      </c>
      <c r="G247" s="421" t="str">
        <f ca="1">IF(INDEX(Well_Data_NK_Upcoming!$R$2:$R$996,MATCH('Rig_Schedule_View (2)'!B247,Well_Data_NK_Upcoming!Concatenated_Wellname,0))=0,"",INDEX(Well_Data_NK_Upcoming!$R$2:$R$996,MATCH('Rig_Schedule_View (2)'!B247,Well_Data_NK_Upcoming!Concatenated_Wellname,0)))</f>
        <v/>
      </c>
      <c r="H247" s="526"/>
      <c r="I247" s="443" t="str">
        <f ca="1">RigScheduleTest!$AV$21</f>
        <v/>
      </c>
      <c r="J247" s="443" t="str">
        <f ca="1">RigScheduleTest!$AW$21</f>
        <v/>
      </c>
      <c r="K247" s="574"/>
      <c r="L247" s="546"/>
      <c r="M247" s="544"/>
      <c r="N247" s="545"/>
      <c r="O247" s="545"/>
      <c r="P247" s="551"/>
    </row>
    <row r="248" spans="1:16" x14ac:dyDescent="0.25">
      <c r="A248" s="442" t="str">
        <f>RigScheduleTest!$B$21</f>
        <v>SP-294</v>
      </c>
      <c r="B248" s="442" t="str">
        <f ca="1">RigScheduleTest!$AY$21</f>
        <v/>
      </c>
      <c r="C248" s="421" t="str">
        <f ca="1">IF(INDEX(Well_Data_NK_Upcoming!$G$2:$G$996,MATCH('Rig_Schedule_View (2)'!B248,Well_Data_NK_Upcoming!Concatenated_Wellname,0))=0,"",INDEX(Well_Data_NK_Upcoming!$G$2:$G$996,MATCH('Rig_Schedule_View (2)'!B248,Well_Data_NK_Upcoming!Concatenated_Wellname,0)))</f>
        <v/>
      </c>
      <c r="D248" s="421" t="str">
        <f ca="1">IF(INDEX(Well_Data_NK_Upcoming!$K$2:$K$996,MATCH('Rig_Schedule_View (2)'!B248,Well_Data_NK_Upcoming!Concatenated_Wellname,0))=0,"",INDEX(Well_Data_NK_Upcoming!$K$2:$K$996,MATCH('Rig_Schedule_View (2)'!B248,Well_Data_NK_Upcoming!Concatenated_Wellname,0)))</f>
        <v/>
      </c>
      <c r="E248" s="421" t="str">
        <f ca="1">IF(INDEX(Well_Data_NK_Upcoming!$J$2:$J$996,MATCH('Rig_Schedule_View (2)'!B248,Well_Data_NK_Upcoming!Concatenated_Wellname,0))=0,"",INDEX(Well_Data_NK_Upcoming!$J$2:$J$996,MATCH('Rig_Schedule_View (2)'!B248,Well_Data_NK_Upcoming!Concatenated_Wellname,0)))</f>
        <v/>
      </c>
      <c r="F248" s="421" t="str">
        <f ca="1">IF(INDEX(Well_Data_NK_Upcoming!$L$2:$L$996,MATCH('Rig_Schedule_View (2)'!B248,Well_Data_NK_Upcoming!Concatenated_Wellname,0))=0,"",INDEX(Well_Data_NK_Upcoming!$L$2:$L$996,MATCH('Rig_Schedule_View (2)'!B248,Well_Data_NK_Upcoming!Concatenated_Wellname,0)))</f>
        <v/>
      </c>
      <c r="G248" s="421" t="str">
        <f ca="1">IF(INDEX(Well_Data_NK_Upcoming!$R$2:$R$996,MATCH('Rig_Schedule_View (2)'!B248,Well_Data_NK_Upcoming!Concatenated_Wellname,0))=0,"",INDEX(Well_Data_NK_Upcoming!$R$2:$R$996,MATCH('Rig_Schedule_View (2)'!B248,Well_Data_NK_Upcoming!Concatenated_Wellname,0)))</f>
        <v/>
      </c>
      <c r="H248" s="526"/>
      <c r="I248" s="443" t="str">
        <f ca="1">RigScheduleTest!$BB$21</f>
        <v/>
      </c>
      <c r="J248" s="443" t="str">
        <f ca="1">RigScheduleTest!$BC$21</f>
        <v/>
      </c>
      <c r="K248" s="574"/>
      <c r="L248" s="546"/>
      <c r="M248" s="544"/>
      <c r="N248" s="545"/>
      <c r="O248" s="545"/>
      <c r="P248" s="551"/>
    </row>
    <row r="249" spans="1:16" x14ac:dyDescent="0.25">
      <c r="A249" s="442" t="str">
        <f>RigScheduleTest!$B$21</f>
        <v>SP-294</v>
      </c>
      <c r="B249" s="442" t="str">
        <f ca="1">RigScheduleTest!$BE$21</f>
        <v/>
      </c>
      <c r="C249" s="421" t="str">
        <f ca="1">IF(INDEX(Well_Data_NK_Upcoming!$G$2:$G$996,MATCH('Rig_Schedule_View (2)'!B249,Well_Data_NK_Upcoming!Concatenated_Wellname,0))=0,"",INDEX(Well_Data_NK_Upcoming!$G$2:$G$996,MATCH('Rig_Schedule_View (2)'!B249,Well_Data_NK_Upcoming!Concatenated_Wellname,0)))</f>
        <v/>
      </c>
      <c r="D249" s="421" t="str">
        <f ca="1">IF(INDEX(Well_Data_NK_Upcoming!$K$2:$K$996,MATCH('Rig_Schedule_View (2)'!B249,Well_Data_NK_Upcoming!Concatenated_Wellname,0))=0,"",INDEX(Well_Data_NK_Upcoming!$K$2:$K$996,MATCH('Rig_Schedule_View (2)'!B249,Well_Data_NK_Upcoming!Concatenated_Wellname,0)))</f>
        <v/>
      </c>
      <c r="E249" s="421" t="str">
        <f ca="1">IF(INDEX(Well_Data_NK_Upcoming!$J$2:$J$996,MATCH('Rig_Schedule_View (2)'!B249,Well_Data_NK_Upcoming!Concatenated_Wellname,0))=0,"",INDEX(Well_Data_NK_Upcoming!$J$2:$J$996,MATCH('Rig_Schedule_View (2)'!B249,Well_Data_NK_Upcoming!Concatenated_Wellname,0)))</f>
        <v/>
      </c>
      <c r="F249" s="421" t="str">
        <f ca="1">IF(INDEX(Well_Data_NK_Upcoming!$L$2:$L$996,MATCH('Rig_Schedule_View (2)'!B249,Well_Data_NK_Upcoming!Concatenated_Wellname,0))=0,"",INDEX(Well_Data_NK_Upcoming!$L$2:$L$996,MATCH('Rig_Schedule_View (2)'!B249,Well_Data_NK_Upcoming!Concatenated_Wellname,0)))</f>
        <v/>
      </c>
      <c r="G249" s="421" t="str">
        <f ca="1">IF(INDEX(Well_Data_NK_Upcoming!$R$2:$R$996,MATCH('Rig_Schedule_View (2)'!B249,Well_Data_NK_Upcoming!Concatenated_Wellname,0))=0,"",INDEX(Well_Data_NK_Upcoming!$R$2:$R$996,MATCH('Rig_Schedule_View (2)'!B249,Well_Data_NK_Upcoming!Concatenated_Wellname,0)))</f>
        <v/>
      </c>
      <c r="H249" s="526"/>
      <c r="I249" s="443" t="str">
        <f ca="1">RigScheduleTest!$BH$21</f>
        <v/>
      </c>
      <c r="J249" s="443" t="str">
        <f ca="1">RigScheduleTest!$BI$21</f>
        <v/>
      </c>
      <c r="K249" s="574"/>
      <c r="L249" s="546"/>
      <c r="M249" s="544"/>
      <c r="N249" s="545"/>
      <c r="O249" s="545"/>
      <c r="P249" s="551"/>
    </row>
    <row r="250" spans="1:16" x14ac:dyDescent="0.25">
      <c r="A250" s="442" t="str">
        <f>RigScheduleTest!$B$21</f>
        <v>SP-294</v>
      </c>
      <c r="B250" s="442" t="str">
        <f ca="1">RigScheduleTest!$BK$21</f>
        <v/>
      </c>
      <c r="C250" s="421" t="str">
        <f ca="1">IF(INDEX(Well_Data_NK_Upcoming!$G$2:$G$996,MATCH('Rig_Schedule_View (2)'!B250,Well_Data_NK_Upcoming!Concatenated_Wellname,0))=0,"",INDEX(Well_Data_NK_Upcoming!$G$2:$G$996,MATCH('Rig_Schedule_View (2)'!B250,Well_Data_NK_Upcoming!Concatenated_Wellname,0)))</f>
        <v/>
      </c>
      <c r="D250" s="421" t="str">
        <f ca="1">IF(INDEX(Well_Data_NK_Upcoming!$K$2:$K$996,MATCH('Rig_Schedule_View (2)'!B250,Well_Data_NK_Upcoming!Concatenated_Wellname,0))=0,"",INDEX(Well_Data_NK_Upcoming!$K$2:$K$996,MATCH('Rig_Schedule_View (2)'!B250,Well_Data_NK_Upcoming!Concatenated_Wellname,0)))</f>
        <v/>
      </c>
      <c r="E250" s="421" t="str">
        <f ca="1">IF(INDEX(Well_Data_NK_Upcoming!$J$2:$J$996,MATCH('Rig_Schedule_View (2)'!B250,Well_Data_NK_Upcoming!Concatenated_Wellname,0))=0,"",INDEX(Well_Data_NK_Upcoming!$J$2:$J$996,MATCH('Rig_Schedule_View (2)'!B250,Well_Data_NK_Upcoming!Concatenated_Wellname,0)))</f>
        <v/>
      </c>
      <c r="F250" s="421" t="str">
        <f ca="1">IF(INDEX(Well_Data_NK_Upcoming!$L$2:$L$996,MATCH('Rig_Schedule_View (2)'!B250,Well_Data_NK_Upcoming!Concatenated_Wellname,0))=0,"",INDEX(Well_Data_NK_Upcoming!$L$2:$L$996,MATCH('Rig_Schedule_View (2)'!B250,Well_Data_NK_Upcoming!Concatenated_Wellname,0)))</f>
        <v/>
      </c>
      <c r="G250" s="421" t="str">
        <f ca="1">IF(INDEX(Well_Data_NK_Upcoming!$R$2:$R$996,MATCH('Rig_Schedule_View (2)'!B250,Well_Data_NK_Upcoming!Concatenated_Wellname,0))=0,"",INDEX(Well_Data_NK_Upcoming!$R$2:$R$996,MATCH('Rig_Schedule_View (2)'!B250,Well_Data_NK_Upcoming!Concatenated_Wellname,0)))</f>
        <v/>
      </c>
      <c r="H250" s="526"/>
      <c r="I250" s="443" t="str">
        <f ca="1">RigScheduleTest!$BN$21</f>
        <v/>
      </c>
      <c r="J250" s="443" t="str">
        <f ca="1">RigScheduleTest!$BO$21</f>
        <v/>
      </c>
      <c r="K250" s="574"/>
      <c r="L250" s="546"/>
      <c r="M250" s="544"/>
      <c r="N250" s="545"/>
      <c r="O250" s="545"/>
      <c r="P250" s="551"/>
    </row>
    <row r="251" spans="1:16" x14ac:dyDescent="0.25">
      <c r="A251" s="437" t="str">
        <f>RigScheduleTest!$B$1</f>
        <v>RIG</v>
      </c>
      <c r="B251" s="437" t="str">
        <f>$K$1</f>
        <v>Development Drilling</v>
      </c>
      <c r="C251" s="437" t="s">
        <v>1831</v>
      </c>
      <c r="D251" s="437" t="s">
        <v>867</v>
      </c>
      <c r="E251" s="437" t="s">
        <v>8</v>
      </c>
      <c r="F251" s="437" t="s">
        <v>2</v>
      </c>
      <c r="G251" s="437" t="s">
        <v>1513</v>
      </c>
      <c r="H251" s="438" t="str">
        <f>$K$3</f>
        <v>Rig Deployment Meeting</v>
      </c>
      <c r="I251" s="439" t="str">
        <f>$K$5</f>
        <v>Start</v>
      </c>
      <c r="J251" s="439" t="str">
        <f>$K$6</f>
        <v>End</v>
      </c>
      <c r="K251" s="444" t="s">
        <v>1068</v>
      </c>
      <c r="L251" s="444" t="s">
        <v>1577</v>
      </c>
      <c r="M251" s="496" t="s">
        <v>1934</v>
      </c>
      <c r="N251" s="504" t="s">
        <v>1940</v>
      </c>
      <c r="O251" s="504" t="s">
        <v>1941</v>
      </c>
      <c r="P251" s="502"/>
    </row>
    <row r="252" spans="1:16" x14ac:dyDescent="0.25">
      <c r="A252" s="442" t="str">
        <f>RigScheduleTest!$B$22</f>
        <v>SP-295</v>
      </c>
      <c r="B252" s="421" t="str">
        <f ca="1">RigScheduleTest!$D$22</f>
        <v>SA-0610-SA-UB-Prod-NW-SL-HAL</v>
      </c>
      <c r="C252" s="421" t="str">
        <f ca="1">IF(INDEX(Well_Data_NK_Upcoming!$G$2:$G$996,MATCH('Rig_Schedule_View (2)'!B252,Well_Data_NK_Upcoming!Concatenated_Wellname,0))=0,"",INDEX(Well_Data_NK_Upcoming!$G$2:$G$996,MATCH('Rig_Schedule_View (2)'!B252,Well_Data_NK_Upcoming!Concatenated_Wellname,0)))</f>
        <v>UB</v>
      </c>
      <c r="D252" s="421" t="str">
        <f ca="1">IF(INDEX(Well_Data_NK_Upcoming!$K$2:$K$996,MATCH('Rig_Schedule_View (2)'!B252,Well_Data_NK_Upcoming!Concatenated_Wellname,0))=0,"",INDEX(Well_Data_NK_Upcoming!$K$2:$K$996,MATCH('Rig_Schedule_View (2)'!B252,Well_Data_NK_Upcoming!Concatenated_Wellname,0)))</f>
        <v>NW</v>
      </c>
      <c r="E252" s="421" t="str">
        <f ca="1">IF(INDEX(Well_Data_NK_Upcoming!$J$2:$J$996,MATCH('Rig_Schedule_View (2)'!B252,Well_Data_NK_Upcoming!Concatenated_Wellname,0))=0,"",INDEX(Well_Data_NK_Upcoming!$J$2:$J$996,MATCH('Rig_Schedule_View (2)'!B252,Well_Data_NK_Upcoming!Concatenated_Wellname,0)))</f>
        <v>Prod</v>
      </c>
      <c r="F252" s="421" t="str">
        <f ca="1">IF(INDEX(Well_Data_NK_Upcoming!$L$2:$L$996,MATCH('Rig_Schedule_View (2)'!B252,Well_Data_NK_Upcoming!Concatenated_Wellname,0))=0,"",INDEX(Well_Data_NK_Upcoming!$L$2:$L$996,MATCH('Rig_Schedule_View (2)'!B252,Well_Data_NK_Upcoming!Concatenated_Wellname,0)))</f>
        <v>SL</v>
      </c>
      <c r="G252" s="421">
        <f ca="1">IF(INDEX(Well_Data_NK_Upcoming!$R$2:$R$996,MATCH('Rig_Schedule_View (2)'!B252,Well_Data_NK_Upcoming!Concatenated_Wellname,0))=0,"",INDEX(Well_Data_NK_Upcoming!$R$2:$R$996,MATCH('Rig_Schedule_View (2)'!B252,Well_Data_NK_Upcoming!Concatenated_Wellname,0)))</f>
        <v>75</v>
      </c>
      <c r="H252" s="526">
        <f>RigScheduleTest!$F$22</f>
        <v>42233</v>
      </c>
      <c r="I252" s="459">
        <f ca="1">IF(INDEX(Well_Data_NK_Upcoming!$O$2:$O$996,MATCH('Rig_Schedule_View (2)'!B252,Well_Data_NK_Upcoming!Concatenated_Wellname,0))=0,"",INDEX(Well_Data_NK_Upcoming!$O$2:$O$996,MATCH('Rig_Schedule_View (2)'!B252,Well_Data_NK_Upcoming!Concatenated_Wellname,0)))</f>
        <v>42209.708333333336</v>
      </c>
      <c r="J252" s="446">
        <f ca="1">RigScheduleTest!$H$22</f>
        <v>42247</v>
      </c>
      <c r="K252" s="574" t="s">
        <v>1917</v>
      </c>
      <c r="L252" s="543"/>
      <c r="M252" s="544">
        <v>14</v>
      </c>
      <c r="N252" s="545"/>
      <c r="O252" s="545"/>
      <c r="P252" s="551"/>
    </row>
    <row r="253" spans="1:16" x14ac:dyDescent="0.25">
      <c r="A253" s="442" t="str">
        <f>RigScheduleTest!$B$22</f>
        <v>SP-295</v>
      </c>
      <c r="B253" s="441" t="str">
        <f ca="1">RigScheduleTest!$I$22</f>
        <v>SA-0611-SA-UB-Prod-NW-SL-Sperry</v>
      </c>
      <c r="C253" s="421" t="str">
        <f ca="1">IF(INDEX(Well_Data_NK_Upcoming!$G$2:$G$996,MATCH('Rig_Schedule_View (2)'!B253,Well_Data_NK_Upcoming!Concatenated_Wellname,0))=0,"",INDEX(Well_Data_NK_Upcoming!$G$2:$G$996,MATCH('Rig_Schedule_View (2)'!B253,Well_Data_NK_Upcoming!Concatenated_Wellname,0)))</f>
        <v>UB</v>
      </c>
      <c r="D253" s="421" t="str">
        <f ca="1">IF(INDEX(Well_Data_NK_Upcoming!$K$2:$K$996,MATCH('Rig_Schedule_View (2)'!B253,Well_Data_NK_Upcoming!Concatenated_Wellname,0))=0,"",INDEX(Well_Data_NK_Upcoming!$K$2:$K$996,MATCH('Rig_Schedule_View (2)'!B253,Well_Data_NK_Upcoming!Concatenated_Wellname,0)))</f>
        <v>NW</v>
      </c>
      <c r="E253" s="421" t="str">
        <f ca="1">IF(INDEX(Well_Data_NK_Upcoming!$J$2:$J$996,MATCH('Rig_Schedule_View (2)'!B253,Well_Data_NK_Upcoming!Concatenated_Wellname,0))=0,"",INDEX(Well_Data_NK_Upcoming!$J$2:$J$996,MATCH('Rig_Schedule_View (2)'!B253,Well_Data_NK_Upcoming!Concatenated_Wellname,0)))</f>
        <v>Prod</v>
      </c>
      <c r="F253" s="421" t="str">
        <f ca="1">IF(INDEX(Well_Data_NK_Upcoming!$L$2:$L$996,MATCH('Rig_Schedule_View (2)'!B253,Well_Data_NK_Upcoming!Concatenated_Wellname,0))=0,"",INDEX(Well_Data_NK_Upcoming!$L$2:$L$996,MATCH('Rig_Schedule_View (2)'!B253,Well_Data_NK_Upcoming!Concatenated_Wellname,0)))</f>
        <v>SL</v>
      </c>
      <c r="G253" s="421">
        <f ca="1">IF(INDEX(Well_Data_NK_Upcoming!$R$2:$R$996,MATCH('Rig_Schedule_View (2)'!B253,Well_Data_NK_Upcoming!Concatenated_Wellname,0))=0,"",INDEX(Well_Data_NK_Upcoming!$R$2:$R$996,MATCH('Rig_Schedule_View (2)'!B253,Well_Data_NK_Upcoming!Concatenated_Wellname,0)))</f>
        <v>75</v>
      </c>
      <c r="H253" s="526"/>
      <c r="I253" s="440">
        <f ca="1">RigScheduleTest!$L$22</f>
        <v>42252</v>
      </c>
      <c r="J253" s="440">
        <f ca="1">RigScheduleTest!$M$22</f>
        <v>42322</v>
      </c>
      <c r="L253" s="546" t="s">
        <v>1987</v>
      </c>
      <c r="M253" s="544"/>
      <c r="N253" s="545"/>
      <c r="O253" s="545" t="s">
        <v>1988</v>
      </c>
      <c r="P253" s="551"/>
    </row>
    <row r="254" spans="1:16" x14ac:dyDescent="0.25">
      <c r="A254" s="442" t="str">
        <f>RigScheduleTest!$B$22</f>
        <v>SP-295</v>
      </c>
      <c r="B254" s="441" t="str">
        <f ca="1">RigScheduleTest!$O$22</f>
        <v>SA-0591-SA-LB-Prod-NW-HZ-Sperry</v>
      </c>
      <c r="C254" s="421" t="str">
        <f ca="1">IF(INDEX(Well_Data_NK_Upcoming!$G$2:$G$996,MATCH('Rig_Schedule_View (2)'!B254,Well_Data_NK_Upcoming!Concatenated_Wellname,0))=0,"",INDEX(Well_Data_NK_Upcoming!$G$2:$G$996,MATCH('Rig_Schedule_View (2)'!B254,Well_Data_NK_Upcoming!Concatenated_Wellname,0)))</f>
        <v>LB</v>
      </c>
      <c r="D254" s="421" t="str">
        <f ca="1">IF(INDEX(Well_Data_NK_Upcoming!$K$2:$K$996,MATCH('Rig_Schedule_View (2)'!B254,Well_Data_NK_Upcoming!Concatenated_Wellname,0))=0,"",INDEX(Well_Data_NK_Upcoming!$K$2:$K$996,MATCH('Rig_Schedule_View (2)'!B254,Well_Data_NK_Upcoming!Concatenated_Wellname,0)))</f>
        <v>NW</v>
      </c>
      <c r="E254" s="421" t="str">
        <f ca="1">IF(INDEX(Well_Data_NK_Upcoming!$J$2:$J$996,MATCH('Rig_Schedule_View (2)'!B254,Well_Data_NK_Upcoming!Concatenated_Wellname,0))=0,"",INDEX(Well_Data_NK_Upcoming!$J$2:$J$996,MATCH('Rig_Schedule_View (2)'!B254,Well_Data_NK_Upcoming!Concatenated_Wellname,0)))</f>
        <v>Prod</v>
      </c>
      <c r="F254" s="421" t="str">
        <f ca="1">IF(INDEX(Well_Data_NK_Upcoming!$L$2:$L$996,MATCH('Rig_Schedule_View (2)'!B254,Well_Data_NK_Upcoming!Concatenated_Wellname,0))=0,"",INDEX(Well_Data_NK_Upcoming!$L$2:$L$996,MATCH('Rig_Schedule_View (2)'!B254,Well_Data_NK_Upcoming!Concatenated_Wellname,0)))</f>
        <v>HZ</v>
      </c>
      <c r="G254" s="421">
        <f ca="1">IF(INDEX(Well_Data_NK_Upcoming!$R$2:$R$996,MATCH('Rig_Schedule_View (2)'!B254,Well_Data_NK_Upcoming!Concatenated_Wellname,0))=0,"",INDEX(Well_Data_NK_Upcoming!$R$2:$R$996,MATCH('Rig_Schedule_View (2)'!B254,Well_Data_NK_Upcoming!Concatenated_Wellname,0)))</f>
        <v>75</v>
      </c>
      <c r="H254" s="526"/>
      <c r="I254" s="440">
        <f ca="1">RigScheduleTest!$R$22</f>
        <v>42327</v>
      </c>
      <c r="J254" s="440">
        <f ca="1">RigScheduleTest!$S$22</f>
        <v>42397</v>
      </c>
      <c r="L254" s="546" t="s">
        <v>1987</v>
      </c>
      <c r="M254" s="544"/>
      <c r="N254" s="545" t="s">
        <v>2229</v>
      </c>
      <c r="O254" s="545"/>
      <c r="P254" s="551"/>
    </row>
    <row r="255" spans="1:16" x14ac:dyDescent="0.25">
      <c r="A255" s="442" t="str">
        <f>RigScheduleTest!$B$22</f>
        <v>SP-295</v>
      </c>
      <c r="B255" s="442" t="str">
        <f ca="1">RigScheduleTest!$U$22</f>
        <v>SA14-SA-MA-Inj-ST-HZ</v>
      </c>
      <c r="C255" s="421" t="str">
        <f ca="1">IF(INDEX(Well_Data_NK_Upcoming!$G$2:$G$996,MATCH('Rig_Schedule_View (2)'!B255,Well_Data_NK_Upcoming!Concatenated_Wellname,0))=0,"",INDEX(Well_Data_NK_Upcoming!$G$2:$G$996,MATCH('Rig_Schedule_View (2)'!B255,Well_Data_NK_Upcoming!Concatenated_Wellname,0)))</f>
        <v>MA</v>
      </c>
      <c r="D255" s="421" t="str">
        <f ca="1">IF(INDEX(Well_Data_NK_Upcoming!$K$2:$K$996,MATCH('Rig_Schedule_View (2)'!B255,Well_Data_NK_Upcoming!Concatenated_Wellname,0))=0,"",INDEX(Well_Data_NK_Upcoming!$K$2:$K$996,MATCH('Rig_Schedule_View (2)'!B255,Well_Data_NK_Upcoming!Concatenated_Wellname,0)))</f>
        <v>ST</v>
      </c>
      <c r="E255" s="421" t="str">
        <f ca="1">IF(INDEX(Well_Data_NK_Upcoming!$J$2:$J$996,MATCH('Rig_Schedule_View (2)'!B255,Well_Data_NK_Upcoming!Concatenated_Wellname,0))=0,"",INDEX(Well_Data_NK_Upcoming!$J$2:$J$996,MATCH('Rig_Schedule_View (2)'!B255,Well_Data_NK_Upcoming!Concatenated_Wellname,0)))</f>
        <v>Inj</v>
      </c>
      <c r="F255" s="421" t="str">
        <f ca="1">IF(INDEX(Well_Data_NK_Upcoming!$L$2:$L$996,MATCH('Rig_Schedule_View (2)'!B255,Well_Data_NK_Upcoming!Concatenated_Wellname,0))=0,"",INDEX(Well_Data_NK_Upcoming!$L$2:$L$996,MATCH('Rig_Schedule_View (2)'!B255,Well_Data_NK_Upcoming!Concatenated_Wellname,0)))</f>
        <v>HZ</v>
      </c>
      <c r="G255" s="421">
        <f ca="1">IF(INDEX(Well_Data_NK_Upcoming!$R$2:$R$996,MATCH('Rig_Schedule_View (2)'!B255,Well_Data_NK_Upcoming!Concatenated_Wellname,0))=0,"",INDEX(Well_Data_NK_Upcoming!$R$2:$R$996,MATCH('Rig_Schedule_View (2)'!B255,Well_Data_NK_Upcoming!Concatenated_Wellname,0)))</f>
        <v>54</v>
      </c>
      <c r="H255" s="526"/>
      <c r="I255" s="443">
        <f ca="1">RigScheduleTest!$X$22</f>
        <v>42402</v>
      </c>
      <c r="J255" s="443">
        <f ca="1">RigScheduleTest!$Y$22</f>
        <v>42451</v>
      </c>
      <c r="L255" s="546"/>
      <c r="M255" s="544"/>
      <c r="N255" s="545"/>
      <c r="O255" s="545"/>
      <c r="P255" s="551"/>
    </row>
    <row r="256" spans="1:16" x14ac:dyDescent="0.25">
      <c r="A256" s="442" t="str">
        <f>RigScheduleTest!$B$22</f>
        <v>SP-295</v>
      </c>
      <c r="B256" s="442" t="str">
        <f ca="1">RigScheduleTest!$AA$22</f>
        <v>SA27-SA-MA-Prod-NW-HZ</v>
      </c>
      <c r="C256" s="421" t="str">
        <f ca="1">IF(INDEX(Well_Data_NK_Upcoming!$G$2:$G$996,MATCH('Rig_Schedule_View (2)'!B256,Well_Data_NK_Upcoming!Concatenated_Wellname,0))=0,"",INDEX(Well_Data_NK_Upcoming!$G$2:$G$996,MATCH('Rig_Schedule_View (2)'!B256,Well_Data_NK_Upcoming!Concatenated_Wellname,0)))</f>
        <v>MA</v>
      </c>
      <c r="D256" s="421" t="str">
        <f ca="1">IF(INDEX(Well_Data_NK_Upcoming!$K$2:$K$996,MATCH('Rig_Schedule_View (2)'!B256,Well_Data_NK_Upcoming!Concatenated_Wellname,0))=0,"",INDEX(Well_Data_NK_Upcoming!$K$2:$K$996,MATCH('Rig_Schedule_View (2)'!B256,Well_Data_NK_Upcoming!Concatenated_Wellname,0)))</f>
        <v>NW</v>
      </c>
      <c r="E256" s="421" t="str">
        <f ca="1">IF(INDEX(Well_Data_NK_Upcoming!$J$2:$J$996,MATCH('Rig_Schedule_View (2)'!B256,Well_Data_NK_Upcoming!Concatenated_Wellname,0))=0,"",INDEX(Well_Data_NK_Upcoming!$J$2:$J$996,MATCH('Rig_Schedule_View (2)'!B256,Well_Data_NK_Upcoming!Concatenated_Wellname,0)))</f>
        <v>Prod</v>
      </c>
      <c r="F256" s="421" t="str">
        <f ca="1">IF(INDEX(Well_Data_NK_Upcoming!$L$2:$L$996,MATCH('Rig_Schedule_View (2)'!B256,Well_Data_NK_Upcoming!Concatenated_Wellname,0))=0,"",INDEX(Well_Data_NK_Upcoming!$L$2:$L$996,MATCH('Rig_Schedule_View (2)'!B256,Well_Data_NK_Upcoming!Concatenated_Wellname,0)))</f>
        <v>HZ</v>
      </c>
      <c r="G256" s="421">
        <f ca="1">IF(INDEX(Well_Data_NK_Upcoming!$R$2:$R$996,MATCH('Rig_Schedule_View (2)'!B256,Well_Data_NK_Upcoming!Concatenated_Wellname,0))=0,"",INDEX(Well_Data_NK_Upcoming!$R$2:$R$996,MATCH('Rig_Schedule_View (2)'!B256,Well_Data_NK_Upcoming!Concatenated_Wellname,0)))</f>
        <v>75</v>
      </c>
      <c r="H256" s="526"/>
      <c r="I256" s="443">
        <f ca="1">RigScheduleTest!$AD$22</f>
        <v>42456</v>
      </c>
      <c r="J256" s="443">
        <f ca="1">RigScheduleTest!$AE$22</f>
        <v>42526</v>
      </c>
      <c r="L256" s="546"/>
      <c r="M256" s="544"/>
      <c r="N256" s="545"/>
      <c r="O256" s="545"/>
      <c r="P256" s="551"/>
    </row>
    <row r="257" spans="1:16" x14ac:dyDescent="0.25">
      <c r="A257" s="442" t="str">
        <f>RigScheduleTest!$B$22</f>
        <v>SP-295</v>
      </c>
      <c r="B257" s="442" t="str">
        <f ca="1">RigScheduleTest!$AG$22</f>
        <v>RA24-RA-MA-Inj-NW-HZ-SLB</v>
      </c>
      <c r="C257" s="421" t="str">
        <f ca="1">IF(INDEX(Well_Data_NK_Upcoming!$G$2:$G$996,MATCH('Rig_Schedule_View (2)'!B257,Well_Data_NK_Upcoming!Concatenated_Wellname,0))=0,"",INDEX(Well_Data_NK_Upcoming!$G$2:$G$996,MATCH('Rig_Schedule_View (2)'!B257,Well_Data_NK_Upcoming!Concatenated_Wellname,0)))</f>
        <v>MA</v>
      </c>
      <c r="D257" s="421" t="str">
        <f ca="1">IF(INDEX(Well_Data_NK_Upcoming!$K$2:$K$996,MATCH('Rig_Schedule_View (2)'!B257,Well_Data_NK_Upcoming!Concatenated_Wellname,0))=0,"",INDEX(Well_Data_NK_Upcoming!$K$2:$K$996,MATCH('Rig_Schedule_View (2)'!B257,Well_Data_NK_Upcoming!Concatenated_Wellname,0)))</f>
        <v>NW</v>
      </c>
      <c r="E257" s="421" t="str">
        <f ca="1">IF(INDEX(Well_Data_NK_Upcoming!$J$2:$J$996,MATCH('Rig_Schedule_View (2)'!B257,Well_Data_NK_Upcoming!Concatenated_Wellname,0))=0,"",INDEX(Well_Data_NK_Upcoming!$J$2:$J$996,MATCH('Rig_Schedule_View (2)'!B257,Well_Data_NK_Upcoming!Concatenated_Wellname,0)))</f>
        <v>Inj</v>
      </c>
      <c r="F257" s="421" t="str">
        <f ca="1">IF(INDEX(Well_Data_NK_Upcoming!$L$2:$L$996,MATCH('Rig_Schedule_View (2)'!B257,Well_Data_NK_Upcoming!Concatenated_Wellname,0))=0,"",INDEX(Well_Data_NK_Upcoming!$L$2:$L$996,MATCH('Rig_Schedule_View (2)'!B257,Well_Data_NK_Upcoming!Concatenated_Wellname,0)))</f>
        <v>HZ</v>
      </c>
      <c r="G257" s="421">
        <f ca="1">IF(INDEX(Well_Data_NK_Upcoming!$R$2:$R$996,MATCH('Rig_Schedule_View (2)'!B257,Well_Data_NK_Upcoming!Concatenated_Wellname,0))=0,"",INDEX(Well_Data_NK_Upcoming!$R$2:$R$996,MATCH('Rig_Schedule_View (2)'!B257,Well_Data_NK_Upcoming!Concatenated_Wellname,0)))</f>
        <v>68</v>
      </c>
      <c r="H257" s="526"/>
      <c r="I257" s="443">
        <f ca="1">RigScheduleTest!$AJ$22</f>
        <v>42531</v>
      </c>
      <c r="J257" s="443">
        <f ca="1">RigScheduleTest!$AK$22</f>
        <v>42594</v>
      </c>
      <c r="L257" s="546"/>
      <c r="M257" s="544"/>
      <c r="N257" s="545"/>
      <c r="O257" s="545"/>
      <c r="P257" s="551"/>
    </row>
    <row r="258" spans="1:16" x14ac:dyDescent="0.25">
      <c r="A258" s="442" t="str">
        <f>RigScheduleTest!$B$22</f>
        <v>SP-295</v>
      </c>
      <c r="B258" s="442" t="str">
        <f ca="1">RigScheduleTest!$AM$22</f>
        <v>RA34-RA-ZU-Inj-NW-HZ-SLB</v>
      </c>
      <c r="C258" s="421" t="str">
        <f ca="1">IF(INDEX(Well_Data_NK_Upcoming!$G$2:$G$996,MATCH('Rig_Schedule_View (2)'!B258,Well_Data_NK_Upcoming!Concatenated_Wellname,0))=0,"",INDEX(Well_Data_NK_Upcoming!$G$2:$G$996,MATCH('Rig_Schedule_View (2)'!B258,Well_Data_NK_Upcoming!Concatenated_Wellname,0)))</f>
        <v>ZU</v>
      </c>
      <c r="D258" s="421" t="str">
        <f ca="1">IF(INDEX(Well_Data_NK_Upcoming!$K$2:$K$996,MATCH('Rig_Schedule_View (2)'!B258,Well_Data_NK_Upcoming!Concatenated_Wellname,0))=0,"",INDEX(Well_Data_NK_Upcoming!$K$2:$K$996,MATCH('Rig_Schedule_View (2)'!B258,Well_Data_NK_Upcoming!Concatenated_Wellname,0)))</f>
        <v>NW</v>
      </c>
      <c r="E258" s="421" t="str">
        <f ca="1">IF(INDEX(Well_Data_NK_Upcoming!$J$2:$J$996,MATCH('Rig_Schedule_View (2)'!B258,Well_Data_NK_Upcoming!Concatenated_Wellname,0))=0,"",INDEX(Well_Data_NK_Upcoming!$J$2:$J$996,MATCH('Rig_Schedule_View (2)'!B258,Well_Data_NK_Upcoming!Concatenated_Wellname,0)))</f>
        <v>Inj</v>
      </c>
      <c r="F258" s="421" t="str">
        <f ca="1">IF(INDEX(Well_Data_NK_Upcoming!$L$2:$L$996,MATCH('Rig_Schedule_View (2)'!B258,Well_Data_NK_Upcoming!Concatenated_Wellname,0))=0,"",INDEX(Well_Data_NK_Upcoming!$L$2:$L$996,MATCH('Rig_Schedule_View (2)'!B258,Well_Data_NK_Upcoming!Concatenated_Wellname,0)))</f>
        <v>HZ</v>
      </c>
      <c r="G258" s="421" t="str">
        <f ca="1">IF(INDEX(Well_Data_NK_Upcoming!$R$2:$R$996,MATCH('Rig_Schedule_View (2)'!B258,Well_Data_NK_Upcoming!Concatenated_Wellname,0))=0,"",INDEX(Well_Data_NK_Upcoming!$R$2:$R$996,MATCH('Rig_Schedule_View (2)'!B258,Well_Data_NK_Upcoming!Concatenated_Wellname,0)))</f>
        <v/>
      </c>
      <c r="H258" s="526"/>
      <c r="I258" s="443" t="str">
        <f ca="1">RigScheduleTest!$AP$22</f>
        <v/>
      </c>
      <c r="J258" s="443" t="str">
        <f ca="1">RigScheduleTest!$AQ$22</f>
        <v/>
      </c>
      <c r="L258" s="546"/>
      <c r="M258" s="544"/>
      <c r="N258" s="545"/>
      <c r="O258" s="545"/>
      <c r="P258" s="551"/>
    </row>
    <row r="259" spans="1:16" x14ac:dyDescent="0.25">
      <c r="A259" s="442" t="str">
        <f>RigScheduleTest!$B$22</f>
        <v>SP-295</v>
      </c>
      <c r="B259" s="442" t="str">
        <f ca="1">RigScheduleTest!$AS$22</f>
        <v/>
      </c>
      <c r="C259" s="421" t="str">
        <f ca="1">IF(INDEX(Well_Data_NK_Upcoming!$G$2:$G$996,MATCH('Rig_Schedule_View (2)'!B259,Well_Data_NK_Upcoming!Concatenated_Wellname,0))=0,"",INDEX(Well_Data_NK_Upcoming!$G$2:$G$996,MATCH('Rig_Schedule_View (2)'!B259,Well_Data_NK_Upcoming!Concatenated_Wellname,0)))</f>
        <v/>
      </c>
      <c r="D259" s="421" t="str">
        <f ca="1">IF(INDEX(Well_Data_NK_Upcoming!$K$2:$K$996,MATCH('Rig_Schedule_View (2)'!B259,Well_Data_NK_Upcoming!Concatenated_Wellname,0))=0,"",INDEX(Well_Data_NK_Upcoming!$K$2:$K$996,MATCH('Rig_Schedule_View (2)'!B259,Well_Data_NK_Upcoming!Concatenated_Wellname,0)))</f>
        <v/>
      </c>
      <c r="E259" s="421" t="str">
        <f ca="1">IF(INDEX(Well_Data_NK_Upcoming!$J$2:$J$996,MATCH('Rig_Schedule_View (2)'!B259,Well_Data_NK_Upcoming!Concatenated_Wellname,0))=0,"",INDEX(Well_Data_NK_Upcoming!$J$2:$J$996,MATCH('Rig_Schedule_View (2)'!B259,Well_Data_NK_Upcoming!Concatenated_Wellname,0)))</f>
        <v/>
      </c>
      <c r="F259" s="421" t="str">
        <f ca="1">IF(INDEX(Well_Data_NK_Upcoming!$L$2:$L$996,MATCH('Rig_Schedule_View (2)'!B259,Well_Data_NK_Upcoming!Concatenated_Wellname,0))=0,"",INDEX(Well_Data_NK_Upcoming!$L$2:$L$996,MATCH('Rig_Schedule_View (2)'!B259,Well_Data_NK_Upcoming!Concatenated_Wellname,0)))</f>
        <v/>
      </c>
      <c r="G259" s="421" t="str">
        <f ca="1">IF(INDEX(Well_Data_NK_Upcoming!$R$2:$R$996,MATCH('Rig_Schedule_View (2)'!B259,Well_Data_NK_Upcoming!Concatenated_Wellname,0))=0,"",INDEX(Well_Data_NK_Upcoming!$R$2:$R$996,MATCH('Rig_Schedule_View (2)'!B259,Well_Data_NK_Upcoming!Concatenated_Wellname,0)))</f>
        <v/>
      </c>
      <c r="H259" s="526"/>
      <c r="I259" s="443" t="str">
        <f ca="1">RigScheduleTest!$AV$22</f>
        <v/>
      </c>
      <c r="J259" s="443" t="str">
        <f ca="1">RigScheduleTest!$AW$22</f>
        <v/>
      </c>
      <c r="L259" s="546"/>
      <c r="M259" s="544"/>
      <c r="N259" s="545"/>
      <c r="O259" s="545"/>
      <c r="P259" s="551"/>
    </row>
    <row r="260" spans="1:16" x14ac:dyDescent="0.25">
      <c r="A260" s="442" t="str">
        <f>RigScheduleTest!$B$22</f>
        <v>SP-295</v>
      </c>
      <c r="B260" s="442" t="str">
        <f ca="1">RigScheduleTest!$AY$22</f>
        <v/>
      </c>
      <c r="C260" s="421" t="str">
        <f ca="1">IF(INDEX(Well_Data_NK_Upcoming!$G$2:$G$996,MATCH('Rig_Schedule_View (2)'!B260,Well_Data_NK_Upcoming!Concatenated_Wellname,0))=0,"",INDEX(Well_Data_NK_Upcoming!$G$2:$G$996,MATCH('Rig_Schedule_View (2)'!B260,Well_Data_NK_Upcoming!Concatenated_Wellname,0)))</f>
        <v/>
      </c>
      <c r="D260" s="421" t="str">
        <f ca="1">IF(INDEX(Well_Data_NK_Upcoming!$K$2:$K$996,MATCH('Rig_Schedule_View (2)'!B260,Well_Data_NK_Upcoming!Concatenated_Wellname,0))=0,"",INDEX(Well_Data_NK_Upcoming!$K$2:$K$996,MATCH('Rig_Schedule_View (2)'!B260,Well_Data_NK_Upcoming!Concatenated_Wellname,0)))</f>
        <v/>
      </c>
      <c r="E260" s="421" t="str">
        <f ca="1">IF(INDEX(Well_Data_NK_Upcoming!$J$2:$J$996,MATCH('Rig_Schedule_View (2)'!B260,Well_Data_NK_Upcoming!Concatenated_Wellname,0))=0,"",INDEX(Well_Data_NK_Upcoming!$J$2:$J$996,MATCH('Rig_Schedule_View (2)'!B260,Well_Data_NK_Upcoming!Concatenated_Wellname,0)))</f>
        <v/>
      </c>
      <c r="F260" s="421" t="str">
        <f ca="1">IF(INDEX(Well_Data_NK_Upcoming!$L$2:$L$996,MATCH('Rig_Schedule_View (2)'!B260,Well_Data_NK_Upcoming!Concatenated_Wellname,0))=0,"",INDEX(Well_Data_NK_Upcoming!$L$2:$L$996,MATCH('Rig_Schedule_View (2)'!B260,Well_Data_NK_Upcoming!Concatenated_Wellname,0)))</f>
        <v/>
      </c>
      <c r="G260" s="421" t="str">
        <f ca="1">IF(INDEX(Well_Data_NK_Upcoming!$R$2:$R$996,MATCH('Rig_Schedule_View (2)'!B260,Well_Data_NK_Upcoming!Concatenated_Wellname,0))=0,"",INDEX(Well_Data_NK_Upcoming!$R$2:$R$996,MATCH('Rig_Schedule_View (2)'!B260,Well_Data_NK_Upcoming!Concatenated_Wellname,0)))</f>
        <v/>
      </c>
      <c r="H260" s="526"/>
      <c r="I260" s="443" t="str">
        <f ca="1">RigScheduleTest!$BB$22</f>
        <v/>
      </c>
      <c r="J260" s="443" t="str">
        <f ca="1">RigScheduleTest!$BC$22</f>
        <v/>
      </c>
      <c r="L260" s="546"/>
      <c r="M260" s="544"/>
      <c r="N260" s="545"/>
      <c r="O260" s="545"/>
      <c r="P260" s="551"/>
    </row>
    <row r="261" spans="1:16" x14ac:dyDescent="0.25">
      <c r="A261" s="442" t="str">
        <f>RigScheduleTest!$B$22</f>
        <v>SP-295</v>
      </c>
      <c r="B261" s="442" t="str">
        <f ca="1">RigScheduleTest!$BE$22</f>
        <v/>
      </c>
      <c r="C261" s="421" t="str">
        <f ca="1">IF(INDEX(Well_Data_NK_Upcoming!$G$2:$G$996,MATCH('Rig_Schedule_View (2)'!B261,Well_Data_NK_Upcoming!Concatenated_Wellname,0))=0,"",INDEX(Well_Data_NK_Upcoming!$G$2:$G$996,MATCH('Rig_Schedule_View (2)'!B261,Well_Data_NK_Upcoming!Concatenated_Wellname,0)))</f>
        <v/>
      </c>
      <c r="D261" s="421" t="str">
        <f ca="1">IF(INDEX(Well_Data_NK_Upcoming!$K$2:$K$996,MATCH('Rig_Schedule_View (2)'!B261,Well_Data_NK_Upcoming!Concatenated_Wellname,0))=0,"",INDEX(Well_Data_NK_Upcoming!$K$2:$K$996,MATCH('Rig_Schedule_View (2)'!B261,Well_Data_NK_Upcoming!Concatenated_Wellname,0)))</f>
        <v/>
      </c>
      <c r="E261" s="421" t="str">
        <f ca="1">IF(INDEX(Well_Data_NK_Upcoming!$J$2:$J$996,MATCH('Rig_Schedule_View (2)'!B261,Well_Data_NK_Upcoming!Concatenated_Wellname,0))=0,"",INDEX(Well_Data_NK_Upcoming!$J$2:$J$996,MATCH('Rig_Schedule_View (2)'!B261,Well_Data_NK_Upcoming!Concatenated_Wellname,0)))</f>
        <v/>
      </c>
      <c r="F261" s="421" t="str">
        <f ca="1">IF(INDEX(Well_Data_NK_Upcoming!$L$2:$L$996,MATCH('Rig_Schedule_View (2)'!B261,Well_Data_NK_Upcoming!Concatenated_Wellname,0))=0,"",INDEX(Well_Data_NK_Upcoming!$L$2:$L$996,MATCH('Rig_Schedule_View (2)'!B261,Well_Data_NK_Upcoming!Concatenated_Wellname,0)))</f>
        <v/>
      </c>
      <c r="G261" s="421" t="str">
        <f ca="1">IF(INDEX(Well_Data_NK_Upcoming!$R$2:$R$996,MATCH('Rig_Schedule_View (2)'!B261,Well_Data_NK_Upcoming!Concatenated_Wellname,0))=0,"",INDEX(Well_Data_NK_Upcoming!$R$2:$R$996,MATCH('Rig_Schedule_View (2)'!B261,Well_Data_NK_Upcoming!Concatenated_Wellname,0)))</f>
        <v/>
      </c>
      <c r="H261" s="526"/>
      <c r="I261" s="443" t="str">
        <f ca="1">RigScheduleTest!$BH$22</f>
        <v/>
      </c>
      <c r="J261" s="443" t="str">
        <f ca="1">RigScheduleTest!$BI$22</f>
        <v/>
      </c>
      <c r="L261" s="546"/>
      <c r="M261" s="544"/>
      <c r="N261" s="545"/>
      <c r="O261" s="545"/>
      <c r="P261" s="551"/>
    </row>
    <row r="262" spans="1:16" x14ac:dyDescent="0.25">
      <c r="A262" s="442" t="str">
        <f>RigScheduleTest!$B$22</f>
        <v>SP-295</v>
      </c>
      <c r="B262" s="442" t="str">
        <f ca="1">RigScheduleTest!$BK$22</f>
        <v/>
      </c>
      <c r="C262" s="421" t="str">
        <f ca="1">IF(INDEX(Well_Data_NK_Upcoming!$G$2:$G$996,MATCH('Rig_Schedule_View (2)'!B262,Well_Data_NK_Upcoming!Concatenated_Wellname,0))=0,"",INDEX(Well_Data_NK_Upcoming!$G$2:$G$996,MATCH('Rig_Schedule_View (2)'!B262,Well_Data_NK_Upcoming!Concatenated_Wellname,0)))</f>
        <v/>
      </c>
      <c r="D262" s="421" t="str">
        <f ca="1">IF(INDEX(Well_Data_NK_Upcoming!$K$2:$K$996,MATCH('Rig_Schedule_View (2)'!B262,Well_Data_NK_Upcoming!Concatenated_Wellname,0))=0,"",INDEX(Well_Data_NK_Upcoming!$K$2:$K$996,MATCH('Rig_Schedule_View (2)'!B262,Well_Data_NK_Upcoming!Concatenated_Wellname,0)))</f>
        <v/>
      </c>
      <c r="E262" s="421" t="str">
        <f ca="1">IF(INDEX(Well_Data_NK_Upcoming!$J$2:$J$996,MATCH('Rig_Schedule_View (2)'!B262,Well_Data_NK_Upcoming!Concatenated_Wellname,0))=0,"",INDEX(Well_Data_NK_Upcoming!$J$2:$J$996,MATCH('Rig_Schedule_View (2)'!B262,Well_Data_NK_Upcoming!Concatenated_Wellname,0)))</f>
        <v/>
      </c>
      <c r="F262" s="421" t="str">
        <f ca="1">IF(INDEX(Well_Data_NK_Upcoming!$L$2:$L$996,MATCH('Rig_Schedule_View (2)'!B262,Well_Data_NK_Upcoming!Concatenated_Wellname,0))=0,"",INDEX(Well_Data_NK_Upcoming!$L$2:$L$996,MATCH('Rig_Schedule_View (2)'!B262,Well_Data_NK_Upcoming!Concatenated_Wellname,0)))</f>
        <v/>
      </c>
      <c r="G262" s="421" t="str">
        <f ca="1">IF(INDEX(Well_Data_NK_Upcoming!$R$2:$R$996,MATCH('Rig_Schedule_View (2)'!B262,Well_Data_NK_Upcoming!Concatenated_Wellname,0))=0,"",INDEX(Well_Data_NK_Upcoming!$R$2:$R$996,MATCH('Rig_Schedule_View (2)'!B262,Well_Data_NK_Upcoming!Concatenated_Wellname,0)))</f>
        <v/>
      </c>
      <c r="H262" s="526"/>
      <c r="I262" s="443" t="str">
        <f ca="1">RigScheduleTest!$BN$22</f>
        <v/>
      </c>
      <c r="J262" s="443" t="str">
        <f ca="1">RigScheduleTest!$BO$22</f>
        <v/>
      </c>
      <c r="L262" s="546"/>
      <c r="M262" s="544"/>
      <c r="N262" s="545"/>
      <c r="O262" s="545"/>
      <c r="P262" s="551"/>
    </row>
  </sheetData>
  <autoFilter ref="A11:R262"/>
  <mergeCells count="8">
    <mergeCell ref="L5:M5"/>
    <mergeCell ref="L6:M6"/>
    <mergeCell ref="A1:B1"/>
    <mergeCell ref="L1:M1"/>
    <mergeCell ref="A2:B2"/>
    <mergeCell ref="L2:M2"/>
    <mergeCell ref="L3:M3"/>
    <mergeCell ref="L4:M4"/>
  </mergeCells>
  <pageMargins left="0.7" right="0.7" top="0.75" bottom="0.75" header="0.3" footer="0.3"/>
  <pageSetup paperSize="119"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262"/>
  <sheetViews>
    <sheetView zoomScale="55" zoomScaleNormal="55" workbookViewId="0">
      <selection activeCell="I16" sqref="I16"/>
    </sheetView>
  </sheetViews>
  <sheetFormatPr defaultColWidth="15.7109375" defaultRowHeight="15" x14ac:dyDescent="0.25"/>
  <cols>
    <col min="1" max="1" width="15.7109375" style="416"/>
    <col min="2" max="2" width="33.42578125" style="416" customWidth="1"/>
    <col min="3" max="3" width="9.85546875" style="416" customWidth="1"/>
    <col min="4" max="4" width="9.140625" style="416" customWidth="1"/>
    <col min="5" max="5" width="12.42578125" style="416" customWidth="1"/>
    <col min="6" max="6" width="13.28515625" style="416" customWidth="1"/>
    <col min="7" max="7" width="13" style="416" customWidth="1"/>
    <col min="8" max="10" width="15.7109375" style="416" customWidth="1"/>
    <col min="11" max="11" width="10.7109375" style="416" customWidth="1"/>
    <col min="12" max="12" width="30.85546875" style="416" customWidth="1"/>
    <col min="13" max="13" width="25.5703125" style="51" customWidth="1"/>
    <col min="14" max="15" width="15.7109375" style="471"/>
    <col min="16" max="16" width="15.7109375" style="416"/>
    <col min="17" max="17" width="22.42578125" style="416" customWidth="1"/>
    <col min="18" max="16384" width="15.7109375" style="416"/>
  </cols>
  <sheetData>
    <row r="1" spans="1:16" s="25" customFormat="1" ht="21" x14ac:dyDescent="0.35">
      <c r="A1" s="577" t="s">
        <v>1681</v>
      </c>
      <c r="B1" s="577"/>
      <c r="C1" s="454"/>
      <c r="D1" s="460"/>
      <c r="E1" s="460"/>
      <c r="F1" s="460"/>
      <c r="G1" s="494"/>
      <c r="H1" s="435" t="s">
        <v>1683</v>
      </c>
      <c r="I1" s="435"/>
      <c r="J1" s="435"/>
      <c r="K1" s="25" t="s">
        <v>1684</v>
      </c>
      <c r="L1" s="579" t="str">
        <f>RigScheduleTest!$D$1</f>
        <v>Concatenated Rig and Well name</v>
      </c>
      <c r="M1" s="580"/>
      <c r="N1" s="503"/>
      <c r="O1" s="503"/>
    </row>
    <row r="2" spans="1:16" s="25" customFormat="1" x14ac:dyDescent="0.25">
      <c r="A2" s="578" t="s">
        <v>1682</v>
      </c>
      <c r="B2" s="578"/>
      <c r="C2" s="455"/>
      <c r="D2" s="461"/>
      <c r="E2" s="461"/>
      <c r="F2" s="461"/>
      <c r="G2" s="495"/>
      <c r="H2" s="436">
        <f>RigScheduleTest!G26</f>
        <v>42233</v>
      </c>
      <c r="I2" s="436"/>
      <c r="J2" s="436"/>
      <c r="K2" s="25" t="s">
        <v>7</v>
      </c>
      <c r="L2" s="579" t="str">
        <f>RigScheduleTest!$E$1</f>
        <v>Well_Type_Drilling</v>
      </c>
      <c r="M2" s="580"/>
      <c r="N2" s="503"/>
      <c r="O2" s="503"/>
    </row>
    <row r="3" spans="1:16" s="25" customFormat="1" x14ac:dyDescent="0.25">
      <c r="K3" s="25" t="s">
        <v>1685</v>
      </c>
      <c r="L3" s="581" t="str">
        <f>RigScheduleTest!$F$1</f>
        <v>Rig Schedule Meeting Date</v>
      </c>
      <c r="M3" s="582"/>
      <c r="N3" s="503"/>
      <c r="O3" s="503"/>
    </row>
    <row r="4" spans="1:16" s="25" customFormat="1" x14ac:dyDescent="0.25">
      <c r="L4" s="581"/>
      <c r="M4" s="582"/>
      <c r="N4" s="503"/>
      <c r="O4" s="503"/>
    </row>
    <row r="5" spans="1:16" s="25" customFormat="1" x14ac:dyDescent="0.25">
      <c r="K5" s="25" t="s">
        <v>575</v>
      </c>
      <c r="L5" s="575" t="str">
        <f>RigScheduleTest!$L$1</f>
        <v>Estimated spud date (Estimated RR date + estimated Rig move (5))</v>
      </c>
      <c r="M5" s="576"/>
      <c r="N5" s="503"/>
      <c r="O5" s="503"/>
    </row>
    <row r="6" spans="1:16" s="25" customFormat="1" x14ac:dyDescent="0.25">
      <c r="K6" s="25" t="s">
        <v>576</v>
      </c>
      <c r="L6" s="575" t="str">
        <f>RigScheduleTest!$M$1</f>
        <v>Estimated RR date (Estimated spud + planned days)</v>
      </c>
      <c r="M6" s="576"/>
      <c r="N6" s="503"/>
      <c r="O6" s="503"/>
    </row>
    <row r="7" spans="1:16" s="25" customFormat="1" x14ac:dyDescent="0.25">
      <c r="M7" s="470"/>
      <c r="N7" s="503"/>
      <c r="O7" s="503"/>
    </row>
    <row r="8" spans="1:16" s="25" customFormat="1" x14ac:dyDescent="0.25">
      <c r="M8" s="470"/>
      <c r="N8" s="503"/>
      <c r="O8" s="503"/>
    </row>
    <row r="9" spans="1:16" s="25" customFormat="1" x14ac:dyDescent="0.25">
      <c r="M9" s="470"/>
      <c r="N9" s="503"/>
      <c r="O9" s="503"/>
    </row>
    <row r="10" spans="1:16" s="25" customFormat="1" x14ac:dyDescent="0.25">
      <c r="I10" s="445" t="s">
        <v>1686</v>
      </c>
      <c r="J10" s="445" t="s">
        <v>1686</v>
      </c>
      <c r="M10" s="470"/>
      <c r="N10" s="503"/>
      <c r="O10" s="503"/>
    </row>
    <row r="11" spans="1:16" x14ac:dyDescent="0.25">
      <c r="A11" s="437" t="str">
        <f>RigScheduleTest!$B$1</f>
        <v>RIG</v>
      </c>
      <c r="B11" s="437" t="str">
        <f>$K$1</f>
        <v>Development Drilling</v>
      </c>
      <c r="C11" s="437" t="s">
        <v>1831</v>
      </c>
      <c r="D11" s="437" t="s">
        <v>867</v>
      </c>
      <c r="E11" s="437" t="s">
        <v>8</v>
      </c>
      <c r="F11" s="437" t="s">
        <v>2</v>
      </c>
      <c r="G11" s="437" t="s">
        <v>1513</v>
      </c>
      <c r="H11" s="438" t="str">
        <f>$K$3</f>
        <v>Rig Deployment Meeting</v>
      </c>
      <c r="I11" s="439" t="str">
        <f>$K$5</f>
        <v>Start</v>
      </c>
      <c r="J11" s="439" t="str">
        <f>$K$6</f>
        <v>End</v>
      </c>
      <c r="K11" s="444" t="s">
        <v>1068</v>
      </c>
      <c r="L11" s="444" t="s">
        <v>1577</v>
      </c>
      <c r="M11" s="496" t="s">
        <v>1934</v>
      </c>
      <c r="N11" s="504" t="s">
        <v>1940</v>
      </c>
      <c r="O11" s="504" t="s">
        <v>1941</v>
      </c>
    </row>
    <row r="12" spans="1:16" x14ac:dyDescent="0.25">
      <c r="A12" s="421" t="str">
        <f>RigScheduleTest!$B$2</f>
        <v>BWD-130</v>
      </c>
      <c r="B12" s="421" t="str">
        <f ca="1">RigScheduleTest!$D$2</f>
        <v>RA-0179-RA-ZU-Prod-ST-V-HAL</v>
      </c>
      <c r="C12" s="421" t="str">
        <f ca="1">IF(INDEX(Well_Data_NK_Upcoming!$G$2:$G$996,MATCH(Rig_Schedule_View!B12,Well_Data_NK_Upcoming!Concatenated_Wellname,0))=0,"",INDEX(Well_Data_NK_Upcoming!$G$2:$G$996,MATCH(Rig_Schedule_View!B12,Well_Data_NK_Upcoming!Concatenated_Wellname,0)))</f>
        <v>ZU</v>
      </c>
      <c r="D12" s="421" t="str">
        <f ca="1">IF(INDEX(Well_Data_NK_Upcoming!$K$2:$K$996,MATCH(Rig_Schedule_View!B12,Well_Data_NK_Upcoming!Concatenated_Wellname,0))=0,"",INDEX(Well_Data_NK_Upcoming!$K$2:$K$996,MATCH(Rig_Schedule_View!B12,Well_Data_NK_Upcoming!Concatenated_Wellname,0)))</f>
        <v>ST</v>
      </c>
      <c r="E12" s="421" t="str">
        <f ca="1">IF(INDEX(Well_Data_NK_Upcoming!$J$2:$J$996,MATCH(Rig_Schedule_View!B12,Well_Data_NK_Upcoming!Concatenated_Wellname,0))=0,"",INDEX(Well_Data_NK_Upcoming!$J$2:$J$996,MATCH(Rig_Schedule_View!B12,Well_Data_NK_Upcoming!Concatenated_Wellname,0)))</f>
        <v>Prod</v>
      </c>
      <c r="F12" s="421" t="str">
        <f ca="1">IF(INDEX(Well_Data_NK_Upcoming!$L$2:$L$996,MATCH(Rig_Schedule_View!B12,Well_Data_NK_Upcoming!Concatenated_Wellname,0))=0,"",INDEX(Well_Data_NK_Upcoming!$L$2:$L$996,MATCH(Rig_Schedule_View!B12,Well_Data_NK_Upcoming!Concatenated_Wellname,0)))</f>
        <v>V</v>
      </c>
      <c r="G12" s="421">
        <f ca="1">IF(INDEX(Well_Data_NK_Upcoming!$R$2:$R$996,MATCH(Rig_Schedule_View!B12,Well_Data_NK_Upcoming!Concatenated_Wellname,0))=0,"",INDEX(Well_Data_NK_Upcoming!$R$2:$R$996,MATCH(Rig_Schedule_View!B12,Well_Data_NK_Upcoming!Concatenated_Wellname,0)))</f>
        <v>35</v>
      </c>
      <c r="H12" s="74">
        <f>RigScheduleTest!$F$2</f>
        <v>42233</v>
      </c>
      <c r="I12" s="459">
        <f ca="1">IF(INDEX(Well_Data_NK_Upcoming!$O$2:$O$996,MATCH(Rig_Schedule_View!B12,Well_Data_NK_Upcoming!Concatenated_Wellname,0))=0,"",INDEX(Well_Data_NK_Upcoming!$O$2:$O$996,MATCH(Rig_Schedule_View!B12,Well_Data_NK_Upcoming!Concatenated_Wellname,0)))</f>
        <v>42222.083333333336</v>
      </c>
      <c r="J12" s="446">
        <f ca="1">RigScheduleTest!$H$2</f>
        <v>42258</v>
      </c>
      <c r="K12" s="413" t="s">
        <v>1917</v>
      </c>
      <c r="L12" s="548" t="s">
        <v>2237</v>
      </c>
      <c r="M12" s="549">
        <v>25</v>
      </c>
      <c r="N12" s="550"/>
      <c r="O12" s="550"/>
      <c r="P12" s="551"/>
    </row>
    <row r="13" spans="1:16" x14ac:dyDescent="0.25">
      <c r="A13" s="421" t="str">
        <f>RigScheduleTest!$B$2</f>
        <v>BWD-130</v>
      </c>
      <c r="B13" s="441" t="str">
        <f ca="1">RigScheduleTest!$I$2</f>
        <v>Rig-Exp-Aug</v>
      </c>
      <c r="C13" s="421" t="str">
        <f ca="1">IF(INDEX(Well_Data_NK_Upcoming!$G$2:$G$996,MATCH(Rig_Schedule_View!B13,Well_Data_NK_Upcoming!Concatenated_Wellname,0))=0,"",INDEX(Well_Data_NK_Upcoming!$G$2:$G$996,MATCH(Rig_Schedule_View!B13,Well_Data_NK_Upcoming!Concatenated_Wellname,0)))</f>
        <v/>
      </c>
      <c r="D13" s="421" t="str">
        <f ca="1">IF(INDEX(Well_Data_NK_Upcoming!$K$2:$K$996,MATCH(Rig_Schedule_View!B13,Well_Data_NK_Upcoming!Concatenated_Wellname,0))=0,"",INDEX(Well_Data_NK_Upcoming!$K$2:$K$996,MATCH(Rig_Schedule_View!B13,Well_Data_NK_Upcoming!Concatenated_Wellname,0)))</f>
        <v/>
      </c>
      <c r="E13" s="421" t="str">
        <f ca="1">IF(INDEX(Well_Data_NK_Upcoming!$J$2:$J$996,MATCH(Rig_Schedule_View!B13,Well_Data_NK_Upcoming!Concatenated_Wellname,0))=0,"",INDEX(Well_Data_NK_Upcoming!$J$2:$J$996,MATCH(Rig_Schedule_View!B13,Well_Data_NK_Upcoming!Concatenated_Wellname,0)))</f>
        <v/>
      </c>
      <c r="F13" s="421" t="str">
        <f ca="1">IF(INDEX(Well_Data_NK_Upcoming!$L$2:$L$996,MATCH(Rig_Schedule_View!B13,Well_Data_NK_Upcoming!Concatenated_Wellname,0))=0,"",INDEX(Well_Data_NK_Upcoming!$L$2:$L$996,MATCH(Rig_Schedule_View!B13,Well_Data_NK_Upcoming!Concatenated_Wellname,0)))</f>
        <v/>
      </c>
      <c r="G13" s="421" t="str">
        <f ca="1">IF(INDEX(Well_Data_NK_Upcoming!$R$2:$R$996,MATCH(Rig_Schedule_View!B13,Well_Data_NK_Upcoming!Concatenated_Wellname,0))=0,"",INDEX(Well_Data_NK_Upcoming!$R$2:$R$996,MATCH(Rig_Schedule_View!B13,Well_Data_NK_Upcoming!Concatenated_Wellname,0)))</f>
        <v/>
      </c>
      <c r="H13" s="74"/>
      <c r="I13" s="440" t="str">
        <f ca="1">RigScheduleTest!$L$2</f>
        <v/>
      </c>
      <c r="J13" s="440" t="str">
        <f ca="1">RigScheduleTest!$M$2</f>
        <v/>
      </c>
      <c r="K13" s="456"/>
      <c r="L13" s="552"/>
      <c r="M13" s="549"/>
      <c r="N13" s="550"/>
      <c r="O13" s="550"/>
      <c r="P13" s="551"/>
    </row>
    <row r="14" spans="1:16" x14ac:dyDescent="0.25">
      <c r="A14" s="421" t="str">
        <f>RigScheduleTest!$B$2</f>
        <v>BWD-130</v>
      </c>
      <c r="B14" s="441" t="str">
        <f ca="1">RigScheduleTest!$O$2</f>
        <v/>
      </c>
      <c r="C14" s="421" t="str">
        <f ca="1">IF(INDEX(Well_Data_NK_Upcoming!$G$2:$G$996,MATCH(Rig_Schedule_View!B14,Well_Data_NK_Upcoming!Concatenated_Wellname,0))=0,"",INDEX(Well_Data_NK_Upcoming!$G$2:$G$996,MATCH(Rig_Schedule_View!B14,Well_Data_NK_Upcoming!Concatenated_Wellname,0)))</f>
        <v/>
      </c>
      <c r="D14" s="421" t="str">
        <f ca="1">IF(INDEX(Well_Data_NK_Upcoming!$K$2:$K$996,MATCH(Rig_Schedule_View!B14,Well_Data_NK_Upcoming!Concatenated_Wellname,0))=0,"",INDEX(Well_Data_NK_Upcoming!$K$2:$K$996,MATCH(Rig_Schedule_View!B14,Well_Data_NK_Upcoming!Concatenated_Wellname,0)))</f>
        <v/>
      </c>
      <c r="E14" s="421" t="str">
        <f ca="1">IF(INDEX(Well_Data_NK_Upcoming!$J$2:$J$996,MATCH(Rig_Schedule_View!B14,Well_Data_NK_Upcoming!Concatenated_Wellname,0))=0,"",INDEX(Well_Data_NK_Upcoming!$J$2:$J$996,MATCH(Rig_Schedule_View!B14,Well_Data_NK_Upcoming!Concatenated_Wellname,0)))</f>
        <v/>
      </c>
      <c r="F14" s="421" t="str">
        <f ca="1">IF(INDEX(Well_Data_NK_Upcoming!$L$2:$L$996,MATCH(Rig_Schedule_View!B14,Well_Data_NK_Upcoming!Concatenated_Wellname,0))=0,"",INDEX(Well_Data_NK_Upcoming!$L$2:$L$996,MATCH(Rig_Schedule_View!B14,Well_Data_NK_Upcoming!Concatenated_Wellname,0)))</f>
        <v/>
      </c>
      <c r="G14" s="421" t="str">
        <f ca="1">IF(INDEX(Well_Data_NK_Upcoming!$R$2:$R$996,MATCH(Rig_Schedule_View!B14,Well_Data_NK_Upcoming!Concatenated_Wellname,0))=0,"",INDEX(Well_Data_NK_Upcoming!$R$2:$R$996,MATCH(Rig_Schedule_View!B14,Well_Data_NK_Upcoming!Concatenated_Wellname,0)))</f>
        <v/>
      </c>
      <c r="H14" s="74"/>
      <c r="I14" s="440" t="str">
        <f ca="1">RigScheduleTest!$R$2</f>
        <v/>
      </c>
      <c r="J14" s="440" t="str">
        <f ca="1">RigScheduleTest!$S$2</f>
        <v/>
      </c>
      <c r="K14" s="413"/>
      <c r="L14" s="552"/>
      <c r="M14" s="549"/>
      <c r="N14" s="550"/>
      <c r="O14" s="550"/>
      <c r="P14" s="551"/>
    </row>
    <row r="15" spans="1:16" x14ac:dyDescent="0.25">
      <c r="A15" s="421" t="str">
        <f>RigScheduleTest!$B$2</f>
        <v>BWD-130</v>
      </c>
      <c r="B15" s="442" t="str">
        <f ca="1">RigScheduleTest!$U$2</f>
        <v/>
      </c>
      <c r="C15" s="421" t="str">
        <f ca="1">IF(INDEX(Well_Data_NK_Upcoming!$G$2:$G$996,MATCH(Rig_Schedule_View!B15,Well_Data_NK_Upcoming!Concatenated_Wellname,0))=0,"",INDEX(Well_Data_NK_Upcoming!$G$2:$G$996,MATCH(Rig_Schedule_View!B15,Well_Data_NK_Upcoming!Concatenated_Wellname,0)))</f>
        <v/>
      </c>
      <c r="D15" s="421" t="str">
        <f ca="1">IF(INDEX(Well_Data_NK_Upcoming!$K$2:$K$996,MATCH(Rig_Schedule_View!B15,Well_Data_NK_Upcoming!Concatenated_Wellname,0))=0,"",INDEX(Well_Data_NK_Upcoming!$K$2:$K$996,MATCH(Rig_Schedule_View!B15,Well_Data_NK_Upcoming!Concatenated_Wellname,0)))</f>
        <v/>
      </c>
      <c r="E15" s="421" t="str">
        <f ca="1">IF(INDEX(Well_Data_NK_Upcoming!$J$2:$J$996,MATCH(Rig_Schedule_View!B15,Well_Data_NK_Upcoming!Concatenated_Wellname,0))=0,"",INDEX(Well_Data_NK_Upcoming!$J$2:$J$996,MATCH(Rig_Schedule_View!B15,Well_Data_NK_Upcoming!Concatenated_Wellname,0)))</f>
        <v/>
      </c>
      <c r="F15" s="421" t="str">
        <f ca="1">IF(INDEX(Well_Data_NK_Upcoming!$L$2:$L$996,MATCH(Rig_Schedule_View!B15,Well_Data_NK_Upcoming!Concatenated_Wellname,0))=0,"",INDEX(Well_Data_NK_Upcoming!$L$2:$L$996,MATCH(Rig_Schedule_View!B15,Well_Data_NK_Upcoming!Concatenated_Wellname,0)))</f>
        <v/>
      </c>
      <c r="G15" s="421" t="str">
        <f ca="1">IF(INDEX(Well_Data_NK_Upcoming!$R$2:$R$996,MATCH(Rig_Schedule_View!B15,Well_Data_NK_Upcoming!Concatenated_Wellname,0))=0,"",INDEX(Well_Data_NK_Upcoming!$R$2:$R$996,MATCH(Rig_Schedule_View!B15,Well_Data_NK_Upcoming!Concatenated_Wellname,0)))</f>
        <v/>
      </c>
      <c r="H15" s="74"/>
      <c r="I15" s="443" t="str">
        <f ca="1">RigScheduleTest!$X$2</f>
        <v/>
      </c>
      <c r="J15" s="443" t="str">
        <f ca="1">RigScheduleTest!$Y$2</f>
        <v/>
      </c>
      <c r="K15" s="413"/>
      <c r="L15" s="552"/>
      <c r="M15" s="549"/>
      <c r="N15" s="550"/>
      <c r="O15" s="550"/>
      <c r="P15" s="551"/>
    </row>
    <row r="16" spans="1:16" x14ac:dyDescent="0.25">
      <c r="A16" s="421" t="str">
        <f>RigScheduleTest!$B$2</f>
        <v>BWD-130</v>
      </c>
      <c r="B16" s="442" t="str">
        <f ca="1">RigScheduleTest!$AA$2</f>
        <v/>
      </c>
      <c r="C16" s="421" t="str">
        <f ca="1">IF(INDEX(Well_Data_NK_Upcoming!$G$2:$G$996,MATCH(Rig_Schedule_View!B16,Well_Data_NK_Upcoming!Concatenated_Wellname,0))=0,"",INDEX(Well_Data_NK_Upcoming!$G$2:$G$996,MATCH(Rig_Schedule_View!B16,Well_Data_NK_Upcoming!Concatenated_Wellname,0)))</f>
        <v/>
      </c>
      <c r="D16" s="421" t="str">
        <f ca="1">IF(INDEX(Well_Data_NK_Upcoming!$K$2:$K$996,MATCH(Rig_Schedule_View!B16,Well_Data_NK_Upcoming!Concatenated_Wellname,0))=0,"",INDEX(Well_Data_NK_Upcoming!$K$2:$K$996,MATCH(Rig_Schedule_View!B16,Well_Data_NK_Upcoming!Concatenated_Wellname,0)))</f>
        <v/>
      </c>
      <c r="E16" s="421" t="str">
        <f ca="1">IF(INDEX(Well_Data_NK_Upcoming!$J$2:$J$996,MATCH(Rig_Schedule_View!B16,Well_Data_NK_Upcoming!Concatenated_Wellname,0))=0,"",INDEX(Well_Data_NK_Upcoming!$J$2:$J$996,MATCH(Rig_Schedule_View!B16,Well_Data_NK_Upcoming!Concatenated_Wellname,0)))</f>
        <v/>
      </c>
      <c r="F16" s="421" t="str">
        <f ca="1">IF(INDEX(Well_Data_NK_Upcoming!$L$2:$L$996,MATCH(Rig_Schedule_View!B16,Well_Data_NK_Upcoming!Concatenated_Wellname,0))=0,"",INDEX(Well_Data_NK_Upcoming!$L$2:$L$996,MATCH(Rig_Schedule_View!B16,Well_Data_NK_Upcoming!Concatenated_Wellname,0)))</f>
        <v/>
      </c>
      <c r="G16" s="421" t="str">
        <f ca="1">IF(INDEX(Well_Data_NK_Upcoming!$R$2:$R$996,MATCH(Rig_Schedule_View!B16,Well_Data_NK_Upcoming!Concatenated_Wellname,0))=0,"",INDEX(Well_Data_NK_Upcoming!$R$2:$R$996,MATCH(Rig_Schedule_View!B16,Well_Data_NK_Upcoming!Concatenated_Wellname,0)))</f>
        <v/>
      </c>
      <c r="H16" s="74"/>
      <c r="I16" s="443" t="str">
        <f ca="1">RigScheduleTest!$AD$2</f>
        <v/>
      </c>
      <c r="J16" s="443" t="str">
        <f ca="1">RigScheduleTest!$AE$2</f>
        <v/>
      </c>
      <c r="K16" s="413"/>
      <c r="L16" s="552"/>
      <c r="M16" s="549"/>
      <c r="N16" s="550"/>
      <c r="O16" s="550"/>
      <c r="P16" s="551"/>
    </row>
    <row r="17" spans="1:16" x14ac:dyDescent="0.25">
      <c r="A17" s="421" t="str">
        <f>RigScheduleTest!$B$2</f>
        <v>BWD-130</v>
      </c>
      <c r="B17" s="442" t="str">
        <f ca="1">RigScheduleTest!$AG$2</f>
        <v/>
      </c>
      <c r="C17" s="421" t="str">
        <f ca="1">IF(INDEX(Well_Data_NK_Upcoming!$G$2:$G$996,MATCH(Rig_Schedule_View!B17,Well_Data_NK_Upcoming!Concatenated_Wellname,0))=0,"",INDEX(Well_Data_NK_Upcoming!$G$2:$G$996,MATCH(Rig_Schedule_View!B17,Well_Data_NK_Upcoming!Concatenated_Wellname,0)))</f>
        <v/>
      </c>
      <c r="D17" s="421" t="str">
        <f ca="1">IF(INDEX(Well_Data_NK_Upcoming!$K$2:$K$996,MATCH(Rig_Schedule_View!B17,Well_Data_NK_Upcoming!Concatenated_Wellname,0))=0,"",INDEX(Well_Data_NK_Upcoming!$K$2:$K$996,MATCH(Rig_Schedule_View!B17,Well_Data_NK_Upcoming!Concatenated_Wellname,0)))</f>
        <v/>
      </c>
      <c r="E17" s="421" t="str">
        <f ca="1">IF(INDEX(Well_Data_NK_Upcoming!$J$2:$J$996,MATCH(Rig_Schedule_View!B17,Well_Data_NK_Upcoming!Concatenated_Wellname,0))=0,"",INDEX(Well_Data_NK_Upcoming!$J$2:$J$996,MATCH(Rig_Schedule_View!B17,Well_Data_NK_Upcoming!Concatenated_Wellname,0)))</f>
        <v/>
      </c>
      <c r="F17" s="421" t="str">
        <f ca="1">IF(INDEX(Well_Data_NK_Upcoming!$L$2:$L$996,MATCH(Rig_Schedule_View!B17,Well_Data_NK_Upcoming!Concatenated_Wellname,0))=0,"",INDEX(Well_Data_NK_Upcoming!$L$2:$L$996,MATCH(Rig_Schedule_View!B17,Well_Data_NK_Upcoming!Concatenated_Wellname,0)))</f>
        <v/>
      </c>
      <c r="G17" s="421" t="str">
        <f ca="1">IF(INDEX(Well_Data_NK_Upcoming!$R$2:$R$996,MATCH(Rig_Schedule_View!B17,Well_Data_NK_Upcoming!Concatenated_Wellname,0))=0,"",INDEX(Well_Data_NK_Upcoming!$R$2:$R$996,MATCH(Rig_Schedule_View!B17,Well_Data_NK_Upcoming!Concatenated_Wellname,0)))</f>
        <v/>
      </c>
      <c r="H17" s="74"/>
      <c r="I17" s="443" t="str">
        <f ca="1">RigScheduleTest!$AJ$2</f>
        <v/>
      </c>
      <c r="J17" s="443" t="str">
        <f ca="1">RigScheduleTest!$AK$2</f>
        <v/>
      </c>
      <c r="K17" s="413"/>
      <c r="L17" s="552"/>
      <c r="M17" s="549"/>
      <c r="N17" s="550"/>
      <c r="O17" s="550"/>
      <c r="P17" s="551"/>
    </row>
    <row r="18" spans="1:16" x14ac:dyDescent="0.25">
      <c r="A18" s="421" t="str">
        <f>RigScheduleTest!$B$2</f>
        <v>BWD-130</v>
      </c>
      <c r="B18" s="442" t="str">
        <f ca="1">RigScheduleTest!$AM$2</f>
        <v/>
      </c>
      <c r="C18" s="421" t="str">
        <f ca="1">IF(INDEX(Well_Data_NK_Upcoming!$G$2:$G$996,MATCH(Rig_Schedule_View!B18,Well_Data_NK_Upcoming!Concatenated_Wellname,0))=0,"",INDEX(Well_Data_NK_Upcoming!$G$2:$G$996,MATCH(Rig_Schedule_View!B18,Well_Data_NK_Upcoming!Concatenated_Wellname,0)))</f>
        <v/>
      </c>
      <c r="D18" s="421" t="str">
        <f ca="1">IF(INDEX(Well_Data_NK_Upcoming!$K$2:$K$996,MATCH(Rig_Schedule_View!B18,Well_Data_NK_Upcoming!Concatenated_Wellname,0))=0,"",INDEX(Well_Data_NK_Upcoming!$K$2:$K$996,MATCH(Rig_Schedule_View!B18,Well_Data_NK_Upcoming!Concatenated_Wellname,0)))</f>
        <v/>
      </c>
      <c r="E18" s="421" t="str">
        <f ca="1">IF(INDEX(Well_Data_NK_Upcoming!$J$2:$J$996,MATCH(Rig_Schedule_View!B18,Well_Data_NK_Upcoming!Concatenated_Wellname,0))=0,"",INDEX(Well_Data_NK_Upcoming!$J$2:$J$996,MATCH(Rig_Schedule_View!B18,Well_Data_NK_Upcoming!Concatenated_Wellname,0)))</f>
        <v/>
      </c>
      <c r="F18" s="421" t="str">
        <f ca="1">IF(INDEX(Well_Data_NK_Upcoming!$L$2:$L$996,MATCH(Rig_Schedule_View!B18,Well_Data_NK_Upcoming!Concatenated_Wellname,0))=0,"",INDEX(Well_Data_NK_Upcoming!$L$2:$L$996,MATCH(Rig_Schedule_View!B18,Well_Data_NK_Upcoming!Concatenated_Wellname,0)))</f>
        <v/>
      </c>
      <c r="G18" s="421" t="str">
        <f ca="1">IF(INDEX(Well_Data_NK_Upcoming!$R$2:$R$996,MATCH(Rig_Schedule_View!B18,Well_Data_NK_Upcoming!Concatenated_Wellname,0))=0,"",INDEX(Well_Data_NK_Upcoming!$R$2:$R$996,MATCH(Rig_Schedule_View!B18,Well_Data_NK_Upcoming!Concatenated_Wellname,0)))</f>
        <v/>
      </c>
      <c r="H18" s="74"/>
      <c r="I18" s="443" t="str">
        <f ca="1">RigScheduleTest!$AP$2</f>
        <v/>
      </c>
      <c r="J18" s="443" t="str">
        <f ca="1">RigScheduleTest!$AQ$2</f>
        <v/>
      </c>
      <c r="K18" s="413"/>
      <c r="L18" s="552"/>
      <c r="M18" s="549"/>
      <c r="N18" s="550"/>
      <c r="O18" s="550"/>
      <c r="P18" s="551"/>
    </row>
    <row r="19" spans="1:16" x14ac:dyDescent="0.25">
      <c r="A19" s="421" t="str">
        <f>RigScheduleTest!$B$2</f>
        <v>BWD-130</v>
      </c>
      <c r="B19" s="442" t="str">
        <f ca="1">RigScheduleTest!$AS$2</f>
        <v/>
      </c>
      <c r="C19" s="421" t="str">
        <f ca="1">IF(INDEX(Well_Data_NK_Upcoming!$G$2:$G$996,MATCH(Rig_Schedule_View!B19,Well_Data_NK_Upcoming!Concatenated_Wellname,0))=0,"",INDEX(Well_Data_NK_Upcoming!$G$2:$G$996,MATCH(Rig_Schedule_View!B19,Well_Data_NK_Upcoming!Concatenated_Wellname,0)))</f>
        <v/>
      </c>
      <c r="D19" s="421" t="str">
        <f ca="1">IF(INDEX(Well_Data_NK_Upcoming!$K$2:$K$996,MATCH(Rig_Schedule_View!B19,Well_Data_NK_Upcoming!Concatenated_Wellname,0))=0,"",INDEX(Well_Data_NK_Upcoming!$K$2:$K$996,MATCH(Rig_Schedule_View!B19,Well_Data_NK_Upcoming!Concatenated_Wellname,0)))</f>
        <v/>
      </c>
      <c r="E19" s="421" t="str">
        <f ca="1">IF(INDEX(Well_Data_NK_Upcoming!$J$2:$J$996,MATCH(Rig_Schedule_View!B19,Well_Data_NK_Upcoming!Concatenated_Wellname,0))=0,"",INDEX(Well_Data_NK_Upcoming!$J$2:$J$996,MATCH(Rig_Schedule_View!B19,Well_Data_NK_Upcoming!Concatenated_Wellname,0)))</f>
        <v/>
      </c>
      <c r="F19" s="421" t="str">
        <f ca="1">IF(INDEX(Well_Data_NK_Upcoming!$L$2:$L$996,MATCH(Rig_Schedule_View!B19,Well_Data_NK_Upcoming!Concatenated_Wellname,0))=0,"",INDEX(Well_Data_NK_Upcoming!$L$2:$L$996,MATCH(Rig_Schedule_View!B19,Well_Data_NK_Upcoming!Concatenated_Wellname,0)))</f>
        <v/>
      </c>
      <c r="G19" s="421" t="str">
        <f ca="1">IF(INDEX(Well_Data_NK_Upcoming!$R$2:$R$996,MATCH(Rig_Schedule_View!B19,Well_Data_NK_Upcoming!Concatenated_Wellname,0))=0,"",INDEX(Well_Data_NK_Upcoming!$R$2:$R$996,MATCH(Rig_Schedule_View!B19,Well_Data_NK_Upcoming!Concatenated_Wellname,0)))</f>
        <v/>
      </c>
      <c r="H19" s="74"/>
      <c r="I19" s="443" t="str">
        <f ca="1">RigScheduleTest!$AV$2</f>
        <v/>
      </c>
      <c r="J19" s="443" t="str">
        <f ca="1">RigScheduleTest!$AW$2</f>
        <v/>
      </c>
      <c r="K19" s="413"/>
      <c r="L19" s="552"/>
      <c r="M19" s="549"/>
      <c r="N19" s="550"/>
      <c r="O19" s="550"/>
      <c r="P19" s="551"/>
    </row>
    <row r="20" spans="1:16" x14ac:dyDescent="0.25">
      <c r="A20" s="421" t="str">
        <f>RigScheduleTest!$B$2</f>
        <v>BWD-130</v>
      </c>
      <c r="B20" s="442" t="str">
        <f ca="1">RigScheduleTest!$AY$2</f>
        <v/>
      </c>
      <c r="C20" s="421" t="str">
        <f ca="1">IF(INDEX(Well_Data_NK_Upcoming!$G$2:$G$996,MATCH(Rig_Schedule_View!B20,Well_Data_NK_Upcoming!Concatenated_Wellname,0))=0,"",INDEX(Well_Data_NK_Upcoming!$G$2:$G$996,MATCH(Rig_Schedule_View!B20,Well_Data_NK_Upcoming!Concatenated_Wellname,0)))</f>
        <v/>
      </c>
      <c r="D20" s="421" t="str">
        <f ca="1">IF(INDEX(Well_Data_NK_Upcoming!$K$2:$K$996,MATCH(Rig_Schedule_View!B20,Well_Data_NK_Upcoming!Concatenated_Wellname,0))=0,"",INDEX(Well_Data_NK_Upcoming!$K$2:$K$996,MATCH(Rig_Schedule_View!B20,Well_Data_NK_Upcoming!Concatenated_Wellname,0)))</f>
        <v/>
      </c>
      <c r="E20" s="421" t="str">
        <f ca="1">IF(INDEX(Well_Data_NK_Upcoming!$J$2:$J$996,MATCH(Rig_Schedule_View!B20,Well_Data_NK_Upcoming!Concatenated_Wellname,0))=0,"",INDEX(Well_Data_NK_Upcoming!$J$2:$J$996,MATCH(Rig_Schedule_View!B20,Well_Data_NK_Upcoming!Concatenated_Wellname,0)))</f>
        <v/>
      </c>
      <c r="F20" s="421" t="str">
        <f ca="1">IF(INDEX(Well_Data_NK_Upcoming!$L$2:$L$996,MATCH(Rig_Schedule_View!B20,Well_Data_NK_Upcoming!Concatenated_Wellname,0))=0,"",INDEX(Well_Data_NK_Upcoming!$L$2:$L$996,MATCH(Rig_Schedule_View!B20,Well_Data_NK_Upcoming!Concatenated_Wellname,0)))</f>
        <v/>
      </c>
      <c r="G20" s="421" t="str">
        <f ca="1">IF(INDEX(Well_Data_NK_Upcoming!$R$2:$R$996,MATCH(Rig_Schedule_View!B20,Well_Data_NK_Upcoming!Concatenated_Wellname,0))=0,"",INDEX(Well_Data_NK_Upcoming!$R$2:$R$996,MATCH(Rig_Schedule_View!B20,Well_Data_NK_Upcoming!Concatenated_Wellname,0)))</f>
        <v/>
      </c>
      <c r="H20" s="74"/>
      <c r="I20" s="443" t="str">
        <f ca="1">RigScheduleTest!$BB$2</f>
        <v/>
      </c>
      <c r="J20" s="443" t="str">
        <f ca="1">RigScheduleTest!$BC$2</f>
        <v/>
      </c>
      <c r="K20" s="413"/>
      <c r="L20" s="552"/>
      <c r="M20" s="549"/>
      <c r="N20" s="550"/>
      <c r="O20" s="550"/>
      <c r="P20" s="551"/>
    </row>
    <row r="21" spans="1:16" x14ac:dyDescent="0.25">
      <c r="A21" s="421" t="str">
        <f>RigScheduleTest!$B$2</f>
        <v>BWD-130</v>
      </c>
      <c r="B21" s="442" t="str">
        <f ca="1">RigScheduleTest!$BE$2</f>
        <v/>
      </c>
      <c r="C21" s="421" t="str">
        <f ca="1">IF(INDEX(Well_Data_NK_Upcoming!$G$2:$G$996,MATCH(Rig_Schedule_View!B21,Well_Data_NK_Upcoming!Concatenated_Wellname,0))=0,"",INDEX(Well_Data_NK_Upcoming!$G$2:$G$996,MATCH(Rig_Schedule_View!B21,Well_Data_NK_Upcoming!Concatenated_Wellname,0)))</f>
        <v/>
      </c>
      <c r="D21" s="421" t="str">
        <f ca="1">IF(INDEX(Well_Data_NK_Upcoming!$K$2:$K$996,MATCH(Rig_Schedule_View!B21,Well_Data_NK_Upcoming!Concatenated_Wellname,0))=0,"",INDEX(Well_Data_NK_Upcoming!$K$2:$K$996,MATCH(Rig_Schedule_View!B21,Well_Data_NK_Upcoming!Concatenated_Wellname,0)))</f>
        <v/>
      </c>
      <c r="E21" s="421" t="str">
        <f ca="1">IF(INDEX(Well_Data_NK_Upcoming!$J$2:$J$996,MATCH(Rig_Schedule_View!B21,Well_Data_NK_Upcoming!Concatenated_Wellname,0))=0,"",INDEX(Well_Data_NK_Upcoming!$J$2:$J$996,MATCH(Rig_Schedule_View!B21,Well_Data_NK_Upcoming!Concatenated_Wellname,0)))</f>
        <v/>
      </c>
      <c r="F21" s="421" t="str">
        <f ca="1">IF(INDEX(Well_Data_NK_Upcoming!$L$2:$L$996,MATCH(Rig_Schedule_View!B21,Well_Data_NK_Upcoming!Concatenated_Wellname,0))=0,"",INDEX(Well_Data_NK_Upcoming!$L$2:$L$996,MATCH(Rig_Schedule_View!B21,Well_Data_NK_Upcoming!Concatenated_Wellname,0)))</f>
        <v/>
      </c>
      <c r="G21" s="421" t="str">
        <f ca="1">IF(INDEX(Well_Data_NK_Upcoming!$R$2:$R$996,MATCH(Rig_Schedule_View!B21,Well_Data_NK_Upcoming!Concatenated_Wellname,0))=0,"",INDEX(Well_Data_NK_Upcoming!$R$2:$R$996,MATCH(Rig_Schedule_View!B21,Well_Data_NK_Upcoming!Concatenated_Wellname,0)))</f>
        <v/>
      </c>
      <c r="H21" s="74"/>
      <c r="I21" s="443" t="str">
        <f ca="1">RigScheduleTest!$BH$2</f>
        <v/>
      </c>
      <c r="J21" s="443" t="str">
        <f ca="1">RigScheduleTest!$BI$2</f>
        <v/>
      </c>
      <c r="K21" s="413"/>
      <c r="L21" s="552"/>
      <c r="M21" s="549"/>
      <c r="N21" s="550"/>
      <c r="O21" s="550"/>
      <c r="P21" s="551"/>
    </row>
    <row r="22" spans="1:16" x14ac:dyDescent="0.25">
      <c r="A22" s="421" t="str">
        <f>RigScheduleTest!$B$2</f>
        <v>BWD-130</v>
      </c>
      <c r="B22" s="442" t="str">
        <f ca="1">RigScheduleTest!$BK$2</f>
        <v/>
      </c>
      <c r="C22" s="421" t="str">
        <f ca="1">IF(INDEX(Well_Data_NK_Upcoming!$G$2:$G$996,MATCH(Rig_Schedule_View!B22,Well_Data_NK_Upcoming!Concatenated_Wellname,0))=0,"",INDEX(Well_Data_NK_Upcoming!$G$2:$G$996,MATCH(Rig_Schedule_View!B22,Well_Data_NK_Upcoming!Concatenated_Wellname,0)))</f>
        <v/>
      </c>
      <c r="D22" s="421" t="str">
        <f ca="1">IF(INDEX(Well_Data_NK_Upcoming!$K$2:$K$996,MATCH(Rig_Schedule_View!B22,Well_Data_NK_Upcoming!Concatenated_Wellname,0))=0,"",INDEX(Well_Data_NK_Upcoming!$K$2:$K$996,MATCH(Rig_Schedule_View!B22,Well_Data_NK_Upcoming!Concatenated_Wellname,0)))</f>
        <v/>
      </c>
      <c r="E22" s="421" t="str">
        <f ca="1">IF(INDEX(Well_Data_NK_Upcoming!$J$2:$J$996,MATCH(Rig_Schedule_View!B22,Well_Data_NK_Upcoming!Concatenated_Wellname,0))=0,"",INDEX(Well_Data_NK_Upcoming!$J$2:$J$996,MATCH(Rig_Schedule_View!B22,Well_Data_NK_Upcoming!Concatenated_Wellname,0)))</f>
        <v/>
      </c>
      <c r="F22" s="421" t="str">
        <f ca="1">IF(INDEX(Well_Data_NK_Upcoming!$L$2:$L$996,MATCH(Rig_Schedule_View!B22,Well_Data_NK_Upcoming!Concatenated_Wellname,0))=0,"",INDEX(Well_Data_NK_Upcoming!$L$2:$L$996,MATCH(Rig_Schedule_View!B22,Well_Data_NK_Upcoming!Concatenated_Wellname,0)))</f>
        <v/>
      </c>
      <c r="G22" s="421" t="str">
        <f ca="1">IF(INDEX(Well_Data_NK_Upcoming!$R$2:$R$996,MATCH(Rig_Schedule_View!B22,Well_Data_NK_Upcoming!Concatenated_Wellname,0))=0,"",INDEX(Well_Data_NK_Upcoming!$R$2:$R$996,MATCH(Rig_Schedule_View!B22,Well_Data_NK_Upcoming!Concatenated_Wellname,0)))</f>
        <v/>
      </c>
      <c r="H22" s="74"/>
      <c r="I22" s="443" t="str">
        <f ca="1">RigScheduleTest!$BN$2</f>
        <v/>
      </c>
      <c r="J22" s="443" t="str">
        <f ca="1">RigScheduleTest!$BO$2</f>
        <v/>
      </c>
      <c r="K22" s="413"/>
      <c r="L22" s="552"/>
      <c r="M22" s="549"/>
      <c r="N22" s="550"/>
      <c r="O22" s="550"/>
      <c r="P22" s="551"/>
    </row>
    <row r="23" spans="1:16" x14ac:dyDescent="0.25">
      <c r="A23" s="437" t="str">
        <f>RigScheduleTest!$B$1</f>
        <v>RIG</v>
      </c>
      <c r="B23" s="437" t="str">
        <f>$K$1</f>
        <v>Development Drilling</v>
      </c>
      <c r="C23" s="437" t="s">
        <v>1831</v>
      </c>
      <c r="D23" s="437" t="s">
        <v>867</v>
      </c>
      <c r="E23" s="437" t="s">
        <v>8</v>
      </c>
      <c r="F23" s="437" t="s">
        <v>2</v>
      </c>
      <c r="G23" s="437" t="s">
        <v>1513</v>
      </c>
      <c r="H23" s="438" t="str">
        <f>$K$3</f>
        <v>Rig Deployment Meeting</v>
      </c>
      <c r="I23" s="439" t="str">
        <f>$K$5</f>
        <v>Start</v>
      </c>
      <c r="J23" s="439" t="s">
        <v>576</v>
      </c>
      <c r="K23" s="444" t="s">
        <v>1068</v>
      </c>
      <c r="L23" s="444" t="s">
        <v>1577</v>
      </c>
      <c r="M23" s="496" t="s">
        <v>1934</v>
      </c>
      <c r="N23" s="504" t="s">
        <v>1940</v>
      </c>
      <c r="O23" s="504" t="s">
        <v>1941</v>
      </c>
      <c r="P23" s="502"/>
    </row>
    <row r="24" spans="1:16" x14ac:dyDescent="0.25">
      <c r="A24" s="421" t="str">
        <f>RigScheduleTest!$B$3</f>
        <v>KDC-25</v>
      </c>
      <c r="B24" s="421" t="str">
        <f ca="1">RigScheduleTest!$D$3</f>
        <v>RA-0561-RA-UB-Prod-NW-HZ-SLB</v>
      </c>
      <c r="C24" s="421" t="str">
        <f ca="1">IF(INDEX(Well_Data_NK_Upcoming!$G$2:$G$996,MATCH(Rig_Schedule_View!B24,Well_Data_NK_Upcoming!Concatenated_Wellname,0))=0,"",INDEX(Well_Data_NK_Upcoming!$G$2:$G$996,MATCH(Rig_Schedule_View!B24,Well_Data_NK_Upcoming!Concatenated_Wellname,0)))</f>
        <v>UB</v>
      </c>
      <c r="D24" s="421" t="str">
        <f ca="1">IF(INDEX(Well_Data_NK_Upcoming!$K$2:$K$996,MATCH(Rig_Schedule_View!B24,Well_Data_NK_Upcoming!Concatenated_Wellname,0))=0,"",INDEX(Well_Data_NK_Upcoming!$K$2:$K$996,MATCH(Rig_Schedule_View!B24,Well_Data_NK_Upcoming!Concatenated_Wellname,0)))</f>
        <v>NW</v>
      </c>
      <c r="E24" s="421" t="str">
        <f ca="1">IF(INDEX(Well_Data_NK_Upcoming!$J$2:$J$996,MATCH(Rig_Schedule_View!B24,Well_Data_NK_Upcoming!Concatenated_Wellname,0))=0,"",INDEX(Well_Data_NK_Upcoming!$J$2:$J$996,MATCH(Rig_Schedule_View!B24,Well_Data_NK_Upcoming!Concatenated_Wellname,0)))</f>
        <v>Prod</v>
      </c>
      <c r="F24" s="421" t="str">
        <f ca="1">IF(INDEX(Well_Data_NK_Upcoming!$L$2:$L$996,MATCH(Rig_Schedule_View!B24,Well_Data_NK_Upcoming!Concatenated_Wellname,0))=0,"",INDEX(Well_Data_NK_Upcoming!$L$2:$L$996,MATCH(Rig_Schedule_View!B24,Well_Data_NK_Upcoming!Concatenated_Wellname,0)))</f>
        <v>HZ</v>
      </c>
      <c r="G24" s="421">
        <f ca="1">IF(INDEX(Well_Data_NK_Upcoming!$R$2:$R$996,MATCH(Rig_Schedule_View!B24,Well_Data_NK_Upcoming!Concatenated_Wellname,0))=0,"",INDEX(Well_Data_NK_Upcoming!$R$2:$R$996,MATCH(Rig_Schedule_View!B24,Well_Data_NK_Upcoming!Concatenated_Wellname,0)))</f>
        <v>75</v>
      </c>
      <c r="H24" s="74">
        <f>RigScheduleTest!$F$3</f>
        <v>42233</v>
      </c>
      <c r="I24" s="459">
        <f ca="1">IF(INDEX(Well_Data_NK_Upcoming!$O$2:$O$996,MATCH(Rig_Schedule_View!B24,Well_Data_NK_Upcoming!Concatenated_Wellname,0))=0,"",INDEX(Well_Data_NK_Upcoming!$O$2:$O$996,MATCH(Rig_Schedule_View!B24,Well_Data_NK_Upcoming!Concatenated_Wellname,0)))</f>
        <v>42115.229166666664</v>
      </c>
      <c r="J24" s="446">
        <f ca="1">RigScheduleTest!$H$3</f>
        <v>42268</v>
      </c>
      <c r="K24" s="493" t="s">
        <v>1917</v>
      </c>
      <c r="L24" s="543" t="s">
        <v>2217</v>
      </c>
      <c r="M24" s="544">
        <v>35</v>
      </c>
      <c r="N24" s="550"/>
      <c r="O24" s="550"/>
      <c r="P24" s="551"/>
    </row>
    <row r="25" spans="1:16" x14ac:dyDescent="0.25">
      <c r="A25" s="421" t="str">
        <f>RigScheduleTest!$B$3</f>
        <v>KDC-25</v>
      </c>
      <c r="B25" s="441" t="str">
        <f ca="1">RigScheduleTest!$I$3</f>
        <v>RA-0581-RA-UB-Prod-NW-HZ-Sperry</v>
      </c>
      <c r="C25" s="421" t="str">
        <f ca="1">IF(INDEX(Well_Data_NK_Upcoming!$G$2:$G$996,MATCH(Rig_Schedule_View!B25,Well_Data_NK_Upcoming!Concatenated_Wellname,0))=0,"",INDEX(Well_Data_NK_Upcoming!$G$2:$G$996,MATCH(Rig_Schedule_View!B25,Well_Data_NK_Upcoming!Concatenated_Wellname,0)))</f>
        <v>UB</v>
      </c>
      <c r="D25" s="421" t="str">
        <f ca="1">IF(INDEX(Well_Data_NK_Upcoming!$K$2:$K$996,MATCH(Rig_Schedule_View!B25,Well_Data_NK_Upcoming!Concatenated_Wellname,0))=0,"",INDEX(Well_Data_NK_Upcoming!$K$2:$K$996,MATCH(Rig_Schedule_View!B25,Well_Data_NK_Upcoming!Concatenated_Wellname,0)))</f>
        <v>NW</v>
      </c>
      <c r="E25" s="421" t="str">
        <f ca="1">IF(INDEX(Well_Data_NK_Upcoming!$J$2:$J$996,MATCH(Rig_Schedule_View!B25,Well_Data_NK_Upcoming!Concatenated_Wellname,0))=0,"",INDEX(Well_Data_NK_Upcoming!$J$2:$J$996,MATCH(Rig_Schedule_View!B25,Well_Data_NK_Upcoming!Concatenated_Wellname,0)))</f>
        <v>Prod</v>
      </c>
      <c r="F25" s="421" t="str">
        <f ca="1">IF(INDEX(Well_Data_NK_Upcoming!$L$2:$L$996,MATCH(Rig_Schedule_View!B25,Well_Data_NK_Upcoming!Concatenated_Wellname,0))=0,"",INDEX(Well_Data_NK_Upcoming!$L$2:$L$996,MATCH(Rig_Schedule_View!B25,Well_Data_NK_Upcoming!Concatenated_Wellname,0)))</f>
        <v>HZ</v>
      </c>
      <c r="G25" s="421">
        <f ca="1">IF(INDEX(Well_Data_NK_Upcoming!$R$2:$R$996,MATCH(Rig_Schedule_View!B25,Well_Data_NK_Upcoming!Concatenated_Wellname,0))=0,"",INDEX(Well_Data_NK_Upcoming!$R$2:$R$996,MATCH(Rig_Schedule_View!B25,Well_Data_NK_Upcoming!Concatenated_Wellname,0)))</f>
        <v>75</v>
      </c>
      <c r="H25" s="74"/>
      <c r="I25" s="440">
        <f ca="1">RigScheduleTest!$L$3</f>
        <v>42273</v>
      </c>
      <c r="J25" s="440">
        <f ca="1">RigScheduleTest!$M$3</f>
        <v>42343</v>
      </c>
      <c r="K25" s="413"/>
      <c r="L25" s="546"/>
      <c r="M25" s="544"/>
      <c r="N25" s="545"/>
      <c r="O25" s="545"/>
      <c r="P25" s="551"/>
    </row>
    <row r="26" spans="1:16" x14ac:dyDescent="0.25">
      <c r="A26" s="421" t="str">
        <f>RigScheduleTest!$B$3</f>
        <v>KDC-25</v>
      </c>
      <c r="B26" s="441" t="str">
        <f ca="1">RigScheduleTest!$O$3</f>
        <v>RA-0569-RA-MA-Prod-NW-HZ-Sperry</v>
      </c>
      <c r="C26" s="421" t="str">
        <f ca="1">IF(INDEX(Well_Data_NK_Upcoming!$G$2:$G$996,MATCH(Rig_Schedule_View!B26,Well_Data_NK_Upcoming!Concatenated_Wellname,0))=0,"",INDEX(Well_Data_NK_Upcoming!$G$2:$G$996,MATCH(Rig_Schedule_View!B26,Well_Data_NK_Upcoming!Concatenated_Wellname,0)))</f>
        <v>MA</v>
      </c>
      <c r="D26" s="421" t="str">
        <f ca="1">IF(INDEX(Well_Data_NK_Upcoming!$K$2:$K$996,MATCH(Rig_Schedule_View!B26,Well_Data_NK_Upcoming!Concatenated_Wellname,0))=0,"",INDEX(Well_Data_NK_Upcoming!$K$2:$K$996,MATCH(Rig_Schedule_View!B26,Well_Data_NK_Upcoming!Concatenated_Wellname,0)))</f>
        <v>NW</v>
      </c>
      <c r="E26" s="421" t="str">
        <f ca="1">IF(INDEX(Well_Data_NK_Upcoming!$J$2:$J$996,MATCH(Rig_Schedule_View!B26,Well_Data_NK_Upcoming!Concatenated_Wellname,0))=0,"",INDEX(Well_Data_NK_Upcoming!$J$2:$J$996,MATCH(Rig_Schedule_View!B26,Well_Data_NK_Upcoming!Concatenated_Wellname,0)))</f>
        <v>Prod</v>
      </c>
      <c r="F26" s="421" t="str">
        <f ca="1">IF(INDEX(Well_Data_NK_Upcoming!$L$2:$L$996,MATCH(Rig_Schedule_View!B26,Well_Data_NK_Upcoming!Concatenated_Wellname,0))=0,"",INDEX(Well_Data_NK_Upcoming!$L$2:$L$996,MATCH(Rig_Schedule_View!B26,Well_Data_NK_Upcoming!Concatenated_Wellname,0)))</f>
        <v>HZ</v>
      </c>
      <c r="G26" s="421">
        <f ca="1">IF(INDEX(Well_Data_NK_Upcoming!$R$2:$R$996,MATCH(Rig_Schedule_View!B26,Well_Data_NK_Upcoming!Concatenated_Wellname,0))=0,"",INDEX(Well_Data_NK_Upcoming!$R$2:$R$996,MATCH(Rig_Schedule_View!B26,Well_Data_NK_Upcoming!Concatenated_Wellname,0)))</f>
        <v>75</v>
      </c>
      <c r="H26" s="74"/>
      <c r="I26" s="440">
        <f ca="1">RigScheduleTest!$R$3</f>
        <v>42348</v>
      </c>
      <c r="J26" s="440">
        <f ca="1">RigScheduleTest!$S$3</f>
        <v>42418</v>
      </c>
      <c r="K26" s="413"/>
      <c r="L26" s="546" t="s">
        <v>1987</v>
      </c>
      <c r="M26" s="544"/>
      <c r="N26" s="545" t="s">
        <v>1977</v>
      </c>
      <c r="O26" s="545"/>
      <c r="P26" s="551"/>
    </row>
    <row r="27" spans="1:16" x14ac:dyDescent="0.25">
      <c r="A27" s="421" t="str">
        <f>RigScheduleTest!$B$3</f>
        <v>KDC-25</v>
      </c>
      <c r="B27" s="442" t="str">
        <f ca="1">RigScheduleTest!$U$3</f>
        <v>RA5-RA-MA-Prod-NW-HZ-SLB</v>
      </c>
      <c r="C27" s="421" t="str">
        <f ca="1">IF(INDEX(Well_Data_NK_Upcoming!$G$2:$G$996,MATCH(Rig_Schedule_View!B27,Well_Data_NK_Upcoming!Concatenated_Wellname,0))=0,"",INDEX(Well_Data_NK_Upcoming!$G$2:$G$996,MATCH(Rig_Schedule_View!B27,Well_Data_NK_Upcoming!Concatenated_Wellname,0)))</f>
        <v>MA</v>
      </c>
      <c r="D27" s="421" t="str">
        <f ca="1">IF(INDEX(Well_Data_NK_Upcoming!$K$2:$K$996,MATCH(Rig_Schedule_View!B27,Well_Data_NK_Upcoming!Concatenated_Wellname,0))=0,"",INDEX(Well_Data_NK_Upcoming!$K$2:$K$996,MATCH(Rig_Schedule_View!B27,Well_Data_NK_Upcoming!Concatenated_Wellname,0)))</f>
        <v>NW</v>
      </c>
      <c r="E27" s="421" t="str">
        <f ca="1">IF(INDEX(Well_Data_NK_Upcoming!$J$2:$J$996,MATCH(Rig_Schedule_View!B27,Well_Data_NK_Upcoming!Concatenated_Wellname,0))=0,"",INDEX(Well_Data_NK_Upcoming!$J$2:$J$996,MATCH(Rig_Schedule_View!B27,Well_Data_NK_Upcoming!Concatenated_Wellname,0)))</f>
        <v>Prod</v>
      </c>
      <c r="F27" s="421" t="str">
        <f ca="1">IF(INDEX(Well_Data_NK_Upcoming!$L$2:$L$996,MATCH(Rig_Schedule_View!B27,Well_Data_NK_Upcoming!Concatenated_Wellname,0))=0,"",INDEX(Well_Data_NK_Upcoming!$L$2:$L$996,MATCH(Rig_Schedule_View!B27,Well_Data_NK_Upcoming!Concatenated_Wellname,0)))</f>
        <v>HZ</v>
      </c>
      <c r="G27" s="421">
        <f ca="1">IF(INDEX(Well_Data_NK_Upcoming!$R$2:$R$996,MATCH(Rig_Schedule_View!B27,Well_Data_NK_Upcoming!Concatenated_Wellname,0))=0,"",INDEX(Well_Data_NK_Upcoming!$R$2:$R$996,MATCH(Rig_Schedule_View!B27,Well_Data_NK_Upcoming!Concatenated_Wellname,0)))</f>
        <v>75</v>
      </c>
      <c r="H27" s="74"/>
      <c r="I27" s="443">
        <f ca="1">RigScheduleTest!$X$3</f>
        <v>42423</v>
      </c>
      <c r="J27" s="443">
        <f ca="1">RigScheduleTest!$Y$3</f>
        <v>42493</v>
      </c>
      <c r="K27" s="413"/>
      <c r="L27" s="546"/>
      <c r="M27" s="544"/>
      <c r="N27" s="545"/>
      <c r="O27" s="545"/>
      <c r="P27" s="551"/>
    </row>
    <row r="28" spans="1:16" x14ac:dyDescent="0.25">
      <c r="A28" s="421" t="str">
        <f>RigScheduleTest!$B$3</f>
        <v>KDC-25</v>
      </c>
      <c r="B28" s="442" t="str">
        <f ca="1">RigScheduleTest!$AA$3</f>
        <v>SA-0142-SA-MA-Prod-ST-HZ-Baker</v>
      </c>
      <c r="C28" s="421" t="str">
        <f ca="1">IF(INDEX(Well_Data_NK_Upcoming!$G$2:$G$996,MATCH(Rig_Schedule_View!B28,Well_Data_NK_Upcoming!Concatenated_Wellname,0))=0,"",INDEX(Well_Data_NK_Upcoming!$G$2:$G$996,MATCH(Rig_Schedule_View!B28,Well_Data_NK_Upcoming!Concatenated_Wellname,0)))</f>
        <v>MA</v>
      </c>
      <c r="D28" s="421" t="str">
        <f ca="1">IF(INDEX(Well_Data_NK_Upcoming!$K$2:$K$996,MATCH(Rig_Schedule_View!B28,Well_Data_NK_Upcoming!Concatenated_Wellname,0))=0,"",INDEX(Well_Data_NK_Upcoming!$K$2:$K$996,MATCH(Rig_Schedule_View!B28,Well_Data_NK_Upcoming!Concatenated_Wellname,0)))</f>
        <v>ST</v>
      </c>
      <c r="E28" s="421" t="str">
        <f ca="1">IF(INDEX(Well_Data_NK_Upcoming!$J$2:$J$996,MATCH(Rig_Schedule_View!B28,Well_Data_NK_Upcoming!Concatenated_Wellname,0))=0,"",INDEX(Well_Data_NK_Upcoming!$J$2:$J$996,MATCH(Rig_Schedule_View!B28,Well_Data_NK_Upcoming!Concatenated_Wellname,0)))</f>
        <v>Prod</v>
      </c>
      <c r="F28" s="421" t="str">
        <f ca="1">IF(INDEX(Well_Data_NK_Upcoming!$L$2:$L$996,MATCH(Rig_Schedule_View!B28,Well_Data_NK_Upcoming!Concatenated_Wellname,0))=0,"",INDEX(Well_Data_NK_Upcoming!$L$2:$L$996,MATCH(Rig_Schedule_View!B28,Well_Data_NK_Upcoming!Concatenated_Wellname,0)))</f>
        <v>HZ</v>
      </c>
      <c r="G28" s="421">
        <f ca="1">IF(INDEX(Well_Data_NK_Upcoming!$R$2:$R$996,MATCH(Rig_Schedule_View!B28,Well_Data_NK_Upcoming!Concatenated_Wellname,0))=0,"",INDEX(Well_Data_NK_Upcoming!$R$2:$R$996,MATCH(Rig_Schedule_View!B28,Well_Data_NK_Upcoming!Concatenated_Wellname,0)))</f>
        <v>61</v>
      </c>
      <c r="H28" s="74"/>
      <c r="I28" s="443">
        <f ca="1">RigScheduleTest!$AD$3</f>
        <v>42498</v>
      </c>
      <c r="J28" s="443">
        <f ca="1">RigScheduleTest!$AE$3</f>
        <v>42554</v>
      </c>
      <c r="K28" s="413"/>
      <c r="L28" s="546"/>
      <c r="M28" s="544"/>
      <c r="N28" s="545"/>
      <c r="O28" s="545"/>
      <c r="P28" s="551"/>
    </row>
    <row r="29" spans="1:16" x14ac:dyDescent="0.25">
      <c r="A29" s="421" t="str">
        <f>RigScheduleTest!$B$3</f>
        <v>KDC-25</v>
      </c>
      <c r="B29" s="442" t="str">
        <f ca="1">RigScheduleTest!$AG$3</f>
        <v>SA15-SA-MA-Inj-ST-HZ</v>
      </c>
      <c r="C29" s="421" t="str">
        <f ca="1">IF(INDEX(Well_Data_NK_Upcoming!$G$2:$G$996,MATCH(Rig_Schedule_View!B29,Well_Data_NK_Upcoming!Concatenated_Wellname,0))=0,"",INDEX(Well_Data_NK_Upcoming!$G$2:$G$996,MATCH(Rig_Schedule_View!B29,Well_Data_NK_Upcoming!Concatenated_Wellname,0)))</f>
        <v>MA</v>
      </c>
      <c r="D29" s="421" t="str">
        <f ca="1">IF(INDEX(Well_Data_NK_Upcoming!$K$2:$K$996,MATCH(Rig_Schedule_View!B29,Well_Data_NK_Upcoming!Concatenated_Wellname,0))=0,"",INDEX(Well_Data_NK_Upcoming!$K$2:$K$996,MATCH(Rig_Schedule_View!B29,Well_Data_NK_Upcoming!Concatenated_Wellname,0)))</f>
        <v>ST</v>
      </c>
      <c r="E29" s="421" t="str">
        <f ca="1">IF(INDEX(Well_Data_NK_Upcoming!$J$2:$J$996,MATCH(Rig_Schedule_View!B29,Well_Data_NK_Upcoming!Concatenated_Wellname,0))=0,"",INDEX(Well_Data_NK_Upcoming!$J$2:$J$996,MATCH(Rig_Schedule_View!B29,Well_Data_NK_Upcoming!Concatenated_Wellname,0)))</f>
        <v>Inj</v>
      </c>
      <c r="F29" s="421" t="str">
        <f ca="1">IF(INDEX(Well_Data_NK_Upcoming!$L$2:$L$996,MATCH(Rig_Schedule_View!B29,Well_Data_NK_Upcoming!Concatenated_Wellname,0))=0,"",INDEX(Well_Data_NK_Upcoming!$L$2:$L$996,MATCH(Rig_Schedule_View!B29,Well_Data_NK_Upcoming!Concatenated_Wellname,0)))</f>
        <v>HZ</v>
      </c>
      <c r="G29" s="421">
        <f ca="1">IF(INDEX(Well_Data_NK_Upcoming!$R$2:$R$996,MATCH(Rig_Schedule_View!B29,Well_Data_NK_Upcoming!Concatenated_Wellname,0))=0,"",INDEX(Well_Data_NK_Upcoming!$R$2:$R$996,MATCH(Rig_Schedule_View!B29,Well_Data_NK_Upcoming!Concatenated_Wellname,0)))</f>
        <v>54</v>
      </c>
      <c r="H29" s="74"/>
      <c r="I29" s="443">
        <f ca="1">RigScheduleTest!$AJ$3</f>
        <v>42559</v>
      </c>
      <c r="J29" s="443">
        <f ca="1">RigScheduleTest!$AK$3</f>
        <v>42608</v>
      </c>
      <c r="K29" s="413"/>
      <c r="L29" s="546"/>
      <c r="M29" s="544"/>
      <c r="N29" s="545"/>
      <c r="O29" s="545"/>
      <c r="P29" s="551"/>
    </row>
    <row r="30" spans="1:16" x14ac:dyDescent="0.25">
      <c r="A30" s="421" t="str">
        <f>RigScheduleTest!$B$3</f>
        <v>KDC-25</v>
      </c>
      <c r="B30" s="442" t="str">
        <f ca="1">RigScheduleTest!$AM$3</f>
        <v>SA28-SA-MA-Prod-NW-HZ</v>
      </c>
      <c r="C30" s="421" t="str">
        <f ca="1">IF(INDEX(Well_Data_NK_Upcoming!$G$2:$G$996,MATCH(Rig_Schedule_View!B30,Well_Data_NK_Upcoming!Concatenated_Wellname,0))=0,"",INDEX(Well_Data_NK_Upcoming!$G$2:$G$996,MATCH(Rig_Schedule_View!B30,Well_Data_NK_Upcoming!Concatenated_Wellname,0)))</f>
        <v>MA</v>
      </c>
      <c r="D30" s="421" t="str">
        <f ca="1">IF(INDEX(Well_Data_NK_Upcoming!$K$2:$K$996,MATCH(Rig_Schedule_View!B30,Well_Data_NK_Upcoming!Concatenated_Wellname,0))=0,"",INDEX(Well_Data_NK_Upcoming!$K$2:$K$996,MATCH(Rig_Schedule_View!B30,Well_Data_NK_Upcoming!Concatenated_Wellname,0)))</f>
        <v>NW</v>
      </c>
      <c r="E30" s="421" t="str">
        <f ca="1">IF(INDEX(Well_Data_NK_Upcoming!$J$2:$J$996,MATCH(Rig_Schedule_View!B30,Well_Data_NK_Upcoming!Concatenated_Wellname,0))=0,"",INDEX(Well_Data_NK_Upcoming!$J$2:$J$996,MATCH(Rig_Schedule_View!B30,Well_Data_NK_Upcoming!Concatenated_Wellname,0)))</f>
        <v>Prod</v>
      </c>
      <c r="F30" s="421" t="str">
        <f ca="1">IF(INDEX(Well_Data_NK_Upcoming!$L$2:$L$996,MATCH(Rig_Schedule_View!B30,Well_Data_NK_Upcoming!Concatenated_Wellname,0))=0,"",INDEX(Well_Data_NK_Upcoming!$L$2:$L$996,MATCH(Rig_Schedule_View!B30,Well_Data_NK_Upcoming!Concatenated_Wellname,0)))</f>
        <v>HZ</v>
      </c>
      <c r="G30" s="421">
        <f ca="1">IF(INDEX(Well_Data_NK_Upcoming!$R$2:$R$996,MATCH(Rig_Schedule_View!B30,Well_Data_NK_Upcoming!Concatenated_Wellname,0))=0,"",INDEX(Well_Data_NK_Upcoming!$R$2:$R$996,MATCH(Rig_Schedule_View!B30,Well_Data_NK_Upcoming!Concatenated_Wellname,0)))</f>
        <v>75</v>
      </c>
      <c r="H30" s="74"/>
      <c r="I30" s="443">
        <f ca="1">RigScheduleTest!$AP$3</f>
        <v>42613</v>
      </c>
      <c r="J30" s="443">
        <f ca="1">RigScheduleTest!$AQ$3</f>
        <v>42683</v>
      </c>
      <c r="K30" s="413"/>
      <c r="L30" s="546"/>
      <c r="M30" s="544"/>
      <c r="N30" s="545"/>
      <c r="O30" s="545"/>
      <c r="P30" s="551"/>
    </row>
    <row r="31" spans="1:16" x14ac:dyDescent="0.25">
      <c r="A31" s="421" t="str">
        <f>RigScheduleTest!$B$3</f>
        <v>KDC-25</v>
      </c>
      <c r="B31" s="442" t="str">
        <f ca="1">RigScheduleTest!$AS$3</f>
        <v>RA25-RA-LB-Prod-NW-SL-SLB</v>
      </c>
      <c r="C31" s="421" t="str">
        <f ca="1">IF(INDEX(Well_Data_NK_Upcoming!$G$2:$G$996,MATCH(Rig_Schedule_View!B31,Well_Data_NK_Upcoming!Concatenated_Wellname,0))=0,"",INDEX(Well_Data_NK_Upcoming!$G$2:$G$996,MATCH(Rig_Schedule_View!B31,Well_Data_NK_Upcoming!Concatenated_Wellname,0)))</f>
        <v>LB</v>
      </c>
      <c r="D31" s="421" t="str">
        <f ca="1">IF(INDEX(Well_Data_NK_Upcoming!$K$2:$K$996,MATCH(Rig_Schedule_View!B31,Well_Data_NK_Upcoming!Concatenated_Wellname,0))=0,"",INDEX(Well_Data_NK_Upcoming!$K$2:$K$996,MATCH(Rig_Schedule_View!B31,Well_Data_NK_Upcoming!Concatenated_Wellname,0)))</f>
        <v>NW</v>
      </c>
      <c r="E31" s="421" t="str">
        <f ca="1">IF(INDEX(Well_Data_NK_Upcoming!$J$2:$J$996,MATCH(Rig_Schedule_View!B31,Well_Data_NK_Upcoming!Concatenated_Wellname,0))=0,"",INDEX(Well_Data_NK_Upcoming!$J$2:$J$996,MATCH(Rig_Schedule_View!B31,Well_Data_NK_Upcoming!Concatenated_Wellname,0)))</f>
        <v>Prod</v>
      </c>
      <c r="F31" s="421" t="str">
        <f ca="1">IF(INDEX(Well_Data_NK_Upcoming!$L$2:$L$996,MATCH(Rig_Schedule_View!B31,Well_Data_NK_Upcoming!Concatenated_Wellname,0))=0,"",INDEX(Well_Data_NK_Upcoming!$L$2:$L$996,MATCH(Rig_Schedule_View!B31,Well_Data_NK_Upcoming!Concatenated_Wellname,0)))</f>
        <v>SL</v>
      </c>
      <c r="G31" s="421">
        <f ca="1">IF(INDEX(Well_Data_NK_Upcoming!$R$2:$R$996,MATCH(Rig_Schedule_View!B31,Well_Data_NK_Upcoming!Concatenated_Wellname,0))=0,"",INDEX(Well_Data_NK_Upcoming!$R$2:$R$996,MATCH(Rig_Schedule_View!B31,Well_Data_NK_Upcoming!Concatenated_Wellname,0)))</f>
        <v>75</v>
      </c>
      <c r="H31" s="74"/>
      <c r="I31" s="443">
        <f ca="1">RigScheduleTest!$AV$3</f>
        <v>42688</v>
      </c>
      <c r="J31" s="443">
        <f ca="1">RigScheduleTest!$AW$3</f>
        <v>42758</v>
      </c>
      <c r="K31" s="413"/>
      <c r="L31" s="546"/>
      <c r="M31" s="544"/>
      <c r="N31" s="545"/>
      <c r="O31" s="545"/>
      <c r="P31" s="551"/>
    </row>
    <row r="32" spans="1:16" x14ac:dyDescent="0.25">
      <c r="A32" s="421" t="str">
        <f>RigScheduleTest!$B$3</f>
        <v>KDC-25</v>
      </c>
      <c r="B32" s="442" t="str">
        <f ca="1">RigScheduleTest!$AY$3</f>
        <v>SA52-SA-LB-Prod-NW-SL</v>
      </c>
      <c r="C32" s="421" t="str">
        <f ca="1">IF(INDEX(Well_Data_NK_Upcoming!$G$2:$G$996,MATCH(Rig_Schedule_View!B32,Well_Data_NK_Upcoming!Concatenated_Wellname,0))=0,"",INDEX(Well_Data_NK_Upcoming!$G$2:$G$996,MATCH(Rig_Schedule_View!B32,Well_Data_NK_Upcoming!Concatenated_Wellname,0)))</f>
        <v>LB</v>
      </c>
      <c r="D32" s="421" t="str">
        <f ca="1">IF(INDEX(Well_Data_NK_Upcoming!$K$2:$K$996,MATCH(Rig_Schedule_View!B32,Well_Data_NK_Upcoming!Concatenated_Wellname,0))=0,"",INDEX(Well_Data_NK_Upcoming!$K$2:$K$996,MATCH(Rig_Schedule_View!B32,Well_Data_NK_Upcoming!Concatenated_Wellname,0)))</f>
        <v>NW</v>
      </c>
      <c r="E32" s="421" t="str">
        <f ca="1">IF(INDEX(Well_Data_NK_Upcoming!$J$2:$J$996,MATCH(Rig_Schedule_View!B32,Well_Data_NK_Upcoming!Concatenated_Wellname,0))=0,"",INDEX(Well_Data_NK_Upcoming!$J$2:$J$996,MATCH(Rig_Schedule_View!B32,Well_Data_NK_Upcoming!Concatenated_Wellname,0)))</f>
        <v>Prod</v>
      </c>
      <c r="F32" s="421" t="str">
        <f ca="1">IF(INDEX(Well_Data_NK_Upcoming!$L$2:$L$996,MATCH(Rig_Schedule_View!B32,Well_Data_NK_Upcoming!Concatenated_Wellname,0))=0,"",INDEX(Well_Data_NK_Upcoming!$L$2:$L$996,MATCH(Rig_Schedule_View!B32,Well_Data_NK_Upcoming!Concatenated_Wellname,0)))</f>
        <v>SL</v>
      </c>
      <c r="G32" s="421">
        <f ca="1">IF(INDEX(Well_Data_NK_Upcoming!$R$2:$R$996,MATCH(Rig_Schedule_View!B32,Well_Data_NK_Upcoming!Concatenated_Wellname,0))=0,"",INDEX(Well_Data_NK_Upcoming!$R$2:$R$996,MATCH(Rig_Schedule_View!B32,Well_Data_NK_Upcoming!Concatenated_Wellname,0)))</f>
        <v>75</v>
      </c>
      <c r="H32" s="74"/>
      <c r="I32" s="443">
        <f ca="1">RigScheduleTest!$BB$3</f>
        <v>42763</v>
      </c>
      <c r="J32" s="443">
        <f ca="1">RigScheduleTest!$BC$3</f>
        <v>42833</v>
      </c>
      <c r="K32" s="413"/>
      <c r="L32" s="546"/>
      <c r="M32" s="544"/>
      <c r="N32" s="545"/>
      <c r="O32" s="545"/>
      <c r="P32" s="551"/>
    </row>
    <row r="33" spans="1:16" x14ac:dyDescent="0.25">
      <c r="A33" s="421" t="str">
        <f>RigScheduleTest!$B$3</f>
        <v>KDC-25</v>
      </c>
      <c r="B33" s="442" t="str">
        <f ca="1">RigScheduleTest!$BE$3</f>
        <v>SA58-SA-UB-Inj-NW-SL</v>
      </c>
      <c r="C33" s="421" t="str">
        <f ca="1">IF(INDEX(Well_Data_NK_Upcoming!$G$2:$G$996,MATCH(Rig_Schedule_View!B33,Well_Data_NK_Upcoming!Concatenated_Wellname,0))=0,"",INDEX(Well_Data_NK_Upcoming!$G$2:$G$996,MATCH(Rig_Schedule_View!B33,Well_Data_NK_Upcoming!Concatenated_Wellname,0)))</f>
        <v>UB</v>
      </c>
      <c r="D33" s="421" t="str">
        <f ca="1">IF(INDEX(Well_Data_NK_Upcoming!$K$2:$K$996,MATCH(Rig_Schedule_View!B33,Well_Data_NK_Upcoming!Concatenated_Wellname,0))=0,"",INDEX(Well_Data_NK_Upcoming!$K$2:$K$996,MATCH(Rig_Schedule_View!B33,Well_Data_NK_Upcoming!Concatenated_Wellname,0)))</f>
        <v>NW</v>
      </c>
      <c r="E33" s="421" t="str">
        <f ca="1">IF(INDEX(Well_Data_NK_Upcoming!$J$2:$J$996,MATCH(Rig_Schedule_View!B33,Well_Data_NK_Upcoming!Concatenated_Wellname,0))=0,"",INDEX(Well_Data_NK_Upcoming!$J$2:$J$996,MATCH(Rig_Schedule_View!B33,Well_Data_NK_Upcoming!Concatenated_Wellname,0)))</f>
        <v>Inj</v>
      </c>
      <c r="F33" s="421" t="str">
        <f ca="1">IF(INDEX(Well_Data_NK_Upcoming!$L$2:$L$996,MATCH(Rig_Schedule_View!B33,Well_Data_NK_Upcoming!Concatenated_Wellname,0))=0,"",INDEX(Well_Data_NK_Upcoming!$L$2:$L$996,MATCH(Rig_Schedule_View!B33,Well_Data_NK_Upcoming!Concatenated_Wellname,0)))</f>
        <v>SL</v>
      </c>
      <c r="G33" s="421">
        <f ca="1">IF(INDEX(Well_Data_NK_Upcoming!$R$2:$R$996,MATCH(Rig_Schedule_View!B33,Well_Data_NK_Upcoming!Concatenated_Wellname,0))=0,"",INDEX(Well_Data_NK_Upcoming!$R$2:$R$996,MATCH(Rig_Schedule_View!B33,Well_Data_NK_Upcoming!Concatenated_Wellname,0)))</f>
        <v>75</v>
      </c>
      <c r="H33" s="74"/>
      <c r="I33" s="443">
        <f ca="1">RigScheduleTest!$BH$3</f>
        <v>42838</v>
      </c>
      <c r="J33" s="443">
        <f ca="1">RigScheduleTest!$BI$3</f>
        <v>42908</v>
      </c>
      <c r="K33" s="413"/>
      <c r="L33" s="546"/>
      <c r="M33" s="544"/>
      <c r="N33" s="545"/>
      <c r="O33" s="545"/>
      <c r="P33" s="551"/>
    </row>
    <row r="34" spans="1:16" x14ac:dyDescent="0.25">
      <c r="A34" s="421" t="str">
        <f>RigScheduleTest!$B$3</f>
        <v>KDC-25</v>
      </c>
      <c r="B34" s="442" t="str">
        <f ca="1">RigScheduleTest!$BK$3</f>
        <v>RA44-RA-RT-Prod-NW-HZ-SLB</v>
      </c>
      <c r="C34" s="421" t="str">
        <f ca="1">IF(INDEX(Well_Data_NK_Upcoming!$G$2:$G$996,MATCH(Rig_Schedule_View!B34,Well_Data_NK_Upcoming!Concatenated_Wellname,0))=0,"",INDEX(Well_Data_NK_Upcoming!$G$2:$G$996,MATCH(Rig_Schedule_View!B34,Well_Data_NK_Upcoming!Concatenated_Wellname,0)))</f>
        <v>RT</v>
      </c>
      <c r="D34" s="421" t="str">
        <f ca="1">IF(INDEX(Well_Data_NK_Upcoming!$K$2:$K$996,MATCH(Rig_Schedule_View!B34,Well_Data_NK_Upcoming!Concatenated_Wellname,0))=0,"",INDEX(Well_Data_NK_Upcoming!$K$2:$K$996,MATCH(Rig_Schedule_View!B34,Well_Data_NK_Upcoming!Concatenated_Wellname,0)))</f>
        <v>NW</v>
      </c>
      <c r="E34" s="421" t="str">
        <f ca="1">IF(INDEX(Well_Data_NK_Upcoming!$J$2:$J$996,MATCH(Rig_Schedule_View!B34,Well_Data_NK_Upcoming!Concatenated_Wellname,0))=0,"",INDEX(Well_Data_NK_Upcoming!$J$2:$J$996,MATCH(Rig_Schedule_View!B34,Well_Data_NK_Upcoming!Concatenated_Wellname,0)))</f>
        <v>Prod</v>
      </c>
      <c r="F34" s="421" t="str">
        <f ca="1">IF(INDEX(Well_Data_NK_Upcoming!$L$2:$L$996,MATCH(Rig_Schedule_View!B34,Well_Data_NK_Upcoming!Concatenated_Wellname,0))=0,"",INDEX(Well_Data_NK_Upcoming!$L$2:$L$996,MATCH(Rig_Schedule_View!B34,Well_Data_NK_Upcoming!Concatenated_Wellname,0)))</f>
        <v>HZ</v>
      </c>
      <c r="G34" s="421">
        <f ca="1">IF(INDEX(Well_Data_NK_Upcoming!$R$2:$R$996,MATCH(Rig_Schedule_View!B34,Well_Data_NK_Upcoming!Concatenated_Wellname,0))=0,"",INDEX(Well_Data_NK_Upcoming!$R$2:$R$996,MATCH(Rig_Schedule_View!B34,Well_Data_NK_Upcoming!Concatenated_Wellname,0)))</f>
        <v>103</v>
      </c>
      <c r="H34" s="74"/>
      <c r="I34" s="443">
        <f ca="1">RigScheduleTest!$BN$3</f>
        <v>42913</v>
      </c>
      <c r="J34" s="443">
        <f ca="1">RigScheduleTest!$BO$3</f>
        <v>43011</v>
      </c>
      <c r="K34" s="413"/>
      <c r="L34" s="546"/>
      <c r="M34" s="544"/>
      <c r="N34" s="545"/>
      <c r="O34" s="545"/>
      <c r="P34" s="551"/>
    </row>
    <row r="35" spans="1:16" x14ac:dyDescent="0.25">
      <c r="A35" s="437" t="str">
        <f>RigScheduleTest!$B$1</f>
        <v>RIG</v>
      </c>
      <c r="B35" s="437" t="str">
        <f>$K$1</f>
        <v>Development Drilling</v>
      </c>
      <c r="C35" s="437" t="s">
        <v>1831</v>
      </c>
      <c r="D35" s="437" t="s">
        <v>867</v>
      </c>
      <c r="E35" s="437" t="s">
        <v>8</v>
      </c>
      <c r="F35" s="437" t="s">
        <v>2</v>
      </c>
      <c r="G35" s="437" t="s">
        <v>1513</v>
      </c>
      <c r="H35" s="438" t="str">
        <f>$K$3</f>
        <v>Rig Deployment Meeting</v>
      </c>
      <c r="I35" s="439" t="str">
        <f>$K$5</f>
        <v>Start</v>
      </c>
      <c r="J35" s="439" t="str">
        <f>$K$6</f>
        <v>End</v>
      </c>
      <c r="K35" s="444" t="s">
        <v>1068</v>
      </c>
      <c r="L35" s="444" t="s">
        <v>1577</v>
      </c>
      <c r="M35" s="496" t="s">
        <v>1934</v>
      </c>
      <c r="N35" s="504" t="s">
        <v>1940</v>
      </c>
      <c r="O35" s="504" t="s">
        <v>1941</v>
      </c>
      <c r="P35" s="502"/>
    </row>
    <row r="36" spans="1:16" x14ac:dyDescent="0.25">
      <c r="A36" s="442" t="str">
        <f>RigScheduleTest!$B$4</f>
        <v>KDC-26</v>
      </c>
      <c r="B36" s="421" t="str">
        <f ca="1">RigScheduleTest!$D$4</f>
        <v>SA-0495-SA-MA-Prod-ST-HZ-BHI</v>
      </c>
      <c r="C36" s="421" t="str">
        <f ca="1">IF(INDEX(Well_Data_NK_Upcoming!$G$2:$G$996,MATCH(Rig_Schedule_View!B36,Well_Data_NK_Upcoming!Concatenated_Wellname,0))=0,"",INDEX(Well_Data_NK_Upcoming!$G$2:$G$996,MATCH(Rig_Schedule_View!B36,Well_Data_NK_Upcoming!Concatenated_Wellname,0)))</f>
        <v>MA</v>
      </c>
      <c r="D36" s="421" t="str">
        <f ca="1">IF(INDEX(Well_Data_NK_Upcoming!$K$2:$K$996,MATCH(Rig_Schedule_View!B36,Well_Data_NK_Upcoming!Concatenated_Wellname,0))=0,"",INDEX(Well_Data_NK_Upcoming!$K$2:$K$996,MATCH(Rig_Schedule_View!B36,Well_Data_NK_Upcoming!Concatenated_Wellname,0)))</f>
        <v>ST</v>
      </c>
      <c r="E36" s="421" t="str">
        <f ca="1">IF(INDEX(Well_Data_NK_Upcoming!$J$2:$J$996,MATCH(Rig_Schedule_View!B36,Well_Data_NK_Upcoming!Concatenated_Wellname,0))=0,"",INDEX(Well_Data_NK_Upcoming!$J$2:$J$996,MATCH(Rig_Schedule_View!B36,Well_Data_NK_Upcoming!Concatenated_Wellname,0)))</f>
        <v>Prod</v>
      </c>
      <c r="F36" s="421" t="str">
        <f ca="1">IF(INDEX(Well_Data_NK_Upcoming!$L$2:$L$996,MATCH(Rig_Schedule_View!B36,Well_Data_NK_Upcoming!Concatenated_Wellname,0))=0,"",INDEX(Well_Data_NK_Upcoming!$L$2:$L$996,MATCH(Rig_Schedule_View!B36,Well_Data_NK_Upcoming!Concatenated_Wellname,0)))</f>
        <v>HZ</v>
      </c>
      <c r="G36" s="421">
        <f ca="1">IF(INDEX(Well_Data_NK_Upcoming!$R$2:$R$996,MATCH(Rig_Schedule_View!B36,Well_Data_NK_Upcoming!Concatenated_Wellname,0))=0,"",INDEX(Well_Data_NK_Upcoming!$R$2:$R$996,MATCH(Rig_Schedule_View!B36,Well_Data_NK_Upcoming!Concatenated_Wellname,0)))</f>
        <v>61</v>
      </c>
      <c r="H36" s="74">
        <f>RigScheduleTest!$F$4</f>
        <v>42233</v>
      </c>
      <c r="I36" s="459">
        <f ca="1">IF(INDEX(Well_Data_NK_Upcoming!$O$2:$O$996,MATCH(Rig_Schedule_View!B36,Well_Data_NK_Upcoming!Concatenated_Wellname,0))=0,"",INDEX(Well_Data_NK_Upcoming!$O$2:$O$996,MATCH(Rig_Schedule_View!B36,Well_Data_NK_Upcoming!Concatenated_Wellname,0)))</f>
        <v>42215.854166666664</v>
      </c>
      <c r="J36" s="446">
        <f ca="1">RigScheduleTest!$H$4</f>
        <v>42243</v>
      </c>
      <c r="K36" s="344" t="s">
        <v>1917</v>
      </c>
      <c r="L36" s="543"/>
      <c r="M36" s="544">
        <v>10</v>
      </c>
      <c r="N36" s="545"/>
      <c r="O36" s="545"/>
      <c r="P36" s="551"/>
    </row>
    <row r="37" spans="1:16" x14ac:dyDescent="0.25">
      <c r="A37" s="442" t="str">
        <f>RigScheduleTest!$B$4</f>
        <v>KDC-26</v>
      </c>
      <c r="B37" s="441" t="str">
        <f ca="1">RigScheduleTest!$I$4</f>
        <v>RA-0595-RA-ZU-Prod-NW-SL-Baker</v>
      </c>
      <c r="C37" s="421" t="str">
        <f ca="1">IF(INDEX(Well_Data_NK_Upcoming!$G$2:$G$996,MATCH(Rig_Schedule_View!B37,Well_Data_NK_Upcoming!Concatenated_Wellname,0))=0,"",INDEX(Well_Data_NK_Upcoming!$G$2:$G$996,MATCH(Rig_Schedule_View!B37,Well_Data_NK_Upcoming!Concatenated_Wellname,0)))</f>
        <v>ZU</v>
      </c>
      <c r="D37" s="421" t="str">
        <f ca="1">IF(INDEX(Well_Data_NK_Upcoming!$K$2:$K$996,MATCH(Rig_Schedule_View!B37,Well_Data_NK_Upcoming!Concatenated_Wellname,0))=0,"",INDEX(Well_Data_NK_Upcoming!$K$2:$K$996,MATCH(Rig_Schedule_View!B37,Well_Data_NK_Upcoming!Concatenated_Wellname,0)))</f>
        <v>NW</v>
      </c>
      <c r="E37" s="421" t="str">
        <f ca="1">IF(INDEX(Well_Data_NK_Upcoming!$J$2:$J$996,MATCH(Rig_Schedule_View!B37,Well_Data_NK_Upcoming!Concatenated_Wellname,0))=0,"",INDEX(Well_Data_NK_Upcoming!$J$2:$J$996,MATCH(Rig_Schedule_View!B37,Well_Data_NK_Upcoming!Concatenated_Wellname,0)))</f>
        <v>Prod</v>
      </c>
      <c r="F37" s="421" t="str">
        <f ca="1">IF(INDEX(Well_Data_NK_Upcoming!$L$2:$L$996,MATCH(Rig_Schedule_View!B37,Well_Data_NK_Upcoming!Concatenated_Wellname,0))=0,"",INDEX(Well_Data_NK_Upcoming!$L$2:$L$996,MATCH(Rig_Schedule_View!B37,Well_Data_NK_Upcoming!Concatenated_Wellname,0)))</f>
        <v>SL</v>
      </c>
      <c r="G37" s="421">
        <f ca="1">IF(INDEX(Well_Data_NK_Upcoming!$R$2:$R$996,MATCH(Rig_Schedule_View!B37,Well_Data_NK_Upcoming!Concatenated_Wellname,0))=0,"",INDEX(Well_Data_NK_Upcoming!$R$2:$R$996,MATCH(Rig_Schedule_View!B37,Well_Data_NK_Upcoming!Concatenated_Wellname,0)))</f>
        <v>103</v>
      </c>
      <c r="H37" s="74"/>
      <c r="I37" s="440">
        <f ca="1">RigScheduleTest!$L$4</f>
        <v>42248</v>
      </c>
      <c r="J37" s="440">
        <f ca="1">RigScheduleTest!$M$4</f>
        <v>42346</v>
      </c>
      <c r="K37" s="344"/>
      <c r="L37" s="546" t="s">
        <v>2236</v>
      </c>
      <c r="M37" s="544"/>
      <c r="N37" s="545"/>
      <c r="O37" s="545"/>
      <c r="P37" s="551"/>
    </row>
    <row r="38" spans="1:16" x14ac:dyDescent="0.25">
      <c r="A38" s="442" t="str">
        <f>RigScheduleTest!$B$4</f>
        <v>KDC-26</v>
      </c>
      <c r="B38" s="441" t="str">
        <f ca="1">RigScheduleTest!$O$4</f>
        <v>AD-0008-AD-ZU-Inj-ST-SL</v>
      </c>
      <c r="C38" s="421" t="str">
        <f ca="1">IF(INDEX(Well_Data_NK_Upcoming!$G$2:$G$996,MATCH(Rig_Schedule_View!B38,Well_Data_NK_Upcoming!Concatenated_Wellname,0))=0,"",INDEX(Well_Data_NK_Upcoming!$G$2:$G$996,MATCH(Rig_Schedule_View!B38,Well_Data_NK_Upcoming!Concatenated_Wellname,0)))</f>
        <v>ZU</v>
      </c>
      <c r="D38" s="421" t="str">
        <f ca="1">IF(INDEX(Well_Data_NK_Upcoming!$K$2:$K$996,MATCH(Rig_Schedule_View!B38,Well_Data_NK_Upcoming!Concatenated_Wellname,0))=0,"",INDEX(Well_Data_NK_Upcoming!$K$2:$K$996,MATCH(Rig_Schedule_View!B38,Well_Data_NK_Upcoming!Concatenated_Wellname,0)))</f>
        <v>ST</v>
      </c>
      <c r="E38" s="421" t="str">
        <f ca="1">IF(INDEX(Well_Data_NK_Upcoming!$J$2:$J$996,MATCH(Rig_Schedule_View!B38,Well_Data_NK_Upcoming!Concatenated_Wellname,0))=0,"",INDEX(Well_Data_NK_Upcoming!$J$2:$J$996,MATCH(Rig_Schedule_View!B38,Well_Data_NK_Upcoming!Concatenated_Wellname,0)))</f>
        <v>Inj</v>
      </c>
      <c r="F38" s="421" t="str">
        <f ca="1">IF(INDEX(Well_Data_NK_Upcoming!$L$2:$L$996,MATCH(Rig_Schedule_View!B38,Well_Data_NK_Upcoming!Concatenated_Wellname,0))=0,"",INDEX(Well_Data_NK_Upcoming!$L$2:$L$996,MATCH(Rig_Schedule_View!B38,Well_Data_NK_Upcoming!Concatenated_Wellname,0)))</f>
        <v>SL</v>
      </c>
      <c r="G38" s="421">
        <f ca="1">IF(INDEX(Well_Data_NK_Upcoming!$R$2:$R$996,MATCH(Rig_Schedule_View!B38,Well_Data_NK_Upcoming!Concatenated_Wellname,0))=0,"",INDEX(Well_Data_NK_Upcoming!$R$2:$R$996,MATCH(Rig_Schedule_View!B38,Well_Data_NK_Upcoming!Concatenated_Wellname,0)))</f>
        <v>61</v>
      </c>
      <c r="H38" s="74"/>
      <c r="I38" s="440">
        <f ca="1">RigScheduleTest!$R$4</f>
        <v>42351</v>
      </c>
      <c r="J38" s="440">
        <f ca="1">RigScheduleTest!$S$4</f>
        <v>42407</v>
      </c>
      <c r="K38" s="344"/>
      <c r="L38" s="567"/>
      <c r="M38" s="544"/>
      <c r="N38" s="545"/>
      <c r="O38" s="545"/>
      <c r="P38" s="551"/>
    </row>
    <row r="39" spans="1:16" x14ac:dyDescent="0.25">
      <c r="A39" s="442" t="str">
        <f>RigScheduleTest!$B$4</f>
        <v>KDC-26</v>
      </c>
      <c r="B39" s="442" t="str">
        <f ca="1">RigScheduleTest!$U$4</f>
        <v>SA5-SA-MA-Inj-ST-HZ</v>
      </c>
      <c r="C39" s="421" t="str">
        <f ca="1">IF(INDEX(Well_Data_NK_Upcoming!$G$2:$G$996,MATCH(Rig_Schedule_View!B39,Well_Data_NK_Upcoming!Concatenated_Wellname,0))=0,"",INDEX(Well_Data_NK_Upcoming!$G$2:$G$996,MATCH(Rig_Schedule_View!B39,Well_Data_NK_Upcoming!Concatenated_Wellname,0)))</f>
        <v>MA</v>
      </c>
      <c r="D39" s="421" t="str">
        <f ca="1">IF(INDEX(Well_Data_NK_Upcoming!$K$2:$K$996,MATCH(Rig_Schedule_View!B39,Well_Data_NK_Upcoming!Concatenated_Wellname,0))=0,"",INDEX(Well_Data_NK_Upcoming!$K$2:$K$996,MATCH(Rig_Schedule_View!B39,Well_Data_NK_Upcoming!Concatenated_Wellname,0)))</f>
        <v>ST</v>
      </c>
      <c r="E39" s="421" t="str">
        <f ca="1">IF(INDEX(Well_Data_NK_Upcoming!$J$2:$J$996,MATCH(Rig_Schedule_View!B39,Well_Data_NK_Upcoming!Concatenated_Wellname,0))=0,"",INDEX(Well_Data_NK_Upcoming!$J$2:$J$996,MATCH(Rig_Schedule_View!B39,Well_Data_NK_Upcoming!Concatenated_Wellname,0)))</f>
        <v>Inj</v>
      </c>
      <c r="F39" s="421" t="str">
        <f ca="1">IF(INDEX(Well_Data_NK_Upcoming!$L$2:$L$996,MATCH(Rig_Schedule_View!B39,Well_Data_NK_Upcoming!Concatenated_Wellname,0))=0,"",INDEX(Well_Data_NK_Upcoming!$L$2:$L$996,MATCH(Rig_Schedule_View!B39,Well_Data_NK_Upcoming!Concatenated_Wellname,0)))</f>
        <v>HZ</v>
      </c>
      <c r="G39" s="421">
        <f ca="1">IF(INDEX(Well_Data_NK_Upcoming!$R$2:$R$996,MATCH(Rig_Schedule_View!B39,Well_Data_NK_Upcoming!Concatenated_Wellname,0))=0,"",INDEX(Well_Data_NK_Upcoming!$R$2:$R$996,MATCH(Rig_Schedule_View!B39,Well_Data_NK_Upcoming!Concatenated_Wellname,0)))</f>
        <v>54</v>
      </c>
      <c r="H39" s="74"/>
      <c r="I39" s="443">
        <f ca="1">RigScheduleTest!$X$4</f>
        <v>42412</v>
      </c>
      <c r="J39" s="443">
        <f ca="1">RigScheduleTest!$Y$4</f>
        <v>42461</v>
      </c>
      <c r="K39" s="344"/>
      <c r="L39" s="567"/>
      <c r="M39" s="544"/>
      <c r="N39" s="545" t="s">
        <v>1977</v>
      </c>
      <c r="O39" s="545"/>
      <c r="P39" s="551"/>
    </row>
    <row r="40" spans="1:16" x14ac:dyDescent="0.25">
      <c r="A40" s="442" t="str">
        <f>RigScheduleTest!$B$4</f>
        <v>KDC-26</v>
      </c>
      <c r="B40" s="442" t="str">
        <f ca="1">RigScheduleTest!$AA$4</f>
        <v>SA17-SA-MA-Prod-NW-HZ</v>
      </c>
      <c r="C40" s="421" t="str">
        <f ca="1">IF(INDEX(Well_Data_NK_Upcoming!$G$2:$G$996,MATCH(Rig_Schedule_View!B40,Well_Data_NK_Upcoming!Concatenated_Wellname,0))=0,"",INDEX(Well_Data_NK_Upcoming!$G$2:$G$996,MATCH(Rig_Schedule_View!B40,Well_Data_NK_Upcoming!Concatenated_Wellname,0)))</f>
        <v>MA</v>
      </c>
      <c r="D40" s="421" t="str">
        <f ca="1">IF(INDEX(Well_Data_NK_Upcoming!$K$2:$K$996,MATCH(Rig_Schedule_View!B40,Well_Data_NK_Upcoming!Concatenated_Wellname,0))=0,"",INDEX(Well_Data_NK_Upcoming!$K$2:$K$996,MATCH(Rig_Schedule_View!B40,Well_Data_NK_Upcoming!Concatenated_Wellname,0)))</f>
        <v>NW</v>
      </c>
      <c r="E40" s="421" t="str">
        <f ca="1">IF(INDEX(Well_Data_NK_Upcoming!$J$2:$J$996,MATCH(Rig_Schedule_View!B40,Well_Data_NK_Upcoming!Concatenated_Wellname,0))=0,"",INDEX(Well_Data_NK_Upcoming!$J$2:$J$996,MATCH(Rig_Schedule_View!B40,Well_Data_NK_Upcoming!Concatenated_Wellname,0)))</f>
        <v>Prod</v>
      </c>
      <c r="F40" s="421" t="str">
        <f ca="1">IF(INDEX(Well_Data_NK_Upcoming!$L$2:$L$996,MATCH(Rig_Schedule_View!B40,Well_Data_NK_Upcoming!Concatenated_Wellname,0))=0,"",INDEX(Well_Data_NK_Upcoming!$L$2:$L$996,MATCH(Rig_Schedule_View!B40,Well_Data_NK_Upcoming!Concatenated_Wellname,0)))</f>
        <v>HZ</v>
      </c>
      <c r="G40" s="421">
        <f ca="1">IF(INDEX(Well_Data_NK_Upcoming!$R$2:$R$996,MATCH(Rig_Schedule_View!B40,Well_Data_NK_Upcoming!Concatenated_Wellname,0))=0,"",INDEX(Well_Data_NK_Upcoming!$R$2:$R$996,MATCH(Rig_Schedule_View!B40,Well_Data_NK_Upcoming!Concatenated_Wellname,0)))</f>
        <v>75</v>
      </c>
      <c r="H40" s="74"/>
      <c r="I40" s="443">
        <f ca="1">RigScheduleTest!$AD$4</f>
        <v>42466</v>
      </c>
      <c r="J40" s="443">
        <f ca="1">RigScheduleTest!$AE$4</f>
        <v>42536</v>
      </c>
      <c r="K40" s="344"/>
      <c r="L40" s="546"/>
      <c r="M40" s="544"/>
      <c r="N40" s="545"/>
      <c r="O40" s="545"/>
      <c r="P40" s="551"/>
    </row>
    <row r="41" spans="1:16" x14ac:dyDescent="0.25">
      <c r="A41" s="442" t="str">
        <f>RigScheduleTest!$B$4</f>
        <v>KDC-26</v>
      </c>
      <c r="B41" s="442" t="str">
        <f ca="1">RigScheduleTest!$AG$4</f>
        <v>RA17-RA-MA-Inj-NW-HZ-SLB</v>
      </c>
      <c r="C41" s="421" t="str">
        <f ca="1">IF(INDEX(Well_Data_NK_Upcoming!$G$2:$G$996,MATCH(Rig_Schedule_View!B41,Well_Data_NK_Upcoming!Concatenated_Wellname,0))=0,"",INDEX(Well_Data_NK_Upcoming!$G$2:$G$996,MATCH(Rig_Schedule_View!B41,Well_Data_NK_Upcoming!Concatenated_Wellname,0)))</f>
        <v>MA</v>
      </c>
      <c r="D41" s="421" t="str">
        <f ca="1">IF(INDEX(Well_Data_NK_Upcoming!$K$2:$K$996,MATCH(Rig_Schedule_View!B41,Well_Data_NK_Upcoming!Concatenated_Wellname,0))=0,"",INDEX(Well_Data_NK_Upcoming!$K$2:$K$996,MATCH(Rig_Schedule_View!B41,Well_Data_NK_Upcoming!Concatenated_Wellname,0)))</f>
        <v>NW</v>
      </c>
      <c r="E41" s="421" t="str">
        <f ca="1">IF(INDEX(Well_Data_NK_Upcoming!$J$2:$J$996,MATCH(Rig_Schedule_View!B41,Well_Data_NK_Upcoming!Concatenated_Wellname,0))=0,"",INDEX(Well_Data_NK_Upcoming!$J$2:$J$996,MATCH(Rig_Schedule_View!B41,Well_Data_NK_Upcoming!Concatenated_Wellname,0)))</f>
        <v>Inj</v>
      </c>
      <c r="F41" s="421" t="str">
        <f ca="1">IF(INDEX(Well_Data_NK_Upcoming!$L$2:$L$996,MATCH(Rig_Schedule_View!B41,Well_Data_NK_Upcoming!Concatenated_Wellname,0))=0,"",INDEX(Well_Data_NK_Upcoming!$L$2:$L$996,MATCH(Rig_Schedule_View!B41,Well_Data_NK_Upcoming!Concatenated_Wellname,0)))</f>
        <v>HZ</v>
      </c>
      <c r="G41" s="421">
        <f ca="1">IF(INDEX(Well_Data_NK_Upcoming!$R$2:$R$996,MATCH(Rig_Schedule_View!B41,Well_Data_NK_Upcoming!Concatenated_Wellname,0))=0,"",INDEX(Well_Data_NK_Upcoming!$R$2:$R$996,MATCH(Rig_Schedule_View!B41,Well_Data_NK_Upcoming!Concatenated_Wellname,0)))</f>
        <v>68</v>
      </c>
      <c r="H41" s="74"/>
      <c r="I41" s="443">
        <f ca="1">RigScheduleTest!$AJ$4</f>
        <v>42541</v>
      </c>
      <c r="J41" s="443">
        <f ca="1">RigScheduleTest!$AK$4</f>
        <v>42604</v>
      </c>
      <c r="K41" s="344"/>
      <c r="L41" s="546"/>
      <c r="M41" s="544"/>
      <c r="N41" s="545"/>
      <c r="O41" s="545"/>
      <c r="P41" s="551"/>
    </row>
    <row r="42" spans="1:16" x14ac:dyDescent="0.25">
      <c r="A42" s="442" t="str">
        <f>RigScheduleTest!$B$4</f>
        <v>KDC-26</v>
      </c>
      <c r="B42" s="442" t="str">
        <f ca="1">RigScheduleTest!$AM$4</f>
        <v>SA46-SA-LB-Prod-NW-SL</v>
      </c>
      <c r="C42" s="421" t="str">
        <f ca="1">IF(INDEX(Well_Data_NK_Upcoming!$G$2:$G$996,MATCH(Rig_Schedule_View!B42,Well_Data_NK_Upcoming!Concatenated_Wellname,0))=0,"",INDEX(Well_Data_NK_Upcoming!$G$2:$G$996,MATCH(Rig_Schedule_View!B42,Well_Data_NK_Upcoming!Concatenated_Wellname,0)))</f>
        <v>LB</v>
      </c>
      <c r="D42" s="421" t="str">
        <f ca="1">IF(INDEX(Well_Data_NK_Upcoming!$K$2:$K$996,MATCH(Rig_Schedule_View!B42,Well_Data_NK_Upcoming!Concatenated_Wellname,0))=0,"",INDEX(Well_Data_NK_Upcoming!$K$2:$K$996,MATCH(Rig_Schedule_View!B42,Well_Data_NK_Upcoming!Concatenated_Wellname,0)))</f>
        <v>NW</v>
      </c>
      <c r="E42" s="421" t="str">
        <f ca="1">IF(INDEX(Well_Data_NK_Upcoming!$J$2:$J$996,MATCH(Rig_Schedule_View!B42,Well_Data_NK_Upcoming!Concatenated_Wellname,0))=0,"",INDEX(Well_Data_NK_Upcoming!$J$2:$J$996,MATCH(Rig_Schedule_View!B42,Well_Data_NK_Upcoming!Concatenated_Wellname,0)))</f>
        <v>Prod</v>
      </c>
      <c r="F42" s="421" t="str">
        <f ca="1">IF(INDEX(Well_Data_NK_Upcoming!$L$2:$L$996,MATCH(Rig_Schedule_View!B42,Well_Data_NK_Upcoming!Concatenated_Wellname,0))=0,"",INDEX(Well_Data_NK_Upcoming!$L$2:$L$996,MATCH(Rig_Schedule_View!B42,Well_Data_NK_Upcoming!Concatenated_Wellname,0)))</f>
        <v>SL</v>
      </c>
      <c r="G42" s="421">
        <f ca="1">IF(INDEX(Well_Data_NK_Upcoming!$R$2:$R$996,MATCH(Rig_Schedule_View!B42,Well_Data_NK_Upcoming!Concatenated_Wellname,0))=0,"",INDEX(Well_Data_NK_Upcoming!$R$2:$R$996,MATCH(Rig_Schedule_View!B42,Well_Data_NK_Upcoming!Concatenated_Wellname,0)))</f>
        <v>75</v>
      </c>
      <c r="H42" s="74"/>
      <c r="I42" s="443">
        <f ca="1">RigScheduleTest!$AP$4</f>
        <v>42609</v>
      </c>
      <c r="J42" s="443">
        <f ca="1">RigScheduleTest!$AQ$4</f>
        <v>42679</v>
      </c>
      <c r="K42" s="344"/>
      <c r="L42" s="546"/>
      <c r="M42" s="544"/>
      <c r="N42" s="545"/>
      <c r="O42" s="545"/>
      <c r="P42" s="551"/>
    </row>
    <row r="43" spans="1:16" x14ac:dyDescent="0.25">
      <c r="A43" s="442" t="str">
        <f>RigScheduleTest!$B$4</f>
        <v>KDC-26</v>
      </c>
      <c r="B43" s="442" t="str">
        <f ca="1">RigScheduleTest!$AS$4</f>
        <v>SA53-SA-UB-Inj-NW-SL</v>
      </c>
      <c r="C43" s="421" t="str">
        <f ca="1">IF(INDEX(Well_Data_NK_Upcoming!$G$2:$G$996,MATCH(Rig_Schedule_View!B43,Well_Data_NK_Upcoming!Concatenated_Wellname,0))=0,"",INDEX(Well_Data_NK_Upcoming!$G$2:$G$996,MATCH(Rig_Schedule_View!B43,Well_Data_NK_Upcoming!Concatenated_Wellname,0)))</f>
        <v>UB</v>
      </c>
      <c r="D43" s="421" t="str">
        <f ca="1">IF(INDEX(Well_Data_NK_Upcoming!$K$2:$K$996,MATCH(Rig_Schedule_View!B43,Well_Data_NK_Upcoming!Concatenated_Wellname,0))=0,"",INDEX(Well_Data_NK_Upcoming!$K$2:$K$996,MATCH(Rig_Schedule_View!B43,Well_Data_NK_Upcoming!Concatenated_Wellname,0)))</f>
        <v>NW</v>
      </c>
      <c r="E43" s="421" t="str">
        <f ca="1">IF(INDEX(Well_Data_NK_Upcoming!$J$2:$J$996,MATCH(Rig_Schedule_View!B43,Well_Data_NK_Upcoming!Concatenated_Wellname,0))=0,"",INDEX(Well_Data_NK_Upcoming!$J$2:$J$996,MATCH(Rig_Schedule_View!B43,Well_Data_NK_Upcoming!Concatenated_Wellname,0)))</f>
        <v>Inj</v>
      </c>
      <c r="F43" s="421" t="str">
        <f ca="1">IF(INDEX(Well_Data_NK_Upcoming!$L$2:$L$996,MATCH(Rig_Schedule_View!B43,Well_Data_NK_Upcoming!Concatenated_Wellname,0))=0,"",INDEX(Well_Data_NK_Upcoming!$L$2:$L$996,MATCH(Rig_Schedule_View!B43,Well_Data_NK_Upcoming!Concatenated_Wellname,0)))</f>
        <v>SL</v>
      </c>
      <c r="G43" s="421">
        <f ca="1">IF(INDEX(Well_Data_NK_Upcoming!$R$2:$R$996,MATCH(Rig_Schedule_View!B43,Well_Data_NK_Upcoming!Concatenated_Wellname,0))=0,"",INDEX(Well_Data_NK_Upcoming!$R$2:$R$996,MATCH(Rig_Schedule_View!B43,Well_Data_NK_Upcoming!Concatenated_Wellname,0)))</f>
        <v>75</v>
      </c>
      <c r="H43" s="74"/>
      <c r="I43" s="443">
        <f ca="1">RigScheduleTest!$AV$4</f>
        <v>42684</v>
      </c>
      <c r="J43" s="443">
        <f ca="1">RigScheduleTest!$AW$4</f>
        <v>42754</v>
      </c>
      <c r="K43" s="344"/>
      <c r="L43" s="546"/>
      <c r="M43" s="544"/>
      <c r="N43" s="545"/>
      <c r="O43" s="545"/>
      <c r="P43" s="551"/>
    </row>
    <row r="44" spans="1:16" x14ac:dyDescent="0.25">
      <c r="A44" s="442" t="str">
        <f>RigScheduleTest!$B$4</f>
        <v>KDC-26</v>
      </c>
      <c r="B44" s="442" t="str">
        <f ca="1">RigScheduleTest!$AY$4</f>
        <v>SA-0600-SA-MA-Prod-NW-HZ-Baker</v>
      </c>
      <c r="C44" s="421" t="str">
        <f ca="1">IF(INDEX(Well_Data_NK_Upcoming!$G$2:$G$996,MATCH(Rig_Schedule_View!B44,Well_Data_NK_Upcoming!Concatenated_Wellname,0))=0,"",INDEX(Well_Data_NK_Upcoming!$G$2:$G$996,MATCH(Rig_Schedule_View!B44,Well_Data_NK_Upcoming!Concatenated_Wellname,0)))</f>
        <v>MA</v>
      </c>
      <c r="D44" s="421" t="str">
        <f ca="1">IF(INDEX(Well_Data_NK_Upcoming!$K$2:$K$996,MATCH(Rig_Schedule_View!B44,Well_Data_NK_Upcoming!Concatenated_Wellname,0))=0,"",INDEX(Well_Data_NK_Upcoming!$K$2:$K$996,MATCH(Rig_Schedule_View!B44,Well_Data_NK_Upcoming!Concatenated_Wellname,0)))</f>
        <v>NW</v>
      </c>
      <c r="E44" s="421" t="str">
        <f ca="1">IF(INDEX(Well_Data_NK_Upcoming!$J$2:$J$996,MATCH(Rig_Schedule_View!B44,Well_Data_NK_Upcoming!Concatenated_Wellname,0))=0,"",INDEX(Well_Data_NK_Upcoming!$J$2:$J$996,MATCH(Rig_Schedule_View!B44,Well_Data_NK_Upcoming!Concatenated_Wellname,0)))</f>
        <v>Prod</v>
      </c>
      <c r="F44" s="421" t="str">
        <f ca="1">IF(INDEX(Well_Data_NK_Upcoming!$L$2:$L$996,MATCH(Rig_Schedule_View!B44,Well_Data_NK_Upcoming!Concatenated_Wellname,0))=0,"",INDEX(Well_Data_NK_Upcoming!$L$2:$L$996,MATCH(Rig_Schedule_View!B44,Well_Data_NK_Upcoming!Concatenated_Wellname,0)))</f>
        <v>HZ</v>
      </c>
      <c r="G44" s="421">
        <f ca="1">IF(INDEX(Well_Data_NK_Upcoming!$R$2:$R$996,MATCH(Rig_Schedule_View!B44,Well_Data_NK_Upcoming!Concatenated_Wellname,0))=0,"",INDEX(Well_Data_NK_Upcoming!$R$2:$R$996,MATCH(Rig_Schedule_View!B44,Well_Data_NK_Upcoming!Concatenated_Wellname,0)))</f>
        <v>75</v>
      </c>
      <c r="H44" s="74"/>
      <c r="I44" s="443">
        <f ca="1">RigScheduleTest!$BB$4</f>
        <v>42759</v>
      </c>
      <c r="J44" s="443">
        <f ca="1">RigScheduleTest!$BC$4</f>
        <v>42829</v>
      </c>
      <c r="K44" s="344"/>
      <c r="L44" s="546"/>
      <c r="M44" s="544"/>
      <c r="N44" s="545"/>
      <c r="O44" s="545"/>
      <c r="P44" s="551"/>
    </row>
    <row r="45" spans="1:16" x14ac:dyDescent="0.25">
      <c r="A45" s="442" t="str">
        <f>RigScheduleTest!$B$4</f>
        <v>KDC-26</v>
      </c>
      <c r="B45" s="442" t="str">
        <f ca="1">RigScheduleTest!$BE$4</f>
        <v>RQ-0180-RQ-ZU-Prod-NW</v>
      </c>
      <c r="C45" s="421" t="str">
        <f ca="1">IF(INDEX(Well_Data_NK_Upcoming!$G$2:$G$996,MATCH(Rig_Schedule_View!B45,Well_Data_NK_Upcoming!Concatenated_Wellname,0))=0,"",INDEX(Well_Data_NK_Upcoming!$G$2:$G$996,MATCH(Rig_Schedule_View!B45,Well_Data_NK_Upcoming!Concatenated_Wellname,0)))</f>
        <v>ZU</v>
      </c>
      <c r="D45" s="421" t="str">
        <f ca="1">IF(INDEX(Well_Data_NK_Upcoming!$K$2:$K$996,MATCH(Rig_Schedule_View!B45,Well_Data_NK_Upcoming!Concatenated_Wellname,0))=0,"",INDEX(Well_Data_NK_Upcoming!$K$2:$K$996,MATCH(Rig_Schedule_View!B45,Well_Data_NK_Upcoming!Concatenated_Wellname,0)))</f>
        <v>NW</v>
      </c>
      <c r="E45" s="421" t="str">
        <f ca="1">IF(INDEX(Well_Data_NK_Upcoming!$J$2:$J$996,MATCH(Rig_Schedule_View!B45,Well_Data_NK_Upcoming!Concatenated_Wellname,0))=0,"",INDEX(Well_Data_NK_Upcoming!$J$2:$J$996,MATCH(Rig_Schedule_View!B45,Well_Data_NK_Upcoming!Concatenated_Wellname,0)))</f>
        <v>Prod</v>
      </c>
      <c r="F45" s="421" t="str">
        <f ca="1">IF(INDEX(Well_Data_NK_Upcoming!$L$2:$L$996,MATCH(Rig_Schedule_View!B45,Well_Data_NK_Upcoming!Concatenated_Wellname,0))=0,"",INDEX(Well_Data_NK_Upcoming!$L$2:$L$996,MATCH(Rig_Schedule_View!B45,Well_Data_NK_Upcoming!Concatenated_Wellname,0)))</f>
        <v/>
      </c>
      <c r="G45" s="421">
        <f ca="1">IF(INDEX(Well_Data_NK_Upcoming!$R$2:$R$996,MATCH(Rig_Schedule_View!B45,Well_Data_NK_Upcoming!Concatenated_Wellname,0))=0,"",INDEX(Well_Data_NK_Upcoming!$R$2:$R$996,MATCH(Rig_Schedule_View!B45,Well_Data_NK_Upcoming!Concatenated_Wellname,0)))</f>
        <v>103</v>
      </c>
      <c r="H45" s="74"/>
      <c r="I45" s="443">
        <f ca="1">RigScheduleTest!$BH$4</f>
        <v>42834</v>
      </c>
      <c r="J45" s="443">
        <f ca="1">RigScheduleTest!$BI$4</f>
        <v>42932</v>
      </c>
      <c r="K45" s="344"/>
      <c r="L45" s="546"/>
      <c r="M45" s="544"/>
      <c r="N45" s="545"/>
      <c r="O45" s="545"/>
      <c r="P45" s="551"/>
    </row>
    <row r="46" spans="1:16" x14ac:dyDescent="0.25">
      <c r="A46" s="442" t="str">
        <f>RigScheduleTest!$B$4</f>
        <v>KDC-26</v>
      </c>
      <c r="B46" s="442" t="str">
        <f ca="1">RigScheduleTest!$BK$4</f>
        <v/>
      </c>
      <c r="C46" s="421" t="str">
        <f ca="1">IF(INDEX(Well_Data_NK_Upcoming!$G$2:$G$996,MATCH(Rig_Schedule_View!B46,Well_Data_NK_Upcoming!Concatenated_Wellname,0))=0,"",INDEX(Well_Data_NK_Upcoming!$G$2:$G$996,MATCH(Rig_Schedule_View!B46,Well_Data_NK_Upcoming!Concatenated_Wellname,0)))</f>
        <v/>
      </c>
      <c r="D46" s="421" t="str">
        <f ca="1">IF(INDEX(Well_Data_NK_Upcoming!$K$2:$K$996,MATCH(Rig_Schedule_View!B46,Well_Data_NK_Upcoming!Concatenated_Wellname,0))=0,"",INDEX(Well_Data_NK_Upcoming!$K$2:$K$996,MATCH(Rig_Schedule_View!B46,Well_Data_NK_Upcoming!Concatenated_Wellname,0)))</f>
        <v/>
      </c>
      <c r="E46" s="421" t="str">
        <f ca="1">IF(INDEX(Well_Data_NK_Upcoming!$J$2:$J$996,MATCH(Rig_Schedule_View!B46,Well_Data_NK_Upcoming!Concatenated_Wellname,0))=0,"",INDEX(Well_Data_NK_Upcoming!$J$2:$J$996,MATCH(Rig_Schedule_View!B46,Well_Data_NK_Upcoming!Concatenated_Wellname,0)))</f>
        <v/>
      </c>
      <c r="F46" s="421" t="str">
        <f ca="1">IF(INDEX(Well_Data_NK_Upcoming!$L$2:$L$996,MATCH(Rig_Schedule_View!B46,Well_Data_NK_Upcoming!Concatenated_Wellname,0))=0,"",INDEX(Well_Data_NK_Upcoming!$L$2:$L$996,MATCH(Rig_Schedule_View!B46,Well_Data_NK_Upcoming!Concatenated_Wellname,0)))</f>
        <v/>
      </c>
      <c r="G46" s="421" t="str">
        <f ca="1">IF(INDEX(Well_Data_NK_Upcoming!$R$2:$R$996,MATCH(Rig_Schedule_View!B46,Well_Data_NK_Upcoming!Concatenated_Wellname,0))=0,"",INDEX(Well_Data_NK_Upcoming!$R$2:$R$996,MATCH(Rig_Schedule_View!B46,Well_Data_NK_Upcoming!Concatenated_Wellname,0)))</f>
        <v/>
      </c>
      <c r="H46" s="74"/>
      <c r="I46" s="443" t="str">
        <f ca="1">RigScheduleTest!$BN$4</f>
        <v/>
      </c>
      <c r="J46" s="443" t="str">
        <f ca="1">RigScheduleTest!$BO$4</f>
        <v/>
      </c>
      <c r="K46" s="344"/>
      <c r="L46" s="546"/>
      <c r="M46" s="544"/>
      <c r="N46" s="545"/>
      <c r="O46" s="545"/>
      <c r="P46" s="551"/>
    </row>
    <row r="47" spans="1:16" x14ac:dyDescent="0.25">
      <c r="A47" s="437" t="str">
        <f>RigScheduleTest!$B$1</f>
        <v>RIG</v>
      </c>
      <c r="B47" s="437" t="str">
        <f>$K$1</f>
        <v>Development Drilling</v>
      </c>
      <c r="C47" s="437" t="s">
        <v>1831</v>
      </c>
      <c r="D47" s="437" t="s">
        <v>867</v>
      </c>
      <c r="E47" s="437" t="s">
        <v>8</v>
      </c>
      <c r="F47" s="437" t="s">
        <v>2</v>
      </c>
      <c r="G47" s="437" t="s">
        <v>1513</v>
      </c>
      <c r="H47" s="438" t="str">
        <f>$K$3</f>
        <v>Rig Deployment Meeting</v>
      </c>
      <c r="I47" s="439" t="str">
        <f>$K$5</f>
        <v>Start</v>
      </c>
      <c r="J47" s="439" t="str">
        <f>$K$6</f>
        <v>End</v>
      </c>
      <c r="K47" s="444" t="s">
        <v>1068</v>
      </c>
      <c r="L47" s="444" t="s">
        <v>1577</v>
      </c>
      <c r="M47" s="496" t="s">
        <v>1934</v>
      </c>
      <c r="N47" s="504" t="s">
        <v>1940</v>
      </c>
      <c r="O47" s="504" t="s">
        <v>1941</v>
      </c>
      <c r="P47" s="502"/>
    </row>
    <row r="48" spans="1:16" x14ac:dyDescent="0.25">
      <c r="A48" s="442" t="str">
        <f>RigScheduleTest!$B$5</f>
        <v>KDC-28</v>
      </c>
      <c r="B48" s="421" t="str">
        <f ca="1">RigScheduleTest!$D$5</f>
        <v/>
      </c>
      <c r="C48" s="421" t="str">
        <f ca="1">IF(INDEX(Well_Data_NK_Upcoming!$G$2:$G$996,MATCH(Rig_Schedule_View!B48,Well_Data_NK_Upcoming!Concatenated_Wellname,0))=0,"",INDEX(Well_Data_NK_Upcoming!$G$2:$G$996,MATCH(Rig_Schedule_View!B48,Well_Data_NK_Upcoming!Concatenated_Wellname,0)))</f>
        <v/>
      </c>
      <c r="D48" s="421" t="str">
        <f ca="1">IF(INDEX(Well_Data_NK_Upcoming!$K$2:$K$996,MATCH(Rig_Schedule_View!B48,Well_Data_NK_Upcoming!Concatenated_Wellname,0))=0,"",INDEX(Well_Data_NK_Upcoming!$K$2:$K$996,MATCH(Rig_Schedule_View!B48,Well_Data_NK_Upcoming!Concatenated_Wellname,0)))</f>
        <v/>
      </c>
      <c r="E48" s="421" t="str">
        <f ca="1">IF(INDEX(Well_Data_NK_Upcoming!$J$2:$J$996,MATCH(Rig_Schedule_View!B48,Well_Data_NK_Upcoming!Concatenated_Wellname,0))=0,"",INDEX(Well_Data_NK_Upcoming!$J$2:$J$996,MATCH(Rig_Schedule_View!B48,Well_Data_NK_Upcoming!Concatenated_Wellname,0)))</f>
        <v/>
      </c>
      <c r="F48" s="421" t="str">
        <f ca="1">IF(INDEX(Well_Data_NK_Upcoming!$L$2:$L$996,MATCH(Rig_Schedule_View!B48,Well_Data_NK_Upcoming!Concatenated_Wellname,0))=0,"",INDEX(Well_Data_NK_Upcoming!$L$2:$L$996,MATCH(Rig_Schedule_View!B48,Well_Data_NK_Upcoming!Concatenated_Wellname,0)))</f>
        <v/>
      </c>
      <c r="G48" s="421" t="str">
        <f ca="1">IF(INDEX(Well_Data_NK_Upcoming!$R$2:$R$996,MATCH(Rig_Schedule_View!B48,Well_Data_NK_Upcoming!Concatenated_Wellname,0))=0,"",INDEX(Well_Data_NK_Upcoming!$R$2:$R$996,MATCH(Rig_Schedule_View!B48,Well_Data_NK_Upcoming!Concatenated_Wellname,0)))</f>
        <v/>
      </c>
      <c r="H48" s="74">
        <f>RigScheduleTest!$F$5</f>
        <v>42233</v>
      </c>
      <c r="I48" s="459" t="str">
        <f ca="1">IF(INDEX(Well_Data_NK_Upcoming!$O$2:$O$996,MATCH(Rig_Schedule_View!B48,Well_Data_NK_Upcoming!Concatenated_Wellname,0))=0,"",INDEX(Well_Data_NK_Upcoming!$O$2:$O$996,MATCH(Rig_Schedule_View!B48,Well_Data_NK_Upcoming!Concatenated_Wellname,0)))</f>
        <v/>
      </c>
      <c r="J48" s="446" t="str">
        <f ca="1">RigScheduleTest!$H$5</f>
        <v/>
      </c>
      <c r="K48" s="493" t="s">
        <v>1917</v>
      </c>
      <c r="L48" s="552"/>
      <c r="M48" s="549"/>
      <c r="N48" s="550"/>
      <c r="O48" s="550"/>
      <c r="P48" s="551"/>
    </row>
    <row r="49" spans="1:17" x14ac:dyDescent="0.25">
      <c r="A49" s="442" t="str">
        <f>RigScheduleTest!$B$5</f>
        <v>KDC-28</v>
      </c>
      <c r="B49" s="441" t="str">
        <f ca="1">RigScheduleTest!$I$5</f>
        <v>Rig_Expired</v>
      </c>
      <c r="C49" s="421" t="str">
        <f ca="1">IF(INDEX(Well_Data_NK_Upcoming!$G$2:$G$996,MATCH(Rig_Schedule_View!B49,Well_Data_NK_Upcoming!Concatenated_Wellname,0))=0,"",INDEX(Well_Data_NK_Upcoming!$G$2:$G$996,MATCH(Rig_Schedule_View!B49,Well_Data_NK_Upcoming!Concatenated_Wellname,0)))</f>
        <v/>
      </c>
      <c r="D49" s="421" t="str">
        <f ca="1">IF(INDEX(Well_Data_NK_Upcoming!$K$2:$K$996,MATCH(Rig_Schedule_View!B49,Well_Data_NK_Upcoming!Concatenated_Wellname,0))=0,"",INDEX(Well_Data_NK_Upcoming!$K$2:$K$996,MATCH(Rig_Schedule_View!B49,Well_Data_NK_Upcoming!Concatenated_Wellname,0)))</f>
        <v/>
      </c>
      <c r="E49" s="421" t="str">
        <f ca="1">IF(INDEX(Well_Data_NK_Upcoming!$J$2:$J$996,MATCH(Rig_Schedule_View!B49,Well_Data_NK_Upcoming!Concatenated_Wellname,0))=0,"",INDEX(Well_Data_NK_Upcoming!$J$2:$J$996,MATCH(Rig_Schedule_View!B49,Well_Data_NK_Upcoming!Concatenated_Wellname,0)))</f>
        <v/>
      </c>
      <c r="F49" s="421" t="str">
        <f ca="1">IF(INDEX(Well_Data_NK_Upcoming!$L$2:$L$996,MATCH(Rig_Schedule_View!B49,Well_Data_NK_Upcoming!Concatenated_Wellname,0))=0,"",INDEX(Well_Data_NK_Upcoming!$L$2:$L$996,MATCH(Rig_Schedule_View!B49,Well_Data_NK_Upcoming!Concatenated_Wellname,0)))</f>
        <v/>
      </c>
      <c r="G49" s="421" t="str">
        <f ca="1">IF(INDEX(Well_Data_NK_Upcoming!$R$2:$R$996,MATCH(Rig_Schedule_View!B49,Well_Data_NK_Upcoming!Concatenated_Wellname,0))=0,"",INDEX(Well_Data_NK_Upcoming!$R$2:$R$996,MATCH(Rig_Schedule_View!B49,Well_Data_NK_Upcoming!Concatenated_Wellname,0)))</f>
        <v/>
      </c>
      <c r="H49" s="74"/>
      <c r="I49" s="440" t="str">
        <f ca="1">RigScheduleTest!$L$5</f>
        <v/>
      </c>
      <c r="J49" s="440" t="str">
        <f ca="1">RigScheduleTest!$M$5</f>
        <v/>
      </c>
      <c r="K49" s="413"/>
      <c r="L49" s="552"/>
      <c r="M49" s="549"/>
      <c r="N49" s="550"/>
      <c r="O49" s="550"/>
      <c r="P49" s="551"/>
    </row>
    <row r="50" spans="1:17" x14ac:dyDescent="0.25">
      <c r="A50" s="442" t="str">
        <f>RigScheduleTest!$B$5</f>
        <v>KDC-28</v>
      </c>
      <c r="B50" s="441" t="str">
        <f ca="1">RigScheduleTest!$O$5</f>
        <v/>
      </c>
      <c r="C50" s="421" t="str">
        <f ca="1">IF(INDEX(Well_Data_NK_Upcoming!$G$2:$G$996,MATCH(Rig_Schedule_View!B50,Well_Data_NK_Upcoming!Concatenated_Wellname,0))=0,"",INDEX(Well_Data_NK_Upcoming!$G$2:$G$996,MATCH(Rig_Schedule_View!B50,Well_Data_NK_Upcoming!Concatenated_Wellname,0)))</f>
        <v/>
      </c>
      <c r="D50" s="421" t="str">
        <f ca="1">IF(INDEX(Well_Data_NK_Upcoming!$K$2:$K$996,MATCH(Rig_Schedule_View!B50,Well_Data_NK_Upcoming!Concatenated_Wellname,0))=0,"",INDEX(Well_Data_NK_Upcoming!$K$2:$K$996,MATCH(Rig_Schedule_View!B50,Well_Data_NK_Upcoming!Concatenated_Wellname,0)))</f>
        <v/>
      </c>
      <c r="E50" s="421" t="str">
        <f ca="1">IF(INDEX(Well_Data_NK_Upcoming!$J$2:$J$996,MATCH(Rig_Schedule_View!B50,Well_Data_NK_Upcoming!Concatenated_Wellname,0))=0,"",INDEX(Well_Data_NK_Upcoming!$J$2:$J$996,MATCH(Rig_Schedule_View!B50,Well_Data_NK_Upcoming!Concatenated_Wellname,0)))</f>
        <v/>
      </c>
      <c r="F50" s="421" t="str">
        <f ca="1">IF(INDEX(Well_Data_NK_Upcoming!$L$2:$L$996,MATCH(Rig_Schedule_View!B50,Well_Data_NK_Upcoming!Concatenated_Wellname,0))=0,"",INDEX(Well_Data_NK_Upcoming!$L$2:$L$996,MATCH(Rig_Schedule_View!B50,Well_Data_NK_Upcoming!Concatenated_Wellname,0)))</f>
        <v/>
      </c>
      <c r="G50" s="421" t="str">
        <f ca="1">IF(INDEX(Well_Data_NK_Upcoming!$R$2:$R$996,MATCH(Rig_Schedule_View!B50,Well_Data_NK_Upcoming!Concatenated_Wellname,0))=0,"",INDEX(Well_Data_NK_Upcoming!$R$2:$R$996,MATCH(Rig_Schedule_View!B50,Well_Data_NK_Upcoming!Concatenated_Wellname,0)))</f>
        <v/>
      </c>
      <c r="H50" s="74"/>
      <c r="I50" s="440" t="str">
        <f ca="1">RigScheduleTest!$R$5</f>
        <v/>
      </c>
      <c r="J50" s="440" t="str">
        <f ca="1">RigScheduleTest!$S$5</f>
        <v/>
      </c>
      <c r="K50" s="413"/>
      <c r="L50" s="552"/>
      <c r="M50" s="549"/>
      <c r="N50" s="550"/>
      <c r="O50" s="550"/>
      <c r="P50" s="551"/>
    </row>
    <row r="51" spans="1:17" x14ac:dyDescent="0.25">
      <c r="A51" s="442" t="str">
        <f>RigScheduleTest!$B$5</f>
        <v>KDC-28</v>
      </c>
      <c r="B51" s="442" t="str">
        <f ca="1">RigScheduleTest!$U$5</f>
        <v/>
      </c>
      <c r="C51" s="421" t="str">
        <f ca="1">IF(INDEX(Well_Data_NK_Upcoming!$G$2:$G$996,MATCH(Rig_Schedule_View!B51,Well_Data_NK_Upcoming!Concatenated_Wellname,0))=0,"",INDEX(Well_Data_NK_Upcoming!$G$2:$G$996,MATCH(Rig_Schedule_View!B51,Well_Data_NK_Upcoming!Concatenated_Wellname,0)))</f>
        <v/>
      </c>
      <c r="D51" s="421" t="str">
        <f ca="1">IF(INDEX(Well_Data_NK_Upcoming!$K$2:$K$996,MATCH(Rig_Schedule_View!B51,Well_Data_NK_Upcoming!Concatenated_Wellname,0))=0,"",INDEX(Well_Data_NK_Upcoming!$K$2:$K$996,MATCH(Rig_Schedule_View!B51,Well_Data_NK_Upcoming!Concatenated_Wellname,0)))</f>
        <v/>
      </c>
      <c r="E51" s="421" t="str">
        <f ca="1">IF(INDEX(Well_Data_NK_Upcoming!$J$2:$J$996,MATCH(Rig_Schedule_View!B51,Well_Data_NK_Upcoming!Concatenated_Wellname,0))=0,"",INDEX(Well_Data_NK_Upcoming!$J$2:$J$996,MATCH(Rig_Schedule_View!B51,Well_Data_NK_Upcoming!Concatenated_Wellname,0)))</f>
        <v/>
      </c>
      <c r="F51" s="421" t="str">
        <f ca="1">IF(INDEX(Well_Data_NK_Upcoming!$L$2:$L$996,MATCH(Rig_Schedule_View!B51,Well_Data_NK_Upcoming!Concatenated_Wellname,0))=0,"",INDEX(Well_Data_NK_Upcoming!$L$2:$L$996,MATCH(Rig_Schedule_View!B51,Well_Data_NK_Upcoming!Concatenated_Wellname,0)))</f>
        <v/>
      </c>
      <c r="G51" s="421" t="str">
        <f ca="1">IF(INDEX(Well_Data_NK_Upcoming!$R$2:$R$996,MATCH(Rig_Schedule_View!B51,Well_Data_NK_Upcoming!Concatenated_Wellname,0))=0,"",INDEX(Well_Data_NK_Upcoming!$R$2:$R$996,MATCH(Rig_Schedule_View!B51,Well_Data_NK_Upcoming!Concatenated_Wellname,0)))</f>
        <v/>
      </c>
      <c r="H51" s="74"/>
      <c r="I51" s="443" t="str">
        <f ca="1">RigScheduleTest!$X$5</f>
        <v/>
      </c>
      <c r="J51" s="443" t="str">
        <f ca="1">RigScheduleTest!$Y$5</f>
        <v/>
      </c>
      <c r="K51" s="413"/>
      <c r="L51" s="552"/>
      <c r="M51" s="549"/>
      <c r="N51" s="550"/>
      <c r="O51" s="550"/>
      <c r="P51" s="551"/>
    </row>
    <row r="52" spans="1:17" x14ac:dyDescent="0.25">
      <c r="A52" s="442" t="str">
        <f>RigScheduleTest!$B$5</f>
        <v>KDC-28</v>
      </c>
      <c r="B52" s="442" t="str">
        <f ca="1">RigScheduleTest!$AA$5</f>
        <v/>
      </c>
      <c r="C52" s="421" t="str">
        <f ca="1">IF(INDEX(Well_Data_NK_Upcoming!$G$2:$G$996,MATCH(Rig_Schedule_View!B52,Well_Data_NK_Upcoming!Concatenated_Wellname,0))=0,"",INDEX(Well_Data_NK_Upcoming!$G$2:$G$996,MATCH(Rig_Schedule_View!B52,Well_Data_NK_Upcoming!Concatenated_Wellname,0)))</f>
        <v/>
      </c>
      <c r="D52" s="421" t="str">
        <f ca="1">IF(INDEX(Well_Data_NK_Upcoming!$K$2:$K$996,MATCH(Rig_Schedule_View!B52,Well_Data_NK_Upcoming!Concatenated_Wellname,0))=0,"",INDEX(Well_Data_NK_Upcoming!$K$2:$K$996,MATCH(Rig_Schedule_View!B52,Well_Data_NK_Upcoming!Concatenated_Wellname,0)))</f>
        <v/>
      </c>
      <c r="E52" s="421" t="str">
        <f ca="1">IF(INDEX(Well_Data_NK_Upcoming!$J$2:$J$996,MATCH(Rig_Schedule_View!B52,Well_Data_NK_Upcoming!Concatenated_Wellname,0))=0,"",INDEX(Well_Data_NK_Upcoming!$J$2:$J$996,MATCH(Rig_Schedule_View!B52,Well_Data_NK_Upcoming!Concatenated_Wellname,0)))</f>
        <v/>
      </c>
      <c r="F52" s="421" t="str">
        <f ca="1">IF(INDEX(Well_Data_NK_Upcoming!$L$2:$L$996,MATCH(Rig_Schedule_View!B52,Well_Data_NK_Upcoming!Concatenated_Wellname,0))=0,"",INDEX(Well_Data_NK_Upcoming!$L$2:$L$996,MATCH(Rig_Schedule_View!B52,Well_Data_NK_Upcoming!Concatenated_Wellname,0)))</f>
        <v/>
      </c>
      <c r="G52" s="421" t="str">
        <f ca="1">IF(INDEX(Well_Data_NK_Upcoming!$R$2:$R$996,MATCH(Rig_Schedule_View!B52,Well_Data_NK_Upcoming!Concatenated_Wellname,0))=0,"",INDEX(Well_Data_NK_Upcoming!$R$2:$R$996,MATCH(Rig_Schedule_View!B52,Well_Data_NK_Upcoming!Concatenated_Wellname,0)))</f>
        <v/>
      </c>
      <c r="H52" s="74"/>
      <c r="I52" s="443" t="str">
        <f ca="1">RigScheduleTest!$AD$5</f>
        <v/>
      </c>
      <c r="J52" s="443" t="str">
        <f ca="1">RigScheduleTest!$AE$5</f>
        <v/>
      </c>
      <c r="K52" s="413"/>
      <c r="L52" s="552"/>
      <c r="M52" s="549"/>
      <c r="N52" s="550"/>
      <c r="O52" s="550"/>
      <c r="P52" s="551"/>
    </row>
    <row r="53" spans="1:17" x14ac:dyDescent="0.25">
      <c r="A53" s="442" t="str">
        <f>RigScheduleTest!$B$5</f>
        <v>KDC-28</v>
      </c>
      <c r="B53" s="442" t="str">
        <f ca="1">RigScheduleTest!$AG$5</f>
        <v/>
      </c>
      <c r="C53" s="421" t="str">
        <f ca="1">IF(INDEX(Well_Data_NK_Upcoming!$G$2:$G$996,MATCH(Rig_Schedule_View!B53,Well_Data_NK_Upcoming!Concatenated_Wellname,0))=0,"",INDEX(Well_Data_NK_Upcoming!$G$2:$G$996,MATCH(Rig_Schedule_View!B53,Well_Data_NK_Upcoming!Concatenated_Wellname,0)))</f>
        <v/>
      </c>
      <c r="D53" s="421" t="str">
        <f ca="1">IF(INDEX(Well_Data_NK_Upcoming!$K$2:$K$996,MATCH(Rig_Schedule_View!B53,Well_Data_NK_Upcoming!Concatenated_Wellname,0))=0,"",INDEX(Well_Data_NK_Upcoming!$K$2:$K$996,MATCH(Rig_Schedule_View!B53,Well_Data_NK_Upcoming!Concatenated_Wellname,0)))</f>
        <v/>
      </c>
      <c r="E53" s="421" t="str">
        <f ca="1">IF(INDEX(Well_Data_NK_Upcoming!$J$2:$J$996,MATCH(Rig_Schedule_View!B53,Well_Data_NK_Upcoming!Concatenated_Wellname,0))=0,"",INDEX(Well_Data_NK_Upcoming!$J$2:$J$996,MATCH(Rig_Schedule_View!B53,Well_Data_NK_Upcoming!Concatenated_Wellname,0)))</f>
        <v/>
      </c>
      <c r="F53" s="421" t="str">
        <f ca="1">IF(INDEX(Well_Data_NK_Upcoming!$L$2:$L$996,MATCH(Rig_Schedule_View!B53,Well_Data_NK_Upcoming!Concatenated_Wellname,0))=0,"",INDEX(Well_Data_NK_Upcoming!$L$2:$L$996,MATCH(Rig_Schedule_View!B53,Well_Data_NK_Upcoming!Concatenated_Wellname,0)))</f>
        <v/>
      </c>
      <c r="G53" s="421" t="str">
        <f ca="1">IF(INDEX(Well_Data_NK_Upcoming!$R$2:$R$996,MATCH(Rig_Schedule_View!B53,Well_Data_NK_Upcoming!Concatenated_Wellname,0))=0,"",INDEX(Well_Data_NK_Upcoming!$R$2:$R$996,MATCH(Rig_Schedule_View!B53,Well_Data_NK_Upcoming!Concatenated_Wellname,0)))</f>
        <v/>
      </c>
      <c r="H53" s="74"/>
      <c r="I53" s="443" t="str">
        <f ca="1">RigScheduleTest!$AJ$5</f>
        <v/>
      </c>
      <c r="J53" s="443" t="str">
        <f ca="1">RigScheduleTest!$AK$5</f>
        <v/>
      </c>
      <c r="K53" s="413"/>
      <c r="L53" s="552"/>
      <c r="M53" s="549"/>
      <c r="N53" s="550"/>
      <c r="O53" s="550"/>
      <c r="P53" s="551"/>
    </row>
    <row r="54" spans="1:17" x14ac:dyDescent="0.25">
      <c r="A54" s="442" t="str">
        <f>RigScheduleTest!$B$5</f>
        <v>KDC-28</v>
      </c>
      <c r="B54" s="442" t="str">
        <f ca="1">RigScheduleTest!$AM$5</f>
        <v/>
      </c>
      <c r="C54" s="421" t="str">
        <f ca="1">IF(INDEX(Well_Data_NK_Upcoming!$G$2:$G$996,MATCH(Rig_Schedule_View!B54,Well_Data_NK_Upcoming!Concatenated_Wellname,0))=0,"",INDEX(Well_Data_NK_Upcoming!$G$2:$G$996,MATCH(Rig_Schedule_View!B54,Well_Data_NK_Upcoming!Concatenated_Wellname,0)))</f>
        <v/>
      </c>
      <c r="D54" s="421" t="str">
        <f ca="1">IF(INDEX(Well_Data_NK_Upcoming!$K$2:$K$996,MATCH(Rig_Schedule_View!B54,Well_Data_NK_Upcoming!Concatenated_Wellname,0))=0,"",INDEX(Well_Data_NK_Upcoming!$K$2:$K$996,MATCH(Rig_Schedule_View!B54,Well_Data_NK_Upcoming!Concatenated_Wellname,0)))</f>
        <v/>
      </c>
      <c r="E54" s="421" t="str">
        <f ca="1">IF(INDEX(Well_Data_NK_Upcoming!$J$2:$J$996,MATCH(Rig_Schedule_View!B54,Well_Data_NK_Upcoming!Concatenated_Wellname,0))=0,"",INDEX(Well_Data_NK_Upcoming!$J$2:$J$996,MATCH(Rig_Schedule_View!B54,Well_Data_NK_Upcoming!Concatenated_Wellname,0)))</f>
        <v/>
      </c>
      <c r="F54" s="421" t="str">
        <f ca="1">IF(INDEX(Well_Data_NK_Upcoming!$L$2:$L$996,MATCH(Rig_Schedule_View!B54,Well_Data_NK_Upcoming!Concatenated_Wellname,0))=0,"",INDEX(Well_Data_NK_Upcoming!$L$2:$L$996,MATCH(Rig_Schedule_View!B54,Well_Data_NK_Upcoming!Concatenated_Wellname,0)))</f>
        <v/>
      </c>
      <c r="G54" s="421" t="str">
        <f ca="1">IF(INDEX(Well_Data_NK_Upcoming!$R$2:$R$996,MATCH(Rig_Schedule_View!B54,Well_Data_NK_Upcoming!Concatenated_Wellname,0))=0,"",INDEX(Well_Data_NK_Upcoming!$R$2:$R$996,MATCH(Rig_Schedule_View!B54,Well_Data_NK_Upcoming!Concatenated_Wellname,0)))</f>
        <v/>
      </c>
      <c r="H54" s="74"/>
      <c r="I54" s="443" t="str">
        <f ca="1">RigScheduleTest!$AP$5</f>
        <v/>
      </c>
      <c r="J54" s="443" t="str">
        <f ca="1">RigScheduleTest!$AQ$5</f>
        <v/>
      </c>
      <c r="K54" s="413"/>
      <c r="L54" s="552"/>
      <c r="M54" s="549"/>
      <c r="N54" s="550"/>
      <c r="O54" s="550"/>
      <c r="P54" s="551"/>
    </row>
    <row r="55" spans="1:17" x14ac:dyDescent="0.25">
      <c r="A55" s="442" t="str">
        <f>RigScheduleTest!$B$5</f>
        <v>KDC-28</v>
      </c>
      <c r="B55" s="442" t="str">
        <f ca="1">RigScheduleTest!$AS$5</f>
        <v/>
      </c>
      <c r="C55" s="421" t="str">
        <f ca="1">IF(INDEX(Well_Data_NK_Upcoming!$G$2:$G$996,MATCH(Rig_Schedule_View!B55,Well_Data_NK_Upcoming!Concatenated_Wellname,0))=0,"",INDEX(Well_Data_NK_Upcoming!$G$2:$G$996,MATCH(Rig_Schedule_View!B55,Well_Data_NK_Upcoming!Concatenated_Wellname,0)))</f>
        <v/>
      </c>
      <c r="D55" s="421" t="str">
        <f ca="1">IF(INDEX(Well_Data_NK_Upcoming!$K$2:$K$996,MATCH(Rig_Schedule_View!B55,Well_Data_NK_Upcoming!Concatenated_Wellname,0))=0,"",INDEX(Well_Data_NK_Upcoming!$K$2:$K$996,MATCH(Rig_Schedule_View!B55,Well_Data_NK_Upcoming!Concatenated_Wellname,0)))</f>
        <v/>
      </c>
      <c r="E55" s="421" t="str">
        <f ca="1">IF(INDEX(Well_Data_NK_Upcoming!$J$2:$J$996,MATCH(Rig_Schedule_View!B55,Well_Data_NK_Upcoming!Concatenated_Wellname,0))=0,"",INDEX(Well_Data_NK_Upcoming!$J$2:$J$996,MATCH(Rig_Schedule_View!B55,Well_Data_NK_Upcoming!Concatenated_Wellname,0)))</f>
        <v/>
      </c>
      <c r="F55" s="421" t="str">
        <f ca="1">IF(INDEX(Well_Data_NK_Upcoming!$L$2:$L$996,MATCH(Rig_Schedule_View!B55,Well_Data_NK_Upcoming!Concatenated_Wellname,0))=0,"",INDEX(Well_Data_NK_Upcoming!$L$2:$L$996,MATCH(Rig_Schedule_View!B55,Well_Data_NK_Upcoming!Concatenated_Wellname,0)))</f>
        <v/>
      </c>
      <c r="G55" s="421" t="str">
        <f ca="1">IF(INDEX(Well_Data_NK_Upcoming!$R$2:$R$996,MATCH(Rig_Schedule_View!B55,Well_Data_NK_Upcoming!Concatenated_Wellname,0))=0,"",INDEX(Well_Data_NK_Upcoming!$R$2:$R$996,MATCH(Rig_Schedule_View!B55,Well_Data_NK_Upcoming!Concatenated_Wellname,0)))</f>
        <v/>
      </c>
      <c r="H55" s="74"/>
      <c r="I55" s="443" t="str">
        <f ca="1">RigScheduleTest!$AV$5</f>
        <v/>
      </c>
      <c r="J55" s="443" t="str">
        <f ca="1">RigScheduleTest!$AW$5</f>
        <v/>
      </c>
      <c r="K55" s="413"/>
      <c r="L55" s="552"/>
      <c r="M55" s="549"/>
      <c r="N55" s="550"/>
      <c r="O55" s="550"/>
      <c r="P55" s="551"/>
    </row>
    <row r="56" spans="1:17" x14ac:dyDescent="0.25">
      <c r="A56" s="442" t="str">
        <f>RigScheduleTest!$B$5</f>
        <v>KDC-28</v>
      </c>
      <c r="B56" s="442" t="str">
        <f ca="1">RigScheduleTest!$AY$5</f>
        <v/>
      </c>
      <c r="C56" s="421" t="str">
        <f ca="1">IF(INDEX(Well_Data_NK_Upcoming!$G$2:$G$996,MATCH(Rig_Schedule_View!B56,Well_Data_NK_Upcoming!Concatenated_Wellname,0))=0,"",INDEX(Well_Data_NK_Upcoming!$G$2:$G$996,MATCH(Rig_Schedule_View!B56,Well_Data_NK_Upcoming!Concatenated_Wellname,0)))</f>
        <v/>
      </c>
      <c r="D56" s="421" t="str">
        <f ca="1">IF(INDEX(Well_Data_NK_Upcoming!$K$2:$K$996,MATCH(Rig_Schedule_View!B56,Well_Data_NK_Upcoming!Concatenated_Wellname,0))=0,"",INDEX(Well_Data_NK_Upcoming!$K$2:$K$996,MATCH(Rig_Schedule_View!B56,Well_Data_NK_Upcoming!Concatenated_Wellname,0)))</f>
        <v/>
      </c>
      <c r="E56" s="421" t="str">
        <f ca="1">IF(INDEX(Well_Data_NK_Upcoming!$J$2:$J$996,MATCH(Rig_Schedule_View!B56,Well_Data_NK_Upcoming!Concatenated_Wellname,0))=0,"",INDEX(Well_Data_NK_Upcoming!$J$2:$J$996,MATCH(Rig_Schedule_View!B56,Well_Data_NK_Upcoming!Concatenated_Wellname,0)))</f>
        <v/>
      </c>
      <c r="F56" s="421" t="str">
        <f ca="1">IF(INDEX(Well_Data_NK_Upcoming!$L$2:$L$996,MATCH(Rig_Schedule_View!B56,Well_Data_NK_Upcoming!Concatenated_Wellname,0))=0,"",INDEX(Well_Data_NK_Upcoming!$L$2:$L$996,MATCH(Rig_Schedule_View!B56,Well_Data_NK_Upcoming!Concatenated_Wellname,0)))</f>
        <v/>
      </c>
      <c r="G56" s="421" t="str">
        <f ca="1">IF(INDEX(Well_Data_NK_Upcoming!$R$2:$R$996,MATCH(Rig_Schedule_View!B56,Well_Data_NK_Upcoming!Concatenated_Wellname,0))=0,"",INDEX(Well_Data_NK_Upcoming!$R$2:$R$996,MATCH(Rig_Schedule_View!B56,Well_Data_NK_Upcoming!Concatenated_Wellname,0)))</f>
        <v/>
      </c>
      <c r="H56" s="74"/>
      <c r="I56" s="443" t="str">
        <f ca="1">RigScheduleTest!$BB$5</f>
        <v/>
      </c>
      <c r="J56" s="443" t="str">
        <f ca="1">RigScheduleTest!$BC$5</f>
        <v/>
      </c>
      <c r="K56" s="413"/>
      <c r="L56" s="552"/>
      <c r="M56" s="549"/>
      <c r="N56" s="550"/>
      <c r="O56" s="550"/>
      <c r="P56" s="551"/>
    </row>
    <row r="57" spans="1:17" x14ac:dyDescent="0.25">
      <c r="A57" s="442" t="str">
        <f>RigScheduleTest!$B$5</f>
        <v>KDC-28</v>
      </c>
      <c r="B57" s="442" t="str">
        <f ca="1">RigScheduleTest!$BE$5</f>
        <v/>
      </c>
      <c r="C57" s="421" t="str">
        <f ca="1">IF(INDEX(Well_Data_NK_Upcoming!$G$2:$G$996,MATCH(Rig_Schedule_View!B57,Well_Data_NK_Upcoming!Concatenated_Wellname,0))=0,"",INDEX(Well_Data_NK_Upcoming!$G$2:$G$996,MATCH(Rig_Schedule_View!B57,Well_Data_NK_Upcoming!Concatenated_Wellname,0)))</f>
        <v/>
      </c>
      <c r="D57" s="421" t="str">
        <f ca="1">IF(INDEX(Well_Data_NK_Upcoming!$K$2:$K$996,MATCH(Rig_Schedule_View!B57,Well_Data_NK_Upcoming!Concatenated_Wellname,0))=0,"",INDEX(Well_Data_NK_Upcoming!$K$2:$K$996,MATCH(Rig_Schedule_View!B57,Well_Data_NK_Upcoming!Concatenated_Wellname,0)))</f>
        <v/>
      </c>
      <c r="E57" s="421" t="str">
        <f ca="1">IF(INDEX(Well_Data_NK_Upcoming!$J$2:$J$996,MATCH(Rig_Schedule_View!B57,Well_Data_NK_Upcoming!Concatenated_Wellname,0))=0,"",INDEX(Well_Data_NK_Upcoming!$J$2:$J$996,MATCH(Rig_Schedule_View!B57,Well_Data_NK_Upcoming!Concatenated_Wellname,0)))</f>
        <v/>
      </c>
      <c r="F57" s="421" t="str">
        <f ca="1">IF(INDEX(Well_Data_NK_Upcoming!$L$2:$L$996,MATCH(Rig_Schedule_View!B57,Well_Data_NK_Upcoming!Concatenated_Wellname,0))=0,"",INDEX(Well_Data_NK_Upcoming!$L$2:$L$996,MATCH(Rig_Schedule_View!B57,Well_Data_NK_Upcoming!Concatenated_Wellname,0)))</f>
        <v/>
      </c>
      <c r="G57" s="421" t="str">
        <f ca="1">IF(INDEX(Well_Data_NK_Upcoming!$R$2:$R$996,MATCH(Rig_Schedule_View!B57,Well_Data_NK_Upcoming!Concatenated_Wellname,0))=0,"",INDEX(Well_Data_NK_Upcoming!$R$2:$R$996,MATCH(Rig_Schedule_View!B57,Well_Data_NK_Upcoming!Concatenated_Wellname,0)))</f>
        <v/>
      </c>
      <c r="H57" s="74"/>
      <c r="I57" s="443" t="str">
        <f ca="1">RigScheduleTest!$BH$5</f>
        <v/>
      </c>
      <c r="J57" s="443" t="str">
        <f ca="1">RigScheduleTest!$BI$5</f>
        <v/>
      </c>
      <c r="K57" s="413"/>
      <c r="L57" s="552"/>
      <c r="M57" s="549"/>
      <c r="N57" s="550"/>
      <c r="O57" s="550"/>
      <c r="P57" s="551"/>
    </row>
    <row r="58" spans="1:17" x14ac:dyDescent="0.25">
      <c r="A58" s="442" t="str">
        <f>RigScheduleTest!$B$5</f>
        <v>KDC-28</v>
      </c>
      <c r="B58" s="442" t="str">
        <f ca="1">RigScheduleTest!$BK$5</f>
        <v/>
      </c>
      <c r="C58" s="421" t="str">
        <f ca="1">IF(INDEX(Well_Data_NK_Upcoming!$G$2:$G$996,MATCH(Rig_Schedule_View!B58,Well_Data_NK_Upcoming!Concatenated_Wellname,0))=0,"",INDEX(Well_Data_NK_Upcoming!$G$2:$G$996,MATCH(Rig_Schedule_View!B58,Well_Data_NK_Upcoming!Concatenated_Wellname,0)))</f>
        <v/>
      </c>
      <c r="D58" s="421" t="str">
        <f ca="1">IF(INDEX(Well_Data_NK_Upcoming!$K$2:$K$996,MATCH(Rig_Schedule_View!B58,Well_Data_NK_Upcoming!Concatenated_Wellname,0))=0,"",INDEX(Well_Data_NK_Upcoming!$K$2:$K$996,MATCH(Rig_Schedule_View!B58,Well_Data_NK_Upcoming!Concatenated_Wellname,0)))</f>
        <v/>
      </c>
      <c r="E58" s="421" t="str">
        <f ca="1">IF(INDEX(Well_Data_NK_Upcoming!$J$2:$J$996,MATCH(Rig_Schedule_View!B58,Well_Data_NK_Upcoming!Concatenated_Wellname,0))=0,"",INDEX(Well_Data_NK_Upcoming!$J$2:$J$996,MATCH(Rig_Schedule_View!B58,Well_Data_NK_Upcoming!Concatenated_Wellname,0)))</f>
        <v/>
      </c>
      <c r="F58" s="421" t="str">
        <f ca="1">IF(INDEX(Well_Data_NK_Upcoming!$L$2:$L$996,MATCH(Rig_Schedule_View!B58,Well_Data_NK_Upcoming!Concatenated_Wellname,0))=0,"",INDEX(Well_Data_NK_Upcoming!$L$2:$L$996,MATCH(Rig_Schedule_View!B58,Well_Data_NK_Upcoming!Concatenated_Wellname,0)))</f>
        <v/>
      </c>
      <c r="G58" s="421" t="str">
        <f ca="1">IF(INDEX(Well_Data_NK_Upcoming!$R$2:$R$996,MATCH(Rig_Schedule_View!B58,Well_Data_NK_Upcoming!Concatenated_Wellname,0))=0,"",INDEX(Well_Data_NK_Upcoming!$R$2:$R$996,MATCH(Rig_Schedule_View!B58,Well_Data_NK_Upcoming!Concatenated_Wellname,0)))</f>
        <v/>
      </c>
      <c r="H58" s="74"/>
      <c r="I58" s="443" t="str">
        <f ca="1">RigScheduleTest!$BN$5</f>
        <v/>
      </c>
      <c r="J58" s="443" t="str">
        <f ca="1">RigScheduleTest!$BO$5</f>
        <v/>
      </c>
      <c r="K58" s="413"/>
      <c r="L58" s="552"/>
      <c r="M58" s="549"/>
      <c r="N58" s="550"/>
      <c r="O58" s="550"/>
      <c r="P58" s="551"/>
    </row>
    <row r="59" spans="1:17" x14ac:dyDescent="0.25">
      <c r="A59" s="437" t="str">
        <f>RigScheduleTest!$B$1</f>
        <v>RIG</v>
      </c>
      <c r="B59" s="437" t="str">
        <f>$K$1</f>
        <v>Development Drilling</v>
      </c>
      <c r="C59" s="437" t="s">
        <v>1831</v>
      </c>
      <c r="D59" s="437" t="s">
        <v>867</v>
      </c>
      <c r="E59" s="437" t="s">
        <v>8</v>
      </c>
      <c r="F59" s="437" t="s">
        <v>2</v>
      </c>
      <c r="G59" s="437" t="s">
        <v>1513</v>
      </c>
      <c r="H59" s="438" t="str">
        <f>$K$3</f>
        <v>Rig Deployment Meeting</v>
      </c>
      <c r="I59" s="439" t="str">
        <f>$K$5</f>
        <v>Start</v>
      </c>
      <c r="J59" s="439" t="str">
        <f>$K$6</f>
        <v>End</v>
      </c>
      <c r="K59" s="444" t="s">
        <v>1068</v>
      </c>
      <c r="L59" s="444" t="s">
        <v>1577</v>
      </c>
      <c r="M59" s="496" t="s">
        <v>1934</v>
      </c>
      <c r="N59" s="504" t="s">
        <v>1940</v>
      </c>
      <c r="O59" s="504" t="s">
        <v>1941</v>
      </c>
      <c r="P59" s="502"/>
    </row>
    <row r="60" spans="1:17" x14ac:dyDescent="0.25">
      <c r="A60" s="442" t="str">
        <f>RigScheduleTest!$B$6</f>
        <v>KDC-44</v>
      </c>
      <c r="B60" s="421" t="str">
        <f ca="1">RigScheduleTest!$D$6</f>
        <v>ETA-OCT</v>
      </c>
      <c r="C60" s="421" t="str">
        <f ca="1">IF(INDEX(Well_Data_NK_Upcoming!$G$2:$G$996,MATCH(Rig_Schedule_View!B60,Well_Data_NK_Upcoming!Concatenated_Wellname,0))=0,"",INDEX(Well_Data_NK_Upcoming!$G$2:$G$996,MATCH(Rig_Schedule_View!B60,Well_Data_NK_Upcoming!Concatenated_Wellname,0)))</f>
        <v/>
      </c>
      <c r="D60" s="421" t="str">
        <f ca="1">IF(INDEX(Well_Data_NK_Upcoming!$K$2:$K$996,MATCH(Rig_Schedule_View!B60,Well_Data_NK_Upcoming!Concatenated_Wellname,0))=0,"",INDEX(Well_Data_NK_Upcoming!$K$2:$K$996,MATCH(Rig_Schedule_View!B60,Well_Data_NK_Upcoming!Concatenated_Wellname,0)))</f>
        <v/>
      </c>
      <c r="E60" s="421" t="str">
        <f ca="1">IF(INDEX(Well_Data_NK_Upcoming!$J$2:$J$996,MATCH(Rig_Schedule_View!B60,Well_Data_NK_Upcoming!Concatenated_Wellname,0))=0,"",INDEX(Well_Data_NK_Upcoming!$J$2:$J$996,MATCH(Rig_Schedule_View!B60,Well_Data_NK_Upcoming!Concatenated_Wellname,0)))</f>
        <v/>
      </c>
      <c r="F60" s="421" t="str">
        <f ca="1">IF(INDEX(Well_Data_NK_Upcoming!$L$2:$L$996,MATCH(Rig_Schedule_View!B60,Well_Data_NK_Upcoming!Concatenated_Wellname,0))=0,"",INDEX(Well_Data_NK_Upcoming!$L$2:$L$996,MATCH(Rig_Schedule_View!B60,Well_Data_NK_Upcoming!Concatenated_Wellname,0)))</f>
        <v/>
      </c>
      <c r="G60" s="421" t="str">
        <f ca="1">IF(INDEX(Well_Data_NK_Upcoming!$R$2:$R$996,MATCH(Rig_Schedule_View!B60,Well_Data_NK_Upcoming!Concatenated_Wellname,0))=0,"",INDEX(Well_Data_NK_Upcoming!$R$2:$R$996,MATCH(Rig_Schedule_View!B60,Well_Data_NK_Upcoming!Concatenated_Wellname,0)))</f>
        <v/>
      </c>
      <c r="H60" s="74">
        <f>RigScheduleTest!$F$6</f>
        <v>42233</v>
      </c>
      <c r="I60" s="459" t="str">
        <f ca="1">IF(INDEX(Well_Data_NK_Upcoming!$O$2:$O$996,MATCH(Rig_Schedule_View!B60,Well_Data_NK_Upcoming!Concatenated_Wellname,0))=0,"",INDEX(Well_Data_NK_Upcoming!$O$2:$O$996,MATCH(Rig_Schedule_View!B60,Well_Data_NK_Upcoming!Concatenated_Wellname,0)))</f>
        <v>ETA-OCT</v>
      </c>
      <c r="J60" s="446">
        <f ca="1">RigScheduleTest!$H$6</f>
        <v>42286</v>
      </c>
      <c r="K60" s="493" t="s">
        <v>1917</v>
      </c>
      <c r="L60" s="548" t="s">
        <v>2237</v>
      </c>
      <c r="M60" s="549">
        <v>53</v>
      </c>
      <c r="N60" s="545"/>
      <c r="O60" s="545"/>
      <c r="P60" s="548"/>
      <c r="Q60" s="39"/>
    </row>
    <row r="61" spans="1:17" x14ac:dyDescent="0.25">
      <c r="A61" s="442" t="str">
        <f>RigScheduleTest!$B$6</f>
        <v>KDC-44</v>
      </c>
      <c r="B61" s="441" t="str">
        <f ca="1">RigScheduleTest!$I$6</f>
        <v>SA-0589-SA-MA-Inj-NW-HZ</v>
      </c>
      <c r="C61" s="421" t="str">
        <f ca="1">IF(INDEX(Well_Data_NK_Upcoming!$G$2:$G$996,MATCH(Rig_Schedule_View!B61,Well_Data_NK_Upcoming!Concatenated_Wellname,0))=0,"",INDEX(Well_Data_NK_Upcoming!$G$2:$G$996,MATCH(Rig_Schedule_View!B61,Well_Data_NK_Upcoming!Concatenated_Wellname,0)))</f>
        <v>MA</v>
      </c>
      <c r="D61" s="421" t="str">
        <f ca="1">IF(INDEX(Well_Data_NK_Upcoming!$K$2:$K$996,MATCH(Rig_Schedule_View!B61,Well_Data_NK_Upcoming!Concatenated_Wellname,0))=0,"",INDEX(Well_Data_NK_Upcoming!$K$2:$K$996,MATCH(Rig_Schedule_View!B61,Well_Data_NK_Upcoming!Concatenated_Wellname,0)))</f>
        <v>NW</v>
      </c>
      <c r="E61" s="421" t="str">
        <f ca="1">IF(INDEX(Well_Data_NK_Upcoming!$J$2:$J$996,MATCH(Rig_Schedule_View!B61,Well_Data_NK_Upcoming!Concatenated_Wellname,0))=0,"",INDEX(Well_Data_NK_Upcoming!$J$2:$J$996,MATCH(Rig_Schedule_View!B61,Well_Data_NK_Upcoming!Concatenated_Wellname,0)))</f>
        <v>Inj</v>
      </c>
      <c r="F61" s="421" t="str">
        <f ca="1">IF(INDEX(Well_Data_NK_Upcoming!$L$2:$L$996,MATCH(Rig_Schedule_View!B61,Well_Data_NK_Upcoming!Concatenated_Wellname,0))=0,"",INDEX(Well_Data_NK_Upcoming!$L$2:$L$996,MATCH(Rig_Schedule_View!B61,Well_Data_NK_Upcoming!Concatenated_Wellname,0)))</f>
        <v>HZ</v>
      </c>
      <c r="G61" s="421">
        <f ca="1">IF(INDEX(Well_Data_NK_Upcoming!$R$2:$R$996,MATCH(Rig_Schedule_View!B61,Well_Data_NK_Upcoming!Concatenated_Wellname,0))=0,"",INDEX(Well_Data_NK_Upcoming!$R$2:$R$996,MATCH(Rig_Schedule_View!B61,Well_Data_NK_Upcoming!Concatenated_Wellname,0)))</f>
        <v>68</v>
      </c>
      <c r="H61" s="74"/>
      <c r="I61" s="440">
        <f ca="1">RigScheduleTest!$L$6</f>
        <v>42291</v>
      </c>
      <c r="J61" s="440">
        <f ca="1">RigScheduleTest!$M$6</f>
        <v>42354</v>
      </c>
      <c r="K61" s="413"/>
      <c r="L61" s="546"/>
      <c r="M61" s="544"/>
      <c r="N61" s="545"/>
      <c r="O61" s="545"/>
      <c r="P61" s="551"/>
    </row>
    <row r="62" spans="1:17" x14ac:dyDescent="0.25">
      <c r="A62" s="442" t="str">
        <f>RigScheduleTest!$B$6</f>
        <v>KDC-44</v>
      </c>
      <c r="B62" s="441" t="str">
        <f ca="1">RigScheduleTest!$O$6</f>
        <v>RA-0594-RA-ZU-Prod-NW-HZ</v>
      </c>
      <c r="C62" s="421" t="str">
        <f ca="1">IF(INDEX(Well_Data_NK_Upcoming!$G$2:$G$996,MATCH(Rig_Schedule_View!B62,Well_Data_NK_Upcoming!Concatenated_Wellname,0))=0,"",INDEX(Well_Data_NK_Upcoming!$G$2:$G$996,MATCH(Rig_Schedule_View!B62,Well_Data_NK_Upcoming!Concatenated_Wellname,0)))</f>
        <v>ZU</v>
      </c>
      <c r="D62" s="421" t="str">
        <f ca="1">IF(INDEX(Well_Data_NK_Upcoming!$K$2:$K$996,MATCH(Rig_Schedule_View!B62,Well_Data_NK_Upcoming!Concatenated_Wellname,0))=0,"",INDEX(Well_Data_NK_Upcoming!$K$2:$K$996,MATCH(Rig_Schedule_View!B62,Well_Data_NK_Upcoming!Concatenated_Wellname,0)))</f>
        <v>NW</v>
      </c>
      <c r="E62" s="421" t="str">
        <f ca="1">IF(INDEX(Well_Data_NK_Upcoming!$J$2:$J$996,MATCH(Rig_Schedule_View!B62,Well_Data_NK_Upcoming!Concatenated_Wellname,0))=0,"",INDEX(Well_Data_NK_Upcoming!$J$2:$J$996,MATCH(Rig_Schedule_View!B62,Well_Data_NK_Upcoming!Concatenated_Wellname,0)))</f>
        <v>Prod</v>
      </c>
      <c r="F62" s="421" t="str">
        <f ca="1">IF(INDEX(Well_Data_NK_Upcoming!$L$2:$L$996,MATCH(Rig_Schedule_View!B62,Well_Data_NK_Upcoming!Concatenated_Wellname,0))=0,"",INDEX(Well_Data_NK_Upcoming!$L$2:$L$996,MATCH(Rig_Schedule_View!B62,Well_Data_NK_Upcoming!Concatenated_Wellname,0)))</f>
        <v>HZ</v>
      </c>
      <c r="G62" s="421">
        <f ca="1">IF(INDEX(Well_Data_NK_Upcoming!$R$2:$R$996,MATCH(Rig_Schedule_View!B62,Well_Data_NK_Upcoming!Concatenated_Wellname,0))=0,"",INDEX(Well_Data_NK_Upcoming!$R$2:$R$996,MATCH(Rig_Schedule_View!B62,Well_Data_NK_Upcoming!Concatenated_Wellname,0)))</f>
        <v>103</v>
      </c>
      <c r="H62" s="74"/>
      <c r="I62" s="440">
        <f ca="1">RigScheduleTest!$R$6</f>
        <v>42359</v>
      </c>
      <c r="J62" s="440">
        <f ca="1">RigScheduleTest!$S$6</f>
        <v>42457</v>
      </c>
      <c r="K62" s="413"/>
      <c r="L62" s="546"/>
      <c r="M62" s="544"/>
      <c r="N62" s="545"/>
      <c r="O62" s="545"/>
      <c r="P62" s="551"/>
    </row>
    <row r="63" spans="1:17" x14ac:dyDescent="0.25">
      <c r="A63" s="442" t="str">
        <f>RigScheduleTest!$B$6</f>
        <v>KDC-44</v>
      </c>
      <c r="B63" s="442" t="str">
        <f ca="1">RigScheduleTest!$U$6</f>
        <v>RQ-0181-RQ-ZU-Prod-NW</v>
      </c>
      <c r="C63" s="421" t="str">
        <f ca="1">IF(INDEX(Well_Data_NK_Upcoming!$G$2:$G$996,MATCH(Rig_Schedule_View!B63,Well_Data_NK_Upcoming!Concatenated_Wellname,0))=0,"",INDEX(Well_Data_NK_Upcoming!$G$2:$G$996,MATCH(Rig_Schedule_View!B63,Well_Data_NK_Upcoming!Concatenated_Wellname,0)))</f>
        <v>ZU</v>
      </c>
      <c r="D63" s="421" t="str">
        <f ca="1">IF(INDEX(Well_Data_NK_Upcoming!$K$2:$K$996,MATCH(Rig_Schedule_View!B63,Well_Data_NK_Upcoming!Concatenated_Wellname,0))=0,"",INDEX(Well_Data_NK_Upcoming!$K$2:$K$996,MATCH(Rig_Schedule_View!B63,Well_Data_NK_Upcoming!Concatenated_Wellname,0)))</f>
        <v>NW</v>
      </c>
      <c r="E63" s="421" t="str">
        <f ca="1">IF(INDEX(Well_Data_NK_Upcoming!$J$2:$J$996,MATCH(Rig_Schedule_View!B63,Well_Data_NK_Upcoming!Concatenated_Wellname,0))=0,"",INDEX(Well_Data_NK_Upcoming!$J$2:$J$996,MATCH(Rig_Schedule_View!B63,Well_Data_NK_Upcoming!Concatenated_Wellname,0)))</f>
        <v>Prod</v>
      </c>
      <c r="F63" s="421" t="str">
        <f ca="1">IF(INDEX(Well_Data_NK_Upcoming!$L$2:$L$996,MATCH(Rig_Schedule_View!B63,Well_Data_NK_Upcoming!Concatenated_Wellname,0))=0,"",INDEX(Well_Data_NK_Upcoming!$L$2:$L$996,MATCH(Rig_Schedule_View!B63,Well_Data_NK_Upcoming!Concatenated_Wellname,0)))</f>
        <v/>
      </c>
      <c r="G63" s="421">
        <f ca="1">IF(INDEX(Well_Data_NK_Upcoming!$R$2:$R$996,MATCH(Rig_Schedule_View!B63,Well_Data_NK_Upcoming!Concatenated_Wellname,0))=0,"",INDEX(Well_Data_NK_Upcoming!$R$2:$R$996,MATCH(Rig_Schedule_View!B63,Well_Data_NK_Upcoming!Concatenated_Wellname,0)))</f>
        <v>103</v>
      </c>
      <c r="H63" s="74"/>
      <c r="I63" s="443">
        <f ca="1">RigScheduleTest!$X$6</f>
        <v>42462</v>
      </c>
      <c r="J63" s="443">
        <f ca="1">RigScheduleTest!$Y$6</f>
        <v>42560</v>
      </c>
      <c r="K63" s="413"/>
      <c r="L63" s="546" t="s">
        <v>2406</v>
      </c>
      <c r="M63" s="544"/>
      <c r="N63" s="545"/>
      <c r="O63" s="545"/>
      <c r="P63" s="551"/>
    </row>
    <row r="64" spans="1:17" x14ac:dyDescent="0.25">
      <c r="A64" s="442" t="str">
        <f>RigScheduleTest!$B$6</f>
        <v>KDC-44</v>
      </c>
      <c r="B64" s="442" t="str">
        <f ca="1">RigScheduleTest!$AA$6</f>
        <v>Rig-mov-exploration</v>
      </c>
      <c r="C64" s="421" t="str">
        <f ca="1">IF(INDEX(Well_Data_NK_Upcoming!$G$2:$G$996,MATCH(Rig_Schedule_View!B64,Well_Data_NK_Upcoming!Concatenated_Wellname,0))=0,"",INDEX(Well_Data_NK_Upcoming!$G$2:$G$996,MATCH(Rig_Schedule_View!B64,Well_Data_NK_Upcoming!Concatenated_Wellname,0)))</f>
        <v/>
      </c>
      <c r="D64" s="421" t="str">
        <f ca="1">IF(INDEX(Well_Data_NK_Upcoming!$K$2:$K$996,MATCH(Rig_Schedule_View!B64,Well_Data_NK_Upcoming!Concatenated_Wellname,0))=0,"",INDEX(Well_Data_NK_Upcoming!$K$2:$K$996,MATCH(Rig_Schedule_View!B64,Well_Data_NK_Upcoming!Concatenated_Wellname,0)))</f>
        <v/>
      </c>
      <c r="E64" s="421" t="str">
        <f ca="1">IF(INDEX(Well_Data_NK_Upcoming!$J$2:$J$996,MATCH(Rig_Schedule_View!B64,Well_Data_NK_Upcoming!Concatenated_Wellname,0))=0,"",INDEX(Well_Data_NK_Upcoming!$J$2:$J$996,MATCH(Rig_Schedule_View!B64,Well_Data_NK_Upcoming!Concatenated_Wellname,0)))</f>
        <v/>
      </c>
      <c r="F64" s="421" t="str">
        <f ca="1">IF(INDEX(Well_Data_NK_Upcoming!$L$2:$L$996,MATCH(Rig_Schedule_View!B64,Well_Data_NK_Upcoming!Concatenated_Wellname,0))=0,"",INDEX(Well_Data_NK_Upcoming!$L$2:$L$996,MATCH(Rig_Schedule_View!B64,Well_Data_NK_Upcoming!Concatenated_Wellname,0)))</f>
        <v/>
      </c>
      <c r="G64" s="421" t="str">
        <f ca="1">IF(INDEX(Well_Data_NK_Upcoming!$R$2:$R$996,MATCH(Rig_Schedule_View!B64,Well_Data_NK_Upcoming!Concatenated_Wellname,0))=0,"",INDEX(Well_Data_NK_Upcoming!$R$2:$R$996,MATCH(Rig_Schedule_View!B64,Well_Data_NK_Upcoming!Concatenated_Wellname,0)))</f>
        <v/>
      </c>
      <c r="H64" s="74"/>
      <c r="I64" s="443" t="str">
        <f ca="1">RigScheduleTest!$AD$6</f>
        <v/>
      </c>
      <c r="J64" s="443" t="str">
        <f ca="1">RigScheduleTest!$AE$6</f>
        <v/>
      </c>
      <c r="K64" s="413"/>
      <c r="L64" s="546"/>
      <c r="M64" s="544"/>
      <c r="N64" s="545"/>
      <c r="O64" s="545"/>
      <c r="P64" s="551"/>
    </row>
    <row r="65" spans="1:16" x14ac:dyDescent="0.25">
      <c r="A65" s="442" t="str">
        <f>RigScheduleTest!$B$6</f>
        <v>KDC-44</v>
      </c>
      <c r="B65" s="442" t="str">
        <f ca="1">RigScheduleTest!$AG$6</f>
        <v>RA13-RA-MA-Prod-NW-HZ-SLB</v>
      </c>
      <c r="C65" s="421" t="str">
        <f ca="1">IF(INDEX(Well_Data_NK_Upcoming!$G$2:$G$996,MATCH(Rig_Schedule_View!B65,Well_Data_NK_Upcoming!Concatenated_Wellname,0))=0,"",INDEX(Well_Data_NK_Upcoming!$G$2:$G$996,MATCH(Rig_Schedule_View!B65,Well_Data_NK_Upcoming!Concatenated_Wellname,0)))</f>
        <v>MA</v>
      </c>
      <c r="D65" s="421" t="str">
        <f ca="1">IF(INDEX(Well_Data_NK_Upcoming!$K$2:$K$996,MATCH(Rig_Schedule_View!B65,Well_Data_NK_Upcoming!Concatenated_Wellname,0))=0,"",INDEX(Well_Data_NK_Upcoming!$K$2:$K$996,MATCH(Rig_Schedule_View!B65,Well_Data_NK_Upcoming!Concatenated_Wellname,0)))</f>
        <v>NW</v>
      </c>
      <c r="E65" s="421" t="str">
        <f ca="1">IF(INDEX(Well_Data_NK_Upcoming!$J$2:$J$996,MATCH(Rig_Schedule_View!B65,Well_Data_NK_Upcoming!Concatenated_Wellname,0))=0,"",INDEX(Well_Data_NK_Upcoming!$J$2:$J$996,MATCH(Rig_Schedule_View!B65,Well_Data_NK_Upcoming!Concatenated_Wellname,0)))</f>
        <v>Prod</v>
      </c>
      <c r="F65" s="421" t="str">
        <f ca="1">IF(INDEX(Well_Data_NK_Upcoming!$L$2:$L$996,MATCH(Rig_Schedule_View!B65,Well_Data_NK_Upcoming!Concatenated_Wellname,0))=0,"",INDEX(Well_Data_NK_Upcoming!$L$2:$L$996,MATCH(Rig_Schedule_View!B65,Well_Data_NK_Upcoming!Concatenated_Wellname,0)))</f>
        <v>HZ</v>
      </c>
      <c r="G65" s="421">
        <f ca="1">IF(INDEX(Well_Data_NK_Upcoming!$R$2:$R$996,MATCH(Rig_Schedule_View!B65,Well_Data_NK_Upcoming!Concatenated_Wellname,0))=0,"",INDEX(Well_Data_NK_Upcoming!$R$2:$R$996,MATCH(Rig_Schedule_View!B65,Well_Data_NK_Upcoming!Concatenated_Wellname,0)))</f>
        <v>75</v>
      </c>
      <c r="H65" s="74"/>
      <c r="I65" s="443" t="str">
        <f ca="1">RigScheduleTest!$AJ$6</f>
        <v/>
      </c>
      <c r="J65" s="443" t="str">
        <f ca="1">RigScheduleTest!$AK$6</f>
        <v/>
      </c>
      <c r="K65" s="413"/>
      <c r="L65" s="546"/>
      <c r="M65" s="544"/>
      <c r="N65" s="545"/>
      <c r="O65" s="545"/>
      <c r="P65" s="551"/>
    </row>
    <row r="66" spans="1:16" x14ac:dyDescent="0.25">
      <c r="A66" s="442" t="str">
        <f>RigScheduleTest!$B$6</f>
        <v>KDC-44</v>
      </c>
      <c r="B66" s="442" t="str">
        <f ca="1">RigScheduleTest!$AM$6</f>
        <v>SA29-SA-RT-Inj-NW-HZ</v>
      </c>
      <c r="C66" s="421" t="str">
        <f ca="1">IF(INDEX(Well_Data_NK_Upcoming!$G$2:$G$996,MATCH(Rig_Schedule_View!B66,Well_Data_NK_Upcoming!Concatenated_Wellname,0))=0,"",INDEX(Well_Data_NK_Upcoming!$G$2:$G$996,MATCH(Rig_Schedule_View!B66,Well_Data_NK_Upcoming!Concatenated_Wellname,0)))</f>
        <v>RT</v>
      </c>
      <c r="D66" s="421" t="str">
        <f ca="1">IF(INDEX(Well_Data_NK_Upcoming!$K$2:$K$996,MATCH(Rig_Schedule_View!B66,Well_Data_NK_Upcoming!Concatenated_Wellname,0))=0,"",INDEX(Well_Data_NK_Upcoming!$K$2:$K$996,MATCH(Rig_Schedule_View!B66,Well_Data_NK_Upcoming!Concatenated_Wellname,0)))</f>
        <v>NW</v>
      </c>
      <c r="E66" s="421" t="str">
        <f ca="1">IF(INDEX(Well_Data_NK_Upcoming!$J$2:$J$996,MATCH(Rig_Schedule_View!B66,Well_Data_NK_Upcoming!Concatenated_Wellname,0))=0,"",INDEX(Well_Data_NK_Upcoming!$J$2:$J$996,MATCH(Rig_Schedule_View!B66,Well_Data_NK_Upcoming!Concatenated_Wellname,0)))</f>
        <v>Inj</v>
      </c>
      <c r="F66" s="421" t="str">
        <f ca="1">IF(INDEX(Well_Data_NK_Upcoming!$L$2:$L$996,MATCH(Rig_Schedule_View!B66,Well_Data_NK_Upcoming!Concatenated_Wellname,0))=0,"",INDEX(Well_Data_NK_Upcoming!$L$2:$L$996,MATCH(Rig_Schedule_View!B66,Well_Data_NK_Upcoming!Concatenated_Wellname,0)))</f>
        <v>HZ</v>
      </c>
      <c r="G66" s="421" t="str">
        <f ca="1">IF(INDEX(Well_Data_NK_Upcoming!$R$2:$R$996,MATCH(Rig_Schedule_View!B66,Well_Data_NK_Upcoming!Concatenated_Wellname,0))=0,"",INDEX(Well_Data_NK_Upcoming!$R$2:$R$996,MATCH(Rig_Schedule_View!B66,Well_Data_NK_Upcoming!Concatenated_Wellname,0)))</f>
        <v/>
      </c>
      <c r="H66" s="74"/>
      <c r="I66" s="443" t="str">
        <f ca="1">RigScheduleTest!$AP$6</f>
        <v/>
      </c>
      <c r="J66" s="443" t="str">
        <f ca="1">RigScheduleTest!$AQ$6</f>
        <v/>
      </c>
      <c r="K66" s="413"/>
      <c r="L66" s="546"/>
      <c r="M66" s="544"/>
      <c r="N66" s="545"/>
      <c r="O66" s="545"/>
      <c r="P66" s="551"/>
    </row>
    <row r="67" spans="1:16" x14ac:dyDescent="0.25">
      <c r="A67" s="442" t="str">
        <f>RigScheduleTest!$B$6</f>
        <v>KDC-44</v>
      </c>
      <c r="B67" s="442" t="str">
        <f ca="1">RigScheduleTest!$AS$6</f>
        <v/>
      </c>
      <c r="C67" s="421" t="str">
        <f ca="1">IF(INDEX(Well_Data_NK_Upcoming!$G$2:$G$996,MATCH(Rig_Schedule_View!B67,Well_Data_NK_Upcoming!Concatenated_Wellname,0))=0,"",INDEX(Well_Data_NK_Upcoming!$G$2:$G$996,MATCH(Rig_Schedule_View!B67,Well_Data_NK_Upcoming!Concatenated_Wellname,0)))</f>
        <v/>
      </c>
      <c r="D67" s="421" t="str">
        <f ca="1">IF(INDEX(Well_Data_NK_Upcoming!$K$2:$K$996,MATCH(Rig_Schedule_View!B67,Well_Data_NK_Upcoming!Concatenated_Wellname,0))=0,"",INDEX(Well_Data_NK_Upcoming!$K$2:$K$996,MATCH(Rig_Schedule_View!B67,Well_Data_NK_Upcoming!Concatenated_Wellname,0)))</f>
        <v/>
      </c>
      <c r="E67" s="421" t="str">
        <f ca="1">IF(INDEX(Well_Data_NK_Upcoming!$J$2:$J$996,MATCH(Rig_Schedule_View!B67,Well_Data_NK_Upcoming!Concatenated_Wellname,0))=0,"",INDEX(Well_Data_NK_Upcoming!$J$2:$J$996,MATCH(Rig_Schedule_View!B67,Well_Data_NK_Upcoming!Concatenated_Wellname,0)))</f>
        <v/>
      </c>
      <c r="F67" s="421" t="str">
        <f ca="1">IF(INDEX(Well_Data_NK_Upcoming!$L$2:$L$996,MATCH(Rig_Schedule_View!B67,Well_Data_NK_Upcoming!Concatenated_Wellname,0))=0,"",INDEX(Well_Data_NK_Upcoming!$L$2:$L$996,MATCH(Rig_Schedule_View!B67,Well_Data_NK_Upcoming!Concatenated_Wellname,0)))</f>
        <v/>
      </c>
      <c r="G67" s="421" t="str">
        <f ca="1">IF(INDEX(Well_Data_NK_Upcoming!$R$2:$R$996,MATCH(Rig_Schedule_View!B67,Well_Data_NK_Upcoming!Concatenated_Wellname,0))=0,"",INDEX(Well_Data_NK_Upcoming!$R$2:$R$996,MATCH(Rig_Schedule_View!B67,Well_Data_NK_Upcoming!Concatenated_Wellname,0)))</f>
        <v/>
      </c>
      <c r="H67" s="74"/>
      <c r="I67" s="443" t="str">
        <f ca="1">RigScheduleTest!$AV$6</f>
        <v/>
      </c>
      <c r="J67" s="443" t="str">
        <f ca="1">RigScheduleTest!$AW$6</f>
        <v/>
      </c>
      <c r="K67" s="413"/>
      <c r="L67" s="546"/>
      <c r="M67" s="544"/>
      <c r="N67" s="545"/>
      <c r="O67" s="545"/>
      <c r="P67" s="551"/>
    </row>
    <row r="68" spans="1:16" x14ac:dyDescent="0.25">
      <c r="A68" s="442" t="str">
        <f>RigScheduleTest!$B$6</f>
        <v>KDC-44</v>
      </c>
      <c r="B68" s="442" t="str">
        <f ca="1">RigScheduleTest!$AY$6</f>
        <v/>
      </c>
      <c r="C68" s="421" t="str">
        <f ca="1">IF(INDEX(Well_Data_NK_Upcoming!$G$2:$G$996,MATCH(Rig_Schedule_View!B68,Well_Data_NK_Upcoming!Concatenated_Wellname,0))=0,"",INDEX(Well_Data_NK_Upcoming!$G$2:$G$996,MATCH(Rig_Schedule_View!B68,Well_Data_NK_Upcoming!Concatenated_Wellname,0)))</f>
        <v/>
      </c>
      <c r="D68" s="421" t="str">
        <f ca="1">IF(INDEX(Well_Data_NK_Upcoming!$K$2:$K$996,MATCH(Rig_Schedule_View!B68,Well_Data_NK_Upcoming!Concatenated_Wellname,0))=0,"",INDEX(Well_Data_NK_Upcoming!$K$2:$K$996,MATCH(Rig_Schedule_View!B68,Well_Data_NK_Upcoming!Concatenated_Wellname,0)))</f>
        <v/>
      </c>
      <c r="E68" s="421" t="str">
        <f ca="1">IF(INDEX(Well_Data_NK_Upcoming!$J$2:$J$996,MATCH(Rig_Schedule_View!B68,Well_Data_NK_Upcoming!Concatenated_Wellname,0))=0,"",INDEX(Well_Data_NK_Upcoming!$J$2:$J$996,MATCH(Rig_Schedule_View!B68,Well_Data_NK_Upcoming!Concatenated_Wellname,0)))</f>
        <v/>
      </c>
      <c r="F68" s="421" t="str">
        <f ca="1">IF(INDEX(Well_Data_NK_Upcoming!$L$2:$L$996,MATCH(Rig_Schedule_View!B68,Well_Data_NK_Upcoming!Concatenated_Wellname,0))=0,"",INDEX(Well_Data_NK_Upcoming!$L$2:$L$996,MATCH(Rig_Schedule_View!B68,Well_Data_NK_Upcoming!Concatenated_Wellname,0)))</f>
        <v/>
      </c>
      <c r="G68" s="421" t="str">
        <f ca="1">IF(INDEX(Well_Data_NK_Upcoming!$R$2:$R$996,MATCH(Rig_Schedule_View!B68,Well_Data_NK_Upcoming!Concatenated_Wellname,0))=0,"",INDEX(Well_Data_NK_Upcoming!$R$2:$R$996,MATCH(Rig_Schedule_View!B68,Well_Data_NK_Upcoming!Concatenated_Wellname,0)))</f>
        <v/>
      </c>
      <c r="H68" s="74"/>
      <c r="I68" s="443" t="str">
        <f ca="1">RigScheduleTest!$BB$6</f>
        <v/>
      </c>
      <c r="J68" s="443" t="str">
        <f ca="1">RigScheduleTest!$BC$6</f>
        <v/>
      </c>
      <c r="K68" s="413"/>
      <c r="L68" s="546"/>
      <c r="M68" s="544"/>
      <c r="N68" s="545"/>
      <c r="O68" s="545"/>
      <c r="P68" s="551"/>
    </row>
    <row r="69" spans="1:16" x14ac:dyDescent="0.25">
      <c r="A69" s="442" t="str">
        <f>RigScheduleTest!$B$6</f>
        <v>KDC-44</v>
      </c>
      <c r="B69" s="442" t="str">
        <f ca="1">RigScheduleTest!$BE$6</f>
        <v/>
      </c>
      <c r="C69" s="421" t="str">
        <f ca="1">IF(INDEX(Well_Data_NK_Upcoming!$G$2:$G$996,MATCH(Rig_Schedule_View!B69,Well_Data_NK_Upcoming!Concatenated_Wellname,0))=0,"",INDEX(Well_Data_NK_Upcoming!$G$2:$G$996,MATCH(Rig_Schedule_View!B69,Well_Data_NK_Upcoming!Concatenated_Wellname,0)))</f>
        <v/>
      </c>
      <c r="D69" s="421" t="str">
        <f ca="1">IF(INDEX(Well_Data_NK_Upcoming!$K$2:$K$996,MATCH(Rig_Schedule_View!B69,Well_Data_NK_Upcoming!Concatenated_Wellname,0))=0,"",INDEX(Well_Data_NK_Upcoming!$K$2:$K$996,MATCH(Rig_Schedule_View!B69,Well_Data_NK_Upcoming!Concatenated_Wellname,0)))</f>
        <v/>
      </c>
      <c r="E69" s="421" t="str">
        <f ca="1">IF(INDEX(Well_Data_NK_Upcoming!$J$2:$J$996,MATCH(Rig_Schedule_View!B69,Well_Data_NK_Upcoming!Concatenated_Wellname,0))=0,"",INDEX(Well_Data_NK_Upcoming!$J$2:$J$996,MATCH(Rig_Schedule_View!B69,Well_Data_NK_Upcoming!Concatenated_Wellname,0)))</f>
        <v/>
      </c>
      <c r="F69" s="421" t="str">
        <f ca="1">IF(INDEX(Well_Data_NK_Upcoming!$L$2:$L$996,MATCH(Rig_Schedule_View!B69,Well_Data_NK_Upcoming!Concatenated_Wellname,0))=0,"",INDEX(Well_Data_NK_Upcoming!$L$2:$L$996,MATCH(Rig_Schedule_View!B69,Well_Data_NK_Upcoming!Concatenated_Wellname,0)))</f>
        <v/>
      </c>
      <c r="G69" s="421" t="str">
        <f ca="1">IF(INDEX(Well_Data_NK_Upcoming!$R$2:$R$996,MATCH(Rig_Schedule_View!B69,Well_Data_NK_Upcoming!Concatenated_Wellname,0))=0,"",INDEX(Well_Data_NK_Upcoming!$R$2:$R$996,MATCH(Rig_Schedule_View!B69,Well_Data_NK_Upcoming!Concatenated_Wellname,0)))</f>
        <v/>
      </c>
      <c r="H69" s="74"/>
      <c r="I69" s="443" t="str">
        <f ca="1">RigScheduleTest!$BH$6</f>
        <v/>
      </c>
      <c r="J69" s="443" t="str">
        <f ca="1">RigScheduleTest!$BI$6</f>
        <v/>
      </c>
      <c r="K69" s="413"/>
      <c r="L69" s="546"/>
      <c r="M69" s="544"/>
      <c r="N69" s="545"/>
      <c r="O69" s="545"/>
      <c r="P69" s="551"/>
    </row>
    <row r="70" spans="1:16" x14ac:dyDescent="0.25">
      <c r="A70" s="442" t="str">
        <f>RigScheduleTest!$B$6</f>
        <v>KDC-44</v>
      </c>
      <c r="B70" s="442" t="str">
        <f ca="1">RigScheduleTest!$BK$6</f>
        <v/>
      </c>
      <c r="C70" s="421" t="str">
        <f ca="1">IF(INDEX(Well_Data_NK_Upcoming!$G$2:$G$996,MATCH(Rig_Schedule_View!B70,Well_Data_NK_Upcoming!Concatenated_Wellname,0))=0,"",INDEX(Well_Data_NK_Upcoming!$G$2:$G$996,MATCH(Rig_Schedule_View!B70,Well_Data_NK_Upcoming!Concatenated_Wellname,0)))</f>
        <v/>
      </c>
      <c r="D70" s="421" t="str">
        <f ca="1">IF(INDEX(Well_Data_NK_Upcoming!$K$2:$K$996,MATCH(Rig_Schedule_View!B70,Well_Data_NK_Upcoming!Concatenated_Wellname,0))=0,"",INDEX(Well_Data_NK_Upcoming!$K$2:$K$996,MATCH(Rig_Schedule_View!B70,Well_Data_NK_Upcoming!Concatenated_Wellname,0)))</f>
        <v/>
      </c>
      <c r="E70" s="421" t="str">
        <f ca="1">IF(INDEX(Well_Data_NK_Upcoming!$J$2:$J$996,MATCH(Rig_Schedule_View!B70,Well_Data_NK_Upcoming!Concatenated_Wellname,0))=0,"",INDEX(Well_Data_NK_Upcoming!$J$2:$J$996,MATCH(Rig_Schedule_View!B70,Well_Data_NK_Upcoming!Concatenated_Wellname,0)))</f>
        <v/>
      </c>
      <c r="F70" s="421" t="str">
        <f ca="1">IF(INDEX(Well_Data_NK_Upcoming!$L$2:$L$996,MATCH(Rig_Schedule_View!B70,Well_Data_NK_Upcoming!Concatenated_Wellname,0))=0,"",INDEX(Well_Data_NK_Upcoming!$L$2:$L$996,MATCH(Rig_Schedule_View!B70,Well_Data_NK_Upcoming!Concatenated_Wellname,0)))</f>
        <v/>
      </c>
      <c r="G70" s="421" t="str">
        <f ca="1">IF(INDEX(Well_Data_NK_Upcoming!$R$2:$R$996,MATCH(Rig_Schedule_View!B70,Well_Data_NK_Upcoming!Concatenated_Wellname,0))=0,"",INDEX(Well_Data_NK_Upcoming!$R$2:$R$996,MATCH(Rig_Schedule_View!B70,Well_Data_NK_Upcoming!Concatenated_Wellname,0)))</f>
        <v/>
      </c>
      <c r="H70" s="74"/>
      <c r="I70" s="443" t="str">
        <f ca="1">RigScheduleTest!$BN$6</f>
        <v/>
      </c>
      <c r="J70" s="443" t="str">
        <f ca="1">RigScheduleTest!$BO$6</f>
        <v/>
      </c>
      <c r="K70" s="413"/>
      <c r="L70" s="546"/>
      <c r="M70" s="544"/>
      <c r="N70" s="545"/>
      <c r="O70" s="545"/>
      <c r="P70" s="551"/>
    </row>
    <row r="71" spans="1:16" x14ac:dyDescent="0.25">
      <c r="A71" s="437" t="str">
        <f>RigScheduleTest!$B$1</f>
        <v>RIG</v>
      </c>
      <c r="B71" s="437" t="str">
        <f>$K$1</f>
        <v>Development Drilling</v>
      </c>
      <c r="C71" s="437" t="s">
        <v>1831</v>
      </c>
      <c r="D71" s="437" t="s">
        <v>867</v>
      </c>
      <c r="E71" s="437" t="s">
        <v>8</v>
      </c>
      <c r="F71" s="437" t="s">
        <v>2</v>
      </c>
      <c r="G71" s="437" t="s">
        <v>1513</v>
      </c>
      <c r="H71" s="438" t="str">
        <f>$K$3</f>
        <v>Rig Deployment Meeting</v>
      </c>
      <c r="I71" s="439" t="str">
        <f>$K$5</f>
        <v>Start</v>
      </c>
      <c r="J71" s="439" t="str">
        <f>$K$6</f>
        <v>End</v>
      </c>
      <c r="K71" s="444" t="s">
        <v>1068</v>
      </c>
      <c r="L71" s="444" t="s">
        <v>1577</v>
      </c>
      <c r="M71" s="496" t="s">
        <v>1934</v>
      </c>
      <c r="N71" s="504" t="s">
        <v>1940</v>
      </c>
      <c r="O71" s="504" t="s">
        <v>1941</v>
      </c>
      <c r="P71" s="502"/>
    </row>
    <row r="72" spans="1:16" x14ac:dyDescent="0.25">
      <c r="A72" s="442" t="str">
        <f>RigScheduleTest!$B$7</f>
        <v>KDC-49</v>
      </c>
      <c r="B72" s="421" t="str">
        <f ca="1">RigScheduleTest!$D$7</f>
        <v>SA-0587-SA-MA-Prod-NW-HZ-BHI</v>
      </c>
      <c r="C72" s="421" t="str">
        <f ca="1">IF(INDEX(Well_Data_NK_Upcoming!$G$2:$G$996,MATCH(Rig_Schedule_View!B72,Well_Data_NK_Upcoming!Concatenated_Wellname,0))=0,"",INDEX(Well_Data_NK_Upcoming!$G$2:$G$996,MATCH(Rig_Schedule_View!B72,Well_Data_NK_Upcoming!Concatenated_Wellname,0)))</f>
        <v>MA</v>
      </c>
      <c r="D72" s="421" t="str">
        <f ca="1">IF(INDEX(Well_Data_NK_Upcoming!$K$2:$K$996,MATCH(Rig_Schedule_View!B72,Well_Data_NK_Upcoming!Concatenated_Wellname,0))=0,"",INDEX(Well_Data_NK_Upcoming!$K$2:$K$996,MATCH(Rig_Schedule_View!B72,Well_Data_NK_Upcoming!Concatenated_Wellname,0)))</f>
        <v>NW</v>
      </c>
      <c r="E72" s="421" t="str">
        <f ca="1">IF(INDEX(Well_Data_NK_Upcoming!$J$2:$J$996,MATCH(Rig_Schedule_View!B72,Well_Data_NK_Upcoming!Concatenated_Wellname,0))=0,"",INDEX(Well_Data_NK_Upcoming!$J$2:$J$996,MATCH(Rig_Schedule_View!B72,Well_Data_NK_Upcoming!Concatenated_Wellname,0)))</f>
        <v>Prod</v>
      </c>
      <c r="F72" s="421" t="str">
        <f ca="1">IF(INDEX(Well_Data_NK_Upcoming!$L$2:$L$996,MATCH(Rig_Schedule_View!B72,Well_Data_NK_Upcoming!Concatenated_Wellname,0))=0,"",INDEX(Well_Data_NK_Upcoming!$L$2:$L$996,MATCH(Rig_Schedule_View!B72,Well_Data_NK_Upcoming!Concatenated_Wellname,0)))</f>
        <v>HZ</v>
      </c>
      <c r="G72" s="421">
        <f ca="1">IF(INDEX(Well_Data_NK_Upcoming!$R$2:$R$996,MATCH(Rig_Schedule_View!B72,Well_Data_NK_Upcoming!Concatenated_Wellname,0))=0,"",INDEX(Well_Data_NK_Upcoming!$R$2:$R$996,MATCH(Rig_Schedule_View!B72,Well_Data_NK_Upcoming!Concatenated_Wellname,0)))</f>
        <v>75</v>
      </c>
      <c r="H72" s="74">
        <f>RigScheduleTest!$F$7</f>
        <v>42233</v>
      </c>
      <c r="I72" s="459" t="str">
        <f ca="1">IF(INDEX(Well_Data_NK_Upcoming!$O$2:$O$996,MATCH(Rig_Schedule_View!B72,Well_Data_NK_Upcoming!Concatenated_Wellname,0))=0,"",INDEX(Well_Data_NK_Upcoming!$O$2:$O$996,MATCH(Rig_Schedule_View!B72,Well_Data_NK_Upcoming!Concatenated_Wellname,0)))</f>
        <v>RigMove</v>
      </c>
      <c r="J72" s="446">
        <f ca="1">RigScheduleTest!$H$7</f>
        <v>42273</v>
      </c>
      <c r="K72" s="493" t="s">
        <v>1917</v>
      </c>
      <c r="L72" s="543"/>
      <c r="M72" s="544">
        <v>40</v>
      </c>
      <c r="N72" s="545"/>
      <c r="O72" s="545"/>
      <c r="P72" s="551"/>
    </row>
    <row r="73" spans="1:16" x14ac:dyDescent="0.25">
      <c r="A73" s="442" t="str">
        <f>RigScheduleTest!$B$7</f>
        <v>KDC-49</v>
      </c>
      <c r="B73" s="441" t="str">
        <f ca="1">RigScheduleTest!$I$7</f>
        <v>SA-0593-SA-MA-Prod-NW-HZ-SLB</v>
      </c>
      <c r="C73" s="421" t="str">
        <f ca="1">IF(INDEX(Well_Data_NK_Upcoming!$G$2:$G$996,MATCH(Rig_Schedule_View!B73,Well_Data_NK_Upcoming!Concatenated_Wellname,0))=0,"",INDEX(Well_Data_NK_Upcoming!$G$2:$G$996,MATCH(Rig_Schedule_View!B73,Well_Data_NK_Upcoming!Concatenated_Wellname,0)))</f>
        <v>MA</v>
      </c>
      <c r="D73" s="421" t="str">
        <f ca="1">IF(INDEX(Well_Data_NK_Upcoming!$K$2:$K$996,MATCH(Rig_Schedule_View!B73,Well_Data_NK_Upcoming!Concatenated_Wellname,0))=0,"",INDEX(Well_Data_NK_Upcoming!$K$2:$K$996,MATCH(Rig_Schedule_View!B73,Well_Data_NK_Upcoming!Concatenated_Wellname,0)))</f>
        <v>NW</v>
      </c>
      <c r="E73" s="421" t="str">
        <f ca="1">IF(INDEX(Well_Data_NK_Upcoming!$J$2:$J$996,MATCH(Rig_Schedule_View!B73,Well_Data_NK_Upcoming!Concatenated_Wellname,0))=0,"",INDEX(Well_Data_NK_Upcoming!$J$2:$J$996,MATCH(Rig_Schedule_View!B73,Well_Data_NK_Upcoming!Concatenated_Wellname,0)))</f>
        <v>Prod</v>
      </c>
      <c r="F73" s="421" t="str">
        <f ca="1">IF(INDEX(Well_Data_NK_Upcoming!$L$2:$L$996,MATCH(Rig_Schedule_View!B73,Well_Data_NK_Upcoming!Concatenated_Wellname,0))=0,"",INDEX(Well_Data_NK_Upcoming!$L$2:$L$996,MATCH(Rig_Schedule_View!B73,Well_Data_NK_Upcoming!Concatenated_Wellname,0)))</f>
        <v>HZ</v>
      </c>
      <c r="G73" s="421">
        <f ca="1">IF(INDEX(Well_Data_NK_Upcoming!$R$2:$R$996,MATCH(Rig_Schedule_View!B73,Well_Data_NK_Upcoming!Concatenated_Wellname,0))=0,"",INDEX(Well_Data_NK_Upcoming!$R$2:$R$996,MATCH(Rig_Schedule_View!B73,Well_Data_NK_Upcoming!Concatenated_Wellname,0)))</f>
        <v>75</v>
      </c>
      <c r="H73" s="74"/>
      <c r="I73" s="440">
        <f ca="1">RigScheduleTest!$L$7</f>
        <v>42278</v>
      </c>
      <c r="J73" s="440">
        <f ca="1">RigScheduleTest!$M$7</f>
        <v>42348</v>
      </c>
      <c r="K73" s="413"/>
      <c r="L73" s="546"/>
      <c r="M73" s="544"/>
      <c r="N73" s="545"/>
      <c r="O73" s="545" t="s">
        <v>2218</v>
      </c>
      <c r="P73" s="551"/>
    </row>
    <row r="74" spans="1:16" x14ac:dyDescent="0.25">
      <c r="A74" s="442" t="str">
        <f>RigScheduleTest!$B$7</f>
        <v>KDC-49</v>
      </c>
      <c r="B74" s="441" t="str">
        <f ca="1">RigScheduleTest!$O$7</f>
        <v>RA6-RA-MA-Prod-NW-HZ-SLB</v>
      </c>
      <c r="C74" s="421" t="str">
        <f ca="1">IF(INDEX(Well_Data_NK_Upcoming!$G$2:$G$996,MATCH(Rig_Schedule_View!B74,Well_Data_NK_Upcoming!Concatenated_Wellname,0))=0,"",INDEX(Well_Data_NK_Upcoming!$G$2:$G$996,MATCH(Rig_Schedule_View!B74,Well_Data_NK_Upcoming!Concatenated_Wellname,0)))</f>
        <v>MA</v>
      </c>
      <c r="D74" s="421" t="str">
        <f ca="1">IF(INDEX(Well_Data_NK_Upcoming!$K$2:$K$996,MATCH(Rig_Schedule_View!B74,Well_Data_NK_Upcoming!Concatenated_Wellname,0))=0,"",INDEX(Well_Data_NK_Upcoming!$K$2:$K$996,MATCH(Rig_Schedule_View!B74,Well_Data_NK_Upcoming!Concatenated_Wellname,0)))</f>
        <v>NW</v>
      </c>
      <c r="E74" s="421" t="str">
        <f ca="1">IF(INDEX(Well_Data_NK_Upcoming!$J$2:$J$996,MATCH(Rig_Schedule_View!B74,Well_Data_NK_Upcoming!Concatenated_Wellname,0))=0,"",INDEX(Well_Data_NK_Upcoming!$J$2:$J$996,MATCH(Rig_Schedule_View!B74,Well_Data_NK_Upcoming!Concatenated_Wellname,0)))</f>
        <v>Prod</v>
      </c>
      <c r="F74" s="421" t="str">
        <f ca="1">IF(INDEX(Well_Data_NK_Upcoming!$L$2:$L$996,MATCH(Rig_Schedule_View!B74,Well_Data_NK_Upcoming!Concatenated_Wellname,0))=0,"",INDEX(Well_Data_NK_Upcoming!$L$2:$L$996,MATCH(Rig_Schedule_View!B74,Well_Data_NK_Upcoming!Concatenated_Wellname,0)))</f>
        <v>HZ</v>
      </c>
      <c r="G74" s="421">
        <f ca="1">IF(INDEX(Well_Data_NK_Upcoming!$R$2:$R$996,MATCH(Rig_Schedule_View!B74,Well_Data_NK_Upcoming!Concatenated_Wellname,0))=0,"",INDEX(Well_Data_NK_Upcoming!$R$2:$R$996,MATCH(Rig_Schedule_View!B74,Well_Data_NK_Upcoming!Concatenated_Wellname,0)))</f>
        <v>75</v>
      </c>
      <c r="H74" s="74"/>
      <c r="I74" s="440">
        <f ca="1">RigScheduleTest!$R$7</f>
        <v>42353</v>
      </c>
      <c r="J74" s="440">
        <f ca="1">RigScheduleTest!$S$7</f>
        <v>42423</v>
      </c>
      <c r="K74" s="413"/>
      <c r="L74" s="544" t="s">
        <v>1978</v>
      </c>
      <c r="M74" s="544"/>
      <c r="N74" s="545"/>
      <c r="O74" s="545"/>
      <c r="P74" s="551"/>
    </row>
    <row r="75" spans="1:16" x14ac:dyDescent="0.25">
      <c r="A75" s="442" t="str">
        <f>RigScheduleTest!$B$7</f>
        <v>KDC-49</v>
      </c>
      <c r="B75" s="442" t="str">
        <f ca="1">RigScheduleTest!$U$7</f>
        <v>RA-0596-RA-ZU-Prod-NW-HZ-SLB</v>
      </c>
      <c r="C75" s="421" t="str">
        <f ca="1">IF(INDEX(Well_Data_NK_Upcoming!$G$2:$G$996,MATCH(Rig_Schedule_View!B75,Well_Data_NK_Upcoming!Concatenated_Wellname,0))=0,"",INDEX(Well_Data_NK_Upcoming!$G$2:$G$996,MATCH(Rig_Schedule_View!B75,Well_Data_NK_Upcoming!Concatenated_Wellname,0)))</f>
        <v>ZU</v>
      </c>
      <c r="D75" s="421" t="str">
        <f ca="1">IF(INDEX(Well_Data_NK_Upcoming!$K$2:$K$996,MATCH(Rig_Schedule_View!B75,Well_Data_NK_Upcoming!Concatenated_Wellname,0))=0,"",INDEX(Well_Data_NK_Upcoming!$K$2:$K$996,MATCH(Rig_Schedule_View!B75,Well_Data_NK_Upcoming!Concatenated_Wellname,0)))</f>
        <v>NW</v>
      </c>
      <c r="E75" s="421" t="str">
        <f ca="1">IF(INDEX(Well_Data_NK_Upcoming!$J$2:$J$996,MATCH(Rig_Schedule_View!B75,Well_Data_NK_Upcoming!Concatenated_Wellname,0))=0,"",INDEX(Well_Data_NK_Upcoming!$J$2:$J$996,MATCH(Rig_Schedule_View!B75,Well_Data_NK_Upcoming!Concatenated_Wellname,0)))</f>
        <v>Prod</v>
      </c>
      <c r="F75" s="421" t="str">
        <f ca="1">IF(INDEX(Well_Data_NK_Upcoming!$L$2:$L$996,MATCH(Rig_Schedule_View!B75,Well_Data_NK_Upcoming!Concatenated_Wellname,0))=0,"",INDEX(Well_Data_NK_Upcoming!$L$2:$L$996,MATCH(Rig_Schedule_View!B75,Well_Data_NK_Upcoming!Concatenated_Wellname,0)))</f>
        <v>HZ</v>
      </c>
      <c r="G75" s="421">
        <f ca="1">IF(INDEX(Well_Data_NK_Upcoming!$R$2:$R$996,MATCH(Rig_Schedule_View!B75,Well_Data_NK_Upcoming!Concatenated_Wellname,0))=0,"",INDEX(Well_Data_NK_Upcoming!$R$2:$R$996,MATCH(Rig_Schedule_View!B75,Well_Data_NK_Upcoming!Concatenated_Wellname,0)))</f>
        <v>103</v>
      </c>
      <c r="H75" s="74"/>
      <c r="I75" s="443">
        <f ca="1">RigScheduleTest!$X$7</f>
        <v>42428</v>
      </c>
      <c r="J75" s="443">
        <f ca="1">RigScheduleTest!$Y$7</f>
        <v>42526</v>
      </c>
      <c r="K75" s="413"/>
      <c r="L75" s="546"/>
      <c r="M75" s="544"/>
      <c r="N75" s="545"/>
      <c r="O75" s="545"/>
      <c r="P75" s="551"/>
    </row>
    <row r="76" spans="1:16" x14ac:dyDescent="0.25">
      <c r="A76" s="442" t="str">
        <f>RigScheduleTest!$B$7</f>
        <v>KDC-49</v>
      </c>
      <c r="B76" s="442" t="str">
        <f ca="1">RigScheduleTest!$AA$7</f>
        <v>SA18-SA-MA-Inj-NW-HZ</v>
      </c>
      <c r="C76" s="421" t="str">
        <f ca="1">IF(INDEX(Well_Data_NK_Upcoming!$G$2:$G$996,MATCH(Rig_Schedule_View!B76,Well_Data_NK_Upcoming!Concatenated_Wellname,0))=0,"",INDEX(Well_Data_NK_Upcoming!$G$2:$G$996,MATCH(Rig_Schedule_View!B76,Well_Data_NK_Upcoming!Concatenated_Wellname,0)))</f>
        <v>MA</v>
      </c>
      <c r="D76" s="421" t="str">
        <f ca="1">IF(INDEX(Well_Data_NK_Upcoming!$K$2:$K$996,MATCH(Rig_Schedule_View!B76,Well_Data_NK_Upcoming!Concatenated_Wellname,0))=0,"",INDEX(Well_Data_NK_Upcoming!$K$2:$K$996,MATCH(Rig_Schedule_View!B76,Well_Data_NK_Upcoming!Concatenated_Wellname,0)))</f>
        <v>NW</v>
      </c>
      <c r="E76" s="421" t="str">
        <f ca="1">IF(INDEX(Well_Data_NK_Upcoming!$J$2:$J$996,MATCH(Rig_Schedule_View!B76,Well_Data_NK_Upcoming!Concatenated_Wellname,0))=0,"",INDEX(Well_Data_NK_Upcoming!$J$2:$J$996,MATCH(Rig_Schedule_View!B76,Well_Data_NK_Upcoming!Concatenated_Wellname,0)))</f>
        <v>Inj</v>
      </c>
      <c r="F76" s="421" t="str">
        <f ca="1">IF(INDEX(Well_Data_NK_Upcoming!$L$2:$L$996,MATCH(Rig_Schedule_View!B76,Well_Data_NK_Upcoming!Concatenated_Wellname,0))=0,"",INDEX(Well_Data_NK_Upcoming!$L$2:$L$996,MATCH(Rig_Schedule_View!B76,Well_Data_NK_Upcoming!Concatenated_Wellname,0)))</f>
        <v>HZ</v>
      </c>
      <c r="G76" s="421">
        <f ca="1">IF(INDEX(Well_Data_NK_Upcoming!$R$2:$R$996,MATCH(Rig_Schedule_View!B76,Well_Data_NK_Upcoming!Concatenated_Wellname,0))=0,"",INDEX(Well_Data_NK_Upcoming!$R$2:$R$996,MATCH(Rig_Schedule_View!B76,Well_Data_NK_Upcoming!Concatenated_Wellname,0)))</f>
        <v>68</v>
      </c>
      <c r="H76" s="74"/>
      <c r="I76" s="443">
        <f ca="1">RigScheduleTest!$AD$7</f>
        <v>42531</v>
      </c>
      <c r="J76" s="443">
        <f ca="1">RigScheduleTest!$AE$7</f>
        <v>42594</v>
      </c>
      <c r="K76" s="413"/>
      <c r="L76" s="546"/>
      <c r="M76" s="544"/>
      <c r="N76" s="545"/>
      <c r="O76" s="545"/>
      <c r="P76" s="551"/>
    </row>
    <row r="77" spans="1:16" x14ac:dyDescent="0.25">
      <c r="A77" s="442" t="str">
        <f>RigScheduleTest!$B$7</f>
        <v>KDC-49</v>
      </c>
      <c r="B77" s="442" t="str">
        <f ca="1">RigScheduleTest!$AG$7</f>
        <v>RA18-RA-LB-Prod-NW-SL-SLB</v>
      </c>
      <c r="C77" s="421" t="str">
        <f ca="1">IF(INDEX(Well_Data_NK_Upcoming!$G$2:$G$996,MATCH(Rig_Schedule_View!B77,Well_Data_NK_Upcoming!Concatenated_Wellname,0))=0,"",INDEX(Well_Data_NK_Upcoming!$G$2:$G$996,MATCH(Rig_Schedule_View!B77,Well_Data_NK_Upcoming!Concatenated_Wellname,0)))</f>
        <v>LB</v>
      </c>
      <c r="D77" s="421" t="str">
        <f ca="1">IF(INDEX(Well_Data_NK_Upcoming!$K$2:$K$996,MATCH(Rig_Schedule_View!B77,Well_Data_NK_Upcoming!Concatenated_Wellname,0))=0,"",INDEX(Well_Data_NK_Upcoming!$K$2:$K$996,MATCH(Rig_Schedule_View!B77,Well_Data_NK_Upcoming!Concatenated_Wellname,0)))</f>
        <v>NW</v>
      </c>
      <c r="E77" s="421" t="str">
        <f ca="1">IF(INDEX(Well_Data_NK_Upcoming!$J$2:$J$996,MATCH(Rig_Schedule_View!B77,Well_Data_NK_Upcoming!Concatenated_Wellname,0))=0,"",INDEX(Well_Data_NK_Upcoming!$J$2:$J$996,MATCH(Rig_Schedule_View!B77,Well_Data_NK_Upcoming!Concatenated_Wellname,0)))</f>
        <v>Prod</v>
      </c>
      <c r="F77" s="421" t="str">
        <f ca="1">IF(INDEX(Well_Data_NK_Upcoming!$L$2:$L$996,MATCH(Rig_Schedule_View!B77,Well_Data_NK_Upcoming!Concatenated_Wellname,0))=0,"",INDEX(Well_Data_NK_Upcoming!$L$2:$L$996,MATCH(Rig_Schedule_View!B77,Well_Data_NK_Upcoming!Concatenated_Wellname,0)))</f>
        <v>SL</v>
      </c>
      <c r="G77" s="421">
        <f ca="1">IF(INDEX(Well_Data_NK_Upcoming!$R$2:$R$996,MATCH(Rig_Schedule_View!B77,Well_Data_NK_Upcoming!Concatenated_Wellname,0))=0,"",INDEX(Well_Data_NK_Upcoming!$R$2:$R$996,MATCH(Rig_Schedule_View!B77,Well_Data_NK_Upcoming!Concatenated_Wellname,0)))</f>
        <v>75</v>
      </c>
      <c r="H77" s="74"/>
      <c r="I77" s="443">
        <f ca="1">RigScheduleTest!$AJ$7</f>
        <v>42599</v>
      </c>
      <c r="J77" s="443">
        <f ca="1">RigScheduleTest!$AK$7</f>
        <v>42669</v>
      </c>
      <c r="K77" s="413"/>
      <c r="L77" s="546"/>
      <c r="M77" s="544"/>
      <c r="N77" s="545"/>
      <c r="O77" s="545"/>
      <c r="P77" s="551"/>
    </row>
    <row r="78" spans="1:16" x14ac:dyDescent="0.25">
      <c r="A78" s="442" t="str">
        <f>RigScheduleTest!$B$7</f>
        <v>KDC-49</v>
      </c>
      <c r="B78" s="442" t="str">
        <f ca="1">RigScheduleTest!$AM$7</f>
        <v>RA26-RA-UB-Prod-NW-SL-SLB</v>
      </c>
      <c r="C78" s="421" t="str">
        <f ca="1">IF(INDEX(Well_Data_NK_Upcoming!$G$2:$G$996,MATCH(Rig_Schedule_View!B78,Well_Data_NK_Upcoming!Concatenated_Wellname,0))=0,"",INDEX(Well_Data_NK_Upcoming!$G$2:$G$996,MATCH(Rig_Schedule_View!B78,Well_Data_NK_Upcoming!Concatenated_Wellname,0)))</f>
        <v>UB</v>
      </c>
      <c r="D78" s="421" t="str">
        <f ca="1">IF(INDEX(Well_Data_NK_Upcoming!$K$2:$K$996,MATCH(Rig_Schedule_View!B78,Well_Data_NK_Upcoming!Concatenated_Wellname,0))=0,"",INDEX(Well_Data_NK_Upcoming!$K$2:$K$996,MATCH(Rig_Schedule_View!B78,Well_Data_NK_Upcoming!Concatenated_Wellname,0)))</f>
        <v>NW</v>
      </c>
      <c r="E78" s="421" t="str">
        <f ca="1">IF(INDEX(Well_Data_NK_Upcoming!$J$2:$J$996,MATCH(Rig_Schedule_View!B78,Well_Data_NK_Upcoming!Concatenated_Wellname,0))=0,"",INDEX(Well_Data_NK_Upcoming!$J$2:$J$996,MATCH(Rig_Schedule_View!B78,Well_Data_NK_Upcoming!Concatenated_Wellname,0)))</f>
        <v>Prod</v>
      </c>
      <c r="F78" s="421" t="str">
        <f ca="1">IF(INDEX(Well_Data_NK_Upcoming!$L$2:$L$996,MATCH(Rig_Schedule_View!B78,Well_Data_NK_Upcoming!Concatenated_Wellname,0))=0,"",INDEX(Well_Data_NK_Upcoming!$L$2:$L$996,MATCH(Rig_Schedule_View!B78,Well_Data_NK_Upcoming!Concatenated_Wellname,0)))</f>
        <v>SL</v>
      </c>
      <c r="G78" s="421">
        <f ca="1">IF(INDEX(Well_Data_NK_Upcoming!$R$2:$R$996,MATCH(Rig_Schedule_View!B78,Well_Data_NK_Upcoming!Concatenated_Wellname,0))=0,"",INDEX(Well_Data_NK_Upcoming!$R$2:$R$996,MATCH(Rig_Schedule_View!B78,Well_Data_NK_Upcoming!Concatenated_Wellname,0)))</f>
        <v>75</v>
      </c>
      <c r="H78" s="74"/>
      <c r="I78" s="443">
        <f ca="1">RigScheduleTest!$AP$7</f>
        <v>42674</v>
      </c>
      <c r="J78" s="443">
        <f ca="1">RigScheduleTest!$AQ$7</f>
        <v>42744</v>
      </c>
      <c r="K78" s="413"/>
      <c r="L78" s="546"/>
      <c r="M78" s="544"/>
      <c r="N78" s="545"/>
      <c r="O78" s="545"/>
      <c r="P78" s="551"/>
    </row>
    <row r="79" spans="1:16" x14ac:dyDescent="0.25">
      <c r="A79" s="442" t="str">
        <f>RigScheduleTest!$B$7</f>
        <v>KDC-49</v>
      </c>
      <c r="B79" s="442" t="str">
        <f ca="1">RigScheduleTest!$AS$7</f>
        <v/>
      </c>
      <c r="C79" s="421" t="str">
        <f ca="1">IF(INDEX(Well_Data_NK_Upcoming!$G$2:$G$996,MATCH(Rig_Schedule_View!B79,Well_Data_NK_Upcoming!Concatenated_Wellname,0))=0,"",INDEX(Well_Data_NK_Upcoming!$G$2:$G$996,MATCH(Rig_Schedule_View!B79,Well_Data_NK_Upcoming!Concatenated_Wellname,0)))</f>
        <v/>
      </c>
      <c r="D79" s="421" t="str">
        <f ca="1">IF(INDEX(Well_Data_NK_Upcoming!$K$2:$K$996,MATCH(Rig_Schedule_View!B79,Well_Data_NK_Upcoming!Concatenated_Wellname,0))=0,"",INDEX(Well_Data_NK_Upcoming!$K$2:$K$996,MATCH(Rig_Schedule_View!B79,Well_Data_NK_Upcoming!Concatenated_Wellname,0)))</f>
        <v/>
      </c>
      <c r="E79" s="421" t="str">
        <f ca="1">IF(INDEX(Well_Data_NK_Upcoming!$J$2:$J$996,MATCH(Rig_Schedule_View!B79,Well_Data_NK_Upcoming!Concatenated_Wellname,0))=0,"",INDEX(Well_Data_NK_Upcoming!$J$2:$J$996,MATCH(Rig_Schedule_View!B79,Well_Data_NK_Upcoming!Concatenated_Wellname,0)))</f>
        <v/>
      </c>
      <c r="F79" s="421" t="str">
        <f ca="1">IF(INDEX(Well_Data_NK_Upcoming!$L$2:$L$996,MATCH(Rig_Schedule_View!B79,Well_Data_NK_Upcoming!Concatenated_Wellname,0))=0,"",INDEX(Well_Data_NK_Upcoming!$L$2:$L$996,MATCH(Rig_Schedule_View!B79,Well_Data_NK_Upcoming!Concatenated_Wellname,0)))</f>
        <v/>
      </c>
      <c r="G79" s="421" t="str">
        <f ca="1">IF(INDEX(Well_Data_NK_Upcoming!$R$2:$R$996,MATCH(Rig_Schedule_View!B79,Well_Data_NK_Upcoming!Concatenated_Wellname,0))=0,"",INDEX(Well_Data_NK_Upcoming!$R$2:$R$996,MATCH(Rig_Schedule_View!B79,Well_Data_NK_Upcoming!Concatenated_Wellname,0)))</f>
        <v/>
      </c>
      <c r="H79" s="74"/>
      <c r="I79" s="443" t="str">
        <f ca="1">RigScheduleTest!$AV$7</f>
        <v/>
      </c>
      <c r="J79" s="443" t="str">
        <f ca="1">RigScheduleTest!$AW$7</f>
        <v/>
      </c>
      <c r="K79" s="413"/>
      <c r="L79" s="546"/>
      <c r="M79" s="544"/>
      <c r="N79" s="545"/>
      <c r="O79" s="545"/>
      <c r="P79" s="551"/>
    </row>
    <row r="80" spans="1:16" x14ac:dyDescent="0.25">
      <c r="A80" s="442" t="str">
        <f>RigScheduleTest!$B$7</f>
        <v>KDC-49</v>
      </c>
      <c r="B80" s="442" t="str">
        <f ca="1">RigScheduleTest!$AY$7</f>
        <v/>
      </c>
      <c r="C80" s="421" t="str">
        <f ca="1">IF(INDEX(Well_Data_NK_Upcoming!$G$2:$G$996,MATCH(Rig_Schedule_View!B80,Well_Data_NK_Upcoming!Concatenated_Wellname,0))=0,"",INDEX(Well_Data_NK_Upcoming!$G$2:$G$996,MATCH(Rig_Schedule_View!B80,Well_Data_NK_Upcoming!Concatenated_Wellname,0)))</f>
        <v/>
      </c>
      <c r="D80" s="421" t="str">
        <f ca="1">IF(INDEX(Well_Data_NK_Upcoming!$K$2:$K$996,MATCH(Rig_Schedule_View!B80,Well_Data_NK_Upcoming!Concatenated_Wellname,0))=0,"",INDEX(Well_Data_NK_Upcoming!$K$2:$K$996,MATCH(Rig_Schedule_View!B80,Well_Data_NK_Upcoming!Concatenated_Wellname,0)))</f>
        <v/>
      </c>
      <c r="E80" s="421" t="str">
        <f ca="1">IF(INDEX(Well_Data_NK_Upcoming!$J$2:$J$996,MATCH(Rig_Schedule_View!B80,Well_Data_NK_Upcoming!Concatenated_Wellname,0))=0,"",INDEX(Well_Data_NK_Upcoming!$J$2:$J$996,MATCH(Rig_Schedule_View!B80,Well_Data_NK_Upcoming!Concatenated_Wellname,0)))</f>
        <v/>
      </c>
      <c r="F80" s="421" t="str">
        <f ca="1">IF(INDEX(Well_Data_NK_Upcoming!$L$2:$L$996,MATCH(Rig_Schedule_View!B80,Well_Data_NK_Upcoming!Concatenated_Wellname,0))=0,"",INDEX(Well_Data_NK_Upcoming!$L$2:$L$996,MATCH(Rig_Schedule_View!B80,Well_Data_NK_Upcoming!Concatenated_Wellname,0)))</f>
        <v/>
      </c>
      <c r="G80" s="421" t="str">
        <f ca="1">IF(INDEX(Well_Data_NK_Upcoming!$R$2:$R$996,MATCH(Rig_Schedule_View!B80,Well_Data_NK_Upcoming!Concatenated_Wellname,0))=0,"",INDEX(Well_Data_NK_Upcoming!$R$2:$R$996,MATCH(Rig_Schedule_View!B80,Well_Data_NK_Upcoming!Concatenated_Wellname,0)))</f>
        <v/>
      </c>
      <c r="H80" s="74"/>
      <c r="I80" s="443" t="str">
        <f ca="1">RigScheduleTest!$BB$7</f>
        <v/>
      </c>
      <c r="J80" s="443" t="str">
        <f ca="1">RigScheduleTest!$BC$7</f>
        <v/>
      </c>
      <c r="K80" s="413"/>
      <c r="L80" s="546"/>
      <c r="M80" s="544"/>
      <c r="N80" s="545"/>
      <c r="O80" s="545"/>
      <c r="P80" s="551"/>
    </row>
    <row r="81" spans="1:16" x14ac:dyDescent="0.25">
      <c r="A81" s="442" t="str">
        <f>RigScheduleTest!$B$7</f>
        <v>KDC-49</v>
      </c>
      <c r="B81" s="442" t="str">
        <f ca="1">RigScheduleTest!$BE$7</f>
        <v/>
      </c>
      <c r="C81" s="421" t="str">
        <f ca="1">IF(INDEX(Well_Data_NK_Upcoming!$G$2:$G$996,MATCH(Rig_Schedule_View!B81,Well_Data_NK_Upcoming!Concatenated_Wellname,0))=0,"",INDEX(Well_Data_NK_Upcoming!$G$2:$G$996,MATCH(Rig_Schedule_View!B81,Well_Data_NK_Upcoming!Concatenated_Wellname,0)))</f>
        <v/>
      </c>
      <c r="D81" s="421" t="str">
        <f ca="1">IF(INDEX(Well_Data_NK_Upcoming!$K$2:$K$996,MATCH(Rig_Schedule_View!B81,Well_Data_NK_Upcoming!Concatenated_Wellname,0))=0,"",INDEX(Well_Data_NK_Upcoming!$K$2:$K$996,MATCH(Rig_Schedule_View!B81,Well_Data_NK_Upcoming!Concatenated_Wellname,0)))</f>
        <v/>
      </c>
      <c r="E81" s="421" t="str">
        <f ca="1">IF(INDEX(Well_Data_NK_Upcoming!$J$2:$J$996,MATCH(Rig_Schedule_View!B81,Well_Data_NK_Upcoming!Concatenated_Wellname,0))=0,"",INDEX(Well_Data_NK_Upcoming!$J$2:$J$996,MATCH(Rig_Schedule_View!B81,Well_Data_NK_Upcoming!Concatenated_Wellname,0)))</f>
        <v/>
      </c>
      <c r="F81" s="421" t="str">
        <f ca="1">IF(INDEX(Well_Data_NK_Upcoming!$L$2:$L$996,MATCH(Rig_Schedule_View!B81,Well_Data_NK_Upcoming!Concatenated_Wellname,0))=0,"",INDEX(Well_Data_NK_Upcoming!$L$2:$L$996,MATCH(Rig_Schedule_View!B81,Well_Data_NK_Upcoming!Concatenated_Wellname,0)))</f>
        <v/>
      </c>
      <c r="G81" s="421" t="str">
        <f ca="1">IF(INDEX(Well_Data_NK_Upcoming!$R$2:$R$996,MATCH(Rig_Schedule_View!B81,Well_Data_NK_Upcoming!Concatenated_Wellname,0))=0,"",INDEX(Well_Data_NK_Upcoming!$R$2:$R$996,MATCH(Rig_Schedule_View!B81,Well_Data_NK_Upcoming!Concatenated_Wellname,0)))</f>
        <v/>
      </c>
      <c r="H81" s="74"/>
      <c r="I81" s="443" t="str">
        <f ca="1">RigScheduleTest!$BH$7</f>
        <v/>
      </c>
      <c r="J81" s="443" t="str">
        <f ca="1">RigScheduleTest!$BI$7</f>
        <v/>
      </c>
      <c r="K81" s="413"/>
      <c r="L81" s="546"/>
      <c r="M81" s="544"/>
      <c r="N81" s="545"/>
      <c r="O81" s="545"/>
      <c r="P81" s="551"/>
    </row>
    <row r="82" spans="1:16" x14ac:dyDescent="0.25">
      <c r="A82" s="442" t="str">
        <f>RigScheduleTest!$B$7</f>
        <v>KDC-49</v>
      </c>
      <c r="B82" s="442" t="str">
        <f ca="1">RigScheduleTest!$BK$7</f>
        <v/>
      </c>
      <c r="C82" s="421" t="str">
        <f ca="1">IF(INDEX(Well_Data_NK_Upcoming!$G$2:$G$996,MATCH(Rig_Schedule_View!B82,Well_Data_NK_Upcoming!Concatenated_Wellname,0))=0,"",INDEX(Well_Data_NK_Upcoming!$G$2:$G$996,MATCH(Rig_Schedule_View!B82,Well_Data_NK_Upcoming!Concatenated_Wellname,0)))</f>
        <v/>
      </c>
      <c r="D82" s="421" t="str">
        <f ca="1">IF(INDEX(Well_Data_NK_Upcoming!$K$2:$K$996,MATCH(Rig_Schedule_View!B82,Well_Data_NK_Upcoming!Concatenated_Wellname,0))=0,"",INDEX(Well_Data_NK_Upcoming!$K$2:$K$996,MATCH(Rig_Schedule_View!B82,Well_Data_NK_Upcoming!Concatenated_Wellname,0)))</f>
        <v/>
      </c>
      <c r="E82" s="421" t="str">
        <f ca="1">IF(INDEX(Well_Data_NK_Upcoming!$J$2:$J$996,MATCH(Rig_Schedule_View!B82,Well_Data_NK_Upcoming!Concatenated_Wellname,0))=0,"",INDEX(Well_Data_NK_Upcoming!$J$2:$J$996,MATCH(Rig_Schedule_View!B82,Well_Data_NK_Upcoming!Concatenated_Wellname,0)))</f>
        <v/>
      </c>
      <c r="F82" s="421" t="str">
        <f ca="1">IF(INDEX(Well_Data_NK_Upcoming!$L$2:$L$996,MATCH(Rig_Schedule_View!B82,Well_Data_NK_Upcoming!Concatenated_Wellname,0))=0,"",INDEX(Well_Data_NK_Upcoming!$L$2:$L$996,MATCH(Rig_Schedule_View!B82,Well_Data_NK_Upcoming!Concatenated_Wellname,0)))</f>
        <v/>
      </c>
      <c r="G82" s="421" t="str">
        <f ca="1">IF(INDEX(Well_Data_NK_Upcoming!$R$2:$R$996,MATCH(Rig_Schedule_View!B82,Well_Data_NK_Upcoming!Concatenated_Wellname,0))=0,"",INDEX(Well_Data_NK_Upcoming!$R$2:$R$996,MATCH(Rig_Schedule_View!B82,Well_Data_NK_Upcoming!Concatenated_Wellname,0)))</f>
        <v/>
      </c>
      <c r="H82" s="74"/>
      <c r="I82" s="443" t="str">
        <f ca="1">RigScheduleTest!$BN$7</f>
        <v/>
      </c>
      <c r="J82" s="443" t="str">
        <f ca="1">RigScheduleTest!$BO$7</f>
        <v/>
      </c>
      <c r="K82" s="413"/>
      <c r="L82" s="546"/>
      <c r="M82" s="544"/>
      <c r="N82" s="545"/>
      <c r="O82" s="545"/>
      <c r="P82" s="551"/>
    </row>
    <row r="83" spans="1:16" x14ac:dyDescent="0.25">
      <c r="A83" s="437" t="str">
        <f>RigScheduleTest!$B$1</f>
        <v>RIG</v>
      </c>
      <c r="B83" s="437" t="str">
        <f>$K$1</f>
        <v>Development Drilling</v>
      </c>
      <c r="C83" s="437" t="s">
        <v>1831</v>
      </c>
      <c r="D83" s="437" t="s">
        <v>867</v>
      </c>
      <c r="E83" s="437" t="s">
        <v>8</v>
      </c>
      <c r="F83" s="437" t="s">
        <v>2</v>
      </c>
      <c r="G83" s="437" t="s">
        <v>1513</v>
      </c>
      <c r="H83" s="438" t="str">
        <f>$K$3</f>
        <v>Rig Deployment Meeting</v>
      </c>
      <c r="I83" s="439" t="str">
        <f>$K$5</f>
        <v>Start</v>
      </c>
      <c r="J83" s="439" t="str">
        <f>$K$6</f>
        <v>End</v>
      </c>
      <c r="K83" s="444" t="s">
        <v>1068</v>
      </c>
      <c r="L83" s="444" t="s">
        <v>1577</v>
      </c>
      <c r="M83" s="496" t="s">
        <v>1934</v>
      </c>
      <c r="N83" s="504" t="s">
        <v>1940</v>
      </c>
      <c r="O83" s="504" t="s">
        <v>1941</v>
      </c>
      <c r="P83" s="502"/>
    </row>
    <row r="84" spans="1:16" x14ac:dyDescent="0.25">
      <c r="A84" s="442" t="str">
        <f>RigScheduleTest!$B$8</f>
        <v>NDSC-15</v>
      </c>
      <c r="B84" s="421" t="str">
        <f ca="1">RigScheduleTest!$D$8</f>
        <v>RA-0590-RA-UB-Prod-NW-HZ-WFD</v>
      </c>
      <c r="C84" s="421" t="str">
        <f ca="1">IF(INDEX(Well_Data_NK_Upcoming!$G$2:$G$996,MATCH(Rig_Schedule_View!B84,Well_Data_NK_Upcoming!Concatenated_Wellname,0))=0,"",INDEX(Well_Data_NK_Upcoming!$G$2:$G$996,MATCH(Rig_Schedule_View!B84,Well_Data_NK_Upcoming!Concatenated_Wellname,0)))</f>
        <v>UB</v>
      </c>
      <c r="D84" s="421" t="str">
        <f ca="1">IF(INDEX(Well_Data_NK_Upcoming!$K$2:$K$996,MATCH(Rig_Schedule_View!B84,Well_Data_NK_Upcoming!Concatenated_Wellname,0))=0,"",INDEX(Well_Data_NK_Upcoming!$K$2:$K$996,MATCH(Rig_Schedule_View!B84,Well_Data_NK_Upcoming!Concatenated_Wellname,0)))</f>
        <v>NW</v>
      </c>
      <c r="E84" s="421" t="str">
        <f ca="1">IF(INDEX(Well_Data_NK_Upcoming!$J$2:$J$996,MATCH(Rig_Schedule_View!B84,Well_Data_NK_Upcoming!Concatenated_Wellname,0))=0,"",INDEX(Well_Data_NK_Upcoming!$J$2:$J$996,MATCH(Rig_Schedule_View!B84,Well_Data_NK_Upcoming!Concatenated_Wellname,0)))</f>
        <v>Prod</v>
      </c>
      <c r="F84" s="421" t="str">
        <f ca="1">IF(INDEX(Well_Data_NK_Upcoming!$L$2:$L$996,MATCH(Rig_Schedule_View!B84,Well_Data_NK_Upcoming!Concatenated_Wellname,0))=0,"",INDEX(Well_Data_NK_Upcoming!$L$2:$L$996,MATCH(Rig_Schedule_View!B84,Well_Data_NK_Upcoming!Concatenated_Wellname,0)))</f>
        <v>HZ</v>
      </c>
      <c r="G84" s="421">
        <f ca="1">IF(INDEX(Well_Data_NK_Upcoming!$R$2:$R$996,MATCH(Rig_Schedule_View!B84,Well_Data_NK_Upcoming!Concatenated_Wellname,0))=0,"",INDEX(Well_Data_NK_Upcoming!$R$2:$R$996,MATCH(Rig_Schedule_View!B84,Well_Data_NK_Upcoming!Concatenated_Wellname,0)))</f>
        <v>75</v>
      </c>
      <c r="H84" s="74">
        <f>RigScheduleTest!$F$8</f>
        <v>42233</v>
      </c>
      <c r="I84" s="459" t="str">
        <f ca="1">IF(INDEX(Well_Data_NK_Upcoming!$O$2:$O$996,MATCH(Rig_Schedule_View!B84,Well_Data_NK_Upcoming!Concatenated_Wellname,0))=0,"",INDEX(Well_Data_NK_Upcoming!$O$2:$O$996,MATCH(Rig_Schedule_View!B84,Well_Data_NK_Upcoming!Concatenated_Wellname,0)))</f>
        <v>RigMove</v>
      </c>
      <c r="J84" s="446" t="str">
        <f ca="1">RigScheduleTest!$H$8</f>
        <v/>
      </c>
      <c r="K84" s="493" t="s">
        <v>1917</v>
      </c>
      <c r="L84" s="543"/>
      <c r="M84" s="544">
        <v>2</v>
      </c>
      <c r="N84" s="545"/>
      <c r="O84" s="545"/>
      <c r="P84" s="551"/>
    </row>
    <row r="85" spans="1:16" x14ac:dyDescent="0.25">
      <c r="A85" s="442" t="str">
        <f>RigScheduleTest!$B$8</f>
        <v>NDSC-15</v>
      </c>
      <c r="B85" s="441" t="str">
        <f ca="1">RigScheduleTest!$I$8</f>
        <v>SA-0603-SA-MA-Prod-NW-HZ-Sperry</v>
      </c>
      <c r="C85" s="421" t="str">
        <f ca="1">IF(INDEX(Well_Data_NK_Upcoming!$G$2:$G$996,MATCH(Rig_Schedule_View!B85,Well_Data_NK_Upcoming!Concatenated_Wellname,0))=0,"",INDEX(Well_Data_NK_Upcoming!$G$2:$G$996,MATCH(Rig_Schedule_View!B85,Well_Data_NK_Upcoming!Concatenated_Wellname,0)))</f>
        <v>MA</v>
      </c>
      <c r="D85" s="421" t="str">
        <f ca="1">IF(INDEX(Well_Data_NK_Upcoming!$K$2:$K$996,MATCH(Rig_Schedule_View!B85,Well_Data_NK_Upcoming!Concatenated_Wellname,0))=0,"",INDEX(Well_Data_NK_Upcoming!$K$2:$K$996,MATCH(Rig_Schedule_View!B85,Well_Data_NK_Upcoming!Concatenated_Wellname,0)))</f>
        <v>NW</v>
      </c>
      <c r="E85" s="421" t="str">
        <f ca="1">IF(INDEX(Well_Data_NK_Upcoming!$J$2:$J$996,MATCH(Rig_Schedule_View!B85,Well_Data_NK_Upcoming!Concatenated_Wellname,0))=0,"",INDEX(Well_Data_NK_Upcoming!$J$2:$J$996,MATCH(Rig_Schedule_View!B85,Well_Data_NK_Upcoming!Concatenated_Wellname,0)))</f>
        <v>Prod</v>
      </c>
      <c r="F85" s="421" t="str">
        <f ca="1">IF(INDEX(Well_Data_NK_Upcoming!$L$2:$L$996,MATCH(Rig_Schedule_View!B85,Well_Data_NK_Upcoming!Concatenated_Wellname,0))=0,"",INDEX(Well_Data_NK_Upcoming!$L$2:$L$996,MATCH(Rig_Schedule_View!B85,Well_Data_NK_Upcoming!Concatenated_Wellname,0)))</f>
        <v>HZ</v>
      </c>
      <c r="G85" s="421">
        <f ca="1">IF(INDEX(Well_Data_NK_Upcoming!$R$2:$R$996,MATCH(Rig_Schedule_View!B85,Well_Data_NK_Upcoming!Concatenated_Wellname,0))=0,"",INDEX(Well_Data_NK_Upcoming!$R$2:$R$996,MATCH(Rig_Schedule_View!B85,Well_Data_NK_Upcoming!Concatenated_Wellname,0)))</f>
        <v>75</v>
      </c>
      <c r="H85" s="74"/>
      <c r="I85" s="440" t="str">
        <f ca="1">RigScheduleTest!$L$8</f>
        <v/>
      </c>
      <c r="J85" s="440" t="str">
        <f ca="1">RigScheduleTest!$M$8</f>
        <v/>
      </c>
      <c r="K85" s="413"/>
      <c r="L85" s="546" t="s">
        <v>2222</v>
      </c>
      <c r="M85" s="544"/>
      <c r="N85" s="545" t="s">
        <v>1981</v>
      </c>
      <c r="O85" s="545" t="s">
        <v>1981</v>
      </c>
      <c r="P85" s="551"/>
    </row>
    <row r="86" spans="1:16" x14ac:dyDescent="0.25">
      <c r="A86" s="442" t="str">
        <f>RigScheduleTest!$B$8</f>
        <v>NDSC-15</v>
      </c>
      <c r="B86" s="441" t="str">
        <f ca="1">RigScheduleTest!$O$8</f>
        <v>SA3-SA-UB-Prod-NW-SL</v>
      </c>
      <c r="C86" s="421" t="str">
        <f ca="1">IF(INDEX(Well_Data_NK_Upcoming!$G$2:$G$996,MATCH(Rig_Schedule_View!B86,Well_Data_NK_Upcoming!Concatenated_Wellname,0))=0,"",INDEX(Well_Data_NK_Upcoming!$G$2:$G$996,MATCH(Rig_Schedule_View!B86,Well_Data_NK_Upcoming!Concatenated_Wellname,0)))</f>
        <v>UB</v>
      </c>
      <c r="D86" s="421" t="str">
        <f ca="1">IF(INDEX(Well_Data_NK_Upcoming!$K$2:$K$996,MATCH(Rig_Schedule_View!B86,Well_Data_NK_Upcoming!Concatenated_Wellname,0))=0,"",INDEX(Well_Data_NK_Upcoming!$K$2:$K$996,MATCH(Rig_Schedule_View!B86,Well_Data_NK_Upcoming!Concatenated_Wellname,0)))</f>
        <v>NW</v>
      </c>
      <c r="E86" s="421" t="str">
        <f ca="1">IF(INDEX(Well_Data_NK_Upcoming!$J$2:$J$996,MATCH(Rig_Schedule_View!B86,Well_Data_NK_Upcoming!Concatenated_Wellname,0))=0,"",INDEX(Well_Data_NK_Upcoming!$J$2:$J$996,MATCH(Rig_Schedule_View!B86,Well_Data_NK_Upcoming!Concatenated_Wellname,0)))</f>
        <v>Prod</v>
      </c>
      <c r="F86" s="421" t="str">
        <f ca="1">IF(INDEX(Well_Data_NK_Upcoming!$L$2:$L$996,MATCH(Rig_Schedule_View!B86,Well_Data_NK_Upcoming!Concatenated_Wellname,0))=0,"",INDEX(Well_Data_NK_Upcoming!$L$2:$L$996,MATCH(Rig_Schedule_View!B86,Well_Data_NK_Upcoming!Concatenated_Wellname,0)))</f>
        <v>SL</v>
      </c>
      <c r="G86" s="421">
        <f ca="1">IF(INDEX(Well_Data_NK_Upcoming!$R$2:$R$996,MATCH(Rig_Schedule_View!B86,Well_Data_NK_Upcoming!Concatenated_Wellname,0))=0,"",INDEX(Well_Data_NK_Upcoming!$R$2:$R$996,MATCH(Rig_Schedule_View!B86,Well_Data_NK_Upcoming!Concatenated_Wellname,0)))</f>
        <v>75</v>
      </c>
      <c r="H86" s="74"/>
      <c r="I86" s="440" t="str">
        <f ca="1">RigScheduleTest!$R$8</f>
        <v/>
      </c>
      <c r="J86" s="440" t="str">
        <f ca="1">RigScheduleTest!$S$8</f>
        <v/>
      </c>
      <c r="K86" s="413"/>
      <c r="L86" s="546"/>
      <c r="M86" s="544"/>
      <c r="N86" s="545" t="s">
        <v>2229</v>
      </c>
      <c r="O86" s="545"/>
      <c r="P86" s="551"/>
    </row>
    <row r="87" spans="1:16" x14ac:dyDescent="0.25">
      <c r="A87" s="442" t="str">
        <f>RigScheduleTest!$B$8</f>
        <v>NDSC-15</v>
      </c>
      <c r="B87" s="442" t="str">
        <f ca="1">RigScheduleTest!$U$8</f>
        <v>SA-0471-SA-LB-Prod-ST-HZ</v>
      </c>
      <c r="C87" s="421" t="str">
        <f ca="1">IF(INDEX(Well_Data_NK_Upcoming!$G$2:$G$996,MATCH(Rig_Schedule_View!B87,Well_Data_NK_Upcoming!Concatenated_Wellname,0))=0,"",INDEX(Well_Data_NK_Upcoming!$G$2:$G$996,MATCH(Rig_Schedule_View!B87,Well_Data_NK_Upcoming!Concatenated_Wellname,0)))</f>
        <v>LB</v>
      </c>
      <c r="D87" s="421" t="str">
        <f ca="1">IF(INDEX(Well_Data_NK_Upcoming!$K$2:$K$996,MATCH(Rig_Schedule_View!B87,Well_Data_NK_Upcoming!Concatenated_Wellname,0))=0,"",INDEX(Well_Data_NK_Upcoming!$K$2:$K$996,MATCH(Rig_Schedule_View!B87,Well_Data_NK_Upcoming!Concatenated_Wellname,0)))</f>
        <v>ST</v>
      </c>
      <c r="E87" s="421" t="str">
        <f ca="1">IF(INDEX(Well_Data_NK_Upcoming!$J$2:$J$996,MATCH(Rig_Schedule_View!B87,Well_Data_NK_Upcoming!Concatenated_Wellname,0))=0,"",INDEX(Well_Data_NK_Upcoming!$J$2:$J$996,MATCH(Rig_Schedule_View!B87,Well_Data_NK_Upcoming!Concatenated_Wellname,0)))</f>
        <v>Prod</v>
      </c>
      <c r="F87" s="421" t="str">
        <f ca="1">IF(INDEX(Well_Data_NK_Upcoming!$L$2:$L$996,MATCH(Rig_Schedule_View!B87,Well_Data_NK_Upcoming!Concatenated_Wellname,0))=0,"",INDEX(Well_Data_NK_Upcoming!$L$2:$L$996,MATCH(Rig_Schedule_View!B87,Well_Data_NK_Upcoming!Concatenated_Wellname,0)))</f>
        <v>HZ</v>
      </c>
      <c r="G87" s="421">
        <f ca="1">IF(INDEX(Well_Data_NK_Upcoming!$R$2:$R$996,MATCH(Rig_Schedule_View!B87,Well_Data_NK_Upcoming!Concatenated_Wellname,0))=0,"",INDEX(Well_Data_NK_Upcoming!$R$2:$R$996,MATCH(Rig_Schedule_View!B87,Well_Data_NK_Upcoming!Concatenated_Wellname,0)))</f>
        <v>75</v>
      </c>
      <c r="H87" s="74"/>
      <c r="I87" s="443" t="str">
        <f ca="1">RigScheduleTest!$X$8</f>
        <v/>
      </c>
      <c r="J87" s="443" t="str">
        <f ca="1">RigScheduleTest!$Y$8</f>
        <v/>
      </c>
      <c r="K87" s="413"/>
      <c r="L87" s="546"/>
      <c r="M87" s="544"/>
      <c r="N87" s="545"/>
      <c r="O87" s="545"/>
      <c r="P87" s="551"/>
    </row>
    <row r="88" spans="1:16" x14ac:dyDescent="0.25">
      <c r="A88" s="442" t="str">
        <f>RigScheduleTest!$B$8</f>
        <v>NDSC-15</v>
      </c>
      <c r="B88" s="442" t="str">
        <f ca="1">RigScheduleTest!$AA$8</f>
        <v>RA19-RA-ZU-Prod-NW-HZ-SLB</v>
      </c>
      <c r="C88" s="421" t="str">
        <f ca="1">IF(INDEX(Well_Data_NK_Upcoming!$G$2:$G$996,MATCH(Rig_Schedule_View!B88,Well_Data_NK_Upcoming!Concatenated_Wellname,0))=0,"",INDEX(Well_Data_NK_Upcoming!$G$2:$G$996,MATCH(Rig_Schedule_View!B88,Well_Data_NK_Upcoming!Concatenated_Wellname,0)))</f>
        <v>ZU</v>
      </c>
      <c r="D88" s="421" t="str">
        <f ca="1">IF(INDEX(Well_Data_NK_Upcoming!$K$2:$K$996,MATCH(Rig_Schedule_View!B88,Well_Data_NK_Upcoming!Concatenated_Wellname,0))=0,"",INDEX(Well_Data_NK_Upcoming!$K$2:$K$996,MATCH(Rig_Schedule_View!B88,Well_Data_NK_Upcoming!Concatenated_Wellname,0)))</f>
        <v>NW</v>
      </c>
      <c r="E88" s="421" t="str">
        <f ca="1">IF(INDEX(Well_Data_NK_Upcoming!$J$2:$J$996,MATCH(Rig_Schedule_View!B88,Well_Data_NK_Upcoming!Concatenated_Wellname,0))=0,"",INDEX(Well_Data_NK_Upcoming!$J$2:$J$996,MATCH(Rig_Schedule_View!B88,Well_Data_NK_Upcoming!Concatenated_Wellname,0)))</f>
        <v>Prod</v>
      </c>
      <c r="F88" s="421" t="str">
        <f ca="1">IF(INDEX(Well_Data_NK_Upcoming!$L$2:$L$996,MATCH(Rig_Schedule_View!B88,Well_Data_NK_Upcoming!Concatenated_Wellname,0))=0,"",INDEX(Well_Data_NK_Upcoming!$L$2:$L$996,MATCH(Rig_Schedule_View!B88,Well_Data_NK_Upcoming!Concatenated_Wellname,0)))</f>
        <v>HZ</v>
      </c>
      <c r="G88" s="421">
        <f ca="1">IF(INDEX(Well_Data_NK_Upcoming!$R$2:$R$996,MATCH(Rig_Schedule_View!B88,Well_Data_NK_Upcoming!Concatenated_Wellname,0))=0,"",INDEX(Well_Data_NK_Upcoming!$R$2:$R$996,MATCH(Rig_Schedule_View!B88,Well_Data_NK_Upcoming!Concatenated_Wellname,0)))</f>
        <v>103</v>
      </c>
      <c r="H88" s="74"/>
      <c r="I88" s="443" t="str">
        <f ca="1">RigScheduleTest!$AD$8</f>
        <v/>
      </c>
      <c r="J88" s="443" t="str">
        <f ca="1">RigScheduleTest!$AE$8</f>
        <v/>
      </c>
      <c r="K88" s="413"/>
      <c r="L88" s="546"/>
      <c r="M88" s="544"/>
      <c r="N88" s="545"/>
      <c r="O88" s="545"/>
      <c r="P88" s="551"/>
    </row>
    <row r="89" spans="1:16" x14ac:dyDescent="0.25">
      <c r="A89" s="442" t="str">
        <f>RigScheduleTest!$B$8</f>
        <v>NDSC-15</v>
      </c>
      <c r="B89" s="442" t="str">
        <f ca="1">RigScheduleTest!$AG$8</f>
        <v>SA47-SA-MA-Inj-NW-HZ</v>
      </c>
      <c r="C89" s="421" t="str">
        <f ca="1">IF(INDEX(Well_Data_NK_Upcoming!$G$2:$G$996,MATCH(Rig_Schedule_View!B89,Well_Data_NK_Upcoming!Concatenated_Wellname,0))=0,"",INDEX(Well_Data_NK_Upcoming!$G$2:$G$996,MATCH(Rig_Schedule_View!B89,Well_Data_NK_Upcoming!Concatenated_Wellname,0)))</f>
        <v>MA</v>
      </c>
      <c r="D89" s="421" t="str">
        <f ca="1">IF(INDEX(Well_Data_NK_Upcoming!$K$2:$K$996,MATCH(Rig_Schedule_View!B89,Well_Data_NK_Upcoming!Concatenated_Wellname,0))=0,"",INDEX(Well_Data_NK_Upcoming!$K$2:$K$996,MATCH(Rig_Schedule_View!B89,Well_Data_NK_Upcoming!Concatenated_Wellname,0)))</f>
        <v>NW</v>
      </c>
      <c r="E89" s="421" t="str">
        <f ca="1">IF(INDEX(Well_Data_NK_Upcoming!$J$2:$J$996,MATCH(Rig_Schedule_View!B89,Well_Data_NK_Upcoming!Concatenated_Wellname,0))=0,"",INDEX(Well_Data_NK_Upcoming!$J$2:$J$996,MATCH(Rig_Schedule_View!B89,Well_Data_NK_Upcoming!Concatenated_Wellname,0)))</f>
        <v>Inj</v>
      </c>
      <c r="F89" s="421" t="str">
        <f ca="1">IF(INDEX(Well_Data_NK_Upcoming!$L$2:$L$996,MATCH(Rig_Schedule_View!B89,Well_Data_NK_Upcoming!Concatenated_Wellname,0))=0,"",INDEX(Well_Data_NK_Upcoming!$L$2:$L$996,MATCH(Rig_Schedule_View!B89,Well_Data_NK_Upcoming!Concatenated_Wellname,0)))</f>
        <v>HZ</v>
      </c>
      <c r="G89" s="421">
        <f ca="1">IF(INDEX(Well_Data_NK_Upcoming!$R$2:$R$996,MATCH(Rig_Schedule_View!B89,Well_Data_NK_Upcoming!Concatenated_Wellname,0))=0,"",INDEX(Well_Data_NK_Upcoming!$R$2:$R$996,MATCH(Rig_Schedule_View!B89,Well_Data_NK_Upcoming!Concatenated_Wellname,0)))</f>
        <v>68</v>
      </c>
      <c r="H89" s="74"/>
      <c r="I89" s="443" t="str">
        <f ca="1">RigScheduleTest!$AJ$8</f>
        <v/>
      </c>
      <c r="J89" s="443" t="str">
        <f ca="1">RigScheduleTest!$AK$8</f>
        <v/>
      </c>
      <c r="K89" s="413"/>
      <c r="L89" s="546"/>
      <c r="M89" s="544"/>
      <c r="N89" s="545"/>
      <c r="O89" s="545"/>
      <c r="P89" s="551"/>
    </row>
    <row r="90" spans="1:16" x14ac:dyDescent="0.25">
      <c r="A90" s="442" t="str">
        <f>RigScheduleTest!$B$8</f>
        <v>NDSC-15</v>
      </c>
      <c r="B90" s="442" t="str">
        <f ca="1">RigScheduleTest!$AM$8</f>
        <v>RA35-RA-LB-Prod-NW-SL-SLB</v>
      </c>
      <c r="C90" s="421" t="str">
        <f ca="1">IF(INDEX(Well_Data_NK_Upcoming!$G$2:$G$996,MATCH(Rig_Schedule_View!B90,Well_Data_NK_Upcoming!Concatenated_Wellname,0))=0,"",INDEX(Well_Data_NK_Upcoming!$G$2:$G$996,MATCH(Rig_Schedule_View!B90,Well_Data_NK_Upcoming!Concatenated_Wellname,0)))</f>
        <v>LB</v>
      </c>
      <c r="D90" s="421" t="str">
        <f ca="1">IF(INDEX(Well_Data_NK_Upcoming!$K$2:$K$996,MATCH(Rig_Schedule_View!B90,Well_Data_NK_Upcoming!Concatenated_Wellname,0))=0,"",INDEX(Well_Data_NK_Upcoming!$K$2:$K$996,MATCH(Rig_Schedule_View!B90,Well_Data_NK_Upcoming!Concatenated_Wellname,0)))</f>
        <v>NW</v>
      </c>
      <c r="E90" s="421" t="str">
        <f ca="1">IF(INDEX(Well_Data_NK_Upcoming!$J$2:$J$996,MATCH(Rig_Schedule_View!B90,Well_Data_NK_Upcoming!Concatenated_Wellname,0))=0,"",INDEX(Well_Data_NK_Upcoming!$J$2:$J$996,MATCH(Rig_Schedule_View!B90,Well_Data_NK_Upcoming!Concatenated_Wellname,0)))</f>
        <v>Prod</v>
      </c>
      <c r="F90" s="421" t="str">
        <f ca="1">IF(INDEX(Well_Data_NK_Upcoming!$L$2:$L$996,MATCH(Rig_Schedule_View!B90,Well_Data_NK_Upcoming!Concatenated_Wellname,0))=0,"",INDEX(Well_Data_NK_Upcoming!$L$2:$L$996,MATCH(Rig_Schedule_View!B90,Well_Data_NK_Upcoming!Concatenated_Wellname,0)))</f>
        <v>SL</v>
      </c>
      <c r="G90" s="421">
        <f ca="1">IF(INDEX(Well_Data_NK_Upcoming!$R$2:$R$996,MATCH(Rig_Schedule_View!B90,Well_Data_NK_Upcoming!Concatenated_Wellname,0))=0,"",INDEX(Well_Data_NK_Upcoming!$R$2:$R$996,MATCH(Rig_Schedule_View!B90,Well_Data_NK_Upcoming!Concatenated_Wellname,0)))</f>
        <v>75</v>
      </c>
      <c r="H90" s="74"/>
      <c r="I90" s="443" t="str">
        <f ca="1">RigScheduleTest!$AP$8</f>
        <v/>
      </c>
      <c r="J90" s="443" t="str">
        <f ca="1">RigScheduleTest!$AQ$8</f>
        <v/>
      </c>
      <c r="K90" s="413"/>
      <c r="L90" s="546"/>
      <c r="M90" s="544"/>
      <c r="N90" s="545"/>
      <c r="O90" s="545"/>
      <c r="P90" s="551"/>
    </row>
    <row r="91" spans="1:16" x14ac:dyDescent="0.25">
      <c r="A91" s="442" t="str">
        <f>RigScheduleTest!$B$8</f>
        <v>NDSC-15</v>
      </c>
      <c r="B91" s="442" t="str">
        <f ca="1">RigScheduleTest!$AS$8</f>
        <v>RA41-RA-UB-Prod-NW-HZ-SLB</v>
      </c>
      <c r="C91" s="421" t="str">
        <f ca="1">IF(INDEX(Well_Data_NK_Upcoming!$G$2:$G$996,MATCH(Rig_Schedule_View!B91,Well_Data_NK_Upcoming!Concatenated_Wellname,0))=0,"",INDEX(Well_Data_NK_Upcoming!$G$2:$G$996,MATCH(Rig_Schedule_View!B91,Well_Data_NK_Upcoming!Concatenated_Wellname,0)))</f>
        <v>UB</v>
      </c>
      <c r="D91" s="421" t="str">
        <f ca="1">IF(INDEX(Well_Data_NK_Upcoming!$K$2:$K$996,MATCH(Rig_Schedule_View!B91,Well_Data_NK_Upcoming!Concatenated_Wellname,0))=0,"",INDEX(Well_Data_NK_Upcoming!$K$2:$K$996,MATCH(Rig_Schedule_View!B91,Well_Data_NK_Upcoming!Concatenated_Wellname,0)))</f>
        <v>NW</v>
      </c>
      <c r="E91" s="421" t="str">
        <f ca="1">IF(INDEX(Well_Data_NK_Upcoming!$J$2:$J$996,MATCH(Rig_Schedule_View!B91,Well_Data_NK_Upcoming!Concatenated_Wellname,0))=0,"",INDEX(Well_Data_NK_Upcoming!$J$2:$J$996,MATCH(Rig_Schedule_View!B91,Well_Data_NK_Upcoming!Concatenated_Wellname,0)))</f>
        <v>Prod</v>
      </c>
      <c r="F91" s="421" t="str">
        <f ca="1">IF(INDEX(Well_Data_NK_Upcoming!$L$2:$L$996,MATCH(Rig_Schedule_View!B91,Well_Data_NK_Upcoming!Concatenated_Wellname,0))=0,"",INDEX(Well_Data_NK_Upcoming!$L$2:$L$996,MATCH(Rig_Schedule_View!B91,Well_Data_NK_Upcoming!Concatenated_Wellname,0)))</f>
        <v>HZ</v>
      </c>
      <c r="G91" s="421">
        <f ca="1">IF(INDEX(Well_Data_NK_Upcoming!$R$2:$R$996,MATCH(Rig_Schedule_View!B91,Well_Data_NK_Upcoming!Concatenated_Wellname,0))=0,"",INDEX(Well_Data_NK_Upcoming!$R$2:$R$996,MATCH(Rig_Schedule_View!B91,Well_Data_NK_Upcoming!Concatenated_Wellname,0)))</f>
        <v>75</v>
      </c>
      <c r="H91" s="74"/>
      <c r="I91" s="443" t="str">
        <f ca="1">RigScheduleTest!$AV$8</f>
        <v/>
      </c>
      <c r="J91" s="443" t="str">
        <f ca="1">RigScheduleTest!$AW$8</f>
        <v/>
      </c>
      <c r="K91" s="413"/>
      <c r="L91" s="546"/>
      <c r="M91" s="544"/>
      <c r="N91" s="545"/>
      <c r="O91" s="545"/>
      <c r="P91" s="551"/>
    </row>
    <row r="92" spans="1:16" x14ac:dyDescent="0.25">
      <c r="A92" s="442" t="str">
        <f>RigScheduleTest!$B$8</f>
        <v>NDSC-15</v>
      </c>
      <c r="B92" s="442" t="str">
        <f ca="1">RigScheduleTest!$AY$8</f>
        <v>RQ-RQ-ZU-Prod-NW-HZ</v>
      </c>
      <c r="C92" s="421" t="str">
        <f ca="1">IF(INDEX(Well_Data_NK_Upcoming!$G$2:$G$996,MATCH(Rig_Schedule_View!B92,Well_Data_NK_Upcoming!Concatenated_Wellname,0))=0,"",INDEX(Well_Data_NK_Upcoming!$G$2:$G$996,MATCH(Rig_Schedule_View!B92,Well_Data_NK_Upcoming!Concatenated_Wellname,0)))</f>
        <v>ZU</v>
      </c>
      <c r="D92" s="421" t="str">
        <f ca="1">IF(INDEX(Well_Data_NK_Upcoming!$K$2:$K$996,MATCH(Rig_Schedule_View!B92,Well_Data_NK_Upcoming!Concatenated_Wellname,0))=0,"",INDEX(Well_Data_NK_Upcoming!$K$2:$K$996,MATCH(Rig_Schedule_View!B92,Well_Data_NK_Upcoming!Concatenated_Wellname,0)))</f>
        <v>NW</v>
      </c>
      <c r="E92" s="421" t="str">
        <f ca="1">IF(INDEX(Well_Data_NK_Upcoming!$J$2:$J$996,MATCH(Rig_Schedule_View!B92,Well_Data_NK_Upcoming!Concatenated_Wellname,0))=0,"",INDEX(Well_Data_NK_Upcoming!$J$2:$J$996,MATCH(Rig_Schedule_View!B92,Well_Data_NK_Upcoming!Concatenated_Wellname,0)))</f>
        <v>Prod</v>
      </c>
      <c r="F92" s="421" t="str">
        <f ca="1">IF(INDEX(Well_Data_NK_Upcoming!$L$2:$L$996,MATCH(Rig_Schedule_View!B92,Well_Data_NK_Upcoming!Concatenated_Wellname,0))=0,"",INDEX(Well_Data_NK_Upcoming!$L$2:$L$996,MATCH(Rig_Schedule_View!B92,Well_Data_NK_Upcoming!Concatenated_Wellname,0)))</f>
        <v>HZ</v>
      </c>
      <c r="G92" s="421">
        <f ca="1">IF(INDEX(Well_Data_NK_Upcoming!$R$2:$R$996,MATCH(Rig_Schedule_View!B92,Well_Data_NK_Upcoming!Concatenated_Wellname,0))=0,"",INDEX(Well_Data_NK_Upcoming!$R$2:$R$996,MATCH(Rig_Schedule_View!B92,Well_Data_NK_Upcoming!Concatenated_Wellname,0)))</f>
        <v>103</v>
      </c>
      <c r="H92" s="74"/>
      <c r="I92" s="443" t="str">
        <f ca="1">RigScheduleTest!$BB$8</f>
        <v/>
      </c>
      <c r="J92" s="443" t="str">
        <f ca="1">RigScheduleTest!$BC$8</f>
        <v/>
      </c>
      <c r="K92" s="413"/>
      <c r="L92" s="546"/>
      <c r="M92" s="544"/>
      <c r="N92" s="545"/>
      <c r="O92" s="545"/>
      <c r="P92" s="551"/>
    </row>
    <row r="93" spans="1:16" x14ac:dyDescent="0.25">
      <c r="A93" s="442" t="str">
        <f>RigScheduleTest!$B$8</f>
        <v>NDSC-15</v>
      </c>
      <c r="B93" s="442" t="str">
        <f ca="1">RigScheduleTest!$BE$8</f>
        <v/>
      </c>
      <c r="C93" s="421" t="str">
        <f ca="1">IF(INDEX(Well_Data_NK_Upcoming!$G$2:$G$996,MATCH(Rig_Schedule_View!B93,Well_Data_NK_Upcoming!Concatenated_Wellname,0))=0,"",INDEX(Well_Data_NK_Upcoming!$G$2:$G$996,MATCH(Rig_Schedule_View!B93,Well_Data_NK_Upcoming!Concatenated_Wellname,0)))</f>
        <v/>
      </c>
      <c r="D93" s="421" t="str">
        <f ca="1">IF(INDEX(Well_Data_NK_Upcoming!$K$2:$K$996,MATCH(Rig_Schedule_View!B93,Well_Data_NK_Upcoming!Concatenated_Wellname,0))=0,"",INDEX(Well_Data_NK_Upcoming!$K$2:$K$996,MATCH(Rig_Schedule_View!B93,Well_Data_NK_Upcoming!Concatenated_Wellname,0)))</f>
        <v/>
      </c>
      <c r="E93" s="421" t="str">
        <f ca="1">IF(INDEX(Well_Data_NK_Upcoming!$J$2:$J$996,MATCH(Rig_Schedule_View!B93,Well_Data_NK_Upcoming!Concatenated_Wellname,0))=0,"",INDEX(Well_Data_NK_Upcoming!$J$2:$J$996,MATCH(Rig_Schedule_View!B93,Well_Data_NK_Upcoming!Concatenated_Wellname,0)))</f>
        <v/>
      </c>
      <c r="F93" s="421" t="str">
        <f ca="1">IF(INDEX(Well_Data_NK_Upcoming!$L$2:$L$996,MATCH(Rig_Schedule_View!B93,Well_Data_NK_Upcoming!Concatenated_Wellname,0))=0,"",INDEX(Well_Data_NK_Upcoming!$L$2:$L$996,MATCH(Rig_Schedule_View!B93,Well_Data_NK_Upcoming!Concatenated_Wellname,0)))</f>
        <v/>
      </c>
      <c r="G93" s="421" t="str">
        <f ca="1">IF(INDEX(Well_Data_NK_Upcoming!$R$2:$R$996,MATCH(Rig_Schedule_View!B93,Well_Data_NK_Upcoming!Concatenated_Wellname,0))=0,"",INDEX(Well_Data_NK_Upcoming!$R$2:$R$996,MATCH(Rig_Schedule_View!B93,Well_Data_NK_Upcoming!Concatenated_Wellname,0)))</f>
        <v/>
      </c>
      <c r="H93" s="74"/>
      <c r="I93" s="443" t="str">
        <f ca="1">RigScheduleTest!$BH$8</f>
        <v/>
      </c>
      <c r="J93" s="443" t="str">
        <f ca="1">RigScheduleTest!$BI$8</f>
        <v/>
      </c>
      <c r="K93" s="413"/>
      <c r="L93" s="546"/>
      <c r="M93" s="544"/>
      <c r="N93" s="545"/>
      <c r="O93" s="545"/>
      <c r="P93" s="551"/>
    </row>
    <row r="94" spans="1:16" x14ac:dyDescent="0.25">
      <c r="A94" s="442" t="str">
        <f>RigScheduleTest!$B$8</f>
        <v>NDSC-15</v>
      </c>
      <c r="B94" s="442" t="str">
        <f ca="1">RigScheduleTest!$BK$8</f>
        <v/>
      </c>
      <c r="C94" s="421" t="str">
        <f ca="1">IF(INDEX(Well_Data_NK_Upcoming!$G$2:$G$996,MATCH(Rig_Schedule_View!B94,Well_Data_NK_Upcoming!Concatenated_Wellname,0))=0,"",INDEX(Well_Data_NK_Upcoming!$G$2:$G$996,MATCH(Rig_Schedule_View!B94,Well_Data_NK_Upcoming!Concatenated_Wellname,0)))</f>
        <v/>
      </c>
      <c r="D94" s="421" t="str">
        <f ca="1">IF(INDEX(Well_Data_NK_Upcoming!$K$2:$K$996,MATCH(Rig_Schedule_View!B94,Well_Data_NK_Upcoming!Concatenated_Wellname,0))=0,"",INDEX(Well_Data_NK_Upcoming!$K$2:$K$996,MATCH(Rig_Schedule_View!B94,Well_Data_NK_Upcoming!Concatenated_Wellname,0)))</f>
        <v/>
      </c>
      <c r="E94" s="421" t="str">
        <f ca="1">IF(INDEX(Well_Data_NK_Upcoming!$J$2:$J$996,MATCH(Rig_Schedule_View!B94,Well_Data_NK_Upcoming!Concatenated_Wellname,0))=0,"",INDEX(Well_Data_NK_Upcoming!$J$2:$J$996,MATCH(Rig_Schedule_View!B94,Well_Data_NK_Upcoming!Concatenated_Wellname,0)))</f>
        <v/>
      </c>
      <c r="F94" s="421" t="str">
        <f ca="1">IF(INDEX(Well_Data_NK_Upcoming!$L$2:$L$996,MATCH(Rig_Schedule_View!B94,Well_Data_NK_Upcoming!Concatenated_Wellname,0))=0,"",INDEX(Well_Data_NK_Upcoming!$L$2:$L$996,MATCH(Rig_Schedule_View!B94,Well_Data_NK_Upcoming!Concatenated_Wellname,0)))</f>
        <v/>
      </c>
      <c r="G94" s="421" t="str">
        <f ca="1">IF(INDEX(Well_Data_NK_Upcoming!$R$2:$R$996,MATCH(Rig_Schedule_View!B94,Well_Data_NK_Upcoming!Concatenated_Wellname,0))=0,"",INDEX(Well_Data_NK_Upcoming!$R$2:$R$996,MATCH(Rig_Schedule_View!B94,Well_Data_NK_Upcoming!Concatenated_Wellname,0)))</f>
        <v/>
      </c>
      <c r="H94" s="74"/>
      <c r="I94" s="443" t="str">
        <f ca="1">RigScheduleTest!$BN$8</f>
        <v/>
      </c>
      <c r="J94" s="443" t="str">
        <f ca="1">RigScheduleTest!$BO$8</f>
        <v/>
      </c>
      <c r="K94" s="413"/>
      <c r="L94" s="546"/>
      <c r="M94" s="544"/>
      <c r="N94" s="545"/>
      <c r="O94" s="545"/>
      <c r="P94" s="551"/>
    </row>
    <row r="95" spans="1:16" x14ac:dyDescent="0.25">
      <c r="A95" s="437" t="str">
        <f>RigScheduleTest!$B$1</f>
        <v>RIG</v>
      </c>
      <c r="B95" s="437" t="str">
        <f>$K$1</f>
        <v>Development Drilling</v>
      </c>
      <c r="C95" s="437" t="s">
        <v>1831</v>
      </c>
      <c r="D95" s="437" t="s">
        <v>867</v>
      </c>
      <c r="E95" s="437" t="s">
        <v>8</v>
      </c>
      <c r="F95" s="437" t="s">
        <v>2</v>
      </c>
      <c r="G95" s="437" t="s">
        <v>1513</v>
      </c>
      <c r="H95" s="438" t="str">
        <f>$K$3</f>
        <v>Rig Deployment Meeting</v>
      </c>
      <c r="I95" s="439" t="str">
        <f>$K$5</f>
        <v>Start</v>
      </c>
      <c r="J95" s="439" t="str">
        <f>$K$6</f>
        <v>End</v>
      </c>
      <c r="K95" s="444" t="s">
        <v>1068</v>
      </c>
      <c r="L95" s="444" t="s">
        <v>1577</v>
      </c>
      <c r="M95" s="496" t="s">
        <v>1934</v>
      </c>
      <c r="N95" s="504" t="s">
        <v>1940</v>
      </c>
      <c r="O95" s="504" t="s">
        <v>1941</v>
      </c>
      <c r="P95" s="502"/>
    </row>
    <row r="96" spans="1:16" x14ac:dyDescent="0.25">
      <c r="A96" s="442" t="str">
        <f>RigScheduleTest!$B$9</f>
        <v>NDSC-16</v>
      </c>
      <c r="B96" s="421" t="str">
        <f ca="1">RigScheduleTest!$D$9</f>
        <v>SA-0166-SA-MA-Prod-ST-HZ-SLB</v>
      </c>
      <c r="C96" s="421" t="str">
        <f ca="1">IF(INDEX(Well_Data_NK_Upcoming!$G$2:$G$996,MATCH(Rig_Schedule_View!B96,Well_Data_NK_Upcoming!Concatenated_Wellname,0))=0,"",INDEX(Well_Data_NK_Upcoming!$G$2:$G$996,MATCH(Rig_Schedule_View!B96,Well_Data_NK_Upcoming!Concatenated_Wellname,0)))</f>
        <v>MA</v>
      </c>
      <c r="D96" s="421" t="str">
        <f ca="1">IF(INDEX(Well_Data_NK_Upcoming!$K$2:$K$996,MATCH(Rig_Schedule_View!B96,Well_Data_NK_Upcoming!Concatenated_Wellname,0))=0,"",INDEX(Well_Data_NK_Upcoming!$K$2:$K$996,MATCH(Rig_Schedule_View!B96,Well_Data_NK_Upcoming!Concatenated_Wellname,0)))</f>
        <v>ST</v>
      </c>
      <c r="E96" s="421" t="str">
        <f ca="1">IF(INDEX(Well_Data_NK_Upcoming!$J$2:$J$996,MATCH(Rig_Schedule_View!B96,Well_Data_NK_Upcoming!Concatenated_Wellname,0))=0,"",INDEX(Well_Data_NK_Upcoming!$J$2:$J$996,MATCH(Rig_Schedule_View!B96,Well_Data_NK_Upcoming!Concatenated_Wellname,0)))</f>
        <v>Prod</v>
      </c>
      <c r="F96" s="421" t="str">
        <f ca="1">IF(INDEX(Well_Data_NK_Upcoming!$L$2:$L$996,MATCH(Rig_Schedule_View!B96,Well_Data_NK_Upcoming!Concatenated_Wellname,0))=0,"",INDEX(Well_Data_NK_Upcoming!$L$2:$L$996,MATCH(Rig_Schedule_View!B96,Well_Data_NK_Upcoming!Concatenated_Wellname,0)))</f>
        <v>HZ</v>
      </c>
      <c r="G96" s="421">
        <f ca="1">IF(INDEX(Well_Data_NK_Upcoming!$R$2:$R$996,MATCH(Rig_Schedule_View!B96,Well_Data_NK_Upcoming!Concatenated_Wellname,0))=0,"",INDEX(Well_Data_NK_Upcoming!$R$2:$R$996,MATCH(Rig_Schedule_View!B96,Well_Data_NK_Upcoming!Concatenated_Wellname,0)))</f>
        <v>61</v>
      </c>
      <c r="H96" s="74">
        <f>RigScheduleTest!$F$9</f>
        <v>42233</v>
      </c>
      <c r="I96" s="459">
        <f ca="1">IF(INDEX(Well_Data_NK_Upcoming!$O$2:$O$996,MATCH(Rig_Schedule_View!B96,Well_Data_NK_Upcoming!Concatenated_Wellname,0))=0,"",INDEX(Well_Data_NK_Upcoming!$O$2:$O$996,MATCH(Rig_Schedule_View!B96,Well_Data_NK_Upcoming!Concatenated_Wellname,0)))</f>
        <v>42222.041666666664</v>
      </c>
      <c r="J96" s="446">
        <f ca="1">RigScheduleTest!$H$9</f>
        <v>42247</v>
      </c>
      <c r="K96" s="493" t="s">
        <v>1917</v>
      </c>
      <c r="L96" s="543"/>
      <c r="M96" s="544">
        <v>14</v>
      </c>
      <c r="N96" s="545"/>
      <c r="O96" s="545"/>
      <c r="P96" s="551"/>
    </row>
    <row r="97" spans="1:16" x14ac:dyDescent="0.25">
      <c r="A97" s="442" t="str">
        <f>RigScheduleTest!$B$9</f>
        <v>NDSC-16</v>
      </c>
      <c r="B97" s="441" t="str">
        <f ca="1">RigScheduleTest!$I$9</f>
        <v>RA-0311-RA-MA-Prod-ST-HZ-SLB</v>
      </c>
      <c r="C97" s="421" t="str">
        <f ca="1">IF(INDEX(Well_Data_NK_Upcoming!$G$2:$G$996,MATCH(Rig_Schedule_View!B97,Well_Data_NK_Upcoming!Concatenated_Wellname,0))=0,"",INDEX(Well_Data_NK_Upcoming!$G$2:$G$996,MATCH(Rig_Schedule_View!B97,Well_Data_NK_Upcoming!Concatenated_Wellname,0)))</f>
        <v>MA</v>
      </c>
      <c r="D97" s="421" t="str">
        <f ca="1">IF(INDEX(Well_Data_NK_Upcoming!$K$2:$K$996,MATCH(Rig_Schedule_View!B97,Well_Data_NK_Upcoming!Concatenated_Wellname,0))=0,"",INDEX(Well_Data_NK_Upcoming!$K$2:$K$996,MATCH(Rig_Schedule_View!B97,Well_Data_NK_Upcoming!Concatenated_Wellname,0)))</f>
        <v>ST</v>
      </c>
      <c r="E97" s="421" t="str">
        <f ca="1">IF(INDEX(Well_Data_NK_Upcoming!$J$2:$J$996,MATCH(Rig_Schedule_View!B97,Well_Data_NK_Upcoming!Concatenated_Wellname,0))=0,"",INDEX(Well_Data_NK_Upcoming!$J$2:$J$996,MATCH(Rig_Schedule_View!B97,Well_Data_NK_Upcoming!Concatenated_Wellname,0)))</f>
        <v>Prod</v>
      </c>
      <c r="F97" s="421" t="str">
        <f ca="1">IF(INDEX(Well_Data_NK_Upcoming!$L$2:$L$996,MATCH(Rig_Schedule_View!B97,Well_Data_NK_Upcoming!Concatenated_Wellname,0))=0,"",INDEX(Well_Data_NK_Upcoming!$L$2:$L$996,MATCH(Rig_Schedule_View!B97,Well_Data_NK_Upcoming!Concatenated_Wellname,0)))</f>
        <v>HZ</v>
      </c>
      <c r="G97" s="421">
        <f ca="1">IF(INDEX(Well_Data_NK_Upcoming!$R$2:$R$996,MATCH(Rig_Schedule_View!B97,Well_Data_NK_Upcoming!Concatenated_Wellname,0))=0,"",INDEX(Well_Data_NK_Upcoming!$R$2:$R$996,MATCH(Rig_Schedule_View!B97,Well_Data_NK_Upcoming!Concatenated_Wellname,0)))</f>
        <v>61</v>
      </c>
      <c r="H97" s="74"/>
      <c r="I97" s="440">
        <f ca="1">RigScheduleTest!$L$9</f>
        <v>42252</v>
      </c>
      <c r="J97" s="440">
        <f ca="1">RigScheduleTest!$M$9</f>
        <v>42308</v>
      </c>
      <c r="K97" s="413"/>
      <c r="L97" s="553" t="s">
        <v>2231</v>
      </c>
      <c r="M97" s="544"/>
      <c r="N97" s="545" t="s">
        <v>1981</v>
      </c>
      <c r="O97" s="545"/>
      <c r="P97" s="551"/>
    </row>
    <row r="98" spans="1:16" x14ac:dyDescent="0.25">
      <c r="A98" s="442" t="str">
        <f>RigScheduleTest!$B$9</f>
        <v>NDSC-16</v>
      </c>
      <c r="B98" s="441" t="str">
        <f ca="1">RigScheduleTest!$O$9</f>
        <v>RA-0593-RA-ZU-Prod-NW-HZ-SLB</v>
      </c>
      <c r="C98" s="421" t="str">
        <f ca="1">IF(INDEX(Well_Data_NK_Upcoming!$G$2:$G$996,MATCH(Rig_Schedule_View!B98,Well_Data_NK_Upcoming!Concatenated_Wellname,0))=0,"",INDEX(Well_Data_NK_Upcoming!$G$2:$G$996,MATCH(Rig_Schedule_View!B98,Well_Data_NK_Upcoming!Concatenated_Wellname,0)))</f>
        <v>ZU</v>
      </c>
      <c r="D98" s="421" t="str">
        <f ca="1">IF(INDEX(Well_Data_NK_Upcoming!$K$2:$K$996,MATCH(Rig_Schedule_View!B98,Well_Data_NK_Upcoming!Concatenated_Wellname,0))=0,"",INDEX(Well_Data_NK_Upcoming!$K$2:$K$996,MATCH(Rig_Schedule_View!B98,Well_Data_NK_Upcoming!Concatenated_Wellname,0)))</f>
        <v>NW</v>
      </c>
      <c r="E98" s="421" t="str">
        <f ca="1">IF(INDEX(Well_Data_NK_Upcoming!$J$2:$J$996,MATCH(Rig_Schedule_View!B98,Well_Data_NK_Upcoming!Concatenated_Wellname,0))=0,"",INDEX(Well_Data_NK_Upcoming!$J$2:$J$996,MATCH(Rig_Schedule_View!B98,Well_Data_NK_Upcoming!Concatenated_Wellname,0)))</f>
        <v>Prod</v>
      </c>
      <c r="F98" s="421" t="str">
        <f ca="1">IF(INDEX(Well_Data_NK_Upcoming!$L$2:$L$996,MATCH(Rig_Schedule_View!B98,Well_Data_NK_Upcoming!Concatenated_Wellname,0))=0,"",INDEX(Well_Data_NK_Upcoming!$L$2:$L$996,MATCH(Rig_Schedule_View!B98,Well_Data_NK_Upcoming!Concatenated_Wellname,0)))</f>
        <v>HZ</v>
      </c>
      <c r="G98" s="421">
        <f ca="1">IF(INDEX(Well_Data_NK_Upcoming!$R$2:$R$996,MATCH(Rig_Schedule_View!B98,Well_Data_NK_Upcoming!Concatenated_Wellname,0))=0,"",INDEX(Well_Data_NK_Upcoming!$R$2:$R$996,MATCH(Rig_Schedule_View!B98,Well_Data_NK_Upcoming!Concatenated_Wellname,0)))</f>
        <v>103</v>
      </c>
      <c r="H98" s="74"/>
      <c r="I98" s="440">
        <f ca="1">RigScheduleTest!$R$9</f>
        <v>42313</v>
      </c>
      <c r="J98" s="440">
        <f ca="1">RigScheduleTest!$S$9</f>
        <v>42411</v>
      </c>
      <c r="K98" s="413"/>
      <c r="L98" s="546" t="s">
        <v>2230</v>
      </c>
      <c r="M98" s="544"/>
      <c r="N98" s="545"/>
      <c r="O98" s="545"/>
      <c r="P98" s="551"/>
    </row>
    <row r="99" spans="1:16" x14ac:dyDescent="0.25">
      <c r="A99" s="442" t="str">
        <f>RigScheduleTest!$B$9</f>
        <v>NDSC-16</v>
      </c>
      <c r="B99" s="442" t="str">
        <f ca="1">RigScheduleTest!$U$9</f>
        <v>RA10-RA-ZU-Prod-SLB</v>
      </c>
      <c r="C99" s="421" t="str">
        <f ca="1">IF(INDEX(Well_Data_NK_Upcoming!$G$2:$G$996,MATCH(Rig_Schedule_View!B99,Well_Data_NK_Upcoming!Concatenated_Wellname,0))=0,"",INDEX(Well_Data_NK_Upcoming!$G$2:$G$996,MATCH(Rig_Schedule_View!B99,Well_Data_NK_Upcoming!Concatenated_Wellname,0)))</f>
        <v>ZU</v>
      </c>
      <c r="D99" s="421" t="str">
        <f ca="1">IF(INDEX(Well_Data_NK_Upcoming!$K$2:$K$996,MATCH(Rig_Schedule_View!B99,Well_Data_NK_Upcoming!Concatenated_Wellname,0))=0,"",INDEX(Well_Data_NK_Upcoming!$K$2:$K$996,MATCH(Rig_Schedule_View!B99,Well_Data_NK_Upcoming!Concatenated_Wellname,0)))</f>
        <v/>
      </c>
      <c r="E99" s="421" t="str">
        <f ca="1">IF(INDEX(Well_Data_NK_Upcoming!$J$2:$J$996,MATCH(Rig_Schedule_View!B99,Well_Data_NK_Upcoming!Concatenated_Wellname,0))=0,"",INDEX(Well_Data_NK_Upcoming!$J$2:$J$996,MATCH(Rig_Schedule_View!B99,Well_Data_NK_Upcoming!Concatenated_Wellname,0)))</f>
        <v>Prod</v>
      </c>
      <c r="F99" s="421" t="str">
        <f ca="1">IF(INDEX(Well_Data_NK_Upcoming!$L$2:$L$996,MATCH(Rig_Schedule_View!B99,Well_Data_NK_Upcoming!Concatenated_Wellname,0))=0,"",INDEX(Well_Data_NK_Upcoming!$L$2:$L$996,MATCH(Rig_Schedule_View!B99,Well_Data_NK_Upcoming!Concatenated_Wellname,0)))</f>
        <v/>
      </c>
      <c r="G99" s="421">
        <f ca="1">IF(INDEX(Well_Data_NK_Upcoming!$R$2:$R$996,MATCH(Rig_Schedule_View!B99,Well_Data_NK_Upcoming!Concatenated_Wellname,0))=0,"",INDEX(Well_Data_NK_Upcoming!$R$2:$R$996,MATCH(Rig_Schedule_View!B99,Well_Data_NK_Upcoming!Concatenated_Wellname,0)))</f>
        <v>103</v>
      </c>
      <c r="H99" s="74"/>
      <c r="I99" s="443">
        <f ca="1">RigScheduleTest!$X$9</f>
        <v>42416</v>
      </c>
      <c r="J99" s="443">
        <f ca="1">RigScheduleTest!$Y$9</f>
        <v>42514</v>
      </c>
      <c r="K99" s="413"/>
      <c r="L99" s="546"/>
      <c r="M99" s="544"/>
      <c r="N99" s="545"/>
      <c r="O99" s="545"/>
      <c r="P99" s="551"/>
    </row>
    <row r="100" spans="1:16" x14ac:dyDescent="0.25">
      <c r="A100" s="442" t="str">
        <f>RigScheduleTest!$B$9</f>
        <v>NDSC-16</v>
      </c>
      <c r="B100" s="442" t="str">
        <f ca="1">RigScheduleTest!$AA$9</f>
        <v>SA19-SA-MA-Prod-NW-HZ</v>
      </c>
      <c r="C100" s="421" t="str">
        <f ca="1">IF(INDEX(Well_Data_NK_Upcoming!$G$2:$G$996,MATCH(Rig_Schedule_View!B100,Well_Data_NK_Upcoming!Concatenated_Wellname,0))=0,"",INDEX(Well_Data_NK_Upcoming!$G$2:$G$996,MATCH(Rig_Schedule_View!B100,Well_Data_NK_Upcoming!Concatenated_Wellname,0)))</f>
        <v>MA</v>
      </c>
      <c r="D100" s="421" t="str">
        <f ca="1">IF(INDEX(Well_Data_NK_Upcoming!$K$2:$K$996,MATCH(Rig_Schedule_View!B100,Well_Data_NK_Upcoming!Concatenated_Wellname,0))=0,"",INDEX(Well_Data_NK_Upcoming!$K$2:$K$996,MATCH(Rig_Schedule_View!B100,Well_Data_NK_Upcoming!Concatenated_Wellname,0)))</f>
        <v>NW</v>
      </c>
      <c r="E100" s="421" t="str">
        <f ca="1">IF(INDEX(Well_Data_NK_Upcoming!$J$2:$J$996,MATCH(Rig_Schedule_View!B100,Well_Data_NK_Upcoming!Concatenated_Wellname,0))=0,"",INDEX(Well_Data_NK_Upcoming!$J$2:$J$996,MATCH(Rig_Schedule_View!B100,Well_Data_NK_Upcoming!Concatenated_Wellname,0)))</f>
        <v>Prod</v>
      </c>
      <c r="F100" s="421" t="str">
        <f ca="1">IF(INDEX(Well_Data_NK_Upcoming!$L$2:$L$996,MATCH(Rig_Schedule_View!B100,Well_Data_NK_Upcoming!Concatenated_Wellname,0))=0,"",INDEX(Well_Data_NK_Upcoming!$L$2:$L$996,MATCH(Rig_Schedule_View!B100,Well_Data_NK_Upcoming!Concatenated_Wellname,0)))</f>
        <v>HZ</v>
      </c>
      <c r="G100" s="421">
        <f ca="1">IF(INDEX(Well_Data_NK_Upcoming!$R$2:$R$996,MATCH(Rig_Schedule_View!B100,Well_Data_NK_Upcoming!Concatenated_Wellname,0))=0,"",INDEX(Well_Data_NK_Upcoming!$R$2:$R$996,MATCH(Rig_Schedule_View!B100,Well_Data_NK_Upcoming!Concatenated_Wellname,0)))</f>
        <v>75</v>
      </c>
      <c r="H100" s="74"/>
      <c r="I100" s="443">
        <f ca="1">RigScheduleTest!$AD$9</f>
        <v>42519</v>
      </c>
      <c r="J100" s="443">
        <f ca="1">RigScheduleTest!$AE$9</f>
        <v>42589</v>
      </c>
      <c r="K100" s="413"/>
      <c r="L100" s="546"/>
      <c r="M100" s="544"/>
      <c r="N100" s="545"/>
      <c r="O100" s="545"/>
      <c r="P100" s="551"/>
    </row>
    <row r="101" spans="1:16" x14ac:dyDescent="0.25">
      <c r="A101" s="442" t="str">
        <f>RigScheduleTest!$B$9</f>
        <v>NDSC-16</v>
      </c>
      <c r="B101" s="442" t="str">
        <f ca="1">RigScheduleTest!$AG$9</f>
        <v>RA20-RA-LB-Prod-NW-SL-SLB</v>
      </c>
      <c r="C101" s="421" t="str">
        <f ca="1">IF(INDEX(Well_Data_NK_Upcoming!$G$2:$G$996,MATCH(Rig_Schedule_View!B101,Well_Data_NK_Upcoming!Concatenated_Wellname,0))=0,"",INDEX(Well_Data_NK_Upcoming!$G$2:$G$996,MATCH(Rig_Schedule_View!B101,Well_Data_NK_Upcoming!Concatenated_Wellname,0)))</f>
        <v>LB</v>
      </c>
      <c r="D101" s="421" t="str">
        <f ca="1">IF(INDEX(Well_Data_NK_Upcoming!$K$2:$K$996,MATCH(Rig_Schedule_View!B101,Well_Data_NK_Upcoming!Concatenated_Wellname,0))=0,"",INDEX(Well_Data_NK_Upcoming!$K$2:$K$996,MATCH(Rig_Schedule_View!B101,Well_Data_NK_Upcoming!Concatenated_Wellname,0)))</f>
        <v>NW</v>
      </c>
      <c r="E101" s="421" t="str">
        <f ca="1">IF(INDEX(Well_Data_NK_Upcoming!$J$2:$J$996,MATCH(Rig_Schedule_View!B101,Well_Data_NK_Upcoming!Concatenated_Wellname,0))=0,"",INDEX(Well_Data_NK_Upcoming!$J$2:$J$996,MATCH(Rig_Schedule_View!B101,Well_Data_NK_Upcoming!Concatenated_Wellname,0)))</f>
        <v>Prod</v>
      </c>
      <c r="F101" s="421" t="str">
        <f ca="1">IF(INDEX(Well_Data_NK_Upcoming!$L$2:$L$996,MATCH(Rig_Schedule_View!B101,Well_Data_NK_Upcoming!Concatenated_Wellname,0))=0,"",INDEX(Well_Data_NK_Upcoming!$L$2:$L$996,MATCH(Rig_Schedule_View!B101,Well_Data_NK_Upcoming!Concatenated_Wellname,0)))</f>
        <v>SL</v>
      </c>
      <c r="G101" s="421">
        <f ca="1">IF(INDEX(Well_Data_NK_Upcoming!$R$2:$R$996,MATCH(Rig_Schedule_View!B101,Well_Data_NK_Upcoming!Concatenated_Wellname,0))=0,"",INDEX(Well_Data_NK_Upcoming!$R$2:$R$996,MATCH(Rig_Schedule_View!B101,Well_Data_NK_Upcoming!Concatenated_Wellname,0)))</f>
        <v>75</v>
      </c>
      <c r="H101" s="74"/>
      <c r="I101" s="443">
        <f ca="1">RigScheduleTest!$AJ$9</f>
        <v>42594</v>
      </c>
      <c r="J101" s="443">
        <f ca="1">RigScheduleTest!$AK$9</f>
        <v>42664</v>
      </c>
      <c r="K101" s="413"/>
      <c r="L101" s="546"/>
      <c r="M101" s="544"/>
      <c r="N101" s="545"/>
      <c r="O101" s="545"/>
      <c r="P101" s="551"/>
    </row>
    <row r="102" spans="1:16" x14ac:dyDescent="0.25">
      <c r="A102" s="442" t="str">
        <f>RigScheduleTest!$B$9</f>
        <v>NDSC-16</v>
      </c>
      <c r="B102" s="442" t="str">
        <f ca="1">RigScheduleTest!$AM$9</f>
        <v>RA27-RA-UB-Prod-NW-SL-SLB</v>
      </c>
      <c r="C102" s="421" t="str">
        <f ca="1">IF(INDEX(Well_Data_NK_Upcoming!$G$2:$G$996,MATCH(Rig_Schedule_View!B102,Well_Data_NK_Upcoming!Concatenated_Wellname,0))=0,"",INDEX(Well_Data_NK_Upcoming!$G$2:$G$996,MATCH(Rig_Schedule_View!B102,Well_Data_NK_Upcoming!Concatenated_Wellname,0)))</f>
        <v>UB</v>
      </c>
      <c r="D102" s="421" t="str">
        <f ca="1">IF(INDEX(Well_Data_NK_Upcoming!$K$2:$K$996,MATCH(Rig_Schedule_View!B102,Well_Data_NK_Upcoming!Concatenated_Wellname,0))=0,"",INDEX(Well_Data_NK_Upcoming!$K$2:$K$996,MATCH(Rig_Schedule_View!B102,Well_Data_NK_Upcoming!Concatenated_Wellname,0)))</f>
        <v>NW</v>
      </c>
      <c r="E102" s="421" t="str">
        <f ca="1">IF(INDEX(Well_Data_NK_Upcoming!$J$2:$J$996,MATCH(Rig_Schedule_View!B102,Well_Data_NK_Upcoming!Concatenated_Wellname,0))=0,"",INDEX(Well_Data_NK_Upcoming!$J$2:$J$996,MATCH(Rig_Schedule_View!B102,Well_Data_NK_Upcoming!Concatenated_Wellname,0)))</f>
        <v>Prod</v>
      </c>
      <c r="F102" s="421" t="str">
        <f ca="1">IF(INDEX(Well_Data_NK_Upcoming!$L$2:$L$996,MATCH(Rig_Schedule_View!B102,Well_Data_NK_Upcoming!Concatenated_Wellname,0))=0,"",INDEX(Well_Data_NK_Upcoming!$L$2:$L$996,MATCH(Rig_Schedule_View!B102,Well_Data_NK_Upcoming!Concatenated_Wellname,0)))</f>
        <v>SL</v>
      </c>
      <c r="G102" s="421">
        <f ca="1">IF(INDEX(Well_Data_NK_Upcoming!$R$2:$R$996,MATCH(Rig_Schedule_View!B102,Well_Data_NK_Upcoming!Concatenated_Wellname,0))=0,"",INDEX(Well_Data_NK_Upcoming!$R$2:$R$996,MATCH(Rig_Schedule_View!B102,Well_Data_NK_Upcoming!Concatenated_Wellname,0)))</f>
        <v>75</v>
      </c>
      <c r="H102" s="74"/>
      <c r="I102" s="443">
        <f ca="1">RigScheduleTest!$AP$9</f>
        <v>42669</v>
      </c>
      <c r="J102" s="443">
        <f ca="1">RigScheduleTest!$AQ$9</f>
        <v>42739</v>
      </c>
      <c r="K102" s="413"/>
      <c r="L102" s="546"/>
      <c r="M102" s="544"/>
      <c r="N102" s="545"/>
      <c r="O102" s="545"/>
      <c r="P102" s="551"/>
    </row>
    <row r="103" spans="1:16" x14ac:dyDescent="0.25">
      <c r="A103" s="442" t="str">
        <f>RigScheduleTest!$B$9</f>
        <v>NDSC-16</v>
      </c>
      <c r="B103" s="442" t="str">
        <f ca="1">RigScheduleTest!$AS$9</f>
        <v>SA54-SA-RT-Prod-NW-HZ</v>
      </c>
      <c r="C103" s="421" t="str">
        <f ca="1">IF(INDEX(Well_Data_NK_Upcoming!$G$2:$G$996,MATCH(Rig_Schedule_View!B103,Well_Data_NK_Upcoming!Concatenated_Wellname,0))=0,"",INDEX(Well_Data_NK_Upcoming!$G$2:$G$996,MATCH(Rig_Schedule_View!B103,Well_Data_NK_Upcoming!Concatenated_Wellname,0)))</f>
        <v>RT</v>
      </c>
      <c r="D103" s="421" t="str">
        <f ca="1">IF(INDEX(Well_Data_NK_Upcoming!$K$2:$K$996,MATCH(Rig_Schedule_View!B103,Well_Data_NK_Upcoming!Concatenated_Wellname,0))=0,"",INDEX(Well_Data_NK_Upcoming!$K$2:$K$996,MATCH(Rig_Schedule_View!B103,Well_Data_NK_Upcoming!Concatenated_Wellname,0)))</f>
        <v>NW</v>
      </c>
      <c r="E103" s="421" t="str">
        <f ca="1">IF(INDEX(Well_Data_NK_Upcoming!$J$2:$J$996,MATCH(Rig_Schedule_View!B103,Well_Data_NK_Upcoming!Concatenated_Wellname,0))=0,"",INDEX(Well_Data_NK_Upcoming!$J$2:$J$996,MATCH(Rig_Schedule_View!B103,Well_Data_NK_Upcoming!Concatenated_Wellname,0)))</f>
        <v>Prod</v>
      </c>
      <c r="F103" s="421" t="str">
        <f ca="1">IF(INDEX(Well_Data_NK_Upcoming!$L$2:$L$996,MATCH(Rig_Schedule_View!B103,Well_Data_NK_Upcoming!Concatenated_Wellname,0))=0,"",INDEX(Well_Data_NK_Upcoming!$L$2:$L$996,MATCH(Rig_Schedule_View!B103,Well_Data_NK_Upcoming!Concatenated_Wellname,0)))</f>
        <v>HZ</v>
      </c>
      <c r="G103" s="421">
        <f ca="1">IF(INDEX(Well_Data_NK_Upcoming!$R$2:$R$996,MATCH(Rig_Schedule_View!B103,Well_Data_NK_Upcoming!Concatenated_Wellname,0))=0,"",INDEX(Well_Data_NK_Upcoming!$R$2:$R$996,MATCH(Rig_Schedule_View!B103,Well_Data_NK_Upcoming!Concatenated_Wellname,0)))</f>
        <v>103</v>
      </c>
      <c r="H103" s="74"/>
      <c r="I103" s="443">
        <f ca="1">RigScheduleTest!$AV$9</f>
        <v>42744</v>
      </c>
      <c r="J103" s="443">
        <f ca="1">RigScheduleTest!$AW$9</f>
        <v>42842</v>
      </c>
      <c r="K103" s="413"/>
      <c r="L103" s="546"/>
      <c r="M103" s="544"/>
      <c r="N103" s="545"/>
      <c r="O103" s="545"/>
      <c r="P103" s="551"/>
    </row>
    <row r="104" spans="1:16" x14ac:dyDescent="0.25">
      <c r="A104" s="442" t="str">
        <f>RigScheduleTest!$B$9</f>
        <v>NDSC-16</v>
      </c>
      <c r="B104" s="442" t="str">
        <f ca="1">RigScheduleTest!$AY$9</f>
        <v/>
      </c>
      <c r="C104" s="421" t="str">
        <f ca="1">IF(INDEX(Well_Data_NK_Upcoming!$G$2:$G$996,MATCH(Rig_Schedule_View!B104,Well_Data_NK_Upcoming!Concatenated_Wellname,0))=0,"",INDEX(Well_Data_NK_Upcoming!$G$2:$G$996,MATCH(Rig_Schedule_View!B104,Well_Data_NK_Upcoming!Concatenated_Wellname,0)))</f>
        <v/>
      </c>
      <c r="D104" s="421" t="str">
        <f ca="1">IF(INDEX(Well_Data_NK_Upcoming!$K$2:$K$996,MATCH(Rig_Schedule_View!B104,Well_Data_NK_Upcoming!Concatenated_Wellname,0))=0,"",INDEX(Well_Data_NK_Upcoming!$K$2:$K$996,MATCH(Rig_Schedule_View!B104,Well_Data_NK_Upcoming!Concatenated_Wellname,0)))</f>
        <v/>
      </c>
      <c r="E104" s="421" t="str">
        <f ca="1">IF(INDEX(Well_Data_NK_Upcoming!$J$2:$J$996,MATCH(Rig_Schedule_View!B104,Well_Data_NK_Upcoming!Concatenated_Wellname,0))=0,"",INDEX(Well_Data_NK_Upcoming!$J$2:$J$996,MATCH(Rig_Schedule_View!B104,Well_Data_NK_Upcoming!Concatenated_Wellname,0)))</f>
        <v/>
      </c>
      <c r="F104" s="421" t="str">
        <f ca="1">IF(INDEX(Well_Data_NK_Upcoming!$L$2:$L$996,MATCH(Rig_Schedule_View!B104,Well_Data_NK_Upcoming!Concatenated_Wellname,0))=0,"",INDEX(Well_Data_NK_Upcoming!$L$2:$L$996,MATCH(Rig_Schedule_View!B104,Well_Data_NK_Upcoming!Concatenated_Wellname,0)))</f>
        <v/>
      </c>
      <c r="G104" s="421" t="str">
        <f ca="1">IF(INDEX(Well_Data_NK_Upcoming!$R$2:$R$996,MATCH(Rig_Schedule_View!B104,Well_Data_NK_Upcoming!Concatenated_Wellname,0))=0,"",INDEX(Well_Data_NK_Upcoming!$R$2:$R$996,MATCH(Rig_Schedule_View!B104,Well_Data_NK_Upcoming!Concatenated_Wellname,0)))</f>
        <v/>
      </c>
      <c r="H104" s="74"/>
      <c r="I104" s="443" t="str">
        <f ca="1">RigScheduleTest!$BB$9</f>
        <v/>
      </c>
      <c r="J104" s="443" t="str">
        <f ca="1">RigScheduleTest!$BC$9</f>
        <v/>
      </c>
      <c r="K104" s="413"/>
      <c r="L104" s="546"/>
      <c r="M104" s="544"/>
      <c r="N104" s="545"/>
      <c r="O104" s="545"/>
      <c r="P104" s="551"/>
    </row>
    <row r="105" spans="1:16" x14ac:dyDescent="0.25">
      <c r="A105" s="442" t="str">
        <f>RigScheduleTest!$B$9</f>
        <v>NDSC-16</v>
      </c>
      <c r="B105" s="442" t="str">
        <f ca="1">RigScheduleTest!$BE$9</f>
        <v/>
      </c>
      <c r="C105" s="421" t="str">
        <f ca="1">IF(INDEX(Well_Data_NK_Upcoming!$G$2:$G$996,MATCH(Rig_Schedule_View!B105,Well_Data_NK_Upcoming!Concatenated_Wellname,0))=0,"",INDEX(Well_Data_NK_Upcoming!$G$2:$G$996,MATCH(Rig_Schedule_View!B105,Well_Data_NK_Upcoming!Concatenated_Wellname,0)))</f>
        <v/>
      </c>
      <c r="D105" s="421" t="str">
        <f ca="1">IF(INDEX(Well_Data_NK_Upcoming!$K$2:$K$996,MATCH(Rig_Schedule_View!B105,Well_Data_NK_Upcoming!Concatenated_Wellname,0))=0,"",INDEX(Well_Data_NK_Upcoming!$K$2:$K$996,MATCH(Rig_Schedule_View!B105,Well_Data_NK_Upcoming!Concatenated_Wellname,0)))</f>
        <v/>
      </c>
      <c r="E105" s="421" t="str">
        <f ca="1">IF(INDEX(Well_Data_NK_Upcoming!$J$2:$J$996,MATCH(Rig_Schedule_View!B105,Well_Data_NK_Upcoming!Concatenated_Wellname,0))=0,"",INDEX(Well_Data_NK_Upcoming!$J$2:$J$996,MATCH(Rig_Schedule_View!B105,Well_Data_NK_Upcoming!Concatenated_Wellname,0)))</f>
        <v/>
      </c>
      <c r="F105" s="421" t="str">
        <f ca="1">IF(INDEX(Well_Data_NK_Upcoming!$L$2:$L$996,MATCH(Rig_Schedule_View!B105,Well_Data_NK_Upcoming!Concatenated_Wellname,0))=0,"",INDEX(Well_Data_NK_Upcoming!$L$2:$L$996,MATCH(Rig_Schedule_View!B105,Well_Data_NK_Upcoming!Concatenated_Wellname,0)))</f>
        <v/>
      </c>
      <c r="G105" s="421" t="str">
        <f ca="1">IF(INDEX(Well_Data_NK_Upcoming!$R$2:$R$996,MATCH(Rig_Schedule_View!B105,Well_Data_NK_Upcoming!Concatenated_Wellname,0))=0,"",INDEX(Well_Data_NK_Upcoming!$R$2:$R$996,MATCH(Rig_Schedule_View!B105,Well_Data_NK_Upcoming!Concatenated_Wellname,0)))</f>
        <v/>
      </c>
      <c r="H105" s="74"/>
      <c r="I105" s="443" t="str">
        <f ca="1">RigScheduleTest!$BH$9</f>
        <v/>
      </c>
      <c r="J105" s="443" t="str">
        <f ca="1">RigScheduleTest!$BI$9</f>
        <v/>
      </c>
      <c r="K105" s="413"/>
      <c r="L105" s="546"/>
      <c r="M105" s="544"/>
      <c r="N105" s="545"/>
      <c r="O105" s="545"/>
      <c r="P105" s="551"/>
    </row>
    <row r="106" spans="1:16" x14ac:dyDescent="0.25">
      <c r="A106" s="442" t="str">
        <f>RigScheduleTest!$B$9</f>
        <v>NDSC-16</v>
      </c>
      <c r="B106" s="442" t="str">
        <f ca="1">RigScheduleTest!$BK$9</f>
        <v/>
      </c>
      <c r="C106" s="421" t="str">
        <f ca="1">IF(INDEX(Well_Data_NK_Upcoming!$G$2:$G$996,MATCH(Rig_Schedule_View!B106,Well_Data_NK_Upcoming!Concatenated_Wellname,0))=0,"",INDEX(Well_Data_NK_Upcoming!$G$2:$G$996,MATCH(Rig_Schedule_View!B106,Well_Data_NK_Upcoming!Concatenated_Wellname,0)))</f>
        <v/>
      </c>
      <c r="D106" s="421" t="str">
        <f ca="1">IF(INDEX(Well_Data_NK_Upcoming!$K$2:$K$996,MATCH(Rig_Schedule_View!B106,Well_Data_NK_Upcoming!Concatenated_Wellname,0))=0,"",INDEX(Well_Data_NK_Upcoming!$K$2:$K$996,MATCH(Rig_Schedule_View!B106,Well_Data_NK_Upcoming!Concatenated_Wellname,0)))</f>
        <v/>
      </c>
      <c r="E106" s="421" t="str">
        <f ca="1">IF(INDEX(Well_Data_NK_Upcoming!$J$2:$J$996,MATCH(Rig_Schedule_View!B106,Well_Data_NK_Upcoming!Concatenated_Wellname,0))=0,"",INDEX(Well_Data_NK_Upcoming!$J$2:$J$996,MATCH(Rig_Schedule_View!B106,Well_Data_NK_Upcoming!Concatenated_Wellname,0)))</f>
        <v/>
      </c>
      <c r="F106" s="421" t="str">
        <f ca="1">IF(INDEX(Well_Data_NK_Upcoming!$L$2:$L$996,MATCH(Rig_Schedule_View!B106,Well_Data_NK_Upcoming!Concatenated_Wellname,0))=0,"",INDEX(Well_Data_NK_Upcoming!$L$2:$L$996,MATCH(Rig_Schedule_View!B106,Well_Data_NK_Upcoming!Concatenated_Wellname,0)))</f>
        <v/>
      </c>
      <c r="G106" s="421" t="str">
        <f ca="1">IF(INDEX(Well_Data_NK_Upcoming!$R$2:$R$996,MATCH(Rig_Schedule_View!B106,Well_Data_NK_Upcoming!Concatenated_Wellname,0))=0,"",INDEX(Well_Data_NK_Upcoming!$R$2:$R$996,MATCH(Rig_Schedule_View!B106,Well_Data_NK_Upcoming!Concatenated_Wellname,0)))</f>
        <v/>
      </c>
      <c r="H106" s="74"/>
      <c r="I106" s="443" t="str">
        <f ca="1">RigScheduleTest!$BN$9</f>
        <v/>
      </c>
      <c r="J106" s="443" t="str">
        <f ca="1">RigScheduleTest!$BO$9</f>
        <v/>
      </c>
      <c r="K106" s="413"/>
      <c r="L106" s="546"/>
      <c r="M106" s="544"/>
      <c r="N106" s="545"/>
      <c r="O106" s="545"/>
      <c r="P106" s="551"/>
    </row>
    <row r="107" spans="1:16" x14ac:dyDescent="0.25">
      <c r="A107" s="437" t="str">
        <f>RigScheduleTest!$B$1</f>
        <v>RIG</v>
      </c>
      <c r="B107" s="437" t="str">
        <f>$K$1</f>
        <v>Development Drilling</v>
      </c>
      <c r="C107" s="437" t="s">
        <v>1831</v>
      </c>
      <c r="D107" s="437" t="s">
        <v>867</v>
      </c>
      <c r="E107" s="437" t="s">
        <v>8</v>
      </c>
      <c r="F107" s="437" t="s">
        <v>2</v>
      </c>
      <c r="G107" s="437" t="s">
        <v>1513</v>
      </c>
      <c r="H107" s="438" t="str">
        <f>$K$3</f>
        <v>Rig Deployment Meeting</v>
      </c>
      <c r="I107" s="439" t="str">
        <f>$K$5</f>
        <v>Start</v>
      </c>
      <c r="J107" s="439" t="str">
        <f>$K$6</f>
        <v>End</v>
      </c>
      <c r="K107" s="444" t="s">
        <v>1068</v>
      </c>
      <c r="L107" s="444" t="s">
        <v>1577</v>
      </c>
      <c r="M107" s="496" t="s">
        <v>1934</v>
      </c>
      <c r="N107" s="504" t="s">
        <v>1940</v>
      </c>
      <c r="O107" s="504" t="s">
        <v>1941</v>
      </c>
      <c r="P107" s="502"/>
    </row>
    <row r="108" spans="1:16" x14ac:dyDescent="0.25">
      <c r="A108" s="442" t="str">
        <f>RigScheduleTest!$B$10</f>
        <v>NDSC-17</v>
      </c>
      <c r="B108" s="421" t="str">
        <f ca="1">RigScheduleTest!$D$10</f>
        <v>RA-0577-RA-LB-Prod-NW-SL-SLB</v>
      </c>
      <c r="C108" s="421" t="str">
        <f ca="1">IF(INDEX(Well_Data_NK_Upcoming!$G$2:$G$996,MATCH(Rig_Schedule_View!B108,Well_Data_NK_Upcoming!Concatenated_Wellname,0))=0,"",INDEX(Well_Data_NK_Upcoming!$G$2:$G$996,MATCH(Rig_Schedule_View!B108,Well_Data_NK_Upcoming!Concatenated_Wellname,0)))</f>
        <v>LB</v>
      </c>
      <c r="D108" s="421" t="str">
        <f ca="1">IF(INDEX(Well_Data_NK_Upcoming!$K$2:$K$996,MATCH(Rig_Schedule_View!B108,Well_Data_NK_Upcoming!Concatenated_Wellname,0))=0,"",INDEX(Well_Data_NK_Upcoming!$K$2:$K$996,MATCH(Rig_Schedule_View!B108,Well_Data_NK_Upcoming!Concatenated_Wellname,0)))</f>
        <v>NW</v>
      </c>
      <c r="E108" s="421" t="str">
        <f ca="1">IF(INDEX(Well_Data_NK_Upcoming!$J$2:$J$996,MATCH(Rig_Schedule_View!B108,Well_Data_NK_Upcoming!Concatenated_Wellname,0))=0,"",INDEX(Well_Data_NK_Upcoming!$J$2:$J$996,MATCH(Rig_Schedule_View!B108,Well_Data_NK_Upcoming!Concatenated_Wellname,0)))</f>
        <v>Prod</v>
      </c>
      <c r="F108" s="421" t="str">
        <f ca="1">IF(INDEX(Well_Data_NK_Upcoming!$L$2:$L$996,MATCH(Rig_Schedule_View!B108,Well_Data_NK_Upcoming!Concatenated_Wellname,0))=0,"",INDEX(Well_Data_NK_Upcoming!$L$2:$L$996,MATCH(Rig_Schedule_View!B108,Well_Data_NK_Upcoming!Concatenated_Wellname,0)))</f>
        <v>SL</v>
      </c>
      <c r="G108" s="421">
        <f ca="1">IF(INDEX(Well_Data_NK_Upcoming!$R$2:$R$996,MATCH(Rig_Schedule_View!B108,Well_Data_NK_Upcoming!Concatenated_Wellname,0))=0,"",INDEX(Well_Data_NK_Upcoming!$R$2:$R$996,MATCH(Rig_Schedule_View!B108,Well_Data_NK_Upcoming!Concatenated_Wellname,0)))</f>
        <v>75</v>
      </c>
      <c r="H108" s="74">
        <f>RigScheduleTest!$F$10</f>
        <v>42233</v>
      </c>
      <c r="I108" s="459">
        <f ca="1">IF(INDEX(Well_Data_NK_Upcoming!$O$2:$O$996,MATCH(Rig_Schedule_View!B108,Well_Data_NK_Upcoming!Concatenated_Wellname,0))=0,"",INDEX(Well_Data_NK_Upcoming!$O$2:$O$996,MATCH(Rig_Schedule_View!B108,Well_Data_NK_Upcoming!Concatenated_Wellname,0)))</f>
        <v>42195</v>
      </c>
      <c r="J108" s="446">
        <f ca="1">RigScheduleTest!$H$10</f>
        <v>42247</v>
      </c>
      <c r="K108" s="493" t="s">
        <v>1917</v>
      </c>
      <c r="L108" s="543"/>
      <c r="M108" s="544">
        <v>14</v>
      </c>
      <c r="N108" s="545"/>
      <c r="O108" s="545"/>
      <c r="P108" s="551"/>
    </row>
    <row r="109" spans="1:16" x14ac:dyDescent="0.25">
      <c r="A109" s="442" t="str">
        <f>RigScheduleTest!$B$10</f>
        <v>NDSC-17</v>
      </c>
      <c r="B109" s="441" t="str">
        <f ca="1">RigScheduleTest!$I$10</f>
        <v>RA-0583-RA-LB-Prod-NW-SL-WFD</v>
      </c>
      <c r="C109" s="421" t="str">
        <f ca="1">IF(INDEX(Well_Data_NK_Upcoming!$G$2:$G$996,MATCH(Rig_Schedule_View!B109,Well_Data_NK_Upcoming!Concatenated_Wellname,0))=0,"",INDEX(Well_Data_NK_Upcoming!$G$2:$G$996,MATCH(Rig_Schedule_View!B109,Well_Data_NK_Upcoming!Concatenated_Wellname,0)))</f>
        <v>LB</v>
      </c>
      <c r="D109" s="421" t="str">
        <f ca="1">IF(INDEX(Well_Data_NK_Upcoming!$K$2:$K$996,MATCH(Rig_Schedule_View!B109,Well_Data_NK_Upcoming!Concatenated_Wellname,0))=0,"",INDEX(Well_Data_NK_Upcoming!$K$2:$K$996,MATCH(Rig_Schedule_View!B109,Well_Data_NK_Upcoming!Concatenated_Wellname,0)))</f>
        <v>NW</v>
      </c>
      <c r="E109" s="421" t="str">
        <f ca="1">IF(INDEX(Well_Data_NK_Upcoming!$J$2:$J$996,MATCH(Rig_Schedule_View!B109,Well_Data_NK_Upcoming!Concatenated_Wellname,0))=0,"",INDEX(Well_Data_NK_Upcoming!$J$2:$J$996,MATCH(Rig_Schedule_View!B109,Well_Data_NK_Upcoming!Concatenated_Wellname,0)))</f>
        <v>Prod</v>
      </c>
      <c r="F109" s="421" t="str">
        <f ca="1">IF(INDEX(Well_Data_NK_Upcoming!$L$2:$L$996,MATCH(Rig_Schedule_View!B109,Well_Data_NK_Upcoming!Concatenated_Wellname,0))=0,"",INDEX(Well_Data_NK_Upcoming!$L$2:$L$996,MATCH(Rig_Schedule_View!B109,Well_Data_NK_Upcoming!Concatenated_Wellname,0)))</f>
        <v>SL</v>
      </c>
      <c r="G109" s="421">
        <f ca="1">IF(INDEX(Well_Data_NK_Upcoming!$R$2:$R$996,MATCH(Rig_Schedule_View!B109,Well_Data_NK_Upcoming!Concatenated_Wellname,0))=0,"",INDEX(Well_Data_NK_Upcoming!$R$2:$R$996,MATCH(Rig_Schedule_View!B109,Well_Data_NK_Upcoming!Concatenated_Wellname,0)))</f>
        <v>75</v>
      </c>
      <c r="H109" s="74"/>
      <c r="I109" s="440">
        <f ca="1">RigScheduleTest!$L$10</f>
        <v>42252</v>
      </c>
      <c r="J109" s="440">
        <f ca="1">RigScheduleTest!$M$10</f>
        <v>42322</v>
      </c>
      <c r="K109" s="413"/>
      <c r="L109" s="546"/>
      <c r="M109" s="544"/>
      <c r="N109" s="545" t="s">
        <v>2234</v>
      </c>
      <c r="O109" s="545"/>
      <c r="P109" s="551"/>
    </row>
    <row r="110" spans="1:16" x14ac:dyDescent="0.25">
      <c r="A110" s="442" t="str">
        <f>RigScheduleTest!$B$10</f>
        <v>NDSC-17</v>
      </c>
      <c r="B110" s="441" t="str">
        <f ca="1">RigScheduleTest!$O$10</f>
        <v>RA3-RA-MA-Prod-NW-HZ-SLB</v>
      </c>
      <c r="C110" s="421" t="str">
        <f ca="1">IF(INDEX(Well_Data_NK_Upcoming!$G$2:$G$996,MATCH(Rig_Schedule_View!B110,Well_Data_NK_Upcoming!Concatenated_Wellname,0))=0,"",INDEX(Well_Data_NK_Upcoming!$G$2:$G$996,MATCH(Rig_Schedule_View!B110,Well_Data_NK_Upcoming!Concatenated_Wellname,0)))</f>
        <v>MA</v>
      </c>
      <c r="D110" s="421" t="str">
        <f ca="1">IF(INDEX(Well_Data_NK_Upcoming!$K$2:$K$996,MATCH(Rig_Schedule_View!B110,Well_Data_NK_Upcoming!Concatenated_Wellname,0))=0,"",INDEX(Well_Data_NK_Upcoming!$K$2:$K$996,MATCH(Rig_Schedule_View!B110,Well_Data_NK_Upcoming!Concatenated_Wellname,0)))</f>
        <v>NW</v>
      </c>
      <c r="E110" s="421" t="str">
        <f ca="1">IF(INDEX(Well_Data_NK_Upcoming!$J$2:$J$996,MATCH(Rig_Schedule_View!B110,Well_Data_NK_Upcoming!Concatenated_Wellname,0))=0,"",INDEX(Well_Data_NK_Upcoming!$J$2:$J$996,MATCH(Rig_Schedule_View!B110,Well_Data_NK_Upcoming!Concatenated_Wellname,0)))</f>
        <v>Prod</v>
      </c>
      <c r="F110" s="421" t="str">
        <f ca="1">IF(INDEX(Well_Data_NK_Upcoming!$L$2:$L$996,MATCH(Rig_Schedule_View!B110,Well_Data_NK_Upcoming!Concatenated_Wellname,0))=0,"",INDEX(Well_Data_NK_Upcoming!$L$2:$L$996,MATCH(Rig_Schedule_View!B110,Well_Data_NK_Upcoming!Concatenated_Wellname,0)))</f>
        <v>HZ</v>
      </c>
      <c r="G110" s="421">
        <f ca="1">IF(INDEX(Well_Data_NK_Upcoming!$R$2:$R$996,MATCH(Rig_Schedule_View!B110,Well_Data_NK_Upcoming!Concatenated_Wellname,0))=0,"",INDEX(Well_Data_NK_Upcoming!$R$2:$R$996,MATCH(Rig_Schedule_View!B110,Well_Data_NK_Upcoming!Concatenated_Wellname,0)))</f>
        <v>75</v>
      </c>
      <c r="H110" s="74"/>
      <c r="I110" s="440">
        <f ca="1">RigScheduleTest!$R$10</f>
        <v>42327</v>
      </c>
      <c r="J110" s="440">
        <f ca="1">RigScheduleTest!$S$10</f>
        <v>42397</v>
      </c>
      <c r="K110" s="413"/>
      <c r="L110" s="546" t="s">
        <v>2235</v>
      </c>
      <c r="M110" s="544"/>
      <c r="N110" s="545"/>
      <c r="O110" s="545"/>
      <c r="P110" s="551"/>
    </row>
    <row r="111" spans="1:16" x14ac:dyDescent="0.25">
      <c r="A111" s="442" t="str">
        <f>RigScheduleTest!$B$10</f>
        <v>NDSC-17</v>
      </c>
      <c r="B111" s="442" t="str">
        <f ca="1">RigScheduleTest!$U$10</f>
        <v>RA-0582-RA-UB-Prod-NW-HZ-WFD</v>
      </c>
      <c r="C111" s="421" t="str">
        <f ca="1">IF(INDEX(Well_Data_NK_Upcoming!$G$2:$G$996,MATCH(Rig_Schedule_View!B111,Well_Data_NK_Upcoming!Concatenated_Wellname,0))=0,"",INDEX(Well_Data_NK_Upcoming!$G$2:$G$996,MATCH(Rig_Schedule_View!B111,Well_Data_NK_Upcoming!Concatenated_Wellname,0)))</f>
        <v>UB</v>
      </c>
      <c r="D111" s="421" t="str">
        <f ca="1">IF(INDEX(Well_Data_NK_Upcoming!$K$2:$K$996,MATCH(Rig_Schedule_View!B111,Well_Data_NK_Upcoming!Concatenated_Wellname,0))=0,"",INDEX(Well_Data_NK_Upcoming!$K$2:$K$996,MATCH(Rig_Schedule_View!B111,Well_Data_NK_Upcoming!Concatenated_Wellname,0)))</f>
        <v>NW</v>
      </c>
      <c r="E111" s="421" t="str">
        <f ca="1">IF(INDEX(Well_Data_NK_Upcoming!$J$2:$J$996,MATCH(Rig_Schedule_View!B111,Well_Data_NK_Upcoming!Concatenated_Wellname,0))=0,"",INDEX(Well_Data_NK_Upcoming!$J$2:$J$996,MATCH(Rig_Schedule_View!B111,Well_Data_NK_Upcoming!Concatenated_Wellname,0)))</f>
        <v>Prod</v>
      </c>
      <c r="F111" s="421" t="str">
        <f ca="1">IF(INDEX(Well_Data_NK_Upcoming!$L$2:$L$996,MATCH(Rig_Schedule_View!B111,Well_Data_NK_Upcoming!Concatenated_Wellname,0))=0,"",INDEX(Well_Data_NK_Upcoming!$L$2:$L$996,MATCH(Rig_Schedule_View!B111,Well_Data_NK_Upcoming!Concatenated_Wellname,0)))</f>
        <v>HZ</v>
      </c>
      <c r="G111" s="421">
        <f ca="1">IF(INDEX(Well_Data_NK_Upcoming!$R$2:$R$996,MATCH(Rig_Schedule_View!B111,Well_Data_NK_Upcoming!Concatenated_Wellname,0))=0,"",INDEX(Well_Data_NK_Upcoming!$R$2:$R$996,MATCH(Rig_Schedule_View!B111,Well_Data_NK_Upcoming!Concatenated_Wellname,0)))</f>
        <v>75</v>
      </c>
      <c r="H111" s="74"/>
      <c r="I111" s="443">
        <f ca="1">RigScheduleTest!$X$10</f>
        <v>42402</v>
      </c>
      <c r="J111" s="443">
        <f ca="1">RigScheduleTest!$Y$10</f>
        <v>42472</v>
      </c>
      <c r="K111" s="413"/>
      <c r="L111" s="546"/>
      <c r="M111" s="544"/>
      <c r="N111" s="545"/>
      <c r="O111" s="545"/>
      <c r="P111" s="551"/>
    </row>
    <row r="112" spans="1:16" x14ac:dyDescent="0.25">
      <c r="A112" s="442" t="str">
        <f>RigScheduleTest!$B$10</f>
        <v>NDSC-17</v>
      </c>
      <c r="B112" s="442" t="str">
        <f ca="1">RigScheduleTest!$AA$10</f>
        <v>RA4-RA-MA-Prod</v>
      </c>
      <c r="C112" s="421" t="str">
        <f ca="1">IF(INDEX(Well_Data_NK_Upcoming!$G$2:$G$996,MATCH(Rig_Schedule_View!B112,Well_Data_NK_Upcoming!Concatenated_Wellname,0))=0,"",INDEX(Well_Data_NK_Upcoming!$G$2:$G$996,MATCH(Rig_Schedule_View!B112,Well_Data_NK_Upcoming!Concatenated_Wellname,0)))</f>
        <v>MA</v>
      </c>
      <c r="D112" s="421" t="str">
        <f ca="1">IF(INDEX(Well_Data_NK_Upcoming!$K$2:$K$996,MATCH(Rig_Schedule_View!B112,Well_Data_NK_Upcoming!Concatenated_Wellname,0))=0,"",INDEX(Well_Data_NK_Upcoming!$K$2:$K$996,MATCH(Rig_Schedule_View!B112,Well_Data_NK_Upcoming!Concatenated_Wellname,0)))</f>
        <v/>
      </c>
      <c r="E112" s="421" t="str">
        <f ca="1">IF(INDEX(Well_Data_NK_Upcoming!$J$2:$J$996,MATCH(Rig_Schedule_View!B112,Well_Data_NK_Upcoming!Concatenated_Wellname,0))=0,"",INDEX(Well_Data_NK_Upcoming!$J$2:$J$996,MATCH(Rig_Schedule_View!B112,Well_Data_NK_Upcoming!Concatenated_Wellname,0)))</f>
        <v>Prod</v>
      </c>
      <c r="F112" s="421" t="str">
        <f ca="1">IF(INDEX(Well_Data_NK_Upcoming!$L$2:$L$996,MATCH(Rig_Schedule_View!B112,Well_Data_NK_Upcoming!Concatenated_Wellname,0))=0,"",INDEX(Well_Data_NK_Upcoming!$L$2:$L$996,MATCH(Rig_Schedule_View!B112,Well_Data_NK_Upcoming!Concatenated_Wellname,0)))</f>
        <v/>
      </c>
      <c r="G112" s="421">
        <f ca="1">IF(INDEX(Well_Data_NK_Upcoming!$R$2:$R$996,MATCH(Rig_Schedule_View!B112,Well_Data_NK_Upcoming!Concatenated_Wellname,0))=0,"",INDEX(Well_Data_NK_Upcoming!$R$2:$R$996,MATCH(Rig_Schedule_View!B112,Well_Data_NK_Upcoming!Concatenated_Wellname,0)))</f>
        <v>75</v>
      </c>
      <c r="H112" s="74"/>
      <c r="I112" s="443">
        <f ca="1">RigScheduleTest!$AD$10</f>
        <v>42477</v>
      </c>
      <c r="J112" s="443">
        <f ca="1">RigScheduleTest!$AE$10</f>
        <v>42547</v>
      </c>
      <c r="K112" s="413"/>
      <c r="L112" s="547"/>
      <c r="M112" s="544"/>
      <c r="N112" s="545"/>
      <c r="O112" s="545"/>
      <c r="P112" s="551"/>
    </row>
    <row r="113" spans="1:16" x14ac:dyDescent="0.25">
      <c r="A113" s="442" t="str">
        <f>RigScheduleTest!$B$10</f>
        <v>NDSC-17</v>
      </c>
      <c r="B113" s="442" t="str">
        <f ca="1">RigScheduleTest!$AG$10</f>
        <v>SA20-SA-MA-Prod-NW-HZ</v>
      </c>
      <c r="C113" s="421" t="str">
        <f ca="1">IF(INDEX(Well_Data_NK_Upcoming!$G$2:$G$996,MATCH(Rig_Schedule_View!B113,Well_Data_NK_Upcoming!Concatenated_Wellname,0))=0,"",INDEX(Well_Data_NK_Upcoming!$G$2:$G$996,MATCH(Rig_Schedule_View!B113,Well_Data_NK_Upcoming!Concatenated_Wellname,0)))</f>
        <v>MA</v>
      </c>
      <c r="D113" s="421" t="str">
        <f ca="1">IF(INDEX(Well_Data_NK_Upcoming!$K$2:$K$996,MATCH(Rig_Schedule_View!B113,Well_Data_NK_Upcoming!Concatenated_Wellname,0))=0,"",INDEX(Well_Data_NK_Upcoming!$K$2:$K$996,MATCH(Rig_Schedule_View!B113,Well_Data_NK_Upcoming!Concatenated_Wellname,0)))</f>
        <v>NW</v>
      </c>
      <c r="E113" s="421" t="str">
        <f ca="1">IF(INDEX(Well_Data_NK_Upcoming!$J$2:$J$996,MATCH(Rig_Schedule_View!B113,Well_Data_NK_Upcoming!Concatenated_Wellname,0))=0,"",INDEX(Well_Data_NK_Upcoming!$J$2:$J$996,MATCH(Rig_Schedule_View!B113,Well_Data_NK_Upcoming!Concatenated_Wellname,0)))</f>
        <v>Prod</v>
      </c>
      <c r="F113" s="421" t="str">
        <f ca="1">IF(INDEX(Well_Data_NK_Upcoming!$L$2:$L$996,MATCH(Rig_Schedule_View!B113,Well_Data_NK_Upcoming!Concatenated_Wellname,0))=0,"",INDEX(Well_Data_NK_Upcoming!$L$2:$L$996,MATCH(Rig_Schedule_View!B113,Well_Data_NK_Upcoming!Concatenated_Wellname,0)))</f>
        <v>HZ</v>
      </c>
      <c r="G113" s="421">
        <f ca="1">IF(INDEX(Well_Data_NK_Upcoming!$R$2:$R$996,MATCH(Rig_Schedule_View!B113,Well_Data_NK_Upcoming!Concatenated_Wellname,0))=0,"",INDEX(Well_Data_NK_Upcoming!$R$2:$R$996,MATCH(Rig_Schedule_View!B113,Well_Data_NK_Upcoming!Concatenated_Wellname,0)))</f>
        <v>75</v>
      </c>
      <c r="H113" s="74"/>
      <c r="I113" s="443">
        <f ca="1">RigScheduleTest!$AJ$10</f>
        <v>42552</v>
      </c>
      <c r="J113" s="443">
        <f ca="1">RigScheduleTest!$AK$10</f>
        <v>42622</v>
      </c>
      <c r="K113" s="413"/>
      <c r="L113" s="546"/>
      <c r="M113" s="544"/>
      <c r="N113" s="545"/>
      <c r="O113" s="545"/>
      <c r="P113" s="551"/>
    </row>
    <row r="114" spans="1:16" x14ac:dyDescent="0.25">
      <c r="A114" s="442" t="str">
        <f>RigScheduleTest!$B$10</f>
        <v>NDSC-17</v>
      </c>
      <c r="B114" s="442" t="str">
        <f ca="1">RigScheduleTest!$AM$10</f>
        <v>RA21-RA-LB-Prod-NW-SL-SLB</v>
      </c>
      <c r="C114" s="421" t="str">
        <f ca="1">IF(INDEX(Well_Data_NK_Upcoming!$G$2:$G$996,MATCH(Rig_Schedule_View!B114,Well_Data_NK_Upcoming!Concatenated_Wellname,0))=0,"",INDEX(Well_Data_NK_Upcoming!$G$2:$G$996,MATCH(Rig_Schedule_View!B114,Well_Data_NK_Upcoming!Concatenated_Wellname,0)))</f>
        <v>LB</v>
      </c>
      <c r="D114" s="421" t="str">
        <f ca="1">IF(INDEX(Well_Data_NK_Upcoming!$K$2:$K$996,MATCH(Rig_Schedule_View!B114,Well_Data_NK_Upcoming!Concatenated_Wellname,0))=0,"",INDEX(Well_Data_NK_Upcoming!$K$2:$K$996,MATCH(Rig_Schedule_View!B114,Well_Data_NK_Upcoming!Concatenated_Wellname,0)))</f>
        <v>NW</v>
      </c>
      <c r="E114" s="421" t="str">
        <f ca="1">IF(INDEX(Well_Data_NK_Upcoming!$J$2:$J$996,MATCH(Rig_Schedule_View!B114,Well_Data_NK_Upcoming!Concatenated_Wellname,0))=0,"",INDEX(Well_Data_NK_Upcoming!$J$2:$J$996,MATCH(Rig_Schedule_View!B114,Well_Data_NK_Upcoming!Concatenated_Wellname,0)))</f>
        <v>Prod</v>
      </c>
      <c r="F114" s="421" t="str">
        <f ca="1">IF(INDEX(Well_Data_NK_Upcoming!$L$2:$L$996,MATCH(Rig_Schedule_View!B114,Well_Data_NK_Upcoming!Concatenated_Wellname,0))=0,"",INDEX(Well_Data_NK_Upcoming!$L$2:$L$996,MATCH(Rig_Schedule_View!B114,Well_Data_NK_Upcoming!Concatenated_Wellname,0)))</f>
        <v>SL</v>
      </c>
      <c r="G114" s="421">
        <f ca="1">IF(INDEX(Well_Data_NK_Upcoming!$R$2:$R$996,MATCH(Rig_Schedule_View!B114,Well_Data_NK_Upcoming!Concatenated_Wellname,0))=0,"",INDEX(Well_Data_NK_Upcoming!$R$2:$R$996,MATCH(Rig_Schedule_View!B114,Well_Data_NK_Upcoming!Concatenated_Wellname,0)))</f>
        <v>75</v>
      </c>
      <c r="H114" s="74"/>
      <c r="I114" s="443">
        <f ca="1">RigScheduleTest!$AP$10</f>
        <v>42627</v>
      </c>
      <c r="J114" s="443">
        <f ca="1">RigScheduleTest!$AQ$10</f>
        <v>42697</v>
      </c>
      <c r="K114" s="413"/>
      <c r="L114" s="546"/>
      <c r="M114" s="544"/>
      <c r="N114" s="545"/>
      <c r="O114" s="545"/>
      <c r="P114" s="551"/>
    </row>
    <row r="115" spans="1:16" x14ac:dyDescent="0.25">
      <c r="A115" s="442" t="str">
        <f>RigScheduleTest!$B$10</f>
        <v>NDSC-17</v>
      </c>
      <c r="B115" s="442" t="str">
        <f ca="1">RigScheduleTest!$AS$10</f>
        <v>RA28-RA-UB-Prod-NW-HZ-SLB</v>
      </c>
      <c r="C115" s="421" t="str">
        <f ca="1">IF(INDEX(Well_Data_NK_Upcoming!$G$2:$G$996,MATCH(Rig_Schedule_View!B115,Well_Data_NK_Upcoming!Concatenated_Wellname,0))=0,"",INDEX(Well_Data_NK_Upcoming!$G$2:$G$996,MATCH(Rig_Schedule_View!B115,Well_Data_NK_Upcoming!Concatenated_Wellname,0)))</f>
        <v>UB</v>
      </c>
      <c r="D115" s="421" t="str">
        <f ca="1">IF(INDEX(Well_Data_NK_Upcoming!$K$2:$K$996,MATCH(Rig_Schedule_View!B115,Well_Data_NK_Upcoming!Concatenated_Wellname,0))=0,"",INDEX(Well_Data_NK_Upcoming!$K$2:$K$996,MATCH(Rig_Schedule_View!B115,Well_Data_NK_Upcoming!Concatenated_Wellname,0)))</f>
        <v>NW</v>
      </c>
      <c r="E115" s="421" t="str">
        <f ca="1">IF(INDEX(Well_Data_NK_Upcoming!$J$2:$J$996,MATCH(Rig_Schedule_View!B115,Well_Data_NK_Upcoming!Concatenated_Wellname,0))=0,"",INDEX(Well_Data_NK_Upcoming!$J$2:$J$996,MATCH(Rig_Schedule_View!B115,Well_Data_NK_Upcoming!Concatenated_Wellname,0)))</f>
        <v>Prod</v>
      </c>
      <c r="F115" s="421" t="str">
        <f ca="1">IF(INDEX(Well_Data_NK_Upcoming!$L$2:$L$996,MATCH(Rig_Schedule_View!B115,Well_Data_NK_Upcoming!Concatenated_Wellname,0))=0,"",INDEX(Well_Data_NK_Upcoming!$L$2:$L$996,MATCH(Rig_Schedule_View!B115,Well_Data_NK_Upcoming!Concatenated_Wellname,0)))</f>
        <v>HZ</v>
      </c>
      <c r="G115" s="421">
        <f ca="1">IF(INDEX(Well_Data_NK_Upcoming!$R$2:$R$996,MATCH(Rig_Schedule_View!B115,Well_Data_NK_Upcoming!Concatenated_Wellname,0))=0,"",INDEX(Well_Data_NK_Upcoming!$R$2:$R$996,MATCH(Rig_Schedule_View!B115,Well_Data_NK_Upcoming!Concatenated_Wellname,0)))</f>
        <v>75</v>
      </c>
      <c r="H115" s="74"/>
      <c r="I115" s="443">
        <f ca="1">RigScheduleTest!$AV$10</f>
        <v>42702</v>
      </c>
      <c r="J115" s="443">
        <f ca="1">RigScheduleTest!$AW$10</f>
        <v>42772</v>
      </c>
      <c r="K115" s="413"/>
      <c r="L115" s="546"/>
      <c r="M115" s="544"/>
      <c r="N115" s="545"/>
      <c r="O115" s="545"/>
      <c r="P115" s="551"/>
    </row>
    <row r="116" spans="1:16" x14ac:dyDescent="0.25">
      <c r="A116" s="442" t="str">
        <f>RigScheduleTest!$B$10</f>
        <v>NDSC-17</v>
      </c>
      <c r="B116" s="442" t="str">
        <f ca="1">RigScheduleTest!$AY$10</f>
        <v>SA55-SA-RT-Inj-NW-HZ</v>
      </c>
      <c r="C116" s="421" t="str">
        <f ca="1">IF(INDEX(Well_Data_NK_Upcoming!$G$2:$G$996,MATCH(Rig_Schedule_View!B116,Well_Data_NK_Upcoming!Concatenated_Wellname,0))=0,"",INDEX(Well_Data_NK_Upcoming!$G$2:$G$996,MATCH(Rig_Schedule_View!B116,Well_Data_NK_Upcoming!Concatenated_Wellname,0)))</f>
        <v>RT</v>
      </c>
      <c r="D116" s="421" t="str">
        <f ca="1">IF(INDEX(Well_Data_NK_Upcoming!$K$2:$K$996,MATCH(Rig_Schedule_View!B116,Well_Data_NK_Upcoming!Concatenated_Wellname,0))=0,"",INDEX(Well_Data_NK_Upcoming!$K$2:$K$996,MATCH(Rig_Schedule_View!B116,Well_Data_NK_Upcoming!Concatenated_Wellname,0)))</f>
        <v>NW</v>
      </c>
      <c r="E116" s="421" t="str">
        <f ca="1">IF(INDEX(Well_Data_NK_Upcoming!$J$2:$J$996,MATCH(Rig_Schedule_View!B116,Well_Data_NK_Upcoming!Concatenated_Wellname,0))=0,"",INDEX(Well_Data_NK_Upcoming!$J$2:$J$996,MATCH(Rig_Schedule_View!B116,Well_Data_NK_Upcoming!Concatenated_Wellname,0)))</f>
        <v>Inj</v>
      </c>
      <c r="F116" s="421" t="str">
        <f ca="1">IF(INDEX(Well_Data_NK_Upcoming!$L$2:$L$996,MATCH(Rig_Schedule_View!B116,Well_Data_NK_Upcoming!Concatenated_Wellname,0))=0,"",INDEX(Well_Data_NK_Upcoming!$L$2:$L$996,MATCH(Rig_Schedule_View!B116,Well_Data_NK_Upcoming!Concatenated_Wellname,0)))</f>
        <v>HZ</v>
      </c>
      <c r="G116" s="421" t="str">
        <f ca="1">IF(INDEX(Well_Data_NK_Upcoming!$R$2:$R$996,MATCH(Rig_Schedule_View!B116,Well_Data_NK_Upcoming!Concatenated_Wellname,0))=0,"",INDEX(Well_Data_NK_Upcoming!$R$2:$R$996,MATCH(Rig_Schedule_View!B116,Well_Data_NK_Upcoming!Concatenated_Wellname,0)))</f>
        <v/>
      </c>
      <c r="H116" s="74"/>
      <c r="I116" s="443" t="str">
        <f ca="1">RigScheduleTest!$BB$10</f>
        <v/>
      </c>
      <c r="J116" s="443" t="str">
        <f ca="1">RigScheduleTest!$BC$10</f>
        <v/>
      </c>
      <c r="K116" s="413"/>
      <c r="L116" s="546"/>
      <c r="M116" s="544"/>
      <c r="N116" s="545"/>
      <c r="O116" s="545"/>
      <c r="P116" s="551"/>
    </row>
    <row r="117" spans="1:16" x14ac:dyDescent="0.25">
      <c r="A117" s="442" t="str">
        <f>RigScheduleTest!$B$10</f>
        <v>NDSC-17</v>
      </c>
      <c r="B117" s="442" t="str">
        <f ca="1">RigScheduleTest!$BE$10</f>
        <v/>
      </c>
      <c r="C117" s="421" t="str">
        <f ca="1">IF(INDEX(Well_Data_NK_Upcoming!$G$2:$G$996,MATCH(Rig_Schedule_View!B117,Well_Data_NK_Upcoming!Concatenated_Wellname,0))=0,"",INDEX(Well_Data_NK_Upcoming!$G$2:$G$996,MATCH(Rig_Schedule_View!B117,Well_Data_NK_Upcoming!Concatenated_Wellname,0)))</f>
        <v/>
      </c>
      <c r="D117" s="421" t="str">
        <f ca="1">IF(INDEX(Well_Data_NK_Upcoming!$K$2:$K$996,MATCH(Rig_Schedule_View!B117,Well_Data_NK_Upcoming!Concatenated_Wellname,0))=0,"",INDEX(Well_Data_NK_Upcoming!$K$2:$K$996,MATCH(Rig_Schedule_View!B117,Well_Data_NK_Upcoming!Concatenated_Wellname,0)))</f>
        <v/>
      </c>
      <c r="E117" s="421" t="str">
        <f ca="1">IF(INDEX(Well_Data_NK_Upcoming!$J$2:$J$996,MATCH(Rig_Schedule_View!B117,Well_Data_NK_Upcoming!Concatenated_Wellname,0))=0,"",INDEX(Well_Data_NK_Upcoming!$J$2:$J$996,MATCH(Rig_Schedule_View!B117,Well_Data_NK_Upcoming!Concatenated_Wellname,0)))</f>
        <v/>
      </c>
      <c r="F117" s="421" t="str">
        <f ca="1">IF(INDEX(Well_Data_NK_Upcoming!$L$2:$L$996,MATCH(Rig_Schedule_View!B117,Well_Data_NK_Upcoming!Concatenated_Wellname,0))=0,"",INDEX(Well_Data_NK_Upcoming!$L$2:$L$996,MATCH(Rig_Schedule_View!B117,Well_Data_NK_Upcoming!Concatenated_Wellname,0)))</f>
        <v/>
      </c>
      <c r="G117" s="421" t="str">
        <f ca="1">IF(INDEX(Well_Data_NK_Upcoming!$R$2:$R$996,MATCH(Rig_Schedule_View!B117,Well_Data_NK_Upcoming!Concatenated_Wellname,0))=0,"",INDEX(Well_Data_NK_Upcoming!$R$2:$R$996,MATCH(Rig_Schedule_View!B117,Well_Data_NK_Upcoming!Concatenated_Wellname,0)))</f>
        <v/>
      </c>
      <c r="H117" s="74"/>
      <c r="I117" s="443" t="str">
        <f ca="1">RigScheduleTest!$BH$10</f>
        <v/>
      </c>
      <c r="J117" s="443" t="str">
        <f ca="1">RigScheduleTest!$BI$10</f>
        <v/>
      </c>
      <c r="K117" s="413"/>
      <c r="L117" s="546"/>
      <c r="M117" s="544"/>
      <c r="N117" s="545"/>
      <c r="O117" s="545"/>
      <c r="P117" s="551"/>
    </row>
    <row r="118" spans="1:16" x14ac:dyDescent="0.25">
      <c r="A118" s="442" t="str">
        <f>RigScheduleTest!$B$10</f>
        <v>NDSC-17</v>
      </c>
      <c r="B118" s="442" t="str">
        <f ca="1">RigScheduleTest!$BK$10</f>
        <v/>
      </c>
      <c r="C118" s="421" t="str">
        <f ca="1">IF(INDEX(Well_Data_NK_Upcoming!$G$2:$G$996,MATCH(Rig_Schedule_View!B118,Well_Data_NK_Upcoming!Concatenated_Wellname,0))=0,"",INDEX(Well_Data_NK_Upcoming!$G$2:$G$996,MATCH(Rig_Schedule_View!B118,Well_Data_NK_Upcoming!Concatenated_Wellname,0)))</f>
        <v/>
      </c>
      <c r="D118" s="421" t="str">
        <f ca="1">IF(INDEX(Well_Data_NK_Upcoming!$K$2:$K$996,MATCH(Rig_Schedule_View!B118,Well_Data_NK_Upcoming!Concatenated_Wellname,0))=0,"",INDEX(Well_Data_NK_Upcoming!$K$2:$K$996,MATCH(Rig_Schedule_View!B118,Well_Data_NK_Upcoming!Concatenated_Wellname,0)))</f>
        <v/>
      </c>
      <c r="E118" s="421" t="str">
        <f ca="1">IF(INDEX(Well_Data_NK_Upcoming!$J$2:$J$996,MATCH(Rig_Schedule_View!B118,Well_Data_NK_Upcoming!Concatenated_Wellname,0))=0,"",INDEX(Well_Data_NK_Upcoming!$J$2:$J$996,MATCH(Rig_Schedule_View!B118,Well_Data_NK_Upcoming!Concatenated_Wellname,0)))</f>
        <v/>
      </c>
      <c r="F118" s="421" t="str">
        <f ca="1">IF(INDEX(Well_Data_NK_Upcoming!$L$2:$L$996,MATCH(Rig_Schedule_View!B118,Well_Data_NK_Upcoming!Concatenated_Wellname,0))=0,"",INDEX(Well_Data_NK_Upcoming!$L$2:$L$996,MATCH(Rig_Schedule_View!B118,Well_Data_NK_Upcoming!Concatenated_Wellname,0)))</f>
        <v/>
      </c>
      <c r="G118" s="421" t="str">
        <f ca="1">IF(INDEX(Well_Data_NK_Upcoming!$R$2:$R$996,MATCH(Rig_Schedule_View!B118,Well_Data_NK_Upcoming!Concatenated_Wellname,0))=0,"",INDEX(Well_Data_NK_Upcoming!$R$2:$R$996,MATCH(Rig_Schedule_View!B118,Well_Data_NK_Upcoming!Concatenated_Wellname,0)))</f>
        <v/>
      </c>
      <c r="H118" s="74"/>
      <c r="I118" s="443" t="str">
        <f ca="1">RigScheduleTest!$BN$10</f>
        <v/>
      </c>
      <c r="J118" s="443" t="str">
        <f ca="1">RigScheduleTest!$BO$10</f>
        <v/>
      </c>
      <c r="K118" s="413"/>
      <c r="L118" s="546"/>
      <c r="M118" s="544"/>
      <c r="N118" s="545"/>
      <c r="O118" s="545"/>
      <c r="P118" s="551"/>
    </row>
    <row r="119" spans="1:16" x14ac:dyDescent="0.25">
      <c r="A119" s="437" t="str">
        <f>RigScheduleTest!$B$1</f>
        <v>RIG</v>
      </c>
      <c r="B119" s="437" t="str">
        <f>$K$1</f>
        <v>Development Drilling</v>
      </c>
      <c r="C119" s="437" t="s">
        <v>1831</v>
      </c>
      <c r="D119" s="437" t="s">
        <v>867</v>
      </c>
      <c r="E119" s="437" t="s">
        <v>8</v>
      </c>
      <c r="F119" s="437" t="s">
        <v>2</v>
      </c>
      <c r="G119" s="437" t="s">
        <v>1513</v>
      </c>
      <c r="H119" s="438" t="str">
        <f>$K$3</f>
        <v>Rig Deployment Meeting</v>
      </c>
      <c r="I119" s="439" t="str">
        <f>$K$5</f>
        <v>Start</v>
      </c>
      <c r="J119" s="439" t="str">
        <f>$K$6</f>
        <v>End</v>
      </c>
      <c r="K119" s="444" t="s">
        <v>1068</v>
      </c>
      <c r="L119" s="444" t="s">
        <v>1577</v>
      </c>
      <c r="M119" s="496" t="s">
        <v>1934</v>
      </c>
      <c r="N119" s="504" t="s">
        <v>1940</v>
      </c>
      <c r="O119" s="504" t="s">
        <v>1941</v>
      </c>
      <c r="P119" s="502"/>
    </row>
    <row r="120" spans="1:16" x14ac:dyDescent="0.25">
      <c r="A120" s="442" t="str">
        <f>RigScheduleTest!$B$11</f>
        <v>SP-158</v>
      </c>
      <c r="B120" s="421" t="str">
        <f ca="1">RigScheduleTest!$D$11</f>
        <v>RA-0592-RA-UB-Prod-NW-SL-SLB</v>
      </c>
      <c r="C120" s="421" t="str">
        <f ca="1">IF(INDEX(Well_Data_NK_Upcoming!$G$2:$G$996,MATCH(Rig_Schedule_View!B120,Well_Data_NK_Upcoming!Concatenated_Wellname,0))=0,"",INDEX(Well_Data_NK_Upcoming!$G$2:$G$996,MATCH(Rig_Schedule_View!B120,Well_Data_NK_Upcoming!Concatenated_Wellname,0)))</f>
        <v>UB</v>
      </c>
      <c r="D120" s="421" t="str">
        <f ca="1">IF(INDEX(Well_Data_NK_Upcoming!$K$2:$K$996,MATCH(Rig_Schedule_View!B120,Well_Data_NK_Upcoming!Concatenated_Wellname,0))=0,"",INDEX(Well_Data_NK_Upcoming!$K$2:$K$996,MATCH(Rig_Schedule_View!B120,Well_Data_NK_Upcoming!Concatenated_Wellname,0)))</f>
        <v>NW</v>
      </c>
      <c r="E120" s="421" t="str">
        <f ca="1">IF(INDEX(Well_Data_NK_Upcoming!$J$2:$J$996,MATCH(Rig_Schedule_View!B120,Well_Data_NK_Upcoming!Concatenated_Wellname,0))=0,"",INDEX(Well_Data_NK_Upcoming!$J$2:$J$996,MATCH(Rig_Schedule_View!B120,Well_Data_NK_Upcoming!Concatenated_Wellname,0)))</f>
        <v>Prod</v>
      </c>
      <c r="F120" s="421" t="str">
        <f ca="1">IF(INDEX(Well_Data_NK_Upcoming!$L$2:$L$996,MATCH(Rig_Schedule_View!B120,Well_Data_NK_Upcoming!Concatenated_Wellname,0))=0,"",INDEX(Well_Data_NK_Upcoming!$L$2:$L$996,MATCH(Rig_Schedule_View!B120,Well_Data_NK_Upcoming!Concatenated_Wellname,0)))</f>
        <v>SL</v>
      </c>
      <c r="G120" s="421">
        <f ca="1">IF(INDEX(Well_Data_NK_Upcoming!$R$2:$R$996,MATCH(Rig_Schedule_View!B120,Well_Data_NK_Upcoming!Concatenated_Wellname,0))=0,"",INDEX(Well_Data_NK_Upcoming!$R$2:$R$996,MATCH(Rig_Schedule_View!B120,Well_Data_NK_Upcoming!Concatenated_Wellname,0)))</f>
        <v>75</v>
      </c>
      <c r="H120" s="74">
        <f>RigScheduleTest!$F$11</f>
        <v>42233</v>
      </c>
      <c r="I120" s="459">
        <f ca="1">IF(INDEX(Well_Data_NK_Upcoming!$O$2:$O$996,MATCH(Rig_Schedule_View!B120,Well_Data_NK_Upcoming!Concatenated_Wellname,0))=0,"",INDEX(Well_Data_NK_Upcoming!$O$2:$O$996,MATCH(Rig_Schedule_View!B120,Well_Data_NK_Upcoming!Concatenated_Wellname,0)))</f>
        <v>42195.166666666664</v>
      </c>
      <c r="J120" s="446">
        <f ca="1">RigScheduleTest!$H$11</f>
        <v>42245</v>
      </c>
      <c r="K120" s="493" t="s">
        <v>1917</v>
      </c>
      <c r="L120" s="548" t="s">
        <v>2237</v>
      </c>
      <c r="M120" s="549">
        <v>12</v>
      </c>
      <c r="N120" s="545"/>
      <c r="O120" s="545"/>
      <c r="P120" s="551"/>
    </row>
    <row r="121" spans="1:16" x14ac:dyDescent="0.25">
      <c r="A121" s="442" t="str">
        <f>RigScheduleTest!$B$11</f>
        <v>SP-158</v>
      </c>
      <c r="B121" s="441" t="str">
        <f ca="1">RigScheduleTest!$I$11</f>
        <v>RA-0518-RA-UB-Prod-ST-HZ-SLB</v>
      </c>
      <c r="C121" s="421" t="str">
        <f ca="1">IF(INDEX(Well_Data_NK_Upcoming!$G$2:$G$996,MATCH(Rig_Schedule_View!B121,Well_Data_NK_Upcoming!Concatenated_Wellname,0))=0,"",INDEX(Well_Data_NK_Upcoming!$G$2:$G$996,MATCH(Rig_Schedule_View!B121,Well_Data_NK_Upcoming!Concatenated_Wellname,0)))</f>
        <v>UB</v>
      </c>
      <c r="D121" s="421" t="str">
        <f ca="1">IF(INDEX(Well_Data_NK_Upcoming!$K$2:$K$996,MATCH(Rig_Schedule_View!B121,Well_Data_NK_Upcoming!Concatenated_Wellname,0))=0,"",INDEX(Well_Data_NK_Upcoming!$K$2:$K$996,MATCH(Rig_Schedule_View!B121,Well_Data_NK_Upcoming!Concatenated_Wellname,0)))</f>
        <v>ST</v>
      </c>
      <c r="E121" s="421" t="str">
        <f ca="1">IF(INDEX(Well_Data_NK_Upcoming!$J$2:$J$996,MATCH(Rig_Schedule_View!B121,Well_Data_NK_Upcoming!Concatenated_Wellname,0))=0,"",INDEX(Well_Data_NK_Upcoming!$J$2:$J$996,MATCH(Rig_Schedule_View!B121,Well_Data_NK_Upcoming!Concatenated_Wellname,0)))</f>
        <v>Prod</v>
      </c>
      <c r="F121" s="421" t="str">
        <f ca="1">IF(INDEX(Well_Data_NK_Upcoming!$L$2:$L$996,MATCH(Rig_Schedule_View!B121,Well_Data_NK_Upcoming!Concatenated_Wellname,0))=0,"",INDEX(Well_Data_NK_Upcoming!$L$2:$L$996,MATCH(Rig_Schedule_View!B121,Well_Data_NK_Upcoming!Concatenated_Wellname,0)))</f>
        <v>HZ</v>
      </c>
      <c r="G121" s="421">
        <f ca="1">IF(INDEX(Well_Data_NK_Upcoming!$R$2:$R$996,MATCH(Rig_Schedule_View!B121,Well_Data_NK_Upcoming!Concatenated_Wellname,0))=0,"",INDEX(Well_Data_NK_Upcoming!$R$2:$R$996,MATCH(Rig_Schedule_View!B121,Well_Data_NK_Upcoming!Concatenated_Wellname,0)))</f>
        <v>61</v>
      </c>
      <c r="H121" s="74"/>
      <c r="I121" s="440">
        <f ca="1">RigScheduleTest!$L$11</f>
        <v>42250</v>
      </c>
      <c r="J121" s="440">
        <f ca="1">RigScheduleTest!$M$11</f>
        <v>42306</v>
      </c>
      <c r="K121" s="413"/>
      <c r="L121" s="549" t="s">
        <v>1979</v>
      </c>
      <c r="M121" s="549"/>
      <c r="N121" s="545"/>
      <c r="O121" s="545"/>
      <c r="P121" s="551"/>
    </row>
    <row r="122" spans="1:16" x14ac:dyDescent="0.25">
      <c r="A122" s="442" t="str">
        <f>RigScheduleTest!$B$11</f>
        <v>SP-158</v>
      </c>
      <c r="B122" s="441" t="str">
        <f ca="1">RigScheduleTest!$O$11</f>
        <v>RA-0396-RA-MA-Prod-ST-HZ-SLB</v>
      </c>
      <c r="C122" s="421" t="str">
        <f ca="1">IF(INDEX(Well_Data_NK_Upcoming!$G$2:$G$996,MATCH(Rig_Schedule_View!B122,Well_Data_NK_Upcoming!Concatenated_Wellname,0))=0,"",INDEX(Well_Data_NK_Upcoming!$G$2:$G$996,MATCH(Rig_Schedule_View!B122,Well_Data_NK_Upcoming!Concatenated_Wellname,0)))</f>
        <v>MA</v>
      </c>
      <c r="D122" s="421" t="str">
        <f ca="1">IF(INDEX(Well_Data_NK_Upcoming!$K$2:$K$996,MATCH(Rig_Schedule_View!B122,Well_Data_NK_Upcoming!Concatenated_Wellname,0))=0,"",INDEX(Well_Data_NK_Upcoming!$K$2:$K$996,MATCH(Rig_Schedule_View!B122,Well_Data_NK_Upcoming!Concatenated_Wellname,0)))</f>
        <v>ST</v>
      </c>
      <c r="E122" s="421" t="str">
        <f ca="1">IF(INDEX(Well_Data_NK_Upcoming!$J$2:$J$996,MATCH(Rig_Schedule_View!B122,Well_Data_NK_Upcoming!Concatenated_Wellname,0))=0,"",INDEX(Well_Data_NK_Upcoming!$J$2:$J$996,MATCH(Rig_Schedule_View!B122,Well_Data_NK_Upcoming!Concatenated_Wellname,0)))</f>
        <v>Prod</v>
      </c>
      <c r="F122" s="421" t="str">
        <f ca="1">IF(INDEX(Well_Data_NK_Upcoming!$L$2:$L$996,MATCH(Rig_Schedule_View!B122,Well_Data_NK_Upcoming!Concatenated_Wellname,0))=0,"",INDEX(Well_Data_NK_Upcoming!$L$2:$L$996,MATCH(Rig_Schedule_View!B122,Well_Data_NK_Upcoming!Concatenated_Wellname,0)))</f>
        <v>HZ</v>
      </c>
      <c r="G122" s="421">
        <f ca="1">IF(INDEX(Well_Data_NK_Upcoming!$R$2:$R$996,MATCH(Rig_Schedule_View!B122,Well_Data_NK_Upcoming!Concatenated_Wellname,0))=0,"",INDEX(Well_Data_NK_Upcoming!$R$2:$R$996,MATCH(Rig_Schedule_View!B122,Well_Data_NK_Upcoming!Concatenated_Wellname,0)))</f>
        <v>61</v>
      </c>
      <c r="H122" s="74"/>
      <c r="I122" s="440">
        <f ca="1">RigScheduleTest!$R$11</f>
        <v>42311</v>
      </c>
      <c r="J122" s="440">
        <f ca="1">RigScheduleTest!$S$11</f>
        <v>42367</v>
      </c>
      <c r="K122" s="413"/>
      <c r="L122" s="546"/>
      <c r="M122" s="544"/>
      <c r="N122" s="545"/>
      <c r="O122" s="545"/>
      <c r="P122" s="551"/>
    </row>
    <row r="123" spans="1:16" x14ac:dyDescent="0.25">
      <c r="A123" s="442" t="str">
        <f>RigScheduleTest!$B$11</f>
        <v>SP-158</v>
      </c>
      <c r="B123" s="442" t="str">
        <f ca="1">RigScheduleTest!$U$11</f>
        <v>SA1-SA-MA-Prod-NW-HZ</v>
      </c>
      <c r="C123" s="421" t="str">
        <f ca="1">IF(INDEX(Well_Data_NK_Upcoming!$G$2:$G$996,MATCH(Rig_Schedule_View!B123,Well_Data_NK_Upcoming!Concatenated_Wellname,0))=0,"",INDEX(Well_Data_NK_Upcoming!$G$2:$G$996,MATCH(Rig_Schedule_View!B123,Well_Data_NK_Upcoming!Concatenated_Wellname,0)))</f>
        <v>MA</v>
      </c>
      <c r="D123" s="421" t="str">
        <f ca="1">IF(INDEX(Well_Data_NK_Upcoming!$K$2:$K$996,MATCH(Rig_Schedule_View!B123,Well_Data_NK_Upcoming!Concatenated_Wellname,0))=0,"",INDEX(Well_Data_NK_Upcoming!$K$2:$K$996,MATCH(Rig_Schedule_View!B123,Well_Data_NK_Upcoming!Concatenated_Wellname,0)))</f>
        <v>NW</v>
      </c>
      <c r="E123" s="421" t="str">
        <f ca="1">IF(INDEX(Well_Data_NK_Upcoming!$J$2:$J$996,MATCH(Rig_Schedule_View!B123,Well_Data_NK_Upcoming!Concatenated_Wellname,0))=0,"",INDEX(Well_Data_NK_Upcoming!$J$2:$J$996,MATCH(Rig_Schedule_View!B123,Well_Data_NK_Upcoming!Concatenated_Wellname,0)))</f>
        <v>Prod</v>
      </c>
      <c r="F123" s="421" t="str">
        <f ca="1">IF(INDEX(Well_Data_NK_Upcoming!$L$2:$L$996,MATCH(Rig_Schedule_View!B123,Well_Data_NK_Upcoming!Concatenated_Wellname,0))=0,"",INDEX(Well_Data_NK_Upcoming!$L$2:$L$996,MATCH(Rig_Schedule_View!B123,Well_Data_NK_Upcoming!Concatenated_Wellname,0)))</f>
        <v>HZ</v>
      </c>
      <c r="G123" s="421">
        <f ca="1">IF(INDEX(Well_Data_NK_Upcoming!$R$2:$R$996,MATCH(Rig_Schedule_View!B123,Well_Data_NK_Upcoming!Concatenated_Wellname,0))=0,"",INDEX(Well_Data_NK_Upcoming!$R$2:$R$996,MATCH(Rig_Schedule_View!B123,Well_Data_NK_Upcoming!Concatenated_Wellname,0)))</f>
        <v>75</v>
      </c>
      <c r="H123" s="74"/>
      <c r="I123" s="443">
        <f ca="1">RigScheduleTest!$X$11</f>
        <v>42372</v>
      </c>
      <c r="J123" s="443">
        <f ca="1">RigScheduleTest!$Y$11</f>
        <v>42442</v>
      </c>
      <c r="K123" s="413"/>
      <c r="L123" s="546"/>
      <c r="M123" s="544"/>
      <c r="N123" s="545"/>
      <c r="O123" s="545"/>
      <c r="P123" s="551"/>
    </row>
    <row r="124" spans="1:16" x14ac:dyDescent="0.25">
      <c r="A124" s="442" t="str">
        <f>RigScheduleTest!$B$11</f>
        <v>SP-158</v>
      </c>
      <c r="B124" s="442" t="str">
        <f ca="1">RigScheduleTest!$AA$11</f>
        <v>Rig-Exp-13Jan2016</v>
      </c>
      <c r="C124" s="421" t="str">
        <f ca="1">IF(INDEX(Well_Data_NK_Upcoming!$G$2:$G$996,MATCH(Rig_Schedule_View!B124,Well_Data_NK_Upcoming!Concatenated_Wellname,0))=0,"",INDEX(Well_Data_NK_Upcoming!$G$2:$G$996,MATCH(Rig_Schedule_View!B124,Well_Data_NK_Upcoming!Concatenated_Wellname,0)))</f>
        <v/>
      </c>
      <c r="D124" s="421" t="str">
        <f ca="1">IF(INDEX(Well_Data_NK_Upcoming!$K$2:$K$996,MATCH(Rig_Schedule_View!B124,Well_Data_NK_Upcoming!Concatenated_Wellname,0))=0,"",INDEX(Well_Data_NK_Upcoming!$K$2:$K$996,MATCH(Rig_Schedule_View!B124,Well_Data_NK_Upcoming!Concatenated_Wellname,0)))</f>
        <v/>
      </c>
      <c r="E124" s="421" t="str">
        <f ca="1">IF(INDEX(Well_Data_NK_Upcoming!$J$2:$J$996,MATCH(Rig_Schedule_View!B124,Well_Data_NK_Upcoming!Concatenated_Wellname,0))=0,"",INDEX(Well_Data_NK_Upcoming!$J$2:$J$996,MATCH(Rig_Schedule_View!B124,Well_Data_NK_Upcoming!Concatenated_Wellname,0)))</f>
        <v/>
      </c>
      <c r="F124" s="421" t="str">
        <f ca="1">IF(INDEX(Well_Data_NK_Upcoming!$L$2:$L$996,MATCH(Rig_Schedule_View!B124,Well_Data_NK_Upcoming!Concatenated_Wellname,0))=0,"",INDEX(Well_Data_NK_Upcoming!$L$2:$L$996,MATCH(Rig_Schedule_View!B124,Well_Data_NK_Upcoming!Concatenated_Wellname,0)))</f>
        <v/>
      </c>
      <c r="G124" s="421" t="str">
        <f ca="1">IF(INDEX(Well_Data_NK_Upcoming!$R$2:$R$996,MATCH(Rig_Schedule_View!B124,Well_Data_NK_Upcoming!Concatenated_Wellname,0))=0,"",INDEX(Well_Data_NK_Upcoming!$R$2:$R$996,MATCH(Rig_Schedule_View!B124,Well_Data_NK_Upcoming!Concatenated_Wellname,0)))</f>
        <v/>
      </c>
      <c r="H124" s="74"/>
      <c r="I124" s="443" t="str">
        <f ca="1">RigScheduleTest!$AD$11</f>
        <v/>
      </c>
      <c r="J124" s="443" t="str">
        <f ca="1">RigScheduleTest!$AE$11</f>
        <v/>
      </c>
      <c r="K124" s="413"/>
      <c r="L124" s="546"/>
      <c r="M124" s="544"/>
      <c r="N124" s="545"/>
      <c r="O124" s="545"/>
      <c r="P124" s="551"/>
    </row>
    <row r="125" spans="1:16" x14ac:dyDescent="0.25">
      <c r="A125" s="442" t="str">
        <f>RigScheduleTest!$B$11</f>
        <v>SP-158</v>
      </c>
      <c r="B125" s="442" t="str">
        <f ca="1">RigScheduleTest!$AG$11</f>
        <v>SA8-SA-UB-Prod-NW-SL</v>
      </c>
      <c r="C125" s="421" t="str">
        <f ca="1">IF(INDEX(Well_Data_NK_Upcoming!$G$2:$G$996,MATCH(Rig_Schedule_View!B125,Well_Data_NK_Upcoming!Concatenated_Wellname,0))=0,"",INDEX(Well_Data_NK_Upcoming!$G$2:$G$996,MATCH(Rig_Schedule_View!B125,Well_Data_NK_Upcoming!Concatenated_Wellname,0)))</f>
        <v>UB</v>
      </c>
      <c r="D125" s="421" t="str">
        <f ca="1">IF(INDEX(Well_Data_NK_Upcoming!$K$2:$K$996,MATCH(Rig_Schedule_View!B125,Well_Data_NK_Upcoming!Concatenated_Wellname,0))=0,"",INDEX(Well_Data_NK_Upcoming!$K$2:$K$996,MATCH(Rig_Schedule_View!B125,Well_Data_NK_Upcoming!Concatenated_Wellname,0)))</f>
        <v>NW</v>
      </c>
      <c r="E125" s="421" t="str">
        <f ca="1">IF(INDEX(Well_Data_NK_Upcoming!$J$2:$J$996,MATCH(Rig_Schedule_View!B125,Well_Data_NK_Upcoming!Concatenated_Wellname,0))=0,"",INDEX(Well_Data_NK_Upcoming!$J$2:$J$996,MATCH(Rig_Schedule_View!B125,Well_Data_NK_Upcoming!Concatenated_Wellname,0)))</f>
        <v>Prod</v>
      </c>
      <c r="F125" s="421" t="str">
        <f ca="1">IF(INDEX(Well_Data_NK_Upcoming!$L$2:$L$996,MATCH(Rig_Schedule_View!B125,Well_Data_NK_Upcoming!Concatenated_Wellname,0))=0,"",INDEX(Well_Data_NK_Upcoming!$L$2:$L$996,MATCH(Rig_Schedule_View!B125,Well_Data_NK_Upcoming!Concatenated_Wellname,0)))</f>
        <v>SL</v>
      </c>
      <c r="G125" s="421">
        <f ca="1">IF(INDEX(Well_Data_NK_Upcoming!$R$2:$R$996,MATCH(Rig_Schedule_View!B125,Well_Data_NK_Upcoming!Concatenated_Wellname,0))=0,"",INDEX(Well_Data_NK_Upcoming!$R$2:$R$996,MATCH(Rig_Schedule_View!B125,Well_Data_NK_Upcoming!Concatenated_Wellname,0)))</f>
        <v>75</v>
      </c>
      <c r="H125" s="74"/>
      <c r="I125" s="443" t="str">
        <f ca="1">RigScheduleTest!$AJ$11</f>
        <v/>
      </c>
      <c r="J125" s="443" t="str">
        <f ca="1">RigScheduleTest!$AK$11</f>
        <v/>
      </c>
      <c r="K125" s="413"/>
      <c r="L125" s="546"/>
      <c r="M125" s="544"/>
      <c r="N125" s="545"/>
      <c r="O125" s="545"/>
      <c r="P125" s="551"/>
    </row>
    <row r="126" spans="1:16" x14ac:dyDescent="0.25">
      <c r="A126" s="442" t="str">
        <f>RigScheduleTest!$B$11</f>
        <v>SP-158</v>
      </c>
      <c r="B126" s="442" t="str">
        <f ca="1">RigScheduleTest!$AM$11</f>
        <v>RA14-RA-UB-Prod-NW-HZ-SLB</v>
      </c>
      <c r="C126" s="421" t="str">
        <f ca="1">IF(INDEX(Well_Data_NK_Upcoming!$G$2:$G$996,MATCH(Rig_Schedule_View!B126,Well_Data_NK_Upcoming!Concatenated_Wellname,0))=0,"",INDEX(Well_Data_NK_Upcoming!$G$2:$G$996,MATCH(Rig_Schedule_View!B126,Well_Data_NK_Upcoming!Concatenated_Wellname,0)))</f>
        <v>UB</v>
      </c>
      <c r="D126" s="421" t="str">
        <f ca="1">IF(INDEX(Well_Data_NK_Upcoming!$K$2:$K$996,MATCH(Rig_Schedule_View!B126,Well_Data_NK_Upcoming!Concatenated_Wellname,0))=0,"",INDEX(Well_Data_NK_Upcoming!$K$2:$K$996,MATCH(Rig_Schedule_View!B126,Well_Data_NK_Upcoming!Concatenated_Wellname,0)))</f>
        <v>NW</v>
      </c>
      <c r="E126" s="421" t="str">
        <f ca="1">IF(INDEX(Well_Data_NK_Upcoming!$J$2:$J$996,MATCH(Rig_Schedule_View!B126,Well_Data_NK_Upcoming!Concatenated_Wellname,0))=0,"",INDEX(Well_Data_NK_Upcoming!$J$2:$J$996,MATCH(Rig_Schedule_View!B126,Well_Data_NK_Upcoming!Concatenated_Wellname,0)))</f>
        <v>Prod</v>
      </c>
      <c r="F126" s="421" t="str">
        <f ca="1">IF(INDEX(Well_Data_NK_Upcoming!$L$2:$L$996,MATCH(Rig_Schedule_View!B126,Well_Data_NK_Upcoming!Concatenated_Wellname,0))=0,"",INDEX(Well_Data_NK_Upcoming!$L$2:$L$996,MATCH(Rig_Schedule_View!B126,Well_Data_NK_Upcoming!Concatenated_Wellname,0)))</f>
        <v>HZ</v>
      </c>
      <c r="G126" s="421">
        <f ca="1">IF(INDEX(Well_Data_NK_Upcoming!$R$2:$R$996,MATCH(Rig_Schedule_View!B126,Well_Data_NK_Upcoming!Concatenated_Wellname,0))=0,"",INDEX(Well_Data_NK_Upcoming!$R$2:$R$996,MATCH(Rig_Schedule_View!B126,Well_Data_NK_Upcoming!Concatenated_Wellname,0)))</f>
        <v>75</v>
      </c>
      <c r="H126" s="74"/>
      <c r="I126" s="443" t="str">
        <f ca="1">RigScheduleTest!$AP$11</f>
        <v/>
      </c>
      <c r="J126" s="443" t="str">
        <f ca="1">RigScheduleTest!$AQ$11</f>
        <v/>
      </c>
      <c r="K126" s="413"/>
      <c r="L126" s="546"/>
      <c r="M126" s="544"/>
      <c r="N126" s="545"/>
      <c r="O126" s="545"/>
      <c r="P126" s="551"/>
    </row>
    <row r="127" spans="1:16" x14ac:dyDescent="0.25">
      <c r="A127" s="442" t="str">
        <f>RigScheduleTest!$B$11</f>
        <v>SP-158</v>
      </c>
      <c r="B127" s="442" t="str">
        <f ca="1">RigScheduleTest!$AS$11</f>
        <v/>
      </c>
      <c r="C127" s="421" t="str">
        <f ca="1">IF(INDEX(Well_Data_NK_Upcoming!$G$2:$G$996,MATCH(Rig_Schedule_View!B127,Well_Data_NK_Upcoming!Concatenated_Wellname,0))=0,"",INDEX(Well_Data_NK_Upcoming!$G$2:$G$996,MATCH(Rig_Schedule_View!B127,Well_Data_NK_Upcoming!Concatenated_Wellname,0)))</f>
        <v/>
      </c>
      <c r="D127" s="421" t="str">
        <f ca="1">IF(INDEX(Well_Data_NK_Upcoming!$K$2:$K$996,MATCH(Rig_Schedule_View!B127,Well_Data_NK_Upcoming!Concatenated_Wellname,0))=0,"",INDEX(Well_Data_NK_Upcoming!$K$2:$K$996,MATCH(Rig_Schedule_View!B127,Well_Data_NK_Upcoming!Concatenated_Wellname,0)))</f>
        <v/>
      </c>
      <c r="E127" s="421" t="str">
        <f ca="1">IF(INDEX(Well_Data_NK_Upcoming!$J$2:$J$996,MATCH(Rig_Schedule_View!B127,Well_Data_NK_Upcoming!Concatenated_Wellname,0))=0,"",INDEX(Well_Data_NK_Upcoming!$J$2:$J$996,MATCH(Rig_Schedule_View!B127,Well_Data_NK_Upcoming!Concatenated_Wellname,0)))</f>
        <v/>
      </c>
      <c r="F127" s="421" t="str">
        <f ca="1">IF(INDEX(Well_Data_NK_Upcoming!$L$2:$L$996,MATCH(Rig_Schedule_View!B127,Well_Data_NK_Upcoming!Concatenated_Wellname,0))=0,"",INDEX(Well_Data_NK_Upcoming!$L$2:$L$996,MATCH(Rig_Schedule_View!B127,Well_Data_NK_Upcoming!Concatenated_Wellname,0)))</f>
        <v/>
      </c>
      <c r="G127" s="421" t="str">
        <f ca="1">IF(INDEX(Well_Data_NK_Upcoming!$R$2:$R$996,MATCH(Rig_Schedule_View!B127,Well_Data_NK_Upcoming!Concatenated_Wellname,0))=0,"",INDEX(Well_Data_NK_Upcoming!$R$2:$R$996,MATCH(Rig_Schedule_View!B127,Well_Data_NK_Upcoming!Concatenated_Wellname,0)))</f>
        <v/>
      </c>
      <c r="H127" s="74"/>
      <c r="I127" s="443" t="str">
        <f ca="1">RigScheduleTest!$AV$11</f>
        <v/>
      </c>
      <c r="J127" s="443" t="str">
        <f ca="1">RigScheduleTest!$AW$11</f>
        <v/>
      </c>
      <c r="K127" s="413"/>
      <c r="L127" s="546"/>
      <c r="M127" s="544"/>
      <c r="N127" s="545"/>
      <c r="O127" s="545"/>
      <c r="P127" s="551"/>
    </row>
    <row r="128" spans="1:16" x14ac:dyDescent="0.25">
      <c r="A128" s="442" t="str">
        <f>RigScheduleTest!$B$11</f>
        <v>SP-158</v>
      </c>
      <c r="B128" s="442" t="str">
        <f ca="1">RigScheduleTest!$AY$11</f>
        <v/>
      </c>
      <c r="C128" s="421" t="str">
        <f ca="1">IF(INDEX(Well_Data_NK_Upcoming!$G$2:$G$996,MATCH(Rig_Schedule_View!B128,Well_Data_NK_Upcoming!Concatenated_Wellname,0))=0,"",INDEX(Well_Data_NK_Upcoming!$G$2:$G$996,MATCH(Rig_Schedule_View!B128,Well_Data_NK_Upcoming!Concatenated_Wellname,0)))</f>
        <v/>
      </c>
      <c r="D128" s="421" t="str">
        <f ca="1">IF(INDEX(Well_Data_NK_Upcoming!$K$2:$K$996,MATCH(Rig_Schedule_View!B128,Well_Data_NK_Upcoming!Concatenated_Wellname,0))=0,"",INDEX(Well_Data_NK_Upcoming!$K$2:$K$996,MATCH(Rig_Schedule_View!B128,Well_Data_NK_Upcoming!Concatenated_Wellname,0)))</f>
        <v/>
      </c>
      <c r="E128" s="421" t="str">
        <f ca="1">IF(INDEX(Well_Data_NK_Upcoming!$J$2:$J$996,MATCH(Rig_Schedule_View!B128,Well_Data_NK_Upcoming!Concatenated_Wellname,0))=0,"",INDEX(Well_Data_NK_Upcoming!$J$2:$J$996,MATCH(Rig_Schedule_View!B128,Well_Data_NK_Upcoming!Concatenated_Wellname,0)))</f>
        <v/>
      </c>
      <c r="F128" s="421" t="str">
        <f ca="1">IF(INDEX(Well_Data_NK_Upcoming!$L$2:$L$996,MATCH(Rig_Schedule_View!B128,Well_Data_NK_Upcoming!Concatenated_Wellname,0))=0,"",INDEX(Well_Data_NK_Upcoming!$L$2:$L$996,MATCH(Rig_Schedule_View!B128,Well_Data_NK_Upcoming!Concatenated_Wellname,0)))</f>
        <v/>
      </c>
      <c r="G128" s="421" t="str">
        <f ca="1">IF(INDEX(Well_Data_NK_Upcoming!$R$2:$R$996,MATCH(Rig_Schedule_View!B128,Well_Data_NK_Upcoming!Concatenated_Wellname,0))=0,"",INDEX(Well_Data_NK_Upcoming!$R$2:$R$996,MATCH(Rig_Schedule_View!B128,Well_Data_NK_Upcoming!Concatenated_Wellname,0)))</f>
        <v/>
      </c>
      <c r="H128" s="74"/>
      <c r="I128" s="443" t="str">
        <f ca="1">RigScheduleTest!$BB$11</f>
        <v/>
      </c>
      <c r="J128" s="443" t="str">
        <f ca="1">RigScheduleTest!$BC$11</f>
        <v/>
      </c>
      <c r="K128" s="413"/>
      <c r="L128" s="546"/>
      <c r="M128" s="544"/>
      <c r="N128" s="545"/>
      <c r="O128" s="545"/>
      <c r="P128" s="551"/>
    </row>
    <row r="129" spans="1:16" x14ac:dyDescent="0.25">
      <c r="A129" s="442" t="str">
        <f>RigScheduleTest!$B$11</f>
        <v>SP-158</v>
      </c>
      <c r="B129" s="442" t="str">
        <f ca="1">RigScheduleTest!$BE$11</f>
        <v/>
      </c>
      <c r="C129" s="421" t="str">
        <f ca="1">IF(INDEX(Well_Data_NK_Upcoming!$G$2:$G$996,MATCH(Rig_Schedule_View!B129,Well_Data_NK_Upcoming!Concatenated_Wellname,0))=0,"",INDEX(Well_Data_NK_Upcoming!$G$2:$G$996,MATCH(Rig_Schedule_View!B129,Well_Data_NK_Upcoming!Concatenated_Wellname,0)))</f>
        <v/>
      </c>
      <c r="D129" s="421" t="str">
        <f ca="1">IF(INDEX(Well_Data_NK_Upcoming!$K$2:$K$996,MATCH(Rig_Schedule_View!B129,Well_Data_NK_Upcoming!Concatenated_Wellname,0))=0,"",INDEX(Well_Data_NK_Upcoming!$K$2:$K$996,MATCH(Rig_Schedule_View!B129,Well_Data_NK_Upcoming!Concatenated_Wellname,0)))</f>
        <v/>
      </c>
      <c r="E129" s="421" t="str">
        <f ca="1">IF(INDEX(Well_Data_NK_Upcoming!$J$2:$J$996,MATCH(Rig_Schedule_View!B129,Well_Data_NK_Upcoming!Concatenated_Wellname,0))=0,"",INDEX(Well_Data_NK_Upcoming!$J$2:$J$996,MATCH(Rig_Schedule_View!B129,Well_Data_NK_Upcoming!Concatenated_Wellname,0)))</f>
        <v/>
      </c>
      <c r="F129" s="421" t="str">
        <f ca="1">IF(INDEX(Well_Data_NK_Upcoming!$L$2:$L$996,MATCH(Rig_Schedule_View!B129,Well_Data_NK_Upcoming!Concatenated_Wellname,0))=0,"",INDEX(Well_Data_NK_Upcoming!$L$2:$L$996,MATCH(Rig_Schedule_View!B129,Well_Data_NK_Upcoming!Concatenated_Wellname,0)))</f>
        <v/>
      </c>
      <c r="G129" s="421" t="str">
        <f ca="1">IF(INDEX(Well_Data_NK_Upcoming!$R$2:$R$996,MATCH(Rig_Schedule_View!B129,Well_Data_NK_Upcoming!Concatenated_Wellname,0))=0,"",INDEX(Well_Data_NK_Upcoming!$R$2:$R$996,MATCH(Rig_Schedule_View!B129,Well_Data_NK_Upcoming!Concatenated_Wellname,0)))</f>
        <v/>
      </c>
      <c r="H129" s="74"/>
      <c r="I129" s="443" t="str">
        <f ca="1">RigScheduleTest!$BH$11</f>
        <v/>
      </c>
      <c r="J129" s="443" t="str">
        <f ca="1">RigScheduleTest!$BI$11</f>
        <v/>
      </c>
      <c r="K129" s="413"/>
      <c r="L129" s="546"/>
      <c r="M129" s="544"/>
      <c r="N129" s="545"/>
      <c r="O129" s="545"/>
      <c r="P129" s="551"/>
    </row>
    <row r="130" spans="1:16" x14ac:dyDescent="0.25">
      <c r="A130" s="442" t="str">
        <f>RigScheduleTest!$B$11</f>
        <v>SP-158</v>
      </c>
      <c r="B130" s="442" t="str">
        <f ca="1">RigScheduleTest!$BK$11</f>
        <v/>
      </c>
      <c r="C130" s="421" t="str">
        <f ca="1">IF(INDEX(Well_Data_NK_Upcoming!$G$2:$G$996,MATCH(Rig_Schedule_View!B130,Well_Data_NK_Upcoming!Concatenated_Wellname,0))=0,"",INDEX(Well_Data_NK_Upcoming!$G$2:$G$996,MATCH(Rig_Schedule_View!B130,Well_Data_NK_Upcoming!Concatenated_Wellname,0)))</f>
        <v/>
      </c>
      <c r="D130" s="421" t="str">
        <f ca="1">IF(INDEX(Well_Data_NK_Upcoming!$K$2:$K$996,MATCH(Rig_Schedule_View!B130,Well_Data_NK_Upcoming!Concatenated_Wellname,0))=0,"",INDEX(Well_Data_NK_Upcoming!$K$2:$K$996,MATCH(Rig_Schedule_View!B130,Well_Data_NK_Upcoming!Concatenated_Wellname,0)))</f>
        <v/>
      </c>
      <c r="E130" s="421" t="str">
        <f ca="1">IF(INDEX(Well_Data_NK_Upcoming!$J$2:$J$996,MATCH(Rig_Schedule_View!B130,Well_Data_NK_Upcoming!Concatenated_Wellname,0))=0,"",INDEX(Well_Data_NK_Upcoming!$J$2:$J$996,MATCH(Rig_Schedule_View!B130,Well_Data_NK_Upcoming!Concatenated_Wellname,0)))</f>
        <v/>
      </c>
      <c r="F130" s="421" t="str">
        <f ca="1">IF(INDEX(Well_Data_NK_Upcoming!$L$2:$L$996,MATCH(Rig_Schedule_View!B130,Well_Data_NK_Upcoming!Concatenated_Wellname,0))=0,"",INDEX(Well_Data_NK_Upcoming!$L$2:$L$996,MATCH(Rig_Schedule_View!B130,Well_Data_NK_Upcoming!Concatenated_Wellname,0)))</f>
        <v/>
      </c>
      <c r="G130" s="421" t="str">
        <f ca="1">IF(INDEX(Well_Data_NK_Upcoming!$R$2:$R$996,MATCH(Rig_Schedule_View!B130,Well_Data_NK_Upcoming!Concatenated_Wellname,0))=0,"",INDEX(Well_Data_NK_Upcoming!$R$2:$R$996,MATCH(Rig_Schedule_View!B130,Well_Data_NK_Upcoming!Concatenated_Wellname,0)))</f>
        <v/>
      </c>
      <c r="H130" s="74"/>
      <c r="I130" s="443" t="str">
        <f ca="1">RigScheduleTest!$BN$11</f>
        <v/>
      </c>
      <c r="J130" s="443" t="str">
        <f ca="1">RigScheduleTest!$BO$11</f>
        <v/>
      </c>
      <c r="K130" s="413"/>
      <c r="L130" s="546"/>
      <c r="M130" s="544"/>
      <c r="N130" s="545"/>
      <c r="O130" s="545"/>
      <c r="P130" s="551"/>
    </row>
    <row r="131" spans="1:16" x14ac:dyDescent="0.25">
      <c r="A131" s="437" t="str">
        <f>RigScheduleTest!$B$1</f>
        <v>RIG</v>
      </c>
      <c r="B131" s="437" t="str">
        <f>$K$1</f>
        <v>Development Drilling</v>
      </c>
      <c r="C131" s="437" t="s">
        <v>1831</v>
      </c>
      <c r="D131" s="437" t="s">
        <v>867</v>
      </c>
      <c r="E131" s="437" t="s">
        <v>8</v>
      </c>
      <c r="F131" s="437" t="s">
        <v>2</v>
      </c>
      <c r="G131" s="437" t="s">
        <v>1513</v>
      </c>
      <c r="H131" s="438" t="str">
        <f>$K$3</f>
        <v>Rig Deployment Meeting</v>
      </c>
      <c r="I131" s="439" t="str">
        <f>$K$5</f>
        <v>Start</v>
      </c>
      <c r="J131" s="439" t="str">
        <f>$K$6</f>
        <v>End</v>
      </c>
      <c r="K131" s="444" t="s">
        <v>1068</v>
      </c>
      <c r="L131" s="444" t="s">
        <v>1577</v>
      </c>
      <c r="M131" s="496" t="s">
        <v>1934</v>
      </c>
      <c r="N131" s="504" t="s">
        <v>1940</v>
      </c>
      <c r="O131" s="504" t="s">
        <v>1941</v>
      </c>
      <c r="P131" s="502"/>
    </row>
    <row r="132" spans="1:16" x14ac:dyDescent="0.25">
      <c r="A132" s="442" t="str">
        <f>RigScheduleTest!$B$12</f>
        <v>SP-159</v>
      </c>
      <c r="B132" s="421" t="str">
        <f ca="1">RigScheduleTest!$D$12</f>
        <v>RA-0046-RA-MA-Prod-ST-HZ-SLB</v>
      </c>
      <c r="C132" s="421" t="str">
        <f ca="1">IF(INDEX(Well_Data_NK_Upcoming!$G$2:$G$996,MATCH(Rig_Schedule_View!B132,Well_Data_NK_Upcoming!Concatenated_Wellname,0))=0,"",INDEX(Well_Data_NK_Upcoming!$G$2:$G$996,MATCH(Rig_Schedule_View!B132,Well_Data_NK_Upcoming!Concatenated_Wellname,0)))</f>
        <v>MA</v>
      </c>
      <c r="D132" s="421" t="str">
        <f ca="1">IF(INDEX(Well_Data_NK_Upcoming!$K$2:$K$996,MATCH(Rig_Schedule_View!B132,Well_Data_NK_Upcoming!Concatenated_Wellname,0))=0,"",INDEX(Well_Data_NK_Upcoming!$K$2:$K$996,MATCH(Rig_Schedule_View!B132,Well_Data_NK_Upcoming!Concatenated_Wellname,0)))</f>
        <v>ST</v>
      </c>
      <c r="E132" s="421" t="str">
        <f ca="1">IF(INDEX(Well_Data_NK_Upcoming!$J$2:$J$996,MATCH(Rig_Schedule_View!B132,Well_Data_NK_Upcoming!Concatenated_Wellname,0))=0,"",INDEX(Well_Data_NK_Upcoming!$J$2:$J$996,MATCH(Rig_Schedule_View!B132,Well_Data_NK_Upcoming!Concatenated_Wellname,0)))</f>
        <v>Prod</v>
      </c>
      <c r="F132" s="421" t="str">
        <f ca="1">IF(INDEX(Well_Data_NK_Upcoming!$L$2:$L$996,MATCH(Rig_Schedule_View!B132,Well_Data_NK_Upcoming!Concatenated_Wellname,0))=0,"",INDEX(Well_Data_NK_Upcoming!$L$2:$L$996,MATCH(Rig_Schedule_View!B132,Well_Data_NK_Upcoming!Concatenated_Wellname,0)))</f>
        <v>HZ</v>
      </c>
      <c r="G132" s="421">
        <f ca="1">IF(INDEX(Well_Data_NK_Upcoming!$R$2:$R$996,MATCH(Rig_Schedule_View!B132,Well_Data_NK_Upcoming!Concatenated_Wellname,0))=0,"",INDEX(Well_Data_NK_Upcoming!$R$2:$R$996,MATCH(Rig_Schedule_View!B132,Well_Data_NK_Upcoming!Concatenated_Wellname,0)))</f>
        <v>61</v>
      </c>
      <c r="H132" s="74">
        <f>RigScheduleTest!$F$12</f>
        <v>42233</v>
      </c>
      <c r="I132" s="459">
        <f ca="1">IF(INDEX(Well_Data_NK_Upcoming!$O$2:$O$996,MATCH(Rig_Schedule_View!B132,Well_Data_NK_Upcoming!Concatenated_Wellname,0))=0,"",INDEX(Well_Data_NK_Upcoming!$O$2:$O$996,MATCH(Rig_Schedule_View!B132,Well_Data_NK_Upcoming!Concatenated_Wellname,0)))</f>
        <v>42194.958333333336</v>
      </c>
      <c r="J132" s="446">
        <f ca="1">RigScheduleTest!$H$12</f>
        <v>42239</v>
      </c>
      <c r="K132" s="493" t="s">
        <v>1917</v>
      </c>
      <c r="L132" s="543"/>
      <c r="M132" s="544">
        <v>6</v>
      </c>
      <c r="N132" s="545"/>
      <c r="O132" s="545"/>
      <c r="P132" s="551"/>
    </row>
    <row r="133" spans="1:16" x14ac:dyDescent="0.25">
      <c r="A133" s="442" t="str">
        <f>RigScheduleTest!$B$12</f>
        <v>SP-159</v>
      </c>
      <c r="B133" s="441" t="str">
        <f ca="1">RigScheduleTest!$I$12</f>
        <v>RA-0018-RA-MA-Prod-ST-HZ-Anadrill</v>
      </c>
      <c r="C133" s="421" t="str">
        <f ca="1">IF(INDEX(Well_Data_NK_Upcoming!$G$2:$G$996,MATCH(Rig_Schedule_View!B133,Well_Data_NK_Upcoming!Concatenated_Wellname,0))=0,"",INDEX(Well_Data_NK_Upcoming!$G$2:$G$996,MATCH(Rig_Schedule_View!B133,Well_Data_NK_Upcoming!Concatenated_Wellname,0)))</f>
        <v>MA</v>
      </c>
      <c r="D133" s="421" t="str">
        <f ca="1">IF(INDEX(Well_Data_NK_Upcoming!$K$2:$K$996,MATCH(Rig_Schedule_View!B133,Well_Data_NK_Upcoming!Concatenated_Wellname,0))=0,"",INDEX(Well_Data_NK_Upcoming!$K$2:$K$996,MATCH(Rig_Schedule_View!B133,Well_Data_NK_Upcoming!Concatenated_Wellname,0)))</f>
        <v>ST</v>
      </c>
      <c r="E133" s="421" t="str">
        <f ca="1">IF(INDEX(Well_Data_NK_Upcoming!$J$2:$J$996,MATCH(Rig_Schedule_View!B133,Well_Data_NK_Upcoming!Concatenated_Wellname,0))=0,"",INDEX(Well_Data_NK_Upcoming!$J$2:$J$996,MATCH(Rig_Schedule_View!B133,Well_Data_NK_Upcoming!Concatenated_Wellname,0)))</f>
        <v>Prod</v>
      </c>
      <c r="F133" s="421" t="str">
        <f ca="1">IF(INDEX(Well_Data_NK_Upcoming!$L$2:$L$996,MATCH(Rig_Schedule_View!B133,Well_Data_NK_Upcoming!Concatenated_Wellname,0))=0,"",INDEX(Well_Data_NK_Upcoming!$L$2:$L$996,MATCH(Rig_Schedule_View!B133,Well_Data_NK_Upcoming!Concatenated_Wellname,0)))</f>
        <v>HZ</v>
      </c>
      <c r="G133" s="421">
        <f ca="1">IF(INDEX(Well_Data_NK_Upcoming!$R$2:$R$996,MATCH(Rig_Schedule_View!B133,Well_Data_NK_Upcoming!Concatenated_Wellname,0))=0,"",INDEX(Well_Data_NK_Upcoming!$R$2:$R$996,MATCH(Rig_Schedule_View!B133,Well_Data_NK_Upcoming!Concatenated_Wellname,0)))</f>
        <v>61</v>
      </c>
      <c r="H133" s="74"/>
      <c r="I133" s="440">
        <f ca="1">RigScheduleTest!$L$12</f>
        <v>42244</v>
      </c>
      <c r="J133" s="440">
        <f ca="1">RigScheduleTest!$M$12</f>
        <v>42300</v>
      </c>
      <c r="K133" s="413"/>
      <c r="L133" s="546"/>
      <c r="M133" s="544"/>
      <c r="N133" s="545"/>
      <c r="O133" s="545" t="s">
        <v>1986</v>
      </c>
      <c r="P133" s="551"/>
    </row>
    <row r="134" spans="1:16" x14ac:dyDescent="0.25">
      <c r="A134" s="442" t="str">
        <f>RigScheduleTest!$B$12</f>
        <v>SP-159</v>
      </c>
      <c r="B134" s="441" t="str">
        <f ca="1">RigScheduleTest!$O$12</f>
        <v>RA-0271-RA-MA-Inj-ST-HZ-Anadrill</v>
      </c>
      <c r="C134" s="421" t="str">
        <f ca="1">IF(INDEX(Well_Data_NK_Upcoming!$G$2:$G$996,MATCH(Rig_Schedule_View!B134,Well_Data_NK_Upcoming!Concatenated_Wellname,0))=0,"",INDEX(Well_Data_NK_Upcoming!$G$2:$G$996,MATCH(Rig_Schedule_View!B134,Well_Data_NK_Upcoming!Concatenated_Wellname,0)))</f>
        <v>MA</v>
      </c>
      <c r="D134" s="421" t="str">
        <f ca="1">IF(INDEX(Well_Data_NK_Upcoming!$K$2:$K$996,MATCH(Rig_Schedule_View!B134,Well_Data_NK_Upcoming!Concatenated_Wellname,0))=0,"",INDEX(Well_Data_NK_Upcoming!$K$2:$K$996,MATCH(Rig_Schedule_View!B134,Well_Data_NK_Upcoming!Concatenated_Wellname,0)))</f>
        <v>ST</v>
      </c>
      <c r="E134" s="421" t="str">
        <f ca="1">IF(INDEX(Well_Data_NK_Upcoming!$J$2:$J$996,MATCH(Rig_Schedule_View!B134,Well_Data_NK_Upcoming!Concatenated_Wellname,0))=0,"",INDEX(Well_Data_NK_Upcoming!$J$2:$J$996,MATCH(Rig_Schedule_View!B134,Well_Data_NK_Upcoming!Concatenated_Wellname,0)))</f>
        <v>Inj</v>
      </c>
      <c r="F134" s="421" t="str">
        <f ca="1">IF(INDEX(Well_Data_NK_Upcoming!$L$2:$L$996,MATCH(Rig_Schedule_View!B134,Well_Data_NK_Upcoming!Concatenated_Wellname,0))=0,"",INDEX(Well_Data_NK_Upcoming!$L$2:$L$996,MATCH(Rig_Schedule_View!B134,Well_Data_NK_Upcoming!Concatenated_Wellname,0)))</f>
        <v>HZ</v>
      </c>
      <c r="G134" s="421">
        <f ca="1">IF(INDEX(Well_Data_NK_Upcoming!$R$2:$R$996,MATCH(Rig_Schedule_View!B134,Well_Data_NK_Upcoming!Concatenated_Wellname,0))=0,"",INDEX(Well_Data_NK_Upcoming!$R$2:$R$996,MATCH(Rig_Schedule_View!B134,Well_Data_NK_Upcoming!Concatenated_Wellname,0)))</f>
        <v>54</v>
      </c>
      <c r="H134" s="74"/>
      <c r="I134" s="440">
        <f ca="1">RigScheduleTest!$R$12</f>
        <v>42305</v>
      </c>
      <c r="J134" s="440">
        <f ca="1">RigScheduleTest!$S$12</f>
        <v>42354</v>
      </c>
      <c r="K134" s="413"/>
      <c r="L134" s="546"/>
      <c r="M134" s="544"/>
      <c r="N134" s="545"/>
      <c r="O134" s="545" t="s">
        <v>1986</v>
      </c>
      <c r="P134" s="551"/>
    </row>
    <row r="135" spans="1:16" x14ac:dyDescent="0.25">
      <c r="A135" s="442" t="str">
        <f>RigScheduleTest!$B$12</f>
        <v>SP-159</v>
      </c>
      <c r="B135" s="442" t="str">
        <f ca="1">RigScheduleTest!$U$12</f>
        <v>RA-0166-RA-MA-Prod-ST-HZ-SLB</v>
      </c>
      <c r="C135" s="421" t="str">
        <f ca="1">IF(INDEX(Well_Data_NK_Upcoming!$G$2:$G$996,MATCH(Rig_Schedule_View!B135,Well_Data_NK_Upcoming!Concatenated_Wellname,0))=0,"",INDEX(Well_Data_NK_Upcoming!$G$2:$G$996,MATCH(Rig_Schedule_View!B135,Well_Data_NK_Upcoming!Concatenated_Wellname,0)))</f>
        <v>MA</v>
      </c>
      <c r="D135" s="421" t="str">
        <f ca="1">IF(INDEX(Well_Data_NK_Upcoming!$K$2:$K$996,MATCH(Rig_Schedule_View!B135,Well_Data_NK_Upcoming!Concatenated_Wellname,0))=0,"",INDEX(Well_Data_NK_Upcoming!$K$2:$K$996,MATCH(Rig_Schedule_View!B135,Well_Data_NK_Upcoming!Concatenated_Wellname,0)))</f>
        <v>ST</v>
      </c>
      <c r="E135" s="421" t="str">
        <f ca="1">IF(INDEX(Well_Data_NK_Upcoming!$J$2:$J$996,MATCH(Rig_Schedule_View!B135,Well_Data_NK_Upcoming!Concatenated_Wellname,0))=0,"",INDEX(Well_Data_NK_Upcoming!$J$2:$J$996,MATCH(Rig_Schedule_View!B135,Well_Data_NK_Upcoming!Concatenated_Wellname,0)))</f>
        <v>Prod</v>
      </c>
      <c r="F135" s="421" t="str">
        <f ca="1">IF(INDEX(Well_Data_NK_Upcoming!$L$2:$L$996,MATCH(Rig_Schedule_View!B135,Well_Data_NK_Upcoming!Concatenated_Wellname,0))=0,"",INDEX(Well_Data_NK_Upcoming!$L$2:$L$996,MATCH(Rig_Schedule_View!B135,Well_Data_NK_Upcoming!Concatenated_Wellname,0)))</f>
        <v>HZ</v>
      </c>
      <c r="G135" s="421">
        <f ca="1">IF(INDEX(Well_Data_NK_Upcoming!$R$2:$R$996,MATCH(Rig_Schedule_View!B135,Well_Data_NK_Upcoming!Concatenated_Wellname,0))=0,"",INDEX(Well_Data_NK_Upcoming!$R$2:$R$996,MATCH(Rig_Schedule_View!B135,Well_Data_NK_Upcoming!Concatenated_Wellname,0)))</f>
        <v>61</v>
      </c>
      <c r="H135" s="74"/>
      <c r="I135" s="443">
        <f ca="1">RigScheduleTest!$X$12</f>
        <v>42359</v>
      </c>
      <c r="J135" s="443">
        <f ca="1">RigScheduleTest!$Y$12</f>
        <v>42415</v>
      </c>
      <c r="K135" s="413"/>
      <c r="L135" s="546" t="s">
        <v>2219</v>
      </c>
      <c r="M135" s="544"/>
      <c r="N135" s="545"/>
      <c r="O135" s="545"/>
      <c r="P135" s="551"/>
    </row>
    <row r="136" spans="1:16" x14ac:dyDescent="0.25">
      <c r="A136" s="442" t="str">
        <f>RigScheduleTest!$B$12</f>
        <v>SP-159</v>
      </c>
      <c r="B136" s="442" t="str">
        <f ca="1">RigScheduleTest!$AA$12</f>
        <v>Rig-Exp14Feb2016</v>
      </c>
      <c r="C136" s="421" t="str">
        <f ca="1">IF(INDEX(Well_Data_NK_Upcoming!$G$2:$G$996,MATCH(Rig_Schedule_View!B136,Well_Data_NK_Upcoming!Concatenated_Wellname,0))=0,"",INDEX(Well_Data_NK_Upcoming!$G$2:$G$996,MATCH(Rig_Schedule_View!B136,Well_Data_NK_Upcoming!Concatenated_Wellname,0)))</f>
        <v/>
      </c>
      <c r="D136" s="421" t="str">
        <f ca="1">IF(INDEX(Well_Data_NK_Upcoming!$K$2:$K$996,MATCH(Rig_Schedule_View!B136,Well_Data_NK_Upcoming!Concatenated_Wellname,0))=0,"",INDEX(Well_Data_NK_Upcoming!$K$2:$K$996,MATCH(Rig_Schedule_View!B136,Well_Data_NK_Upcoming!Concatenated_Wellname,0)))</f>
        <v/>
      </c>
      <c r="E136" s="421" t="str">
        <f ca="1">IF(INDEX(Well_Data_NK_Upcoming!$J$2:$J$996,MATCH(Rig_Schedule_View!B136,Well_Data_NK_Upcoming!Concatenated_Wellname,0))=0,"",INDEX(Well_Data_NK_Upcoming!$J$2:$J$996,MATCH(Rig_Schedule_View!B136,Well_Data_NK_Upcoming!Concatenated_Wellname,0)))</f>
        <v/>
      </c>
      <c r="F136" s="421" t="str">
        <f ca="1">IF(INDEX(Well_Data_NK_Upcoming!$L$2:$L$996,MATCH(Rig_Schedule_View!B136,Well_Data_NK_Upcoming!Concatenated_Wellname,0))=0,"",INDEX(Well_Data_NK_Upcoming!$L$2:$L$996,MATCH(Rig_Schedule_View!B136,Well_Data_NK_Upcoming!Concatenated_Wellname,0)))</f>
        <v/>
      </c>
      <c r="G136" s="421" t="str">
        <f ca="1">IF(INDEX(Well_Data_NK_Upcoming!$R$2:$R$996,MATCH(Rig_Schedule_View!B136,Well_Data_NK_Upcoming!Concatenated_Wellname,0))=0,"",INDEX(Well_Data_NK_Upcoming!$R$2:$R$996,MATCH(Rig_Schedule_View!B136,Well_Data_NK_Upcoming!Concatenated_Wellname,0)))</f>
        <v/>
      </c>
      <c r="H136" s="74"/>
      <c r="I136" s="443" t="str">
        <f ca="1">RigScheduleTest!$AD$12</f>
        <v/>
      </c>
      <c r="J136" s="443" t="str">
        <f ca="1">RigScheduleTest!$AE$12</f>
        <v/>
      </c>
      <c r="K136" s="413"/>
      <c r="L136" s="546"/>
      <c r="M136" s="544"/>
      <c r="N136" s="545"/>
      <c r="O136" s="545"/>
      <c r="P136" s="551"/>
    </row>
    <row r="137" spans="1:16" x14ac:dyDescent="0.25">
      <c r="A137" s="442" t="str">
        <f>RigScheduleTest!$B$12</f>
        <v>SP-159</v>
      </c>
      <c r="B137" s="442" t="str">
        <f ca="1">RigScheduleTest!$AG$12</f>
        <v>RA15-RA-ZU-Inj-NW-HZ-SLB</v>
      </c>
      <c r="C137" s="421" t="str">
        <f ca="1">IF(INDEX(Well_Data_NK_Upcoming!$G$2:$G$996,MATCH(Rig_Schedule_View!B137,Well_Data_NK_Upcoming!Concatenated_Wellname,0))=0,"",INDEX(Well_Data_NK_Upcoming!$G$2:$G$996,MATCH(Rig_Schedule_View!B137,Well_Data_NK_Upcoming!Concatenated_Wellname,0)))</f>
        <v>ZU</v>
      </c>
      <c r="D137" s="421" t="str">
        <f ca="1">IF(INDEX(Well_Data_NK_Upcoming!$K$2:$K$996,MATCH(Rig_Schedule_View!B137,Well_Data_NK_Upcoming!Concatenated_Wellname,0))=0,"",INDEX(Well_Data_NK_Upcoming!$K$2:$K$996,MATCH(Rig_Schedule_View!B137,Well_Data_NK_Upcoming!Concatenated_Wellname,0)))</f>
        <v>NW</v>
      </c>
      <c r="E137" s="421" t="str">
        <f ca="1">IF(INDEX(Well_Data_NK_Upcoming!$J$2:$J$996,MATCH(Rig_Schedule_View!B137,Well_Data_NK_Upcoming!Concatenated_Wellname,0))=0,"",INDEX(Well_Data_NK_Upcoming!$J$2:$J$996,MATCH(Rig_Schedule_View!B137,Well_Data_NK_Upcoming!Concatenated_Wellname,0)))</f>
        <v>Inj</v>
      </c>
      <c r="F137" s="421" t="str">
        <f ca="1">IF(INDEX(Well_Data_NK_Upcoming!$L$2:$L$996,MATCH(Rig_Schedule_View!B137,Well_Data_NK_Upcoming!Concatenated_Wellname,0))=0,"",INDEX(Well_Data_NK_Upcoming!$L$2:$L$996,MATCH(Rig_Schedule_View!B137,Well_Data_NK_Upcoming!Concatenated_Wellname,0)))</f>
        <v>HZ</v>
      </c>
      <c r="G137" s="421" t="str">
        <f ca="1">IF(INDEX(Well_Data_NK_Upcoming!$R$2:$R$996,MATCH(Rig_Schedule_View!B137,Well_Data_NK_Upcoming!Concatenated_Wellname,0))=0,"",INDEX(Well_Data_NK_Upcoming!$R$2:$R$996,MATCH(Rig_Schedule_View!B137,Well_Data_NK_Upcoming!Concatenated_Wellname,0)))</f>
        <v/>
      </c>
      <c r="H137" s="74"/>
      <c r="I137" s="443" t="str">
        <f ca="1">RigScheduleTest!$AJ$12</f>
        <v/>
      </c>
      <c r="J137" s="443" t="str">
        <f ca="1">RigScheduleTest!$AK$12</f>
        <v/>
      </c>
      <c r="K137" s="413"/>
      <c r="L137" s="546"/>
      <c r="M137" s="544"/>
      <c r="N137" s="545"/>
      <c r="O137" s="545"/>
      <c r="P137" s="551"/>
    </row>
    <row r="138" spans="1:16" x14ac:dyDescent="0.25">
      <c r="A138" s="442" t="str">
        <f>RigScheduleTest!$B$12</f>
        <v>SP-159</v>
      </c>
      <c r="B138" s="442" t="str">
        <f ca="1">RigScheduleTest!$AM$12</f>
        <v>SA30-SA-UB-Inj-NW-SL</v>
      </c>
      <c r="C138" s="421" t="str">
        <f ca="1">IF(INDEX(Well_Data_NK_Upcoming!$G$2:$G$996,MATCH(Rig_Schedule_View!B138,Well_Data_NK_Upcoming!Concatenated_Wellname,0))=0,"",INDEX(Well_Data_NK_Upcoming!$G$2:$G$996,MATCH(Rig_Schedule_View!B138,Well_Data_NK_Upcoming!Concatenated_Wellname,0)))</f>
        <v>UB</v>
      </c>
      <c r="D138" s="421" t="str">
        <f ca="1">IF(INDEX(Well_Data_NK_Upcoming!$K$2:$K$996,MATCH(Rig_Schedule_View!B138,Well_Data_NK_Upcoming!Concatenated_Wellname,0))=0,"",INDEX(Well_Data_NK_Upcoming!$K$2:$K$996,MATCH(Rig_Schedule_View!B138,Well_Data_NK_Upcoming!Concatenated_Wellname,0)))</f>
        <v>NW</v>
      </c>
      <c r="E138" s="421" t="str">
        <f ca="1">IF(INDEX(Well_Data_NK_Upcoming!$J$2:$J$996,MATCH(Rig_Schedule_View!B138,Well_Data_NK_Upcoming!Concatenated_Wellname,0))=0,"",INDEX(Well_Data_NK_Upcoming!$J$2:$J$996,MATCH(Rig_Schedule_View!B138,Well_Data_NK_Upcoming!Concatenated_Wellname,0)))</f>
        <v>Inj</v>
      </c>
      <c r="F138" s="421" t="str">
        <f ca="1">IF(INDEX(Well_Data_NK_Upcoming!$L$2:$L$996,MATCH(Rig_Schedule_View!B138,Well_Data_NK_Upcoming!Concatenated_Wellname,0))=0,"",INDEX(Well_Data_NK_Upcoming!$L$2:$L$996,MATCH(Rig_Schedule_View!B138,Well_Data_NK_Upcoming!Concatenated_Wellname,0)))</f>
        <v>SL</v>
      </c>
      <c r="G138" s="421">
        <f ca="1">IF(INDEX(Well_Data_NK_Upcoming!$R$2:$R$996,MATCH(Rig_Schedule_View!B138,Well_Data_NK_Upcoming!Concatenated_Wellname,0))=0,"",INDEX(Well_Data_NK_Upcoming!$R$2:$R$996,MATCH(Rig_Schedule_View!B138,Well_Data_NK_Upcoming!Concatenated_Wellname,0)))</f>
        <v>75</v>
      </c>
      <c r="H138" s="74"/>
      <c r="I138" s="443" t="str">
        <f ca="1">RigScheduleTest!$AP$12</f>
        <v/>
      </c>
      <c r="J138" s="443" t="str">
        <f ca="1">RigScheduleTest!$AQ$12</f>
        <v/>
      </c>
      <c r="K138" s="413"/>
      <c r="L138" s="546"/>
      <c r="M138" s="544"/>
      <c r="N138" s="545"/>
      <c r="O138" s="545"/>
      <c r="P138" s="551"/>
    </row>
    <row r="139" spans="1:16" x14ac:dyDescent="0.25">
      <c r="A139" s="442" t="str">
        <f>RigScheduleTest!$B$12</f>
        <v>SP-159</v>
      </c>
      <c r="B139" s="442" t="str">
        <f ca="1">RigScheduleTest!$AS$12</f>
        <v>SA48-SA-Prod-NW-SL</v>
      </c>
      <c r="C139" s="421" t="str">
        <f ca="1">IF(INDEX(Well_Data_NK_Upcoming!$G$2:$G$996,MATCH(Rig_Schedule_View!B139,Well_Data_NK_Upcoming!Concatenated_Wellname,0))=0,"",INDEX(Well_Data_NK_Upcoming!$G$2:$G$996,MATCH(Rig_Schedule_View!B139,Well_Data_NK_Upcoming!Concatenated_Wellname,0)))</f>
        <v/>
      </c>
      <c r="D139" s="421" t="str">
        <f ca="1">IF(INDEX(Well_Data_NK_Upcoming!$K$2:$K$996,MATCH(Rig_Schedule_View!B139,Well_Data_NK_Upcoming!Concatenated_Wellname,0))=0,"",INDEX(Well_Data_NK_Upcoming!$K$2:$K$996,MATCH(Rig_Schedule_View!B139,Well_Data_NK_Upcoming!Concatenated_Wellname,0)))</f>
        <v>NW</v>
      </c>
      <c r="E139" s="421" t="str">
        <f ca="1">IF(INDEX(Well_Data_NK_Upcoming!$J$2:$J$996,MATCH(Rig_Schedule_View!B139,Well_Data_NK_Upcoming!Concatenated_Wellname,0))=0,"",INDEX(Well_Data_NK_Upcoming!$J$2:$J$996,MATCH(Rig_Schedule_View!B139,Well_Data_NK_Upcoming!Concatenated_Wellname,0)))</f>
        <v>Prod</v>
      </c>
      <c r="F139" s="421" t="str">
        <f ca="1">IF(INDEX(Well_Data_NK_Upcoming!$L$2:$L$996,MATCH(Rig_Schedule_View!B139,Well_Data_NK_Upcoming!Concatenated_Wellname,0))=0,"",INDEX(Well_Data_NK_Upcoming!$L$2:$L$996,MATCH(Rig_Schedule_View!B139,Well_Data_NK_Upcoming!Concatenated_Wellname,0)))</f>
        <v>SL</v>
      </c>
      <c r="G139" s="421" t="str">
        <f ca="1">IF(INDEX(Well_Data_NK_Upcoming!$R$2:$R$996,MATCH(Rig_Schedule_View!B139,Well_Data_NK_Upcoming!Concatenated_Wellname,0))=0,"",INDEX(Well_Data_NK_Upcoming!$R$2:$R$996,MATCH(Rig_Schedule_View!B139,Well_Data_NK_Upcoming!Concatenated_Wellname,0)))</f>
        <v/>
      </c>
      <c r="H139" s="74"/>
      <c r="I139" s="443" t="str">
        <f ca="1">RigScheduleTest!$AV$12</f>
        <v/>
      </c>
      <c r="J139" s="443" t="str">
        <f ca="1">RigScheduleTest!$AW$12</f>
        <v/>
      </c>
      <c r="K139" s="413"/>
      <c r="L139" s="546"/>
      <c r="M139" s="544"/>
      <c r="N139" s="545"/>
      <c r="O139" s="545"/>
      <c r="P139" s="551"/>
    </row>
    <row r="140" spans="1:16" x14ac:dyDescent="0.25">
      <c r="A140" s="442" t="str">
        <f>RigScheduleTest!$B$12</f>
        <v>SP-159</v>
      </c>
      <c r="B140" s="442" t="str">
        <f ca="1">RigScheduleTest!$AY$12</f>
        <v/>
      </c>
      <c r="C140" s="421" t="str">
        <f ca="1">IF(INDEX(Well_Data_NK_Upcoming!$G$2:$G$996,MATCH(Rig_Schedule_View!B140,Well_Data_NK_Upcoming!Concatenated_Wellname,0))=0,"",INDEX(Well_Data_NK_Upcoming!$G$2:$G$996,MATCH(Rig_Schedule_View!B140,Well_Data_NK_Upcoming!Concatenated_Wellname,0)))</f>
        <v/>
      </c>
      <c r="D140" s="421" t="str">
        <f ca="1">IF(INDEX(Well_Data_NK_Upcoming!$K$2:$K$996,MATCH(Rig_Schedule_View!B140,Well_Data_NK_Upcoming!Concatenated_Wellname,0))=0,"",INDEX(Well_Data_NK_Upcoming!$K$2:$K$996,MATCH(Rig_Schedule_View!B140,Well_Data_NK_Upcoming!Concatenated_Wellname,0)))</f>
        <v/>
      </c>
      <c r="E140" s="421" t="str">
        <f ca="1">IF(INDEX(Well_Data_NK_Upcoming!$J$2:$J$996,MATCH(Rig_Schedule_View!B140,Well_Data_NK_Upcoming!Concatenated_Wellname,0))=0,"",INDEX(Well_Data_NK_Upcoming!$J$2:$J$996,MATCH(Rig_Schedule_View!B140,Well_Data_NK_Upcoming!Concatenated_Wellname,0)))</f>
        <v/>
      </c>
      <c r="F140" s="421" t="str">
        <f ca="1">IF(INDEX(Well_Data_NK_Upcoming!$L$2:$L$996,MATCH(Rig_Schedule_View!B140,Well_Data_NK_Upcoming!Concatenated_Wellname,0))=0,"",INDEX(Well_Data_NK_Upcoming!$L$2:$L$996,MATCH(Rig_Schedule_View!B140,Well_Data_NK_Upcoming!Concatenated_Wellname,0)))</f>
        <v/>
      </c>
      <c r="G140" s="421" t="str">
        <f ca="1">IF(INDEX(Well_Data_NK_Upcoming!$R$2:$R$996,MATCH(Rig_Schedule_View!B140,Well_Data_NK_Upcoming!Concatenated_Wellname,0))=0,"",INDEX(Well_Data_NK_Upcoming!$R$2:$R$996,MATCH(Rig_Schedule_View!B140,Well_Data_NK_Upcoming!Concatenated_Wellname,0)))</f>
        <v/>
      </c>
      <c r="H140" s="74"/>
      <c r="I140" s="443" t="str">
        <f ca="1">RigScheduleTest!$BB$12</f>
        <v/>
      </c>
      <c r="J140" s="443" t="str">
        <f ca="1">RigScheduleTest!$BC$12</f>
        <v/>
      </c>
      <c r="K140" s="413"/>
      <c r="L140" s="546"/>
      <c r="M140" s="544"/>
      <c r="N140" s="545"/>
      <c r="O140" s="545"/>
      <c r="P140" s="551"/>
    </row>
    <row r="141" spans="1:16" x14ac:dyDescent="0.25">
      <c r="A141" s="442" t="str">
        <f>RigScheduleTest!$B$12</f>
        <v>SP-159</v>
      </c>
      <c r="B141" s="442" t="str">
        <f ca="1">RigScheduleTest!$BE$12</f>
        <v/>
      </c>
      <c r="C141" s="421" t="str">
        <f ca="1">IF(INDEX(Well_Data_NK_Upcoming!$G$2:$G$996,MATCH(Rig_Schedule_View!B141,Well_Data_NK_Upcoming!Concatenated_Wellname,0))=0,"",INDEX(Well_Data_NK_Upcoming!$G$2:$G$996,MATCH(Rig_Schedule_View!B141,Well_Data_NK_Upcoming!Concatenated_Wellname,0)))</f>
        <v/>
      </c>
      <c r="D141" s="421" t="str">
        <f ca="1">IF(INDEX(Well_Data_NK_Upcoming!$K$2:$K$996,MATCH(Rig_Schedule_View!B141,Well_Data_NK_Upcoming!Concatenated_Wellname,0))=0,"",INDEX(Well_Data_NK_Upcoming!$K$2:$K$996,MATCH(Rig_Schedule_View!B141,Well_Data_NK_Upcoming!Concatenated_Wellname,0)))</f>
        <v/>
      </c>
      <c r="E141" s="421" t="str">
        <f ca="1">IF(INDEX(Well_Data_NK_Upcoming!$J$2:$J$996,MATCH(Rig_Schedule_View!B141,Well_Data_NK_Upcoming!Concatenated_Wellname,0))=0,"",INDEX(Well_Data_NK_Upcoming!$J$2:$J$996,MATCH(Rig_Schedule_View!B141,Well_Data_NK_Upcoming!Concatenated_Wellname,0)))</f>
        <v/>
      </c>
      <c r="F141" s="421" t="str">
        <f ca="1">IF(INDEX(Well_Data_NK_Upcoming!$L$2:$L$996,MATCH(Rig_Schedule_View!B141,Well_Data_NK_Upcoming!Concatenated_Wellname,0))=0,"",INDEX(Well_Data_NK_Upcoming!$L$2:$L$996,MATCH(Rig_Schedule_View!B141,Well_Data_NK_Upcoming!Concatenated_Wellname,0)))</f>
        <v/>
      </c>
      <c r="G141" s="421" t="str">
        <f ca="1">IF(INDEX(Well_Data_NK_Upcoming!$R$2:$R$996,MATCH(Rig_Schedule_View!B141,Well_Data_NK_Upcoming!Concatenated_Wellname,0))=0,"",INDEX(Well_Data_NK_Upcoming!$R$2:$R$996,MATCH(Rig_Schedule_View!B141,Well_Data_NK_Upcoming!Concatenated_Wellname,0)))</f>
        <v/>
      </c>
      <c r="H141" s="74"/>
      <c r="I141" s="443" t="str">
        <f ca="1">RigScheduleTest!$BH$12</f>
        <v/>
      </c>
      <c r="J141" s="443" t="str">
        <f ca="1">RigScheduleTest!$BI$12</f>
        <v/>
      </c>
      <c r="K141" s="413"/>
      <c r="L141" s="546"/>
      <c r="M141" s="544"/>
      <c r="N141" s="545"/>
      <c r="O141" s="545"/>
      <c r="P141" s="551"/>
    </row>
    <row r="142" spans="1:16" x14ac:dyDescent="0.25">
      <c r="A142" s="442" t="str">
        <f>RigScheduleTest!$B$12</f>
        <v>SP-159</v>
      </c>
      <c r="B142" s="442" t="str">
        <f ca="1">RigScheduleTest!$BK$12</f>
        <v/>
      </c>
      <c r="C142" s="421" t="str">
        <f ca="1">IF(INDEX(Well_Data_NK_Upcoming!$G$2:$G$996,MATCH(Rig_Schedule_View!B142,Well_Data_NK_Upcoming!Concatenated_Wellname,0))=0,"",INDEX(Well_Data_NK_Upcoming!$G$2:$G$996,MATCH(Rig_Schedule_View!B142,Well_Data_NK_Upcoming!Concatenated_Wellname,0)))</f>
        <v/>
      </c>
      <c r="D142" s="421" t="str">
        <f ca="1">IF(INDEX(Well_Data_NK_Upcoming!$K$2:$K$996,MATCH(Rig_Schedule_View!B142,Well_Data_NK_Upcoming!Concatenated_Wellname,0))=0,"",INDEX(Well_Data_NK_Upcoming!$K$2:$K$996,MATCH(Rig_Schedule_View!B142,Well_Data_NK_Upcoming!Concatenated_Wellname,0)))</f>
        <v/>
      </c>
      <c r="E142" s="421" t="str">
        <f ca="1">IF(INDEX(Well_Data_NK_Upcoming!$J$2:$J$996,MATCH(Rig_Schedule_View!B142,Well_Data_NK_Upcoming!Concatenated_Wellname,0))=0,"",INDEX(Well_Data_NK_Upcoming!$J$2:$J$996,MATCH(Rig_Schedule_View!B142,Well_Data_NK_Upcoming!Concatenated_Wellname,0)))</f>
        <v/>
      </c>
      <c r="F142" s="421" t="str">
        <f ca="1">IF(INDEX(Well_Data_NK_Upcoming!$L$2:$L$996,MATCH(Rig_Schedule_View!B142,Well_Data_NK_Upcoming!Concatenated_Wellname,0))=0,"",INDEX(Well_Data_NK_Upcoming!$L$2:$L$996,MATCH(Rig_Schedule_View!B142,Well_Data_NK_Upcoming!Concatenated_Wellname,0)))</f>
        <v/>
      </c>
      <c r="G142" s="421" t="str">
        <f ca="1">IF(INDEX(Well_Data_NK_Upcoming!$R$2:$R$996,MATCH(Rig_Schedule_View!B142,Well_Data_NK_Upcoming!Concatenated_Wellname,0))=0,"",INDEX(Well_Data_NK_Upcoming!$R$2:$R$996,MATCH(Rig_Schedule_View!B142,Well_Data_NK_Upcoming!Concatenated_Wellname,0)))</f>
        <v/>
      </c>
      <c r="H142" s="74"/>
      <c r="I142" s="443" t="str">
        <f ca="1">RigScheduleTest!$BN$12</f>
        <v/>
      </c>
      <c r="J142" s="443" t="str">
        <f ca="1">RigScheduleTest!$BO$12</f>
        <v/>
      </c>
      <c r="K142" s="413"/>
      <c r="L142" s="546"/>
      <c r="M142" s="544"/>
      <c r="N142" s="545"/>
      <c r="O142" s="545"/>
      <c r="P142" s="551"/>
    </row>
    <row r="143" spans="1:16" x14ac:dyDescent="0.25">
      <c r="A143" s="437" t="str">
        <f>RigScheduleTest!$B$1</f>
        <v>RIG</v>
      </c>
      <c r="B143" s="437" t="str">
        <f>$K$1</f>
        <v>Development Drilling</v>
      </c>
      <c r="C143" s="437" t="s">
        <v>1831</v>
      </c>
      <c r="D143" s="437" t="s">
        <v>867</v>
      </c>
      <c r="E143" s="437" t="s">
        <v>8</v>
      </c>
      <c r="F143" s="437" t="s">
        <v>2</v>
      </c>
      <c r="G143" s="437" t="s">
        <v>1513</v>
      </c>
      <c r="H143" s="438" t="str">
        <f>$K$3</f>
        <v>Rig Deployment Meeting</v>
      </c>
      <c r="I143" s="439" t="str">
        <f>$K$5</f>
        <v>Start</v>
      </c>
      <c r="J143" s="439" t="str">
        <f>$K$6</f>
        <v>End</v>
      </c>
      <c r="K143" s="444" t="s">
        <v>1068</v>
      </c>
      <c r="L143" s="444" t="s">
        <v>1577</v>
      </c>
      <c r="M143" s="496" t="s">
        <v>1934</v>
      </c>
      <c r="N143" s="504" t="s">
        <v>1940</v>
      </c>
      <c r="O143" s="504" t="s">
        <v>1941</v>
      </c>
      <c r="P143" s="502"/>
    </row>
    <row r="144" spans="1:16" x14ac:dyDescent="0.25">
      <c r="A144" s="442" t="str">
        <f>RigScheduleTest!$B$13</f>
        <v>SP-185</v>
      </c>
      <c r="B144" s="421" t="str">
        <f ca="1">RigScheduleTest!$D$13</f>
        <v>RA-0573-RA-ZU-Prod-NW-SL-BHI</v>
      </c>
      <c r="C144" s="421" t="str">
        <f ca="1">IF(INDEX(Well_Data_NK_Upcoming!$G$2:$G$996,MATCH(Rig_Schedule_View!B144,Well_Data_NK_Upcoming!Concatenated_Wellname,0))=0,"",INDEX(Well_Data_NK_Upcoming!$G$2:$G$996,MATCH(Rig_Schedule_View!B144,Well_Data_NK_Upcoming!Concatenated_Wellname,0)))</f>
        <v>ZU</v>
      </c>
      <c r="D144" s="421" t="str">
        <f ca="1">IF(INDEX(Well_Data_NK_Upcoming!$K$2:$K$996,MATCH(Rig_Schedule_View!B144,Well_Data_NK_Upcoming!Concatenated_Wellname,0))=0,"",INDEX(Well_Data_NK_Upcoming!$K$2:$K$996,MATCH(Rig_Schedule_View!B144,Well_Data_NK_Upcoming!Concatenated_Wellname,0)))</f>
        <v>NW</v>
      </c>
      <c r="E144" s="421" t="str">
        <f ca="1">IF(INDEX(Well_Data_NK_Upcoming!$J$2:$J$996,MATCH(Rig_Schedule_View!B144,Well_Data_NK_Upcoming!Concatenated_Wellname,0))=0,"",INDEX(Well_Data_NK_Upcoming!$J$2:$J$996,MATCH(Rig_Schedule_View!B144,Well_Data_NK_Upcoming!Concatenated_Wellname,0)))</f>
        <v>Prod</v>
      </c>
      <c r="F144" s="421" t="str">
        <f ca="1">IF(INDEX(Well_Data_NK_Upcoming!$L$2:$L$996,MATCH(Rig_Schedule_View!B144,Well_Data_NK_Upcoming!Concatenated_Wellname,0))=0,"",INDEX(Well_Data_NK_Upcoming!$L$2:$L$996,MATCH(Rig_Schedule_View!B144,Well_Data_NK_Upcoming!Concatenated_Wellname,0)))</f>
        <v>SL</v>
      </c>
      <c r="G144" s="421">
        <f ca="1">IF(INDEX(Well_Data_NK_Upcoming!$R$2:$R$996,MATCH(Rig_Schedule_View!B144,Well_Data_NK_Upcoming!Concatenated_Wellname,0))=0,"",INDEX(Well_Data_NK_Upcoming!$R$2:$R$996,MATCH(Rig_Schedule_View!B144,Well_Data_NK_Upcoming!Concatenated_Wellname,0)))</f>
        <v>103</v>
      </c>
      <c r="H144" s="74">
        <f>RigScheduleTest!$F$13</f>
        <v>42233</v>
      </c>
      <c r="I144" s="459">
        <f ca="1">IF(INDEX(Well_Data_NK_Upcoming!$O$2:$O$996,MATCH(Rig_Schedule_View!B144,Well_Data_NK_Upcoming!Concatenated_Wellname,0))=0,"",INDEX(Well_Data_NK_Upcoming!$O$2:$O$996,MATCH(Rig_Schedule_View!B144,Well_Data_NK_Upcoming!Concatenated_Wellname,0)))</f>
        <v>42206.75</v>
      </c>
      <c r="J144" s="446">
        <f ca="1">RigScheduleTest!$H$13</f>
        <v>42278</v>
      </c>
      <c r="K144" s="493" t="s">
        <v>1917</v>
      </c>
      <c r="L144" s="543"/>
      <c r="M144" s="544">
        <v>45</v>
      </c>
      <c r="N144" s="545"/>
      <c r="O144" s="545"/>
      <c r="P144" s="551"/>
    </row>
    <row r="145" spans="1:16" x14ac:dyDescent="0.25">
      <c r="A145" s="442" t="str">
        <f>RigScheduleTest!$B$13</f>
        <v>SP-185</v>
      </c>
      <c r="B145" s="441" t="str">
        <f ca="1">RigScheduleTest!$I$13</f>
        <v>RA-0574-RA-ZU-Prod-NW-HZ-Baker</v>
      </c>
      <c r="C145" s="421" t="str">
        <f ca="1">IF(INDEX(Well_Data_NK_Upcoming!$G$2:$G$996,MATCH(Rig_Schedule_View!B145,Well_Data_NK_Upcoming!Concatenated_Wellname,0))=0,"",INDEX(Well_Data_NK_Upcoming!$G$2:$G$996,MATCH(Rig_Schedule_View!B145,Well_Data_NK_Upcoming!Concatenated_Wellname,0)))</f>
        <v>ZU</v>
      </c>
      <c r="D145" s="421" t="str">
        <f ca="1">IF(INDEX(Well_Data_NK_Upcoming!$K$2:$K$996,MATCH(Rig_Schedule_View!B145,Well_Data_NK_Upcoming!Concatenated_Wellname,0))=0,"",INDEX(Well_Data_NK_Upcoming!$K$2:$K$996,MATCH(Rig_Schedule_View!B145,Well_Data_NK_Upcoming!Concatenated_Wellname,0)))</f>
        <v>NW</v>
      </c>
      <c r="E145" s="421" t="str">
        <f ca="1">IF(INDEX(Well_Data_NK_Upcoming!$J$2:$J$996,MATCH(Rig_Schedule_View!B145,Well_Data_NK_Upcoming!Concatenated_Wellname,0))=0,"",INDEX(Well_Data_NK_Upcoming!$J$2:$J$996,MATCH(Rig_Schedule_View!B145,Well_Data_NK_Upcoming!Concatenated_Wellname,0)))</f>
        <v>Prod</v>
      </c>
      <c r="F145" s="421" t="str">
        <f ca="1">IF(INDEX(Well_Data_NK_Upcoming!$L$2:$L$996,MATCH(Rig_Schedule_View!B145,Well_Data_NK_Upcoming!Concatenated_Wellname,0))=0,"",INDEX(Well_Data_NK_Upcoming!$L$2:$L$996,MATCH(Rig_Schedule_View!B145,Well_Data_NK_Upcoming!Concatenated_Wellname,0)))</f>
        <v>HZ</v>
      </c>
      <c r="G145" s="421">
        <f ca="1">IF(INDEX(Well_Data_NK_Upcoming!$R$2:$R$996,MATCH(Rig_Schedule_View!B145,Well_Data_NK_Upcoming!Concatenated_Wellname,0))=0,"",INDEX(Well_Data_NK_Upcoming!$R$2:$R$996,MATCH(Rig_Schedule_View!B145,Well_Data_NK_Upcoming!Concatenated_Wellname,0)))</f>
        <v>103</v>
      </c>
      <c r="H145" s="74"/>
      <c r="I145" s="440">
        <f ca="1">RigScheduleTest!$L$13</f>
        <v>42283</v>
      </c>
      <c r="J145" s="440">
        <f ca="1">RigScheduleTest!$M$13</f>
        <v>42381</v>
      </c>
      <c r="K145" s="413"/>
      <c r="L145" s="546"/>
      <c r="M145" s="544"/>
      <c r="N145" s="545" t="s">
        <v>2220</v>
      </c>
      <c r="O145" s="545" t="s">
        <v>1986</v>
      </c>
      <c r="P145" s="551"/>
    </row>
    <row r="146" spans="1:16" x14ac:dyDescent="0.25">
      <c r="A146" s="442" t="str">
        <f>RigScheduleTest!$B$13</f>
        <v>SP-185</v>
      </c>
      <c r="B146" s="441" t="str">
        <f ca="1">RigScheduleTest!$O$13</f>
        <v>RA-0572-RA-LB-Prod-NW-HZ-Baker</v>
      </c>
      <c r="C146" s="421" t="str">
        <f ca="1">IF(INDEX(Well_Data_NK_Upcoming!$G$2:$G$996,MATCH(Rig_Schedule_View!B146,Well_Data_NK_Upcoming!Concatenated_Wellname,0))=0,"",INDEX(Well_Data_NK_Upcoming!$G$2:$G$996,MATCH(Rig_Schedule_View!B146,Well_Data_NK_Upcoming!Concatenated_Wellname,0)))</f>
        <v>LB</v>
      </c>
      <c r="D146" s="421" t="str">
        <f ca="1">IF(INDEX(Well_Data_NK_Upcoming!$K$2:$K$996,MATCH(Rig_Schedule_View!B146,Well_Data_NK_Upcoming!Concatenated_Wellname,0))=0,"",INDEX(Well_Data_NK_Upcoming!$K$2:$K$996,MATCH(Rig_Schedule_View!B146,Well_Data_NK_Upcoming!Concatenated_Wellname,0)))</f>
        <v>NW</v>
      </c>
      <c r="E146" s="421" t="str">
        <f ca="1">IF(INDEX(Well_Data_NK_Upcoming!$J$2:$J$996,MATCH(Rig_Schedule_View!B146,Well_Data_NK_Upcoming!Concatenated_Wellname,0))=0,"",INDEX(Well_Data_NK_Upcoming!$J$2:$J$996,MATCH(Rig_Schedule_View!B146,Well_Data_NK_Upcoming!Concatenated_Wellname,0)))</f>
        <v>Prod</v>
      </c>
      <c r="F146" s="421" t="str">
        <f ca="1">IF(INDEX(Well_Data_NK_Upcoming!$L$2:$L$996,MATCH(Rig_Schedule_View!B146,Well_Data_NK_Upcoming!Concatenated_Wellname,0))=0,"",INDEX(Well_Data_NK_Upcoming!$L$2:$L$996,MATCH(Rig_Schedule_View!B146,Well_Data_NK_Upcoming!Concatenated_Wellname,0)))</f>
        <v>HZ</v>
      </c>
      <c r="G146" s="421">
        <f ca="1">IF(INDEX(Well_Data_NK_Upcoming!$R$2:$R$996,MATCH(Rig_Schedule_View!B146,Well_Data_NK_Upcoming!Concatenated_Wellname,0))=0,"",INDEX(Well_Data_NK_Upcoming!$R$2:$R$996,MATCH(Rig_Schedule_View!B146,Well_Data_NK_Upcoming!Concatenated_Wellname,0)))</f>
        <v>75</v>
      </c>
      <c r="H146" s="74"/>
      <c r="I146" s="440">
        <f ca="1">RigScheduleTest!$R$13</f>
        <v>42386</v>
      </c>
      <c r="J146" s="440">
        <f ca="1">RigScheduleTest!$S$13</f>
        <v>42456</v>
      </c>
      <c r="K146" s="413"/>
      <c r="L146" s="547"/>
      <c r="M146" s="544"/>
      <c r="N146" s="545" t="s">
        <v>2220</v>
      </c>
      <c r="O146" s="545"/>
      <c r="P146" s="551"/>
    </row>
    <row r="147" spans="1:16" x14ac:dyDescent="0.25">
      <c r="A147" s="442" t="str">
        <f>RigScheduleTest!$B$13</f>
        <v>SP-185</v>
      </c>
      <c r="B147" s="442" t="str">
        <f ca="1">RigScheduleTest!$U$13</f>
        <v>RA-0571-RA-MA-Prod-NW-HZ-Baker</v>
      </c>
      <c r="C147" s="421" t="str">
        <f ca="1">IF(INDEX(Well_Data_NK_Upcoming!$G$2:$G$996,MATCH(Rig_Schedule_View!B147,Well_Data_NK_Upcoming!Concatenated_Wellname,0))=0,"",INDEX(Well_Data_NK_Upcoming!$G$2:$G$996,MATCH(Rig_Schedule_View!B147,Well_Data_NK_Upcoming!Concatenated_Wellname,0)))</f>
        <v>MA</v>
      </c>
      <c r="D147" s="421" t="str">
        <f ca="1">IF(INDEX(Well_Data_NK_Upcoming!$K$2:$K$996,MATCH(Rig_Schedule_View!B147,Well_Data_NK_Upcoming!Concatenated_Wellname,0))=0,"",INDEX(Well_Data_NK_Upcoming!$K$2:$K$996,MATCH(Rig_Schedule_View!B147,Well_Data_NK_Upcoming!Concatenated_Wellname,0)))</f>
        <v>NW</v>
      </c>
      <c r="E147" s="421" t="str">
        <f ca="1">IF(INDEX(Well_Data_NK_Upcoming!$J$2:$J$996,MATCH(Rig_Schedule_View!B147,Well_Data_NK_Upcoming!Concatenated_Wellname,0))=0,"",INDEX(Well_Data_NK_Upcoming!$J$2:$J$996,MATCH(Rig_Schedule_View!B147,Well_Data_NK_Upcoming!Concatenated_Wellname,0)))</f>
        <v>Prod</v>
      </c>
      <c r="F147" s="421" t="str">
        <f ca="1">IF(INDEX(Well_Data_NK_Upcoming!$L$2:$L$996,MATCH(Rig_Schedule_View!B147,Well_Data_NK_Upcoming!Concatenated_Wellname,0))=0,"",INDEX(Well_Data_NK_Upcoming!$L$2:$L$996,MATCH(Rig_Schedule_View!B147,Well_Data_NK_Upcoming!Concatenated_Wellname,0)))</f>
        <v>HZ</v>
      </c>
      <c r="G147" s="421">
        <f ca="1">IF(INDEX(Well_Data_NK_Upcoming!$R$2:$R$996,MATCH(Rig_Schedule_View!B147,Well_Data_NK_Upcoming!Concatenated_Wellname,0))=0,"",INDEX(Well_Data_NK_Upcoming!$R$2:$R$996,MATCH(Rig_Schedule_View!B147,Well_Data_NK_Upcoming!Concatenated_Wellname,0)))</f>
        <v>75</v>
      </c>
      <c r="H147" s="74"/>
      <c r="I147" s="443">
        <f ca="1">RigScheduleTest!$X$13</f>
        <v>42461</v>
      </c>
      <c r="J147" s="443">
        <f ca="1">RigScheduleTest!$Y$13</f>
        <v>42531</v>
      </c>
      <c r="K147" s="413"/>
      <c r="L147" s="547"/>
      <c r="M147" s="544"/>
      <c r="N147" s="545" t="s">
        <v>2220</v>
      </c>
      <c r="O147" s="545"/>
      <c r="P147" s="551"/>
    </row>
    <row r="148" spans="1:16" x14ac:dyDescent="0.25">
      <c r="A148" s="442" t="str">
        <f>RigScheduleTest!$B$13</f>
        <v>SP-185</v>
      </c>
      <c r="B148" s="442" t="str">
        <f ca="1">RigScheduleTest!$AA$13</f>
        <v>RA22-RA-UB-Prod-NW-HZ-SLB</v>
      </c>
      <c r="C148" s="421" t="str">
        <f ca="1">IF(INDEX(Well_Data_NK_Upcoming!$G$2:$G$996,MATCH(Rig_Schedule_View!B148,Well_Data_NK_Upcoming!Concatenated_Wellname,0))=0,"",INDEX(Well_Data_NK_Upcoming!$G$2:$G$996,MATCH(Rig_Schedule_View!B148,Well_Data_NK_Upcoming!Concatenated_Wellname,0)))</f>
        <v>UB</v>
      </c>
      <c r="D148" s="421" t="str">
        <f ca="1">IF(INDEX(Well_Data_NK_Upcoming!$K$2:$K$996,MATCH(Rig_Schedule_View!B148,Well_Data_NK_Upcoming!Concatenated_Wellname,0))=0,"",INDEX(Well_Data_NK_Upcoming!$K$2:$K$996,MATCH(Rig_Schedule_View!B148,Well_Data_NK_Upcoming!Concatenated_Wellname,0)))</f>
        <v>NW</v>
      </c>
      <c r="E148" s="421" t="str">
        <f ca="1">IF(INDEX(Well_Data_NK_Upcoming!$J$2:$J$996,MATCH(Rig_Schedule_View!B148,Well_Data_NK_Upcoming!Concatenated_Wellname,0))=0,"",INDEX(Well_Data_NK_Upcoming!$J$2:$J$996,MATCH(Rig_Schedule_View!B148,Well_Data_NK_Upcoming!Concatenated_Wellname,0)))</f>
        <v>Prod</v>
      </c>
      <c r="F148" s="421" t="str">
        <f ca="1">IF(INDEX(Well_Data_NK_Upcoming!$L$2:$L$996,MATCH(Rig_Schedule_View!B148,Well_Data_NK_Upcoming!Concatenated_Wellname,0))=0,"",INDEX(Well_Data_NK_Upcoming!$L$2:$L$996,MATCH(Rig_Schedule_View!B148,Well_Data_NK_Upcoming!Concatenated_Wellname,0)))</f>
        <v>HZ</v>
      </c>
      <c r="G148" s="421">
        <f ca="1">IF(INDEX(Well_Data_NK_Upcoming!$R$2:$R$996,MATCH(Rig_Schedule_View!B148,Well_Data_NK_Upcoming!Concatenated_Wellname,0))=0,"",INDEX(Well_Data_NK_Upcoming!$R$2:$R$996,MATCH(Rig_Schedule_View!B148,Well_Data_NK_Upcoming!Concatenated_Wellname,0)))</f>
        <v>75</v>
      </c>
      <c r="H148" s="74"/>
      <c r="I148" s="443">
        <f ca="1">RigScheduleTest!$AD$13</f>
        <v>42536</v>
      </c>
      <c r="J148" s="443">
        <f ca="1">RigScheduleTest!$AE$13</f>
        <v>42606</v>
      </c>
      <c r="K148" s="413"/>
      <c r="L148" s="547"/>
      <c r="M148" s="544"/>
      <c r="N148" s="545"/>
      <c r="O148" s="545"/>
      <c r="P148" s="551"/>
    </row>
    <row r="149" spans="1:16" x14ac:dyDescent="0.25">
      <c r="A149" s="442" t="str">
        <f>RigScheduleTest!$B$13</f>
        <v>SP-185</v>
      </c>
      <c r="B149" s="442" t="str">
        <f ca="1">RigScheduleTest!$AG$13</f>
        <v>SA49-SA-UB-Inj-NW-SL</v>
      </c>
      <c r="C149" s="421" t="str">
        <f ca="1">IF(INDEX(Well_Data_NK_Upcoming!$G$2:$G$996,MATCH(Rig_Schedule_View!B149,Well_Data_NK_Upcoming!Concatenated_Wellname,0))=0,"",INDEX(Well_Data_NK_Upcoming!$G$2:$G$996,MATCH(Rig_Schedule_View!B149,Well_Data_NK_Upcoming!Concatenated_Wellname,0)))</f>
        <v>UB</v>
      </c>
      <c r="D149" s="421" t="str">
        <f ca="1">IF(INDEX(Well_Data_NK_Upcoming!$K$2:$K$996,MATCH(Rig_Schedule_View!B149,Well_Data_NK_Upcoming!Concatenated_Wellname,0))=0,"",INDEX(Well_Data_NK_Upcoming!$K$2:$K$996,MATCH(Rig_Schedule_View!B149,Well_Data_NK_Upcoming!Concatenated_Wellname,0)))</f>
        <v>NW</v>
      </c>
      <c r="E149" s="421" t="str">
        <f ca="1">IF(INDEX(Well_Data_NK_Upcoming!$J$2:$J$996,MATCH(Rig_Schedule_View!B149,Well_Data_NK_Upcoming!Concatenated_Wellname,0))=0,"",INDEX(Well_Data_NK_Upcoming!$J$2:$J$996,MATCH(Rig_Schedule_View!B149,Well_Data_NK_Upcoming!Concatenated_Wellname,0)))</f>
        <v>Inj</v>
      </c>
      <c r="F149" s="421" t="str">
        <f ca="1">IF(INDEX(Well_Data_NK_Upcoming!$L$2:$L$996,MATCH(Rig_Schedule_View!B149,Well_Data_NK_Upcoming!Concatenated_Wellname,0))=0,"",INDEX(Well_Data_NK_Upcoming!$L$2:$L$996,MATCH(Rig_Schedule_View!B149,Well_Data_NK_Upcoming!Concatenated_Wellname,0)))</f>
        <v>SL</v>
      </c>
      <c r="G149" s="421">
        <f ca="1">IF(INDEX(Well_Data_NK_Upcoming!$R$2:$R$996,MATCH(Rig_Schedule_View!B149,Well_Data_NK_Upcoming!Concatenated_Wellname,0))=0,"",INDEX(Well_Data_NK_Upcoming!$R$2:$R$996,MATCH(Rig_Schedule_View!B149,Well_Data_NK_Upcoming!Concatenated_Wellname,0)))</f>
        <v>75</v>
      </c>
      <c r="H149" s="74"/>
      <c r="I149" s="443">
        <f ca="1">RigScheduleTest!$AJ$13</f>
        <v>42611</v>
      </c>
      <c r="J149" s="443">
        <f ca="1">RigScheduleTest!$AK$13</f>
        <v>42681</v>
      </c>
      <c r="K149" s="413"/>
      <c r="L149" s="546"/>
      <c r="M149" s="544"/>
      <c r="N149" s="545"/>
      <c r="O149" s="545"/>
      <c r="P149" s="551"/>
    </row>
    <row r="150" spans="1:16" x14ac:dyDescent="0.25">
      <c r="A150" s="442" t="str">
        <f>RigScheduleTest!$B$13</f>
        <v>SP-185</v>
      </c>
      <c r="B150" s="442" t="str">
        <f ca="1">RigScheduleTest!$AM$13</f>
        <v>SA56-SA-Prod-NW-SL</v>
      </c>
      <c r="C150" s="421" t="str">
        <f ca="1">IF(INDEX(Well_Data_NK_Upcoming!$G$2:$G$996,MATCH(Rig_Schedule_View!B150,Well_Data_NK_Upcoming!Concatenated_Wellname,0))=0,"",INDEX(Well_Data_NK_Upcoming!$G$2:$G$996,MATCH(Rig_Schedule_View!B150,Well_Data_NK_Upcoming!Concatenated_Wellname,0)))</f>
        <v/>
      </c>
      <c r="D150" s="421" t="str">
        <f ca="1">IF(INDEX(Well_Data_NK_Upcoming!$K$2:$K$996,MATCH(Rig_Schedule_View!B150,Well_Data_NK_Upcoming!Concatenated_Wellname,0))=0,"",INDEX(Well_Data_NK_Upcoming!$K$2:$K$996,MATCH(Rig_Schedule_View!B150,Well_Data_NK_Upcoming!Concatenated_Wellname,0)))</f>
        <v>NW</v>
      </c>
      <c r="E150" s="421" t="str">
        <f ca="1">IF(INDEX(Well_Data_NK_Upcoming!$J$2:$J$996,MATCH(Rig_Schedule_View!B150,Well_Data_NK_Upcoming!Concatenated_Wellname,0))=0,"",INDEX(Well_Data_NK_Upcoming!$J$2:$J$996,MATCH(Rig_Schedule_View!B150,Well_Data_NK_Upcoming!Concatenated_Wellname,0)))</f>
        <v>Prod</v>
      </c>
      <c r="F150" s="421" t="str">
        <f ca="1">IF(INDEX(Well_Data_NK_Upcoming!$L$2:$L$996,MATCH(Rig_Schedule_View!B150,Well_Data_NK_Upcoming!Concatenated_Wellname,0))=0,"",INDEX(Well_Data_NK_Upcoming!$L$2:$L$996,MATCH(Rig_Schedule_View!B150,Well_Data_NK_Upcoming!Concatenated_Wellname,0)))</f>
        <v>SL</v>
      </c>
      <c r="G150" s="421" t="str">
        <f ca="1">IF(INDEX(Well_Data_NK_Upcoming!$R$2:$R$996,MATCH(Rig_Schedule_View!B150,Well_Data_NK_Upcoming!Concatenated_Wellname,0))=0,"",INDEX(Well_Data_NK_Upcoming!$R$2:$R$996,MATCH(Rig_Schedule_View!B150,Well_Data_NK_Upcoming!Concatenated_Wellname,0)))</f>
        <v/>
      </c>
      <c r="H150" s="74"/>
      <c r="I150" s="443" t="str">
        <f ca="1">RigScheduleTest!$AP$13</f>
        <v/>
      </c>
      <c r="J150" s="443" t="str">
        <f ca="1">RigScheduleTest!$AQ$13</f>
        <v/>
      </c>
      <c r="K150" s="413"/>
      <c r="L150" s="546"/>
      <c r="M150" s="544"/>
      <c r="N150" s="545"/>
      <c r="O150" s="545"/>
      <c r="P150" s="551"/>
    </row>
    <row r="151" spans="1:16" x14ac:dyDescent="0.25">
      <c r="A151" s="442" t="str">
        <f>RigScheduleTest!$B$13</f>
        <v>SP-185</v>
      </c>
      <c r="B151" s="442" t="str">
        <f ca="1">RigScheduleTest!$AS$13</f>
        <v/>
      </c>
      <c r="C151" s="421" t="str">
        <f ca="1">IF(INDEX(Well_Data_NK_Upcoming!$G$2:$G$996,MATCH(Rig_Schedule_View!B151,Well_Data_NK_Upcoming!Concatenated_Wellname,0))=0,"",INDEX(Well_Data_NK_Upcoming!$G$2:$G$996,MATCH(Rig_Schedule_View!B151,Well_Data_NK_Upcoming!Concatenated_Wellname,0)))</f>
        <v/>
      </c>
      <c r="D151" s="421" t="str">
        <f ca="1">IF(INDEX(Well_Data_NK_Upcoming!$K$2:$K$996,MATCH(Rig_Schedule_View!B151,Well_Data_NK_Upcoming!Concatenated_Wellname,0))=0,"",INDEX(Well_Data_NK_Upcoming!$K$2:$K$996,MATCH(Rig_Schedule_View!B151,Well_Data_NK_Upcoming!Concatenated_Wellname,0)))</f>
        <v/>
      </c>
      <c r="E151" s="421" t="str">
        <f ca="1">IF(INDEX(Well_Data_NK_Upcoming!$J$2:$J$996,MATCH(Rig_Schedule_View!B151,Well_Data_NK_Upcoming!Concatenated_Wellname,0))=0,"",INDEX(Well_Data_NK_Upcoming!$J$2:$J$996,MATCH(Rig_Schedule_View!B151,Well_Data_NK_Upcoming!Concatenated_Wellname,0)))</f>
        <v/>
      </c>
      <c r="F151" s="421" t="str">
        <f ca="1">IF(INDEX(Well_Data_NK_Upcoming!$L$2:$L$996,MATCH(Rig_Schedule_View!B151,Well_Data_NK_Upcoming!Concatenated_Wellname,0))=0,"",INDEX(Well_Data_NK_Upcoming!$L$2:$L$996,MATCH(Rig_Schedule_View!B151,Well_Data_NK_Upcoming!Concatenated_Wellname,0)))</f>
        <v/>
      </c>
      <c r="G151" s="421" t="str">
        <f ca="1">IF(INDEX(Well_Data_NK_Upcoming!$R$2:$R$996,MATCH(Rig_Schedule_View!B151,Well_Data_NK_Upcoming!Concatenated_Wellname,0))=0,"",INDEX(Well_Data_NK_Upcoming!$R$2:$R$996,MATCH(Rig_Schedule_View!B151,Well_Data_NK_Upcoming!Concatenated_Wellname,0)))</f>
        <v/>
      </c>
      <c r="H151" s="74"/>
      <c r="I151" s="443" t="str">
        <f ca="1">RigScheduleTest!$AV$13</f>
        <v/>
      </c>
      <c r="J151" s="443" t="str">
        <f ca="1">RigScheduleTest!$AW$13</f>
        <v/>
      </c>
      <c r="K151" s="413"/>
      <c r="L151" s="546"/>
      <c r="M151" s="544"/>
      <c r="N151" s="545"/>
      <c r="O151" s="545"/>
      <c r="P151" s="551"/>
    </row>
    <row r="152" spans="1:16" x14ac:dyDescent="0.25">
      <c r="A152" s="442" t="str">
        <f>RigScheduleTest!$B$13</f>
        <v>SP-185</v>
      </c>
      <c r="B152" s="442" t="str">
        <f ca="1">RigScheduleTest!$AY$13</f>
        <v/>
      </c>
      <c r="C152" s="421" t="str">
        <f ca="1">IF(INDEX(Well_Data_NK_Upcoming!$G$2:$G$996,MATCH(Rig_Schedule_View!B152,Well_Data_NK_Upcoming!Concatenated_Wellname,0))=0,"",INDEX(Well_Data_NK_Upcoming!$G$2:$G$996,MATCH(Rig_Schedule_View!B152,Well_Data_NK_Upcoming!Concatenated_Wellname,0)))</f>
        <v/>
      </c>
      <c r="D152" s="421" t="str">
        <f ca="1">IF(INDEX(Well_Data_NK_Upcoming!$K$2:$K$996,MATCH(Rig_Schedule_View!B152,Well_Data_NK_Upcoming!Concatenated_Wellname,0))=0,"",INDEX(Well_Data_NK_Upcoming!$K$2:$K$996,MATCH(Rig_Schedule_View!B152,Well_Data_NK_Upcoming!Concatenated_Wellname,0)))</f>
        <v/>
      </c>
      <c r="E152" s="421" t="str">
        <f ca="1">IF(INDEX(Well_Data_NK_Upcoming!$J$2:$J$996,MATCH(Rig_Schedule_View!B152,Well_Data_NK_Upcoming!Concatenated_Wellname,0))=0,"",INDEX(Well_Data_NK_Upcoming!$J$2:$J$996,MATCH(Rig_Schedule_View!B152,Well_Data_NK_Upcoming!Concatenated_Wellname,0)))</f>
        <v/>
      </c>
      <c r="F152" s="421" t="str">
        <f ca="1">IF(INDEX(Well_Data_NK_Upcoming!$L$2:$L$996,MATCH(Rig_Schedule_View!B152,Well_Data_NK_Upcoming!Concatenated_Wellname,0))=0,"",INDEX(Well_Data_NK_Upcoming!$L$2:$L$996,MATCH(Rig_Schedule_View!B152,Well_Data_NK_Upcoming!Concatenated_Wellname,0)))</f>
        <v/>
      </c>
      <c r="G152" s="421" t="str">
        <f ca="1">IF(INDEX(Well_Data_NK_Upcoming!$R$2:$R$996,MATCH(Rig_Schedule_View!B152,Well_Data_NK_Upcoming!Concatenated_Wellname,0))=0,"",INDEX(Well_Data_NK_Upcoming!$R$2:$R$996,MATCH(Rig_Schedule_View!B152,Well_Data_NK_Upcoming!Concatenated_Wellname,0)))</f>
        <v/>
      </c>
      <c r="H152" s="74"/>
      <c r="I152" s="443" t="str">
        <f ca="1">RigScheduleTest!$BB$13</f>
        <v/>
      </c>
      <c r="J152" s="443" t="str">
        <f ca="1">RigScheduleTest!$BC$13</f>
        <v/>
      </c>
      <c r="K152" s="413"/>
      <c r="L152" s="546"/>
      <c r="M152" s="544"/>
      <c r="N152" s="545"/>
      <c r="O152" s="545"/>
      <c r="P152" s="551"/>
    </row>
    <row r="153" spans="1:16" x14ac:dyDescent="0.25">
      <c r="A153" s="442" t="str">
        <f>RigScheduleTest!$B$13</f>
        <v>SP-185</v>
      </c>
      <c r="B153" s="442" t="str">
        <f ca="1">RigScheduleTest!$BE$13</f>
        <v/>
      </c>
      <c r="C153" s="421" t="str">
        <f ca="1">IF(INDEX(Well_Data_NK_Upcoming!$G$2:$G$996,MATCH(Rig_Schedule_View!B153,Well_Data_NK_Upcoming!Concatenated_Wellname,0))=0,"",INDEX(Well_Data_NK_Upcoming!$G$2:$G$996,MATCH(Rig_Schedule_View!B153,Well_Data_NK_Upcoming!Concatenated_Wellname,0)))</f>
        <v/>
      </c>
      <c r="D153" s="421" t="str">
        <f ca="1">IF(INDEX(Well_Data_NK_Upcoming!$K$2:$K$996,MATCH(Rig_Schedule_View!B153,Well_Data_NK_Upcoming!Concatenated_Wellname,0))=0,"",INDEX(Well_Data_NK_Upcoming!$K$2:$K$996,MATCH(Rig_Schedule_View!B153,Well_Data_NK_Upcoming!Concatenated_Wellname,0)))</f>
        <v/>
      </c>
      <c r="E153" s="421" t="str">
        <f ca="1">IF(INDEX(Well_Data_NK_Upcoming!$J$2:$J$996,MATCH(Rig_Schedule_View!B153,Well_Data_NK_Upcoming!Concatenated_Wellname,0))=0,"",INDEX(Well_Data_NK_Upcoming!$J$2:$J$996,MATCH(Rig_Schedule_View!B153,Well_Data_NK_Upcoming!Concatenated_Wellname,0)))</f>
        <v/>
      </c>
      <c r="F153" s="421" t="str">
        <f ca="1">IF(INDEX(Well_Data_NK_Upcoming!$L$2:$L$996,MATCH(Rig_Schedule_View!B153,Well_Data_NK_Upcoming!Concatenated_Wellname,0))=0,"",INDEX(Well_Data_NK_Upcoming!$L$2:$L$996,MATCH(Rig_Schedule_View!B153,Well_Data_NK_Upcoming!Concatenated_Wellname,0)))</f>
        <v/>
      </c>
      <c r="G153" s="421" t="str">
        <f ca="1">IF(INDEX(Well_Data_NK_Upcoming!$R$2:$R$996,MATCH(Rig_Schedule_View!B153,Well_Data_NK_Upcoming!Concatenated_Wellname,0))=0,"",INDEX(Well_Data_NK_Upcoming!$R$2:$R$996,MATCH(Rig_Schedule_View!B153,Well_Data_NK_Upcoming!Concatenated_Wellname,0)))</f>
        <v/>
      </c>
      <c r="H153" s="74"/>
      <c r="I153" s="443" t="str">
        <f ca="1">RigScheduleTest!$BH$13</f>
        <v/>
      </c>
      <c r="J153" s="443" t="str">
        <f ca="1">RigScheduleTest!$BI$13</f>
        <v/>
      </c>
      <c r="K153" s="413"/>
      <c r="L153" s="546"/>
      <c r="M153" s="544"/>
      <c r="N153" s="545"/>
      <c r="O153" s="545"/>
      <c r="P153" s="551"/>
    </row>
    <row r="154" spans="1:16" x14ac:dyDescent="0.25">
      <c r="A154" s="442" t="str">
        <f>RigScheduleTest!$B$13</f>
        <v>SP-185</v>
      </c>
      <c r="B154" s="442" t="str">
        <f ca="1">RigScheduleTest!$BK$13</f>
        <v/>
      </c>
      <c r="C154" s="421" t="str">
        <f ca="1">IF(INDEX(Well_Data_NK_Upcoming!$G$2:$G$996,MATCH(Rig_Schedule_View!B154,Well_Data_NK_Upcoming!Concatenated_Wellname,0))=0,"",INDEX(Well_Data_NK_Upcoming!$G$2:$G$996,MATCH(Rig_Schedule_View!B154,Well_Data_NK_Upcoming!Concatenated_Wellname,0)))</f>
        <v/>
      </c>
      <c r="D154" s="421" t="str">
        <f ca="1">IF(INDEX(Well_Data_NK_Upcoming!$K$2:$K$996,MATCH(Rig_Schedule_View!B154,Well_Data_NK_Upcoming!Concatenated_Wellname,0))=0,"",INDEX(Well_Data_NK_Upcoming!$K$2:$K$996,MATCH(Rig_Schedule_View!B154,Well_Data_NK_Upcoming!Concatenated_Wellname,0)))</f>
        <v/>
      </c>
      <c r="E154" s="421" t="str">
        <f ca="1">IF(INDEX(Well_Data_NK_Upcoming!$J$2:$J$996,MATCH(Rig_Schedule_View!B154,Well_Data_NK_Upcoming!Concatenated_Wellname,0))=0,"",INDEX(Well_Data_NK_Upcoming!$J$2:$J$996,MATCH(Rig_Schedule_View!B154,Well_Data_NK_Upcoming!Concatenated_Wellname,0)))</f>
        <v/>
      </c>
      <c r="F154" s="421" t="str">
        <f ca="1">IF(INDEX(Well_Data_NK_Upcoming!$L$2:$L$996,MATCH(Rig_Schedule_View!B154,Well_Data_NK_Upcoming!Concatenated_Wellname,0))=0,"",INDEX(Well_Data_NK_Upcoming!$L$2:$L$996,MATCH(Rig_Schedule_View!B154,Well_Data_NK_Upcoming!Concatenated_Wellname,0)))</f>
        <v/>
      </c>
      <c r="G154" s="421" t="str">
        <f ca="1">IF(INDEX(Well_Data_NK_Upcoming!$R$2:$R$996,MATCH(Rig_Schedule_View!B154,Well_Data_NK_Upcoming!Concatenated_Wellname,0))=0,"",INDEX(Well_Data_NK_Upcoming!$R$2:$R$996,MATCH(Rig_Schedule_View!B154,Well_Data_NK_Upcoming!Concatenated_Wellname,0)))</f>
        <v/>
      </c>
      <c r="H154" s="74"/>
      <c r="I154" s="443" t="str">
        <f ca="1">RigScheduleTest!$BN$13</f>
        <v/>
      </c>
      <c r="J154" s="443" t="str">
        <f ca="1">RigScheduleTest!$BO$13</f>
        <v/>
      </c>
      <c r="K154" s="413"/>
      <c r="L154" s="546"/>
      <c r="M154" s="544"/>
      <c r="N154" s="545"/>
      <c r="O154" s="545"/>
      <c r="P154" s="551"/>
    </row>
    <row r="155" spans="1:16" x14ac:dyDescent="0.25">
      <c r="A155" s="437" t="str">
        <f>RigScheduleTest!$B$1</f>
        <v>RIG</v>
      </c>
      <c r="B155" s="437" t="str">
        <f>$K$1</f>
        <v>Development Drilling</v>
      </c>
      <c r="C155" s="437" t="s">
        <v>1831</v>
      </c>
      <c r="D155" s="437" t="s">
        <v>867</v>
      </c>
      <c r="E155" s="437" t="s">
        <v>8</v>
      </c>
      <c r="F155" s="437" t="s">
        <v>2</v>
      </c>
      <c r="G155" s="437" t="s">
        <v>1513</v>
      </c>
      <c r="H155" s="438" t="str">
        <f>$K$3</f>
        <v>Rig Deployment Meeting</v>
      </c>
      <c r="I155" s="439" t="str">
        <f>$K$5</f>
        <v>Start</v>
      </c>
      <c r="J155" s="439" t="str">
        <f>$K$6</f>
        <v>End</v>
      </c>
      <c r="K155" s="444" t="s">
        <v>1068</v>
      </c>
      <c r="L155" s="444" t="s">
        <v>1577</v>
      </c>
      <c r="M155" s="496" t="s">
        <v>1934</v>
      </c>
      <c r="N155" s="504" t="s">
        <v>1940</v>
      </c>
      <c r="O155" s="504" t="s">
        <v>1941</v>
      </c>
      <c r="P155" s="502"/>
    </row>
    <row r="156" spans="1:16" x14ac:dyDescent="0.25">
      <c r="A156" s="442" t="str">
        <f>RigScheduleTest!$B$14</f>
        <v>SP-186</v>
      </c>
      <c r="B156" s="421" t="str">
        <f ca="1">RigScheduleTest!$D$14</f>
        <v>SA-0248-SA-LB-Prod-ST-SL-BHI</v>
      </c>
      <c r="C156" s="421" t="str">
        <f ca="1">IF(INDEX(Well_Data_NK_Upcoming!$G$2:$G$996,MATCH(Rig_Schedule_View!B156,Well_Data_NK_Upcoming!Concatenated_Wellname,0))=0,"",INDEX(Well_Data_NK_Upcoming!$G$2:$G$996,MATCH(Rig_Schedule_View!B156,Well_Data_NK_Upcoming!Concatenated_Wellname,0)))</f>
        <v>LB</v>
      </c>
      <c r="D156" s="421" t="str">
        <f ca="1">IF(INDEX(Well_Data_NK_Upcoming!$K$2:$K$996,MATCH(Rig_Schedule_View!B156,Well_Data_NK_Upcoming!Concatenated_Wellname,0))=0,"",INDEX(Well_Data_NK_Upcoming!$K$2:$K$996,MATCH(Rig_Schedule_View!B156,Well_Data_NK_Upcoming!Concatenated_Wellname,0)))</f>
        <v>ST</v>
      </c>
      <c r="E156" s="421" t="str">
        <f ca="1">IF(INDEX(Well_Data_NK_Upcoming!$J$2:$J$996,MATCH(Rig_Schedule_View!B156,Well_Data_NK_Upcoming!Concatenated_Wellname,0))=0,"",INDEX(Well_Data_NK_Upcoming!$J$2:$J$996,MATCH(Rig_Schedule_View!B156,Well_Data_NK_Upcoming!Concatenated_Wellname,0)))</f>
        <v>Prod</v>
      </c>
      <c r="F156" s="421" t="str">
        <f ca="1">IF(INDEX(Well_Data_NK_Upcoming!$L$2:$L$996,MATCH(Rig_Schedule_View!B156,Well_Data_NK_Upcoming!Concatenated_Wellname,0))=0,"",INDEX(Well_Data_NK_Upcoming!$L$2:$L$996,MATCH(Rig_Schedule_View!B156,Well_Data_NK_Upcoming!Concatenated_Wellname,0)))</f>
        <v>SL</v>
      </c>
      <c r="G156" s="421">
        <f ca="1">IF(INDEX(Well_Data_NK_Upcoming!$R$2:$R$996,MATCH(Rig_Schedule_View!B156,Well_Data_NK_Upcoming!Concatenated_Wellname,0))=0,"",INDEX(Well_Data_NK_Upcoming!$R$2:$R$996,MATCH(Rig_Schedule_View!B156,Well_Data_NK_Upcoming!Concatenated_Wellname,0)))</f>
        <v>61</v>
      </c>
      <c r="H156" s="74">
        <f>RigScheduleTest!$F$14</f>
        <v>42233</v>
      </c>
      <c r="I156" s="459">
        <f ca="1">IF(INDEX(Well_Data_NK_Upcoming!$O$2:$O$996,MATCH(Rig_Schedule_View!B156,Well_Data_NK_Upcoming!Concatenated_Wellname,0))=0,"",INDEX(Well_Data_NK_Upcoming!$O$2:$O$996,MATCH(Rig_Schedule_View!B156,Well_Data_NK_Upcoming!Concatenated_Wellname,0)))</f>
        <v>42224.833333333336</v>
      </c>
      <c r="J156" s="446">
        <f ca="1">RigScheduleTest!$H$14</f>
        <v>42253</v>
      </c>
      <c r="K156" s="493" t="s">
        <v>1917</v>
      </c>
      <c r="L156" s="543"/>
      <c r="M156" s="544">
        <v>20</v>
      </c>
      <c r="N156" s="545"/>
      <c r="O156" s="545"/>
      <c r="P156" s="551"/>
    </row>
    <row r="157" spans="1:16" x14ac:dyDescent="0.25">
      <c r="A157" s="442" t="str">
        <f>RigScheduleTest!$B$14</f>
        <v>SP-186</v>
      </c>
      <c r="B157" s="441" t="str">
        <f ca="1">RigScheduleTest!$I$14</f>
        <v>RA-0563-RA-ZU-Prod-NW-ML-Baker</v>
      </c>
      <c r="C157" s="421" t="str">
        <f ca="1">IF(INDEX(Well_Data_NK_Upcoming!$G$2:$G$996,MATCH(Rig_Schedule_View!B157,Well_Data_NK_Upcoming!Concatenated_Wellname,0))=0,"",INDEX(Well_Data_NK_Upcoming!$G$2:$G$996,MATCH(Rig_Schedule_View!B157,Well_Data_NK_Upcoming!Concatenated_Wellname,0)))</f>
        <v>ZU</v>
      </c>
      <c r="D157" s="421" t="str">
        <f ca="1">IF(INDEX(Well_Data_NK_Upcoming!$K$2:$K$996,MATCH(Rig_Schedule_View!B157,Well_Data_NK_Upcoming!Concatenated_Wellname,0))=0,"",INDEX(Well_Data_NK_Upcoming!$K$2:$K$996,MATCH(Rig_Schedule_View!B157,Well_Data_NK_Upcoming!Concatenated_Wellname,0)))</f>
        <v>NW</v>
      </c>
      <c r="E157" s="421" t="str">
        <f ca="1">IF(INDEX(Well_Data_NK_Upcoming!$J$2:$J$996,MATCH(Rig_Schedule_View!B157,Well_Data_NK_Upcoming!Concatenated_Wellname,0))=0,"",INDEX(Well_Data_NK_Upcoming!$J$2:$J$996,MATCH(Rig_Schedule_View!B157,Well_Data_NK_Upcoming!Concatenated_Wellname,0)))</f>
        <v>Prod</v>
      </c>
      <c r="F157" s="421" t="str">
        <f ca="1">IF(INDEX(Well_Data_NK_Upcoming!$L$2:$L$996,MATCH(Rig_Schedule_View!B157,Well_Data_NK_Upcoming!Concatenated_Wellname,0))=0,"",INDEX(Well_Data_NK_Upcoming!$L$2:$L$996,MATCH(Rig_Schedule_View!B157,Well_Data_NK_Upcoming!Concatenated_Wellname,0)))</f>
        <v>ML</v>
      </c>
      <c r="G157" s="421">
        <f ca="1">IF(INDEX(Well_Data_NK_Upcoming!$R$2:$R$996,MATCH(Rig_Schedule_View!B157,Well_Data_NK_Upcoming!Concatenated_Wellname,0))=0,"",INDEX(Well_Data_NK_Upcoming!$R$2:$R$996,MATCH(Rig_Schedule_View!B157,Well_Data_NK_Upcoming!Concatenated_Wellname,0)))</f>
        <v>150</v>
      </c>
      <c r="H157" s="74"/>
      <c r="I157" s="440">
        <f ca="1">RigScheduleTest!$L$14</f>
        <v>42258</v>
      </c>
      <c r="J157" s="440">
        <f ca="1">RigScheduleTest!$M$14</f>
        <v>42403</v>
      </c>
      <c r="K157" s="413"/>
      <c r="L157" s="546" t="s">
        <v>2221</v>
      </c>
      <c r="M157" s="544"/>
      <c r="N157" s="545"/>
      <c r="O157" s="545"/>
      <c r="P157" s="551"/>
    </row>
    <row r="158" spans="1:16" x14ac:dyDescent="0.25">
      <c r="A158" s="442" t="str">
        <f>RigScheduleTest!$B$14</f>
        <v>SP-186</v>
      </c>
      <c r="B158" s="441" t="str">
        <f ca="1">RigScheduleTest!$O$14</f>
        <v>SA9-SA-MA-Prod-NW-HZ</v>
      </c>
      <c r="C158" s="421" t="str">
        <f ca="1">IF(INDEX(Well_Data_NK_Upcoming!$G$2:$G$996,MATCH(Rig_Schedule_View!B158,Well_Data_NK_Upcoming!Concatenated_Wellname,0))=0,"",INDEX(Well_Data_NK_Upcoming!$G$2:$G$996,MATCH(Rig_Schedule_View!B158,Well_Data_NK_Upcoming!Concatenated_Wellname,0)))</f>
        <v>MA</v>
      </c>
      <c r="D158" s="421" t="str">
        <f ca="1">IF(INDEX(Well_Data_NK_Upcoming!$K$2:$K$996,MATCH(Rig_Schedule_View!B158,Well_Data_NK_Upcoming!Concatenated_Wellname,0))=0,"",INDEX(Well_Data_NK_Upcoming!$K$2:$K$996,MATCH(Rig_Schedule_View!B158,Well_Data_NK_Upcoming!Concatenated_Wellname,0)))</f>
        <v>NW</v>
      </c>
      <c r="E158" s="421" t="str">
        <f ca="1">IF(INDEX(Well_Data_NK_Upcoming!$J$2:$J$996,MATCH(Rig_Schedule_View!B158,Well_Data_NK_Upcoming!Concatenated_Wellname,0))=0,"",INDEX(Well_Data_NK_Upcoming!$J$2:$J$996,MATCH(Rig_Schedule_View!B158,Well_Data_NK_Upcoming!Concatenated_Wellname,0)))</f>
        <v>Prod</v>
      </c>
      <c r="F158" s="421" t="str">
        <f ca="1">IF(INDEX(Well_Data_NK_Upcoming!$L$2:$L$996,MATCH(Rig_Schedule_View!B158,Well_Data_NK_Upcoming!Concatenated_Wellname,0))=0,"",INDEX(Well_Data_NK_Upcoming!$L$2:$L$996,MATCH(Rig_Schedule_View!B158,Well_Data_NK_Upcoming!Concatenated_Wellname,0)))</f>
        <v>HZ</v>
      </c>
      <c r="G158" s="421">
        <f ca="1">IF(INDEX(Well_Data_NK_Upcoming!$R$2:$R$996,MATCH(Rig_Schedule_View!B158,Well_Data_NK_Upcoming!Concatenated_Wellname,0))=0,"",INDEX(Well_Data_NK_Upcoming!$R$2:$R$996,MATCH(Rig_Schedule_View!B158,Well_Data_NK_Upcoming!Concatenated_Wellname,0)))</f>
        <v>75</v>
      </c>
      <c r="H158" s="74"/>
      <c r="I158" s="440">
        <f ca="1">RigScheduleTest!$R$14</f>
        <v>42408</v>
      </c>
      <c r="J158" s="440">
        <f ca="1">RigScheduleTest!$S$14</f>
        <v>42478</v>
      </c>
      <c r="K158" s="413"/>
      <c r="L158" s="546"/>
      <c r="M158" s="544"/>
      <c r="N158" s="545"/>
      <c r="O158" s="545"/>
      <c r="P158" s="551"/>
    </row>
    <row r="159" spans="1:16" x14ac:dyDescent="0.25">
      <c r="A159" s="442" t="str">
        <f>RigScheduleTest!$B$14</f>
        <v>SP-186</v>
      </c>
      <c r="B159" s="442" t="str">
        <f ca="1">RigScheduleTest!$U$14</f>
        <v>SA21-SA-MA-Prod-NW-HZ</v>
      </c>
      <c r="C159" s="421" t="str">
        <f ca="1">IF(INDEX(Well_Data_NK_Upcoming!$G$2:$G$996,MATCH(Rig_Schedule_View!B159,Well_Data_NK_Upcoming!Concatenated_Wellname,0))=0,"",INDEX(Well_Data_NK_Upcoming!$G$2:$G$996,MATCH(Rig_Schedule_View!B159,Well_Data_NK_Upcoming!Concatenated_Wellname,0)))</f>
        <v>MA</v>
      </c>
      <c r="D159" s="421" t="str">
        <f ca="1">IF(INDEX(Well_Data_NK_Upcoming!$K$2:$K$996,MATCH(Rig_Schedule_View!B159,Well_Data_NK_Upcoming!Concatenated_Wellname,0))=0,"",INDEX(Well_Data_NK_Upcoming!$K$2:$K$996,MATCH(Rig_Schedule_View!B159,Well_Data_NK_Upcoming!Concatenated_Wellname,0)))</f>
        <v>NW</v>
      </c>
      <c r="E159" s="421" t="str">
        <f ca="1">IF(INDEX(Well_Data_NK_Upcoming!$J$2:$J$996,MATCH(Rig_Schedule_View!B159,Well_Data_NK_Upcoming!Concatenated_Wellname,0))=0,"",INDEX(Well_Data_NK_Upcoming!$J$2:$J$996,MATCH(Rig_Schedule_View!B159,Well_Data_NK_Upcoming!Concatenated_Wellname,0)))</f>
        <v>Prod</v>
      </c>
      <c r="F159" s="421" t="str">
        <f ca="1">IF(INDEX(Well_Data_NK_Upcoming!$L$2:$L$996,MATCH(Rig_Schedule_View!B159,Well_Data_NK_Upcoming!Concatenated_Wellname,0))=0,"",INDEX(Well_Data_NK_Upcoming!$L$2:$L$996,MATCH(Rig_Schedule_View!B159,Well_Data_NK_Upcoming!Concatenated_Wellname,0)))</f>
        <v>HZ</v>
      </c>
      <c r="G159" s="421">
        <f ca="1">IF(INDEX(Well_Data_NK_Upcoming!$R$2:$R$996,MATCH(Rig_Schedule_View!B159,Well_Data_NK_Upcoming!Concatenated_Wellname,0))=0,"",INDEX(Well_Data_NK_Upcoming!$R$2:$R$996,MATCH(Rig_Schedule_View!B159,Well_Data_NK_Upcoming!Concatenated_Wellname,0)))</f>
        <v>75</v>
      </c>
      <c r="H159" s="74"/>
      <c r="I159" s="443">
        <f ca="1">RigScheduleTest!$X$14</f>
        <v>42483</v>
      </c>
      <c r="J159" s="443">
        <f ca="1">RigScheduleTest!$Y$14</f>
        <v>42553</v>
      </c>
      <c r="K159" s="413"/>
      <c r="L159" s="546"/>
      <c r="M159" s="544"/>
      <c r="N159" s="545"/>
      <c r="O159" s="545"/>
      <c r="P159" s="551"/>
    </row>
    <row r="160" spans="1:16" x14ac:dyDescent="0.25">
      <c r="A160" s="442" t="str">
        <f>RigScheduleTest!$B$14</f>
        <v>SP-186</v>
      </c>
      <c r="B160" s="442" t="str">
        <f ca="1">RigScheduleTest!$AA$14</f>
        <v>SA40-SA-MA-Prod-NW-HZ</v>
      </c>
      <c r="C160" s="421" t="str">
        <f ca="1">IF(INDEX(Well_Data_NK_Upcoming!$G$2:$G$996,MATCH(Rig_Schedule_View!B160,Well_Data_NK_Upcoming!Concatenated_Wellname,0))=0,"",INDEX(Well_Data_NK_Upcoming!$G$2:$G$996,MATCH(Rig_Schedule_View!B160,Well_Data_NK_Upcoming!Concatenated_Wellname,0)))</f>
        <v>MA</v>
      </c>
      <c r="D160" s="421" t="str">
        <f ca="1">IF(INDEX(Well_Data_NK_Upcoming!$K$2:$K$996,MATCH(Rig_Schedule_View!B160,Well_Data_NK_Upcoming!Concatenated_Wellname,0))=0,"",INDEX(Well_Data_NK_Upcoming!$K$2:$K$996,MATCH(Rig_Schedule_View!B160,Well_Data_NK_Upcoming!Concatenated_Wellname,0)))</f>
        <v>NW</v>
      </c>
      <c r="E160" s="421" t="str">
        <f ca="1">IF(INDEX(Well_Data_NK_Upcoming!$J$2:$J$996,MATCH(Rig_Schedule_View!B160,Well_Data_NK_Upcoming!Concatenated_Wellname,0))=0,"",INDEX(Well_Data_NK_Upcoming!$J$2:$J$996,MATCH(Rig_Schedule_View!B160,Well_Data_NK_Upcoming!Concatenated_Wellname,0)))</f>
        <v>Prod</v>
      </c>
      <c r="F160" s="421" t="str">
        <f ca="1">IF(INDEX(Well_Data_NK_Upcoming!$L$2:$L$996,MATCH(Rig_Schedule_View!B160,Well_Data_NK_Upcoming!Concatenated_Wellname,0))=0,"",INDEX(Well_Data_NK_Upcoming!$L$2:$L$996,MATCH(Rig_Schedule_View!B160,Well_Data_NK_Upcoming!Concatenated_Wellname,0)))</f>
        <v>HZ</v>
      </c>
      <c r="G160" s="421">
        <f ca="1">IF(INDEX(Well_Data_NK_Upcoming!$R$2:$R$996,MATCH(Rig_Schedule_View!B160,Well_Data_NK_Upcoming!Concatenated_Wellname,0))=0,"",INDEX(Well_Data_NK_Upcoming!$R$2:$R$996,MATCH(Rig_Schedule_View!B160,Well_Data_NK_Upcoming!Concatenated_Wellname,0)))</f>
        <v>75</v>
      </c>
      <c r="H160" s="74"/>
      <c r="I160" s="443">
        <f ca="1">RigScheduleTest!$AD$14</f>
        <v>42558</v>
      </c>
      <c r="J160" s="443">
        <f ca="1">RigScheduleTest!$AE$14</f>
        <v>42628</v>
      </c>
      <c r="K160" s="413"/>
      <c r="L160" s="546"/>
      <c r="M160" s="544"/>
      <c r="N160" s="545"/>
      <c r="O160" s="545"/>
      <c r="P160" s="551"/>
    </row>
    <row r="161" spans="1:16" x14ac:dyDescent="0.25">
      <c r="A161" s="442" t="str">
        <f>RigScheduleTest!$B$14</f>
        <v>SP-186</v>
      </c>
      <c r="B161" s="442" t="str">
        <f ca="1">RigScheduleTest!$AG$14</f>
        <v>RA29-RA-MA-Inj-NW-HZ-SLB</v>
      </c>
      <c r="C161" s="421" t="str">
        <f ca="1">IF(INDEX(Well_Data_NK_Upcoming!$G$2:$G$996,MATCH(Rig_Schedule_View!B161,Well_Data_NK_Upcoming!Concatenated_Wellname,0))=0,"",INDEX(Well_Data_NK_Upcoming!$G$2:$G$996,MATCH(Rig_Schedule_View!B161,Well_Data_NK_Upcoming!Concatenated_Wellname,0)))</f>
        <v>MA</v>
      </c>
      <c r="D161" s="421" t="str">
        <f ca="1">IF(INDEX(Well_Data_NK_Upcoming!$K$2:$K$996,MATCH(Rig_Schedule_View!B161,Well_Data_NK_Upcoming!Concatenated_Wellname,0))=0,"",INDEX(Well_Data_NK_Upcoming!$K$2:$K$996,MATCH(Rig_Schedule_View!B161,Well_Data_NK_Upcoming!Concatenated_Wellname,0)))</f>
        <v>NW</v>
      </c>
      <c r="E161" s="421" t="str">
        <f ca="1">IF(INDEX(Well_Data_NK_Upcoming!$J$2:$J$996,MATCH(Rig_Schedule_View!B161,Well_Data_NK_Upcoming!Concatenated_Wellname,0))=0,"",INDEX(Well_Data_NK_Upcoming!$J$2:$J$996,MATCH(Rig_Schedule_View!B161,Well_Data_NK_Upcoming!Concatenated_Wellname,0)))</f>
        <v>Inj</v>
      </c>
      <c r="F161" s="421" t="str">
        <f ca="1">IF(INDEX(Well_Data_NK_Upcoming!$L$2:$L$996,MATCH(Rig_Schedule_View!B161,Well_Data_NK_Upcoming!Concatenated_Wellname,0))=0,"",INDEX(Well_Data_NK_Upcoming!$L$2:$L$996,MATCH(Rig_Schedule_View!B161,Well_Data_NK_Upcoming!Concatenated_Wellname,0)))</f>
        <v>HZ</v>
      </c>
      <c r="G161" s="421">
        <f ca="1">IF(INDEX(Well_Data_NK_Upcoming!$R$2:$R$996,MATCH(Rig_Schedule_View!B161,Well_Data_NK_Upcoming!Concatenated_Wellname,0))=0,"",INDEX(Well_Data_NK_Upcoming!$R$2:$R$996,MATCH(Rig_Schedule_View!B161,Well_Data_NK_Upcoming!Concatenated_Wellname,0)))</f>
        <v>68</v>
      </c>
      <c r="H161" s="74"/>
      <c r="I161" s="443">
        <f ca="1">RigScheduleTest!$AJ$14</f>
        <v>42633</v>
      </c>
      <c r="J161" s="443">
        <f ca="1">RigScheduleTest!$AK$14</f>
        <v>42696</v>
      </c>
      <c r="K161" s="413"/>
      <c r="L161" s="546"/>
      <c r="M161" s="544"/>
      <c r="N161" s="545"/>
      <c r="O161" s="545"/>
      <c r="P161" s="551"/>
    </row>
    <row r="162" spans="1:16" x14ac:dyDescent="0.25">
      <c r="A162" s="442" t="str">
        <f>RigScheduleTest!$B$14</f>
        <v>SP-186</v>
      </c>
      <c r="B162" s="442" t="str">
        <f ca="1">RigScheduleTest!$AM$14</f>
        <v>RA36-RA-MA-Prod-NW-HZ-SLB</v>
      </c>
      <c r="C162" s="421" t="str">
        <f ca="1">IF(INDEX(Well_Data_NK_Upcoming!$G$2:$G$996,MATCH(Rig_Schedule_View!B162,Well_Data_NK_Upcoming!Concatenated_Wellname,0))=0,"",INDEX(Well_Data_NK_Upcoming!$G$2:$G$996,MATCH(Rig_Schedule_View!B162,Well_Data_NK_Upcoming!Concatenated_Wellname,0)))</f>
        <v>MA</v>
      </c>
      <c r="D162" s="421" t="str">
        <f ca="1">IF(INDEX(Well_Data_NK_Upcoming!$K$2:$K$996,MATCH(Rig_Schedule_View!B162,Well_Data_NK_Upcoming!Concatenated_Wellname,0))=0,"",INDEX(Well_Data_NK_Upcoming!$K$2:$K$996,MATCH(Rig_Schedule_View!B162,Well_Data_NK_Upcoming!Concatenated_Wellname,0)))</f>
        <v>NW</v>
      </c>
      <c r="E162" s="421" t="str">
        <f ca="1">IF(INDEX(Well_Data_NK_Upcoming!$J$2:$J$996,MATCH(Rig_Schedule_View!B162,Well_Data_NK_Upcoming!Concatenated_Wellname,0))=0,"",INDEX(Well_Data_NK_Upcoming!$J$2:$J$996,MATCH(Rig_Schedule_View!B162,Well_Data_NK_Upcoming!Concatenated_Wellname,0)))</f>
        <v>Prod</v>
      </c>
      <c r="F162" s="421" t="str">
        <f ca="1">IF(INDEX(Well_Data_NK_Upcoming!$L$2:$L$996,MATCH(Rig_Schedule_View!B162,Well_Data_NK_Upcoming!Concatenated_Wellname,0))=0,"",INDEX(Well_Data_NK_Upcoming!$L$2:$L$996,MATCH(Rig_Schedule_View!B162,Well_Data_NK_Upcoming!Concatenated_Wellname,0)))</f>
        <v>HZ</v>
      </c>
      <c r="G162" s="421">
        <f ca="1">IF(INDEX(Well_Data_NK_Upcoming!$R$2:$R$996,MATCH(Rig_Schedule_View!B162,Well_Data_NK_Upcoming!Concatenated_Wellname,0))=0,"",INDEX(Well_Data_NK_Upcoming!$R$2:$R$996,MATCH(Rig_Schedule_View!B162,Well_Data_NK_Upcoming!Concatenated_Wellname,0)))</f>
        <v>75</v>
      </c>
      <c r="H162" s="74"/>
      <c r="I162" s="443">
        <f ca="1">RigScheduleTest!$AP$14</f>
        <v>42701</v>
      </c>
      <c r="J162" s="443">
        <f ca="1">RigScheduleTest!$AQ$14</f>
        <v>42771</v>
      </c>
      <c r="K162" s="413"/>
      <c r="L162" s="546"/>
      <c r="M162" s="544"/>
      <c r="N162" s="545"/>
      <c r="O162" s="545"/>
      <c r="P162" s="551"/>
    </row>
    <row r="163" spans="1:16" x14ac:dyDescent="0.25">
      <c r="A163" s="442" t="str">
        <f>RigScheduleTest!$B$14</f>
        <v>SP-186</v>
      </c>
      <c r="B163" s="442" t="str">
        <f ca="1">RigScheduleTest!$AS$14</f>
        <v>SA59-SA-MA-Inj-ST-SL</v>
      </c>
      <c r="C163" s="421" t="str">
        <f ca="1">IF(INDEX(Well_Data_NK_Upcoming!$G$2:$G$996,MATCH(Rig_Schedule_View!B163,Well_Data_NK_Upcoming!Concatenated_Wellname,0))=0,"",INDEX(Well_Data_NK_Upcoming!$G$2:$G$996,MATCH(Rig_Schedule_View!B163,Well_Data_NK_Upcoming!Concatenated_Wellname,0)))</f>
        <v>MA</v>
      </c>
      <c r="D163" s="421" t="str">
        <f ca="1">IF(INDEX(Well_Data_NK_Upcoming!$K$2:$K$996,MATCH(Rig_Schedule_View!B163,Well_Data_NK_Upcoming!Concatenated_Wellname,0))=0,"",INDEX(Well_Data_NK_Upcoming!$K$2:$K$996,MATCH(Rig_Schedule_View!B163,Well_Data_NK_Upcoming!Concatenated_Wellname,0)))</f>
        <v>ST</v>
      </c>
      <c r="E163" s="421" t="str">
        <f ca="1">IF(INDEX(Well_Data_NK_Upcoming!$J$2:$J$996,MATCH(Rig_Schedule_View!B163,Well_Data_NK_Upcoming!Concatenated_Wellname,0))=0,"",INDEX(Well_Data_NK_Upcoming!$J$2:$J$996,MATCH(Rig_Schedule_View!B163,Well_Data_NK_Upcoming!Concatenated_Wellname,0)))</f>
        <v>Inj</v>
      </c>
      <c r="F163" s="421" t="str">
        <f ca="1">IF(INDEX(Well_Data_NK_Upcoming!$L$2:$L$996,MATCH(Rig_Schedule_View!B163,Well_Data_NK_Upcoming!Concatenated_Wellname,0))=0,"",INDEX(Well_Data_NK_Upcoming!$L$2:$L$996,MATCH(Rig_Schedule_View!B163,Well_Data_NK_Upcoming!Concatenated_Wellname,0)))</f>
        <v>SL</v>
      </c>
      <c r="G163" s="421">
        <f ca="1">IF(INDEX(Well_Data_NK_Upcoming!$R$2:$R$996,MATCH(Rig_Schedule_View!B163,Well_Data_NK_Upcoming!Concatenated_Wellname,0))=0,"",INDEX(Well_Data_NK_Upcoming!$R$2:$R$996,MATCH(Rig_Schedule_View!B163,Well_Data_NK_Upcoming!Concatenated_Wellname,0)))</f>
        <v>61</v>
      </c>
      <c r="H163" s="74"/>
      <c r="I163" s="443">
        <f ca="1">RigScheduleTest!$AV$14</f>
        <v>42776</v>
      </c>
      <c r="J163" s="443">
        <f ca="1">RigScheduleTest!$AW$14</f>
        <v>42832</v>
      </c>
      <c r="K163" s="413"/>
      <c r="L163" s="546"/>
      <c r="M163" s="544"/>
      <c r="N163" s="545"/>
      <c r="O163" s="545"/>
      <c r="P163" s="551"/>
    </row>
    <row r="164" spans="1:16" x14ac:dyDescent="0.25">
      <c r="A164" s="442" t="str">
        <f>RigScheduleTest!$B$14</f>
        <v>SP-186</v>
      </c>
      <c r="B164" s="442" t="str">
        <f ca="1">RigScheduleTest!$AY$14</f>
        <v/>
      </c>
      <c r="C164" s="421" t="str">
        <f ca="1">IF(INDEX(Well_Data_NK_Upcoming!$G$2:$G$996,MATCH(Rig_Schedule_View!B164,Well_Data_NK_Upcoming!Concatenated_Wellname,0))=0,"",INDEX(Well_Data_NK_Upcoming!$G$2:$G$996,MATCH(Rig_Schedule_View!B164,Well_Data_NK_Upcoming!Concatenated_Wellname,0)))</f>
        <v/>
      </c>
      <c r="D164" s="421" t="str">
        <f ca="1">IF(INDEX(Well_Data_NK_Upcoming!$K$2:$K$996,MATCH(Rig_Schedule_View!B164,Well_Data_NK_Upcoming!Concatenated_Wellname,0))=0,"",INDEX(Well_Data_NK_Upcoming!$K$2:$K$996,MATCH(Rig_Schedule_View!B164,Well_Data_NK_Upcoming!Concatenated_Wellname,0)))</f>
        <v/>
      </c>
      <c r="E164" s="421" t="str">
        <f ca="1">IF(INDEX(Well_Data_NK_Upcoming!$J$2:$J$996,MATCH(Rig_Schedule_View!B164,Well_Data_NK_Upcoming!Concatenated_Wellname,0))=0,"",INDEX(Well_Data_NK_Upcoming!$J$2:$J$996,MATCH(Rig_Schedule_View!B164,Well_Data_NK_Upcoming!Concatenated_Wellname,0)))</f>
        <v/>
      </c>
      <c r="F164" s="421" t="str">
        <f ca="1">IF(INDEX(Well_Data_NK_Upcoming!$L$2:$L$996,MATCH(Rig_Schedule_View!B164,Well_Data_NK_Upcoming!Concatenated_Wellname,0))=0,"",INDEX(Well_Data_NK_Upcoming!$L$2:$L$996,MATCH(Rig_Schedule_View!B164,Well_Data_NK_Upcoming!Concatenated_Wellname,0)))</f>
        <v/>
      </c>
      <c r="G164" s="421" t="str">
        <f ca="1">IF(INDEX(Well_Data_NK_Upcoming!$R$2:$R$996,MATCH(Rig_Schedule_View!B164,Well_Data_NK_Upcoming!Concatenated_Wellname,0))=0,"",INDEX(Well_Data_NK_Upcoming!$R$2:$R$996,MATCH(Rig_Schedule_View!B164,Well_Data_NK_Upcoming!Concatenated_Wellname,0)))</f>
        <v/>
      </c>
      <c r="H164" s="74"/>
      <c r="I164" s="443" t="str">
        <f ca="1">RigScheduleTest!$BB$14</f>
        <v/>
      </c>
      <c r="J164" s="443" t="str">
        <f ca="1">RigScheduleTest!$BC$14</f>
        <v/>
      </c>
      <c r="K164" s="413"/>
      <c r="L164" s="546"/>
      <c r="M164" s="544"/>
      <c r="N164" s="545"/>
      <c r="O164" s="545"/>
      <c r="P164" s="551"/>
    </row>
    <row r="165" spans="1:16" x14ac:dyDescent="0.25">
      <c r="A165" s="442" t="str">
        <f>RigScheduleTest!$B$14</f>
        <v>SP-186</v>
      </c>
      <c r="B165" s="442" t="str">
        <f ca="1">RigScheduleTest!$BE$14</f>
        <v/>
      </c>
      <c r="C165" s="421" t="str">
        <f ca="1">IF(INDEX(Well_Data_NK_Upcoming!$G$2:$G$996,MATCH(Rig_Schedule_View!B165,Well_Data_NK_Upcoming!Concatenated_Wellname,0))=0,"",INDEX(Well_Data_NK_Upcoming!$G$2:$G$996,MATCH(Rig_Schedule_View!B165,Well_Data_NK_Upcoming!Concatenated_Wellname,0)))</f>
        <v/>
      </c>
      <c r="D165" s="421" t="str">
        <f ca="1">IF(INDEX(Well_Data_NK_Upcoming!$K$2:$K$996,MATCH(Rig_Schedule_View!B165,Well_Data_NK_Upcoming!Concatenated_Wellname,0))=0,"",INDEX(Well_Data_NK_Upcoming!$K$2:$K$996,MATCH(Rig_Schedule_View!B165,Well_Data_NK_Upcoming!Concatenated_Wellname,0)))</f>
        <v/>
      </c>
      <c r="E165" s="421" t="str">
        <f ca="1">IF(INDEX(Well_Data_NK_Upcoming!$J$2:$J$996,MATCH(Rig_Schedule_View!B165,Well_Data_NK_Upcoming!Concatenated_Wellname,0))=0,"",INDEX(Well_Data_NK_Upcoming!$J$2:$J$996,MATCH(Rig_Schedule_View!B165,Well_Data_NK_Upcoming!Concatenated_Wellname,0)))</f>
        <v/>
      </c>
      <c r="F165" s="421" t="str">
        <f ca="1">IF(INDEX(Well_Data_NK_Upcoming!$L$2:$L$996,MATCH(Rig_Schedule_View!B165,Well_Data_NK_Upcoming!Concatenated_Wellname,0))=0,"",INDEX(Well_Data_NK_Upcoming!$L$2:$L$996,MATCH(Rig_Schedule_View!B165,Well_Data_NK_Upcoming!Concatenated_Wellname,0)))</f>
        <v/>
      </c>
      <c r="G165" s="421" t="str">
        <f ca="1">IF(INDEX(Well_Data_NK_Upcoming!$R$2:$R$996,MATCH(Rig_Schedule_View!B165,Well_Data_NK_Upcoming!Concatenated_Wellname,0))=0,"",INDEX(Well_Data_NK_Upcoming!$R$2:$R$996,MATCH(Rig_Schedule_View!B165,Well_Data_NK_Upcoming!Concatenated_Wellname,0)))</f>
        <v/>
      </c>
      <c r="H165" s="74"/>
      <c r="I165" s="443" t="str">
        <f ca="1">RigScheduleTest!$BH$14</f>
        <v/>
      </c>
      <c r="J165" s="443" t="str">
        <f ca="1">RigScheduleTest!$BI$14</f>
        <v/>
      </c>
      <c r="K165" s="413"/>
      <c r="L165" s="546"/>
      <c r="M165" s="544"/>
      <c r="N165" s="545"/>
      <c r="O165" s="545"/>
      <c r="P165" s="551"/>
    </row>
    <row r="166" spans="1:16" x14ac:dyDescent="0.25">
      <c r="A166" s="442" t="str">
        <f>RigScheduleTest!$B$14</f>
        <v>SP-186</v>
      </c>
      <c r="B166" s="442" t="str">
        <f ca="1">RigScheduleTest!$BK$14</f>
        <v/>
      </c>
      <c r="C166" s="421" t="str">
        <f ca="1">IF(INDEX(Well_Data_NK_Upcoming!$G$2:$G$996,MATCH(Rig_Schedule_View!B166,Well_Data_NK_Upcoming!Concatenated_Wellname,0))=0,"",INDEX(Well_Data_NK_Upcoming!$G$2:$G$996,MATCH(Rig_Schedule_View!B166,Well_Data_NK_Upcoming!Concatenated_Wellname,0)))</f>
        <v/>
      </c>
      <c r="D166" s="421" t="str">
        <f ca="1">IF(INDEX(Well_Data_NK_Upcoming!$K$2:$K$996,MATCH(Rig_Schedule_View!B166,Well_Data_NK_Upcoming!Concatenated_Wellname,0))=0,"",INDEX(Well_Data_NK_Upcoming!$K$2:$K$996,MATCH(Rig_Schedule_View!B166,Well_Data_NK_Upcoming!Concatenated_Wellname,0)))</f>
        <v/>
      </c>
      <c r="E166" s="421" t="str">
        <f ca="1">IF(INDEX(Well_Data_NK_Upcoming!$J$2:$J$996,MATCH(Rig_Schedule_View!B166,Well_Data_NK_Upcoming!Concatenated_Wellname,0))=0,"",INDEX(Well_Data_NK_Upcoming!$J$2:$J$996,MATCH(Rig_Schedule_View!B166,Well_Data_NK_Upcoming!Concatenated_Wellname,0)))</f>
        <v/>
      </c>
      <c r="F166" s="421" t="str">
        <f ca="1">IF(INDEX(Well_Data_NK_Upcoming!$L$2:$L$996,MATCH(Rig_Schedule_View!B166,Well_Data_NK_Upcoming!Concatenated_Wellname,0))=0,"",INDEX(Well_Data_NK_Upcoming!$L$2:$L$996,MATCH(Rig_Schedule_View!B166,Well_Data_NK_Upcoming!Concatenated_Wellname,0)))</f>
        <v/>
      </c>
      <c r="G166" s="421" t="str">
        <f ca="1">IF(INDEX(Well_Data_NK_Upcoming!$R$2:$R$996,MATCH(Rig_Schedule_View!B166,Well_Data_NK_Upcoming!Concatenated_Wellname,0))=0,"",INDEX(Well_Data_NK_Upcoming!$R$2:$R$996,MATCH(Rig_Schedule_View!B166,Well_Data_NK_Upcoming!Concatenated_Wellname,0)))</f>
        <v/>
      </c>
      <c r="H166" s="74"/>
      <c r="I166" s="443" t="str">
        <f ca="1">RigScheduleTest!$BN$14</f>
        <v/>
      </c>
      <c r="J166" s="443" t="str">
        <f ca="1">RigScheduleTest!$BO$14</f>
        <v/>
      </c>
      <c r="K166" s="413"/>
      <c r="L166" s="546"/>
      <c r="M166" s="544"/>
      <c r="N166" s="545"/>
      <c r="O166" s="545"/>
      <c r="P166" s="551"/>
    </row>
    <row r="167" spans="1:16" x14ac:dyDescent="0.25">
      <c r="A167" s="437" t="str">
        <f>RigScheduleTest!$B$1</f>
        <v>RIG</v>
      </c>
      <c r="B167" s="437" t="str">
        <f>$K$1</f>
        <v>Development Drilling</v>
      </c>
      <c r="C167" s="437" t="s">
        <v>1831</v>
      </c>
      <c r="D167" s="437" t="s">
        <v>867</v>
      </c>
      <c r="E167" s="437" t="s">
        <v>8</v>
      </c>
      <c r="F167" s="437" t="s">
        <v>2</v>
      </c>
      <c r="G167" s="437" t="s">
        <v>1513</v>
      </c>
      <c r="H167" s="438" t="str">
        <f>$K$3</f>
        <v>Rig Deployment Meeting</v>
      </c>
      <c r="I167" s="439" t="str">
        <f>$K$5</f>
        <v>Start</v>
      </c>
      <c r="J167" s="439" t="str">
        <f>$K$6</f>
        <v>End</v>
      </c>
      <c r="K167" s="444" t="s">
        <v>1068</v>
      </c>
      <c r="L167" s="444" t="s">
        <v>1577</v>
      </c>
      <c r="M167" s="496" t="s">
        <v>1934</v>
      </c>
      <c r="N167" s="504" t="s">
        <v>1940</v>
      </c>
      <c r="O167" s="504" t="s">
        <v>1941</v>
      </c>
      <c r="P167" s="502"/>
    </row>
    <row r="168" spans="1:16" x14ac:dyDescent="0.25">
      <c r="A168" s="442" t="str">
        <f>RigScheduleTest!$B$15</f>
        <v>SP-266</v>
      </c>
      <c r="B168" s="421" t="str">
        <f ca="1">RigScheduleTest!$D$15</f>
        <v>RA-0564-RA-UB-Prod-NW-SL-WFD</v>
      </c>
      <c r="C168" s="421" t="str">
        <f ca="1">IF(INDEX(Well_Data_NK_Upcoming!$G$2:$G$996,MATCH(Rig_Schedule_View!B168,Well_Data_NK_Upcoming!Concatenated_Wellname,0))=0,"",INDEX(Well_Data_NK_Upcoming!$G$2:$G$996,MATCH(Rig_Schedule_View!B168,Well_Data_NK_Upcoming!Concatenated_Wellname,0)))</f>
        <v>UB</v>
      </c>
      <c r="D168" s="421" t="str">
        <f ca="1">IF(INDEX(Well_Data_NK_Upcoming!$K$2:$K$996,MATCH(Rig_Schedule_View!B168,Well_Data_NK_Upcoming!Concatenated_Wellname,0))=0,"",INDEX(Well_Data_NK_Upcoming!$K$2:$K$996,MATCH(Rig_Schedule_View!B168,Well_Data_NK_Upcoming!Concatenated_Wellname,0)))</f>
        <v>NW</v>
      </c>
      <c r="E168" s="421" t="str">
        <f ca="1">IF(INDEX(Well_Data_NK_Upcoming!$J$2:$J$996,MATCH(Rig_Schedule_View!B168,Well_Data_NK_Upcoming!Concatenated_Wellname,0))=0,"",INDEX(Well_Data_NK_Upcoming!$J$2:$J$996,MATCH(Rig_Schedule_View!B168,Well_Data_NK_Upcoming!Concatenated_Wellname,0)))</f>
        <v>Prod</v>
      </c>
      <c r="F168" s="421" t="str">
        <f ca="1">IF(INDEX(Well_Data_NK_Upcoming!$L$2:$L$996,MATCH(Rig_Schedule_View!B168,Well_Data_NK_Upcoming!Concatenated_Wellname,0))=0,"",INDEX(Well_Data_NK_Upcoming!$L$2:$L$996,MATCH(Rig_Schedule_View!B168,Well_Data_NK_Upcoming!Concatenated_Wellname,0)))</f>
        <v>SL</v>
      </c>
      <c r="G168" s="421">
        <f ca="1">IF(INDEX(Well_Data_NK_Upcoming!$R$2:$R$996,MATCH(Rig_Schedule_View!B168,Well_Data_NK_Upcoming!Concatenated_Wellname,0))=0,"",INDEX(Well_Data_NK_Upcoming!$R$2:$R$996,MATCH(Rig_Schedule_View!B168,Well_Data_NK_Upcoming!Concatenated_Wellname,0)))</f>
        <v>75</v>
      </c>
      <c r="H168" s="74">
        <f>RigScheduleTest!$F$15</f>
        <v>42233</v>
      </c>
      <c r="I168" s="459">
        <f ca="1">IF(INDEX(Well_Data_NK_Upcoming!$O$2:$O$996,MATCH(Rig_Schedule_View!B168,Well_Data_NK_Upcoming!Concatenated_Wellname,0))=0,"",INDEX(Well_Data_NK_Upcoming!$O$2:$O$996,MATCH(Rig_Schedule_View!B168,Well_Data_NK_Upcoming!Concatenated_Wellname,0)))</f>
        <v>42127.625</v>
      </c>
      <c r="J168" s="446">
        <f ca="1">RigScheduleTest!$H$15</f>
        <v>42243</v>
      </c>
      <c r="K168" s="493" t="s">
        <v>1917</v>
      </c>
      <c r="L168" s="543"/>
      <c r="M168" s="544">
        <v>10</v>
      </c>
      <c r="N168" s="545"/>
      <c r="O168" s="545"/>
      <c r="P168" s="551"/>
    </row>
    <row r="169" spans="1:16" x14ac:dyDescent="0.25">
      <c r="A169" s="442" t="str">
        <f>RigScheduleTest!$B$15</f>
        <v>SP-266</v>
      </c>
      <c r="B169" s="441" t="str">
        <f ca="1">RigScheduleTest!$I$15</f>
        <v>RA-0579-RA-LB-Prod-NW-SL-Sperry</v>
      </c>
      <c r="C169" s="421" t="str">
        <f ca="1">IF(INDEX(Well_Data_NK_Upcoming!$G$2:$G$996,MATCH(Rig_Schedule_View!B169,Well_Data_NK_Upcoming!Concatenated_Wellname,0))=0,"",INDEX(Well_Data_NK_Upcoming!$G$2:$G$996,MATCH(Rig_Schedule_View!B169,Well_Data_NK_Upcoming!Concatenated_Wellname,0)))</f>
        <v>LB</v>
      </c>
      <c r="D169" s="421" t="str">
        <f ca="1">IF(INDEX(Well_Data_NK_Upcoming!$K$2:$K$996,MATCH(Rig_Schedule_View!B169,Well_Data_NK_Upcoming!Concatenated_Wellname,0))=0,"",INDEX(Well_Data_NK_Upcoming!$K$2:$K$996,MATCH(Rig_Schedule_View!B169,Well_Data_NK_Upcoming!Concatenated_Wellname,0)))</f>
        <v>NW</v>
      </c>
      <c r="E169" s="421" t="str">
        <f ca="1">IF(INDEX(Well_Data_NK_Upcoming!$J$2:$J$996,MATCH(Rig_Schedule_View!B169,Well_Data_NK_Upcoming!Concatenated_Wellname,0))=0,"",INDEX(Well_Data_NK_Upcoming!$J$2:$J$996,MATCH(Rig_Schedule_View!B169,Well_Data_NK_Upcoming!Concatenated_Wellname,0)))</f>
        <v>Prod</v>
      </c>
      <c r="F169" s="421" t="str">
        <f ca="1">IF(INDEX(Well_Data_NK_Upcoming!$L$2:$L$996,MATCH(Rig_Schedule_View!B169,Well_Data_NK_Upcoming!Concatenated_Wellname,0))=0,"",INDEX(Well_Data_NK_Upcoming!$L$2:$L$996,MATCH(Rig_Schedule_View!B169,Well_Data_NK_Upcoming!Concatenated_Wellname,0)))</f>
        <v>SL</v>
      </c>
      <c r="G169" s="421">
        <f ca="1">IF(INDEX(Well_Data_NK_Upcoming!$R$2:$R$996,MATCH(Rig_Schedule_View!B169,Well_Data_NK_Upcoming!Concatenated_Wellname,0))=0,"",INDEX(Well_Data_NK_Upcoming!$R$2:$R$996,MATCH(Rig_Schedule_View!B169,Well_Data_NK_Upcoming!Concatenated_Wellname,0)))</f>
        <v>75</v>
      </c>
      <c r="H169" s="74"/>
      <c r="I169" s="440">
        <f ca="1">RigScheduleTest!$L$15</f>
        <v>42248</v>
      </c>
      <c r="J169" s="440">
        <f ca="1">RigScheduleTest!$M$15</f>
        <v>42318</v>
      </c>
      <c r="K169" s="413"/>
      <c r="L169" s="546" t="s">
        <v>2222</v>
      </c>
      <c r="M169" s="544"/>
      <c r="N169" s="545"/>
      <c r="O169" s="545"/>
      <c r="P169" s="551"/>
    </row>
    <row r="170" spans="1:16" x14ac:dyDescent="0.25">
      <c r="A170" s="442" t="str">
        <f>RigScheduleTest!$B$15</f>
        <v>SP-266</v>
      </c>
      <c r="B170" s="441" t="str">
        <f ca="1">RigScheduleTest!$O$15</f>
        <v>SA-0601-SA-MA-Prod-NW-HZ-SLB</v>
      </c>
      <c r="C170" s="421" t="str">
        <f ca="1">IF(INDEX(Well_Data_NK_Upcoming!$G$2:$G$996,MATCH(Rig_Schedule_View!B170,Well_Data_NK_Upcoming!Concatenated_Wellname,0))=0,"",INDEX(Well_Data_NK_Upcoming!$G$2:$G$996,MATCH(Rig_Schedule_View!B170,Well_Data_NK_Upcoming!Concatenated_Wellname,0)))</f>
        <v>MA</v>
      </c>
      <c r="D170" s="421" t="str">
        <f ca="1">IF(INDEX(Well_Data_NK_Upcoming!$K$2:$K$996,MATCH(Rig_Schedule_View!B170,Well_Data_NK_Upcoming!Concatenated_Wellname,0))=0,"",INDEX(Well_Data_NK_Upcoming!$K$2:$K$996,MATCH(Rig_Schedule_View!B170,Well_Data_NK_Upcoming!Concatenated_Wellname,0)))</f>
        <v>NW</v>
      </c>
      <c r="E170" s="421" t="str">
        <f ca="1">IF(INDEX(Well_Data_NK_Upcoming!$J$2:$J$996,MATCH(Rig_Schedule_View!B170,Well_Data_NK_Upcoming!Concatenated_Wellname,0))=0,"",INDEX(Well_Data_NK_Upcoming!$J$2:$J$996,MATCH(Rig_Schedule_View!B170,Well_Data_NK_Upcoming!Concatenated_Wellname,0)))</f>
        <v>Prod</v>
      </c>
      <c r="F170" s="421" t="str">
        <f ca="1">IF(INDEX(Well_Data_NK_Upcoming!$L$2:$L$996,MATCH(Rig_Schedule_View!B170,Well_Data_NK_Upcoming!Concatenated_Wellname,0))=0,"",INDEX(Well_Data_NK_Upcoming!$L$2:$L$996,MATCH(Rig_Schedule_View!B170,Well_Data_NK_Upcoming!Concatenated_Wellname,0)))</f>
        <v>HZ</v>
      </c>
      <c r="G170" s="421">
        <f ca="1">IF(INDEX(Well_Data_NK_Upcoming!$R$2:$R$996,MATCH(Rig_Schedule_View!B170,Well_Data_NK_Upcoming!Concatenated_Wellname,0))=0,"",INDEX(Well_Data_NK_Upcoming!$R$2:$R$996,MATCH(Rig_Schedule_View!B170,Well_Data_NK_Upcoming!Concatenated_Wellname,0)))</f>
        <v>75</v>
      </c>
      <c r="H170" s="74"/>
      <c r="I170" s="440">
        <f ca="1">RigScheduleTest!$R$15</f>
        <v>42323</v>
      </c>
      <c r="J170" s="440">
        <f ca="1">RigScheduleTest!$S$15</f>
        <v>42393</v>
      </c>
      <c r="K170" s="413"/>
      <c r="L170" s="546" t="s">
        <v>1987</v>
      </c>
      <c r="M170" s="544"/>
      <c r="N170" s="545" t="s">
        <v>2223</v>
      </c>
      <c r="O170" s="545"/>
      <c r="P170" s="551"/>
    </row>
    <row r="171" spans="1:16" x14ac:dyDescent="0.25">
      <c r="A171" s="442" t="str">
        <f>RigScheduleTest!$B$15</f>
        <v>SP-266</v>
      </c>
      <c r="B171" s="442" t="str">
        <f ca="1">RigScheduleTest!$U$15</f>
        <v>SA-0590-SA-LB-Prod-NW-SL-WFD</v>
      </c>
      <c r="C171" s="421" t="str">
        <f ca="1">IF(INDEX(Well_Data_NK_Upcoming!$G$2:$G$996,MATCH(Rig_Schedule_View!B171,Well_Data_NK_Upcoming!Concatenated_Wellname,0))=0,"",INDEX(Well_Data_NK_Upcoming!$G$2:$G$996,MATCH(Rig_Schedule_View!B171,Well_Data_NK_Upcoming!Concatenated_Wellname,0)))</f>
        <v>LB</v>
      </c>
      <c r="D171" s="421" t="str">
        <f ca="1">IF(INDEX(Well_Data_NK_Upcoming!$K$2:$K$996,MATCH(Rig_Schedule_View!B171,Well_Data_NK_Upcoming!Concatenated_Wellname,0))=0,"",INDEX(Well_Data_NK_Upcoming!$K$2:$K$996,MATCH(Rig_Schedule_View!B171,Well_Data_NK_Upcoming!Concatenated_Wellname,0)))</f>
        <v>NW</v>
      </c>
      <c r="E171" s="421" t="str">
        <f ca="1">IF(INDEX(Well_Data_NK_Upcoming!$J$2:$J$996,MATCH(Rig_Schedule_View!B171,Well_Data_NK_Upcoming!Concatenated_Wellname,0))=0,"",INDEX(Well_Data_NK_Upcoming!$J$2:$J$996,MATCH(Rig_Schedule_View!B171,Well_Data_NK_Upcoming!Concatenated_Wellname,0)))</f>
        <v>Prod</v>
      </c>
      <c r="F171" s="421" t="str">
        <f ca="1">IF(INDEX(Well_Data_NK_Upcoming!$L$2:$L$996,MATCH(Rig_Schedule_View!B171,Well_Data_NK_Upcoming!Concatenated_Wellname,0))=0,"",INDEX(Well_Data_NK_Upcoming!$L$2:$L$996,MATCH(Rig_Schedule_View!B171,Well_Data_NK_Upcoming!Concatenated_Wellname,0)))</f>
        <v>SL</v>
      </c>
      <c r="G171" s="421">
        <f ca="1">IF(INDEX(Well_Data_NK_Upcoming!$R$2:$R$996,MATCH(Rig_Schedule_View!B171,Well_Data_NK_Upcoming!Concatenated_Wellname,0))=0,"",INDEX(Well_Data_NK_Upcoming!$R$2:$R$996,MATCH(Rig_Schedule_View!B171,Well_Data_NK_Upcoming!Concatenated_Wellname,0)))</f>
        <v>75</v>
      </c>
      <c r="H171" s="74"/>
      <c r="I171" s="443">
        <f ca="1">RigScheduleTest!$X$15</f>
        <v>42398</v>
      </c>
      <c r="J171" s="443">
        <f ca="1">RigScheduleTest!$Y$15</f>
        <v>42468</v>
      </c>
      <c r="K171" s="413"/>
      <c r="L171" s="546"/>
      <c r="M171" s="544"/>
      <c r="N171" s="545"/>
      <c r="O171" s="545"/>
      <c r="P171" s="551"/>
    </row>
    <row r="172" spans="1:16" x14ac:dyDescent="0.25">
      <c r="A172" s="442" t="str">
        <f>RigScheduleTest!$B$15</f>
        <v>SP-266</v>
      </c>
      <c r="B172" s="442" t="str">
        <f ca="1">RigScheduleTest!$AA$15</f>
        <v>RA11-RA-MA-Prod-NW-HZ-SLB</v>
      </c>
      <c r="C172" s="421" t="str">
        <f ca="1">IF(INDEX(Well_Data_NK_Upcoming!$G$2:$G$996,MATCH(Rig_Schedule_View!B172,Well_Data_NK_Upcoming!Concatenated_Wellname,0))=0,"",INDEX(Well_Data_NK_Upcoming!$G$2:$G$996,MATCH(Rig_Schedule_View!B172,Well_Data_NK_Upcoming!Concatenated_Wellname,0)))</f>
        <v>MA</v>
      </c>
      <c r="D172" s="421" t="str">
        <f ca="1">IF(INDEX(Well_Data_NK_Upcoming!$K$2:$K$996,MATCH(Rig_Schedule_View!B172,Well_Data_NK_Upcoming!Concatenated_Wellname,0))=0,"",INDEX(Well_Data_NK_Upcoming!$K$2:$K$996,MATCH(Rig_Schedule_View!B172,Well_Data_NK_Upcoming!Concatenated_Wellname,0)))</f>
        <v>NW</v>
      </c>
      <c r="E172" s="421" t="str">
        <f ca="1">IF(INDEX(Well_Data_NK_Upcoming!$J$2:$J$996,MATCH(Rig_Schedule_View!B172,Well_Data_NK_Upcoming!Concatenated_Wellname,0))=0,"",INDEX(Well_Data_NK_Upcoming!$J$2:$J$996,MATCH(Rig_Schedule_View!B172,Well_Data_NK_Upcoming!Concatenated_Wellname,0)))</f>
        <v>Prod</v>
      </c>
      <c r="F172" s="421" t="str">
        <f ca="1">IF(INDEX(Well_Data_NK_Upcoming!$L$2:$L$996,MATCH(Rig_Schedule_View!B172,Well_Data_NK_Upcoming!Concatenated_Wellname,0))=0,"",INDEX(Well_Data_NK_Upcoming!$L$2:$L$996,MATCH(Rig_Schedule_View!B172,Well_Data_NK_Upcoming!Concatenated_Wellname,0)))</f>
        <v>HZ</v>
      </c>
      <c r="G172" s="421">
        <f ca="1">IF(INDEX(Well_Data_NK_Upcoming!$R$2:$R$996,MATCH(Rig_Schedule_View!B172,Well_Data_NK_Upcoming!Concatenated_Wellname,0))=0,"",INDEX(Well_Data_NK_Upcoming!$R$2:$R$996,MATCH(Rig_Schedule_View!B172,Well_Data_NK_Upcoming!Concatenated_Wellname,0)))</f>
        <v>75</v>
      </c>
      <c r="H172" s="74"/>
      <c r="I172" s="443">
        <f ca="1">RigScheduleTest!$AD$15</f>
        <v>42473</v>
      </c>
      <c r="J172" s="443">
        <f ca="1">RigScheduleTest!$AE$15</f>
        <v>42543</v>
      </c>
      <c r="K172" s="413"/>
      <c r="L172" s="546"/>
      <c r="M172" s="544"/>
      <c r="N172" s="545"/>
      <c r="O172" s="545"/>
      <c r="P172" s="551"/>
    </row>
    <row r="173" spans="1:16" x14ac:dyDescent="0.25">
      <c r="A173" s="442" t="str">
        <f>RigScheduleTest!$B$15</f>
        <v>SP-266</v>
      </c>
      <c r="B173" s="442" t="str">
        <f ca="1">RigScheduleTest!$AG$15</f>
        <v>SA22-SA-MA-Prod-NW-HZ</v>
      </c>
      <c r="C173" s="421" t="str">
        <f ca="1">IF(INDEX(Well_Data_NK_Upcoming!$G$2:$G$996,MATCH(Rig_Schedule_View!B173,Well_Data_NK_Upcoming!Concatenated_Wellname,0))=0,"",INDEX(Well_Data_NK_Upcoming!$G$2:$G$996,MATCH(Rig_Schedule_View!B173,Well_Data_NK_Upcoming!Concatenated_Wellname,0)))</f>
        <v>MA</v>
      </c>
      <c r="D173" s="421" t="str">
        <f ca="1">IF(INDEX(Well_Data_NK_Upcoming!$K$2:$K$996,MATCH(Rig_Schedule_View!B173,Well_Data_NK_Upcoming!Concatenated_Wellname,0))=0,"",INDEX(Well_Data_NK_Upcoming!$K$2:$K$996,MATCH(Rig_Schedule_View!B173,Well_Data_NK_Upcoming!Concatenated_Wellname,0)))</f>
        <v>NW</v>
      </c>
      <c r="E173" s="421" t="str">
        <f ca="1">IF(INDEX(Well_Data_NK_Upcoming!$J$2:$J$996,MATCH(Rig_Schedule_View!B173,Well_Data_NK_Upcoming!Concatenated_Wellname,0))=0,"",INDEX(Well_Data_NK_Upcoming!$J$2:$J$996,MATCH(Rig_Schedule_View!B173,Well_Data_NK_Upcoming!Concatenated_Wellname,0)))</f>
        <v>Prod</v>
      </c>
      <c r="F173" s="421" t="str">
        <f ca="1">IF(INDEX(Well_Data_NK_Upcoming!$L$2:$L$996,MATCH(Rig_Schedule_View!B173,Well_Data_NK_Upcoming!Concatenated_Wellname,0))=0,"",INDEX(Well_Data_NK_Upcoming!$L$2:$L$996,MATCH(Rig_Schedule_View!B173,Well_Data_NK_Upcoming!Concatenated_Wellname,0)))</f>
        <v>HZ</v>
      </c>
      <c r="G173" s="421">
        <f ca="1">IF(INDEX(Well_Data_NK_Upcoming!$R$2:$R$996,MATCH(Rig_Schedule_View!B173,Well_Data_NK_Upcoming!Concatenated_Wellname,0))=0,"",INDEX(Well_Data_NK_Upcoming!$R$2:$R$996,MATCH(Rig_Schedule_View!B173,Well_Data_NK_Upcoming!Concatenated_Wellname,0)))</f>
        <v>75</v>
      </c>
      <c r="H173" s="74"/>
      <c r="I173" s="443">
        <f ca="1">RigScheduleTest!$AJ$15</f>
        <v>42548</v>
      </c>
      <c r="J173" s="443">
        <f ca="1">RigScheduleTest!$AK$15</f>
        <v>42618</v>
      </c>
      <c r="K173" s="413"/>
      <c r="L173" s="546"/>
      <c r="M173" s="544"/>
      <c r="N173" s="545"/>
      <c r="O173" s="545"/>
      <c r="P173" s="551"/>
    </row>
    <row r="174" spans="1:16" x14ac:dyDescent="0.25">
      <c r="A174" s="442" t="str">
        <f>RigScheduleTest!$B$15</f>
        <v>SP-266</v>
      </c>
      <c r="B174" s="442" t="str">
        <f ca="1">RigScheduleTest!$AM$15</f>
        <v>SA41-SA-MA-Prod-NW-HZ</v>
      </c>
      <c r="C174" s="421" t="str">
        <f ca="1">IF(INDEX(Well_Data_NK_Upcoming!$G$2:$G$996,MATCH(Rig_Schedule_View!B174,Well_Data_NK_Upcoming!Concatenated_Wellname,0))=0,"",INDEX(Well_Data_NK_Upcoming!$G$2:$G$996,MATCH(Rig_Schedule_View!B174,Well_Data_NK_Upcoming!Concatenated_Wellname,0)))</f>
        <v>MA</v>
      </c>
      <c r="D174" s="421" t="str">
        <f ca="1">IF(INDEX(Well_Data_NK_Upcoming!$K$2:$K$996,MATCH(Rig_Schedule_View!B174,Well_Data_NK_Upcoming!Concatenated_Wellname,0))=0,"",INDEX(Well_Data_NK_Upcoming!$K$2:$K$996,MATCH(Rig_Schedule_View!B174,Well_Data_NK_Upcoming!Concatenated_Wellname,0)))</f>
        <v>NW</v>
      </c>
      <c r="E174" s="421" t="str">
        <f ca="1">IF(INDEX(Well_Data_NK_Upcoming!$J$2:$J$996,MATCH(Rig_Schedule_View!B174,Well_Data_NK_Upcoming!Concatenated_Wellname,0))=0,"",INDEX(Well_Data_NK_Upcoming!$J$2:$J$996,MATCH(Rig_Schedule_View!B174,Well_Data_NK_Upcoming!Concatenated_Wellname,0)))</f>
        <v>Prod</v>
      </c>
      <c r="F174" s="421" t="str">
        <f ca="1">IF(INDEX(Well_Data_NK_Upcoming!$L$2:$L$996,MATCH(Rig_Schedule_View!B174,Well_Data_NK_Upcoming!Concatenated_Wellname,0))=0,"",INDEX(Well_Data_NK_Upcoming!$L$2:$L$996,MATCH(Rig_Schedule_View!B174,Well_Data_NK_Upcoming!Concatenated_Wellname,0)))</f>
        <v>HZ</v>
      </c>
      <c r="G174" s="421">
        <f ca="1">IF(INDEX(Well_Data_NK_Upcoming!$R$2:$R$996,MATCH(Rig_Schedule_View!B174,Well_Data_NK_Upcoming!Concatenated_Wellname,0))=0,"",INDEX(Well_Data_NK_Upcoming!$R$2:$R$996,MATCH(Rig_Schedule_View!B174,Well_Data_NK_Upcoming!Concatenated_Wellname,0)))</f>
        <v>75</v>
      </c>
      <c r="H174" s="74"/>
      <c r="I174" s="443">
        <f ca="1">RigScheduleTest!$AP$15</f>
        <v>42623</v>
      </c>
      <c r="J174" s="443">
        <f ca="1">RigScheduleTest!$AQ$15</f>
        <v>42693</v>
      </c>
      <c r="K174" s="413"/>
      <c r="L174" s="546"/>
      <c r="M174" s="544"/>
      <c r="N174" s="545"/>
      <c r="O174" s="545"/>
      <c r="P174" s="551"/>
    </row>
    <row r="175" spans="1:16" x14ac:dyDescent="0.25">
      <c r="A175" s="442" t="str">
        <f>RigScheduleTest!$B$15</f>
        <v>SP-266</v>
      </c>
      <c r="B175" s="442" t="str">
        <f ca="1">RigScheduleTest!$AS$15</f>
        <v>RA30-RA-MA-Inj-NW-HZ-SLB</v>
      </c>
      <c r="C175" s="421" t="str">
        <f ca="1">IF(INDEX(Well_Data_NK_Upcoming!$G$2:$G$996,MATCH(Rig_Schedule_View!B175,Well_Data_NK_Upcoming!Concatenated_Wellname,0))=0,"",INDEX(Well_Data_NK_Upcoming!$G$2:$G$996,MATCH(Rig_Schedule_View!B175,Well_Data_NK_Upcoming!Concatenated_Wellname,0)))</f>
        <v>MA</v>
      </c>
      <c r="D175" s="421" t="str">
        <f ca="1">IF(INDEX(Well_Data_NK_Upcoming!$K$2:$K$996,MATCH(Rig_Schedule_View!B175,Well_Data_NK_Upcoming!Concatenated_Wellname,0))=0,"",INDEX(Well_Data_NK_Upcoming!$K$2:$K$996,MATCH(Rig_Schedule_View!B175,Well_Data_NK_Upcoming!Concatenated_Wellname,0)))</f>
        <v>NW</v>
      </c>
      <c r="E175" s="421" t="str">
        <f ca="1">IF(INDEX(Well_Data_NK_Upcoming!$J$2:$J$996,MATCH(Rig_Schedule_View!B175,Well_Data_NK_Upcoming!Concatenated_Wellname,0))=0,"",INDEX(Well_Data_NK_Upcoming!$J$2:$J$996,MATCH(Rig_Schedule_View!B175,Well_Data_NK_Upcoming!Concatenated_Wellname,0)))</f>
        <v>Inj</v>
      </c>
      <c r="F175" s="421" t="str">
        <f ca="1">IF(INDEX(Well_Data_NK_Upcoming!$L$2:$L$996,MATCH(Rig_Schedule_View!B175,Well_Data_NK_Upcoming!Concatenated_Wellname,0))=0,"",INDEX(Well_Data_NK_Upcoming!$L$2:$L$996,MATCH(Rig_Schedule_View!B175,Well_Data_NK_Upcoming!Concatenated_Wellname,0)))</f>
        <v>HZ</v>
      </c>
      <c r="G175" s="421">
        <f ca="1">IF(INDEX(Well_Data_NK_Upcoming!$R$2:$R$996,MATCH(Rig_Schedule_View!B175,Well_Data_NK_Upcoming!Concatenated_Wellname,0))=0,"",INDEX(Well_Data_NK_Upcoming!$R$2:$R$996,MATCH(Rig_Schedule_View!B175,Well_Data_NK_Upcoming!Concatenated_Wellname,0)))</f>
        <v>68</v>
      </c>
      <c r="H175" s="74"/>
      <c r="I175" s="443">
        <f ca="1">RigScheduleTest!$AV$15</f>
        <v>42698</v>
      </c>
      <c r="J175" s="443">
        <f ca="1">RigScheduleTest!$AW$15</f>
        <v>42761</v>
      </c>
      <c r="K175" s="413"/>
      <c r="L175" s="546"/>
      <c r="M175" s="544"/>
      <c r="N175" s="545"/>
      <c r="O175" s="545"/>
      <c r="P175" s="551"/>
    </row>
    <row r="176" spans="1:16" x14ac:dyDescent="0.25">
      <c r="A176" s="442" t="str">
        <f>RigScheduleTest!$B$15</f>
        <v>SP-266</v>
      </c>
      <c r="B176" s="442" t="str">
        <f ca="1">RigScheduleTest!$AY$15</f>
        <v>RA37-RA-MA-Prod-NW-HZ-SLB</v>
      </c>
      <c r="C176" s="421" t="str">
        <f ca="1">IF(INDEX(Well_Data_NK_Upcoming!$G$2:$G$996,MATCH(Rig_Schedule_View!B176,Well_Data_NK_Upcoming!Concatenated_Wellname,0))=0,"",INDEX(Well_Data_NK_Upcoming!$G$2:$G$996,MATCH(Rig_Schedule_View!B176,Well_Data_NK_Upcoming!Concatenated_Wellname,0)))</f>
        <v>MA</v>
      </c>
      <c r="D176" s="421" t="str">
        <f ca="1">IF(INDEX(Well_Data_NK_Upcoming!$K$2:$K$996,MATCH(Rig_Schedule_View!B176,Well_Data_NK_Upcoming!Concatenated_Wellname,0))=0,"",INDEX(Well_Data_NK_Upcoming!$K$2:$K$996,MATCH(Rig_Schedule_View!B176,Well_Data_NK_Upcoming!Concatenated_Wellname,0)))</f>
        <v>NW</v>
      </c>
      <c r="E176" s="421" t="str">
        <f ca="1">IF(INDEX(Well_Data_NK_Upcoming!$J$2:$J$996,MATCH(Rig_Schedule_View!B176,Well_Data_NK_Upcoming!Concatenated_Wellname,0))=0,"",INDEX(Well_Data_NK_Upcoming!$J$2:$J$996,MATCH(Rig_Schedule_View!B176,Well_Data_NK_Upcoming!Concatenated_Wellname,0)))</f>
        <v>Prod</v>
      </c>
      <c r="F176" s="421" t="str">
        <f ca="1">IF(INDEX(Well_Data_NK_Upcoming!$L$2:$L$996,MATCH(Rig_Schedule_View!B176,Well_Data_NK_Upcoming!Concatenated_Wellname,0))=0,"",INDEX(Well_Data_NK_Upcoming!$L$2:$L$996,MATCH(Rig_Schedule_View!B176,Well_Data_NK_Upcoming!Concatenated_Wellname,0)))</f>
        <v>HZ</v>
      </c>
      <c r="G176" s="421">
        <f ca="1">IF(INDEX(Well_Data_NK_Upcoming!$R$2:$R$996,MATCH(Rig_Schedule_View!B176,Well_Data_NK_Upcoming!Concatenated_Wellname,0))=0,"",INDEX(Well_Data_NK_Upcoming!$R$2:$R$996,MATCH(Rig_Schedule_View!B176,Well_Data_NK_Upcoming!Concatenated_Wellname,0)))</f>
        <v>75</v>
      </c>
      <c r="H176" s="74"/>
      <c r="I176" s="443">
        <f ca="1">RigScheduleTest!$BB$15</f>
        <v>42766</v>
      </c>
      <c r="J176" s="443">
        <f ca="1">RigScheduleTest!$BC$15</f>
        <v>42836</v>
      </c>
      <c r="K176" s="413"/>
      <c r="L176" s="546"/>
      <c r="M176" s="544"/>
      <c r="N176" s="545"/>
      <c r="O176" s="545"/>
      <c r="P176" s="551"/>
    </row>
    <row r="177" spans="1:16" x14ac:dyDescent="0.25">
      <c r="A177" s="442" t="str">
        <f>RigScheduleTest!$B$15</f>
        <v>SP-266</v>
      </c>
      <c r="B177" s="442" t="str">
        <f ca="1">RigScheduleTest!$BE$15</f>
        <v>RA42-RA-MA-Prod-ST-SL-SLB</v>
      </c>
      <c r="C177" s="421" t="str">
        <f ca="1">IF(INDEX(Well_Data_NK_Upcoming!$G$2:$G$996,MATCH(Rig_Schedule_View!B177,Well_Data_NK_Upcoming!Concatenated_Wellname,0))=0,"",INDEX(Well_Data_NK_Upcoming!$G$2:$G$996,MATCH(Rig_Schedule_View!B177,Well_Data_NK_Upcoming!Concatenated_Wellname,0)))</f>
        <v>MA</v>
      </c>
      <c r="D177" s="421" t="str">
        <f ca="1">IF(INDEX(Well_Data_NK_Upcoming!$K$2:$K$996,MATCH(Rig_Schedule_View!B177,Well_Data_NK_Upcoming!Concatenated_Wellname,0))=0,"",INDEX(Well_Data_NK_Upcoming!$K$2:$K$996,MATCH(Rig_Schedule_View!B177,Well_Data_NK_Upcoming!Concatenated_Wellname,0)))</f>
        <v>ST</v>
      </c>
      <c r="E177" s="421" t="str">
        <f ca="1">IF(INDEX(Well_Data_NK_Upcoming!$J$2:$J$996,MATCH(Rig_Schedule_View!B177,Well_Data_NK_Upcoming!Concatenated_Wellname,0))=0,"",INDEX(Well_Data_NK_Upcoming!$J$2:$J$996,MATCH(Rig_Schedule_View!B177,Well_Data_NK_Upcoming!Concatenated_Wellname,0)))</f>
        <v>Prod</v>
      </c>
      <c r="F177" s="421" t="str">
        <f ca="1">IF(INDEX(Well_Data_NK_Upcoming!$L$2:$L$996,MATCH(Rig_Schedule_View!B177,Well_Data_NK_Upcoming!Concatenated_Wellname,0))=0,"",INDEX(Well_Data_NK_Upcoming!$L$2:$L$996,MATCH(Rig_Schedule_View!B177,Well_Data_NK_Upcoming!Concatenated_Wellname,0)))</f>
        <v>SL</v>
      </c>
      <c r="G177" s="421">
        <f ca="1">IF(INDEX(Well_Data_NK_Upcoming!$R$2:$R$996,MATCH(Rig_Schedule_View!B177,Well_Data_NK_Upcoming!Concatenated_Wellname,0))=0,"",INDEX(Well_Data_NK_Upcoming!$R$2:$R$996,MATCH(Rig_Schedule_View!B177,Well_Data_NK_Upcoming!Concatenated_Wellname,0)))</f>
        <v>61</v>
      </c>
      <c r="H177" s="74"/>
      <c r="I177" s="443">
        <f ca="1">RigScheduleTest!$BH$15</f>
        <v>42841</v>
      </c>
      <c r="J177" s="443">
        <f ca="1">RigScheduleTest!$BI$15</f>
        <v>42897</v>
      </c>
      <c r="K177" s="413"/>
      <c r="L177" s="546"/>
      <c r="M177" s="544"/>
      <c r="N177" s="545"/>
      <c r="O177" s="545"/>
      <c r="P177" s="551"/>
    </row>
    <row r="178" spans="1:16" x14ac:dyDescent="0.25">
      <c r="A178" s="442" t="str">
        <f>RigScheduleTest!$B$15</f>
        <v>SP-266</v>
      </c>
      <c r="B178" s="442" t="str">
        <f ca="1">RigScheduleTest!$BK$15</f>
        <v/>
      </c>
      <c r="C178" s="421" t="str">
        <f ca="1">IF(INDEX(Well_Data_NK_Upcoming!$G$2:$G$996,MATCH(Rig_Schedule_View!B178,Well_Data_NK_Upcoming!Concatenated_Wellname,0))=0,"",INDEX(Well_Data_NK_Upcoming!$G$2:$G$996,MATCH(Rig_Schedule_View!B178,Well_Data_NK_Upcoming!Concatenated_Wellname,0)))</f>
        <v/>
      </c>
      <c r="D178" s="421" t="str">
        <f ca="1">IF(INDEX(Well_Data_NK_Upcoming!$K$2:$K$996,MATCH(Rig_Schedule_View!B178,Well_Data_NK_Upcoming!Concatenated_Wellname,0))=0,"",INDEX(Well_Data_NK_Upcoming!$K$2:$K$996,MATCH(Rig_Schedule_View!B178,Well_Data_NK_Upcoming!Concatenated_Wellname,0)))</f>
        <v/>
      </c>
      <c r="E178" s="421" t="str">
        <f ca="1">IF(INDEX(Well_Data_NK_Upcoming!$J$2:$J$996,MATCH(Rig_Schedule_View!B178,Well_Data_NK_Upcoming!Concatenated_Wellname,0))=0,"",INDEX(Well_Data_NK_Upcoming!$J$2:$J$996,MATCH(Rig_Schedule_View!B178,Well_Data_NK_Upcoming!Concatenated_Wellname,0)))</f>
        <v/>
      </c>
      <c r="F178" s="421" t="str">
        <f ca="1">IF(INDEX(Well_Data_NK_Upcoming!$L$2:$L$996,MATCH(Rig_Schedule_View!B178,Well_Data_NK_Upcoming!Concatenated_Wellname,0))=0,"",INDEX(Well_Data_NK_Upcoming!$L$2:$L$996,MATCH(Rig_Schedule_View!B178,Well_Data_NK_Upcoming!Concatenated_Wellname,0)))</f>
        <v/>
      </c>
      <c r="G178" s="421" t="str">
        <f ca="1">IF(INDEX(Well_Data_NK_Upcoming!$R$2:$R$996,MATCH(Rig_Schedule_View!B178,Well_Data_NK_Upcoming!Concatenated_Wellname,0))=0,"",INDEX(Well_Data_NK_Upcoming!$R$2:$R$996,MATCH(Rig_Schedule_View!B178,Well_Data_NK_Upcoming!Concatenated_Wellname,0)))</f>
        <v/>
      </c>
      <c r="H178" s="74"/>
      <c r="I178" s="443" t="str">
        <f ca="1">RigScheduleTest!$BN$15</f>
        <v/>
      </c>
      <c r="J178" s="443" t="str">
        <f ca="1">RigScheduleTest!$BO$15</f>
        <v/>
      </c>
      <c r="K178" s="413"/>
      <c r="L178" s="546"/>
      <c r="M178" s="544"/>
      <c r="N178" s="545"/>
      <c r="O178" s="545"/>
      <c r="P178" s="551"/>
    </row>
    <row r="179" spans="1:16" x14ac:dyDescent="0.25">
      <c r="A179" s="437" t="str">
        <f>RigScheduleTest!$B$1</f>
        <v>RIG</v>
      </c>
      <c r="B179" s="437" t="str">
        <f>$K$1</f>
        <v>Development Drilling</v>
      </c>
      <c r="C179" s="437" t="s">
        <v>1831</v>
      </c>
      <c r="D179" s="437" t="s">
        <v>867</v>
      </c>
      <c r="E179" s="437" t="s">
        <v>8</v>
      </c>
      <c r="F179" s="437" t="s">
        <v>2</v>
      </c>
      <c r="G179" s="437" t="s">
        <v>1513</v>
      </c>
      <c r="H179" s="438" t="str">
        <f>$K$3</f>
        <v>Rig Deployment Meeting</v>
      </c>
      <c r="I179" s="439" t="str">
        <f>$K$5</f>
        <v>Start</v>
      </c>
      <c r="J179" s="439" t="str">
        <f>$K$6</f>
        <v>End</v>
      </c>
      <c r="K179" s="444" t="s">
        <v>1068</v>
      </c>
      <c r="L179" s="444" t="s">
        <v>1577</v>
      </c>
      <c r="M179" s="496" t="s">
        <v>1934</v>
      </c>
      <c r="N179" s="504" t="s">
        <v>1940</v>
      </c>
      <c r="O179" s="504" t="s">
        <v>1941</v>
      </c>
      <c r="P179" s="502"/>
    </row>
    <row r="180" spans="1:16" x14ac:dyDescent="0.25">
      <c r="A180" s="442" t="str">
        <f>RigScheduleTest!$B$16</f>
        <v>SP-267</v>
      </c>
      <c r="B180" s="421" t="str">
        <f ca="1">RigScheduleTest!$D$16</f>
        <v>RA-0580-RA-LB-Prod-NW-SL-WFD</v>
      </c>
      <c r="C180" s="421" t="str">
        <f ca="1">IF(INDEX(Well_Data_NK_Upcoming!$G$2:$G$996,MATCH(Rig_Schedule_View!B180,Well_Data_NK_Upcoming!Concatenated_Wellname,0))=0,"",INDEX(Well_Data_NK_Upcoming!$G$2:$G$996,MATCH(Rig_Schedule_View!B180,Well_Data_NK_Upcoming!Concatenated_Wellname,0)))</f>
        <v>LB</v>
      </c>
      <c r="D180" s="421" t="str">
        <f ca="1">IF(INDEX(Well_Data_NK_Upcoming!$K$2:$K$996,MATCH(Rig_Schedule_View!B180,Well_Data_NK_Upcoming!Concatenated_Wellname,0))=0,"",INDEX(Well_Data_NK_Upcoming!$K$2:$K$996,MATCH(Rig_Schedule_View!B180,Well_Data_NK_Upcoming!Concatenated_Wellname,0)))</f>
        <v>NW</v>
      </c>
      <c r="E180" s="421" t="str">
        <f ca="1">IF(INDEX(Well_Data_NK_Upcoming!$J$2:$J$996,MATCH(Rig_Schedule_View!B180,Well_Data_NK_Upcoming!Concatenated_Wellname,0))=0,"",INDEX(Well_Data_NK_Upcoming!$J$2:$J$996,MATCH(Rig_Schedule_View!B180,Well_Data_NK_Upcoming!Concatenated_Wellname,0)))</f>
        <v>Prod</v>
      </c>
      <c r="F180" s="421" t="str">
        <f ca="1">IF(INDEX(Well_Data_NK_Upcoming!$L$2:$L$996,MATCH(Rig_Schedule_View!B180,Well_Data_NK_Upcoming!Concatenated_Wellname,0))=0,"",INDEX(Well_Data_NK_Upcoming!$L$2:$L$996,MATCH(Rig_Schedule_View!B180,Well_Data_NK_Upcoming!Concatenated_Wellname,0)))</f>
        <v>SL</v>
      </c>
      <c r="G180" s="421">
        <f ca="1">IF(INDEX(Well_Data_NK_Upcoming!$R$2:$R$996,MATCH(Rig_Schedule_View!B180,Well_Data_NK_Upcoming!Concatenated_Wellname,0))=0,"",INDEX(Well_Data_NK_Upcoming!$R$2:$R$996,MATCH(Rig_Schedule_View!B180,Well_Data_NK_Upcoming!Concatenated_Wellname,0)))</f>
        <v>75</v>
      </c>
      <c r="H180" s="74">
        <f>RigScheduleTest!$F$16</f>
        <v>42233</v>
      </c>
      <c r="I180" s="459">
        <f ca="1">IF(INDEX(Well_Data_NK_Upcoming!$O$2:$O$996,MATCH(Rig_Schedule_View!B180,Well_Data_NK_Upcoming!Concatenated_Wellname,0))=0,"",INDEX(Well_Data_NK_Upcoming!$O$2:$O$996,MATCH(Rig_Schedule_View!B180,Well_Data_NK_Upcoming!Concatenated_Wellname,0)))</f>
        <v>42205.5625</v>
      </c>
      <c r="J180" s="446">
        <f ca="1">RigScheduleTest!$H$16</f>
        <v>42247</v>
      </c>
      <c r="K180" s="493" t="s">
        <v>1917</v>
      </c>
      <c r="L180" s="543"/>
      <c r="M180" s="544">
        <v>14</v>
      </c>
      <c r="N180" s="545"/>
      <c r="O180" s="545"/>
      <c r="P180" s="551"/>
    </row>
    <row r="181" spans="1:16" x14ac:dyDescent="0.25">
      <c r="A181" s="442" t="str">
        <f>RigScheduleTest!$B$16</f>
        <v>SP-267</v>
      </c>
      <c r="B181" s="441" t="str">
        <f ca="1">RigScheduleTest!$I$16</f>
        <v>SA-0592-SA-LB-Prod-NW-SL-WFD</v>
      </c>
      <c r="C181" s="421" t="str">
        <f ca="1">IF(INDEX(Well_Data_NK_Upcoming!$G$2:$G$996,MATCH(Rig_Schedule_View!B181,Well_Data_NK_Upcoming!Concatenated_Wellname,0))=0,"",INDEX(Well_Data_NK_Upcoming!$G$2:$G$996,MATCH(Rig_Schedule_View!B181,Well_Data_NK_Upcoming!Concatenated_Wellname,0)))</f>
        <v>LB</v>
      </c>
      <c r="D181" s="421" t="str">
        <f ca="1">IF(INDEX(Well_Data_NK_Upcoming!$K$2:$K$996,MATCH(Rig_Schedule_View!B181,Well_Data_NK_Upcoming!Concatenated_Wellname,0))=0,"",INDEX(Well_Data_NK_Upcoming!$K$2:$K$996,MATCH(Rig_Schedule_View!B181,Well_Data_NK_Upcoming!Concatenated_Wellname,0)))</f>
        <v>NW</v>
      </c>
      <c r="E181" s="421" t="str">
        <f ca="1">IF(INDEX(Well_Data_NK_Upcoming!$J$2:$J$996,MATCH(Rig_Schedule_View!B181,Well_Data_NK_Upcoming!Concatenated_Wellname,0))=0,"",INDEX(Well_Data_NK_Upcoming!$J$2:$J$996,MATCH(Rig_Schedule_View!B181,Well_Data_NK_Upcoming!Concatenated_Wellname,0)))</f>
        <v>Prod</v>
      </c>
      <c r="F181" s="421" t="str">
        <f ca="1">IF(INDEX(Well_Data_NK_Upcoming!$L$2:$L$996,MATCH(Rig_Schedule_View!B181,Well_Data_NK_Upcoming!Concatenated_Wellname,0))=0,"",INDEX(Well_Data_NK_Upcoming!$L$2:$L$996,MATCH(Rig_Schedule_View!B181,Well_Data_NK_Upcoming!Concatenated_Wellname,0)))</f>
        <v>SL</v>
      </c>
      <c r="G181" s="421">
        <f ca="1">IF(INDEX(Well_Data_NK_Upcoming!$R$2:$R$996,MATCH(Rig_Schedule_View!B181,Well_Data_NK_Upcoming!Concatenated_Wellname,0))=0,"",INDEX(Well_Data_NK_Upcoming!$R$2:$R$996,MATCH(Rig_Schedule_View!B181,Well_Data_NK_Upcoming!Concatenated_Wellname,0)))</f>
        <v>75</v>
      </c>
      <c r="H181" s="74"/>
      <c r="I181" s="440">
        <f ca="1">RigScheduleTest!$L$16</f>
        <v>42252</v>
      </c>
      <c r="J181" s="440">
        <f ca="1">RigScheduleTest!$M$16</f>
        <v>42322</v>
      </c>
      <c r="K181" s="413"/>
      <c r="L181" s="545" t="s">
        <v>2225</v>
      </c>
      <c r="M181" s="544"/>
      <c r="N181" s="545"/>
      <c r="O181" s="545" t="s">
        <v>2224</v>
      </c>
      <c r="P181" s="551"/>
    </row>
    <row r="182" spans="1:16" x14ac:dyDescent="0.25">
      <c r="A182" s="442" t="str">
        <f>RigScheduleTest!$B$16</f>
        <v>SP-267</v>
      </c>
      <c r="B182" s="441" t="str">
        <f ca="1">RigScheduleTest!$O$16</f>
        <v>SA-0558-SA-MA-Inj-NW-V</v>
      </c>
      <c r="C182" s="421" t="str">
        <f ca="1">IF(INDEX(Well_Data_NK_Upcoming!$G$2:$G$996,MATCH(Rig_Schedule_View!B182,Well_Data_NK_Upcoming!Concatenated_Wellname,0))=0,"",INDEX(Well_Data_NK_Upcoming!$G$2:$G$996,MATCH(Rig_Schedule_View!B182,Well_Data_NK_Upcoming!Concatenated_Wellname,0)))</f>
        <v>MA</v>
      </c>
      <c r="D182" s="421" t="str">
        <f ca="1">IF(INDEX(Well_Data_NK_Upcoming!$K$2:$K$996,MATCH(Rig_Schedule_View!B182,Well_Data_NK_Upcoming!Concatenated_Wellname,0))=0,"",INDEX(Well_Data_NK_Upcoming!$K$2:$K$996,MATCH(Rig_Schedule_View!B182,Well_Data_NK_Upcoming!Concatenated_Wellname,0)))</f>
        <v>NW</v>
      </c>
      <c r="E182" s="421" t="str">
        <f ca="1">IF(INDEX(Well_Data_NK_Upcoming!$J$2:$J$996,MATCH(Rig_Schedule_View!B182,Well_Data_NK_Upcoming!Concatenated_Wellname,0))=0,"",INDEX(Well_Data_NK_Upcoming!$J$2:$J$996,MATCH(Rig_Schedule_View!B182,Well_Data_NK_Upcoming!Concatenated_Wellname,0)))</f>
        <v>Inj</v>
      </c>
      <c r="F182" s="421" t="str">
        <f ca="1">IF(INDEX(Well_Data_NK_Upcoming!$L$2:$L$996,MATCH(Rig_Schedule_View!B182,Well_Data_NK_Upcoming!Concatenated_Wellname,0))=0,"",INDEX(Well_Data_NK_Upcoming!$L$2:$L$996,MATCH(Rig_Schedule_View!B182,Well_Data_NK_Upcoming!Concatenated_Wellname,0)))</f>
        <v>V</v>
      </c>
      <c r="G182" s="421">
        <f ca="1">IF(INDEX(Well_Data_NK_Upcoming!$R$2:$R$996,MATCH(Rig_Schedule_View!B182,Well_Data_NK_Upcoming!Concatenated_Wellname,0))=0,"",INDEX(Well_Data_NK_Upcoming!$R$2:$R$996,MATCH(Rig_Schedule_View!B182,Well_Data_NK_Upcoming!Concatenated_Wellname,0)))</f>
        <v>75</v>
      </c>
      <c r="H182" s="74"/>
      <c r="I182" s="440">
        <f ca="1">RigScheduleTest!$R$16</f>
        <v>42327</v>
      </c>
      <c r="J182" s="440">
        <f ca="1">RigScheduleTest!$S$16</f>
        <v>42397</v>
      </c>
      <c r="K182" s="413"/>
      <c r="L182" s="546" t="s">
        <v>1982</v>
      </c>
      <c r="M182" s="544"/>
      <c r="N182" s="545" t="s">
        <v>2220</v>
      </c>
      <c r="O182" s="545"/>
      <c r="P182" s="551"/>
    </row>
    <row r="183" spans="1:16" x14ac:dyDescent="0.25">
      <c r="A183" s="442" t="str">
        <f>RigScheduleTest!$B$16</f>
        <v>SP-267</v>
      </c>
      <c r="B183" s="442" t="str">
        <f ca="1">RigScheduleTest!$U$16</f>
        <v>SA-0557-SA-MA-Inj-NW-V</v>
      </c>
      <c r="C183" s="421" t="str">
        <f ca="1">IF(INDEX(Well_Data_NK_Upcoming!$G$2:$G$996,MATCH(Rig_Schedule_View!B183,Well_Data_NK_Upcoming!Concatenated_Wellname,0))=0,"",INDEX(Well_Data_NK_Upcoming!$G$2:$G$996,MATCH(Rig_Schedule_View!B183,Well_Data_NK_Upcoming!Concatenated_Wellname,0)))</f>
        <v>MA</v>
      </c>
      <c r="D183" s="421" t="str">
        <f ca="1">IF(INDEX(Well_Data_NK_Upcoming!$K$2:$K$996,MATCH(Rig_Schedule_View!B183,Well_Data_NK_Upcoming!Concatenated_Wellname,0))=0,"",INDEX(Well_Data_NK_Upcoming!$K$2:$K$996,MATCH(Rig_Schedule_View!B183,Well_Data_NK_Upcoming!Concatenated_Wellname,0)))</f>
        <v>NW</v>
      </c>
      <c r="E183" s="421" t="str">
        <f ca="1">IF(INDEX(Well_Data_NK_Upcoming!$J$2:$J$996,MATCH(Rig_Schedule_View!B183,Well_Data_NK_Upcoming!Concatenated_Wellname,0))=0,"",INDEX(Well_Data_NK_Upcoming!$J$2:$J$996,MATCH(Rig_Schedule_View!B183,Well_Data_NK_Upcoming!Concatenated_Wellname,0)))</f>
        <v>Inj</v>
      </c>
      <c r="F183" s="421" t="str">
        <f ca="1">IF(INDEX(Well_Data_NK_Upcoming!$L$2:$L$996,MATCH(Rig_Schedule_View!B183,Well_Data_NK_Upcoming!Concatenated_Wellname,0))=0,"",INDEX(Well_Data_NK_Upcoming!$L$2:$L$996,MATCH(Rig_Schedule_View!B183,Well_Data_NK_Upcoming!Concatenated_Wellname,0)))</f>
        <v>V</v>
      </c>
      <c r="G183" s="421">
        <f ca="1">IF(INDEX(Well_Data_NK_Upcoming!$R$2:$R$996,MATCH(Rig_Schedule_View!B183,Well_Data_NK_Upcoming!Concatenated_Wellname,0))=0,"",INDEX(Well_Data_NK_Upcoming!$R$2:$R$996,MATCH(Rig_Schedule_View!B183,Well_Data_NK_Upcoming!Concatenated_Wellname,0)))</f>
        <v>75</v>
      </c>
      <c r="H183" s="74"/>
      <c r="I183" s="443">
        <f ca="1">RigScheduleTest!$X$16</f>
        <v>42402</v>
      </c>
      <c r="J183" s="443">
        <f ca="1">RigScheduleTest!$Y$16</f>
        <v>42472</v>
      </c>
      <c r="K183" s="413"/>
      <c r="L183" s="546" t="s">
        <v>1982</v>
      </c>
      <c r="M183" s="544"/>
      <c r="N183" s="545" t="s">
        <v>2220</v>
      </c>
      <c r="O183" s="545"/>
      <c r="P183" s="551"/>
    </row>
    <row r="184" spans="1:16" x14ac:dyDescent="0.25">
      <c r="A184" s="442" t="str">
        <f>RigScheduleTest!$B$16</f>
        <v>SP-267</v>
      </c>
      <c r="B184" s="442" t="str">
        <f ca="1">RigScheduleTest!$AA$16</f>
        <v>SA-0560-SA-MA-Inj-NW-V</v>
      </c>
      <c r="C184" s="421" t="str">
        <f ca="1">IF(INDEX(Well_Data_NK_Upcoming!$G$2:$G$996,MATCH(Rig_Schedule_View!B184,Well_Data_NK_Upcoming!Concatenated_Wellname,0))=0,"",INDEX(Well_Data_NK_Upcoming!$G$2:$G$996,MATCH(Rig_Schedule_View!B184,Well_Data_NK_Upcoming!Concatenated_Wellname,0)))</f>
        <v>MA</v>
      </c>
      <c r="D184" s="421" t="str">
        <f ca="1">IF(INDEX(Well_Data_NK_Upcoming!$K$2:$K$996,MATCH(Rig_Schedule_View!B184,Well_Data_NK_Upcoming!Concatenated_Wellname,0))=0,"",INDEX(Well_Data_NK_Upcoming!$K$2:$K$996,MATCH(Rig_Schedule_View!B184,Well_Data_NK_Upcoming!Concatenated_Wellname,0)))</f>
        <v>NW</v>
      </c>
      <c r="E184" s="421" t="str">
        <f ca="1">IF(INDEX(Well_Data_NK_Upcoming!$J$2:$J$996,MATCH(Rig_Schedule_View!B184,Well_Data_NK_Upcoming!Concatenated_Wellname,0))=0,"",INDEX(Well_Data_NK_Upcoming!$J$2:$J$996,MATCH(Rig_Schedule_View!B184,Well_Data_NK_Upcoming!Concatenated_Wellname,0)))</f>
        <v>Inj</v>
      </c>
      <c r="F184" s="421" t="str">
        <f ca="1">IF(INDEX(Well_Data_NK_Upcoming!$L$2:$L$996,MATCH(Rig_Schedule_View!B184,Well_Data_NK_Upcoming!Concatenated_Wellname,0))=0,"",INDEX(Well_Data_NK_Upcoming!$L$2:$L$996,MATCH(Rig_Schedule_View!B184,Well_Data_NK_Upcoming!Concatenated_Wellname,0)))</f>
        <v>V</v>
      </c>
      <c r="G184" s="421">
        <f ca="1">IF(INDEX(Well_Data_NK_Upcoming!$R$2:$R$996,MATCH(Rig_Schedule_View!B184,Well_Data_NK_Upcoming!Concatenated_Wellname,0))=0,"",INDEX(Well_Data_NK_Upcoming!$R$2:$R$996,MATCH(Rig_Schedule_View!B184,Well_Data_NK_Upcoming!Concatenated_Wellname,0)))</f>
        <v>75</v>
      </c>
      <c r="H184" s="74"/>
      <c r="I184" s="443">
        <f ca="1">RigScheduleTest!$AD$16</f>
        <v>42477</v>
      </c>
      <c r="J184" s="443">
        <f ca="1">RigScheduleTest!$AE$16</f>
        <v>42547</v>
      </c>
      <c r="K184" s="413"/>
      <c r="L184" s="546" t="s">
        <v>1982</v>
      </c>
      <c r="M184" s="544"/>
      <c r="N184" s="545" t="s">
        <v>2220</v>
      </c>
      <c r="O184" s="545"/>
      <c r="P184" s="551"/>
    </row>
    <row r="185" spans="1:16" x14ac:dyDescent="0.25">
      <c r="A185" s="442" t="str">
        <f>RigScheduleTest!$B$16</f>
        <v>SP-267</v>
      </c>
      <c r="B185" s="442" t="str">
        <f ca="1">RigScheduleTest!$AG$16</f>
        <v>RA23-RA-MA-Inj-ST-SLB</v>
      </c>
      <c r="C185" s="421" t="str">
        <f ca="1">IF(INDEX(Well_Data_NK_Upcoming!$G$2:$G$996,MATCH(Rig_Schedule_View!B185,Well_Data_NK_Upcoming!Concatenated_Wellname,0))=0,"",INDEX(Well_Data_NK_Upcoming!$G$2:$G$996,MATCH(Rig_Schedule_View!B185,Well_Data_NK_Upcoming!Concatenated_Wellname,0)))</f>
        <v>MA</v>
      </c>
      <c r="D185" s="421" t="str">
        <f ca="1">IF(INDEX(Well_Data_NK_Upcoming!$K$2:$K$996,MATCH(Rig_Schedule_View!B185,Well_Data_NK_Upcoming!Concatenated_Wellname,0))=0,"",INDEX(Well_Data_NK_Upcoming!$K$2:$K$996,MATCH(Rig_Schedule_View!B185,Well_Data_NK_Upcoming!Concatenated_Wellname,0)))</f>
        <v>ST</v>
      </c>
      <c r="E185" s="421" t="str">
        <f ca="1">IF(INDEX(Well_Data_NK_Upcoming!$J$2:$J$996,MATCH(Rig_Schedule_View!B185,Well_Data_NK_Upcoming!Concatenated_Wellname,0))=0,"",INDEX(Well_Data_NK_Upcoming!$J$2:$J$996,MATCH(Rig_Schedule_View!B185,Well_Data_NK_Upcoming!Concatenated_Wellname,0)))</f>
        <v>Inj</v>
      </c>
      <c r="F185" s="421" t="str">
        <f ca="1">IF(INDEX(Well_Data_NK_Upcoming!$L$2:$L$996,MATCH(Rig_Schedule_View!B185,Well_Data_NK_Upcoming!Concatenated_Wellname,0))=0,"",INDEX(Well_Data_NK_Upcoming!$L$2:$L$996,MATCH(Rig_Schedule_View!B185,Well_Data_NK_Upcoming!Concatenated_Wellname,0)))</f>
        <v/>
      </c>
      <c r="G185" s="421">
        <f ca="1">IF(INDEX(Well_Data_NK_Upcoming!$R$2:$R$996,MATCH(Rig_Schedule_View!B185,Well_Data_NK_Upcoming!Concatenated_Wellname,0))=0,"",INDEX(Well_Data_NK_Upcoming!$R$2:$R$996,MATCH(Rig_Schedule_View!B185,Well_Data_NK_Upcoming!Concatenated_Wellname,0)))</f>
        <v>54</v>
      </c>
      <c r="H185" s="74"/>
      <c r="I185" s="443">
        <f ca="1">RigScheduleTest!$AJ$16</f>
        <v>42552</v>
      </c>
      <c r="J185" s="443">
        <f ca="1">RigScheduleTest!$AK$16</f>
        <v>42601</v>
      </c>
      <c r="K185" s="413"/>
      <c r="L185" s="546"/>
      <c r="M185" s="544"/>
      <c r="N185" s="545"/>
      <c r="O185" s="545"/>
      <c r="P185" s="551"/>
    </row>
    <row r="186" spans="1:16" x14ac:dyDescent="0.25">
      <c r="A186" s="442" t="str">
        <f>RigScheduleTest!$B$16</f>
        <v>SP-267</v>
      </c>
      <c r="B186" s="442" t="str">
        <f ca="1">RigScheduleTest!$AM$16</f>
        <v>SA-0563-SA-UB-Inj-NW-V</v>
      </c>
      <c r="C186" s="421" t="str">
        <f ca="1">IF(INDEX(Well_Data_NK_Upcoming!$G$2:$G$996,MATCH(Rig_Schedule_View!B186,Well_Data_NK_Upcoming!Concatenated_Wellname,0))=0,"",INDEX(Well_Data_NK_Upcoming!$G$2:$G$996,MATCH(Rig_Schedule_View!B186,Well_Data_NK_Upcoming!Concatenated_Wellname,0)))</f>
        <v>UB</v>
      </c>
      <c r="D186" s="421" t="str">
        <f ca="1">IF(INDEX(Well_Data_NK_Upcoming!$K$2:$K$996,MATCH(Rig_Schedule_View!B186,Well_Data_NK_Upcoming!Concatenated_Wellname,0))=0,"",INDEX(Well_Data_NK_Upcoming!$K$2:$K$996,MATCH(Rig_Schedule_View!B186,Well_Data_NK_Upcoming!Concatenated_Wellname,0)))</f>
        <v>NW</v>
      </c>
      <c r="E186" s="421" t="str">
        <f ca="1">IF(INDEX(Well_Data_NK_Upcoming!$J$2:$J$996,MATCH(Rig_Schedule_View!B186,Well_Data_NK_Upcoming!Concatenated_Wellname,0))=0,"",INDEX(Well_Data_NK_Upcoming!$J$2:$J$996,MATCH(Rig_Schedule_View!B186,Well_Data_NK_Upcoming!Concatenated_Wellname,0)))</f>
        <v>Inj</v>
      </c>
      <c r="F186" s="421" t="str">
        <f ca="1">IF(INDEX(Well_Data_NK_Upcoming!$L$2:$L$996,MATCH(Rig_Schedule_View!B186,Well_Data_NK_Upcoming!Concatenated_Wellname,0))=0,"",INDEX(Well_Data_NK_Upcoming!$L$2:$L$996,MATCH(Rig_Schedule_View!B186,Well_Data_NK_Upcoming!Concatenated_Wellname,0)))</f>
        <v>V</v>
      </c>
      <c r="G186" s="421">
        <f ca="1">IF(INDEX(Well_Data_NK_Upcoming!$R$2:$R$996,MATCH(Rig_Schedule_View!B186,Well_Data_NK_Upcoming!Concatenated_Wellname,0))=0,"",INDEX(Well_Data_NK_Upcoming!$R$2:$R$996,MATCH(Rig_Schedule_View!B186,Well_Data_NK_Upcoming!Concatenated_Wellname,0)))</f>
        <v>75</v>
      </c>
      <c r="H186" s="74"/>
      <c r="I186" s="443">
        <f ca="1">RigScheduleTest!$AP$16</f>
        <v>42606</v>
      </c>
      <c r="J186" s="443">
        <f ca="1">RigScheduleTest!$AQ$16</f>
        <v>42676</v>
      </c>
      <c r="K186" s="413"/>
      <c r="L186" s="546"/>
      <c r="M186" s="544"/>
      <c r="N186" s="545"/>
      <c r="O186" s="545"/>
      <c r="P186" s="551"/>
    </row>
    <row r="187" spans="1:16" x14ac:dyDescent="0.25">
      <c r="A187" s="442" t="str">
        <f>RigScheduleTest!$B$16</f>
        <v>SP-267</v>
      </c>
      <c r="B187" s="442" t="str">
        <f ca="1">RigScheduleTest!$AS$16</f>
        <v>SA57-SA-MA-Prod-NW-HZ</v>
      </c>
      <c r="C187" s="421" t="str">
        <f ca="1">IF(INDEX(Well_Data_NK_Upcoming!$G$2:$G$996,MATCH(Rig_Schedule_View!B187,Well_Data_NK_Upcoming!Concatenated_Wellname,0))=0,"",INDEX(Well_Data_NK_Upcoming!$G$2:$G$996,MATCH(Rig_Schedule_View!B187,Well_Data_NK_Upcoming!Concatenated_Wellname,0)))</f>
        <v>MA</v>
      </c>
      <c r="D187" s="421" t="str">
        <f ca="1">IF(INDEX(Well_Data_NK_Upcoming!$K$2:$K$996,MATCH(Rig_Schedule_View!B187,Well_Data_NK_Upcoming!Concatenated_Wellname,0))=0,"",INDEX(Well_Data_NK_Upcoming!$K$2:$K$996,MATCH(Rig_Schedule_View!B187,Well_Data_NK_Upcoming!Concatenated_Wellname,0)))</f>
        <v>NW</v>
      </c>
      <c r="E187" s="421" t="str">
        <f ca="1">IF(INDEX(Well_Data_NK_Upcoming!$J$2:$J$996,MATCH(Rig_Schedule_View!B187,Well_Data_NK_Upcoming!Concatenated_Wellname,0))=0,"",INDEX(Well_Data_NK_Upcoming!$J$2:$J$996,MATCH(Rig_Schedule_View!B187,Well_Data_NK_Upcoming!Concatenated_Wellname,0)))</f>
        <v>Prod</v>
      </c>
      <c r="F187" s="421" t="str">
        <f ca="1">IF(INDEX(Well_Data_NK_Upcoming!$L$2:$L$996,MATCH(Rig_Schedule_View!B187,Well_Data_NK_Upcoming!Concatenated_Wellname,0))=0,"",INDEX(Well_Data_NK_Upcoming!$L$2:$L$996,MATCH(Rig_Schedule_View!B187,Well_Data_NK_Upcoming!Concatenated_Wellname,0)))</f>
        <v>HZ</v>
      </c>
      <c r="G187" s="421">
        <f ca="1">IF(INDEX(Well_Data_NK_Upcoming!$R$2:$R$996,MATCH(Rig_Schedule_View!B187,Well_Data_NK_Upcoming!Concatenated_Wellname,0))=0,"",INDEX(Well_Data_NK_Upcoming!$R$2:$R$996,MATCH(Rig_Schedule_View!B187,Well_Data_NK_Upcoming!Concatenated_Wellname,0)))</f>
        <v>75</v>
      </c>
      <c r="H187" s="74"/>
      <c r="I187" s="443">
        <f ca="1">RigScheduleTest!$AV$16</f>
        <v>42681</v>
      </c>
      <c r="J187" s="443">
        <f ca="1">RigScheduleTest!$AW$16</f>
        <v>42751</v>
      </c>
      <c r="K187" s="413"/>
      <c r="L187" s="546"/>
      <c r="M187" s="544"/>
      <c r="N187" s="545"/>
      <c r="O187" s="545"/>
      <c r="P187" s="551"/>
    </row>
    <row r="188" spans="1:16" x14ac:dyDescent="0.25">
      <c r="A188" s="442" t="str">
        <f>RigScheduleTest!$B$16</f>
        <v>SP-267</v>
      </c>
      <c r="B188" s="442" t="str">
        <f ca="1">RigScheduleTest!$AY$16</f>
        <v>RA43-RA-MA-Inj-NW-HZ-SLB</v>
      </c>
      <c r="C188" s="421" t="str">
        <f ca="1">IF(INDEX(Well_Data_NK_Upcoming!$G$2:$G$996,MATCH(Rig_Schedule_View!B188,Well_Data_NK_Upcoming!Concatenated_Wellname,0))=0,"",INDEX(Well_Data_NK_Upcoming!$G$2:$G$996,MATCH(Rig_Schedule_View!B188,Well_Data_NK_Upcoming!Concatenated_Wellname,0)))</f>
        <v>MA</v>
      </c>
      <c r="D188" s="421" t="str">
        <f ca="1">IF(INDEX(Well_Data_NK_Upcoming!$K$2:$K$996,MATCH(Rig_Schedule_View!B188,Well_Data_NK_Upcoming!Concatenated_Wellname,0))=0,"",INDEX(Well_Data_NK_Upcoming!$K$2:$K$996,MATCH(Rig_Schedule_View!B188,Well_Data_NK_Upcoming!Concatenated_Wellname,0)))</f>
        <v>NW</v>
      </c>
      <c r="E188" s="421" t="str">
        <f ca="1">IF(INDEX(Well_Data_NK_Upcoming!$J$2:$J$996,MATCH(Rig_Schedule_View!B188,Well_Data_NK_Upcoming!Concatenated_Wellname,0))=0,"",INDEX(Well_Data_NK_Upcoming!$J$2:$J$996,MATCH(Rig_Schedule_View!B188,Well_Data_NK_Upcoming!Concatenated_Wellname,0)))</f>
        <v>Inj</v>
      </c>
      <c r="F188" s="421" t="str">
        <f ca="1">IF(INDEX(Well_Data_NK_Upcoming!$L$2:$L$996,MATCH(Rig_Schedule_View!B188,Well_Data_NK_Upcoming!Concatenated_Wellname,0))=0,"",INDEX(Well_Data_NK_Upcoming!$L$2:$L$996,MATCH(Rig_Schedule_View!B188,Well_Data_NK_Upcoming!Concatenated_Wellname,0)))</f>
        <v>HZ</v>
      </c>
      <c r="G188" s="421">
        <f ca="1">IF(INDEX(Well_Data_NK_Upcoming!$R$2:$R$996,MATCH(Rig_Schedule_View!B188,Well_Data_NK_Upcoming!Concatenated_Wellname,0))=0,"",INDEX(Well_Data_NK_Upcoming!$R$2:$R$996,MATCH(Rig_Schedule_View!B188,Well_Data_NK_Upcoming!Concatenated_Wellname,0)))</f>
        <v>68</v>
      </c>
      <c r="H188" s="74"/>
      <c r="I188" s="443">
        <f ca="1">RigScheduleTest!$BB$16</f>
        <v>42756</v>
      </c>
      <c r="J188" s="443">
        <f ca="1">RigScheduleTest!$BC$16</f>
        <v>42819</v>
      </c>
      <c r="K188" s="413"/>
      <c r="L188" s="546"/>
      <c r="M188" s="544"/>
      <c r="N188" s="545"/>
      <c r="O188" s="545"/>
      <c r="P188" s="551"/>
    </row>
    <row r="189" spans="1:16" x14ac:dyDescent="0.25">
      <c r="A189" s="442" t="str">
        <f>RigScheduleTest!$B$16</f>
        <v>SP-267</v>
      </c>
      <c r="B189" s="442" t="str">
        <f ca="1">RigScheduleTest!$BE$16</f>
        <v>SA62-SA-UB-Inj-NW-SL</v>
      </c>
      <c r="C189" s="421" t="str">
        <f ca="1">IF(INDEX(Well_Data_NK_Upcoming!$G$2:$G$996,MATCH(Rig_Schedule_View!B189,Well_Data_NK_Upcoming!Concatenated_Wellname,0))=0,"",INDEX(Well_Data_NK_Upcoming!$G$2:$G$996,MATCH(Rig_Schedule_View!B189,Well_Data_NK_Upcoming!Concatenated_Wellname,0)))</f>
        <v>UB</v>
      </c>
      <c r="D189" s="421" t="str">
        <f ca="1">IF(INDEX(Well_Data_NK_Upcoming!$K$2:$K$996,MATCH(Rig_Schedule_View!B189,Well_Data_NK_Upcoming!Concatenated_Wellname,0))=0,"",INDEX(Well_Data_NK_Upcoming!$K$2:$K$996,MATCH(Rig_Schedule_View!B189,Well_Data_NK_Upcoming!Concatenated_Wellname,0)))</f>
        <v>NW</v>
      </c>
      <c r="E189" s="421" t="str">
        <f ca="1">IF(INDEX(Well_Data_NK_Upcoming!$J$2:$J$996,MATCH(Rig_Schedule_View!B189,Well_Data_NK_Upcoming!Concatenated_Wellname,0))=0,"",INDEX(Well_Data_NK_Upcoming!$J$2:$J$996,MATCH(Rig_Schedule_View!B189,Well_Data_NK_Upcoming!Concatenated_Wellname,0)))</f>
        <v>Inj</v>
      </c>
      <c r="F189" s="421" t="str">
        <f ca="1">IF(INDEX(Well_Data_NK_Upcoming!$L$2:$L$996,MATCH(Rig_Schedule_View!B189,Well_Data_NK_Upcoming!Concatenated_Wellname,0))=0,"",INDEX(Well_Data_NK_Upcoming!$L$2:$L$996,MATCH(Rig_Schedule_View!B189,Well_Data_NK_Upcoming!Concatenated_Wellname,0)))</f>
        <v>SL</v>
      </c>
      <c r="G189" s="421">
        <f ca="1">IF(INDEX(Well_Data_NK_Upcoming!$R$2:$R$996,MATCH(Rig_Schedule_View!B189,Well_Data_NK_Upcoming!Concatenated_Wellname,0))=0,"",INDEX(Well_Data_NK_Upcoming!$R$2:$R$996,MATCH(Rig_Schedule_View!B189,Well_Data_NK_Upcoming!Concatenated_Wellname,0)))</f>
        <v>75</v>
      </c>
      <c r="H189" s="74"/>
      <c r="I189" s="443">
        <f ca="1">RigScheduleTest!$BH$16</f>
        <v>42824</v>
      </c>
      <c r="J189" s="443">
        <f ca="1">RigScheduleTest!$BI$16</f>
        <v>42894</v>
      </c>
      <c r="K189" s="413"/>
      <c r="L189" s="546"/>
      <c r="M189" s="544"/>
      <c r="N189" s="545"/>
      <c r="O189" s="545"/>
      <c r="P189" s="551"/>
    </row>
    <row r="190" spans="1:16" x14ac:dyDescent="0.25">
      <c r="A190" s="442" t="str">
        <f>RigScheduleTest!$B$16</f>
        <v>SP-267</v>
      </c>
      <c r="B190" s="442" t="str">
        <f ca="1">RigScheduleTest!$BK$16</f>
        <v/>
      </c>
      <c r="C190" s="421" t="str">
        <f ca="1">IF(INDEX(Well_Data_NK_Upcoming!$G$2:$G$996,MATCH(Rig_Schedule_View!B190,Well_Data_NK_Upcoming!Concatenated_Wellname,0))=0,"",INDEX(Well_Data_NK_Upcoming!$G$2:$G$996,MATCH(Rig_Schedule_View!B190,Well_Data_NK_Upcoming!Concatenated_Wellname,0)))</f>
        <v/>
      </c>
      <c r="D190" s="421" t="str">
        <f ca="1">IF(INDEX(Well_Data_NK_Upcoming!$K$2:$K$996,MATCH(Rig_Schedule_View!B190,Well_Data_NK_Upcoming!Concatenated_Wellname,0))=0,"",INDEX(Well_Data_NK_Upcoming!$K$2:$K$996,MATCH(Rig_Schedule_View!B190,Well_Data_NK_Upcoming!Concatenated_Wellname,0)))</f>
        <v/>
      </c>
      <c r="E190" s="421" t="str">
        <f ca="1">IF(INDEX(Well_Data_NK_Upcoming!$J$2:$J$996,MATCH(Rig_Schedule_View!B190,Well_Data_NK_Upcoming!Concatenated_Wellname,0))=0,"",INDEX(Well_Data_NK_Upcoming!$J$2:$J$996,MATCH(Rig_Schedule_View!B190,Well_Data_NK_Upcoming!Concatenated_Wellname,0)))</f>
        <v/>
      </c>
      <c r="F190" s="421" t="str">
        <f ca="1">IF(INDEX(Well_Data_NK_Upcoming!$L$2:$L$996,MATCH(Rig_Schedule_View!B190,Well_Data_NK_Upcoming!Concatenated_Wellname,0))=0,"",INDEX(Well_Data_NK_Upcoming!$L$2:$L$996,MATCH(Rig_Schedule_View!B190,Well_Data_NK_Upcoming!Concatenated_Wellname,0)))</f>
        <v/>
      </c>
      <c r="G190" s="421" t="str">
        <f ca="1">IF(INDEX(Well_Data_NK_Upcoming!$R$2:$R$996,MATCH(Rig_Schedule_View!B190,Well_Data_NK_Upcoming!Concatenated_Wellname,0))=0,"",INDEX(Well_Data_NK_Upcoming!$R$2:$R$996,MATCH(Rig_Schedule_View!B190,Well_Data_NK_Upcoming!Concatenated_Wellname,0)))</f>
        <v/>
      </c>
      <c r="H190" s="74"/>
      <c r="I190" s="443" t="str">
        <f ca="1">RigScheduleTest!$BN$16</f>
        <v/>
      </c>
      <c r="J190" s="443" t="str">
        <f ca="1">RigScheduleTest!$BO$16</f>
        <v/>
      </c>
      <c r="K190" s="413"/>
      <c r="L190" s="546"/>
      <c r="M190" s="544"/>
      <c r="N190" s="545"/>
      <c r="O190" s="545"/>
      <c r="P190" s="551"/>
    </row>
    <row r="191" spans="1:16" x14ac:dyDescent="0.25">
      <c r="A191" s="437" t="str">
        <f>RigScheduleTest!$B$1</f>
        <v>RIG</v>
      </c>
      <c r="B191" s="437" t="str">
        <f>$K$1</f>
        <v>Development Drilling</v>
      </c>
      <c r="C191" s="437" t="s">
        <v>1831</v>
      </c>
      <c r="D191" s="437" t="s">
        <v>867</v>
      </c>
      <c r="E191" s="437" t="s">
        <v>8</v>
      </c>
      <c r="F191" s="437" t="s">
        <v>2</v>
      </c>
      <c r="G191" s="437" t="s">
        <v>1513</v>
      </c>
      <c r="H191" s="438" t="str">
        <f>$K$3</f>
        <v>Rig Deployment Meeting</v>
      </c>
      <c r="I191" s="439" t="str">
        <f>$K$5</f>
        <v>Start</v>
      </c>
      <c r="J191" s="439" t="str">
        <f>$K$6</f>
        <v>End</v>
      </c>
      <c r="K191" s="444" t="s">
        <v>1068</v>
      </c>
      <c r="L191" s="444" t="s">
        <v>1577</v>
      </c>
      <c r="M191" s="496" t="s">
        <v>1934</v>
      </c>
      <c r="N191" s="504" t="s">
        <v>1940</v>
      </c>
      <c r="O191" s="504" t="s">
        <v>1941</v>
      </c>
      <c r="P191" s="502"/>
    </row>
    <row r="192" spans="1:16" x14ac:dyDescent="0.25">
      <c r="A192" s="442" t="str">
        <f>RigScheduleTest!$B$17</f>
        <v>SP-279</v>
      </c>
      <c r="B192" s="421" t="str">
        <f ca="1">RigScheduleTest!$D$17</f>
        <v>SA-0599-SA-MA-Prod-NW-HZ-HAL</v>
      </c>
      <c r="C192" s="421" t="str">
        <f ca="1">IF(INDEX(Well_Data_NK_Upcoming!$G$2:$G$996,MATCH(Rig_Schedule_View!B192,Well_Data_NK_Upcoming!Concatenated_Wellname,0))=0,"",INDEX(Well_Data_NK_Upcoming!$G$2:$G$996,MATCH(Rig_Schedule_View!B192,Well_Data_NK_Upcoming!Concatenated_Wellname,0)))</f>
        <v>MA</v>
      </c>
      <c r="D192" s="421" t="str">
        <f ca="1">IF(INDEX(Well_Data_NK_Upcoming!$K$2:$K$996,MATCH(Rig_Schedule_View!B192,Well_Data_NK_Upcoming!Concatenated_Wellname,0))=0,"",INDEX(Well_Data_NK_Upcoming!$K$2:$K$996,MATCH(Rig_Schedule_View!B192,Well_Data_NK_Upcoming!Concatenated_Wellname,0)))</f>
        <v>NW</v>
      </c>
      <c r="E192" s="421" t="str">
        <f ca="1">IF(INDEX(Well_Data_NK_Upcoming!$J$2:$J$996,MATCH(Rig_Schedule_View!B192,Well_Data_NK_Upcoming!Concatenated_Wellname,0))=0,"",INDEX(Well_Data_NK_Upcoming!$J$2:$J$996,MATCH(Rig_Schedule_View!B192,Well_Data_NK_Upcoming!Concatenated_Wellname,0)))</f>
        <v>Prod</v>
      </c>
      <c r="F192" s="421" t="str">
        <f ca="1">IF(INDEX(Well_Data_NK_Upcoming!$L$2:$L$996,MATCH(Rig_Schedule_View!B192,Well_Data_NK_Upcoming!Concatenated_Wellname,0))=0,"",INDEX(Well_Data_NK_Upcoming!$L$2:$L$996,MATCH(Rig_Schedule_View!B192,Well_Data_NK_Upcoming!Concatenated_Wellname,0)))</f>
        <v>HZ</v>
      </c>
      <c r="G192" s="421">
        <f ca="1">IF(INDEX(Well_Data_NK_Upcoming!$R$2:$R$996,MATCH(Rig_Schedule_View!B192,Well_Data_NK_Upcoming!Concatenated_Wellname,0))=0,"",INDEX(Well_Data_NK_Upcoming!$R$2:$R$996,MATCH(Rig_Schedule_View!B192,Well_Data_NK_Upcoming!Concatenated_Wellname,0)))</f>
        <v>75</v>
      </c>
      <c r="H192" s="74">
        <f>RigScheduleTest!$F$17</f>
        <v>42233</v>
      </c>
      <c r="I192" s="459">
        <f ca="1">IF(INDEX(Well_Data_NK_Upcoming!$O$2:$O$996,MATCH(Rig_Schedule_View!B192,Well_Data_NK_Upcoming!Concatenated_Wellname,0))=0,"",INDEX(Well_Data_NK_Upcoming!$O$2:$O$996,MATCH(Rig_Schedule_View!B192,Well_Data_NK_Upcoming!Concatenated_Wellname,0)))</f>
        <v>42201.875</v>
      </c>
      <c r="J192" s="446">
        <f ca="1">RigScheduleTest!$H$17</f>
        <v>42254</v>
      </c>
      <c r="K192" s="493" t="s">
        <v>1917</v>
      </c>
      <c r="L192" s="543"/>
      <c r="M192" s="544">
        <v>21</v>
      </c>
      <c r="N192" s="545"/>
      <c r="O192" s="545"/>
      <c r="P192" s="551"/>
    </row>
    <row r="193" spans="1:16" x14ac:dyDescent="0.25">
      <c r="A193" s="442" t="str">
        <f>RigScheduleTest!$B$17</f>
        <v>SP-279</v>
      </c>
      <c r="B193" s="441" t="str">
        <f ca="1">RigScheduleTest!$I$17</f>
        <v>RA-0192ST-RA-LB-Prod-ST-SL-BHI</v>
      </c>
      <c r="C193" s="421" t="str">
        <f ca="1">IF(INDEX(Well_Data_NK_Upcoming!$G$2:$G$996,MATCH(Rig_Schedule_View!B193,Well_Data_NK_Upcoming!Concatenated_Wellname,0))=0,"",INDEX(Well_Data_NK_Upcoming!$G$2:$G$996,MATCH(Rig_Schedule_View!B193,Well_Data_NK_Upcoming!Concatenated_Wellname,0)))</f>
        <v>LB</v>
      </c>
      <c r="D193" s="421" t="str">
        <f ca="1">IF(INDEX(Well_Data_NK_Upcoming!$K$2:$K$996,MATCH(Rig_Schedule_View!B193,Well_Data_NK_Upcoming!Concatenated_Wellname,0))=0,"",INDEX(Well_Data_NK_Upcoming!$K$2:$K$996,MATCH(Rig_Schedule_View!B193,Well_Data_NK_Upcoming!Concatenated_Wellname,0)))</f>
        <v>ST</v>
      </c>
      <c r="E193" s="421" t="str">
        <f ca="1">IF(INDEX(Well_Data_NK_Upcoming!$J$2:$J$996,MATCH(Rig_Schedule_View!B193,Well_Data_NK_Upcoming!Concatenated_Wellname,0))=0,"",INDEX(Well_Data_NK_Upcoming!$J$2:$J$996,MATCH(Rig_Schedule_View!B193,Well_Data_NK_Upcoming!Concatenated_Wellname,0)))</f>
        <v>Prod</v>
      </c>
      <c r="F193" s="421" t="str">
        <f ca="1">IF(INDEX(Well_Data_NK_Upcoming!$L$2:$L$996,MATCH(Rig_Schedule_View!B193,Well_Data_NK_Upcoming!Concatenated_Wellname,0))=0,"",INDEX(Well_Data_NK_Upcoming!$L$2:$L$996,MATCH(Rig_Schedule_View!B193,Well_Data_NK_Upcoming!Concatenated_Wellname,0)))</f>
        <v>SL</v>
      </c>
      <c r="G193" s="421">
        <f ca="1">IF(INDEX(Well_Data_NK_Upcoming!$R$2:$R$996,MATCH(Rig_Schedule_View!B193,Well_Data_NK_Upcoming!Concatenated_Wellname,0))=0,"",INDEX(Well_Data_NK_Upcoming!$R$2:$R$996,MATCH(Rig_Schedule_View!B193,Well_Data_NK_Upcoming!Concatenated_Wellname,0)))</f>
        <v>61</v>
      </c>
      <c r="H193" s="74"/>
      <c r="I193" s="440">
        <f ca="1">RigScheduleTest!$L$17</f>
        <v>42259</v>
      </c>
      <c r="J193" s="440">
        <f ca="1">RigScheduleTest!$M$17</f>
        <v>42315</v>
      </c>
      <c r="K193" s="413"/>
      <c r="L193" s="546" t="s">
        <v>2226</v>
      </c>
      <c r="M193" s="544"/>
      <c r="N193" s="545"/>
      <c r="O193" s="545"/>
      <c r="P193" s="551"/>
    </row>
    <row r="194" spans="1:16" x14ac:dyDescent="0.25">
      <c r="A194" s="442" t="str">
        <f>RigScheduleTest!$B$17</f>
        <v>SP-279</v>
      </c>
      <c r="B194" s="441" t="str">
        <f ca="1">RigScheduleTest!$O$17</f>
        <v>RA2--RA-UB-Prod-NW-HZ</v>
      </c>
      <c r="C194" s="421" t="str">
        <f ca="1">IF(INDEX(Well_Data_NK_Upcoming!$G$2:$G$996,MATCH(Rig_Schedule_View!B194,Well_Data_NK_Upcoming!Concatenated_Wellname,0))=0,"",INDEX(Well_Data_NK_Upcoming!$G$2:$G$996,MATCH(Rig_Schedule_View!B194,Well_Data_NK_Upcoming!Concatenated_Wellname,0)))</f>
        <v>UB</v>
      </c>
      <c r="D194" s="421" t="str">
        <f ca="1">IF(INDEX(Well_Data_NK_Upcoming!$K$2:$K$996,MATCH(Rig_Schedule_View!B194,Well_Data_NK_Upcoming!Concatenated_Wellname,0))=0,"",INDEX(Well_Data_NK_Upcoming!$K$2:$K$996,MATCH(Rig_Schedule_View!B194,Well_Data_NK_Upcoming!Concatenated_Wellname,0)))</f>
        <v>NW</v>
      </c>
      <c r="E194" s="421" t="str">
        <f ca="1">IF(INDEX(Well_Data_NK_Upcoming!$J$2:$J$996,MATCH(Rig_Schedule_View!B194,Well_Data_NK_Upcoming!Concatenated_Wellname,0))=0,"",INDEX(Well_Data_NK_Upcoming!$J$2:$J$996,MATCH(Rig_Schedule_View!B194,Well_Data_NK_Upcoming!Concatenated_Wellname,0)))</f>
        <v>Prod</v>
      </c>
      <c r="F194" s="421" t="str">
        <f ca="1">IF(INDEX(Well_Data_NK_Upcoming!$L$2:$L$996,MATCH(Rig_Schedule_View!B194,Well_Data_NK_Upcoming!Concatenated_Wellname,0))=0,"",INDEX(Well_Data_NK_Upcoming!$L$2:$L$996,MATCH(Rig_Schedule_View!B194,Well_Data_NK_Upcoming!Concatenated_Wellname,0)))</f>
        <v>HZ</v>
      </c>
      <c r="G194" s="421">
        <f ca="1">IF(INDEX(Well_Data_NK_Upcoming!$R$2:$R$996,MATCH(Rig_Schedule_View!B194,Well_Data_NK_Upcoming!Concatenated_Wellname,0))=0,"",INDEX(Well_Data_NK_Upcoming!$R$2:$R$996,MATCH(Rig_Schedule_View!B194,Well_Data_NK_Upcoming!Concatenated_Wellname,0)))</f>
        <v>75</v>
      </c>
      <c r="H194" s="74"/>
      <c r="I194" s="440">
        <f ca="1">RigScheduleTest!$R$17</f>
        <v>42320</v>
      </c>
      <c r="J194" s="440">
        <f ca="1">RigScheduleTest!$S$17</f>
        <v>42390</v>
      </c>
      <c r="K194" s="413" t="s">
        <v>2407</v>
      </c>
      <c r="L194" s="546" t="s">
        <v>2227</v>
      </c>
      <c r="M194" s="544"/>
      <c r="N194" s="545"/>
      <c r="O194" s="545"/>
      <c r="P194" s="551"/>
    </row>
    <row r="195" spans="1:16" x14ac:dyDescent="0.25">
      <c r="A195" s="442" t="str">
        <f>RigScheduleTest!$B$17</f>
        <v>SP-279</v>
      </c>
      <c r="B195" s="442" t="str">
        <f ca="1">RigScheduleTest!$U$17</f>
        <v>SA10-SA-UB-Inj-NW-SL</v>
      </c>
      <c r="C195" s="421" t="str">
        <f ca="1">IF(INDEX(Well_Data_NK_Upcoming!$G$2:$G$996,MATCH(Rig_Schedule_View!B195,Well_Data_NK_Upcoming!Concatenated_Wellname,0))=0,"",INDEX(Well_Data_NK_Upcoming!$G$2:$G$996,MATCH(Rig_Schedule_View!B195,Well_Data_NK_Upcoming!Concatenated_Wellname,0)))</f>
        <v>UB</v>
      </c>
      <c r="D195" s="421" t="str">
        <f ca="1">IF(INDEX(Well_Data_NK_Upcoming!$K$2:$K$996,MATCH(Rig_Schedule_View!B195,Well_Data_NK_Upcoming!Concatenated_Wellname,0))=0,"",INDEX(Well_Data_NK_Upcoming!$K$2:$K$996,MATCH(Rig_Schedule_View!B195,Well_Data_NK_Upcoming!Concatenated_Wellname,0)))</f>
        <v>NW</v>
      </c>
      <c r="E195" s="421" t="str">
        <f ca="1">IF(INDEX(Well_Data_NK_Upcoming!$J$2:$J$996,MATCH(Rig_Schedule_View!B195,Well_Data_NK_Upcoming!Concatenated_Wellname,0))=0,"",INDEX(Well_Data_NK_Upcoming!$J$2:$J$996,MATCH(Rig_Schedule_View!B195,Well_Data_NK_Upcoming!Concatenated_Wellname,0)))</f>
        <v>Inj</v>
      </c>
      <c r="F195" s="421" t="str">
        <f ca="1">IF(INDEX(Well_Data_NK_Upcoming!$L$2:$L$996,MATCH(Rig_Schedule_View!B195,Well_Data_NK_Upcoming!Concatenated_Wellname,0))=0,"",INDEX(Well_Data_NK_Upcoming!$L$2:$L$996,MATCH(Rig_Schedule_View!B195,Well_Data_NK_Upcoming!Concatenated_Wellname,0)))</f>
        <v>SL</v>
      </c>
      <c r="G195" s="421">
        <f ca="1">IF(INDEX(Well_Data_NK_Upcoming!$R$2:$R$996,MATCH(Rig_Schedule_View!B195,Well_Data_NK_Upcoming!Concatenated_Wellname,0))=0,"",INDEX(Well_Data_NK_Upcoming!$R$2:$R$996,MATCH(Rig_Schedule_View!B195,Well_Data_NK_Upcoming!Concatenated_Wellname,0)))</f>
        <v>75</v>
      </c>
      <c r="H195" s="74"/>
      <c r="I195" s="443">
        <f ca="1">RigScheduleTest!$X$17</f>
        <v>42395</v>
      </c>
      <c r="J195" s="443">
        <f ca="1">RigScheduleTest!$Y$17</f>
        <v>42465</v>
      </c>
      <c r="K195" s="413"/>
      <c r="L195" s="546"/>
      <c r="M195" s="544"/>
      <c r="N195" s="545"/>
      <c r="O195" s="545"/>
      <c r="P195" s="551"/>
    </row>
    <row r="196" spans="1:16" x14ac:dyDescent="0.25">
      <c r="A196" s="442" t="str">
        <f>RigScheduleTest!$B$17</f>
        <v>SP-279</v>
      </c>
      <c r="B196" s="442" t="str">
        <f ca="1">RigScheduleTest!$AA$17</f>
        <v/>
      </c>
      <c r="C196" s="421" t="str">
        <f ca="1">IF(INDEX(Well_Data_NK_Upcoming!$G$2:$G$996,MATCH(Rig_Schedule_View!B196,Well_Data_NK_Upcoming!Concatenated_Wellname,0))=0,"",INDEX(Well_Data_NK_Upcoming!$G$2:$G$996,MATCH(Rig_Schedule_View!B196,Well_Data_NK_Upcoming!Concatenated_Wellname,0)))</f>
        <v/>
      </c>
      <c r="D196" s="421" t="str">
        <f ca="1">IF(INDEX(Well_Data_NK_Upcoming!$K$2:$K$996,MATCH(Rig_Schedule_View!B196,Well_Data_NK_Upcoming!Concatenated_Wellname,0))=0,"",INDEX(Well_Data_NK_Upcoming!$K$2:$K$996,MATCH(Rig_Schedule_View!B196,Well_Data_NK_Upcoming!Concatenated_Wellname,0)))</f>
        <v/>
      </c>
      <c r="E196" s="421" t="str">
        <f ca="1">IF(INDEX(Well_Data_NK_Upcoming!$J$2:$J$996,MATCH(Rig_Schedule_View!B196,Well_Data_NK_Upcoming!Concatenated_Wellname,0))=0,"",INDEX(Well_Data_NK_Upcoming!$J$2:$J$996,MATCH(Rig_Schedule_View!B196,Well_Data_NK_Upcoming!Concatenated_Wellname,0)))</f>
        <v/>
      </c>
      <c r="F196" s="421" t="str">
        <f ca="1">IF(INDEX(Well_Data_NK_Upcoming!$L$2:$L$996,MATCH(Rig_Schedule_View!B196,Well_Data_NK_Upcoming!Concatenated_Wellname,0))=0,"",INDEX(Well_Data_NK_Upcoming!$L$2:$L$996,MATCH(Rig_Schedule_View!B196,Well_Data_NK_Upcoming!Concatenated_Wellname,0)))</f>
        <v/>
      </c>
      <c r="G196" s="421" t="str">
        <f ca="1">IF(INDEX(Well_Data_NK_Upcoming!$R$2:$R$996,MATCH(Rig_Schedule_View!B196,Well_Data_NK_Upcoming!Concatenated_Wellname,0))=0,"",INDEX(Well_Data_NK_Upcoming!$R$2:$R$996,MATCH(Rig_Schedule_View!B196,Well_Data_NK_Upcoming!Concatenated_Wellname,0)))</f>
        <v/>
      </c>
      <c r="H196" s="74"/>
      <c r="I196" s="443" t="str">
        <f ca="1">RigScheduleTest!$AD$17</f>
        <v/>
      </c>
      <c r="J196" s="443" t="str">
        <f ca="1">RigScheduleTest!$AE$17</f>
        <v/>
      </c>
      <c r="K196" s="413"/>
      <c r="L196" s="546"/>
      <c r="M196" s="544"/>
      <c r="N196" s="545"/>
      <c r="O196" s="545"/>
      <c r="P196" s="551"/>
    </row>
    <row r="197" spans="1:16" x14ac:dyDescent="0.25">
      <c r="A197" s="442" t="str">
        <f>RigScheduleTest!$B$17</f>
        <v>SP-279</v>
      </c>
      <c r="B197" s="442" t="str">
        <f ca="1">RigScheduleTest!$AG$17</f>
        <v/>
      </c>
      <c r="C197" s="421" t="str">
        <f ca="1">IF(INDEX(Well_Data_NK_Upcoming!$G$2:$G$996,MATCH(Rig_Schedule_View!B197,Well_Data_NK_Upcoming!Concatenated_Wellname,0))=0,"",INDEX(Well_Data_NK_Upcoming!$G$2:$G$996,MATCH(Rig_Schedule_View!B197,Well_Data_NK_Upcoming!Concatenated_Wellname,0)))</f>
        <v/>
      </c>
      <c r="D197" s="421" t="str">
        <f ca="1">IF(INDEX(Well_Data_NK_Upcoming!$K$2:$K$996,MATCH(Rig_Schedule_View!B197,Well_Data_NK_Upcoming!Concatenated_Wellname,0))=0,"",INDEX(Well_Data_NK_Upcoming!$K$2:$K$996,MATCH(Rig_Schedule_View!B197,Well_Data_NK_Upcoming!Concatenated_Wellname,0)))</f>
        <v/>
      </c>
      <c r="E197" s="421" t="str">
        <f ca="1">IF(INDEX(Well_Data_NK_Upcoming!$J$2:$J$996,MATCH(Rig_Schedule_View!B197,Well_Data_NK_Upcoming!Concatenated_Wellname,0))=0,"",INDEX(Well_Data_NK_Upcoming!$J$2:$J$996,MATCH(Rig_Schedule_View!B197,Well_Data_NK_Upcoming!Concatenated_Wellname,0)))</f>
        <v/>
      </c>
      <c r="F197" s="421" t="str">
        <f ca="1">IF(INDEX(Well_Data_NK_Upcoming!$L$2:$L$996,MATCH(Rig_Schedule_View!B197,Well_Data_NK_Upcoming!Concatenated_Wellname,0))=0,"",INDEX(Well_Data_NK_Upcoming!$L$2:$L$996,MATCH(Rig_Schedule_View!B197,Well_Data_NK_Upcoming!Concatenated_Wellname,0)))</f>
        <v/>
      </c>
      <c r="G197" s="421" t="str">
        <f ca="1">IF(INDEX(Well_Data_NK_Upcoming!$R$2:$R$996,MATCH(Rig_Schedule_View!B197,Well_Data_NK_Upcoming!Concatenated_Wellname,0))=0,"",INDEX(Well_Data_NK_Upcoming!$R$2:$R$996,MATCH(Rig_Schedule_View!B197,Well_Data_NK_Upcoming!Concatenated_Wellname,0)))</f>
        <v/>
      </c>
      <c r="H197" s="74"/>
      <c r="I197" s="443" t="str">
        <f ca="1">RigScheduleTest!$AJ$17</f>
        <v/>
      </c>
      <c r="J197" s="443" t="str">
        <f ca="1">RigScheduleTest!$AK$17</f>
        <v/>
      </c>
      <c r="K197" s="413"/>
      <c r="L197" s="546"/>
      <c r="M197" s="544"/>
      <c r="N197" s="545"/>
      <c r="O197" s="545"/>
      <c r="P197" s="551"/>
    </row>
    <row r="198" spans="1:16" x14ac:dyDescent="0.25">
      <c r="A198" s="442" t="str">
        <f>RigScheduleTest!$B$17</f>
        <v>SP-279</v>
      </c>
      <c r="B198" s="442" t="str">
        <f ca="1">RigScheduleTest!$AM$17</f>
        <v/>
      </c>
      <c r="C198" s="421" t="str">
        <f ca="1">IF(INDEX(Well_Data_NK_Upcoming!$G$2:$G$996,MATCH(Rig_Schedule_View!B198,Well_Data_NK_Upcoming!Concatenated_Wellname,0))=0,"",INDEX(Well_Data_NK_Upcoming!$G$2:$G$996,MATCH(Rig_Schedule_View!B198,Well_Data_NK_Upcoming!Concatenated_Wellname,0)))</f>
        <v/>
      </c>
      <c r="D198" s="421" t="str">
        <f ca="1">IF(INDEX(Well_Data_NK_Upcoming!$K$2:$K$996,MATCH(Rig_Schedule_View!B198,Well_Data_NK_Upcoming!Concatenated_Wellname,0))=0,"",INDEX(Well_Data_NK_Upcoming!$K$2:$K$996,MATCH(Rig_Schedule_View!B198,Well_Data_NK_Upcoming!Concatenated_Wellname,0)))</f>
        <v/>
      </c>
      <c r="E198" s="421" t="str">
        <f ca="1">IF(INDEX(Well_Data_NK_Upcoming!$J$2:$J$996,MATCH(Rig_Schedule_View!B198,Well_Data_NK_Upcoming!Concatenated_Wellname,0))=0,"",INDEX(Well_Data_NK_Upcoming!$J$2:$J$996,MATCH(Rig_Schedule_View!B198,Well_Data_NK_Upcoming!Concatenated_Wellname,0)))</f>
        <v/>
      </c>
      <c r="F198" s="421" t="str">
        <f ca="1">IF(INDEX(Well_Data_NK_Upcoming!$L$2:$L$996,MATCH(Rig_Schedule_View!B198,Well_Data_NK_Upcoming!Concatenated_Wellname,0))=0,"",INDEX(Well_Data_NK_Upcoming!$L$2:$L$996,MATCH(Rig_Schedule_View!B198,Well_Data_NK_Upcoming!Concatenated_Wellname,0)))</f>
        <v/>
      </c>
      <c r="G198" s="421" t="str">
        <f ca="1">IF(INDEX(Well_Data_NK_Upcoming!$R$2:$R$996,MATCH(Rig_Schedule_View!B198,Well_Data_NK_Upcoming!Concatenated_Wellname,0))=0,"",INDEX(Well_Data_NK_Upcoming!$R$2:$R$996,MATCH(Rig_Schedule_View!B198,Well_Data_NK_Upcoming!Concatenated_Wellname,0)))</f>
        <v/>
      </c>
      <c r="H198" s="74"/>
      <c r="I198" s="443" t="str">
        <f ca="1">RigScheduleTest!$AP$17</f>
        <v/>
      </c>
      <c r="J198" s="443" t="str">
        <f ca="1">RigScheduleTest!$AQ$17</f>
        <v/>
      </c>
      <c r="K198" s="413"/>
      <c r="L198" s="546"/>
      <c r="M198" s="544"/>
      <c r="N198" s="545"/>
      <c r="O198" s="545"/>
      <c r="P198" s="551"/>
    </row>
    <row r="199" spans="1:16" x14ac:dyDescent="0.25">
      <c r="A199" s="442" t="str">
        <f>RigScheduleTest!$B$17</f>
        <v>SP-279</v>
      </c>
      <c r="B199" s="442" t="str">
        <f ca="1">RigScheduleTest!$AS$17</f>
        <v/>
      </c>
      <c r="C199" s="421" t="str">
        <f ca="1">IF(INDEX(Well_Data_NK_Upcoming!$G$2:$G$996,MATCH(Rig_Schedule_View!B199,Well_Data_NK_Upcoming!Concatenated_Wellname,0))=0,"",INDEX(Well_Data_NK_Upcoming!$G$2:$G$996,MATCH(Rig_Schedule_View!B199,Well_Data_NK_Upcoming!Concatenated_Wellname,0)))</f>
        <v/>
      </c>
      <c r="D199" s="421" t="str">
        <f ca="1">IF(INDEX(Well_Data_NK_Upcoming!$K$2:$K$996,MATCH(Rig_Schedule_View!B199,Well_Data_NK_Upcoming!Concatenated_Wellname,0))=0,"",INDEX(Well_Data_NK_Upcoming!$K$2:$K$996,MATCH(Rig_Schedule_View!B199,Well_Data_NK_Upcoming!Concatenated_Wellname,0)))</f>
        <v/>
      </c>
      <c r="E199" s="421" t="str">
        <f ca="1">IF(INDEX(Well_Data_NK_Upcoming!$J$2:$J$996,MATCH(Rig_Schedule_View!B199,Well_Data_NK_Upcoming!Concatenated_Wellname,0))=0,"",INDEX(Well_Data_NK_Upcoming!$J$2:$J$996,MATCH(Rig_Schedule_View!B199,Well_Data_NK_Upcoming!Concatenated_Wellname,0)))</f>
        <v/>
      </c>
      <c r="F199" s="421" t="str">
        <f ca="1">IF(INDEX(Well_Data_NK_Upcoming!$L$2:$L$996,MATCH(Rig_Schedule_View!B199,Well_Data_NK_Upcoming!Concatenated_Wellname,0))=0,"",INDEX(Well_Data_NK_Upcoming!$L$2:$L$996,MATCH(Rig_Schedule_View!B199,Well_Data_NK_Upcoming!Concatenated_Wellname,0)))</f>
        <v/>
      </c>
      <c r="G199" s="421" t="str">
        <f ca="1">IF(INDEX(Well_Data_NK_Upcoming!$R$2:$R$996,MATCH(Rig_Schedule_View!B199,Well_Data_NK_Upcoming!Concatenated_Wellname,0))=0,"",INDEX(Well_Data_NK_Upcoming!$R$2:$R$996,MATCH(Rig_Schedule_View!B199,Well_Data_NK_Upcoming!Concatenated_Wellname,0)))</f>
        <v/>
      </c>
      <c r="H199" s="74"/>
      <c r="I199" s="443" t="str">
        <f ca="1">RigScheduleTest!$AV$17</f>
        <v/>
      </c>
      <c r="J199" s="443" t="str">
        <f ca="1">RigScheduleTest!$AW$17</f>
        <v/>
      </c>
      <c r="K199" s="413"/>
      <c r="L199" s="546"/>
      <c r="M199" s="544"/>
      <c r="N199" s="545"/>
      <c r="O199" s="545"/>
      <c r="P199" s="551"/>
    </row>
    <row r="200" spans="1:16" x14ac:dyDescent="0.25">
      <c r="A200" s="442" t="str">
        <f>RigScheduleTest!$B$17</f>
        <v>SP-279</v>
      </c>
      <c r="B200" s="442" t="str">
        <f ca="1">RigScheduleTest!$AY$17</f>
        <v/>
      </c>
      <c r="C200" s="421" t="str">
        <f ca="1">IF(INDEX(Well_Data_NK_Upcoming!$G$2:$G$996,MATCH(Rig_Schedule_View!B200,Well_Data_NK_Upcoming!Concatenated_Wellname,0))=0,"",INDEX(Well_Data_NK_Upcoming!$G$2:$G$996,MATCH(Rig_Schedule_View!B200,Well_Data_NK_Upcoming!Concatenated_Wellname,0)))</f>
        <v/>
      </c>
      <c r="D200" s="421" t="str">
        <f ca="1">IF(INDEX(Well_Data_NK_Upcoming!$K$2:$K$996,MATCH(Rig_Schedule_View!B200,Well_Data_NK_Upcoming!Concatenated_Wellname,0))=0,"",INDEX(Well_Data_NK_Upcoming!$K$2:$K$996,MATCH(Rig_Schedule_View!B200,Well_Data_NK_Upcoming!Concatenated_Wellname,0)))</f>
        <v/>
      </c>
      <c r="E200" s="421" t="str">
        <f ca="1">IF(INDEX(Well_Data_NK_Upcoming!$J$2:$J$996,MATCH(Rig_Schedule_View!B200,Well_Data_NK_Upcoming!Concatenated_Wellname,0))=0,"",INDEX(Well_Data_NK_Upcoming!$J$2:$J$996,MATCH(Rig_Schedule_View!B200,Well_Data_NK_Upcoming!Concatenated_Wellname,0)))</f>
        <v/>
      </c>
      <c r="F200" s="421" t="str">
        <f ca="1">IF(INDEX(Well_Data_NK_Upcoming!$L$2:$L$996,MATCH(Rig_Schedule_View!B200,Well_Data_NK_Upcoming!Concatenated_Wellname,0))=0,"",INDEX(Well_Data_NK_Upcoming!$L$2:$L$996,MATCH(Rig_Schedule_View!B200,Well_Data_NK_Upcoming!Concatenated_Wellname,0)))</f>
        <v/>
      </c>
      <c r="G200" s="421" t="str">
        <f ca="1">IF(INDEX(Well_Data_NK_Upcoming!$R$2:$R$996,MATCH(Rig_Schedule_View!B200,Well_Data_NK_Upcoming!Concatenated_Wellname,0))=0,"",INDEX(Well_Data_NK_Upcoming!$R$2:$R$996,MATCH(Rig_Schedule_View!B200,Well_Data_NK_Upcoming!Concatenated_Wellname,0)))</f>
        <v/>
      </c>
      <c r="H200" s="74"/>
      <c r="I200" s="443" t="str">
        <f ca="1">RigScheduleTest!$BB$17</f>
        <v/>
      </c>
      <c r="J200" s="443" t="str">
        <f ca="1">RigScheduleTest!$BC$17</f>
        <v/>
      </c>
      <c r="K200" s="413"/>
      <c r="L200" s="546"/>
      <c r="M200" s="544"/>
      <c r="N200" s="545"/>
      <c r="O200" s="545"/>
      <c r="P200" s="551"/>
    </row>
    <row r="201" spans="1:16" x14ac:dyDescent="0.25">
      <c r="A201" s="442" t="str">
        <f>RigScheduleTest!$B$17</f>
        <v>SP-279</v>
      </c>
      <c r="B201" s="442" t="str">
        <f ca="1">RigScheduleTest!$BE$17</f>
        <v/>
      </c>
      <c r="C201" s="421" t="str">
        <f ca="1">IF(INDEX(Well_Data_NK_Upcoming!$G$2:$G$996,MATCH(Rig_Schedule_View!B201,Well_Data_NK_Upcoming!Concatenated_Wellname,0))=0,"",INDEX(Well_Data_NK_Upcoming!$G$2:$G$996,MATCH(Rig_Schedule_View!B201,Well_Data_NK_Upcoming!Concatenated_Wellname,0)))</f>
        <v/>
      </c>
      <c r="D201" s="421" t="str">
        <f ca="1">IF(INDEX(Well_Data_NK_Upcoming!$K$2:$K$996,MATCH(Rig_Schedule_View!B201,Well_Data_NK_Upcoming!Concatenated_Wellname,0))=0,"",INDEX(Well_Data_NK_Upcoming!$K$2:$K$996,MATCH(Rig_Schedule_View!B201,Well_Data_NK_Upcoming!Concatenated_Wellname,0)))</f>
        <v/>
      </c>
      <c r="E201" s="421" t="str">
        <f ca="1">IF(INDEX(Well_Data_NK_Upcoming!$J$2:$J$996,MATCH(Rig_Schedule_View!B201,Well_Data_NK_Upcoming!Concatenated_Wellname,0))=0,"",INDEX(Well_Data_NK_Upcoming!$J$2:$J$996,MATCH(Rig_Schedule_View!B201,Well_Data_NK_Upcoming!Concatenated_Wellname,0)))</f>
        <v/>
      </c>
      <c r="F201" s="421" t="str">
        <f ca="1">IF(INDEX(Well_Data_NK_Upcoming!$L$2:$L$996,MATCH(Rig_Schedule_View!B201,Well_Data_NK_Upcoming!Concatenated_Wellname,0))=0,"",INDEX(Well_Data_NK_Upcoming!$L$2:$L$996,MATCH(Rig_Schedule_View!B201,Well_Data_NK_Upcoming!Concatenated_Wellname,0)))</f>
        <v/>
      </c>
      <c r="G201" s="421" t="str">
        <f ca="1">IF(INDEX(Well_Data_NK_Upcoming!$R$2:$R$996,MATCH(Rig_Schedule_View!B201,Well_Data_NK_Upcoming!Concatenated_Wellname,0))=0,"",INDEX(Well_Data_NK_Upcoming!$R$2:$R$996,MATCH(Rig_Schedule_View!B201,Well_Data_NK_Upcoming!Concatenated_Wellname,0)))</f>
        <v/>
      </c>
      <c r="H201" s="74"/>
      <c r="I201" s="443" t="str">
        <f ca="1">RigScheduleTest!$BH$17</f>
        <v/>
      </c>
      <c r="J201" s="443" t="str">
        <f ca="1">RigScheduleTest!$BI$17</f>
        <v/>
      </c>
      <c r="K201" s="413"/>
      <c r="L201" s="546"/>
      <c r="M201" s="544"/>
      <c r="N201" s="545"/>
      <c r="O201" s="545"/>
      <c r="P201" s="551"/>
    </row>
    <row r="202" spans="1:16" x14ac:dyDescent="0.25">
      <c r="A202" s="442" t="str">
        <f>RigScheduleTest!$B$17</f>
        <v>SP-279</v>
      </c>
      <c r="B202" s="442" t="str">
        <f ca="1">RigScheduleTest!$BK$17</f>
        <v/>
      </c>
      <c r="C202" s="421" t="str">
        <f ca="1">IF(INDEX(Well_Data_NK_Upcoming!$G$2:$G$996,MATCH(Rig_Schedule_View!B202,Well_Data_NK_Upcoming!Concatenated_Wellname,0))=0,"",INDEX(Well_Data_NK_Upcoming!$G$2:$G$996,MATCH(Rig_Schedule_View!B202,Well_Data_NK_Upcoming!Concatenated_Wellname,0)))</f>
        <v/>
      </c>
      <c r="D202" s="421" t="str">
        <f ca="1">IF(INDEX(Well_Data_NK_Upcoming!$K$2:$K$996,MATCH(Rig_Schedule_View!B202,Well_Data_NK_Upcoming!Concatenated_Wellname,0))=0,"",INDEX(Well_Data_NK_Upcoming!$K$2:$K$996,MATCH(Rig_Schedule_View!B202,Well_Data_NK_Upcoming!Concatenated_Wellname,0)))</f>
        <v/>
      </c>
      <c r="E202" s="421" t="str">
        <f ca="1">IF(INDEX(Well_Data_NK_Upcoming!$J$2:$J$996,MATCH(Rig_Schedule_View!B202,Well_Data_NK_Upcoming!Concatenated_Wellname,0))=0,"",INDEX(Well_Data_NK_Upcoming!$J$2:$J$996,MATCH(Rig_Schedule_View!B202,Well_Data_NK_Upcoming!Concatenated_Wellname,0)))</f>
        <v/>
      </c>
      <c r="F202" s="421" t="str">
        <f ca="1">IF(INDEX(Well_Data_NK_Upcoming!$L$2:$L$996,MATCH(Rig_Schedule_View!B202,Well_Data_NK_Upcoming!Concatenated_Wellname,0))=0,"",INDEX(Well_Data_NK_Upcoming!$L$2:$L$996,MATCH(Rig_Schedule_View!B202,Well_Data_NK_Upcoming!Concatenated_Wellname,0)))</f>
        <v/>
      </c>
      <c r="G202" s="421" t="str">
        <f ca="1">IF(INDEX(Well_Data_NK_Upcoming!$R$2:$R$996,MATCH(Rig_Schedule_View!B202,Well_Data_NK_Upcoming!Concatenated_Wellname,0))=0,"",INDEX(Well_Data_NK_Upcoming!$R$2:$R$996,MATCH(Rig_Schedule_View!B202,Well_Data_NK_Upcoming!Concatenated_Wellname,0)))</f>
        <v/>
      </c>
      <c r="H202" s="74"/>
      <c r="I202" s="443" t="str">
        <f ca="1">RigScheduleTest!$BN$17</f>
        <v/>
      </c>
      <c r="J202" s="443" t="str">
        <f ca="1">RigScheduleTest!$BO$17</f>
        <v/>
      </c>
      <c r="K202" s="413"/>
      <c r="L202" s="546"/>
      <c r="M202" s="544"/>
      <c r="N202" s="545"/>
      <c r="O202" s="545"/>
      <c r="P202" s="551"/>
    </row>
    <row r="203" spans="1:16" x14ac:dyDescent="0.25">
      <c r="A203" s="437" t="str">
        <f>RigScheduleTest!$B$1</f>
        <v>RIG</v>
      </c>
      <c r="B203" s="437" t="str">
        <f>$K$1</f>
        <v>Development Drilling</v>
      </c>
      <c r="C203" s="437" t="s">
        <v>1831</v>
      </c>
      <c r="D203" s="437" t="s">
        <v>867</v>
      </c>
      <c r="E203" s="437" t="s">
        <v>8</v>
      </c>
      <c r="F203" s="437" t="s">
        <v>2</v>
      </c>
      <c r="G203" s="437" t="s">
        <v>1513</v>
      </c>
      <c r="H203" s="438" t="str">
        <f>$K$3</f>
        <v>Rig Deployment Meeting</v>
      </c>
      <c r="I203" s="439" t="str">
        <f>$K$5</f>
        <v>Start</v>
      </c>
      <c r="J203" s="439" t="str">
        <f>$K$6</f>
        <v>End</v>
      </c>
      <c r="K203" s="444" t="s">
        <v>1068</v>
      </c>
      <c r="L203" s="444" t="s">
        <v>1577</v>
      </c>
      <c r="M203" s="496" t="s">
        <v>1934</v>
      </c>
      <c r="N203" s="504" t="s">
        <v>1940</v>
      </c>
      <c r="O203" s="504" t="s">
        <v>1941</v>
      </c>
      <c r="P203" s="502"/>
    </row>
    <row r="204" spans="1:16" x14ac:dyDescent="0.25">
      <c r="A204" s="442" t="str">
        <f>RigScheduleTest!$B$18</f>
        <v>SP-282</v>
      </c>
      <c r="B204" s="421" t="str">
        <f ca="1">RigScheduleTest!$D$18</f>
        <v>SA-0580-SA-MA-Prod-NW-HZ-SLB</v>
      </c>
      <c r="C204" s="421" t="str">
        <f ca="1">IF(INDEX(Well_Data_NK_Upcoming!$G$2:$G$996,MATCH(Rig_Schedule_View!B204,Well_Data_NK_Upcoming!Concatenated_Wellname,0))=0,"",INDEX(Well_Data_NK_Upcoming!$G$2:$G$996,MATCH(Rig_Schedule_View!B204,Well_Data_NK_Upcoming!Concatenated_Wellname,0)))</f>
        <v>MA</v>
      </c>
      <c r="D204" s="421" t="str">
        <f ca="1">IF(INDEX(Well_Data_NK_Upcoming!$K$2:$K$996,MATCH(Rig_Schedule_View!B204,Well_Data_NK_Upcoming!Concatenated_Wellname,0))=0,"",INDEX(Well_Data_NK_Upcoming!$K$2:$K$996,MATCH(Rig_Schedule_View!B204,Well_Data_NK_Upcoming!Concatenated_Wellname,0)))</f>
        <v>NW</v>
      </c>
      <c r="E204" s="421" t="str">
        <f ca="1">IF(INDEX(Well_Data_NK_Upcoming!$J$2:$J$996,MATCH(Rig_Schedule_View!B204,Well_Data_NK_Upcoming!Concatenated_Wellname,0))=0,"",INDEX(Well_Data_NK_Upcoming!$J$2:$J$996,MATCH(Rig_Schedule_View!B204,Well_Data_NK_Upcoming!Concatenated_Wellname,0)))</f>
        <v>Prod</v>
      </c>
      <c r="F204" s="421" t="str">
        <f ca="1">IF(INDEX(Well_Data_NK_Upcoming!$L$2:$L$996,MATCH(Rig_Schedule_View!B204,Well_Data_NK_Upcoming!Concatenated_Wellname,0))=0,"",INDEX(Well_Data_NK_Upcoming!$L$2:$L$996,MATCH(Rig_Schedule_View!B204,Well_Data_NK_Upcoming!Concatenated_Wellname,0)))</f>
        <v>HZ</v>
      </c>
      <c r="G204" s="421">
        <f ca="1">IF(INDEX(Well_Data_NK_Upcoming!$R$2:$R$996,MATCH(Rig_Schedule_View!B204,Well_Data_NK_Upcoming!Concatenated_Wellname,0))=0,"",INDEX(Well_Data_NK_Upcoming!$R$2:$R$996,MATCH(Rig_Schedule_View!B204,Well_Data_NK_Upcoming!Concatenated_Wellname,0)))</f>
        <v>75</v>
      </c>
      <c r="H204" s="74">
        <f>RigScheduleTest!$F$18</f>
        <v>42233</v>
      </c>
      <c r="I204" s="459">
        <f ca="1">IF(INDEX(Well_Data_NK_Upcoming!$O$2:$O$996,MATCH(Rig_Schedule_View!B204,Well_Data_NK_Upcoming!Concatenated_Wellname,0))=0,"",INDEX(Well_Data_NK_Upcoming!$O$2:$O$996,MATCH(Rig_Schedule_View!B204,Well_Data_NK_Upcoming!Concatenated_Wellname,0)))</f>
        <v>42161</v>
      </c>
      <c r="J204" s="446">
        <f ca="1">RigScheduleTest!$H$18</f>
        <v>42238</v>
      </c>
      <c r="K204" s="493" t="s">
        <v>1917</v>
      </c>
      <c r="L204" s="543"/>
      <c r="M204" s="544">
        <v>5</v>
      </c>
      <c r="N204" s="545"/>
      <c r="O204" s="545"/>
      <c r="P204" s="551"/>
    </row>
    <row r="205" spans="1:16" x14ac:dyDescent="0.25">
      <c r="A205" s="442" t="str">
        <f>RigScheduleTest!$B$18</f>
        <v>SP-282</v>
      </c>
      <c r="B205" s="441" t="str">
        <f ca="1">RigScheduleTest!$I$18</f>
        <v>SA-0602-SA-MA-Prod-NW-HZ-SLB</v>
      </c>
      <c r="C205" s="421" t="str">
        <f ca="1">IF(INDEX(Well_Data_NK_Upcoming!$G$2:$G$996,MATCH(Rig_Schedule_View!B205,Well_Data_NK_Upcoming!Concatenated_Wellname,0))=0,"",INDEX(Well_Data_NK_Upcoming!$G$2:$G$996,MATCH(Rig_Schedule_View!B205,Well_Data_NK_Upcoming!Concatenated_Wellname,0)))</f>
        <v>MA</v>
      </c>
      <c r="D205" s="421" t="str">
        <f ca="1">IF(INDEX(Well_Data_NK_Upcoming!$K$2:$K$996,MATCH(Rig_Schedule_View!B205,Well_Data_NK_Upcoming!Concatenated_Wellname,0))=0,"",INDEX(Well_Data_NK_Upcoming!$K$2:$K$996,MATCH(Rig_Schedule_View!B205,Well_Data_NK_Upcoming!Concatenated_Wellname,0)))</f>
        <v>NW</v>
      </c>
      <c r="E205" s="421" t="str">
        <f ca="1">IF(INDEX(Well_Data_NK_Upcoming!$J$2:$J$996,MATCH(Rig_Schedule_View!B205,Well_Data_NK_Upcoming!Concatenated_Wellname,0))=0,"",INDEX(Well_Data_NK_Upcoming!$J$2:$J$996,MATCH(Rig_Schedule_View!B205,Well_Data_NK_Upcoming!Concatenated_Wellname,0)))</f>
        <v>Prod</v>
      </c>
      <c r="F205" s="421" t="str">
        <f ca="1">IF(INDEX(Well_Data_NK_Upcoming!$L$2:$L$996,MATCH(Rig_Schedule_View!B205,Well_Data_NK_Upcoming!Concatenated_Wellname,0))=0,"",INDEX(Well_Data_NK_Upcoming!$L$2:$L$996,MATCH(Rig_Schedule_View!B205,Well_Data_NK_Upcoming!Concatenated_Wellname,0)))</f>
        <v>HZ</v>
      </c>
      <c r="G205" s="421">
        <f ca="1">IF(INDEX(Well_Data_NK_Upcoming!$R$2:$R$996,MATCH(Rig_Schedule_View!B205,Well_Data_NK_Upcoming!Concatenated_Wellname,0))=0,"",INDEX(Well_Data_NK_Upcoming!$R$2:$R$996,MATCH(Rig_Schedule_View!B205,Well_Data_NK_Upcoming!Concatenated_Wellname,0)))</f>
        <v>75</v>
      </c>
      <c r="H205" s="74"/>
      <c r="I205" s="440">
        <f ca="1">RigScheduleTest!$L$18</f>
        <v>42243</v>
      </c>
      <c r="J205" s="440">
        <f ca="1">RigScheduleTest!$M$18</f>
        <v>42313</v>
      </c>
      <c r="K205" s="413"/>
      <c r="L205" s="546" t="s">
        <v>2222</v>
      </c>
      <c r="M205" s="544"/>
      <c r="N205" s="545"/>
      <c r="O205" s="545"/>
      <c r="P205" s="551"/>
    </row>
    <row r="206" spans="1:16" x14ac:dyDescent="0.25">
      <c r="A206" s="442" t="str">
        <f>RigScheduleTest!$B$18</f>
        <v>SP-282</v>
      </c>
      <c r="B206" s="441" t="str">
        <f ca="1">RigScheduleTest!$O$18</f>
        <v>SA-0613-SA-UB-Prod-NW-HZ</v>
      </c>
      <c r="C206" s="421" t="str">
        <f ca="1">IF(INDEX(Well_Data_NK_Upcoming!$G$2:$G$996,MATCH(Rig_Schedule_View!B206,Well_Data_NK_Upcoming!Concatenated_Wellname,0))=0,"",INDEX(Well_Data_NK_Upcoming!$G$2:$G$996,MATCH(Rig_Schedule_View!B206,Well_Data_NK_Upcoming!Concatenated_Wellname,0)))</f>
        <v>UB</v>
      </c>
      <c r="D206" s="421" t="str">
        <f ca="1">IF(INDEX(Well_Data_NK_Upcoming!$K$2:$K$996,MATCH(Rig_Schedule_View!B206,Well_Data_NK_Upcoming!Concatenated_Wellname,0))=0,"",INDEX(Well_Data_NK_Upcoming!$K$2:$K$996,MATCH(Rig_Schedule_View!B206,Well_Data_NK_Upcoming!Concatenated_Wellname,0)))</f>
        <v>NW</v>
      </c>
      <c r="E206" s="421" t="str">
        <f ca="1">IF(INDEX(Well_Data_NK_Upcoming!$J$2:$J$996,MATCH(Rig_Schedule_View!B206,Well_Data_NK_Upcoming!Concatenated_Wellname,0))=0,"",INDEX(Well_Data_NK_Upcoming!$J$2:$J$996,MATCH(Rig_Schedule_View!B206,Well_Data_NK_Upcoming!Concatenated_Wellname,0)))</f>
        <v>Prod</v>
      </c>
      <c r="F206" s="421" t="str">
        <f ca="1">IF(INDEX(Well_Data_NK_Upcoming!$L$2:$L$996,MATCH(Rig_Schedule_View!B206,Well_Data_NK_Upcoming!Concatenated_Wellname,0))=0,"",INDEX(Well_Data_NK_Upcoming!$L$2:$L$996,MATCH(Rig_Schedule_View!B206,Well_Data_NK_Upcoming!Concatenated_Wellname,0)))</f>
        <v>HZ</v>
      </c>
      <c r="G206" s="421">
        <f ca="1">IF(INDEX(Well_Data_NK_Upcoming!$R$2:$R$996,MATCH(Rig_Schedule_View!B206,Well_Data_NK_Upcoming!Concatenated_Wellname,0))=0,"",INDEX(Well_Data_NK_Upcoming!$R$2:$R$996,MATCH(Rig_Schedule_View!B206,Well_Data_NK_Upcoming!Concatenated_Wellname,0)))</f>
        <v>75</v>
      </c>
      <c r="H206" s="74"/>
      <c r="I206" s="440">
        <f ca="1">RigScheduleTest!$R$18</f>
        <v>42318</v>
      </c>
      <c r="J206" s="440">
        <f ca="1">RigScheduleTest!$S$18</f>
        <v>42388</v>
      </c>
      <c r="K206" s="413"/>
      <c r="L206" s="546" t="s">
        <v>2233</v>
      </c>
      <c r="M206" s="544"/>
      <c r="N206" s="545"/>
      <c r="O206" s="545"/>
      <c r="P206" s="551"/>
    </row>
    <row r="207" spans="1:16" x14ac:dyDescent="0.25">
      <c r="A207" s="442" t="str">
        <f>RigScheduleTest!$B$18</f>
        <v>SP-282</v>
      </c>
      <c r="B207" s="442" t="str">
        <f ca="1">RigScheduleTest!$U$18</f>
        <v>SA2-SA-LB-Prod-NW-SL</v>
      </c>
      <c r="C207" s="421" t="str">
        <f ca="1">IF(INDEX(Well_Data_NK_Upcoming!$G$2:$G$996,MATCH(Rig_Schedule_View!B207,Well_Data_NK_Upcoming!Concatenated_Wellname,0))=0,"",INDEX(Well_Data_NK_Upcoming!$G$2:$G$996,MATCH(Rig_Schedule_View!B207,Well_Data_NK_Upcoming!Concatenated_Wellname,0)))</f>
        <v>LB</v>
      </c>
      <c r="D207" s="421" t="str">
        <f ca="1">IF(INDEX(Well_Data_NK_Upcoming!$K$2:$K$996,MATCH(Rig_Schedule_View!B207,Well_Data_NK_Upcoming!Concatenated_Wellname,0))=0,"",INDEX(Well_Data_NK_Upcoming!$K$2:$K$996,MATCH(Rig_Schedule_View!B207,Well_Data_NK_Upcoming!Concatenated_Wellname,0)))</f>
        <v>NW</v>
      </c>
      <c r="E207" s="421" t="str">
        <f ca="1">IF(INDEX(Well_Data_NK_Upcoming!$J$2:$J$996,MATCH(Rig_Schedule_View!B207,Well_Data_NK_Upcoming!Concatenated_Wellname,0))=0,"",INDEX(Well_Data_NK_Upcoming!$J$2:$J$996,MATCH(Rig_Schedule_View!B207,Well_Data_NK_Upcoming!Concatenated_Wellname,0)))</f>
        <v>Prod</v>
      </c>
      <c r="F207" s="421" t="str">
        <f ca="1">IF(INDEX(Well_Data_NK_Upcoming!$L$2:$L$996,MATCH(Rig_Schedule_View!B207,Well_Data_NK_Upcoming!Concatenated_Wellname,0))=0,"",INDEX(Well_Data_NK_Upcoming!$L$2:$L$996,MATCH(Rig_Schedule_View!B207,Well_Data_NK_Upcoming!Concatenated_Wellname,0)))</f>
        <v>SL</v>
      </c>
      <c r="G207" s="421">
        <f ca="1">IF(INDEX(Well_Data_NK_Upcoming!$R$2:$R$996,MATCH(Rig_Schedule_View!B207,Well_Data_NK_Upcoming!Concatenated_Wellname,0))=0,"",INDEX(Well_Data_NK_Upcoming!$R$2:$R$996,MATCH(Rig_Schedule_View!B207,Well_Data_NK_Upcoming!Concatenated_Wellname,0)))</f>
        <v>75</v>
      </c>
      <c r="H207" s="74"/>
      <c r="I207" s="443">
        <f ca="1">RigScheduleTest!$X$18</f>
        <v>42393</v>
      </c>
      <c r="J207" s="443">
        <f ca="1">RigScheduleTest!$Y$18</f>
        <v>42463</v>
      </c>
      <c r="K207" s="413"/>
      <c r="L207" s="546"/>
      <c r="M207" s="544"/>
      <c r="N207" s="545"/>
      <c r="O207" s="545"/>
      <c r="P207" s="551"/>
    </row>
    <row r="208" spans="1:16" x14ac:dyDescent="0.25">
      <c r="A208" s="442" t="str">
        <f>RigScheduleTest!$B$18</f>
        <v>SP-282</v>
      </c>
      <c r="B208" s="442" t="str">
        <f ca="1">RigScheduleTest!$AA$18</f>
        <v>SA3-SA-LB-Prod-HZ</v>
      </c>
      <c r="C208" s="421" t="str">
        <f ca="1">IF(INDEX(Well_Data_NK_Upcoming!$G$2:$G$996,MATCH(Rig_Schedule_View!B208,Well_Data_NK_Upcoming!Concatenated_Wellname,0))=0,"",INDEX(Well_Data_NK_Upcoming!$G$2:$G$996,MATCH(Rig_Schedule_View!B208,Well_Data_NK_Upcoming!Concatenated_Wellname,0)))</f>
        <v>LB</v>
      </c>
      <c r="D208" s="421" t="str">
        <f ca="1">IF(INDEX(Well_Data_NK_Upcoming!$K$2:$K$996,MATCH(Rig_Schedule_View!B208,Well_Data_NK_Upcoming!Concatenated_Wellname,0))=0,"",INDEX(Well_Data_NK_Upcoming!$K$2:$K$996,MATCH(Rig_Schedule_View!B208,Well_Data_NK_Upcoming!Concatenated_Wellname,0)))</f>
        <v/>
      </c>
      <c r="E208" s="421" t="str">
        <f ca="1">IF(INDEX(Well_Data_NK_Upcoming!$J$2:$J$996,MATCH(Rig_Schedule_View!B208,Well_Data_NK_Upcoming!Concatenated_Wellname,0))=0,"",INDEX(Well_Data_NK_Upcoming!$J$2:$J$996,MATCH(Rig_Schedule_View!B208,Well_Data_NK_Upcoming!Concatenated_Wellname,0)))</f>
        <v>Prod</v>
      </c>
      <c r="F208" s="421" t="str">
        <f ca="1">IF(INDEX(Well_Data_NK_Upcoming!$L$2:$L$996,MATCH(Rig_Schedule_View!B208,Well_Data_NK_Upcoming!Concatenated_Wellname,0))=0,"",INDEX(Well_Data_NK_Upcoming!$L$2:$L$996,MATCH(Rig_Schedule_View!B208,Well_Data_NK_Upcoming!Concatenated_Wellname,0)))</f>
        <v>HZ</v>
      </c>
      <c r="G208" s="421">
        <f ca="1">IF(INDEX(Well_Data_NK_Upcoming!$R$2:$R$996,MATCH(Rig_Schedule_View!B208,Well_Data_NK_Upcoming!Concatenated_Wellname,0))=0,"",INDEX(Well_Data_NK_Upcoming!$R$2:$R$996,MATCH(Rig_Schedule_View!B208,Well_Data_NK_Upcoming!Concatenated_Wellname,0)))</f>
        <v>75</v>
      </c>
      <c r="H208" s="74"/>
      <c r="I208" s="443">
        <f ca="1">RigScheduleTest!$AD$18</f>
        <v>42468</v>
      </c>
      <c r="J208" s="443">
        <f ca="1">RigScheduleTest!$AE$18</f>
        <v>42538</v>
      </c>
      <c r="K208" s="413"/>
      <c r="L208" s="546"/>
      <c r="M208" s="544"/>
      <c r="N208" s="545"/>
      <c r="O208" s="545"/>
      <c r="P208" s="551"/>
    </row>
    <row r="209" spans="1:16" x14ac:dyDescent="0.25">
      <c r="A209" s="442" t="str">
        <f>RigScheduleTest!$B$18</f>
        <v>SP-282</v>
      </c>
      <c r="B209" s="442" t="str">
        <f ca="1">RigScheduleTest!$AG$18</f>
        <v/>
      </c>
      <c r="C209" s="421" t="str">
        <f ca="1">IF(INDEX(Well_Data_NK_Upcoming!$G$2:$G$996,MATCH(Rig_Schedule_View!B209,Well_Data_NK_Upcoming!Concatenated_Wellname,0))=0,"",INDEX(Well_Data_NK_Upcoming!$G$2:$G$996,MATCH(Rig_Schedule_View!B209,Well_Data_NK_Upcoming!Concatenated_Wellname,0)))</f>
        <v/>
      </c>
      <c r="D209" s="421" t="str">
        <f ca="1">IF(INDEX(Well_Data_NK_Upcoming!$K$2:$K$996,MATCH(Rig_Schedule_View!B209,Well_Data_NK_Upcoming!Concatenated_Wellname,0))=0,"",INDEX(Well_Data_NK_Upcoming!$K$2:$K$996,MATCH(Rig_Schedule_View!B209,Well_Data_NK_Upcoming!Concatenated_Wellname,0)))</f>
        <v/>
      </c>
      <c r="E209" s="421" t="str">
        <f ca="1">IF(INDEX(Well_Data_NK_Upcoming!$J$2:$J$996,MATCH(Rig_Schedule_View!B209,Well_Data_NK_Upcoming!Concatenated_Wellname,0))=0,"",INDEX(Well_Data_NK_Upcoming!$J$2:$J$996,MATCH(Rig_Schedule_View!B209,Well_Data_NK_Upcoming!Concatenated_Wellname,0)))</f>
        <v/>
      </c>
      <c r="F209" s="421" t="str">
        <f ca="1">IF(INDEX(Well_Data_NK_Upcoming!$L$2:$L$996,MATCH(Rig_Schedule_View!B209,Well_Data_NK_Upcoming!Concatenated_Wellname,0))=0,"",INDEX(Well_Data_NK_Upcoming!$L$2:$L$996,MATCH(Rig_Schedule_View!B209,Well_Data_NK_Upcoming!Concatenated_Wellname,0)))</f>
        <v/>
      </c>
      <c r="G209" s="421" t="str">
        <f ca="1">IF(INDEX(Well_Data_NK_Upcoming!$R$2:$R$996,MATCH(Rig_Schedule_View!B209,Well_Data_NK_Upcoming!Concatenated_Wellname,0))=0,"",INDEX(Well_Data_NK_Upcoming!$R$2:$R$996,MATCH(Rig_Schedule_View!B209,Well_Data_NK_Upcoming!Concatenated_Wellname,0)))</f>
        <v/>
      </c>
      <c r="H209" s="74"/>
      <c r="I209" s="443" t="str">
        <f ca="1">RigScheduleTest!$AJ$18</f>
        <v/>
      </c>
      <c r="J209" s="443" t="str">
        <f ca="1">RigScheduleTest!$AK$18</f>
        <v/>
      </c>
      <c r="K209" s="413"/>
      <c r="L209" s="546"/>
      <c r="M209" s="544"/>
      <c r="N209" s="545"/>
      <c r="O209" s="545"/>
      <c r="P209" s="551"/>
    </row>
    <row r="210" spans="1:16" x14ac:dyDescent="0.25">
      <c r="A210" s="442" t="str">
        <f>RigScheduleTest!$B$18</f>
        <v>SP-282</v>
      </c>
      <c r="B210" s="442" t="str">
        <f ca="1">RigScheduleTest!$AM$18</f>
        <v/>
      </c>
      <c r="C210" s="421" t="str">
        <f ca="1">IF(INDEX(Well_Data_NK_Upcoming!$G$2:$G$996,MATCH(Rig_Schedule_View!B210,Well_Data_NK_Upcoming!Concatenated_Wellname,0))=0,"",INDEX(Well_Data_NK_Upcoming!$G$2:$G$996,MATCH(Rig_Schedule_View!B210,Well_Data_NK_Upcoming!Concatenated_Wellname,0)))</f>
        <v/>
      </c>
      <c r="D210" s="421" t="str">
        <f ca="1">IF(INDEX(Well_Data_NK_Upcoming!$K$2:$K$996,MATCH(Rig_Schedule_View!B210,Well_Data_NK_Upcoming!Concatenated_Wellname,0))=0,"",INDEX(Well_Data_NK_Upcoming!$K$2:$K$996,MATCH(Rig_Schedule_View!B210,Well_Data_NK_Upcoming!Concatenated_Wellname,0)))</f>
        <v/>
      </c>
      <c r="E210" s="421" t="str">
        <f ca="1">IF(INDEX(Well_Data_NK_Upcoming!$J$2:$J$996,MATCH(Rig_Schedule_View!B210,Well_Data_NK_Upcoming!Concatenated_Wellname,0))=0,"",INDEX(Well_Data_NK_Upcoming!$J$2:$J$996,MATCH(Rig_Schedule_View!B210,Well_Data_NK_Upcoming!Concatenated_Wellname,0)))</f>
        <v/>
      </c>
      <c r="F210" s="421" t="str">
        <f ca="1">IF(INDEX(Well_Data_NK_Upcoming!$L$2:$L$996,MATCH(Rig_Schedule_View!B210,Well_Data_NK_Upcoming!Concatenated_Wellname,0))=0,"",INDEX(Well_Data_NK_Upcoming!$L$2:$L$996,MATCH(Rig_Schedule_View!B210,Well_Data_NK_Upcoming!Concatenated_Wellname,0)))</f>
        <v/>
      </c>
      <c r="G210" s="421" t="str">
        <f ca="1">IF(INDEX(Well_Data_NK_Upcoming!$R$2:$R$996,MATCH(Rig_Schedule_View!B210,Well_Data_NK_Upcoming!Concatenated_Wellname,0))=0,"",INDEX(Well_Data_NK_Upcoming!$R$2:$R$996,MATCH(Rig_Schedule_View!B210,Well_Data_NK_Upcoming!Concatenated_Wellname,0)))</f>
        <v/>
      </c>
      <c r="H210" s="74"/>
      <c r="I210" s="443" t="str">
        <f ca="1">RigScheduleTest!$AP$18</f>
        <v/>
      </c>
      <c r="J210" s="443" t="str">
        <f ca="1">RigScheduleTest!$AQ$18</f>
        <v/>
      </c>
      <c r="K210" s="413"/>
      <c r="L210" s="546"/>
      <c r="M210" s="544"/>
      <c r="N210" s="545"/>
      <c r="O210" s="545"/>
      <c r="P210" s="551"/>
    </row>
    <row r="211" spans="1:16" x14ac:dyDescent="0.25">
      <c r="A211" s="442" t="str">
        <f>RigScheduleTest!$B$18</f>
        <v>SP-282</v>
      </c>
      <c r="B211" s="442" t="str">
        <f ca="1">RigScheduleTest!$AS$18</f>
        <v/>
      </c>
      <c r="C211" s="421" t="str">
        <f ca="1">IF(INDEX(Well_Data_NK_Upcoming!$G$2:$G$996,MATCH(Rig_Schedule_View!B211,Well_Data_NK_Upcoming!Concatenated_Wellname,0))=0,"",INDEX(Well_Data_NK_Upcoming!$G$2:$G$996,MATCH(Rig_Schedule_View!B211,Well_Data_NK_Upcoming!Concatenated_Wellname,0)))</f>
        <v/>
      </c>
      <c r="D211" s="421" t="str">
        <f ca="1">IF(INDEX(Well_Data_NK_Upcoming!$K$2:$K$996,MATCH(Rig_Schedule_View!B211,Well_Data_NK_Upcoming!Concatenated_Wellname,0))=0,"",INDEX(Well_Data_NK_Upcoming!$K$2:$K$996,MATCH(Rig_Schedule_View!B211,Well_Data_NK_Upcoming!Concatenated_Wellname,0)))</f>
        <v/>
      </c>
      <c r="E211" s="421" t="str">
        <f ca="1">IF(INDEX(Well_Data_NK_Upcoming!$J$2:$J$996,MATCH(Rig_Schedule_View!B211,Well_Data_NK_Upcoming!Concatenated_Wellname,0))=0,"",INDEX(Well_Data_NK_Upcoming!$J$2:$J$996,MATCH(Rig_Schedule_View!B211,Well_Data_NK_Upcoming!Concatenated_Wellname,0)))</f>
        <v/>
      </c>
      <c r="F211" s="421" t="str">
        <f ca="1">IF(INDEX(Well_Data_NK_Upcoming!$L$2:$L$996,MATCH(Rig_Schedule_View!B211,Well_Data_NK_Upcoming!Concatenated_Wellname,0))=0,"",INDEX(Well_Data_NK_Upcoming!$L$2:$L$996,MATCH(Rig_Schedule_View!B211,Well_Data_NK_Upcoming!Concatenated_Wellname,0)))</f>
        <v/>
      </c>
      <c r="G211" s="421" t="str">
        <f ca="1">IF(INDEX(Well_Data_NK_Upcoming!$R$2:$R$996,MATCH(Rig_Schedule_View!B211,Well_Data_NK_Upcoming!Concatenated_Wellname,0))=0,"",INDEX(Well_Data_NK_Upcoming!$R$2:$R$996,MATCH(Rig_Schedule_View!B211,Well_Data_NK_Upcoming!Concatenated_Wellname,0)))</f>
        <v/>
      </c>
      <c r="H211" s="74"/>
      <c r="I211" s="443" t="str">
        <f ca="1">RigScheduleTest!$AV$18</f>
        <v/>
      </c>
      <c r="J211" s="443" t="str">
        <f ca="1">RigScheduleTest!$AW$18</f>
        <v/>
      </c>
      <c r="K211" s="413"/>
      <c r="L211" s="546"/>
      <c r="M211" s="544"/>
      <c r="N211" s="545"/>
      <c r="O211" s="545"/>
      <c r="P211" s="551"/>
    </row>
    <row r="212" spans="1:16" x14ac:dyDescent="0.25">
      <c r="A212" s="442" t="str">
        <f>RigScheduleTest!$B$18</f>
        <v>SP-282</v>
      </c>
      <c r="B212" s="442" t="str">
        <f ca="1">RigScheduleTest!$AY$18</f>
        <v/>
      </c>
      <c r="C212" s="421" t="str">
        <f ca="1">IF(INDEX(Well_Data_NK_Upcoming!$G$2:$G$996,MATCH(Rig_Schedule_View!B212,Well_Data_NK_Upcoming!Concatenated_Wellname,0))=0,"",INDEX(Well_Data_NK_Upcoming!$G$2:$G$996,MATCH(Rig_Schedule_View!B212,Well_Data_NK_Upcoming!Concatenated_Wellname,0)))</f>
        <v/>
      </c>
      <c r="D212" s="421" t="str">
        <f ca="1">IF(INDEX(Well_Data_NK_Upcoming!$K$2:$K$996,MATCH(Rig_Schedule_View!B212,Well_Data_NK_Upcoming!Concatenated_Wellname,0))=0,"",INDEX(Well_Data_NK_Upcoming!$K$2:$K$996,MATCH(Rig_Schedule_View!B212,Well_Data_NK_Upcoming!Concatenated_Wellname,0)))</f>
        <v/>
      </c>
      <c r="E212" s="421" t="str">
        <f ca="1">IF(INDEX(Well_Data_NK_Upcoming!$J$2:$J$996,MATCH(Rig_Schedule_View!B212,Well_Data_NK_Upcoming!Concatenated_Wellname,0))=0,"",INDEX(Well_Data_NK_Upcoming!$J$2:$J$996,MATCH(Rig_Schedule_View!B212,Well_Data_NK_Upcoming!Concatenated_Wellname,0)))</f>
        <v/>
      </c>
      <c r="F212" s="421" t="str">
        <f ca="1">IF(INDEX(Well_Data_NK_Upcoming!$L$2:$L$996,MATCH(Rig_Schedule_View!B212,Well_Data_NK_Upcoming!Concatenated_Wellname,0))=0,"",INDEX(Well_Data_NK_Upcoming!$L$2:$L$996,MATCH(Rig_Schedule_View!B212,Well_Data_NK_Upcoming!Concatenated_Wellname,0)))</f>
        <v/>
      </c>
      <c r="G212" s="421" t="str">
        <f ca="1">IF(INDEX(Well_Data_NK_Upcoming!$R$2:$R$996,MATCH(Rig_Schedule_View!B212,Well_Data_NK_Upcoming!Concatenated_Wellname,0))=0,"",INDEX(Well_Data_NK_Upcoming!$R$2:$R$996,MATCH(Rig_Schedule_View!B212,Well_Data_NK_Upcoming!Concatenated_Wellname,0)))</f>
        <v/>
      </c>
      <c r="H212" s="74"/>
      <c r="I212" s="443" t="str">
        <f ca="1">RigScheduleTest!$BB$18</f>
        <v/>
      </c>
      <c r="J212" s="443" t="str">
        <f ca="1">RigScheduleTest!$BC$18</f>
        <v/>
      </c>
      <c r="K212" s="413"/>
      <c r="L212" s="546"/>
      <c r="M212" s="544"/>
      <c r="N212" s="545"/>
      <c r="O212" s="545"/>
      <c r="P212" s="551"/>
    </row>
    <row r="213" spans="1:16" x14ac:dyDescent="0.25">
      <c r="A213" s="442" t="str">
        <f>RigScheduleTest!$B$18</f>
        <v>SP-282</v>
      </c>
      <c r="B213" s="442" t="str">
        <f ca="1">RigScheduleTest!$BE$18</f>
        <v/>
      </c>
      <c r="C213" s="421" t="str">
        <f ca="1">IF(INDEX(Well_Data_NK_Upcoming!$G$2:$G$996,MATCH(Rig_Schedule_View!B213,Well_Data_NK_Upcoming!Concatenated_Wellname,0))=0,"",INDEX(Well_Data_NK_Upcoming!$G$2:$G$996,MATCH(Rig_Schedule_View!B213,Well_Data_NK_Upcoming!Concatenated_Wellname,0)))</f>
        <v/>
      </c>
      <c r="D213" s="421" t="str">
        <f ca="1">IF(INDEX(Well_Data_NK_Upcoming!$K$2:$K$996,MATCH(Rig_Schedule_View!B213,Well_Data_NK_Upcoming!Concatenated_Wellname,0))=0,"",INDEX(Well_Data_NK_Upcoming!$K$2:$K$996,MATCH(Rig_Schedule_View!B213,Well_Data_NK_Upcoming!Concatenated_Wellname,0)))</f>
        <v/>
      </c>
      <c r="E213" s="421" t="str">
        <f ca="1">IF(INDEX(Well_Data_NK_Upcoming!$J$2:$J$996,MATCH(Rig_Schedule_View!B213,Well_Data_NK_Upcoming!Concatenated_Wellname,0))=0,"",INDEX(Well_Data_NK_Upcoming!$J$2:$J$996,MATCH(Rig_Schedule_View!B213,Well_Data_NK_Upcoming!Concatenated_Wellname,0)))</f>
        <v/>
      </c>
      <c r="F213" s="421" t="str">
        <f ca="1">IF(INDEX(Well_Data_NK_Upcoming!$L$2:$L$996,MATCH(Rig_Schedule_View!B213,Well_Data_NK_Upcoming!Concatenated_Wellname,0))=0,"",INDEX(Well_Data_NK_Upcoming!$L$2:$L$996,MATCH(Rig_Schedule_View!B213,Well_Data_NK_Upcoming!Concatenated_Wellname,0)))</f>
        <v/>
      </c>
      <c r="G213" s="421" t="str">
        <f ca="1">IF(INDEX(Well_Data_NK_Upcoming!$R$2:$R$996,MATCH(Rig_Schedule_View!B213,Well_Data_NK_Upcoming!Concatenated_Wellname,0))=0,"",INDEX(Well_Data_NK_Upcoming!$R$2:$R$996,MATCH(Rig_Schedule_View!B213,Well_Data_NK_Upcoming!Concatenated_Wellname,0)))</f>
        <v/>
      </c>
      <c r="H213" s="74"/>
      <c r="I213" s="443" t="str">
        <f ca="1">RigScheduleTest!$BH$18</f>
        <v/>
      </c>
      <c r="J213" s="443" t="str">
        <f ca="1">RigScheduleTest!$BI$18</f>
        <v/>
      </c>
      <c r="K213" s="413"/>
      <c r="L213" s="546"/>
      <c r="M213" s="544"/>
      <c r="N213" s="545"/>
      <c r="O213" s="545"/>
      <c r="P213" s="551"/>
    </row>
    <row r="214" spans="1:16" x14ac:dyDescent="0.25">
      <c r="A214" s="442" t="str">
        <f>RigScheduleTest!$B$18</f>
        <v>SP-282</v>
      </c>
      <c r="B214" s="442" t="str">
        <f ca="1">RigScheduleTest!$BK$18</f>
        <v/>
      </c>
      <c r="C214" s="421" t="str">
        <f ca="1">IF(INDEX(Well_Data_NK_Upcoming!$G$2:$G$996,MATCH(Rig_Schedule_View!B214,Well_Data_NK_Upcoming!Concatenated_Wellname,0))=0,"",INDEX(Well_Data_NK_Upcoming!$G$2:$G$996,MATCH(Rig_Schedule_View!B214,Well_Data_NK_Upcoming!Concatenated_Wellname,0)))</f>
        <v/>
      </c>
      <c r="D214" s="421" t="str">
        <f ca="1">IF(INDEX(Well_Data_NK_Upcoming!$K$2:$K$996,MATCH(Rig_Schedule_View!B214,Well_Data_NK_Upcoming!Concatenated_Wellname,0))=0,"",INDEX(Well_Data_NK_Upcoming!$K$2:$K$996,MATCH(Rig_Schedule_View!B214,Well_Data_NK_Upcoming!Concatenated_Wellname,0)))</f>
        <v/>
      </c>
      <c r="E214" s="421" t="str">
        <f ca="1">IF(INDEX(Well_Data_NK_Upcoming!$J$2:$J$996,MATCH(Rig_Schedule_View!B214,Well_Data_NK_Upcoming!Concatenated_Wellname,0))=0,"",INDEX(Well_Data_NK_Upcoming!$J$2:$J$996,MATCH(Rig_Schedule_View!B214,Well_Data_NK_Upcoming!Concatenated_Wellname,0)))</f>
        <v/>
      </c>
      <c r="F214" s="421" t="str">
        <f ca="1">IF(INDEX(Well_Data_NK_Upcoming!$L$2:$L$996,MATCH(Rig_Schedule_View!B214,Well_Data_NK_Upcoming!Concatenated_Wellname,0))=0,"",INDEX(Well_Data_NK_Upcoming!$L$2:$L$996,MATCH(Rig_Schedule_View!B214,Well_Data_NK_Upcoming!Concatenated_Wellname,0)))</f>
        <v/>
      </c>
      <c r="G214" s="421" t="str">
        <f ca="1">IF(INDEX(Well_Data_NK_Upcoming!$R$2:$R$996,MATCH(Rig_Schedule_View!B214,Well_Data_NK_Upcoming!Concatenated_Wellname,0))=0,"",INDEX(Well_Data_NK_Upcoming!$R$2:$R$996,MATCH(Rig_Schedule_View!B214,Well_Data_NK_Upcoming!Concatenated_Wellname,0)))</f>
        <v/>
      </c>
      <c r="H214" s="74"/>
      <c r="I214" s="443" t="str">
        <f ca="1">RigScheduleTest!$BN$18</f>
        <v/>
      </c>
      <c r="J214" s="443" t="str">
        <f ca="1">RigScheduleTest!$BO$18</f>
        <v/>
      </c>
      <c r="K214" s="413"/>
      <c r="L214" s="546"/>
      <c r="M214" s="544"/>
      <c r="N214" s="545"/>
      <c r="O214" s="545"/>
      <c r="P214" s="551"/>
    </row>
    <row r="215" spans="1:16" x14ac:dyDescent="0.25">
      <c r="A215" s="437" t="str">
        <f>RigScheduleTest!$B$1</f>
        <v>RIG</v>
      </c>
      <c r="B215" s="437" t="str">
        <f>$K$1</f>
        <v>Development Drilling</v>
      </c>
      <c r="C215" s="437" t="s">
        <v>1831</v>
      </c>
      <c r="D215" s="437" t="s">
        <v>867</v>
      </c>
      <c r="E215" s="437" t="s">
        <v>8</v>
      </c>
      <c r="F215" s="437" t="s">
        <v>2</v>
      </c>
      <c r="G215" s="437" t="s">
        <v>1513</v>
      </c>
      <c r="H215" s="438" t="str">
        <f>$K$3</f>
        <v>Rig Deployment Meeting</v>
      </c>
      <c r="I215" s="439" t="str">
        <f>$K$5</f>
        <v>Start</v>
      </c>
      <c r="J215" s="439" t="str">
        <f>$K$6</f>
        <v>End</v>
      </c>
      <c r="K215" s="444" t="s">
        <v>1068</v>
      </c>
      <c r="L215" s="444" t="s">
        <v>1577</v>
      </c>
      <c r="M215" s="496" t="s">
        <v>1934</v>
      </c>
      <c r="N215" s="504" t="s">
        <v>1940</v>
      </c>
      <c r="O215" s="504" t="s">
        <v>1941</v>
      </c>
      <c r="P215" s="502"/>
    </row>
    <row r="216" spans="1:16" x14ac:dyDescent="0.25">
      <c r="A216" s="442" t="str">
        <f>RigScheduleTest!$B$19</f>
        <v>SP-283</v>
      </c>
      <c r="B216" s="421" t="str">
        <f ca="1">RigScheduleTest!$D$19</f>
        <v>SA-0137-SA-MA-Prod-ST-HZ-BHI</v>
      </c>
      <c r="C216" s="421" t="str">
        <f ca="1">IF(INDEX(Well_Data_NK_Upcoming!$G$2:$G$996,MATCH(Rig_Schedule_View!B216,Well_Data_NK_Upcoming!Concatenated_Wellname,0))=0,"",INDEX(Well_Data_NK_Upcoming!$G$2:$G$996,MATCH(Rig_Schedule_View!B216,Well_Data_NK_Upcoming!Concatenated_Wellname,0)))</f>
        <v>MA</v>
      </c>
      <c r="D216" s="421" t="str">
        <f ca="1">IF(INDEX(Well_Data_NK_Upcoming!$K$2:$K$996,MATCH(Rig_Schedule_View!B216,Well_Data_NK_Upcoming!Concatenated_Wellname,0))=0,"",INDEX(Well_Data_NK_Upcoming!$K$2:$K$996,MATCH(Rig_Schedule_View!B216,Well_Data_NK_Upcoming!Concatenated_Wellname,0)))</f>
        <v>ST</v>
      </c>
      <c r="E216" s="421" t="str">
        <f ca="1">IF(INDEX(Well_Data_NK_Upcoming!$J$2:$J$996,MATCH(Rig_Schedule_View!B216,Well_Data_NK_Upcoming!Concatenated_Wellname,0))=0,"",INDEX(Well_Data_NK_Upcoming!$J$2:$J$996,MATCH(Rig_Schedule_View!B216,Well_Data_NK_Upcoming!Concatenated_Wellname,0)))</f>
        <v>Prod</v>
      </c>
      <c r="F216" s="421" t="str">
        <f ca="1">IF(INDEX(Well_Data_NK_Upcoming!$L$2:$L$996,MATCH(Rig_Schedule_View!B216,Well_Data_NK_Upcoming!Concatenated_Wellname,0))=0,"",INDEX(Well_Data_NK_Upcoming!$L$2:$L$996,MATCH(Rig_Schedule_View!B216,Well_Data_NK_Upcoming!Concatenated_Wellname,0)))</f>
        <v>HZ</v>
      </c>
      <c r="G216" s="421">
        <f ca="1">IF(INDEX(Well_Data_NK_Upcoming!$R$2:$R$996,MATCH(Rig_Schedule_View!B216,Well_Data_NK_Upcoming!Concatenated_Wellname,0))=0,"",INDEX(Well_Data_NK_Upcoming!$R$2:$R$996,MATCH(Rig_Schedule_View!B216,Well_Data_NK_Upcoming!Concatenated_Wellname,0)))</f>
        <v>61</v>
      </c>
      <c r="H216" s="74">
        <f>RigScheduleTest!$F$19</f>
        <v>42233</v>
      </c>
      <c r="I216" s="459">
        <f ca="1">IF(INDEX(Well_Data_NK_Upcoming!$O$2:$O$996,MATCH(Rig_Schedule_View!B216,Well_Data_NK_Upcoming!Concatenated_Wellname,0))=0,"",INDEX(Well_Data_NK_Upcoming!$O$2:$O$996,MATCH(Rig_Schedule_View!B216,Well_Data_NK_Upcoming!Concatenated_Wellname,0)))</f>
        <v>42208</v>
      </c>
      <c r="J216" s="446">
        <f ca="1">RigScheduleTest!$H$19</f>
        <v>42240</v>
      </c>
      <c r="K216" s="493" t="s">
        <v>1917</v>
      </c>
      <c r="L216" s="543"/>
      <c r="M216" s="544">
        <v>7</v>
      </c>
      <c r="N216" s="545"/>
      <c r="O216" s="545"/>
      <c r="P216" s="551"/>
    </row>
    <row r="217" spans="1:16" x14ac:dyDescent="0.25">
      <c r="A217" s="442" t="str">
        <f>RigScheduleTest!$B$19</f>
        <v>SP-283</v>
      </c>
      <c r="B217" s="441" t="str">
        <f ca="1">RigScheduleTest!$I$19</f>
        <v>RA-0165-RA-ZU-Inj-ST-V</v>
      </c>
      <c r="C217" s="421" t="str">
        <f ca="1">IF(INDEX(Well_Data_NK_Upcoming!$G$2:$G$996,MATCH(Rig_Schedule_View!B217,Well_Data_NK_Upcoming!Concatenated_Wellname,0))=0,"",INDEX(Well_Data_NK_Upcoming!$G$2:$G$996,MATCH(Rig_Schedule_View!B217,Well_Data_NK_Upcoming!Concatenated_Wellname,0)))</f>
        <v>ZU</v>
      </c>
      <c r="D217" s="421" t="str">
        <f ca="1">IF(INDEX(Well_Data_NK_Upcoming!$K$2:$K$996,MATCH(Rig_Schedule_View!B217,Well_Data_NK_Upcoming!Concatenated_Wellname,0))=0,"",INDEX(Well_Data_NK_Upcoming!$K$2:$K$996,MATCH(Rig_Schedule_View!B217,Well_Data_NK_Upcoming!Concatenated_Wellname,0)))</f>
        <v>ST</v>
      </c>
      <c r="E217" s="421" t="str">
        <f ca="1">IF(INDEX(Well_Data_NK_Upcoming!$J$2:$J$996,MATCH(Rig_Schedule_View!B217,Well_Data_NK_Upcoming!Concatenated_Wellname,0))=0,"",INDEX(Well_Data_NK_Upcoming!$J$2:$J$996,MATCH(Rig_Schedule_View!B217,Well_Data_NK_Upcoming!Concatenated_Wellname,0)))</f>
        <v>Inj</v>
      </c>
      <c r="F217" s="421" t="str">
        <f ca="1">IF(INDEX(Well_Data_NK_Upcoming!$L$2:$L$996,MATCH(Rig_Schedule_View!B217,Well_Data_NK_Upcoming!Concatenated_Wellname,0))=0,"",INDEX(Well_Data_NK_Upcoming!$L$2:$L$996,MATCH(Rig_Schedule_View!B217,Well_Data_NK_Upcoming!Concatenated_Wellname,0)))</f>
        <v>V</v>
      </c>
      <c r="G217" s="421">
        <f ca="1">IF(INDEX(Well_Data_NK_Upcoming!$R$2:$R$996,MATCH(Rig_Schedule_View!B217,Well_Data_NK_Upcoming!Concatenated_Wellname,0))=0,"",INDEX(Well_Data_NK_Upcoming!$R$2:$R$996,MATCH(Rig_Schedule_View!B217,Well_Data_NK_Upcoming!Concatenated_Wellname,0)))</f>
        <v>35</v>
      </c>
      <c r="H217" s="74"/>
      <c r="I217" s="440">
        <f ca="1">RigScheduleTest!$L$19</f>
        <v>42245</v>
      </c>
      <c r="J217" s="440">
        <f ca="1">RigScheduleTest!$M$19</f>
        <v>42275</v>
      </c>
      <c r="K217" s="413"/>
      <c r="L217" s="546" t="s">
        <v>2232</v>
      </c>
      <c r="M217" s="544"/>
      <c r="N217" s="545" t="s">
        <v>1981</v>
      </c>
      <c r="O217" s="545" t="s">
        <v>1980</v>
      </c>
      <c r="P217" s="551"/>
    </row>
    <row r="218" spans="1:16" x14ac:dyDescent="0.25">
      <c r="A218" s="442" t="str">
        <f>RigScheduleTest!$B$19</f>
        <v>SP-283</v>
      </c>
      <c r="B218" s="441" t="str">
        <f ca="1">RigScheduleTest!$O$19</f>
        <v>RA-0241-RA-MA-Prod-ST-HZ-Sperry</v>
      </c>
      <c r="C218" s="421" t="str">
        <f ca="1">IF(INDEX(Well_Data_NK_Upcoming!$G$2:$G$996,MATCH(Rig_Schedule_View!B218,Well_Data_NK_Upcoming!Concatenated_Wellname,0))=0,"",INDEX(Well_Data_NK_Upcoming!$G$2:$G$996,MATCH(Rig_Schedule_View!B218,Well_Data_NK_Upcoming!Concatenated_Wellname,0)))</f>
        <v>MA</v>
      </c>
      <c r="D218" s="421" t="str">
        <f ca="1">IF(INDEX(Well_Data_NK_Upcoming!$K$2:$K$996,MATCH(Rig_Schedule_View!B218,Well_Data_NK_Upcoming!Concatenated_Wellname,0))=0,"",INDEX(Well_Data_NK_Upcoming!$K$2:$K$996,MATCH(Rig_Schedule_View!B218,Well_Data_NK_Upcoming!Concatenated_Wellname,0)))</f>
        <v>ST</v>
      </c>
      <c r="E218" s="421" t="str">
        <f ca="1">IF(INDEX(Well_Data_NK_Upcoming!$J$2:$J$996,MATCH(Rig_Schedule_View!B218,Well_Data_NK_Upcoming!Concatenated_Wellname,0))=0,"",INDEX(Well_Data_NK_Upcoming!$J$2:$J$996,MATCH(Rig_Schedule_View!B218,Well_Data_NK_Upcoming!Concatenated_Wellname,0)))</f>
        <v>Prod</v>
      </c>
      <c r="F218" s="421" t="str">
        <f ca="1">IF(INDEX(Well_Data_NK_Upcoming!$L$2:$L$996,MATCH(Rig_Schedule_View!B218,Well_Data_NK_Upcoming!Concatenated_Wellname,0))=0,"",INDEX(Well_Data_NK_Upcoming!$L$2:$L$996,MATCH(Rig_Schedule_View!B218,Well_Data_NK_Upcoming!Concatenated_Wellname,0)))</f>
        <v>HZ</v>
      </c>
      <c r="G218" s="421">
        <f ca="1">IF(INDEX(Well_Data_NK_Upcoming!$R$2:$R$996,MATCH(Rig_Schedule_View!B218,Well_Data_NK_Upcoming!Concatenated_Wellname,0))=0,"",INDEX(Well_Data_NK_Upcoming!$R$2:$R$996,MATCH(Rig_Schedule_View!B218,Well_Data_NK_Upcoming!Concatenated_Wellname,0)))</f>
        <v>61</v>
      </c>
      <c r="H218" s="74"/>
      <c r="I218" s="440">
        <f ca="1">RigScheduleTest!$R$19</f>
        <v>42280</v>
      </c>
      <c r="J218" s="440">
        <f ca="1">RigScheduleTest!$S$19</f>
        <v>42336</v>
      </c>
      <c r="K218" s="413"/>
      <c r="L218" s="546" t="s">
        <v>1983</v>
      </c>
      <c r="M218" s="544"/>
      <c r="N218" s="545" t="s">
        <v>299</v>
      </c>
      <c r="O218" s="545"/>
      <c r="P218" s="551"/>
    </row>
    <row r="219" spans="1:16" x14ac:dyDescent="0.25">
      <c r="A219" s="442" t="str">
        <f>RigScheduleTest!$B$19</f>
        <v>SP-283</v>
      </c>
      <c r="B219" s="442" t="str">
        <f ca="1">RigScheduleTest!$U$19</f>
        <v>SA12-SA-UB-Prod-NW-SL</v>
      </c>
      <c r="C219" s="421" t="str">
        <f ca="1">IF(INDEX(Well_Data_NK_Upcoming!$G$2:$G$996,MATCH(Rig_Schedule_View!B219,Well_Data_NK_Upcoming!Concatenated_Wellname,0))=0,"",INDEX(Well_Data_NK_Upcoming!$G$2:$G$996,MATCH(Rig_Schedule_View!B219,Well_Data_NK_Upcoming!Concatenated_Wellname,0)))</f>
        <v>UB</v>
      </c>
      <c r="D219" s="421" t="str">
        <f ca="1">IF(INDEX(Well_Data_NK_Upcoming!$K$2:$K$996,MATCH(Rig_Schedule_View!B219,Well_Data_NK_Upcoming!Concatenated_Wellname,0))=0,"",INDEX(Well_Data_NK_Upcoming!$K$2:$K$996,MATCH(Rig_Schedule_View!B219,Well_Data_NK_Upcoming!Concatenated_Wellname,0)))</f>
        <v>NW</v>
      </c>
      <c r="E219" s="421" t="str">
        <f ca="1">IF(INDEX(Well_Data_NK_Upcoming!$J$2:$J$996,MATCH(Rig_Schedule_View!B219,Well_Data_NK_Upcoming!Concatenated_Wellname,0))=0,"",INDEX(Well_Data_NK_Upcoming!$J$2:$J$996,MATCH(Rig_Schedule_View!B219,Well_Data_NK_Upcoming!Concatenated_Wellname,0)))</f>
        <v>Prod</v>
      </c>
      <c r="F219" s="421" t="str">
        <f ca="1">IF(INDEX(Well_Data_NK_Upcoming!$L$2:$L$996,MATCH(Rig_Schedule_View!B219,Well_Data_NK_Upcoming!Concatenated_Wellname,0))=0,"",INDEX(Well_Data_NK_Upcoming!$L$2:$L$996,MATCH(Rig_Schedule_View!B219,Well_Data_NK_Upcoming!Concatenated_Wellname,0)))</f>
        <v>SL</v>
      </c>
      <c r="G219" s="421">
        <f ca="1">IF(INDEX(Well_Data_NK_Upcoming!$R$2:$R$996,MATCH(Rig_Schedule_View!B219,Well_Data_NK_Upcoming!Concatenated_Wellname,0))=0,"",INDEX(Well_Data_NK_Upcoming!$R$2:$R$996,MATCH(Rig_Schedule_View!B219,Well_Data_NK_Upcoming!Concatenated_Wellname,0)))</f>
        <v>75</v>
      </c>
      <c r="H219" s="74"/>
      <c r="I219" s="443">
        <f ca="1">RigScheduleTest!$X$19</f>
        <v>42341</v>
      </c>
      <c r="J219" s="443">
        <f ca="1">RigScheduleTest!$Y$19</f>
        <v>42411</v>
      </c>
      <c r="K219" s="413"/>
      <c r="L219" s="546"/>
      <c r="M219" s="544"/>
      <c r="N219" s="545"/>
      <c r="O219" s="545"/>
      <c r="P219" s="551"/>
    </row>
    <row r="220" spans="1:16" x14ac:dyDescent="0.25">
      <c r="A220" s="442" t="str">
        <f>RigScheduleTest!$B$19</f>
        <v>SP-283</v>
      </c>
      <c r="B220" s="442" t="str">
        <f ca="1">RigScheduleTest!$AA$19</f>
        <v>SA25-SA-MA-Prod-NW-HZ</v>
      </c>
      <c r="C220" s="421" t="str">
        <f ca="1">IF(INDEX(Well_Data_NK_Upcoming!$G$2:$G$996,MATCH(Rig_Schedule_View!B220,Well_Data_NK_Upcoming!Concatenated_Wellname,0))=0,"",INDEX(Well_Data_NK_Upcoming!$G$2:$G$996,MATCH(Rig_Schedule_View!B220,Well_Data_NK_Upcoming!Concatenated_Wellname,0)))</f>
        <v>MA</v>
      </c>
      <c r="D220" s="421" t="str">
        <f ca="1">IF(INDEX(Well_Data_NK_Upcoming!$K$2:$K$996,MATCH(Rig_Schedule_View!B220,Well_Data_NK_Upcoming!Concatenated_Wellname,0))=0,"",INDEX(Well_Data_NK_Upcoming!$K$2:$K$996,MATCH(Rig_Schedule_View!B220,Well_Data_NK_Upcoming!Concatenated_Wellname,0)))</f>
        <v>NW</v>
      </c>
      <c r="E220" s="421" t="str">
        <f ca="1">IF(INDEX(Well_Data_NK_Upcoming!$J$2:$J$996,MATCH(Rig_Schedule_View!B220,Well_Data_NK_Upcoming!Concatenated_Wellname,0))=0,"",INDEX(Well_Data_NK_Upcoming!$J$2:$J$996,MATCH(Rig_Schedule_View!B220,Well_Data_NK_Upcoming!Concatenated_Wellname,0)))</f>
        <v>Prod</v>
      </c>
      <c r="F220" s="421" t="str">
        <f ca="1">IF(INDEX(Well_Data_NK_Upcoming!$L$2:$L$996,MATCH(Rig_Schedule_View!B220,Well_Data_NK_Upcoming!Concatenated_Wellname,0))=0,"",INDEX(Well_Data_NK_Upcoming!$L$2:$L$996,MATCH(Rig_Schedule_View!B220,Well_Data_NK_Upcoming!Concatenated_Wellname,0)))</f>
        <v>HZ</v>
      </c>
      <c r="G220" s="421">
        <f ca="1">IF(INDEX(Well_Data_NK_Upcoming!$R$2:$R$996,MATCH(Rig_Schedule_View!B220,Well_Data_NK_Upcoming!Concatenated_Wellname,0))=0,"",INDEX(Well_Data_NK_Upcoming!$R$2:$R$996,MATCH(Rig_Schedule_View!B220,Well_Data_NK_Upcoming!Concatenated_Wellname,0)))</f>
        <v>75</v>
      </c>
      <c r="H220" s="74"/>
      <c r="I220" s="443">
        <f ca="1">RigScheduleTest!$AD$19</f>
        <v>42416</v>
      </c>
      <c r="J220" s="443">
        <f ca="1">RigScheduleTest!$AE$19</f>
        <v>42486</v>
      </c>
      <c r="K220" s="413"/>
      <c r="L220" s="546"/>
      <c r="M220" s="544"/>
      <c r="N220" s="545"/>
      <c r="O220" s="545"/>
      <c r="P220" s="551"/>
    </row>
    <row r="221" spans="1:16" x14ac:dyDescent="0.25">
      <c r="A221" s="442" t="str">
        <f>RigScheduleTest!$B$19</f>
        <v>SP-283</v>
      </c>
      <c r="B221" s="442" t="str">
        <f ca="1">RigScheduleTest!$AG$19</f>
        <v>SA43-SA-MA-Prod-NW-HZ</v>
      </c>
      <c r="C221" s="421" t="str">
        <f ca="1">IF(INDEX(Well_Data_NK_Upcoming!$G$2:$G$996,MATCH(Rig_Schedule_View!B221,Well_Data_NK_Upcoming!Concatenated_Wellname,0))=0,"",INDEX(Well_Data_NK_Upcoming!$G$2:$G$996,MATCH(Rig_Schedule_View!B221,Well_Data_NK_Upcoming!Concatenated_Wellname,0)))</f>
        <v>MA</v>
      </c>
      <c r="D221" s="421" t="str">
        <f ca="1">IF(INDEX(Well_Data_NK_Upcoming!$K$2:$K$996,MATCH(Rig_Schedule_View!B221,Well_Data_NK_Upcoming!Concatenated_Wellname,0))=0,"",INDEX(Well_Data_NK_Upcoming!$K$2:$K$996,MATCH(Rig_Schedule_View!B221,Well_Data_NK_Upcoming!Concatenated_Wellname,0)))</f>
        <v>NW</v>
      </c>
      <c r="E221" s="421" t="str">
        <f ca="1">IF(INDEX(Well_Data_NK_Upcoming!$J$2:$J$996,MATCH(Rig_Schedule_View!B221,Well_Data_NK_Upcoming!Concatenated_Wellname,0))=0,"",INDEX(Well_Data_NK_Upcoming!$J$2:$J$996,MATCH(Rig_Schedule_View!B221,Well_Data_NK_Upcoming!Concatenated_Wellname,0)))</f>
        <v>Prod</v>
      </c>
      <c r="F221" s="421" t="str">
        <f ca="1">IF(INDEX(Well_Data_NK_Upcoming!$L$2:$L$996,MATCH(Rig_Schedule_View!B221,Well_Data_NK_Upcoming!Concatenated_Wellname,0))=0,"",INDEX(Well_Data_NK_Upcoming!$L$2:$L$996,MATCH(Rig_Schedule_View!B221,Well_Data_NK_Upcoming!Concatenated_Wellname,0)))</f>
        <v>HZ</v>
      </c>
      <c r="G221" s="421">
        <f ca="1">IF(INDEX(Well_Data_NK_Upcoming!$R$2:$R$996,MATCH(Rig_Schedule_View!B221,Well_Data_NK_Upcoming!Concatenated_Wellname,0))=0,"",INDEX(Well_Data_NK_Upcoming!$R$2:$R$996,MATCH(Rig_Schedule_View!B221,Well_Data_NK_Upcoming!Concatenated_Wellname,0)))</f>
        <v>75</v>
      </c>
      <c r="H221" s="74"/>
      <c r="I221" s="443">
        <f ca="1">RigScheduleTest!$AJ$19</f>
        <v>42491</v>
      </c>
      <c r="J221" s="443">
        <f ca="1">RigScheduleTest!$AK$19</f>
        <v>42561</v>
      </c>
      <c r="K221" s="413"/>
      <c r="L221" s="546"/>
      <c r="M221" s="544"/>
      <c r="N221" s="545"/>
      <c r="O221" s="545"/>
      <c r="P221" s="551"/>
    </row>
    <row r="222" spans="1:16" x14ac:dyDescent="0.25">
      <c r="A222" s="442" t="str">
        <f>RigScheduleTest!$B$19</f>
        <v>SP-283</v>
      </c>
      <c r="B222" s="442" t="str">
        <f ca="1">RigScheduleTest!$AM$19</f>
        <v>RA32-RA-LB-Prod-NW-SL-SLB</v>
      </c>
      <c r="C222" s="421" t="str">
        <f ca="1">IF(INDEX(Well_Data_NK_Upcoming!$G$2:$G$996,MATCH(Rig_Schedule_View!B222,Well_Data_NK_Upcoming!Concatenated_Wellname,0))=0,"",INDEX(Well_Data_NK_Upcoming!$G$2:$G$996,MATCH(Rig_Schedule_View!B222,Well_Data_NK_Upcoming!Concatenated_Wellname,0)))</f>
        <v>LB</v>
      </c>
      <c r="D222" s="421" t="str">
        <f ca="1">IF(INDEX(Well_Data_NK_Upcoming!$K$2:$K$996,MATCH(Rig_Schedule_View!B222,Well_Data_NK_Upcoming!Concatenated_Wellname,0))=0,"",INDEX(Well_Data_NK_Upcoming!$K$2:$K$996,MATCH(Rig_Schedule_View!B222,Well_Data_NK_Upcoming!Concatenated_Wellname,0)))</f>
        <v>NW</v>
      </c>
      <c r="E222" s="421" t="str">
        <f ca="1">IF(INDEX(Well_Data_NK_Upcoming!$J$2:$J$996,MATCH(Rig_Schedule_View!B222,Well_Data_NK_Upcoming!Concatenated_Wellname,0))=0,"",INDEX(Well_Data_NK_Upcoming!$J$2:$J$996,MATCH(Rig_Schedule_View!B222,Well_Data_NK_Upcoming!Concatenated_Wellname,0)))</f>
        <v>Prod</v>
      </c>
      <c r="F222" s="421" t="str">
        <f ca="1">IF(INDEX(Well_Data_NK_Upcoming!$L$2:$L$996,MATCH(Rig_Schedule_View!B222,Well_Data_NK_Upcoming!Concatenated_Wellname,0))=0,"",INDEX(Well_Data_NK_Upcoming!$L$2:$L$996,MATCH(Rig_Schedule_View!B222,Well_Data_NK_Upcoming!Concatenated_Wellname,0)))</f>
        <v>SL</v>
      </c>
      <c r="G222" s="421">
        <f ca="1">IF(INDEX(Well_Data_NK_Upcoming!$R$2:$R$996,MATCH(Rig_Schedule_View!B222,Well_Data_NK_Upcoming!Concatenated_Wellname,0))=0,"",INDEX(Well_Data_NK_Upcoming!$R$2:$R$996,MATCH(Rig_Schedule_View!B222,Well_Data_NK_Upcoming!Concatenated_Wellname,0)))</f>
        <v>75</v>
      </c>
      <c r="H222" s="74"/>
      <c r="I222" s="443">
        <f ca="1">RigScheduleTest!$AP$19</f>
        <v>42566</v>
      </c>
      <c r="J222" s="443">
        <f ca="1">RigScheduleTest!$AQ$19</f>
        <v>42636</v>
      </c>
      <c r="K222" s="413"/>
      <c r="L222" s="546"/>
      <c r="M222" s="544"/>
      <c r="N222" s="545"/>
      <c r="O222" s="545"/>
      <c r="P222" s="551"/>
    </row>
    <row r="223" spans="1:16" x14ac:dyDescent="0.25">
      <c r="A223" s="442" t="str">
        <f>RigScheduleTest!$B$19</f>
        <v>SP-283</v>
      </c>
      <c r="B223" s="442" t="str">
        <f ca="1">RigScheduleTest!$AS$19</f>
        <v>RA39-RA-MA-Prod-NW-HZ-SLB</v>
      </c>
      <c r="C223" s="421" t="str">
        <f ca="1">IF(INDEX(Well_Data_NK_Upcoming!$G$2:$G$996,MATCH(Rig_Schedule_View!B223,Well_Data_NK_Upcoming!Concatenated_Wellname,0))=0,"",INDEX(Well_Data_NK_Upcoming!$G$2:$G$996,MATCH(Rig_Schedule_View!B223,Well_Data_NK_Upcoming!Concatenated_Wellname,0)))</f>
        <v>MA</v>
      </c>
      <c r="D223" s="421" t="str">
        <f ca="1">IF(INDEX(Well_Data_NK_Upcoming!$K$2:$K$996,MATCH(Rig_Schedule_View!B223,Well_Data_NK_Upcoming!Concatenated_Wellname,0))=0,"",INDEX(Well_Data_NK_Upcoming!$K$2:$K$996,MATCH(Rig_Schedule_View!B223,Well_Data_NK_Upcoming!Concatenated_Wellname,0)))</f>
        <v>NW</v>
      </c>
      <c r="E223" s="421" t="str">
        <f ca="1">IF(INDEX(Well_Data_NK_Upcoming!$J$2:$J$996,MATCH(Rig_Schedule_View!B223,Well_Data_NK_Upcoming!Concatenated_Wellname,0))=0,"",INDEX(Well_Data_NK_Upcoming!$J$2:$J$996,MATCH(Rig_Schedule_View!B223,Well_Data_NK_Upcoming!Concatenated_Wellname,0)))</f>
        <v>Prod</v>
      </c>
      <c r="F223" s="421" t="str">
        <f ca="1">IF(INDEX(Well_Data_NK_Upcoming!$L$2:$L$996,MATCH(Rig_Schedule_View!B223,Well_Data_NK_Upcoming!Concatenated_Wellname,0))=0,"",INDEX(Well_Data_NK_Upcoming!$L$2:$L$996,MATCH(Rig_Schedule_View!B223,Well_Data_NK_Upcoming!Concatenated_Wellname,0)))</f>
        <v>HZ</v>
      </c>
      <c r="G223" s="421">
        <f ca="1">IF(INDEX(Well_Data_NK_Upcoming!$R$2:$R$996,MATCH(Rig_Schedule_View!B223,Well_Data_NK_Upcoming!Concatenated_Wellname,0))=0,"",INDEX(Well_Data_NK_Upcoming!$R$2:$R$996,MATCH(Rig_Schedule_View!B223,Well_Data_NK_Upcoming!Concatenated_Wellname,0)))</f>
        <v>75</v>
      </c>
      <c r="H223" s="74"/>
      <c r="I223" s="443">
        <f ca="1">RigScheduleTest!$AV$19</f>
        <v>42641</v>
      </c>
      <c r="J223" s="443">
        <f ca="1">RigScheduleTest!$AW$19</f>
        <v>42711</v>
      </c>
      <c r="K223" s="413"/>
      <c r="L223" s="546"/>
      <c r="M223" s="544"/>
      <c r="N223" s="545"/>
      <c r="O223" s="545"/>
      <c r="P223" s="551"/>
    </row>
    <row r="224" spans="1:16" x14ac:dyDescent="0.25">
      <c r="A224" s="442" t="str">
        <f>RigScheduleTest!$B$19</f>
        <v>SP-283</v>
      </c>
      <c r="B224" s="442" t="str">
        <f ca="1">RigScheduleTest!$AY$19</f>
        <v>SA60-SA-MA-Inj-ST-SL</v>
      </c>
      <c r="C224" s="421" t="str">
        <f ca="1">IF(INDEX(Well_Data_NK_Upcoming!$G$2:$G$996,MATCH(Rig_Schedule_View!B224,Well_Data_NK_Upcoming!Concatenated_Wellname,0))=0,"",INDEX(Well_Data_NK_Upcoming!$G$2:$G$996,MATCH(Rig_Schedule_View!B224,Well_Data_NK_Upcoming!Concatenated_Wellname,0)))</f>
        <v>MA</v>
      </c>
      <c r="D224" s="421" t="str">
        <f ca="1">IF(INDEX(Well_Data_NK_Upcoming!$K$2:$K$996,MATCH(Rig_Schedule_View!B224,Well_Data_NK_Upcoming!Concatenated_Wellname,0))=0,"",INDEX(Well_Data_NK_Upcoming!$K$2:$K$996,MATCH(Rig_Schedule_View!B224,Well_Data_NK_Upcoming!Concatenated_Wellname,0)))</f>
        <v>ST</v>
      </c>
      <c r="E224" s="421" t="str">
        <f ca="1">IF(INDEX(Well_Data_NK_Upcoming!$J$2:$J$996,MATCH(Rig_Schedule_View!B224,Well_Data_NK_Upcoming!Concatenated_Wellname,0))=0,"",INDEX(Well_Data_NK_Upcoming!$J$2:$J$996,MATCH(Rig_Schedule_View!B224,Well_Data_NK_Upcoming!Concatenated_Wellname,0)))</f>
        <v>Inj</v>
      </c>
      <c r="F224" s="421" t="str">
        <f ca="1">IF(INDEX(Well_Data_NK_Upcoming!$L$2:$L$996,MATCH(Rig_Schedule_View!B224,Well_Data_NK_Upcoming!Concatenated_Wellname,0))=0,"",INDEX(Well_Data_NK_Upcoming!$L$2:$L$996,MATCH(Rig_Schedule_View!B224,Well_Data_NK_Upcoming!Concatenated_Wellname,0)))</f>
        <v>SL</v>
      </c>
      <c r="G224" s="421">
        <f ca="1">IF(INDEX(Well_Data_NK_Upcoming!$R$2:$R$996,MATCH(Rig_Schedule_View!B224,Well_Data_NK_Upcoming!Concatenated_Wellname,0))=0,"",INDEX(Well_Data_NK_Upcoming!$R$2:$R$996,MATCH(Rig_Schedule_View!B224,Well_Data_NK_Upcoming!Concatenated_Wellname,0)))</f>
        <v>61</v>
      </c>
      <c r="H224" s="74"/>
      <c r="I224" s="443">
        <f ca="1">RigScheduleTest!$BB$19</f>
        <v>42716</v>
      </c>
      <c r="J224" s="443">
        <f ca="1">RigScheduleTest!$BC$19</f>
        <v>42772</v>
      </c>
      <c r="K224" s="413"/>
      <c r="L224" s="546"/>
      <c r="M224" s="544"/>
      <c r="N224" s="545"/>
      <c r="O224" s="545"/>
      <c r="P224" s="551"/>
    </row>
    <row r="225" spans="1:16" x14ac:dyDescent="0.25">
      <c r="A225" s="442" t="str">
        <f>RigScheduleTest!$B$19</f>
        <v>SP-283</v>
      </c>
      <c r="B225" s="442" t="str">
        <f ca="1">RigScheduleTest!$BE$19</f>
        <v/>
      </c>
      <c r="C225" s="421" t="str">
        <f ca="1">IF(INDEX(Well_Data_NK_Upcoming!$G$2:$G$996,MATCH(Rig_Schedule_View!B225,Well_Data_NK_Upcoming!Concatenated_Wellname,0))=0,"",INDEX(Well_Data_NK_Upcoming!$G$2:$G$996,MATCH(Rig_Schedule_View!B225,Well_Data_NK_Upcoming!Concatenated_Wellname,0)))</f>
        <v/>
      </c>
      <c r="D225" s="421" t="str">
        <f ca="1">IF(INDEX(Well_Data_NK_Upcoming!$K$2:$K$996,MATCH(Rig_Schedule_View!B225,Well_Data_NK_Upcoming!Concatenated_Wellname,0))=0,"",INDEX(Well_Data_NK_Upcoming!$K$2:$K$996,MATCH(Rig_Schedule_View!B225,Well_Data_NK_Upcoming!Concatenated_Wellname,0)))</f>
        <v/>
      </c>
      <c r="E225" s="421" t="str">
        <f ca="1">IF(INDEX(Well_Data_NK_Upcoming!$J$2:$J$996,MATCH(Rig_Schedule_View!B225,Well_Data_NK_Upcoming!Concatenated_Wellname,0))=0,"",INDEX(Well_Data_NK_Upcoming!$J$2:$J$996,MATCH(Rig_Schedule_View!B225,Well_Data_NK_Upcoming!Concatenated_Wellname,0)))</f>
        <v/>
      </c>
      <c r="F225" s="421" t="str">
        <f ca="1">IF(INDEX(Well_Data_NK_Upcoming!$L$2:$L$996,MATCH(Rig_Schedule_View!B225,Well_Data_NK_Upcoming!Concatenated_Wellname,0))=0,"",INDEX(Well_Data_NK_Upcoming!$L$2:$L$996,MATCH(Rig_Schedule_View!B225,Well_Data_NK_Upcoming!Concatenated_Wellname,0)))</f>
        <v/>
      </c>
      <c r="G225" s="421" t="str">
        <f ca="1">IF(INDEX(Well_Data_NK_Upcoming!$R$2:$R$996,MATCH(Rig_Schedule_View!B225,Well_Data_NK_Upcoming!Concatenated_Wellname,0))=0,"",INDEX(Well_Data_NK_Upcoming!$R$2:$R$996,MATCH(Rig_Schedule_View!B225,Well_Data_NK_Upcoming!Concatenated_Wellname,0)))</f>
        <v/>
      </c>
      <c r="H225" s="74"/>
      <c r="I225" s="443" t="str">
        <f ca="1">RigScheduleTest!$BH$19</f>
        <v/>
      </c>
      <c r="J225" s="443" t="str">
        <f ca="1">RigScheduleTest!$BI$19</f>
        <v/>
      </c>
      <c r="K225" s="413"/>
      <c r="L225" s="546"/>
      <c r="M225" s="544"/>
      <c r="N225" s="545"/>
      <c r="O225" s="545"/>
      <c r="P225" s="551"/>
    </row>
    <row r="226" spans="1:16" x14ac:dyDescent="0.25">
      <c r="A226" s="442" t="str">
        <f>RigScheduleTest!$B$19</f>
        <v>SP-283</v>
      </c>
      <c r="B226" s="442" t="str">
        <f ca="1">RigScheduleTest!$BK$19</f>
        <v/>
      </c>
      <c r="C226" s="421" t="str">
        <f ca="1">IF(INDEX(Well_Data_NK_Upcoming!$G$2:$G$996,MATCH(Rig_Schedule_View!B226,Well_Data_NK_Upcoming!Concatenated_Wellname,0))=0,"",INDEX(Well_Data_NK_Upcoming!$G$2:$G$996,MATCH(Rig_Schedule_View!B226,Well_Data_NK_Upcoming!Concatenated_Wellname,0)))</f>
        <v/>
      </c>
      <c r="D226" s="421" t="str">
        <f ca="1">IF(INDEX(Well_Data_NK_Upcoming!$K$2:$K$996,MATCH(Rig_Schedule_View!B226,Well_Data_NK_Upcoming!Concatenated_Wellname,0))=0,"",INDEX(Well_Data_NK_Upcoming!$K$2:$K$996,MATCH(Rig_Schedule_View!B226,Well_Data_NK_Upcoming!Concatenated_Wellname,0)))</f>
        <v/>
      </c>
      <c r="E226" s="421" t="str">
        <f ca="1">IF(INDEX(Well_Data_NK_Upcoming!$J$2:$J$996,MATCH(Rig_Schedule_View!B226,Well_Data_NK_Upcoming!Concatenated_Wellname,0))=0,"",INDEX(Well_Data_NK_Upcoming!$J$2:$J$996,MATCH(Rig_Schedule_View!B226,Well_Data_NK_Upcoming!Concatenated_Wellname,0)))</f>
        <v/>
      </c>
      <c r="F226" s="421" t="str">
        <f ca="1">IF(INDEX(Well_Data_NK_Upcoming!$L$2:$L$996,MATCH(Rig_Schedule_View!B226,Well_Data_NK_Upcoming!Concatenated_Wellname,0))=0,"",INDEX(Well_Data_NK_Upcoming!$L$2:$L$996,MATCH(Rig_Schedule_View!B226,Well_Data_NK_Upcoming!Concatenated_Wellname,0)))</f>
        <v/>
      </c>
      <c r="G226" s="421" t="str">
        <f ca="1">IF(INDEX(Well_Data_NK_Upcoming!$R$2:$R$996,MATCH(Rig_Schedule_View!B226,Well_Data_NK_Upcoming!Concatenated_Wellname,0))=0,"",INDEX(Well_Data_NK_Upcoming!$R$2:$R$996,MATCH(Rig_Schedule_View!B226,Well_Data_NK_Upcoming!Concatenated_Wellname,0)))</f>
        <v/>
      </c>
      <c r="H226" s="74"/>
      <c r="I226" s="443" t="str">
        <f ca="1">RigScheduleTest!$BN$19</f>
        <v/>
      </c>
      <c r="J226" s="443" t="str">
        <f ca="1">RigScheduleTest!$BO$19</f>
        <v/>
      </c>
      <c r="K226" s="413"/>
      <c r="L226" s="546"/>
      <c r="M226" s="544"/>
      <c r="N226" s="545"/>
      <c r="O226" s="545"/>
      <c r="P226" s="551"/>
    </row>
    <row r="227" spans="1:16" x14ac:dyDescent="0.25">
      <c r="A227" s="437" t="str">
        <f>RigScheduleTest!$B$1</f>
        <v>RIG</v>
      </c>
      <c r="B227" s="437" t="str">
        <f>$K$1</f>
        <v>Development Drilling</v>
      </c>
      <c r="C227" s="437" t="s">
        <v>1831</v>
      </c>
      <c r="D227" s="437" t="s">
        <v>867</v>
      </c>
      <c r="E227" s="437" t="s">
        <v>8</v>
      </c>
      <c r="F227" s="437" t="s">
        <v>2</v>
      </c>
      <c r="G227" s="437" t="s">
        <v>1513</v>
      </c>
      <c r="H227" s="438" t="str">
        <f>$K$3</f>
        <v>Rig Deployment Meeting</v>
      </c>
      <c r="I227" s="439" t="str">
        <f>$K$5</f>
        <v>Start</v>
      </c>
      <c r="J227" s="439" t="str">
        <f>$K$6</f>
        <v>End</v>
      </c>
      <c r="K227" s="444" t="s">
        <v>1068</v>
      </c>
      <c r="L227" s="444" t="s">
        <v>1577</v>
      </c>
      <c r="M227" s="496" t="s">
        <v>1934</v>
      </c>
      <c r="N227" s="504" t="s">
        <v>1940</v>
      </c>
      <c r="O227" s="504" t="s">
        <v>1941</v>
      </c>
      <c r="P227" s="502"/>
    </row>
    <row r="228" spans="1:16" x14ac:dyDescent="0.25">
      <c r="A228" s="442" t="str">
        <f>RigScheduleTest!$B$20</f>
        <v>SP-288</v>
      </c>
      <c r="B228" s="421" t="str">
        <f ca="1">RigScheduleTest!$D$20</f>
        <v>SA-0152-SA-MA-Prod-ST-HZ-SLB</v>
      </c>
      <c r="C228" s="421" t="str">
        <f ca="1">IF(INDEX(Well_Data_NK_Upcoming!$G$2:$G$996,MATCH(Rig_Schedule_View!B228,Well_Data_NK_Upcoming!Concatenated_Wellname,0))=0,"",INDEX(Well_Data_NK_Upcoming!$G$2:$G$996,MATCH(Rig_Schedule_View!B228,Well_Data_NK_Upcoming!Concatenated_Wellname,0)))</f>
        <v>MA</v>
      </c>
      <c r="D228" s="421" t="str">
        <f ca="1">IF(INDEX(Well_Data_NK_Upcoming!$K$2:$K$996,MATCH(Rig_Schedule_View!B228,Well_Data_NK_Upcoming!Concatenated_Wellname,0))=0,"",INDEX(Well_Data_NK_Upcoming!$K$2:$K$996,MATCH(Rig_Schedule_View!B228,Well_Data_NK_Upcoming!Concatenated_Wellname,0)))</f>
        <v>ST</v>
      </c>
      <c r="E228" s="421" t="str">
        <f ca="1">IF(INDEX(Well_Data_NK_Upcoming!$J$2:$J$996,MATCH(Rig_Schedule_View!B228,Well_Data_NK_Upcoming!Concatenated_Wellname,0))=0,"",INDEX(Well_Data_NK_Upcoming!$J$2:$J$996,MATCH(Rig_Schedule_View!B228,Well_Data_NK_Upcoming!Concatenated_Wellname,0)))</f>
        <v>Prod</v>
      </c>
      <c r="F228" s="421" t="str">
        <f ca="1">IF(INDEX(Well_Data_NK_Upcoming!$L$2:$L$996,MATCH(Rig_Schedule_View!B228,Well_Data_NK_Upcoming!Concatenated_Wellname,0))=0,"",INDEX(Well_Data_NK_Upcoming!$L$2:$L$996,MATCH(Rig_Schedule_View!B228,Well_Data_NK_Upcoming!Concatenated_Wellname,0)))</f>
        <v>HZ</v>
      </c>
      <c r="G228" s="421">
        <f ca="1">IF(INDEX(Well_Data_NK_Upcoming!$R$2:$R$996,MATCH(Rig_Schedule_View!B228,Well_Data_NK_Upcoming!Concatenated_Wellname,0))=0,"",INDEX(Well_Data_NK_Upcoming!$R$2:$R$996,MATCH(Rig_Schedule_View!B228,Well_Data_NK_Upcoming!Concatenated_Wellname,0)))</f>
        <v>61</v>
      </c>
      <c r="H228" s="74">
        <f>RigScheduleTest!$F$20</f>
        <v>42233</v>
      </c>
      <c r="I228" s="459" t="str">
        <f ca="1">IF(INDEX(Well_Data_NK_Upcoming!$O$2:$O$996,MATCH(Rig_Schedule_View!B228,Well_Data_NK_Upcoming!Concatenated_Wellname,0))=0,"",INDEX(Well_Data_NK_Upcoming!$O$2:$O$996,MATCH(Rig_Schedule_View!B228,Well_Data_NK_Upcoming!Concatenated_Wellname,0)))</f>
        <v xml:space="preserve"> 8/19/2015 3:00</v>
      </c>
      <c r="J228" s="446">
        <f ca="1">RigScheduleTest!$H$20</f>
        <v>42275</v>
      </c>
      <c r="K228" s="493" t="s">
        <v>1917</v>
      </c>
      <c r="L228" s="543" t="s">
        <v>457</v>
      </c>
      <c r="M228" s="544" t="s">
        <v>2228</v>
      </c>
      <c r="N228" s="545"/>
      <c r="O228" s="545"/>
      <c r="P228" s="551"/>
    </row>
    <row r="229" spans="1:16" x14ac:dyDescent="0.25">
      <c r="A229" s="442" t="str">
        <f>RigScheduleTest!$B$20</f>
        <v>SP-288</v>
      </c>
      <c r="B229" s="441" t="str">
        <f ca="1">RigScheduleTest!$I$20</f>
        <v>RA-0575-RA-LB-Prod-NW-SL-WFD</v>
      </c>
      <c r="C229" s="421" t="str">
        <f ca="1">IF(INDEX(Well_Data_NK_Upcoming!$G$2:$G$996,MATCH(Rig_Schedule_View!B229,Well_Data_NK_Upcoming!Concatenated_Wellname,0))=0,"",INDEX(Well_Data_NK_Upcoming!$G$2:$G$996,MATCH(Rig_Schedule_View!B229,Well_Data_NK_Upcoming!Concatenated_Wellname,0)))</f>
        <v>LB</v>
      </c>
      <c r="D229" s="421" t="str">
        <f ca="1">IF(INDEX(Well_Data_NK_Upcoming!$K$2:$K$996,MATCH(Rig_Schedule_View!B229,Well_Data_NK_Upcoming!Concatenated_Wellname,0))=0,"",INDEX(Well_Data_NK_Upcoming!$K$2:$K$996,MATCH(Rig_Schedule_View!B229,Well_Data_NK_Upcoming!Concatenated_Wellname,0)))</f>
        <v>NW</v>
      </c>
      <c r="E229" s="421" t="str">
        <f ca="1">IF(INDEX(Well_Data_NK_Upcoming!$J$2:$J$996,MATCH(Rig_Schedule_View!B229,Well_Data_NK_Upcoming!Concatenated_Wellname,0))=0,"",INDEX(Well_Data_NK_Upcoming!$J$2:$J$996,MATCH(Rig_Schedule_View!B229,Well_Data_NK_Upcoming!Concatenated_Wellname,0)))</f>
        <v>Prod</v>
      </c>
      <c r="F229" s="421" t="str">
        <f ca="1">IF(INDEX(Well_Data_NK_Upcoming!$L$2:$L$996,MATCH(Rig_Schedule_View!B229,Well_Data_NK_Upcoming!Concatenated_Wellname,0))=0,"",INDEX(Well_Data_NK_Upcoming!$L$2:$L$996,MATCH(Rig_Schedule_View!B229,Well_Data_NK_Upcoming!Concatenated_Wellname,0)))</f>
        <v>SL</v>
      </c>
      <c r="G229" s="421">
        <f ca="1">IF(INDEX(Well_Data_NK_Upcoming!$R$2:$R$996,MATCH(Rig_Schedule_View!B229,Well_Data_NK_Upcoming!Concatenated_Wellname,0))=0,"",INDEX(Well_Data_NK_Upcoming!$R$2:$R$996,MATCH(Rig_Schedule_View!B229,Well_Data_NK_Upcoming!Concatenated_Wellname,0)))</f>
        <v>75</v>
      </c>
      <c r="H229" s="74"/>
      <c r="I229" s="440">
        <f ca="1">RigScheduleTest!$L$20</f>
        <v>42280</v>
      </c>
      <c r="J229" s="440">
        <f ca="1">RigScheduleTest!$M$20</f>
        <v>42350</v>
      </c>
      <c r="K229" s="413"/>
      <c r="L229" s="546"/>
      <c r="M229" s="544"/>
      <c r="N229" s="545" t="s">
        <v>1981</v>
      </c>
      <c r="O229" s="545" t="s">
        <v>1981</v>
      </c>
      <c r="P229" s="551"/>
    </row>
    <row r="230" spans="1:16" x14ac:dyDescent="0.25">
      <c r="A230" s="442" t="str">
        <f>RigScheduleTest!$B$20</f>
        <v>SP-288</v>
      </c>
      <c r="B230" s="441" t="str">
        <f ca="1">RigScheduleTest!$O$20</f>
        <v>SA-0060-SA-MA-Prod-ST-HZ-SLB</v>
      </c>
      <c r="C230" s="421" t="str">
        <f ca="1">IF(INDEX(Well_Data_NK_Upcoming!$G$2:$G$996,MATCH(Rig_Schedule_View!B230,Well_Data_NK_Upcoming!Concatenated_Wellname,0))=0,"",INDEX(Well_Data_NK_Upcoming!$G$2:$G$996,MATCH(Rig_Schedule_View!B230,Well_Data_NK_Upcoming!Concatenated_Wellname,0)))</f>
        <v>MA</v>
      </c>
      <c r="D230" s="421" t="str">
        <f ca="1">IF(INDEX(Well_Data_NK_Upcoming!$K$2:$K$996,MATCH(Rig_Schedule_View!B230,Well_Data_NK_Upcoming!Concatenated_Wellname,0))=0,"",INDEX(Well_Data_NK_Upcoming!$K$2:$K$996,MATCH(Rig_Schedule_View!B230,Well_Data_NK_Upcoming!Concatenated_Wellname,0)))</f>
        <v>ST</v>
      </c>
      <c r="E230" s="421" t="str">
        <f ca="1">IF(INDEX(Well_Data_NK_Upcoming!$J$2:$J$996,MATCH(Rig_Schedule_View!B230,Well_Data_NK_Upcoming!Concatenated_Wellname,0))=0,"",INDEX(Well_Data_NK_Upcoming!$J$2:$J$996,MATCH(Rig_Schedule_View!B230,Well_Data_NK_Upcoming!Concatenated_Wellname,0)))</f>
        <v>Prod</v>
      </c>
      <c r="F230" s="421" t="str">
        <f ca="1">IF(INDEX(Well_Data_NK_Upcoming!$L$2:$L$996,MATCH(Rig_Schedule_View!B230,Well_Data_NK_Upcoming!Concatenated_Wellname,0))=0,"",INDEX(Well_Data_NK_Upcoming!$L$2:$L$996,MATCH(Rig_Schedule_View!B230,Well_Data_NK_Upcoming!Concatenated_Wellname,0)))</f>
        <v>HZ</v>
      </c>
      <c r="G230" s="421">
        <f ca="1">IF(INDEX(Well_Data_NK_Upcoming!$R$2:$R$996,MATCH(Rig_Schedule_View!B230,Well_Data_NK_Upcoming!Concatenated_Wellname,0))=0,"",INDEX(Well_Data_NK_Upcoming!$R$2:$R$996,MATCH(Rig_Schedule_View!B230,Well_Data_NK_Upcoming!Concatenated_Wellname,0)))</f>
        <v>61</v>
      </c>
      <c r="H230" s="74"/>
      <c r="I230" s="440">
        <f ca="1">RigScheduleTest!$R$20</f>
        <v>42355</v>
      </c>
      <c r="J230" s="440">
        <f ca="1">RigScheduleTest!$S$20</f>
        <v>42411</v>
      </c>
      <c r="K230" s="413"/>
      <c r="L230" s="546" t="s">
        <v>2219</v>
      </c>
      <c r="M230" s="544"/>
      <c r="N230" s="545"/>
      <c r="O230" s="545" t="s">
        <v>1984</v>
      </c>
      <c r="P230" s="551"/>
    </row>
    <row r="231" spans="1:16" x14ac:dyDescent="0.25">
      <c r="A231" s="442" t="str">
        <f>RigScheduleTest!$B$20</f>
        <v>SP-288</v>
      </c>
      <c r="B231" s="442" t="str">
        <f ca="1">RigScheduleTest!$U$20</f>
        <v>RA12-RA-LB-Prod-NW-HZ-SLB</v>
      </c>
      <c r="C231" s="421" t="str">
        <f ca="1">IF(INDEX(Well_Data_NK_Upcoming!$G$2:$G$996,MATCH(Rig_Schedule_View!B231,Well_Data_NK_Upcoming!Concatenated_Wellname,0))=0,"",INDEX(Well_Data_NK_Upcoming!$G$2:$G$996,MATCH(Rig_Schedule_View!B231,Well_Data_NK_Upcoming!Concatenated_Wellname,0)))</f>
        <v>LB</v>
      </c>
      <c r="D231" s="421" t="str">
        <f ca="1">IF(INDEX(Well_Data_NK_Upcoming!$K$2:$K$996,MATCH(Rig_Schedule_View!B231,Well_Data_NK_Upcoming!Concatenated_Wellname,0))=0,"",INDEX(Well_Data_NK_Upcoming!$K$2:$K$996,MATCH(Rig_Schedule_View!B231,Well_Data_NK_Upcoming!Concatenated_Wellname,0)))</f>
        <v>NW</v>
      </c>
      <c r="E231" s="421" t="str">
        <f ca="1">IF(INDEX(Well_Data_NK_Upcoming!$J$2:$J$996,MATCH(Rig_Schedule_View!B231,Well_Data_NK_Upcoming!Concatenated_Wellname,0))=0,"",INDEX(Well_Data_NK_Upcoming!$J$2:$J$996,MATCH(Rig_Schedule_View!B231,Well_Data_NK_Upcoming!Concatenated_Wellname,0)))</f>
        <v>Prod</v>
      </c>
      <c r="F231" s="421" t="str">
        <f ca="1">IF(INDEX(Well_Data_NK_Upcoming!$L$2:$L$996,MATCH(Rig_Schedule_View!B231,Well_Data_NK_Upcoming!Concatenated_Wellname,0))=0,"",INDEX(Well_Data_NK_Upcoming!$L$2:$L$996,MATCH(Rig_Schedule_View!B231,Well_Data_NK_Upcoming!Concatenated_Wellname,0)))</f>
        <v>HZ</v>
      </c>
      <c r="G231" s="421">
        <f ca="1">IF(INDEX(Well_Data_NK_Upcoming!$R$2:$R$996,MATCH(Rig_Schedule_View!B231,Well_Data_NK_Upcoming!Concatenated_Wellname,0))=0,"",INDEX(Well_Data_NK_Upcoming!$R$2:$R$996,MATCH(Rig_Schedule_View!B231,Well_Data_NK_Upcoming!Concatenated_Wellname,0)))</f>
        <v>75</v>
      </c>
      <c r="H231" s="74"/>
      <c r="I231" s="443">
        <f ca="1">RigScheduleTest!$X$20</f>
        <v>42416</v>
      </c>
      <c r="J231" s="443">
        <f ca="1">RigScheduleTest!$Y$20</f>
        <v>42486</v>
      </c>
      <c r="K231" s="413"/>
      <c r="L231" s="546" t="s">
        <v>1985</v>
      </c>
      <c r="M231" s="544"/>
      <c r="N231" s="545"/>
      <c r="O231" s="545"/>
      <c r="P231" s="551"/>
    </row>
    <row r="232" spans="1:16" x14ac:dyDescent="0.25">
      <c r="A232" s="442" t="str">
        <f>RigScheduleTest!$B$20</f>
        <v>SP-288</v>
      </c>
      <c r="B232" s="442" t="str">
        <f ca="1">RigScheduleTest!$AA$20</f>
        <v>SA26-SA-MA-Prod-NW-HZ</v>
      </c>
      <c r="C232" s="421" t="str">
        <f ca="1">IF(INDEX(Well_Data_NK_Upcoming!$G$2:$G$996,MATCH(Rig_Schedule_View!B232,Well_Data_NK_Upcoming!Concatenated_Wellname,0))=0,"",INDEX(Well_Data_NK_Upcoming!$G$2:$G$996,MATCH(Rig_Schedule_View!B232,Well_Data_NK_Upcoming!Concatenated_Wellname,0)))</f>
        <v>MA</v>
      </c>
      <c r="D232" s="421" t="str">
        <f ca="1">IF(INDEX(Well_Data_NK_Upcoming!$K$2:$K$996,MATCH(Rig_Schedule_View!B232,Well_Data_NK_Upcoming!Concatenated_Wellname,0))=0,"",INDEX(Well_Data_NK_Upcoming!$K$2:$K$996,MATCH(Rig_Schedule_View!B232,Well_Data_NK_Upcoming!Concatenated_Wellname,0)))</f>
        <v>NW</v>
      </c>
      <c r="E232" s="421" t="str">
        <f ca="1">IF(INDEX(Well_Data_NK_Upcoming!$J$2:$J$996,MATCH(Rig_Schedule_View!B232,Well_Data_NK_Upcoming!Concatenated_Wellname,0))=0,"",INDEX(Well_Data_NK_Upcoming!$J$2:$J$996,MATCH(Rig_Schedule_View!B232,Well_Data_NK_Upcoming!Concatenated_Wellname,0)))</f>
        <v>Prod</v>
      </c>
      <c r="F232" s="421" t="str">
        <f ca="1">IF(INDEX(Well_Data_NK_Upcoming!$L$2:$L$996,MATCH(Rig_Schedule_View!B232,Well_Data_NK_Upcoming!Concatenated_Wellname,0))=0,"",INDEX(Well_Data_NK_Upcoming!$L$2:$L$996,MATCH(Rig_Schedule_View!B232,Well_Data_NK_Upcoming!Concatenated_Wellname,0)))</f>
        <v>HZ</v>
      </c>
      <c r="G232" s="421">
        <f ca="1">IF(INDEX(Well_Data_NK_Upcoming!$R$2:$R$996,MATCH(Rig_Schedule_View!B232,Well_Data_NK_Upcoming!Concatenated_Wellname,0))=0,"",INDEX(Well_Data_NK_Upcoming!$R$2:$R$996,MATCH(Rig_Schedule_View!B232,Well_Data_NK_Upcoming!Concatenated_Wellname,0)))</f>
        <v>75</v>
      </c>
      <c r="H232" s="74"/>
      <c r="I232" s="443">
        <f ca="1">RigScheduleTest!$AD$20</f>
        <v>42491</v>
      </c>
      <c r="J232" s="443">
        <f ca="1">RigScheduleTest!$AE$20</f>
        <v>42561</v>
      </c>
      <c r="K232" s="413"/>
      <c r="L232" s="546"/>
      <c r="M232" s="544"/>
      <c r="N232" s="545"/>
      <c r="O232" s="545"/>
      <c r="P232" s="551"/>
    </row>
    <row r="233" spans="1:16" x14ac:dyDescent="0.25">
      <c r="A233" s="442" t="str">
        <f>RigScheduleTest!$B$20</f>
        <v>SP-288</v>
      </c>
      <c r="B233" s="442" t="str">
        <f ca="1">RigScheduleTest!$AG$20</f>
        <v>SA44-SA-MA-Prod-NW-HZ</v>
      </c>
      <c r="C233" s="421" t="str">
        <f ca="1">IF(INDEX(Well_Data_NK_Upcoming!$G$2:$G$996,MATCH(Rig_Schedule_View!B233,Well_Data_NK_Upcoming!Concatenated_Wellname,0))=0,"",INDEX(Well_Data_NK_Upcoming!$G$2:$G$996,MATCH(Rig_Schedule_View!B233,Well_Data_NK_Upcoming!Concatenated_Wellname,0)))</f>
        <v>MA</v>
      </c>
      <c r="D233" s="421" t="str">
        <f ca="1">IF(INDEX(Well_Data_NK_Upcoming!$K$2:$K$996,MATCH(Rig_Schedule_View!B233,Well_Data_NK_Upcoming!Concatenated_Wellname,0))=0,"",INDEX(Well_Data_NK_Upcoming!$K$2:$K$996,MATCH(Rig_Schedule_View!B233,Well_Data_NK_Upcoming!Concatenated_Wellname,0)))</f>
        <v>NW</v>
      </c>
      <c r="E233" s="421" t="str">
        <f ca="1">IF(INDEX(Well_Data_NK_Upcoming!$J$2:$J$996,MATCH(Rig_Schedule_View!B233,Well_Data_NK_Upcoming!Concatenated_Wellname,0))=0,"",INDEX(Well_Data_NK_Upcoming!$J$2:$J$996,MATCH(Rig_Schedule_View!B233,Well_Data_NK_Upcoming!Concatenated_Wellname,0)))</f>
        <v>Prod</v>
      </c>
      <c r="F233" s="421" t="str">
        <f ca="1">IF(INDEX(Well_Data_NK_Upcoming!$L$2:$L$996,MATCH(Rig_Schedule_View!B233,Well_Data_NK_Upcoming!Concatenated_Wellname,0))=0,"",INDEX(Well_Data_NK_Upcoming!$L$2:$L$996,MATCH(Rig_Schedule_View!B233,Well_Data_NK_Upcoming!Concatenated_Wellname,0)))</f>
        <v>HZ</v>
      </c>
      <c r="G233" s="421">
        <f ca="1">IF(INDEX(Well_Data_NK_Upcoming!$R$2:$R$996,MATCH(Rig_Schedule_View!B233,Well_Data_NK_Upcoming!Concatenated_Wellname,0))=0,"",INDEX(Well_Data_NK_Upcoming!$R$2:$R$996,MATCH(Rig_Schedule_View!B233,Well_Data_NK_Upcoming!Concatenated_Wellname,0)))</f>
        <v>75</v>
      </c>
      <c r="H233" s="74"/>
      <c r="I233" s="443">
        <f ca="1">RigScheduleTest!$AJ$20</f>
        <v>42566</v>
      </c>
      <c r="J233" s="443">
        <f ca="1">RigScheduleTest!$AK$20</f>
        <v>42636</v>
      </c>
      <c r="K233" s="413"/>
      <c r="L233" s="546"/>
      <c r="M233" s="544"/>
      <c r="N233" s="545"/>
      <c r="O233" s="545"/>
      <c r="P233" s="551"/>
    </row>
    <row r="234" spans="1:16" x14ac:dyDescent="0.25">
      <c r="A234" s="442" t="str">
        <f>RigScheduleTest!$B$20</f>
        <v>SP-288</v>
      </c>
      <c r="B234" s="442" t="str">
        <f ca="1">RigScheduleTest!$AM$20</f>
        <v>RA33-RA-LB-Prod-NW-SL-SLB</v>
      </c>
      <c r="C234" s="421" t="str">
        <f ca="1">IF(INDEX(Well_Data_NK_Upcoming!$G$2:$G$996,MATCH(Rig_Schedule_View!B234,Well_Data_NK_Upcoming!Concatenated_Wellname,0))=0,"",INDEX(Well_Data_NK_Upcoming!$G$2:$G$996,MATCH(Rig_Schedule_View!B234,Well_Data_NK_Upcoming!Concatenated_Wellname,0)))</f>
        <v>LB</v>
      </c>
      <c r="D234" s="421" t="str">
        <f ca="1">IF(INDEX(Well_Data_NK_Upcoming!$K$2:$K$996,MATCH(Rig_Schedule_View!B234,Well_Data_NK_Upcoming!Concatenated_Wellname,0))=0,"",INDEX(Well_Data_NK_Upcoming!$K$2:$K$996,MATCH(Rig_Schedule_View!B234,Well_Data_NK_Upcoming!Concatenated_Wellname,0)))</f>
        <v>NW</v>
      </c>
      <c r="E234" s="421" t="str">
        <f ca="1">IF(INDEX(Well_Data_NK_Upcoming!$J$2:$J$996,MATCH(Rig_Schedule_View!B234,Well_Data_NK_Upcoming!Concatenated_Wellname,0))=0,"",INDEX(Well_Data_NK_Upcoming!$J$2:$J$996,MATCH(Rig_Schedule_View!B234,Well_Data_NK_Upcoming!Concatenated_Wellname,0)))</f>
        <v>Prod</v>
      </c>
      <c r="F234" s="421" t="str">
        <f ca="1">IF(INDEX(Well_Data_NK_Upcoming!$L$2:$L$996,MATCH(Rig_Schedule_View!B234,Well_Data_NK_Upcoming!Concatenated_Wellname,0))=0,"",INDEX(Well_Data_NK_Upcoming!$L$2:$L$996,MATCH(Rig_Schedule_View!B234,Well_Data_NK_Upcoming!Concatenated_Wellname,0)))</f>
        <v>SL</v>
      </c>
      <c r="G234" s="421">
        <f ca="1">IF(INDEX(Well_Data_NK_Upcoming!$R$2:$R$996,MATCH(Rig_Schedule_View!B234,Well_Data_NK_Upcoming!Concatenated_Wellname,0))=0,"",INDEX(Well_Data_NK_Upcoming!$R$2:$R$996,MATCH(Rig_Schedule_View!B234,Well_Data_NK_Upcoming!Concatenated_Wellname,0)))</f>
        <v>75</v>
      </c>
      <c r="H234" s="74"/>
      <c r="I234" s="443">
        <f ca="1">RigScheduleTest!$AP$20</f>
        <v>42641</v>
      </c>
      <c r="J234" s="443">
        <f ca="1">RigScheduleTest!$AQ$20</f>
        <v>42711</v>
      </c>
      <c r="K234" s="413"/>
      <c r="L234" s="546"/>
      <c r="M234" s="544"/>
      <c r="N234" s="545"/>
      <c r="O234" s="545"/>
      <c r="P234" s="551"/>
    </row>
    <row r="235" spans="1:16" x14ac:dyDescent="0.25">
      <c r="A235" s="442" t="str">
        <f>RigScheduleTest!$B$20</f>
        <v>SP-288</v>
      </c>
      <c r="B235" s="442" t="str">
        <f ca="1">RigScheduleTest!$AS$20</f>
        <v>RA40-RA-MA-Prod-NW-HZ-SLB</v>
      </c>
      <c r="C235" s="421" t="str">
        <f ca="1">IF(INDEX(Well_Data_NK_Upcoming!$G$2:$G$996,MATCH(Rig_Schedule_View!B235,Well_Data_NK_Upcoming!Concatenated_Wellname,0))=0,"",INDEX(Well_Data_NK_Upcoming!$G$2:$G$996,MATCH(Rig_Schedule_View!B235,Well_Data_NK_Upcoming!Concatenated_Wellname,0)))</f>
        <v>MA</v>
      </c>
      <c r="D235" s="421" t="str">
        <f ca="1">IF(INDEX(Well_Data_NK_Upcoming!$K$2:$K$996,MATCH(Rig_Schedule_View!B235,Well_Data_NK_Upcoming!Concatenated_Wellname,0))=0,"",INDEX(Well_Data_NK_Upcoming!$K$2:$K$996,MATCH(Rig_Schedule_View!B235,Well_Data_NK_Upcoming!Concatenated_Wellname,0)))</f>
        <v>NW</v>
      </c>
      <c r="E235" s="421" t="str">
        <f ca="1">IF(INDEX(Well_Data_NK_Upcoming!$J$2:$J$996,MATCH(Rig_Schedule_View!B235,Well_Data_NK_Upcoming!Concatenated_Wellname,0))=0,"",INDEX(Well_Data_NK_Upcoming!$J$2:$J$996,MATCH(Rig_Schedule_View!B235,Well_Data_NK_Upcoming!Concatenated_Wellname,0)))</f>
        <v>Prod</v>
      </c>
      <c r="F235" s="421" t="str">
        <f ca="1">IF(INDEX(Well_Data_NK_Upcoming!$L$2:$L$996,MATCH(Rig_Schedule_View!B235,Well_Data_NK_Upcoming!Concatenated_Wellname,0))=0,"",INDEX(Well_Data_NK_Upcoming!$L$2:$L$996,MATCH(Rig_Schedule_View!B235,Well_Data_NK_Upcoming!Concatenated_Wellname,0)))</f>
        <v>HZ</v>
      </c>
      <c r="G235" s="421">
        <f ca="1">IF(INDEX(Well_Data_NK_Upcoming!$R$2:$R$996,MATCH(Rig_Schedule_View!B235,Well_Data_NK_Upcoming!Concatenated_Wellname,0))=0,"",INDEX(Well_Data_NK_Upcoming!$R$2:$R$996,MATCH(Rig_Schedule_View!B235,Well_Data_NK_Upcoming!Concatenated_Wellname,0)))</f>
        <v>75</v>
      </c>
      <c r="H235" s="74"/>
      <c r="I235" s="443">
        <f ca="1">RigScheduleTest!$AV$20</f>
        <v>42716</v>
      </c>
      <c r="J235" s="443">
        <f ca="1">RigScheduleTest!$AW$20</f>
        <v>42786</v>
      </c>
      <c r="K235" s="413"/>
      <c r="L235" s="546"/>
      <c r="M235" s="544"/>
      <c r="N235" s="545"/>
      <c r="O235" s="545"/>
      <c r="P235" s="551"/>
    </row>
    <row r="236" spans="1:16" x14ac:dyDescent="0.25">
      <c r="A236" s="442" t="str">
        <f>RigScheduleTest!$B$20</f>
        <v>SP-288</v>
      </c>
      <c r="B236" s="442" t="str">
        <f ca="1">RigScheduleTest!$AY$20</f>
        <v>SA61-SA-MA-Observation-NW-V</v>
      </c>
      <c r="C236" s="421" t="str">
        <f ca="1">IF(INDEX(Well_Data_NK_Upcoming!$G$2:$G$996,MATCH(Rig_Schedule_View!B236,Well_Data_NK_Upcoming!Concatenated_Wellname,0))=0,"",INDEX(Well_Data_NK_Upcoming!$G$2:$G$996,MATCH(Rig_Schedule_View!B236,Well_Data_NK_Upcoming!Concatenated_Wellname,0)))</f>
        <v>MA</v>
      </c>
      <c r="D236" s="421" t="str">
        <f ca="1">IF(INDEX(Well_Data_NK_Upcoming!$K$2:$K$996,MATCH(Rig_Schedule_View!B236,Well_Data_NK_Upcoming!Concatenated_Wellname,0))=0,"",INDEX(Well_Data_NK_Upcoming!$K$2:$K$996,MATCH(Rig_Schedule_View!B236,Well_Data_NK_Upcoming!Concatenated_Wellname,0)))</f>
        <v>NW</v>
      </c>
      <c r="E236" s="421" t="str">
        <f ca="1">IF(INDEX(Well_Data_NK_Upcoming!$J$2:$J$996,MATCH(Rig_Schedule_View!B236,Well_Data_NK_Upcoming!Concatenated_Wellname,0))=0,"",INDEX(Well_Data_NK_Upcoming!$J$2:$J$996,MATCH(Rig_Schedule_View!B236,Well_Data_NK_Upcoming!Concatenated_Wellname,0)))</f>
        <v>Observation</v>
      </c>
      <c r="F236" s="421" t="str">
        <f ca="1">IF(INDEX(Well_Data_NK_Upcoming!$L$2:$L$996,MATCH(Rig_Schedule_View!B236,Well_Data_NK_Upcoming!Concatenated_Wellname,0))=0,"",INDEX(Well_Data_NK_Upcoming!$L$2:$L$996,MATCH(Rig_Schedule_View!B236,Well_Data_NK_Upcoming!Concatenated_Wellname,0)))</f>
        <v>V</v>
      </c>
      <c r="G236" s="421" t="str">
        <f ca="1">IF(INDEX(Well_Data_NK_Upcoming!$R$2:$R$996,MATCH(Rig_Schedule_View!B236,Well_Data_NK_Upcoming!Concatenated_Wellname,0))=0,"",INDEX(Well_Data_NK_Upcoming!$R$2:$R$996,MATCH(Rig_Schedule_View!B236,Well_Data_NK_Upcoming!Concatenated_Wellname,0)))</f>
        <v/>
      </c>
      <c r="H236" s="74"/>
      <c r="I236" s="443" t="str">
        <f ca="1">RigScheduleTest!$BB$20</f>
        <v/>
      </c>
      <c r="J236" s="443" t="str">
        <f ca="1">RigScheduleTest!$BC$20</f>
        <v/>
      </c>
      <c r="K236" s="413"/>
      <c r="L236" s="546"/>
      <c r="M236" s="544"/>
      <c r="N236" s="545"/>
      <c r="O236" s="545"/>
      <c r="P236" s="551"/>
    </row>
    <row r="237" spans="1:16" x14ac:dyDescent="0.25">
      <c r="A237" s="442" t="str">
        <f>RigScheduleTest!$B$20</f>
        <v>SP-288</v>
      </c>
      <c r="B237" s="442" t="str">
        <f ca="1">RigScheduleTest!$BE$20</f>
        <v/>
      </c>
      <c r="C237" s="421" t="str">
        <f ca="1">IF(INDEX(Well_Data_NK_Upcoming!$G$2:$G$996,MATCH(Rig_Schedule_View!B237,Well_Data_NK_Upcoming!Concatenated_Wellname,0))=0,"",INDEX(Well_Data_NK_Upcoming!$G$2:$G$996,MATCH(Rig_Schedule_View!B237,Well_Data_NK_Upcoming!Concatenated_Wellname,0)))</f>
        <v/>
      </c>
      <c r="D237" s="421" t="str">
        <f ca="1">IF(INDEX(Well_Data_NK_Upcoming!$K$2:$K$996,MATCH(Rig_Schedule_View!B237,Well_Data_NK_Upcoming!Concatenated_Wellname,0))=0,"",INDEX(Well_Data_NK_Upcoming!$K$2:$K$996,MATCH(Rig_Schedule_View!B237,Well_Data_NK_Upcoming!Concatenated_Wellname,0)))</f>
        <v/>
      </c>
      <c r="E237" s="421" t="str">
        <f ca="1">IF(INDEX(Well_Data_NK_Upcoming!$J$2:$J$996,MATCH(Rig_Schedule_View!B237,Well_Data_NK_Upcoming!Concatenated_Wellname,0))=0,"",INDEX(Well_Data_NK_Upcoming!$J$2:$J$996,MATCH(Rig_Schedule_View!B237,Well_Data_NK_Upcoming!Concatenated_Wellname,0)))</f>
        <v/>
      </c>
      <c r="F237" s="421" t="str">
        <f ca="1">IF(INDEX(Well_Data_NK_Upcoming!$L$2:$L$996,MATCH(Rig_Schedule_View!B237,Well_Data_NK_Upcoming!Concatenated_Wellname,0))=0,"",INDEX(Well_Data_NK_Upcoming!$L$2:$L$996,MATCH(Rig_Schedule_View!B237,Well_Data_NK_Upcoming!Concatenated_Wellname,0)))</f>
        <v/>
      </c>
      <c r="G237" s="421" t="str">
        <f ca="1">IF(INDEX(Well_Data_NK_Upcoming!$R$2:$R$996,MATCH(Rig_Schedule_View!B237,Well_Data_NK_Upcoming!Concatenated_Wellname,0))=0,"",INDEX(Well_Data_NK_Upcoming!$R$2:$R$996,MATCH(Rig_Schedule_View!B237,Well_Data_NK_Upcoming!Concatenated_Wellname,0)))</f>
        <v/>
      </c>
      <c r="H237" s="74"/>
      <c r="I237" s="443" t="str">
        <f ca="1">RigScheduleTest!$BH$20</f>
        <v/>
      </c>
      <c r="J237" s="443" t="str">
        <f ca="1">RigScheduleTest!$BI$20</f>
        <v/>
      </c>
      <c r="K237" s="413"/>
      <c r="L237" s="546"/>
      <c r="M237" s="544"/>
      <c r="N237" s="545"/>
      <c r="O237" s="545"/>
      <c r="P237" s="551"/>
    </row>
    <row r="238" spans="1:16" x14ac:dyDescent="0.25">
      <c r="A238" s="442" t="str">
        <f>RigScheduleTest!$B$20</f>
        <v>SP-288</v>
      </c>
      <c r="B238" s="442" t="str">
        <f ca="1">RigScheduleTest!$BK$20</f>
        <v/>
      </c>
      <c r="C238" s="421" t="str">
        <f ca="1">IF(INDEX(Well_Data_NK_Upcoming!$G$2:$G$996,MATCH(Rig_Schedule_View!B238,Well_Data_NK_Upcoming!Concatenated_Wellname,0))=0,"",INDEX(Well_Data_NK_Upcoming!$G$2:$G$996,MATCH(Rig_Schedule_View!B238,Well_Data_NK_Upcoming!Concatenated_Wellname,0)))</f>
        <v/>
      </c>
      <c r="D238" s="421" t="str">
        <f ca="1">IF(INDEX(Well_Data_NK_Upcoming!$K$2:$K$996,MATCH(Rig_Schedule_View!B238,Well_Data_NK_Upcoming!Concatenated_Wellname,0))=0,"",INDEX(Well_Data_NK_Upcoming!$K$2:$K$996,MATCH(Rig_Schedule_View!B238,Well_Data_NK_Upcoming!Concatenated_Wellname,0)))</f>
        <v/>
      </c>
      <c r="E238" s="421" t="str">
        <f ca="1">IF(INDEX(Well_Data_NK_Upcoming!$J$2:$J$996,MATCH(Rig_Schedule_View!B238,Well_Data_NK_Upcoming!Concatenated_Wellname,0))=0,"",INDEX(Well_Data_NK_Upcoming!$J$2:$J$996,MATCH(Rig_Schedule_View!B238,Well_Data_NK_Upcoming!Concatenated_Wellname,0)))</f>
        <v/>
      </c>
      <c r="F238" s="421" t="str">
        <f ca="1">IF(INDEX(Well_Data_NK_Upcoming!$L$2:$L$996,MATCH(Rig_Schedule_View!B238,Well_Data_NK_Upcoming!Concatenated_Wellname,0))=0,"",INDEX(Well_Data_NK_Upcoming!$L$2:$L$996,MATCH(Rig_Schedule_View!B238,Well_Data_NK_Upcoming!Concatenated_Wellname,0)))</f>
        <v/>
      </c>
      <c r="G238" s="421" t="str">
        <f ca="1">IF(INDEX(Well_Data_NK_Upcoming!$R$2:$R$996,MATCH(Rig_Schedule_View!B238,Well_Data_NK_Upcoming!Concatenated_Wellname,0))=0,"",INDEX(Well_Data_NK_Upcoming!$R$2:$R$996,MATCH(Rig_Schedule_View!B238,Well_Data_NK_Upcoming!Concatenated_Wellname,0)))</f>
        <v/>
      </c>
      <c r="H238" s="74"/>
      <c r="I238" s="443" t="str">
        <f ca="1">RigScheduleTest!$BN$20</f>
        <v/>
      </c>
      <c r="J238" s="443" t="str">
        <f ca="1">RigScheduleTest!$BO$20</f>
        <v/>
      </c>
      <c r="K238" s="413"/>
      <c r="L238" s="546"/>
      <c r="M238" s="544"/>
      <c r="N238" s="545"/>
      <c r="O238" s="545"/>
      <c r="P238" s="551"/>
    </row>
    <row r="239" spans="1:16" x14ac:dyDescent="0.25">
      <c r="A239" s="437" t="str">
        <f>RigScheduleTest!$B$1</f>
        <v>RIG</v>
      </c>
      <c r="B239" s="437" t="str">
        <f>$K$1</f>
        <v>Development Drilling</v>
      </c>
      <c r="C239" s="437" t="s">
        <v>1831</v>
      </c>
      <c r="D239" s="437" t="s">
        <v>867</v>
      </c>
      <c r="E239" s="437" t="s">
        <v>8</v>
      </c>
      <c r="F239" s="437" t="s">
        <v>2</v>
      </c>
      <c r="G239" s="437" t="s">
        <v>1513</v>
      </c>
      <c r="H239" s="438" t="str">
        <f>$K$3</f>
        <v>Rig Deployment Meeting</v>
      </c>
      <c r="I239" s="439" t="str">
        <f>$K$5</f>
        <v>Start</v>
      </c>
      <c r="J239" s="439" t="str">
        <f>$K$6</f>
        <v>End</v>
      </c>
      <c r="K239" s="444" t="s">
        <v>1068</v>
      </c>
      <c r="L239" s="444" t="s">
        <v>1577</v>
      </c>
      <c r="M239" s="496" t="s">
        <v>1934</v>
      </c>
      <c r="N239" s="504" t="s">
        <v>1940</v>
      </c>
      <c r="O239" s="504" t="s">
        <v>1941</v>
      </c>
      <c r="P239" s="502"/>
    </row>
    <row r="240" spans="1:16" x14ac:dyDescent="0.25">
      <c r="A240" s="442" t="str">
        <f>RigScheduleTest!$B$21</f>
        <v>SP-294</v>
      </c>
      <c r="B240" s="421" t="str">
        <f ca="1">RigScheduleTest!$D$21</f>
        <v>SA-0582-SA-LB-Prod-NW-HZ-SLB</v>
      </c>
      <c r="C240" s="421" t="str">
        <f ca="1">IF(INDEX(Well_Data_NK_Upcoming!$G$2:$G$996,MATCH(Rig_Schedule_View!B240,Well_Data_NK_Upcoming!Concatenated_Wellname,0))=0,"",INDEX(Well_Data_NK_Upcoming!$G$2:$G$996,MATCH(Rig_Schedule_View!B240,Well_Data_NK_Upcoming!Concatenated_Wellname,0)))</f>
        <v>LB</v>
      </c>
      <c r="D240" s="421" t="str">
        <f ca="1">IF(INDEX(Well_Data_NK_Upcoming!$K$2:$K$996,MATCH(Rig_Schedule_View!B240,Well_Data_NK_Upcoming!Concatenated_Wellname,0))=0,"",INDEX(Well_Data_NK_Upcoming!$K$2:$K$996,MATCH(Rig_Schedule_View!B240,Well_Data_NK_Upcoming!Concatenated_Wellname,0)))</f>
        <v>NW</v>
      </c>
      <c r="E240" s="421" t="str">
        <f ca="1">IF(INDEX(Well_Data_NK_Upcoming!$J$2:$J$996,MATCH(Rig_Schedule_View!B240,Well_Data_NK_Upcoming!Concatenated_Wellname,0))=0,"",INDEX(Well_Data_NK_Upcoming!$J$2:$J$996,MATCH(Rig_Schedule_View!B240,Well_Data_NK_Upcoming!Concatenated_Wellname,0)))</f>
        <v>Prod</v>
      </c>
      <c r="F240" s="421" t="str">
        <f ca="1">IF(INDEX(Well_Data_NK_Upcoming!$L$2:$L$996,MATCH(Rig_Schedule_View!B240,Well_Data_NK_Upcoming!Concatenated_Wellname,0))=0,"",INDEX(Well_Data_NK_Upcoming!$L$2:$L$996,MATCH(Rig_Schedule_View!B240,Well_Data_NK_Upcoming!Concatenated_Wellname,0)))</f>
        <v>HZ</v>
      </c>
      <c r="G240" s="421">
        <f ca="1">IF(INDEX(Well_Data_NK_Upcoming!$R$2:$R$996,MATCH(Rig_Schedule_View!B240,Well_Data_NK_Upcoming!Concatenated_Wellname,0))=0,"",INDEX(Well_Data_NK_Upcoming!$R$2:$R$996,MATCH(Rig_Schedule_View!B240,Well_Data_NK_Upcoming!Concatenated_Wellname,0)))</f>
        <v>75</v>
      </c>
      <c r="H240" s="74">
        <f>RigScheduleTest!$F$21</f>
        <v>42233</v>
      </c>
      <c r="I240" s="459">
        <f ca="1">IF(INDEX(Well_Data_NK_Upcoming!$O$2:$O$996,MATCH(Rig_Schedule_View!B240,Well_Data_NK_Upcoming!Concatenated_Wellname,0))=0,"",INDEX(Well_Data_NK_Upcoming!$O$2:$O$996,MATCH(Rig_Schedule_View!B240,Well_Data_NK_Upcoming!Concatenated_Wellname,0)))</f>
        <v>42191.041666666664</v>
      </c>
      <c r="J240" s="446">
        <f ca="1">RigScheduleTest!$H$21</f>
        <v>42243</v>
      </c>
      <c r="K240" s="493" t="s">
        <v>1917</v>
      </c>
      <c r="L240" s="543"/>
      <c r="M240" s="544">
        <v>10</v>
      </c>
      <c r="N240" s="545"/>
      <c r="O240" s="545"/>
      <c r="P240" s="551"/>
    </row>
    <row r="241" spans="1:16" x14ac:dyDescent="0.25">
      <c r="A241" s="442" t="str">
        <f>RigScheduleTest!$B$21</f>
        <v>SP-294</v>
      </c>
      <c r="B241" s="441" t="str">
        <f ca="1">RigScheduleTest!$I$21</f>
        <v>SA-0586-SA-MA-Prod-NW-HZ-Baker</v>
      </c>
      <c r="C241" s="421" t="str">
        <f ca="1">IF(INDEX(Well_Data_NK_Upcoming!$G$2:$G$996,MATCH(Rig_Schedule_View!B241,Well_Data_NK_Upcoming!Concatenated_Wellname,0))=0,"",INDEX(Well_Data_NK_Upcoming!$G$2:$G$996,MATCH(Rig_Schedule_View!B241,Well_Data_NK_Upcoming!Concatenated_Wellname,0)))</f>
        <v>MA</v>
      </c>
      <c r="D241" s="421" t="str">
        <f ca="1">IF(INDEX(Well_Data_NK_Upcoming!$K$2:$K$996,MATCH(Rig_Schedule_View!B241,Well_Data_NK_Upcoming!Concatenated_Wellname,0))=0,"",INDEX(Well_Data_NK_Upcoming!$K$2:$K$996,MATCH(Rig_Schedule_View!B241,Well_Data_NK_Upcoming!Concatenated_Wellname,0)))</f>
        <v>NW</v>
      </c>
      <c r="E241" s="421" t="str">
        <f ca="1">IF(INDEX(Well_Data_NK_Upcoming!$J$2:$J$996,MATCH(Rig_Schedule_View!B241,Well_Data_NK_Upcoming!Concatenated_Wellname,0))=0,"",INDEX(Well_Data_NK_Upcoming!$J$2:$J$996,MATCH(Rig_Schedule_View!B241,Well_Data_NK_Upcoming!Concatenated_Wellname,0)))</f>
        <v>Prod</v>
      </c>
      <c r="F241" s="421" t="str">
        <f ca="1">IF(INDEX(Well_Data_NK_Upcoming!$L$2:$L$996,MATCH(Rig_Schedule_View!B241,Well_Data_NK_Upcoming!Concatenated_Wellname,0))=0,"",INDEX(Well_Data_NK_Upcoming!$L$2:$L$996,MATCH(Rig_Schedule_View!B241,Well_Data_NK_Upcoming!Concatenated_Wellname,0)))</f>
        <v>HZ</v>
      </c>
      <c r="G241" s="421">
        <f ca="1">IF(INDEX(Well_Data_NK_Upcoming!$R$2:$R$996,MATCH(Rig_Schedule_View!B241,Well_Data_NK_Upcoming!Concatenated_Wellname,0))=0,"",INDEX(Well_Data_NK_Upcoming!$R$2:$R$996,MATCH(Rig_Schedule_View!B241,Well_Data_NK_Upcoming!Concatenated_Wellname,0)))</f>
        <v>75</v>
      </c>
      <c r="H241" s="74"/>
      <c r="I241" s="440">
        <f ca="1">RigScheduleTest!$L$21</f>
        <v>42248</v>
      </c>
      <c r="J241" s="440">
        <f ca="1">RigScheduleTest!$M$21</f>
        <v>42318</v>
      </c>
      <c r="K241" s="413"/>
      <c r="L241" s="546" t="s">
        <v>2222</v>
      </c>
      <c r="M241" s="544"/>
      <c r="N241" s="545"/>
      <c r="O241" s="545" t="s">
        <v>1986</v>
      </c>
      <c r="P241" s="551"/>
    </row>
    <row r="242" spans="1:16" x14ac:dyDescent="0.25">
      <c r="A242" s="442" t="str">
        <f>RigScheduleTest!$B$21</f>
        <v>SP-294</v>
      </c>
      <c r="B242" s="441" t="str">
        <f ca="1">RigScheduleTest!$O$21</f>
        <v>SA-0612-SA-UB-Prod-NW-SL</v>
      </c>
      <c r="C242" s="421" t="str">
        <f ca="1">IF(INDEX(Well_Data_NK_Upcoming!$G$2:$G$996,MATCH(Rig_Schedule_View!B242,Well_Data_NK_Upcoming!Concatenated_Wellname,0))=0,"",INDEX(Well_Data_NK_Upcoming!$G$2:$G$996,MATCH(Rig_Schedule_View!B242,Well_Data_NK_Upcoming!Concatenated_Wellname,0)))</f>
        <v>UB</v>
      </c>
      <c r="D242" s="421" t="str">
        <f ca="1">IF(INDEX(Well_Data_NK_Upcoming!$K$2:$K$996,MATCH(Rig_Schedule_View!B242,Well_Data_NK_Upcoming!Concatenated_Wellname,0))=0,"",INDEX(Well_Data_NK_Upcoming!$K$2:$K$996,MATCH(Rig_Schedule_View!B242,Well_Data_NK_Upcoming!Concatenated_Wellname,0)))</f>
        <v>NW</v>
      </c>
      <c r="E242" s="421" t="str">
        <f ca="1">IF(INDEX(Well_Data_NK_Upcoming!$J$2:$J$996,MATCH(Rig_Schedule_View!B242,Well_Data_NK_Upcoming!Concatenated_Wellname,0))=0,"",INDEX(Well_Data_NK_Upcoming!$J$2:$J$996,MATCH(Rig_Schedule_View!B242,Well_Data_NK_Upcoming!Concatenated_Wellname,0)))</f>
        <v>Prod</v>
      </c>
      <c r="F242" s="421" t="str">
        <f ca="1">IF(INDEX(Well_Data_NK_Upcoming!$L$2:$L$996,MATCH(Rig_Schedule_View!B242,Well_Data_NK_Upcoming!Concatenated_Wellname,0))=0,"",INDEX(Well_Data_NK_Upcoming!$L$2:$L$996,MATCH(Rig_Schedule_View!B242,Well_Data_NK_Upcoming!Concatenated_Wellname,0)))</f>
        <v>SL</v>
      </c>
      <c r="G242" s="421">
        <f ca="1">IF(INDEX(Well_Data_NK_Upcoming!$R$2:$R$996,MATCH(Rig_Schedule_View!B242,Well_Data_NK_Upcoming!Concatenated_Wellname,0))=0,"",INDEX(Well_Data_NK_Upcoming!$R$2:$R$996,MATCH(Rig_Schedule_View!B242,Well_Data_NK_Upcoming!Concatenated_Wellname,0)))</f>
        <v>75</v>
      </c>
      <c r="H242" s="74"/>
      <c r="I242" s="440">
        <f ca="1">RigScheduleTest!$R$21</f>
        <v>42323</v>
      </c>
      <c r="J242" s="440">
        <f ca="1">RigScheduleTest!$S$21</f>
        <v>42393</v>
      </c>
      <c r="K242" s="413"/>
      <c r="L242" s="546" t="s">
        <v>2219</v>
      </c>
      <c r="M242" s="544"/>
      <c r="N242" s="545" t="s">
        <v>299</v>
      </c>
      <c r="O242" s="545"/>
      <c r="P242" s="551"/>
    </row>
    <row r="243" spans="1:16" x14ac:dyDescent="0.25">
      <c r="A243" s="442" t="str">
        <f>RigScheduleTest!$B$21</f>
        <v>SP-294</v>
      </c>
      <c r="B243" s="442" t="str">
        <f ca="1">RigScheduleTest!$U$21</f>
        <v>SA4-SA-MA-Prod-NW-HZ</v>
      </c>
      <c r="C243" s="421" t="str">
        <f ca="1">IF(INDEX(Well_Data_NK_Upcoming!$G$2:$G$996,MATCH(Rig_Schedule_View!B243,Well_Data_NK_Upcoming!Concatenated_Wellname,0))=0,"",INDEX(Well_Data_NK_Upcoming!$G$2:$G$996,MATCH(Rig_Schedule_View!B243,Well_Data_NK_Upcoming!Concatenated_Wellname,0)))</f>
        <v>MA</v>
      </c>
      <c r="D243" s="421" t="str">
        <f ca="1">IF(INDEX(Well_Data_NK_Upcoming!$K$2:$K$996,MATCH(Rig_Schedule_View!B243,Well_Data_NK_Upcoming!Concatenated_Wellname,0))=0,"",INDEX(Well_Data_NK_Upcoming!$K$2:$K$996,MATCH(Rig_Schedule_View!B243,Well_Data_NK_Upcoming!Concatenated_Wellname,0)))</f>
        <v>NW</v>
      </c>
      <c r="E243" s="421" t="str">
        <f ca="1">IF(INDEX(Well_Data_NK_Upcoming!$J$2:$J$996,MATCH(Rig_Schedule_View!B243,Well_Data_NK_Upcoming!Concatenated_Wellname,0))=0,"",INDEX(Well_Data_NK_Upcoming!$J$2:$J$996,MATCH(Rig_Schedule_View!B243,Well_Data_NK_Upcoming!Concatenated_Wellname,0)))</f>
        <v>Prod</v>
      </c>
      <c r="F243" s="421" t="str">
        <f ca="1">IF(INDEX(Well_Data_NK_Upcoming!$L$2:$L$996,MATCH(Rig_Schedule_View!B243,Well_Data_NK_Upcoming!Concatenated_Wellname,0))=0,"",INDEX(Well_Data_NK_Upcoming!$L$2:$L$996,MATCH(Rig_Schedule_View!B243,Well_Data_NK_Upcoming!Concatenated_Wellname,0)))</f>
        <v>HZ</v>
      </c>
      <c r="G243" s="421">
        <f ca="1">IF(INDEX(Well_Data_NK_Upcoming!$R$2:$R$996,MATCH(Rig_Schedule_View!B243,Well_Data_NK_Upcoming!Concatenated_Wellname,0))=0,"",INDEX(Well_Data_NK_Upcoming!$R$2:$R$996,MATCH(Rig_Schedule_View!B243,Well_Data_NK_Upcoming!Concatenated_Wellname,0)))</f>
        <v>75</v>
      </c>
      <c r="H243" s="74"/>
      <c r="I243" s="443">
        <f ca="1">RigScheduleTest!$X$21</f>
        <v>42398</v>
      </c>
      <c r="J243" s="443">
        <f ca="1">RigScheduleTest!$Y$21</f>
        <v>42468</v>
      </c>
      <c r="K243" s="413"/>
      <c r="L243" s="546"/>
      <c r="M243" s="544"/>
      <c r="N243" s="545"/>
      <c r="O243" s="545"/>
      <c r="P243" s="551"/>
    </row>
    <row r="244" spans="1:16" x14ac:dyDescent="0.25">
      <c r="A244" s="442" t="str">
        <f>RigScheduleTest!$B$21</f>
        <v>SP-294</v>
      </c>
      <c r="B244" s="442" t="str">
        <f ca="1">RigScheduleTest!$AA$21</f>
        <v>SA13-SA-MA-Prod-NW-HZ</v>
      </c>
      <c r="C244" s="421" t="str">
        <f ca="1">IF(INDEX(Well_Data_NK_Upcoming!$G$2:$G$996,MATCH(Rig_Schedule_View!B244,Well_Data_NK_Upcoming!Concatenated_Wellname,0))=0,"",INDEX(Well_Data_NK_Upcoming!$G$2:$G$996,MATCH(Rig_Schedule_View!B244,Well_Data_NK_Upcoming!Concatenated_Wellname,0)))</f>
        <v>MA</v>
      </c>
      <c r="D244" s="421" t="str">
        <f ca="1">IF(INDEX(Well_Data_NK_Upcoming!$K$2:$K$996,MATCH(Rig_Schedule_View!B244,Well_Data_NK_Upcoming!Concatenated_Wellname,0))=0,"",INDEX(Well_Data_NK_Upcoming!$K$2:$K$996,MATCH(Rig_Schedule_View!B244,Well_Data_NK_Upcoming!Concatenated_Wellname,0)))</f>
        <v>NW</v>
      </c>
      <c r="E244" s="421" t="str">
        <f ca="1">IF(INDEX(Well_Data_NK_Upcoming!$J$2:$J$996,MATCH(Rig_Schedule_View!B244,Well_Data_NK_Upcoming!Concatenated_Wellname,0))=0,"",INDEX(Well_Data_NK_Upcoming!$J$2:$J$996,MATCH(Rig_Schedule_View!B244,Well_Data_NK_Upcoming!Concatenated_Wellname,0)))</f>
        <v>Prod</v>
      </c>
      <c r="F244" s="421" t="str">
        <f ca="1">IF(INDEX(Well_Data_NK_Upcoming!$L$2:$L$996,MATCH(Rig_Schedule_View!B244,Well_Data_NK_Upcoming!Concatenated_Wellname,0))=0,"",INDEX(Well_Data_NK_Upcoming!$L$2:$L$996,MATCH(Rig_Schedule_View!B244,Well_Data_NK_Upcoming!Concatenated_Wellname,0)))</f>
        <v>HZ</v>
      </c>
      <c r="G244" s="421">
        <f ca="1">IF(INDEX(Well_Data_NK_Upcoming!$R$2:$R$996,MATCH(Rig_Schedule_View!B244,Well_Data_NK_Upcoming!Concatenated_Wellname,0))=0,"",INDEX(Well_Data_NK_Upcoming!$R$2:$R$996,MATCH(Rig_Schedule_View!B244,Well_Data_NK_Upcoming!Concatenated_Wellname,0)))</f>
        <v>75</v>
      </c>
      <c r="H244" s="74"/>
      <c r="I244" s="443">
        <f ca="1">RigScheduleTest!$AD$21</f>
        <v>42473</v>
      </c>
      <c r="J244" s="443">
        <f ca="1">RigScheduleTest!$AE$21</f>
        <v>42543</v>
      </c>
      <c r="K244" s="413"/>
      <c r="L244" s="546"/>
      <c r="M244" s="544"/>
      <c r="N244" s="545"/>
      <c r="O244" s="545"/>
      <c r="P244" s="551"/>
    </row>
    <row r="245" spans="1:16" x14ac:dyDescent="0.25">
      <c r="A245" s="442" t="str">
        <f>RigScheduleTest!$B$21</f>
        <v>SP-294</v>
      </c>
      <c r="B245" s="442" t="str">
        <f ca="1">RigScheduleTest!$AG$21</f>
        <v>RA16-RA-MA-Inj-NW-HZ-SLB</v>
      </c>
      <c r="C245" s="421" t="str">
        <f ca="1">IF(INDEX(Well_Data_NK_Upcoming!$G$2:$G$996,MATCH(Rig_Schedule_View!B245,Well_Data_NK_Upcoming!Concatenated_Wellname,0))=0,"",INDEX(Well_Data_NK_Upcoming!$G$2:$G$996,MATCH(Rig_Schedule_View!B245,Well_Data_NK_Upcoming!Concatenated_Wellname,0)))</f>
        <v>MA</v>
      </c>
      <c r="D245" s="421" t="str">
        <f ca="1">IF(INDEX(Well_Data_NK_Upcoming!$K$2:$K$996,MATCH(Rig_Schedule_View!B245,Well_Data_NK_Upcoming!Concatenated_Wellname,0))=0,"",INDEX(Well_Data_NK_Upcoming!$K$2:$K$996,MATCH(Rig_Schedule_View!B245,Well_Data_NK_Upcoming!Concatenated_Wellname,0)))</f>
        <v>NW</v>
      </c>
      <c r="E245" s="421" t="str">
        <f ca="1">IF(INDEX(Well_Data_NK_Upcoming!$J$2:$J$996,MATCH(Rig_Schedule_View!B245,Well_Data_NK_Upcoming!Concatenated_Wellname,0))=0,"",INDEX(Well_Data_NK_Upcoming!$J$2:$J$996,MATCH(Rig_Schedule_View!B245,Well_Data_NK_Upcoming!Concatenated_Wellname,0)))</f>
        <v>Inj</v>
      </c>
      <c r="F245" s="421" t="str">
        <f ca="1">IF(INDEX(Well_Data_NK_Upcoming!$L$2:$L$996,MATCH(Rig_Schedule_View!B245,Well_Data_NK_Upcoming!Concatenated_Wellname,0))=0,"",INDEX(Well_Data_NK_Upcoming!$L$2:$L$996,MATCH(Rig_Schedule_View!B245,Well_Data_NK_Upcoming!Concatenated_Wellname,0)))</f>
        <v>HZ</v>
      </c>
      <c r="G245" s="421">
        <f ca="1">IF(INDEX(Well_Data_NK_Upcoming!$R$2:$R$996,MATCH(Rig_Schedule_View!B245,Well_Data_NK_Upcoming!Concatenated_Wellname,0))=0,"",INDEX(Well_Data_NK_Upcoming!$R$2:$R$996,MATCH(Rig_Schedule_View!B245,Well_Data_NK_Upcoming!Concatenated_Wellname,0)))</f>
        <v>68</v>
      </c>
      <c r="H245" s="74"/>
      <c r="I245" s="443">
        <f ca="1">RigScheduleTest!$AJ$21</f>
        <v>42548</v>
      </c>
      <c r="J245" s="443">
        <f ca="1">RigScheduleTest!$AK$21</f>
        <v>42611</v>
      </c>
      <c r="K245" s="413"/>
      <c r="L245" s="546"/>
      <c r="M245" s="544"/>
      <c r="N245" s="545"/>
      <c r="O245" s="545"/>
      <c r="P245" s="551"/>
    </row>
    <row r="246" spans="1:16" x14ac:dyDescent="0.25">
      <c r="A246" s="442" t="str">
        <f>RigScheduleTest!$B$21</f>
        <v>SP-294</v>
      </c>
      <c r="B246" s="442" t="str">
        <f ca="1">RigScheduleTest!$AM$21</f>
        <v>SA45-SA-ZU-Prod-NW-HZ</v>
      </c>
      <c r="C246" s="421" t="str">
        <f ca="1">IF(INDEX(Well_Data_NK_Upcoming!$G$2:$G$996,MATCH(Rig_Schedule_View!B246,Well_Data_NK_Upcoming!Concatenated_Wellname,0))=0,"",INDEX(Well_Data_NK_Upcoming!$G$2:$G$996,MATCH(Rig_Schedule_View!B246,Well_Data_NK_Upcoming!Concatenated_Wellname,0)))</f>
        <v>ZU</v>
      </c>
      <c r="D246" s="421" t="str">
        <f ca="1">IF(INDEX(Well_Data_NK_Upcoming!$K$2:$K$996,MATCH(Rig_Schedule_View!B246,Well_Data_NK_Upcoming!Concatenated_Wellname,0))=0,"",INDEX(Well_Data_NK_Upcoming!$K$2:$K$996,MATCH(Rig_Schedule_View!B246,Well_Data_NK_Upcoming!Concatenated_Wellname,0)))</f>
        <v>NW</v>
      </c>
      <c r="E246" s="421" t="str">
        <f ca="1">IF(INDEX(Well_Data_NK_Upcoming!$J$2:$J$996,MATCH(Rig_Schedule_View!B246,Well_Data_NK_Upcoming!Concatenated_Wellname,0))=0,"",INDEX(Well_Data_NK_Upcoming!$J$2:$J$996,MATCH(Rig_Schedule_View!B246,Well_Data_NK_Upcoming!Concatenated_Wellname,0)))</f>
        <v>Prod</v>
      </c>
      <c r="F246" s="421" t="str">
        <f ca="1">IF(INDEX(Well_Data_NK_Upcoming!$L$2:$L$996,MATCH(Rig_Schedule_View!B246,Well_Data_NK_Upcoming!Concatenated_Wellname,0))=0,"",INDEX(Well_Data_NK_Upcoming!$L$2:$L$996,MATCH(Rig_Schedule_View!B246,Well_Data_NK_Upcoming!Concatenated_Wellname,0)))</f>
        <v>HZ</v>
      </c>
      <c r="G246" s="421">
        <f ca="1">IF(INDEX(Well_Data_NK_Upcoming!$R$2:$R$996,MATCH(Rig_Schedule_View!B246,Well_Data_NK_Upcoming!Concatenated_Wellname,0))=0,"",INDEX(Well_Data_NK_Upcoming!$R$2:$R$996,MATCH(Rig_Schedule_View!B246,Well_Data_NK_Upcoming!Concatenated_Wellname,0)))</f>
        <v>103</v>
      </c>
      <c r="H246" s="74"/>
      <c r="I246" s="443">
        <f ca="1">RigScheduleTest!$AP$21</f>
        <v>42616</v>
      </c>
      <c r="J246" s="443">
        <f ca="1">RigScheduleTest!$AQ$21</f>
        <v>42714</v>
      </c>
      <c r="K246" s="413"/>
      <c r="L246" s="546"/>
      <c r="M246" s="544"/>
      <c r="N246" s="545"/>
      <c r="O246" s="545"/>
      <c r="P246" s="551"/>
    </row>
    <row r="247" spans="1:16" x14ac:dyDescent="0.25">
      <c r="A247" s="442" t="str">
        <f>RigScheduleTest!$B$21</f>
        <v>SP-294</v>
      </c>
      <c r="B247" s="442" t="str">
        <f ca="1">RigScheduleTest!$AS$21</f>
        <v>SA51-SA-RT-Inj-NW-HZ</v>
      </c>
      <c r="C247" s="421" t="str">
        <f ca="1">IF(INDEX(Well_Data_NK_Upcoming!$G$2:$G$996,MATCH(Rig_Schedule_View!B247,Well_Data_NK_Upcoming!Concatenated_Wellname,0))=0,"",INDEX(Well_Data_NK_Upcoming!$G$2:$G$996,MATCH(Rig_Schedule_View!B247,Well_Data_NK_Upcoming!Concatenated_Wellname,0)))</f>
        <v>RT</v>
      </c>
      <c r="D247" s="421" t="str">
        <f ca="1">IF(INDEX(Well_Data_NK_Upcoming!$K$2:$K$996,MATCH(Rig_Schedule_View!B247,Well_Data_NK_Upcoming!Concatenated_Wellname,0))=0,"",INDEX(Well_Data_NK_Upcoming!$K$2:$K$996,MATCH(Rig_Schedule_View!B247,Well_Data_NK_Upcoming!Concatenated_Wellname,0)))</f>
        <v>NW</v>
      </c>
      <c r="E247" s="421" t="str">
        <f ca="1">IF(INDEX(Well_Data_NK_Upcoming!$J$2:$J$996,MATCH(Rig_Schedule_View!B247,Well_Data_NK_Upcoming!Concatenated_Wellname,0))=0,"",INDEX(Well_Data_NK_Upcoming!$J$2:$J$996,MATCH(Rig_Schedule_View!B247,Well_Data_NK_Upcoming!Concatenated_Wellname,0)))</f>
        <v>Inj</v>
      </c>
      <c r="F247" s="421" t="str">
        <f ca="1">IF(INDEX(Well_Data_NK_Upcoming!$L$2:$L$996,MATCH(Rig_Schedule_View!B247,Well_Data_NK_Upcoming!Concatenated_Wellname,0))=0,"",INDEX(Well_Data_NK_Upcoming!$L$2:$L$996,MATCH(Rig_Schedule_View!B247,Well_Data_NK_Upcoming!Concatenated_Wellname,0)))</f>
        <v>HZ</v>
      </c>
      <c r="G247" s="421" t="str">
        <f ca="1">IF(INDEX(Well_Data_NK_Upcoming!$R$2:$R$996,MATCH(Rig_Schedule_View!B247,Well_Data_NK_Upcoming!Concatenated_Wellname,0))=0,"",INDEX(Well_Data_NK_Upcoming!$R$2:$R$996,MATCH(Rig_Schedule_View!B247,Well_Data_NK_Upcoming!Concatenated_Wellname,0)))</f>
        <v/>
      </c>
      <c r="H247" s="74"/>
      <c r="I247" s="443" t="str">
        <f ca="1">RigScheduleTest!$AV$21</f>
        <v/>
      </c>
      <c r="J247" s="443" t="str">
        <f ca="1">RigScheduleTest!$AW$21</f>
        <v/>
      </c>
      <c r="K247" s="413"/>
      <c r="L247" s="546"/>
      <c r="M247" s="544"/>
      <c r="N247" s="545"/>
      <c r="O247" s="545"/>
      <c r="P247" s="551"/>
    </row>
    <row r="248" spans="1:16" x14ac:dyDescent="0.25">
      <c r="A248" s="442" t="str">
        <f>RigScheduleTest!$B$21</f>
        <v>SP-294</v>
      </c>
      <c r="B248" s="442" t="str">
        <f ca="1">RigScheduleTest!$AY$21</f>
        <v/>
      </c>
      <c r="C248" s="421" t="str">
        <f ca="1">IF(INDEX(Well_Data_NK_Upcoming!$G$2:$G$996,MATCH(Rig_Schedule_View!B248,Well_Data_NK_Upcoming!Concatenated_Wellname,0))=0,"",INDEX(Well_Data_NK_Upcoming!$G$2:$G$996,MATCH(Rig_Schedule_View!B248,Well_Data_NK_Upcoming!Concatenated_Wellname,0)))</f>
        <v/>
      </c>
      <c r="D248" s="421" t="str">
        <f ca="1">IF(INDEX(Well_Data_NK_Upcoming!$K$2:$K$996,MATCH(Rig_Schedule_View!B248,Well_Data_NK_Upcoming!Concatenated_Wellname,0))=0,"",INDEX(Well_Data_NK_Upcoming!$K$2:$K$996,MATCH(Rig_Schedule_View!B248,Well_Data_NK_Upcoming!Concatenated_Wellname,0)))</f>
        <v/>
      </c>
      <c r="E248" s="421" t="str">
        <f ca="1">IF(INDEX(Well_Data_NK_Upcoming!$J$2:$J$996,MATCH(Rig_Schedule_View!B248,Well_Data_NK_Upcoming!Concatenated_Wellname,0))=0,"",INDEX(Well_Data_NK_Upcoming!$J$2:$J$996,MATCH(Rig_Schedule_View!B248,Well_Data_NK_Upcoming!Concatenated_Wellname,0)))</f>
        <v/>
      </c>
      <c r="F248" s="421" t="str">
        <f ca="1">IF(INDEX(Well_Data_NK_Upcoming!$L$2:$L$996,MATCH(Rig_Schedule_View!B248,Well_Data_NK_Upcoming!Concatenated_Wellname,0))=0,"",INDEX(Well_Data_NK_Upcoming!$L$2:$L$996,MATCH(Rig_Schedule_View!B248,Well_Data_NK_Upcoming!Concatenated_Wellname,0)))</f>
        <v/>
      </c>
      <c r="G248" s="421" t="str">
        <f ca="1">IF(INDEX(Well_Data_NK_Upcoming!$R$2:$R$996,MATCH(Rig_Schedule_View!B248,Well_Data_NK_Upcoming!Concatenated_Wellname,0))=0,"",INDEX(Well_Data_NK_Upcoming!$R$2:$R$996,MATCH(Rig_Schedule_View!B248,Well_Data_NK_Upcoming!Concatenated_Wellname,0)))</f>
        <v/>
      </c>
      <c r="H248" s="74"/>
      <c r="I248" s="443" t="str">
        <f ca="1">RigScheduleTest!$BB$21</f>
        <v/>
      </c>
      <c r="J248" s="443" t="str">
        <f ca="1">RigScheduleTest!$BC$21</f>
        <v/>
      </c>
      <c r="K248" s="413"/>
      <c r="L248" s="546"/>
      <c r="M248" s="544"/>
      <c r="N248" s="545"/>
      <c r="O248" s="545"/>
      <c r="P248" s="551"/>
    </row>
    <row r="249" spans="1:16" x14ac:dyDescent="0.25">
      <c r="A249" s="442" t="str">
        <f>RigScheduleTest!$B$21</f>
        <v>SP-294</v>
      </c>
      <c r="B249" s="442" t="str">
        <f ca="1">RigScheduleTest!$BE$21</f>
        <v/>
      </c>
      <c r="C249" s="421" t="str">
        <f ca="1">IF(INDEX(Well_Data_NK_Upcoming!$G$2:$G$996,MATCH(Rig_Schedule_View!B249,Well_Data_NK_Upcoming!Concatenated_Wellname,0))=0,"",INDEX(Well_Data_NK_Upcoming!$G$2:$G$996,MATCH(Rig_Schedule_View!B249,Well_Data_NK_Upcoming!Concatenated_Wellname,0)))</f>
        <v/>
      </c>
      <c r="D249" s="421" t="str">
        <f ca="1">IF(INDEX(Well_Data_NK_Upcoming!$K$2:$K$996,MATCH(Rig_Schedule_View!B249,Well_Data_NK_Upcoming!Concatenated_Wellname,0))=0,"",INDEX(Well_Data_NK_Upcoming!$K$2:$K$996,MATCH(Rig_Schedule_View!B249,Well_Data_NK_Upcoming!Concatenated_Wellname,0)))</f>
        <v/>
      </c>
      <c r="E249" s="421" t="str">
        <f ca="1">IF(INDEX(Well_Data_NK_Upcoming!$J$2:$J$996,MATCH(Rig_Schedule_View!B249,Well_Data_NK_Upcoming!Concatenated_Wellname,0))=0,"",INDEX(Well_Data_NK_Upcoming!$J$2:$J$996,MATCH(Rig_Schedule_View!B249,Well_Data_NK_Upcoming!Concatenated_Wellname,0)))</f>
        <v/>
      </c>
      <c r="F249" s="421" t="str">
        <f ca="1">IF(INDEX(Well_Data_NK_Upcoming!$L$2:$L$996,MATCH(Rig_Schedule_View!B249,Well_Data_NK_Upcoming!Concatenated_Wellname,0))=0,"",INDEX(Well_Data_NK_Upcoming!$L$2:$L$996,MATCH(Rig_Schedule_View!B249,Well_Data_NK_Upcoming!Concatenated_Wellname,0)))</f>
        <v/>
      </c>
      <c r="G249" s="421" t="str">
        <f ca="1">IF(INDEX(Well_Data_NK_Upcoming!$R$2:$R$996,MATCH(Rig_Schedule_View!B249,Well_Data_NK_Upcoming!Concatenated_Wellname,0))=0,"",INDEX(Well_Data_NK_Upcoming!$R$2:$R$996,MATCH(Rig_Schedule_View!B249,Well_Data_NK_Upcoming!Concatenated_Wellname,0)))</f>
        <v/>
      </c>
      <c r="H249" s="74"/>
      <c r="I249" s="443" t="str">
        <f ca="1">RigScheduleTest!$BH$21</f>
        <v/>
      </c>
      <c r="J249" s="443" t="str">
        <f ca="1">RigScheduleTest!$BI$21</f>
        <v/>
      </c>
      <c r="K249" s="413"/>
      <c r="L249" s="546"/>
      <c r="M249" s="544"/>
      <c r="N249" s="545"/>
      <c r="O249" s="545"/>
      <c r="P249" s="551"/>
    </row>
    <row r="250" spans="1:16" x14ac:dyDescent="0.25">
      <c r="A250" s="442" t="str">
        <f>RigScheduleTest!$B$21</f>
        <v>SP-294</v>
      </c>
      <c r="B250" s="442" t="str">
        <f ca="1">RigScheduleTest!$BK$21</f>
        <v/>
      </c>
      <c r="C250" s="421" t="str">
        <f ca="1">IF(INDEX(Well_Data_NK_Upcoming!$G$2:$G$996,MATCH(Rig_Schedule_View!B250,Well_Data_NK_Upcoming!Concatenated_Wellname,0))=0,"",INDEX(Well_Data_NK_Upcoming!$G$2:$G$996,MATCH(Rig_Schedule_View!B250,Well_Data_NK_Upcoming!Concatenated_Wellname,0)))</f>
        <v/>
      </c>
      <c r="D250" s="421" t="str">
        <f ca="1">IF(INDEX(Well_Data_NK_Upcoming!$K$2:$K$996,MATCH(Rig_Schedule_View!B250,Well_Data_NK_Upcoming!Concatenated_Wellname,0))=0,"",INDEX(Well_Data_NK_Upcoming!$K$2:$K$996,MATCH(Rig_Schedule_View!B250,Well_Data_NK_Upcoming!Concatenated_Wellname,0)))</f>
        <v/>
      </c>
      <c r="E250" s="421" t="str">
        <f ca="1">IF(INDEX(Well_Data_NK_Upcoming!$J$2:$J$996,MATCH(Rig_Schedule_View!B250,Well_Data_NK_Upcoming!Concatenated_Wellname,0))=0,"",INDEX(Well_Data_NK_Upcoming!$J$2:$J$996,MATCH(Rig_Schedule_View!B250,Well_Data_NK_Upcoming!Concatenated_Wellname,0)))</f>
        <v/>
      </c>
      <c r="F250" s="421" t="str">
        <f ca="1">IF(INDEX(Well_Data_NK_Upcoming!$L$2:$L$996,MATCH(Rig_Schedule_View!B250,Well_Data_NK_Upcoming!Concatenated_Wellname,0))=0,"",INDEX(Well_Data_NK_Upcoming!$L$2:$L$996,MATCH(Rig_Schedule_View!B250,Well_Data_NK_Upcoming!Concatenated_Wellname,0)))</f>
        <v/>
      </c>
      <c r="G250" s="421" t="str">
        <f ca="1">IF(INDEX(Well_Data_NK_Upcoming!$R$2:$R$996,MATCH(Rig_Schedule_View!B250,Well_Data_NK_Upcoming!Concatenated_Wellname,0))=0,"",INDEX(Well_Data_NK_Upcoming!$R$2:$R$996,MATCH(Rig_Schedule_View!B250,Well_Data_NK_Upcoming!Concatenated_Wellname,0)))</f>
        <v/>
      </c>
      <c r="H250" s="74"/>
      <c r="I250" s="443" t="str">
        <f ca="1">RigScheduleTest!$BN$21</f>
        <v/>
      </c>
      <c r="J250" s="443" t="str">
        <f ca="1">RigScheduleTest!$BO$21</f>
        <v/>
      </c>
      <c r="K250" s="413"/>
      <c r="L250" s="546"/>
      <c r="M250" s="544"/>
      <c r="N250" s="545"/>
      <c r="O250" s="545"/>
      <c r="P250" s="551"/>
    </row>
    <row r="251" spans="1:16" x14ac:dyDescent="0.25">
      <c r="A251" s="437" t="str">
        <f>RigScheduleTest!$B$1</f>
        <v>RIG</v>
      </c>
      <c r="B251" s="437" t="str">
        <f>$K$1</f>
        <v>Development Drilling</v>
      </c>
      <c r="C251" s="437" t="s">
        <v>1831</v>
      </c>
      <c r="D251" s="437" t="s">
        <v>867</v>
      </c>
      <c r="E251" s="437" t="s">
        <v>8</v>
      </c>
      <c r="F251" s="437" t="s">
        <v>2</v>
      </c>
      <c r="G251" s="437" t="s">
        <v>1513</v>
      </c>
      <c r="H251" s="438" t="str">
        <f>$K$3</f>
        <v>Rig Deployment Meeting</v>
      </c>
      <c r="I251" s="439" t="str">
        <f>$K$5</f>
        <v>Start</v>
      </c>
      <c r="J251" s="439" t="str">
        <f>$K$6</f>
        <v>End</v>
      </c>
      <c r="K251" s="444" t="s">
        <v>1068</v>
      </c>
      <c r="L251" s="444" t="s">
        <v>1577</v>
      </c>
      <c r="M251" s="496" t="s">
        <v>1934</v>
      </c>
      <c r="N251" s="504" t="s">
        <v>1940</v>
      </c>
      <c r="O251" s="504" t="s">
        <v>1941</v>
      </c>
      <c r="P251" s="502"/>
    </row>
    <row r="252" spans="1:16" x14ac:dyDescent="0.25">
      <c r="A252" s="442" t="str">
        <f>RigScheduleTest!$B$22</f>
        <v>SP-295</v>
      </c>
      <c r="B252" s="421" t="str">
        <f ca="1">RigScheduleTest!$D$22</f>
        <v>SA-0610-SA-UB-Prod-NW-SL-HAL</v>
      </c>
      <c r="C252" s="421" t="str">
        <f ca="1">IF(INDEX(Well_Data_NK_Upcoming!$G$2:$G$996,MATCH(Rig_Schedule_View!B252,Well_Data_NK_Upcoming!Concatenated_Wellname,0))=0,"",INDEX(Well_Data_NK_Upcoming!$G$2:$G$996,MATCH(Rig_Schedule_View!B252,Well_Data_NK_Upcoming!Concatenated_Wellname,0)))</f>
        <v>UB</v>
      </c>
      <c r="D252" s="421" t="str">
        <f ca="1">IF(INDEX(Well_Data_NK_Upcoming!$K$2:$K$996,MATCH(Rig_Schedule_View!B252,Well_Data_NK_Upcoming!Concatenated_Wellname,0))=0,"",INDEX(Well_Data_NK_Upcoming!$K$2:$K$996,MATCH(Rig_Schedule_View!B252,Well_Data_NK_Upcoming!Concatenated_Wellname,0)))</f>
        <v>NW</v>
      </c>
      <c r="E252" s="421" t="str">
        <f ca="1">IF(INDEX(Well_Data_NK_Upcoming!$J$2:$J$996,MATCH(Rig_Schedule_View!B252,Well_Data_NK_Upcoming!Concatenated_Wellname,0))=0,"",INDEX(Well_Data_NK_Upcoming!$J$2:$J$996,MATCH(Rig_Schedule_View!B252,Well_Data_NK_Upcoming!Concatenated_Wellname,0)))</f>
        <v>Prod</v>
      </c>
      <c r="F252" s="421" t="str">
        <f ca="1">IF(INDEX(Well_Data_NK_Upcoming!$L$2:$L$996,MATCH(Rig_Schedule_View!B252,Well_Data_NK_Upcoming!Concatenated_Wellname,0))=0,"",INDEX(Well_Data_NK_Upcoming!$L$2:$L$996,MATCH(Rig_Schedule_View!B252,Well_Data_NK_Upcoming!Concatenated_Wellname,0)))</f>
        <v>SL</v>
      </c>
      <c r="G252" s="421">
        <f ca="1">IF(INDEX(Well_Data_NK_Upcoming!$R$2:$R$996,MATCH(Rig_Schedule_View!B252,Well_Data_NK_Upcoming!Concatenated_Wellname,0))=0,"",INDEX(Well_Data_NK_Upcoming!$R$2:$R$996,MATCH(Rig_Schedule_View!B252,Well_Data_NK_Upcoming!Concatenated_Wellname,0)))</f>
        <v>75</v>
      </c>
      <c r="H252" s="74">
        <f>RigScheduleTest!$F$22</f>
        <v>42233</v>
      </c>
      <c r="I252" s="459">
        <f ca="1">IF(INDEX(Well_Data_NK_Upcoming!$O$2:$O$996,MATCH(Rig_Schedule_View!B252,Well_Data_NK_Upcoming!Concatenated_Wellname,0))=0,"",INDEX(Well_Data_NK_Upcoming!$O$2:$O$996,MATCH(Rig_Schedule_View!B252,Well_Data_NK_Upcoming!Concatenated_Wellname,0)))</f>
        <v>42209.708333333336</v>
      </c>
      <c r="J252" s="446">
        <f ca="1">RigScheduleTest!$H$22</f>
        <v>42247</v>
      </c>
      <c r="K252" s="493" t="s">
        <v>1917</v>
      </c>
      <c r="L252" s="543"/>
      <c r="M252" s="544">
        <v>14</v>
      </c>
      <c r="N252" s="545"/>
      <c r="O252" s="545"/>
      <c r="P252" s="551"/>
    </row>
    <row r="253" spans="1:16" x14ac:dyDescent="0.25">
      <c r="A253" s="442" t="str">
        <f>RigScheduleTest!$B$22</f>
        <v>SP-295</v>
      </c>
      <c r="B253" s="441" t="str">
        <f ca="1">RigScheduleTest!$I$22</f>
        <v>SA-0611-SA-UB-Prod-NW-SL-Sperry</v>
      </c>
      <c r="C253" s="421" t="str">
        <f ca="1">IF(INDEX(Well_Data_NK_Upcoming!$G$2:$G$996,MATCH(Rig_Schedule_View!B253,Well_Data_NK_Upcoming!Concatenated_Wellname,0))=0,"",INDEX(Well_Data_NK_Upcoming!$G$2:$G$996,MATCH(Rig_Schedule_View!B253,Well_Data_NK_Upcoming!Concatenated_Wellname,0)))</f>
        <v>UB</v>
      </c>
      <c r="D253" s="421" t="str">
        <f ca="1">IF(INDEX(Well_Data_NK_Upcoming!$K$2:$K$996,MATCH(Rig_Schedule_View!B253,Well_Data_NK_Upcoming!Concatenated_Wellname,0))=0,"",INDEX(Well_Data_NK_Upcoming!$K$2:$K$996,MATCH(Rig_Schedule_View!B253,Well_Data_NK_Upcoming!Concatenated_Wellname,0)))</f>
        <v>NW</v>
      </c>
      <c r="E253" s="421" t="str">
        <f ca="1">IF(INDEX(Well_Data_NK_Upcoming!$J$2:$J$996,MATCH(Rig_Schedule_View!B253,Well_Data_NK_Upcoming!Concatenated_Wellname,0))=0,"",INDEX(Well_Data_NK_Upcoming!$J$2:$J$996,MATCH(Rig_Schedule_View!B253,Well_Data_NK_Upcoming!Concatenated_Wellname,0)))</f>
        <v>Prod</v>
      </c>
      <c r="F253" s="421" t="str">
        <f ca="1">IF(INDEX(Well_Data_NK_Upcoming!$L$2:$L$996,MATCH(Rig_Schedule_View!B253,Well_Data_NK_Upcoming!Concatenated_Wellname,0))=0,"",INDEX(Well_Data_NK_Upcoming!$L$2:$L$996,MATCH(Rig_Schedule_View!B253,Well_Data_NK_Upcoming!Concatenated_Wellname,0)))</f>
        <v>SL</v>
      </c>
      <c r="G253" s="421">
        <f ca="1">IF(INDEX(Well_Data_NK_Upcoming!$R$2:$R$996,MATCH(Rig_Schedule_View!B253,Well_Data_NK_Upcoming!Concatenated_Wellname,0))=0,"",INDEX(Well_Data_NK_Upcoming!$R$2:$R$996,MATCH(Rig_Schedule_View!B253,Well_Data_NK_Upcoming!Concatenated_Wellname,0)))</f>
        <v>75</v>
      </c>
      <c r="H253" s="74"/>
      <c r="I253" s="440">
        <f ca="1">RigScheduleTest!$L$22</f>
        <v>42252</v>
      </c>
      <c r="J253" s="440">
        <f ca="1">RigScheduleTest!$M$22</f>
        <v>42322</v>
      </c>
      <c r="L253" s="546" t="s">
        <v>1987</v>
      </c>
      <c r="M253" s="544"/>
      <c r="N253" s="545"/>
      <c r="O253" s="545" t="s">
        <v>1988</v>
      </c>
      <c r="P253" s="551"/>
    </row>
    <row r="254" spans="1:16" x14ac:dyDescent="0.25">
      <c r="A254" s="442" t="str">
        <f>RigScheduleTest!$B$22</f>
        <v>SP-295</v>
      </c>
      <c r="B254" s="441" t="str">
        <f ca="1">RigScheduleTest!$O$22</f>
        <v>SA-0591-SA-LB-Prod-NW-HZ-Sperry</v>
      </c>
      <c r="C254" s="421" t="str">
        <f ca="1">IF(INDEX(Well_Data_NK_Upcoming!$G$2:$G$996,MATCH(Rig_Schedule_View!B254,Well_Data_NK_Upcoming!Concatenated_Wellname,0))=0,"",INDEX(Well_Data_NK_Upcoming!$G$2:$G$996,MATCH(Rig_Schedule_View!B254,Well_Data_NK_Upcoming!Concatenated_Wellname,0)))</f>
        <v>LB</v>
      </c>
      <c r="D254" s="421" t="str">
        <f ca="1">IF(INDEX(Well_Data_NK_Upcoming!$K$2:$K$996,MATCH(Rig_Schedule_View!B254,Well_Data_NK_Upcoming!Concatenated_Wellname,0))=0,"",INDEX(Well_Data_NK_Upcoming!$K$2:$K$996,MATCH(Rig_Schedule_View!B254,Well_Data_NK_Upcoming!Concatenated_Wellname,0)))</f>
        <v>NW</v>
      </c>
      <c r="E254" s="421" t="str">
        <f ca="1">IF(INDEX(Well_Data_NK_Upcoming!$J$2:$J$996,MATCH(Rig_Schedule_View!B254,Well_Data_NK_Upcoming!Concatenated_Wellname,0))=0,"",INDEX(Well_Data_NK_Upcoming!$J$2:$J$996,MATCH(Rig_Schedule_View!B254,Well_Data_NK_Upcoming!Concatenated_Wellname,0)))</f>
        <v>Prod</v>
      </c>
      <c r="F254" s="421" t="str">
        <f ca="1">IF(INDEX(Well_Data_NK_Upcoming!$L$2:$L$996,MATCH(Rig_Schedule_View!B254,Well_Data_NK_Upcoming!Concatenated_Wellname,0))=0,"",INDEX(Well_Data_NK_Upcoming!$L$2:$L$996,MATCH(Rig_Schedule_View!B254,Well_Data_NK_Upcoming!Concatenated_Wellname,0)))</f>
        <v>HZ</v>
      </c>
      <c r="G254" s="421">
        <f ca="1">IF(INDEX(Well_Data_NK_Upcoming!$R$2:$R$996,MATCH(Rig_Schedule_View!B254,Well_Data_NK_Upcoming!Concatenated_Wellname,0))=0,"",INDEX(Well_Data_NK_Upcoming!$R$2:$R$996,MATCH(Rig_Schedule_View!B254,Well_Data_NK_Upcoming!Concatenated_Wellname,0)))</f>
        <v>75</v>
      </c>
      <c r="H254" s="74"/>
      <c r="I254" s="440">
        <f ca="1">RigScheduleTest!$R$22</f>
        <v>42327</v>
      </c>
      <c r="J254" s="440">
        <f ca="1">RigScheduleTest!$S$22</f>
        <v>42397</v>
      </c>
      <c r="L254" s="546" t="s">
        <v>1987</v>
      </c>
      <c r="M254" s="544"/>
      <c r="N254" s="545" t="s">
        <v>2229</v>
      </c>
      <c r="O254" s="545"/>
      <c r="P254" s="551"/>
    </row>
    <row r="255" spans="1:16" x14ac:dyDescent="0.25">
      <c r="A255" s="442" t="str">
        <f>RigScheduleTest!$B$22</f>
        <v>SP-295</v>
      </c>
      <c r="B255" s="442" t="str">
        <f ca="1">RigScheduleTest!$U$22</f>
        <v>SA14-SA-MA-Inj-ST-HZ</v>
      </c>
      <c r="C255" s="421" t="str">
        <f ca="1">IF(INDEX(Well_Data_NK_Upcoming!$G$2:$G$996,MATCH(Rig_Schedule_View!B255,Well_Data_NK_Upcoming!Concatenated_Wellname,0))=0,"",INDEX(Well_Data_NK_Upcoming!$G$2:$G$996,MATCH(Rig_Schedule_View!B255,Well_Data_NK_Upcoming!Concatenated_Wellname,0)))</f>
        <v>MA</v>
      </c>
      <c r="D255" s="421" t="str">
        <f ca="1">IF(INDEX(Well_Data_NK_Upcoming!$K$2:$K$996,MATCH(Rig_Schedule_View!B255,Well_Data_NK_Upcoming!Concatenated_Wellname,0))=0,"",INDEX(Well_Data_NK_Upcoming!$K$2:$K$996,MATCH(Rig_Schedule_View!B255,Well_Data_NK_Upcoming!Concatenated_Wellname,0)))</f>
        <v>ST</v>
      </c>
      <c r="E255" s="421" t="str">
        <f ca="1">IF(INDEX(Well_Data_NK_Upcoming!$J$2:$J$996,MATCH(Rig_Schedule_View!B255,Well_Data_NK_Upcoming!Concatenated_Wellname,0))=0,"",INDEX(Well_Data_NK_Upcoming!$J$2:$J$996,MATCH(Rig_Schedule_View!B255,Well_Data_NK_Upcoming!Concatenated_Wellname,0)))</f>
        <v>Inj</v>
      </c>
      <c r="F255" s="421" t="str">
        <f ca="1">IF(INDEX(Well_Data_NK_Upcoming!$L$2:$L$996,MATCH(Rig_Schedule_View!B255,Well_Data_NK_Upcoming!Concatenated_Wellname,0))=0,"",INDEX(Well_Data_NK_Upcoming!$L$2:$L$996,MATCH(Rig_Schedule_View!B255,Well_Data_NK_Upcoming!Concatenated_Wellname,0)))</f>
        <v>HZ</v>
      </c>
      <c r="G255" s="421">
        <f ca="1">IF(INDEX(Well_Data_NK_Upcoming!$R$2:$R$996,MATCH(Rig_Schedule_View!B255,Well_Data_NK_Upcoming!Concatenated_Wellname,0))=0,"",INDEX(Well_Data_NK_Upcoming!$R$2:$R$996,MATCH(Rig_Schedule_View!B255,Well_Data_NK_Upcoming!Concatenated_Wellname,0)))</f>
        <v>54</v>
      </c>
      <c r="H255" s="74"/>
      <c r="I255" s="443">
        <f ca="1">RigScheduleTest!$X$22</f>
        <v>42402</v>
      </c>
      <c r="J255" s="443">
        <f ca="1">RigScheduleTest!$Y$22</f>
        <v>42451</v>
      </c>
      <c r="L255" s="546"/>
      <c r="M255" s="544"/>
      <c r="N255" s="545"/>
      <c r="O255" s="545"/>
      <c r="P255" s="551"/>
    </row>
    <row r="256" spans="1:16" x14ac:dyDescent="0.25">
      <c r="A256" s="442" t="str">
        <f>RigScheduleTest!$B$22</f>
        <v>SP-295</v>
      </c>
      <c r="B256" s="442" t="str">
        <f ca="1">RigScheduleTest!$AA$22</f>
        <v>SA27-SA-MA-Prod-NW-HZ</v>
      </c>
      <c r="C256" s="421" t="str">
        <f ca="1">IF(INDEX(Well_Data_NK_Upcoming!$G$2:$G$996,MATCH(Rig_Schedule_View!B256,Well_Data_NK_Upcoming!Concatenated_Wellname,0))=0,"",INDEX(Well_Data_NK_Upcoming!$G$2:$G$996,MATCH(Rig_Schedule_View!B256,Well_Data_NK_Upcoming!Concatenated_Wellname,0)))</f>
        <v>MA</v>
      </c>
      <c r="D256" s="421" t="str">
        <f ca="1">IF(INDEX(Well_Data_NK_Upcoming!$K$2:$K$996,MATCH(Rig_Schedule_View!B256,Well_Data_NK_Upcoming!Concatenated_Wellname,0))=0,"",INDEX(Well_Data_NK_Upcoming!$K$2:$K$996,MATCH(Rig_Schedule_View!B256,Well_Data_NK_Upcoming!Concatenated_Wellname,0)))</f>
        <v>NW</v>
      </c>
      <c r="E256" s="421" t="str">
        <f ca="1">IF(INDEX(Well_Data_NK_Upcoming!$J$2:$J$996,MATCH(Rig_Schedule_View!B256,Well_Data_NK_Upcoming!Concatenated_Wellname,0))=0,"",INDEX(Well_Data_NK_Upcoming!$J$2:$J$996,MATCH(Rig_Schedule_View!B256,Well_Data_NK_Upcoming!Concatenated_Wellname,0)))</f>
        <v>Prod</v>
      </c>
      <c r="F256" s="421" t="str">
        <f ca="1">IF(INDEX(Well_Data_NK_Upcoming!$L$2:$L$996,MATCH(Rig_Schedule_View!B256,Well_Data_NK_Upcoming!Concatenated_Wellname,0))=0,"",INDEX(Well_Data_NK_Upcoming!$L$2:$L$996,MATCH(Rig_Schedule_View!B256,Well_Data_NK_Upcoming!Concatenated_Wellname,0)))</f>
        <v>HZ</v>
      </c>
      <c r="G256" s="421">
        <f ca="1">IF(INDEX(Well_Data_NK_Upcoming!$R$2:$R$996,MATCH(Rig_Schedule_View!B256,Well_Data_NK_Upcoming!Concatenated_Wellname,0))=0,"",INDEX(Well_Data_NK_Upcoming!$R$2:$R$996,MATCH(Rig_Schedule_View!B256,Well_Data_NK_Upcoming!Concatenated_Wellname,0)))</f>
        <v>75</v>
      </c>
      <c r="H256" s="74"/>
      <c r="I256" s="443">
        <f ca="1">RigScheduleTest!$AD$22</f>
        <v>42456</v>
      </c>
      <c r="J256" s="443">
        <f ca="1">RigScheduleTest!$AE$22</f>
        <v>42526</v>
      </c>
      <c r="L256" s="546"/>
      <c r="M256" s="544"/>
      <c r="N256" s="545"/>
      <c r="O256" s="545"/>
      <c r="P256" s="551"/>
    </row>
    <row r="257" spans="1:16" x14ac:dyDescent="0.25">
      <c r="A257" s="442" t="str">
        <f>RigScheduleTest!$B$22</f>
        <v>SP-295</v>
      </c>
      <c r="B257" s="442" t="str">
        <f ca="1">RigScheduleTest!$AG$22</f>
        <v>RA24-RA-MA-Inj-NW-HZ-SLB</v>
      </c>
      <c r="C257" s="421" t="str">
        <f ca="1">IF(INDEX(Well_Data_NK_Upcoming!$G$2:$G$996,MATCH(Rig_Schedule_View!B257,Well_Data_NK_Upcoming!Concatenated_Wellname,0))=0,"",INDEX(Well_Data_NK_Upcoming!$G$2:$G$996,MATCH(Rig_Schedule_View!B257,Well_Data_NK_Upcoming!Concatenated_Wellname,0)))</f>
        <v>MA</v>
      </c>
      <c r="D257" s="421" t="str">
        <f ca="1">IF(INDEX(Well_Data_NK_Upcoming!$K$2:$K$996,MATCH(Rig_Schedule_View!B257,Well_Data_NK_Upcoming!Concatenated_Wellname,0))=0,"",INDEX(Well_Data_NK_Upcoming!$K$2:$K$996,MATCH(Rig_Schedule_View!B257,Well_Data_NK_Upcoming!Concatenated_Wellname,0)))</f>
        <v>NW</v>
      </c>
      <c r="E257" s="421" t="str">
        <f ca="1">IF(INDEX(Well_Data_NK_Upcoming!$J$2:$J$996,MATCH(Rig_Schedule_View!B257,Well_Data_NK_Upcoming!Concatenated_Wellname,0))=0,"",INDEX(Well_Data_NK_Upcoming!$J$2:$J$996,MATCH(Rig_Schedule_View!B257,Well_Data_NK_Upcoming!Concatenated_Wellname,0)))</f>
        <v>Inj</v>
      </c>
      <c r="F257" s="421" t="str">
        <f ca="1">IF(INDEX(Well_Data_NK_Upcoming!$L$2:$L$996,MATCH(Rig_Schedule_View!B257,Well_Data_NK_Upcoming!Concatenated_Wellname,0))=0,"",INDEX(Well_Data_NK_Upcoming!$L$2:$L$996,MATCH(Rig_Schedule_View!B257,Well_Data_NK_Upcoming!Concatenated_Wellname,0)))</f>
        <v>HZ</v>
      </c>
      <c r="G257" s="421">
        <f ca="1">IF(INDEX(Well_Data_NK_Upcoming!$R$2:$R$996,MATCH(Rig_Schedule_View!B257,Well_Data_NK_Upcoming!Concatenated_Wellname,0))=0,"",INDEX(Well_Data_NK_Upcoming!$R$2:$R$996,MATCH(Rig_Schedule_View!B257,Well_Data_NK_Upcoming!Concatenated_Wellname,0)))</f>
        <v>68</v>
      </c>
      <c r="H257" s="74"/>
      <c r="I257" s="443">
        <f ca="1">RigScheduleTest!$AJ$22</f>
        <v>42531</v>
      </c>
      <c r="J257" s="443">
        <f ca="1">RigScheduleTest!$AK$22</f>
        <v>42594</v>
      </c>
      <c r="L257" s="546"/>
      <c r="M257" s="544"/>
      <c r="N257" s="545"/>
      <c r="O257" s="545"/>
      <c r="P257" s="551"/>
    </row>
    <row r="258" spans="1:16" x14ac:dyDescent="0.25">
      <c r="A258" s="442" t="str">
        <f>RigScheduleTest!$B$22</f>
        <v>SP-295</v>
      </c>
      <c r="B258" s="442" t="str">
        <f ca="1">RigScheduleTest!$AM$22</f>
        <v>RA34-RA-ZU-Inj-NW-HZ-SLB</v>
      </c>
      <c r="C258" s="421" t="str">
        <f ca="1">IF(INDEX(Well_Data_NK_Upcoming!$G$2:$G$996,MATCH(Rig_Schedule_View!B258,Well_Data_NK_Upcoming!Concatenated_Wellname,0))=0,"",INDEX(Well_Data_NK_Upcoming!$G$2:$G$996,MATCH(Rig_Schedule_View!B258,Well_Data_NK_Upcoming!Concatenated_Wellname,0)))</f>
        <v>ZU</v>
      </c>
      <c r="D258" s="421" t="str">
        <f ca="1">IF(INDEX(Well_Data_NK_Upcoming!$K$2:$K$996,MATCH(Rig_Schedule_View!B258,Well_Data_NK_Upcoming!Concatenated_Wellname,0))=0,"",INDEX(Well_Data_NK_Upcoming!$K$2:$K$996,MATCH(Rig_Schedule_View!B258,Well_Data_NK_Upcoming!Concatenated_Wellname,0)))</f>
        <v>NW</v>
      </c>
      <c r="E258" s="421" t="str">
        <f ca="1">IF(INDEX(Well_Data_NK_Upcoming!$J$2:$J$996,MATCH(Rig_Schedule_View!B258,Well_Data_NK_Upcoming!Concatenated_Wellname,0))=0,"",INDEX(Well_Data_NK_Upcoming!$J$2:$J$996,MATCH(Rig_Schedule_View!B258,Well_Data_NK_Upcoming!Concatenated_Wellname,0)))</f>
        <v>Inj</v>
      </c>
      <c r="F258" s="421" t="str">
        <f ca="1">IF(INDEX(Well_Data_NK_Upcoming!$L$2:$L$996,MATCH(Rig_Schedule_View!B258,Well_Data_NK_Upcoming!Concatenated_Wellname,0))=0,"",INDEX(Well_Data_NK_Upcoming!$L$2:$L$996,MATCH(Rig_Schedule_View!B258,Well_Data_NK_Upcoming!Concatenated_Wellname,0)))</f>
        <v>HZ</v>
      </c>
      <c r="G258" s="421" t="str">
        <f ca="1">IF(INDEX(Well_Data_NK_Upcoming!$R$2:$R$996,MATCH(Rig_Schedule_View!B258,Well_Data_NK_Upcoming!Concatenated_Wellname,0))=0,"",INDEX(Well_Data_NK_Upcoming!$R$2:$R$996,MATCH(Rig_Schedule_View!B258,Well_Data_NK_Upcoming!Concatenated_Wellname,0)))</f>
        <v/>
      </c>
      <c r="H258" s="74"/>
      <c r="I258" s="443" t="str">
        <f ca="1">RigScheduleTest!$AP$22</f>
        <v/>
      </c>
      <c r="J258" s="443" t="str">
        <f ca="1">RigScheduleTest!$AQ$22</f>
        <v/>
      </c>
      <c r="L258" s="546"/>
      <c r="M258" s="544"/>
      <c r="N258" s="545"/>
      <c r="O258" s="545"/>
      <c r="P258" s="551"/>
    </row>
    <row r="259" spans="1:16" x14ac:dyDescent="0.25">
      <c r="A259" s="442" t="str">
        <f>RigScheduleTest!$B$22</f>
        <v>SP-295</v>
      </c>
      <c r="B259" s="442" t="str">
        <f ca="1">RigScheduleTest!$AS$22</f>
        <v/>
      </c>
      <c r="C259" s="421" t="str">
        <f ca="1">IF(INDEX(Well_Data_NK_Upcoming!$G$2:$G$996,MATCH(Rig_Schedule_View!B259,Well_Data_NK_Upcoming!Concatenated_Wellname,0))=0,"",INDEX(Well_Data_NK_Upcoming!$G$2:$G$996,MATCH(Rig_Schedule_View!B259,Well_Data_NK_Upcoming!Concatenated_Wellname,0)))</f>
        <v/>
      </c>
      <c r="D259" s="421" t="str">
        <f ca="1">IF(INDEX(Well_Data_NK_Upcoming!$K$2:$K$996,MATCH(Rig_Schedule_View!B259,Well_Data_NK_Upcoming!Concatenated_Wellname,0))=0,"",INDEX(Well_Data_NK_Upcoming!$K$2:$K$996,MATCH(Rig_Schedule_View!B259,Well_Data_NK_Upcoming!Concatenated_Wellname,0)))</f>
        <v/>
      </c>
      <c r="E259" s="421" t="str">
        <f ca="1">IF(INDEX(Well_Data_NK_Upcoming!$J$2:$J$996,MATCH(Rig_Schedule_View!B259,Well_Data_NK_Upcoming!Concatenated_Wellname,0))=0,"",INDEX(Well_Data_NK_Upcoming!$J$2:$J$996,MATCH(Rig_Schedule_View!B259,Well_Data_NK_Upcoming!Concatenated_Wellname,0)))</f>
        <v/>
      </c>
      <c r="F259" s="421" t="str">
        <f ca="1">IF(INDEX(Well_Data_NK_Upcoming!$L$2:$L$996,MATCH(Rig_Schedule_View!B259,Well_Data_NK_Upcoming!Concatenated_Wellname,0))=0,"",INDEX(Well_Data_NK_Upcoming!$L$2:$L$996,MATCH(Rig_Schedule_View!B259,Well_Data_NK_Upcoming!Concatenated_Wellname,0)))</f>
        <v/>
      </c>
      <c r="G259" s="421" t="str">
        <f ca="1">IF(INDEX(Well_Data_NK_Upcoming!$R$2:$R$996,MATCH(Rig_Schedule_View!B259,Well_Data_NK_Upcoming!Concatenated_Wellname,0))=0,"",INDEX(Well_Data_NK_Upcoming!$R$2:$R$996,MATCH(Rig_Schedule_View!B259,Well_Data_NK_Upcoming!Concatenated_Wellname,0)))</f>
        <v/>
      </c>
      <c r="H259" s="74"/>
      <c r="I259" s="443" t="str">
        <f ca="1">RigScheduleTest!$AV$22</f>
        <v/>
      </c>
      <c r="J259" s="443" t="str">
        <f ca="1">RigScheduleTest!$AW$22</f>
        <v/>
      </c>
      <c r="L259" s="546"/>
      <c r="M259" s="544"/>
      <c r="N259" s="545"/>
      <c r="O259" s="545"/>
      <c r="P259" s="551"/>
    </row>
    <row r="260" spans="1:16" x14ac:dyDescent="0.25">
      <c r="A260" s="442" t="str">
        <f>RigScheduleTest!$B$22</f>
        <v>SP-295</v>
      </c>
      <c r="B260" s="442" t="str">
        <f ca="1">RigScheduleTest!$AY$22</f>
        <v/>
      </c>
      <c r="C260" s="421" t="str">
        <f ca="1">IF(INDEX(Well_Data_NK_Upcoming!$G$2:$G$996,MATCH(Rig_Schedule_View!B260,Well_Data_NK_Upcoming!Concatenated_Wellname,0))=0,"",INDEX(Well_Data_NK_Upcoming!$G$2:$G$996,MATCH(Rig_Schedule_View!B260,Well_Data_NK_Upcoming!Concatenated_Wellname,0)))</f>
        <v/>
      </c>
      <c r="D260" s="421" t="str">
        <f ca="1">IF(INDEX(Well_Data_NK_Upcoming!$K$2:$K$996,MATCH(Rig_Schedule_View!B260,Well_Data_NK_Upcoming!Concatenated_Wellname,0))=0,"",INDEX(Well_Data_NK_Upcoming!$K$2:$K$996,MATCH(Rig_Schedule_View!B260,Well_Data_NK_Upcoming!Concatenated_Wellname,0)))</f>
        <v/>
      </c>
      <c r="E260" s="421" t="str">
        <f ca="1">IF(INDEX(Well_Data_NK_Upcoming!$J$2:$J$996,MATCH(Rig_Schedule_View!B260,Well_Data_NK_Upcoming!Concatenated_Wellname,0))=0,"",INDEX(Well_Data_NK_Upcoming!$J$2:$J$996,MATCH(Rig_Schedule_View!B260,Well_Data_NK_Upcoming!Concatenated_Wellname,0)))</f>
        <v/>
      </c>
      <c r="F260" s="421" t="str">
        <f ca="1">IF(INDEX(Well_Data_NK_Upcoming!$L$2:$L$996,MATCH(Rig_Schedule_View!B260,Well_Data_NK_Upcoming!Concatenated_Wellname,0))=0,"",INDEX(Well_Data_NK_Upcoming!$L$2:$L$996,MATCH(Rig_Schedule_View!B260,Well_Data_NK_Upcoming!Concatenated_Wellname,0)))</f>
        <v/>
      </c>
      <c r="G260" s="421" t="str">
        <f ca="1">IF(INDEX(Well_Data_NK_Upcoming!$R$2:$R$996,MATCH(Rig_Schedule_View!B260,Well_Data_NK_Upcoming!Concatenated_Wellname,0))=0,"",INDEX(Well_Data_NK_Upcoming!$R$2:$R$996,MATCH(Rig_Schedule_View!B260,Well_Data_NK_Upcoming!Concatenated_Wellname,0)))</f>
        <v/>
      </c>
      <c r="H260" s="74"/>
      <c r="I260" s="443" t="str">
        <f ca="1">RigScheduleTest!$BB$22</f>
        <v/>
      </c>
      <c r="J260" s="443" t="str">
        <f ca="1">RigScheduleTest!$BC$22</f>
        <v/>
      </c>
      <c r="L260" s="546"/>
      <c r="M260" s="544"/>
      <c r="N260" s="545"/>
      <c r="O260" s="545"/>
      <c r="P260" s="551"/>
    </row>
    <row r="261" spans="1:16" x14ac:dyDescent="0.25">
      <c r="A261" s="442" t="str">
        <f>RigScheduleTest!$B$22</f>
        <v>SP-295</v>
      </c>
      <c r="B261" s="442" t="str">
        <f ca="1">RigScheduleTest!$BE$22</f>
        <v/>
      </c>
      <c r="C261" s="421" t="str">
        <f ca="1">IF(INDEX(Well_Data_NK_Upcoming!$G$2:$G$996,MATCH(Rig_Schedule_View!B261,Well_Data_NK_Upcoming!Concatenated_Wellname,0))=0,"",INDEX(Well_Data_NK_Upcoming!$G$2:$G$996,MATCH(Rig_Schedule_View!B261,Well_Data_NK_Upcoming!Concatenated_Wellname,0)))</f>
        <v/>
      </c>
      <c r="D261" s="421" t="str">
        <f ca="1">IF(INDEX(Well_Data_NK_Upcoming!$K$2:$K$996,MATCH(Rig_Schedule_View!B261,Well_Data_NK_Upcoming!Concatenated_Wellname,0))=0,"",INDEX(Well_Data_NK_Upcoming!$K$2:$K$996,MATCH(Rig_Schedule_View!B261,Well_Data_NK_Upcoming!Concatenated_Wellname,0)))</f>
        <v/>
      </c>
      <c r="E261" s="421" t="str">
        <f ca="1">IF(INDEX(Well_Data_NK_Upcoming!$J$2:$J$996,MATCH(Rig_Schedule_View!B261,Well_Data_NK_Upcoming!Concatenated_Wellname,0))=0,"",INDEX(Well_Data_NK_Upcoming!$J$2:$J$996,MATCH(Rig_Schedule_View!B261,Well_Data_NK_Upcoming!Concatenated_Wellname,0)))</f>
        <v/>
      </c>
      <c r="F261" s="421" t="str">
        <f ca="1">IF(INDEX(Well_Data_NK_Upcoming!$L$2:$L$996,MATCH(Rig_Schedule_View!B261,Well_Data_NK_Upcoming!Concatenated_Wellname,0))=0,"",INDEX(Well_Data_NK_Upcoming!$L$2:$L$996,MATCH(Rig_Schedule_View!B261,Well_Data_NK_Upcoming!Concatenated_Wellname,0)))</f>
        <v/>
      </c>
      <c r="G261" s="421" t="str">
        <f ca="1">IF(INDEX(Well_Data_NK_Upcoming!$R$2:$R$996,MATCH(Rig_Schedule_View!B261,Well_Data_NK_Upcoming!Concatenated_Wellname,0))=0,"",INDEX(Well_Data_NK_Upcoming!$R$2:$R$996,MATCH(Rig_Schedule_View!B261,Well_Data_NK_Upcoming!Concatenated_Wellname,0)))</f>
        <v/>
      </c>
      <c r="H261" s="74"/>
      <c r="I261" s="443" t="str">
        <f ca="1">RigScheduleTest!$BH$22</f>
        <v/>
      </c>
      <c r="J261" s="443" t="str">
        <f ca="1">RigScheduleTest!$BI$22</f>
        <v/>
      </c>
      <c r="L261" s="546"/>
      <c r="M261" s="544"/>
      <c r="N261" s="545"/>
      <c r="O261" s="545"/>
      <c r="P261" s="551"/>
    </row>
    <row r="262" spans="1:16" x14ac:dyDescent="0.25">
      <c r="A262" s="442" t="str">
        <f>RigScheduleTest!$B$22</f>
        <v>SP-295</v>
      </c>
      <c r="B262" s="442" t="str">
        <f ca="1">RigScheduleTest!$BK$22</f>
        <v/>
      </c>
      <c r="C262" s="421" t="str">
        <f ca="1">IF(INDEX(Well_Data_NK_Upcoming!$G$2:$G$996,MATCH(Rig_Schedule_View!B262,Well_Data_NK_Upcoming!Concatenated_Wellname,0))=0,"",INDEX(Well_Data_NK_Upcoming!$G$2:$G$996,MATCH(Rig_Schedule_View!B262,Well_Data_NK_Upcoming!Concatenated_Wellname,0)))</f>
        <v/>
      </c>
      <c r="D262" s="421" t="str">
        <f ca="1">IF(INDEX(Well_Data_NK_Upcoming!$K$2:$K$996,MATCH(Rig_Schedule_View!B262,Well_Data_NK_Upcoming!Concatenated_Wellname,0))=0,"",INDEX(Well_Data_NK_Upcoming!$K$2:$K$996,MATCH(Rig_Schedule_View!B262,Well_Data_NK_Upcoming!Concatenated_Wellname,0)))</f>
        <v/>
      </c>
      <c r="E262" s="421" t="str">
        <f ca="1">IF(INDEX(Well_Data_NK_Upcoming!$J$2:$J$996,MATCH(Rig_Schedule_View!B262,Well_Data_NK_Upcoming!Concatenated_Wellname,0))=0,"",INDEX(Well_Data_NK_Upcoming!$J$2:$J$996,MATCH(Rig_Schedule_View!B262,Well_Data_NK_Upcoming!Concatenated_Wellname,0)))</f>
        <v/>
      </c>
      <c r="F262" s="421" t="str">
        <f ca="1">IF(INDEX(Well_Data_NK_Upcoming!$L$2:$L$996,MATCH(Rig_Schedule_View!B262,Well_Data_NK_Upcoming!Concatenated_Wellname,0))=0,"",INDEX(Well_Data_NK_Upcoming!$L$2:$L$996,MATCH(Rig_Schedule_View!B262,Well_Data_NK_Upcoming!Concatenated_Wellname,0)))</f>
        <v/>
      </c>
      <c r="G262" s="421" t="str">
        <f ca="1">IF(INDEX(Well_Data_NK_Upcoming!$R$2:$R$996,MATCH(Rig_Schedule_View!B262,Well_Data_NK_Upcoming!Concatenated_Wellname,0))=0,"",INDEX(Well_Data_NK_Upcoming!$R$2:$R$996,MATCH(Rig_Schedule_View!B262,Well_Data_NK_Upcoming!Concatenated_Wellname,0)))</f>
        <v/>
      </c>
      <c r="H262" s="74"/>
      <c r="I262" s="443" t="str">
        <f ca="1">RigScheduleTest!$BN$22</f>
        <v/>
      </c>
      <c r="J262" s="443" t="str">
        <f ca="1">RigScheduleTest!$BO$22</f>
        <v/>
      </c>
      <c r="L262" s="546"/>
      <c r="M262" s="544"/>
      <c r="N262" s="545"/>
      <c r="O262" s="545"/>
      <c r="P262" s="551"/>
    </row>
  </sheetData>
  <autoFilter ref="A11:R262"/>
  <mergeCells count="8">
    <mergeCell ref="L5:M5"/>
    <mergeCell ref="L6:M6"/>
    <mergeCell ref="A1:B1"/>
    <mergeCell ref="A2:B2"/>
    <mergeCell ref="L1:M1"/>
    <mergeCell ref="L2:M2"/>
    <mergeCell ref="L3:M3"/>
    <mergeCell ref="L4:M4"/>
  </mergeCells>
  <pageMargins left="0.7" right="0.7" top="0.75" bottom="0.75" header="0.3" footer="0.3"/>
  <pageSetup paperSize="119" orientation="portrait" horizontalDpi="4294967294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5"/>
  <sheetViews>
    <sheetView tabSelected="1" topLeftCell="A16" workbookViewId="0">
      <selection activeCell="H31" sqref="H31"/>
    </sheetView>
  </sheetViews>
  <sheetFormatPr defaultRowHeight="15" x14ac:dyDescent="0.25"/>
  <cols>
    <col min="2" max="2" width="33" customWidth="1"/>
    <col min="3" max="3" width="16.28515625" customWidth="1"/>
    <col min="7" max="7" width="13.140625" customWidth="1"/>
    <col min="8" max="8" width="10.140625" style="346" customWidth="1"/>
    <col min="9" max="9" width="12.7109375" style="346" customWidth="1"/>
  </cols>
  <sheetData>
    <row r="1" spans="1:13" x14ac:dyDescent="0.25">
      <c r="A1" t="s">
        <v>4</v>
      </c>
      <c r="B1" t="s">
        <v>1684</v>
      </c>
      <c r="C1" t="s">
        <v>1831</v>
      </c>
      <c r="D1" t="s">
        <v>867</v>
      </c>
      <c r="E1" t="s">
        <v>2570</v>
      </c>
      <c r="F1" t="s">
        <v>2</v>
      </c>
      <c r="G1" t="s">
        <v>1513</v>
      </c>
      <c r="H1" s="346" t="s">
        <v>575</v>
      </c>
      <c r="I1" s="346" t="s">
        <v>576</v>
      </c>
      <c r="J1" t="s">
        <v>1068</v>
      </c>
      <c r="K1" t="s">
        <v>1577</v>
      </c>
      <c r="L1" t="s">
        <v>1934</v>
      </c>
      <c r="M1" t="s">
        <v>1940</v>
      </c>
    </row>
    <row r="2" spans="1:13" x14ac:dyDescent="0.25">
      <c r="A2" t="s">
        <v>12</v>
      </c>
      <c r="B2" t="s">
        <v>2420</v>
      </c>
      <c r="C2" t="s">
        <v>44</v>
      </c>
      <c r="D2" t="s">
        <v>18</v>
      </c>
      <c r="E2" t="s">
        <v>298</v>
      </c>
      <c r="F2" t="s">
        <v>1511</v>
      </c>
      <c r="G2">
        <v>35</v>
      </c>
      <c r="H2" s="639">
        <v>42222.083333333336</v>
      </c>
      <c r="I2" s="415">
        <v>42258</v>
      </c>
      <c r="J2" t="s">
        <v>1917</v>
      </c>
      <c r="K2" t="s">
        <v>2237</v>
      </c>
      <c r="L2">
        <v>25</v>
      </c>
    </row>
    <row r="3" spans="1:13" x14ac:dyDescent="0.25">
      <c r="A3" t="s">
        <v>1171</v>
      </c>
      <c r="B3" t="s">
        <v>2421</v>
      </c>
      <c r="C3" t="s">
        <v>29</v>
      </c>
      <c r="D3" t="s">
        <v>14</v>
      </c>
      <c r="E3" t="s">
        <v>298</v>
      </c>
      <c r="F3" t="s">
        <v>1410</v>
      </c>
      <c r="G3">
        <v>75</v>
      </c>
      <c r="H3" s="639">
        <v>42115.229166666664</v>
      </c>
      <c r="I3" s="415">
        <v>42268</v>
      </c>
      <c r="J3" t="s">
        <v>1917</v>
      </c>
      <c r="K3" t="s">
        <v>2217</v>
      </c>
      <c r="L3">
        <v>35</v>
      </c>
    </row>
    <row r="4" spans="1:13" x14ac:dyDescent="0.25">
      <c r="A4" t="s">
        <v>1171</v>
      </c>
      <c r="B4" t="s">
        <v>2422</v>
      </c>
      <c r="C4" t="s">
        <v>29</v>
      </c>
      <c r="D4" t="s">
        <v>14</v>
      </c>
      <c r="E4" t="s">
        <v>298</v>
      </c>
      <c r="F4" t="s">
        <v>1410</v>
      </c>
      <c r="G4">
        <v>75</v>
      </c>
      <c r="H4" s="639">
        <v>42273</v>
      </c>
      <c r="I4" s="639">
        <v>42343</v>
      </c>
    </row>
    <row r="5" spans="1:13" x14ac:dyDescent="0.25">
      <c r="A5" t="s">
        <v>1171</v>
      </c>
      <c r="B5" t="s">
        <v>2423</v>
      </c>
      <c r="C5" t="s">
        <v>17</v>
      </c>
      <c r="D5" t="s">
        <v>14</v>
      </c>
      <c r="E5" t="s">
        <v>298</v>
      </c>
      <c r="F5" t="s">
        <v>1410</v>
      </c>
      <c r="G5">
        <v>75</v>
      </c>
      <c r="H5" s="639">
        <v>42348</v>
      </c>
      <c r="I5" s="639">
        <v>42418</v>
      </c>
      <c r="K5" t="s">
        <v>1987</v>
      </c>
      <c r="M5" t="s">
        <v>1977</v>
      </c>
    </row>
    <row r="6" spans="1:13" x14ac:dyDescent="0.25">
      <c r="A6" t="s">
        <v>1171</v>
      </c>
      <c r="B6" t="s">
        <v>2424</v>
      </c>
      <c r="C6" t="s">
        <v>17</v>
      </c>
      <c r="D6" t="s">
        <v>14</v>
      </c>
      <c r="E6" t="s">
        <v>298</v>
      </c>
      <c r="F6" t="s">
        <v>1410</v>
      </c>
      <c r="G6">
        <v>75</v>
      </c>
      <c r="H6" s="639">
        <v>42423</v>
      </c>
      <c r="I6" s="639">
        <v>42493</v>
      </c>
    </row>
    <row r="7" spans="1:13" x14ac:dyDescent="0.25">
      <c r="A7" t="s">
        <v>1171</v>
      </c>
      <c r="B7" t="s">
        <v>2425</v>
      </c>
      <c r="C7" t="s">
        <v>17</v>
      </c>
      <c r="D7" t="s">
        <v>18</v>
      </c>
      <c r="E7" t="s">
        <v>298</v>
      </c>
      <c r="F7" t="s">
        <v>1410</v>
      </c>
      <c r="G7">
        <v>61</v>
      </c>
      <c r="H7" s="639">
        <v>42498</v>
      </c>
      <c r="I7" s="639">
        <v>42554</v>
      </c>
    </row>
    <row r="8" spans="1:13" x14ac:dyDescent="0.25">
      <c r="A8" t="s">
        <v>1171</v>
      </c>
      <c r="B8" t="s">
        <v>2426</v>
      </c>
      <c r="C8" t="s">
        <v>17</v>
      </c>
      <c r="D8" t="s">
        <v>18</v>
      </c>
      <c r="E8" t="s">
        <v>34</v>
      </c>
      <c r="F8" t="s">
        <v>1410</v>
      </c>
      <c r="G8">
        <v>54</v>
      </c>
      <c r="H8" s="639">
        <v>42559</v>
      </c>
      <c r="I8" s="639">
        <v>42608</v>
      </c>
    </row>
    <row r="9" spans="1:13" x14ac:dyDescent="0.25">
      <c r="A9" t="s">
        <v>1171</v>
      </c>
      <c r="B9" t="s">
        <v>2427</v>
      </c>
      <c r="C9" t="s">
        <v>17</v>
      </c>
      <c r="D9" t="s">
        <v>14</v>
      </c>
      <c r="E9" t="s">
        <v>298</v>
      </c>
      <c r="F9" t="s">
        <v>1410</v>
      </c>
      <c r="G9">
        <v>75</v>
      </c>
      <c r="H9" s="639">
        <v>42613</v>
      </c>
      <c r="I9" s="639">
        <v>42683</v>
      </c>
    </row>
    <row r="10" spans="1:13" x14ac:dyDescent="0.25">
      <c r="A10" t="s">
        <v>1171</v>
      </c>
      <c r="B10" t="s">
        <v>2428</v>
      </c>
      <c r="C10" t="s">
        <v>22</v>
      </c>
      <c r="D10" t="s">
        <v>14</v>
      </c>
      <c r="E10" t="s">
        <v>298</v>
      </c>
      <c r="F10" t="s">
        <v>1416</v>
      </c>
      <c r="G10">
        <v>75</v>
      </c>
      <c r="H10" s="639">
        <v>42688</v>
      </c>
      <c r="I10" s="639">
        <v>42758</v>
      </c>
    </row>
    <row r="11" spans="1:13" x14ac:dyDescent="0.25">
      <c r="A11" t="s">
        <v>1171</v>
      </c>
      <c r="B11" t="s">
        <v>2429</v>
      </c>
      <c r="C11" t="s">
        <v>22</v>
      </c>
      <c r="D11" t="s">
        <v>14</v>
      </c>
      <c r="E11" t="s">
        <v>298</v>
      </c>
      <c r="F11" t="s">
        <v>1416</v>
      </c>
      <c r="G11">
        <v>75</v>
      </c>
      <c r="H11" s="639">
        <v>42763</v>
      </c>
      <c r="I11" s="639">
        <v>42833</v>
      </c>
    </row>
    <row r="12" spans="1:13" x14ac:dyDescent="0.25">
      <c r="A12" t="s">
        <v>1171</v>
      </c>
      <c r="B12" t="s">
        <v>2430</v>
      </c>
      <c r="C12" t="s">
        <v>29</v>
      </c>
      <c r="D12" t="s">
        <v>14</v>
      </c>
      <c r="E12" t="s">
        <v>34</v>
      </c>
      <c r="F12" t="s">
        <v>1416</v>
      </c>
      <c r="G12">
        <v>75</v>
      </c>
      <c r="H12" s="639">
        <v>42838</v>
      </c>
      <c r="I12" s="639">
        <v>42908</v>
      </c>
    </row>
    <row r="13" spans="1:13" x14ac:dyDescent="0.25">
      <c r="A13" t="s">
        <v>1171</v>
      </c>
      <c r="B13" t="s">
        <v>2431</v>
      </c>
      <c r="C13" t="s">
        <v>744</v>
      </c>
      <c r="D13" t="s">
        <v>14</v>
      </c>
      <c r="E13" t="s">
        <v>298</v>
      </c>
      <c r="F13" t="s">
        <v>1410</v>
      </c>
      <c r="G13">
        <v>103</v>
      </c>
      <c r="H13" s="639">
        <v>42913</v>
      </c>
      <c r="I13" s="639">
        <v>43011</v>
      </c>
    </row>
    <row r="14" spans="1:13" x14ac:dyDescent="0.25">
      <c r="A14" t="s">
        <v>35</v>
      </c>
      <c r="B14" t="s">
        <v>2432</v>
      </c>
      <c r="C14" t="s">
        <v>17</v>
      </c>
      <c r="D14" t="s">
        <v>18</v>
      </c>
      <c r="E14" t="s">
        <v>298</v>
      </c>
      <c r="F14" t="s">
        <v>1410</v>
      </c>
      <c r="G14">
        <v>61</v>
      </c>
      <c r="H14" s="639">
        <v>42215.854166666664</v>
      </c>
      <c r="I14" s="415">
        <v>42243</v>
      </c>
      <c r="J14" t="s">
        <v>1917</v>
      </c>
      <c r="L14">
        <v>10</v>
      </c>
    </row>
    <row r="15" spans="1:13" x14ac:dyDescent="0.25">
      <c r="A15" t="s">
        <v>35</v>
      </c>
      <c r="B15" t="s">
        <v>2433</v>
      </c>
      <c r="C15" t="s">
        <v>44</v>
      </c>
      <c r="D15" t="s">
        <v>14</v>
      </c>
      <c r="E15" t="s">
        <v>298</v>
      </c>
      <c r="F15" t="s">
        <v>1416</v>
      </c>
      <c r="G15">
        <v>103</v>
      </c>
      <c r="H15" s="639">
        <v>42248</v>
      </c>
      <c r="I15" s="639">
        <v>42346</v>
      </c>
      <c r="K15" t="s">
        <v>2236</v>
      </c>
    </row>
    <row r="16" spans="1:13" x14ac:dyDescent="0.25">
      <c r="A16" t="s">
        <v>35</v>
      </c>
      <c r="B16" t="s">
        <v>2434</v>
      </c>
      <c r="C16" t="s">
        <v>44</v>
      </c>
      <c r="D16" t="s">
        <v>18</v>
      </c>
      <c r="E16" t="s">
        <v>34</v>
      </c>
      <c r="F16" t="s">
        <v>1416</v>
      </c>
      <c r="G16">
        <v>61</v>
      </c>
      <c r="H16" s="639">
        <v>42351</v>
      </c>
      <c r="I16" s="639">
        <v>42407</v>
      </c>
    </row>
    <row r="17" spans="1:13" x14ac:dyDescent="0.25">
      <c r="A17" t="s">
        <v>35</v>
      </c>
      <c r="B17" t="s">
        <v>2435</v>
      </c>
      <c r="C17" t="s">
        <v>17</v>
      </c>
      <c r="D17" t="s">
        <v>18</v>
      </c>
      <c r="E17" t="s">
        <v>34</v>
      </c>
      <c r="F17" t="s">
        <v>1410</v>
      </c>
      <c r="G17">
        <v>54</v>
      </c>
      <c r="H17" s="639">
        <v>42412</v>
      </c>
      <c r="I17" s="639">
        <v>42461</v>
      </c>
      <c r="M17" t="s">
        <v>1977</v>
      </c>
    </row>
    <row r="18" spans="1:13" x14ac:dyDescent="0.25">
      <c r="A18" t="s">
        <v>35</v>
      </c>
      <c r="B18" t="s">
        <v>2436</v>
      </c>
      <c r="C18" t="s">
        <v>17</v>
      </c>
      <c r="D18" t="s">
        <v>14</v>
      </c>
      <c r="E18" t="s">
        <v>298</v>
      </c>
      <c r="F18" t="s">
        <v>1410</v>
      </c>
      <c r="G18">
        <v>75</v>
      </c>
      <c r="H18" s="639">
        <v>42466</v>
      </c>
      <c r="I18" s="639">
        <v>42536</v>
      </c>
    </row>
    <row r="19" spans="1:13" x14ac:dyDescent="0.25">
      <c r="A19" t="s">
        <v>35</v>
      </c>
      <c r="B19" t="s">
        <v>2437</v>
      </c>
      <c r="C19" t="s">
        <v>17</v>
      </c>
      <c r="D19" t="s">
        <v>14</v>
      </c>
      <c r="E19" t="s">
        <v>34</v>
      </c>
      <c r="F19" t="s">
        <v>1410</v>
      </c>
      <c r="G19">
        <v>68</v>
      </c>
      <c r="H19" s="639">
        <v>42541</v>
      </c>
      <c r="I19" s="639">
        <v>42604</v>
      </c>
    </row>
    <row r="20" spans="1:13" x14ac:dyDescent="0.25">
      <c r="A20" t="s">
        <v>35</v>
      </c>
      <c r="B20" t="s">
        <v>2438</v>
      </c>
      <c r="C20" t="s">
        <v>22</v>
      </c>
      <c r="D20" t="s">
        <v>14</v>
      </c>
      <c r="E20" t="s">
        <v>298</v>
      </c>
      <c r="F20" t="s">
        <v>1416</v>
      </c>
      <c r="G20">
        <v>75</v>
      </c>
      <c r="H20" s="639">
        <v>42609</v>
      </c>
      <c r="I20" s="639">
        <v>42679</v>
      </c>
    </row>
    <row r="21" spans="1:13" x14ac:dyDescent="0.25">
      <c r="A21" t="s">
        <v>35</v>
      </c>
      <c r="B21" t="s">
        <v>2439</v>
      </c>
      <c r="C21" t="s">
        <v>29</v>
      </c>
      <c r="D21" t="s">
        <v>14</v>
      </c>
      <c r="E21" t="s">
        <v>34</v>
      </c>
      <c r="F21" t="s">
        <v>1416</v>
      </c>
      <c r="G21">
        <v>75</v>
      </c>
      <c r="H21" s="639">
        <v>42684</v>
      </c>
      <c r="I21" s="639">
        <v>42754</v>
      </c>
    </row>
    <row r="22" spans="1:13" x14ac:dyDescent="0.25">
      <c r="A22" t="s">
        <v>35</v>
      </c>
      <c r="B22" t="s">
        <v>2440</v>
      </c>
      <c r="C22" t="s">
        <v>17</v>
      </c>
      <c r="D22" t="s">
        <v>14</v>
      </c>
      <c r="E22" t="s">
        <v>298</v>
      </c>
      <c r="F22" t="s">
        <v>1410</v>
      </c>
      <c r="G22">
        <v>75</v>
      </c>
      <c r="H22" s="639">
        <v>42759</v>
      </c>
      <c r="I22" s="639">
        <v>42829</v>
      </c>
    </row>
    <row r="23" spans="1:13" x14ac:dyDescent="0.25">
      <c r="A23" t="s">
        <v>35</v>
      </c>
      <c r="B23" t="s">
        <v>2441</v>
      </c>
      <c r="C23" t="s">
        <v>44</v>
      </c>
      <c r="D23" t="s">
        <v>14</v>
      </c>
      <c r="E23" t="s">
        <v>298</v>
      </c>
      <c r="F23" t="s">
        <v>1411</v>
      </c>
      <c r="G23">
        <v>103</v>
      </c>
      <c r="H23" s="639">
        <v>42834</v>
      </c>
      <c r="I23" s="639">
        <v>42932</v>
      </c>
    </row>
    <row r="24" spans="1:13" x14ac:dyDescent="0.25">
      <c r="A24" t="s">
        <v>19</v>
      </c>
      <c r="B24" t="s">
        <v>1965</v>
      </c>
      <c r="C24" t="s">
        <v>1411</v>
      </c>
      <c r="D24" t="s">
        <v>1411</v>
      </c>
      <c r="E24" t="s">
        <v>1411</v>
      </c>
      <c r="F24" t="s">
        <v>1411</v>
      </c>
      <c r="G24" t="s">
        <v>1411</v>
      </c>
      <c r="H24" s="639">
        <v>42278</v>
      </c>
      <c r="I24" s="415">
        <v>42286</v>
      </c>
      <c r="J24" t="s">
        <v>1917</v>
      </c>
      <c r="K24" t="s">
        <v>2571</v>
      </c>
      <c r="L24">
        <v>53</v>
      </c>
    </row>
    <row r="25" spans="1:13" x14ac:dyDescent="0.25">
      <c r="A25" t="s">
        <v>19</v>
      </c>
      <c r="B25" t="s">
        <v>2442</v>
      </c>
      <c r="C25" t="s">
        <v>17</v>
      </c>
      <c r="D25" t="s">
        <v>14</v>
      </c>
      <c r="E25" t="s">
        <v>34</v>
      </c>
      <c r="F25" t="s">
        <v>1410</v>
      </c>
      <c r="G25">
        <v>68</v>
      </c>
      <c r="H25" s="639">
        <v>42291</v>
      </c>
      <c r="I25" s="639">
        <v>42354</v>
      </c>
    </row>
    <row r="26" spans="1:13" x14ac:dyDescent="0.25">
      <c r="A26" t="s">
        <v>19</v>
      </c>
      <c r="B26" t="s">
        <v>2443</v>
      </c>
      <c r="C26" t="s">
        <v>44</v>
      </c>
      <c r="D26" t="s">
        <v>14</v>
      </c>
      <c r="E26" t="s">
        <v>298</v>
      </c>
      <c r="F26" t="s">
        <v>1410</v>
      </c>
      <c r="G26">
        <v>103</v>
      </c>
      <c r="H26" s="639">
        <v>42359</v>
      </c>
      <c r="I26" s="639">
        <v>42457</v>
      </c>
    </row>
    <row r="27" spans="1:13" x14ac:dyDescent="0.25">
      <c r="A27" t="s">
        <v>19</v>
      </c>
      <c r="B27" t="s">
        <v>2444</v>
      </c>
      <c r="C27" t="s">
        <v>44</v>
      </c>
      <c r="D27" t="s">
        <v>14</v>
      </c>
      <c r="E27" t="s">
        <v>298</v>
      </c>
      <c r="F27" t="s">
        <v>1411</v>
      </c>
      <c r="G27">
        <v>103</v>
      </c>
      <c r="H27" s="639">
        <v>42462</v>
      </c>
      <c r="I27" s="639">
        <v>42560</v>
      </c>
      <c r="K27" t="s">
        <v>2406</v>
      </c>
    </row>
    <row r="28" spans="1:13" x14ac:dyDescent="0.25">
      <c r="A28" t="s">
        <v>19</v>
      </c>
      <c r="B28" t="s">
        <v>1613</v>
      </c>
      <c r="C28" t="s">
        <v>1411</v>
      </c>
      <c r="D28" t="s">
        <v>1411</v>
      </c>
      <c r="E28" t="s">
        <v>1411</v>
      </c>
      <c r="F28" t="s">
        <v>1411</v>
      </c>
      <c r="G28" t="s">
        <v>1411</v>
      </c>
      <c r="H28" s="639" t="s">
        <v>1411</v>
      </c>
      <c r="I28" s="639" t="s">
        <v>1411</v>
      </c>
    </row>
    <row r="29" spans="1:13" x14ac:dyDescent="0.25">
      <c r="A29" t="s">
        <v>19</v>
      </c>
      <c r="B29" t="s">
        <v>2445</v>
      </c>
      <c r="C29" t="s">
        <v>17</v>
      </c>
      <c r="D29" t="s">
        <v>14</v>
      </c>
      <c r="E29" t="s">
        <v>298</v>
      </c>
      <c r="F29" t="s">
        <v>1410</v>
      </c>
      <c r="G29">
        <v>75</v>
      </c>
      <c r="H29" s="639" t="s">
        <v>1411</v>
      </c>
      <c r="I29" s="639" t="s">
        <v>1411</v>
      </c>
    </row>
    <row r="30" spans="1:13" x14ac:dyDescent="0.25">
      <c r="A30" t="s">
        <v>19</v>
      </c>
      <c r="B30" t="s">
        <v>2446</v>
      </c>
      <c r="C30" t="s">
        <v>744</v>
      </c>
      <c r="D30" t="s">
        <v>14</v>
      </c>
      <c r="E30" t="s">
        <v>34</v>
      </c>
      <c r="F30" t="s">
        <v>1410</v>
      </c>
      <c r="G30" t="s">
        <v>1411</v>
      </c>
      <c r="H30" s="639" t="s">
        <v>1411</v>
      </c>
      <c r="I30" s="639" t="s">
        <v>1411</v>
      </c>
    </row>
    <row r="31" spans="1:13" x14ac:dyDescent="0.25">
      <c r="A31" t="s">
        <v>430</v>
      </c>
      <c r="B31" t="s">
        <v>2447</v>
      </c>
      <c r="C31" t="s">
        <v>17</v>
      </c>
      <c r="D31" t="s">
        <v>14</v>
      </c>
      <c r="E31" t="s">
        <v>298</v>
      </c>
      <c r="F31" t="s">
        <v>1410</v>
      </c>
      <c r="G31">
        <v>75</v>
      </c>
      <c r="H31" s="639" t="s">
        <v>584</v>
      </c>
      <c r="I31" s="415">
        <v>42273</v>
      </c>
      <c r="J31" t="s">
        <v>1917</v>
      </c>
      <c r="L31">
        <v>40</v>
      </c>
    </row>
    <row r="32" spans="1:13" x14ac:dyDescent="0.25">
      <c r="A32" t="s">
        <v>430</v>
      </c>
      <c r="B32" t="s">
        <v>2448</v>
      </c>
      <c r="C32" t="s">
        <v>17</v>
      </c>
      <c r="D32" t="s">
        <v>14</v>
      </c>
      <c r="E32" t="s">
        <v>298</v>
      </c>
      <c r="F32" t="s">
        <v>1410</v>
      </c>
      <c r="G32">
        <v>75</v>
      </c>
      <c r="H32" s="639">
        <v>42278</v>
      </c>
      <c r="I32" s="639">
        <v>42348</v>
      </c>
    </row>
    <row r="33" spans="1:13" x14ac:dyDescent="0.25">
      <c r="A33" t="s">
        <v>430</v>
      </c>
      <c r="B33" t="s">
        <v>2449</v>
      </c>
      <c r="C33" t="s">
        <v>17</v>
      </c>
      <c r="D33" t="s">
        <v>14</v>
      </c>
      <c r="E33" t="s">
        <v>298</v>
      </c>
      <c r="F33" t="s">
        <v>1410</v>
      </c>
      <c r="G33">
        <v>75</v>
      </c>
      <c r="H33" s="639">
        <v>42353</v>
      </c>
      <c r="I33" s="639">
        <v>42423</v>
      </c>
      <c r="K33" t="s">
        <v>1978</v>
      </c>
    </row>
    <row r="34" spans="1:13" x14ac:dyDescent="0.25">
      <c r="A34" t="s">
        <v>430</v>
      </c>
      <c r="B34" t="s">
        <v>2450</v>
      </c>
      <c r="C34" t="s">
        <v>44</v>
      </c>
      <c r="D34" t="s">
        <v>14</v>
      </c>
      <c r="E34" t="s">
        <v>298</v>
      </c>
      <c r="F34" t="s">
        <v>1410</v>
      </c>
      <c r="G34">
        <v>103</v>
      </c>
      <c r="H34" s="639">
        <v>42428</v>
      </c>
      <c r="I34" s="639">
        <v>42526</v>
      </c>
    </row>
    <row r="35" spans="1:13" x14ac:dyDescent="0.25">
      <c r="A35" t="s">
        <v>430</v>
      </c>
      <c r="B35" t="s">
        <v>2451</v>
      </c>
      <c r="C35" t="s">
        <v>17</v>
      </c>
      <c r="D35" t="s">
        <v>14</v>
      </c>
      <c r="E35" t="s">
        <v>34</v>
      </c>
      <c r="F35" t="s">
        <v>1410</v>
      </c>
      <c r="G35">
        <v>68</v>
      </c>
      <c r="H35" s="639">
        <v>42531</v>
      </c>
      <c r="I35" s="639">
        <v>42594</v>
      </c>
    </row>
    <row r="36" spans="1:13" x14ac:dyDescent="0.25">
      <c r="A36" t="s">
        <v>430</v>
      </c>
      <c r="B36" t="s">
        <v>2452</v>
      </c>
      <c r="C36" t="s">
        <v>22</v>
      </c>
      <c r="D36" t="s">
        <v>14</v>
      </c>
      <c r="E36" t="s">
        <v>298</v>
      </c>
      <c r="F36" t="s">
        <v>1416</v>
      </c>
      <c r="G36">
        <v>75</v>
      </c>
      <c r="H36" s="639">
        <v>42599</v>
      </c>
      <c r="I36" s="639">
        <v>42669</v>
      </c>
    </row>
    <row r="37" spans="1:13" x14ac:dyDescent="0.25">
      <c r="A37" t="s">
        <v>430</v>
      </c>
      <c r="B37" t="s">
        <v>2453</v>
      </c>
      <c r="C37" t="s">
        <v>29</v>
      </c>
      <c r="D37" t="s">
        <v>14</v>
      </c>
      <c r="E37" t="s">
        <v>298</v>
      </c>
      <c r="F37" t="s">
        <v>1416</v>
      </c>
      <c r="G37">
        <v>75</v>
      </c>
      <c r="H37" s="639">
        <v>42674</v>
      </c>
      <c r="I37" s="639">
        <v>42744</v>
      </c>
    </row>
    <row r="38" spans="1:13" x14ac:dyDescent="0.25">
      <c r="A38" t="s">
        <v>513</v>
      </c>
      <c r="B38" t="s">
        <v>2454</v>
      </c>
      <c r="C38" t="s">
        <v>29</v>
      </c>
      <c r="D38" t="s">
        <v>14</v>
      </c>
      <c r="E38" t="s">
        <v>298</v>
      </c>
      <c r="F38" t="s">
        <v>1410</v>
      </c>
      <c r="G38">
        <v>75</v>
      </c>
      <c r="H38" s="639" t="s">
        <v>584</v>
      </c>
      <c r="I38" s="415" t="s">
        <v>1411</v>
      </c>
      <c r="J38" t="s">
        <v>1917</v>
      </c>
      <c r="L38">
        <v>2</v>
      </c>
    </row>
    <row r="39" spans="1:13" x14ac:dyDescent="0.25">
      <c r="A39" t="s">
        <v>513</v>
      </c>
      <c r="B39" t="s">
        <v>2455</v>
      </c>
      <c r="C39" t="s">
        <v>17</v>
      </c>
      <c r="D39" t="s">
        <v>14</v>
      </c>
      <c r="E39" t="s">
        <v>298</v>
      </c>
      <c r="F39" t="s">
        <v>1410</v>
      </c>
      <c r="G39">
        <v>75</v>
      </c>
      <c r="H39" s="639" t="s">
        <v>1411</v>
      </c>
      <c r="I39" s="639" t="s">
        <v>1411</v>
      </c>
      <c r="K39" t="s">
        <v>2222</v>
      </c>
      <c r="M39" t="s">
        <v>1981</v>
      </c>
    </row>
    <row r="40" spans="1:13" x14ac:dyDescent="0.25">
      <c r="A40" t="s">
        <v>513</v>
      </c>
      <c r="B40" t="s">
        <v>2456</v>
      </c>
      <c r="C40" t="s">
        <v>29</v>
      </c>
      <c r="D40" t="s">
        <v>14</v>
      </c>
      <c r="E40" t="s">
        <v>298</v>
      </c>
      <c r="F40" t="s">
        <v>1416</v>
      </c>
      <c r="G40">
        <v>75</v>
      </c>
      <c r="H40" s="639" t="s">
        <v>1411</v>
      </c>
      <c r="I40" s="639" t="s">
        <v>1411</v>
      </c>
      <c r="M40" t="s">
        <v>2229</v>
      </c>
    </row>
    <row r="41" spans="1:13" x14ac:dyDescent="0.25">
      <c r="A41" t="s">
        <v>513</v>
      </c>
      <c r="B41" t="s">
        <v>2457</v>
      </c>
      <c r="C41" t="s">
        <v>22</v>
      </c>
      <c r="D41" t="s">
        <v>18</v>
      </c>
      <c r="E41" t="s">
        <v>298</v>
      </c>
      <c r="F41" t="s">
        <v>1410</v>
      </c>
      <c r="G41">
        <v>75</v>
      </c>
      <c r="H41" s="639" t="s">
        <v>1411</v>
      </c>
      <c r="I41" s="639" t="s">
        <v>1411</v>
      </c>
    </row>
    <row r="42" spans="1:13" x14ac:dyDescent="0.25">
      <c r="A42" t="s">
        <v>513</v>
      </c>
      <c r="B42" t="s">
        <v>2458</v>
      </c>
      <c r="C42" t="s">
        <v>44</v>
      </c>
      <c r="D42" t="s">
        <v>14</v>
      </c>
      <c r="E42" t="s">
        <v>298</v>
      </c>
      <c r="F42" t="s">
        <v>1410</v>
      </c>
      <c r="G42">
        <v>103</v>
      </c>
      <c r="H42" s="639" t="s">
        <v>1411</v>
      </c>
      <c r="I42" s="639" t="s">
        <v>1411</v>
      </c>
    </row>
    <row r="43" spans="1:13" x14ac:dyDescent="0.25">
      <c r="A43" t="s">
        <v>513</v>
      </c>
      <c r="B43" t="s">
        <v>2459</v>
      </c>
      <c r="C43" t="s">
        <v>17</v>
      </c>
      <c r="D43" t="s">
        <v>14</v>
      </c>
      <c r="E43" t="s">
        <v>34</v>
      </c>
      <c r="F43" t="s">
        <v>1410</v>
      </c>
      <c r="G43">
        <v>68</v>
      </c>
      <c r="H43" s="639" t="s">
        <v>1411</v>
      </c>
      <c r="I43" s="639" t="s">
        <v>1411</v>
      </c>
    </row>
    <row r="44" spans="1:13" x14ac:dyDescent="0.25">
      <c r="A44" t="s">
        <v>513</v>
      </c>
      <c r="B44" t="s">
        <v>2460</v>
      </c>
      <c r="C44" t="s">
        <v>22</v>
      </c>
      <c r="D44" t="s">
        <v>14</v>
      </c>
      <c r="E44" t="s">
        <v>298</v>
      </c>
      <c r="F44" t="s">
        <v>1416</v>
      </c>
      <c r="G44">
        <v>75</v>
      </c>
      <c r="H44" s="639" t="s">
        <v>1411</v>
      </c>
      <c r="I44" s="639" t="s">
        <v>1411</v>
      </c>
    </row>
    <row r="45" spans="1:13" x14ac:dyDescent="0.25">
      <c r="A45" t="s">
        <v>513</v>
      </c>
      <c r="B45" t="s">
        <v>2461</v>
      </c>
      <c r="C45" t="s">
        <v>29</v>
      </c>
      <c r="D45" t="s">
        <v>14</v>
      </c>
      <c r="E45" t="s">
        <v>298</v>
      </c>
      <c r="F45" t="s">
        <v>1410</v>
      </c>
      <c r="G45">
        <v>75</v>
      </c>
      <c r="H45" s="639" t="s">
        <v>1411</v>
      </c>
      <c r="I45" s="639" t="s">
        <v>1411</v>
      </c>
    </row>
    <row r="46" spans="1:13" x14ac:dyDescent="0.25">
      <c r="A46" t="s">
        <v>513</v>
      </c>
      <c r="B46" t="s">
        <v>2462</v>
      </c>
      <c r="C46" t="s">
        <v>44</v>
      </c>
      <c r="D46" t="s">
        <v>14</v>
      </c>
      <c r="E46" t="s">
        <v>298</v>
      </c>
      <c r="F46" t="s">
        <v>1410</v>
      </c>
      <c r="G46">
        <v>103</v>
      </c>
      <c r="H46" s="639" t="s">
        <v>1411</v>
      </c>
      <c r="I46" s="639" t="s">
        <v>1411</v>
      </c>
    </row>
    <row r="47" spans="1:13" x14ac:dyDescent="0.25">
      <c r="A47" t="s">
        <v>512</v>
      </c>
      <c r="B47" t="s">
        <v>2463</v>
      </c>
      <c r="C47" t="s">
        <v>17</v>
      </c>
      <c r="D47" t="s">
        <v>18</v>
      </c>
      <c r="E47" t="s">
        <v>298</v>
      </c>
      <c r="F47" t="s">
        <v>1410</v>
      </c>
      <c r="G47">
        <v>61</v>
      </c>
      <c r="H47" s="639">
        <v>42222.041666666664</v>
      </c>
      <c r="I47" s="415">
        <v>42247</v>
      </c>
      <c r="J47" t="s">
        <v>1917</v>
      </c>
      <c r="L47">
        <v>14</v>
      </c>
    </row>
    <row r="48" spans="1:13" x14ac:dyDescent="0.25">
      <c r="A48" t="s">
        <v>512</v>
      </c>
      <c r="B48" t="s">
        <v>2464</v>
      </c>
      <c r="C48" t="s">
        <v>17</v>
      </c>
      <c r="D48" t="s">
        <v>18</v>
      </c>
      <c r="E48" t="s">
        <v>298</v>
      </c>
      <c r="F48" t="s">
        <v>1410</v>
      </c>
      <c r="G48">
        <v>61</v>
      </c>
      <c r="H48" s="639">
        <v>42252</v>
      </c>
      <c r="I48" s="639">
        <v>42308</v>
      </c>
      <c r="K48" t="s">
        <v>2231</v>
      </c>
      <c r="M48" t="s">
        <v>1981</v>
      </c>
    </row>
    <row r="49" spans="1:13" x14ac:dyDescent="0.25">
      <c r="A49" t="s">
        <v>512</v>
      </c>
      <c r="B49" t="s">
        <v>2465</v>
      </c>
      <c r="C49" t="s">
        <v>44</v>
      </c>
      <c r="D49" t="s">
        <v>14</v>
      </c>
      <c r="E49" t="s">
        <v>298</v>
      </c>
      <c r="F49" t="s">
        <v>1410</v>
      </c>
      <c r="G49">
        <v>103</v>
      </c>
      <c r="H49" s="639">
        <v>42313</v>
      </c>
      <c r="I49" s="639">
        <v>42411</v>
      </c>
      <c r="K49" t="s">
        <v>2230</v>
      </c>
    </row>
    <row r="50" spans="1:13" x14ac:dyDescent="0.25">
      <c r="A50" t="s">
        <v>512</v>
      </c>
      <c r="B50" t="s">
        <v>2466</v>
      </c>
      <c r="C50" t="s">
        <v>44</v>
      </c>
      <c r="D50" t="s">
        <v>1411</v>
      </c>
      <c r="E50" t="s">
        <v>298</v>
      </c>
      <c r="F50" t="s">
        <v>1411</v>
      </c>
      <c r="G50">
        <v>103</v>
      </c>
      <c r="H50" s="639">
        <v>42416</v>
      </c>
      <c r="I50" s="639">
        <v>42514</v>
      </c>
    </row>
    <row r="51" spans="1:13" x14ac:dyDescent="0.25">
      <c r="A51" t="s">
        <v>512</v>
      </c>
      <c r="B51" t="s">
        <v>2467</v>
      </c>
      <c r="C51" t="s">
        <v>17</v>
      </c>
      <c r="D51" t="s">
        <v>14</v>
      </c>
      <c r="E51" t="s">
        <v>298</v>
      </c>
      <c r="F51" t="s">
        <v>1410</v>
      </c>
      <c r="G51">
        <v>75</v>
      </c>
      <c r="H51" s="639">
        <v>42519</v>
      </c>
      <c r="I51" s="639">
        <v>42589</v>
      </c>
    </row>
    <row r="52" spans="1:13" x14ac:dyDescent="0.25">
      <c r="A52" t="s">
        <v>512</v>
      </c>
      <c r="B52" t="s">
        <v>2468</v>
      </c>
      <c r="C52" t="s">
        <v>22</v>
      </c>
      <c r="D52" t="s">
        <v>14</v>
      </c>
      <c r="E52" t="s">
        <v>298</v>
      </c>
      <c r="F52" t="s">
        <v>1416</v>
      </c>
      <c r="G52">
        <v>75</v>
      </c>
      <c r="H52" s="639">
        <v>42594</v>
      </c>
      <c r="I52" s="639">
        <v>42664</v>
      </c>
    </row>
    <row r="53" spans="1:13" x14ac:dyDescent="0.25">
      <c r="A53" t="s">
        <v>512</v>
      </c>
      <c r="B53" t="s">
        <v>2469</v>
      </c>
      <c r="C53" t="s">
        <v>29</v>
      </c>
      <c r="D53" t="s">
        <v>14</v>
      </c>
      <c r="E53" t="s">
        <v>298</v>
      </c>
      <c r="F53" t="s">
        <v>1416</v>
      </c>
      <c r="G53">
        <v>75</v>
      </c>
      <c r="H53" s="639">
        <v>42669</v>
      </c>
      <c r="I53" s="639">
        <v>42739</v>
      </c>
    </row>
    <row r="54" spans="1:13" x14ac:dyDescent="0.25">
      <c r="A54" t="s">
        <v>512</v>
      </c>
      <c r="B54" t="s">
        <v>2470</v>
      </c>
      <c r="C54" t="s">
        <v>744</v>
      </c>
      <c r="D54" t="s">
        <v>14</v>
      </c>
      <c r="E54" t="s">
        <v>298</v>
      </c>
      <c r="F54" t="s">
        <v>1410</v>
      </c>
      <c r="G54">
        <v>103</v>
      </c>
      <c r="H54" s="639">
        <v>42744</v>
      </c>
      <c r="I54" s="639">
        <v>42842</v>
      </c>
    </row>
    <row r="55" spans="1:13" x14ac:dyDescent="0.25">
      <c r="A55" t="s">
        <v>511</v>
      </c>
      <c r="B55" t="s">
        <v>2471</v>
      </c>
      <c r="C55" t="s">
        <v>22</v>
      </c>
      <c r="D55" t="s">
        <v>14</v>
      </c>
      <c r="E55" t="s">
        <v>298</v>
      </c>
      <c r="F55" t="s">
        <v>1416</v>
      </c>
      <c r="G55">
        <v>75</v>
      </c>
      <c r="H55" s="639">
        <v>42195</v>
      </c>
      <c r="I55" s="415">
        <v>42247</v>
      </c>
      <c r="J55" t="s">
        <v>1917</v>
      </c>
      <c r="L55">
        <v>14</v>
      </c>
    </row>
    <row r="56" spans="1:13" x14ac:dyDescent="0.25">
      <c r="A56" t="s">
        <v>511</v>
      </c>
      <c r="B56" t="s">
        <v>2472</v>
      </c>
      <c r="C56" t="s">
        <v>22</v>
      </c>
      <c r="D56" t="s">
        <v>14</v>
      </c>
      <c r="E56" t="s">
        <v>298</v>
      </c>
      <c r="F56" t="s">
        <v>1416</v>
      </c>
      <c r="G56">
        <v>75</v>
      </c>
      <c r="H56" s="639">
        <v>42252</v>
      </c>
      <c r="I56" s="639">
        <v>42322</v>
      </c>
      <c r="M56" t="s">
        <v>2234</v>
      </c>
    </row>
    <row r="57" spans="1:13" x14ac:dyDescent="0.25">
      <c r="A57" t="s">
        <v>511</v>
      </c>
      <c r="B57" t="s">
        <v>2473</v>
      </c>
      <c r="C57" t="s">
        <v>17</v>
      </c>
      <c r="D57" t="s">
        <v>14</v>
      </c>
      <c r="E57" t="s">
        <v>298</v>
      </c>
      <c r="F57" t="s">
        <v>1410</v>
      </c>
      <c r="G57">
        <v>75</v>
      </c>
      <c r="H57" s="639">
        <v>42327</v>
      </c>
      <c r="I57" s="639">
        <v>42397</v>
      </c>
      <c r="K57" t="s">
        <v>2235</v>
      </c>
    </row>
    <row r="58" spans="1:13" x14ac:dyDescent="0.25">
      <c r="A58" t="s">
        <v>511</v>
      </c>
      <c r="B58" t="s">
        <v>2474</v>
      </c>
      <c r="C58" t="s">
        <v>29</v>
      </c>
      <c r="D58" t="s">
        <v>14</v>
      </c>
      <c r="E58" t="s">
        <v>298</v>
      </c>
      <c r="F58" t="s">
        <v>1410</v>
      </c>
      <c r="G58">
        <v>75</v>
      </c>
      <c r="H58" s="639">
        <v>42402</v>
      </c>
      <c r="I58" s="639">
        <v>42472</v>
      </c>
    </row>
    <row r="59" spans="1:13" x14ac:dyDescent="0.25">
      <c r="A59" t="s">
        <v>511</v>
      </c>
      <c r="B59" t="s">
        <v>2475</v>
      </c>
      <c r="C59" t="s">
        <v>17</v>
      </c>
      <c r="D59" t="s">
        <v>1411</v>
      </c>
      <c r="E59" t="s">
        <v>298</v>
      </c>
      <c r="F59" t="s">
        <v>1411</v>
      </c>
      <c r="G59">
        <v>75</v>
      </c>
      <c r="H59" s="639">
        <v>42477</v>
      </c>
      <c r="I59" s="639">
        <v>42547</v>
      </c>
    </row>
    <row r="60" spans="1:13" x14ac:dyDescent="0.25">
      <c r="A60" t="s">
        <v>511</v>
      </c>
      <c r="B60" t="s">
        <v>2476</v>
      </c>
      <c r="C60" t="s">
        <v>17</v>
      </c>
      <c r="D60" t="s">
        <v>14</v>
      </c>
      <c r="E60" t="s">
        <v>298</v>
      </c>
      <c r="F60" t="s">
        <v>1410</v>
      </c>
      <c r="G60">
        <v>75</v>
      </c>
      <c r="H60" s="639">
        <v>42552</v>
      </c>
      <c r="I60" s="639">
        <v>42622</v>
      </c>
    </row>
    <row r="61" spans="1:13" x14ac:dyDescent="0.25">
      <c r="A61" t="s">
        <v>511</v>
      </c>
      <c r="B61" t="s">
        <v>2477</v>
      </c>
      <c r="C61" t="s">
        <v>22</v>
      </c>
      <c r="D61" t="s">
        <v>14</v>
      </c>
      <c r="E61" t="s">
        <v>298</v>
      </c>
      <c r="F61" t="s">
        <v>1416</v>
      </c>
      <c r="G61">
        <v>75</v>
      </c>
      <c r="H61" s="639">
        <v>42627</v>
      </c>
      <c r="I61" s="639">
        <v>42697</v>
      </c>
    </row>
    <row r="62" spans="1:13" x14ac:dyDescent="0.25">
      <c r="A62" t="s">
        <v>511</v>
      </c>
      <c r="B62" t="s">
        <v>2478</v>
      </c>
      <c r="C62" t="s">
        <v>29</v>
      </c>
      <c r="D62" t="s">
        <v>14</v>
      </c>
      <c r="E62" t="s">
        <v>298</v>
      </c>
      <c r="F62" t="s">
        <v>1410</v>
      </c>
      <c r="G62">
        <v>75</v>
      </c>
      <c r="H62" s="639">
        <v>42702</v>
      </c>
      <c r="I62" s="639">
        <v>42772</v>
      </c>
    </row>
    <row r="63" spans="1:13" x14ac:dyDescent="0.25">
      <c r="A63" t="s">
        <v>511</v>
      </c>
      <c r="B63" t="s">
        <v>2479</v>
      </c>
      <c r="C63" t="s">
        <v>744</v>
      </c>
      <c r="D63" t="s">
        <v>14</v>
      </c>
      <c r="E63" t="s">
        <v>34</v>
      </c>
      <c r="F63" t="s">
        <v>1410</v>
      </c>
      <c r="G63" t="s">
        <v>1411</v>
      </c>
      <c r="H63" s="639" t="s">
        <v>1411</v>
      </c>
      <c r="I63" s="639" t="s">
        <v>1411</v>
      </c>
    </row>
    <row r="64" spans="1:13" x14ac:dyDescent="0.25">
      <c r="A64" t="s">
        <v>23</v>
      </c>
      <c r="B64" t="s">
        <v>2480</v>
      </c>
      <c r="C64" t="s">
        <v>29</v>
      </c>
      <c r="D64" t="s">
        <v>14</v>
      </c>
      <c r="E64" t="s">
        <v>298</v>
      </c>
      <c r="F64" t="s">
        <v>1416</v>
      </c>
      <c r="G64">
        <v>75</v>
      </c>
      <c r="H64" s="639">
        <v>42195.166666666664</v>
      </c>
      <c r="I64" s="415">
        <v>42245</v>
      </c>
      <c r="J64" t="s">
        <v>1917</v>
      </c>
      <c r="K64" t="s">
        <v>2237</v>
      </c>
      <c r="L64">
        <v>12</v>
      </c>
    </row>
    <row r="65" spans="1:13" x14ac:dyDescent="0.25">
      <c r="A65" t="s">
        <v>23</v>
      </c>
      <c r="B65" t="s">
        <v>2481</v>
      </c>
      <c r="C65" t="s">
        <v>29</v>
      </c>
      <c r="D65" t="s">
        <v>18</v>
      </c>
      <c r="E65" t="s">
        <v>298</v>
      </c>
      <c r="F65" t="s">
        <v>1410</v>
      </c>
      <c r="G65">
        <v>61</v>
      </c>
      <c r="H65" s="639">
        <v>42250</v>
      </c>
      <c r="I65" s="639">
        <v>42306</v>
      </c>
      <c r="K65" t="s">
        <v>1979</v>
      </c>
    </row>
    <row r="66" spans="1:13" x14ac:dyDescent="0.25">
      <c r="A66" t="s">
        <v>23</v>
      </c>
      <c r="B66" t="s">
        <v>2482</v>
      </c>
      <c r="C66" t="s">
        <v>17</v>
      </c>
      <c r="D66" t="s">
        <v>18</v>
      </c>
      <c r="E66" t="s">
        <v>298</v>
      </c>
      <c r="F66" t="s">
        <v>1410</v>
      </c>
      <c r="G66">
        <v>61</v>
      </c>
      <c r="H66" s="639">
        <v>42311</v>
      </c>
      <c r="I66" s="639">
        <v>42367</v>
      </c>
    </row>
    <row r="67" spans="1:13" x14ac:dyDescent="0.25">
      <c r="A67" t="s">
        <v>23</v>
      </c>
      <c r="B67" t="s">
        <v>2483</v>
      </c>
      <c r="C67" t="s">
        <v>17</v>
      </c>
      <c r="D67" t="s">
        <v>14</v>
      </c>
      <c r="E67" t="s">
        <v>298</v>
      </c>
      <c r="F67" t="s">
        <v>1410</v>
      </c>
      <c r="G67">
        <v>75</v>
      </c>
      <c r="H67" s="639">
        <v>42372</v>
      </c>
      <c r="I67" s="639">
        <v>42442</v>
      </c>
    </row>
    <row r="68" spans="1:13" x14ac:dyDescent="0.25">
      <c r="A68" t="s">
        <v>23</v>
      </c>
      <c r="B68" t="s">
        <v>1822</v>
      </c>
      <c r="C68" t="s">
        <v>1411</v>
      </c>
      <c r="D68" t="s">
        <v>1411</v>
      </c>
      <c r="E68" t="s">
        <v>1411</v>
      </c>
      <c r="F68" t="s">
        <v>1411</v>
      </c>
      <c r="G68" t="s">
        <v>1411</v>
      </c>
      <c r="H68" s="639" t="s">
        <v>1411</v>
      </c>
      <c r="I68" s="639" t="s">
        <v>1411</v>
      </c>
    </row>
    <row r="69" spans="1:13" x14ac:dyDescent="0.25">
      <c r="A69" t="s">
        <v>23</v>
      </c>
      <c r="B69" t="s">
        <v>2484</v>
      </c>
      <c r="C69" t="s">
        <v>29</v>
      </c>
      <c r="D69" t="s">
        <v>14</v>
      </c>
      <c r="E69" t="s">
        <v>298</v>
      </c>
      <c r="F69" t="s">
        <v>1416</v>
      </c>
      <c r="G69">
        <v>75</v>
      </c>
      <c r="H69" s="639" t="s">
        <v>1411</v>
      </c>
      <c r="I69" s="639" t="s">
        <v>1411</v>
      </c>
    </row>
    <row r="70" spans="1:13" x14ac:dyDescent="0.25">
      <c r="A70" t="s">
        <v>23</v>
      </c>
      <c r="B70" t="s">
        <v>2485</v>
      </c>
      <c r="C70" t="s">
        <v>29</v>
      </c>
      <c r="D70" t="s">
        <v>14</v>
      </c>
      <c r="E70" t="s">
        <v>298</v>
      </c>
      <c r="F70" t="s">
        <v>1410</v>
      </c>
      <c r="G70">
        <v>75</v>
      </c>
      <c r="H70" s="639" t="s">
        <v>1411</v>
      </c>
      <c r="I70" s="639" t="s">
        <v>1411</v>
      </c>
    </row>
    <row r="71" spans="1:13" x14ac:dyDescent="0.25">
      <c r="A71" t="s">
        <v>31</v>
      </c>
      <c r="B71" t="s">
        <v>2486</v>
      </c>
      <c r="C71" t="s">
        <v>17</v>
      </c>
      <c r="D71" t="s">
        <v>18</v>
      </c>
      <c r="E71" t="s">
        <v>298</v>
      </c>
      <c r="F71" t="s">
        <v>1410</v>
      </c>
      <c r="G71">
        <v>61</v>
      </c>
      <c r="H71" s="639">
        <v>42194.958333333336</v>
      </c>
      <c r="I71" s="415">
        <v>42239</v>
      </c>
      <c r="J71" t="s">
        <v>1917</v>
      </c>
      <c r="L71">
        <v>6</v>
      </c>
    </row>
    <row r="72" spans="1:13" x14ac:dyDescent="0.25">
      <c r="A72" t="s">
        <v>31</v>
      </c>
      <c r="B72" t="s">
        <v>2487</v>
      </c>
      <c r="C72" t="s">
        <v>17</v>
      </c>
      <c r="D72" t="s">
        <v>18</v>
      </c>
      <c r="E72" t="s">
        <v>298</v>
      </c>
      <c r="F72" t="s">
        <v>1410</v>
      </c>
      <c r="G72">
        <v>61</v>
      </c>
      <c r="H72" s="639">
        <v>42244</v>
      </c>
      <c r="I72" s="639">
        <v>42300</v>
      </c>
    </row>
    <row r="73" spans="1:13" x14ac:dyDescent="0.25">
      <c r="A73" t="s">
        <v>31</v>
      </c>
      <c r="B73" t="s">
        <v>2488</v>
      </c>
      <c r="C73" t="s">
        <v>17</v>
      </c>
      <c r="D73" t="s">
        <v>18</v>
      </c>
      <c r="E73" t="s">
        <v>34</v>
      </c>
      <c r="F73" t="s">
        <v>1410</v>
      </c>
      <c r="G73">
        <v>54</v>
      </c>
      <c r="H73" s="639">
        <v>42305</v>
      </c>
      <c r="I73" s="639">
        <v>42354</v>
      </c>
    </row>
    <row r="74" spans="1:13" x14ac:dyDescent="0.25">
      <c r="A74" t="s">
        <v>31</v>
      </c>
      <c r="B74" t="s">
        <v>2489</v>
      </c>
      <c r="C74" t="s">
        <v>17</v>
      </c>
      <c r="D74" t="s">
        <v>18</v>
      </c>
      <c r="E74" t="s">
        <v>298</v>
      </c>
      <c r="F74" t="s">
        <v>1410</v>
      </c>
      <c r="G74">
        <v>61</v>
      </c>
      <c r="H74" s="639">
        <v>42359</v>
      </c>
      <c r="I74" s="639">
        <v>42415</v>
      </c>
      <c r="K74" t="s">
        <v>2219</v>
      </c>
    </row>
    <row r="75" spans="1:13" x14ac:dyDescent="0.25">
      <c r="A75" t="s">
        <v>31</v>
      </c>
      <c r="B75" t="s">
        <v>1825</v>
      </c>
      <c r="C75" t="s">
        <v>1411</v>
      </c>
      <c r="D75" t="s">
        <v>1411</v>
      </c>
      <c r="E75" t="s">
        <v>1411</v>
      </c>
      <c r="F75" t="s">
        <v>1411</v>
      </c>
      <c r="G75" t="s">
        <v>1411</v>
      </c>
      <c r="H75" s="639" t="s">
        <v>1411</v>
      </c>
      <c r="I75" s="639" t="s">
        <v>1411</v>
      </c>
    </row>
    <row r="76" spans="1:13" x14ac:dyDescent="0.25">
      <c r="A76" t="s">
        <v>31</v>
      </c>
      <c r="B76" t="s">
        <v>2490</v>
      </c>
      <c r="C76" t="s">
        <v>44</v>
      </c>
      <c r="D76" t="s">
        <v>14</v>
      </c>
      <c r="E76" t="s">
        <v>34</v>
      </c>
      <c r="F76" t="s">
        <v>1410</v>
      </c>
      <c r="G76" t="s">
        <v>1411</v>
      </c>
      <c r="H76" s="639" t="s">
        <v>1411</v>
      </c>
      <c r="I76" s="639" t="s">
        <v>1411</v>
      </c>
    </row>
    <row r="77" spans="1:13" x14ac:dyDescent="0.25">
      <c r="A77" t="s">
        <v>31</v>
      </c>
      <c r="B77" t="s">
        <v>2491</v>
      </c>
      <c r="C77" t="s">
        <v>29</v>
      </c>
      <c r="D77" t="s">
        <v>14</v>
      </c>
      <c r="E77" t="s">
        <v>34</v>
      </c>
      <c r="F77" t="s">
        <v>1416</v>
      </c>
      <c r="G77">
        <v>75</v>
      </c>
      <c r="H77" s="639" t="s">
        <v>1411</v>
      </c>
      <c r="I77" s="639" t="s">
        <v>1411</v>
      </c>
    </row>
    <row r="78" spans="1:13" x14ac:dyDescent="0.25">
      <c r="A78" t="s">
        <v>31</v>
      </c>
      <c r="B78" t="s">
        <v>2492</v>
      </c>
      <c r="C78" t="s">
        <v>1411</v>
      </c>
      <c r="D78" t="s">
        <v>14</v>
      </c>
      <c r="E78" t="s">
        <v>298</v>
      </c>
      <c r="F78" t="s">
        <v>1416</v>
      </c>
      <c r="G78" t="s">
        <v>1411</v>
      </c>
      <c r="H78" s="639" t="s">
        <v>1411</v>
      </c>
      <c r="I78" s="639" t="s">
        <v>1411</v>
      </c>
    </row>
    <row r="79" spans="1:13" x14ac:dyDescent="0.25">
      <c r="A79" t="s">
        <v>79</v>
      </c>
      <c r="B79" t="s">
        <v>2493</v>
      </c>
      <c r="C79" t="s">
        <v>44</v>
      </c>
      <c r="D79" t="s">
        <v>14</v>
      </c>
      <c r="E79" t="s">
        <v>298</v>
      </c>
      <c r="F79" t="s">
        <v>1416</v>
      </c>
      <c r="G79">
        <v>103</v>
      </c>
      <c r="H79" s="639">
        <v>42206.75</v>
      </c>
      <c r="I79" s="415">
        <v>42278</v>
      </c>
      <c r="J79" t="s">
        <v>1917</v>
      </c>
      <c r="L79">
        <v>45</v>
      </c>
    </row>
    <row r="80" spans="1:13" x14ac:dyDescent="0.25">
      <c r="A80" t="s">
        <v>79</v>
      </c>
      <c r="B80" t="s">
        <v>2494</v>
      </c>
      <c r="C80" t="s">
        <v>44</v>
      </c>
      <c r="D80" t="s">
        <v>14</v>
      </c>
      <c r="E80" t="s">
        <v>298</v>
      </c>
      <c r="F80" t="s">
        <v>1410</v>
      </c>
      <c r="G80">
        <v>103</v>
      </c>
      <c r="H80" s="639">
        <v>42283</v>
      </c>
      <c r="I80" s="639">
        <v>42381</v>
      </c>
      <c r="M80" t="s">
        <v>2220</v>
      </c>
    </row>
    <row r="81" spans="1:13" x14ac:dyDescent="0.25">
      <c r="A81" t="s">
        <v>79</v>
      </c>
      <c r="B81" t="s">
        <v>2495</v>
      </c>
      <c r="C81" t="s">
        <v>22</v>
      </c>
      <c r="D81" t="s">
        <v>14</v>
      </c>
      <c r="E81" t="s">
        <v>298</v>
      </c>
      <c r="F81" t="s">
        <v>1410</v>
      </c>
      <c r="G81">
        <v>75</v>
      </c>
      <c r="H81" s="639">
        <v>42386</v>
      </c>
      <c r="I81" s="639">
        <v>42456</v>
      </c>
      <c r="M81" t="s">
        <v>2220</v>
      </c>
    </row>
    <row r="82" spans="1:13" x14ac:dyDescent="0.25">
      <c r="A82" t="s">
        <v>79</v>
      </c>
      <c r="B82" t="s">
        <v>2496</v>
      </c>
      <c r="C82" t="s">
        <v>17</v>
      </c>
      <c r="D82" t="s">
        <v>14</v>
      </c>
      <c r="E82" t="s">
        <v>298</v>
      </c>
      <c r="F82" t="s">
        <v>1410</v>
      </c>
      <c r="G82">
        <v>75</v>
      </c>
      <c r="H82" s="639">
        <v>42461</v>
      </c>
      <c r="I82" s="639">
        <v>42531</v>
      </c>
      <c r="M82" t="s">
        <v>2220</v>
      </c>
    </row>
    <row r="83" spans="1:13" x14ac:dyDescent="0.25">
      <c r="A83" t="s">
        <v>79</v>
      </c>
      <c r="B83" t="s">
        <v>2497</v>
      </c>
      <c r="C83" t="s">
        <v>29</v>
      </c>
      <c r="D83" t="s">
        <v>14</v>
      </c>
      <c r="E83" t="s">
        <v>298</v>
      </c>
      <c r="F83" t="s">
        <v>1410</v>
      </c>
      <c r="G83">
        <v>75</v>
      </c>
      <c r="H83" s="639">
        <v>42536</v>
      </c>
      <c r="I83" s="639">
        <v>42606</v>
      </c>
    </row>
    <row r="84" spans="1:13" x14ac:dyDescent="0.25">
      <c r="A84" t="s">
        <v>79</v>
      </c>
      <c r="B84" t="s">
        <v>2498</v>
      </c>
      <c r="C84" t="s">
        <v>29</v>
      </c>
      <c r="D84" t="s">
        <v>14</v>
      </c>
      <c r="E84" t="s">
        <v>34</v>
      </c>
      <c r="F84" t="s">
        <v>1416</v>
      </c>
      <c r="G84">
        <v>75</v>
      </c>
      <c r="H84" s="639">
        <v>42611</v>
      </c>
      <c r="I84" s="639">
        <v>42681</v>
      </c>
    </row>
    <row r="85" spans="1:13" x14ac:dyDescent="0.25">
      <c r="A85" t="s">
        <v>79</v>
      </c>
      <c r="B85" t="s">
        <v>2499</v>
      </c>
      <c r="C85" t="s">
        <v>1411</v>
      </c>
      <c r="D85" t="s">
        <v>14</v>
      </c>
      <c r="E85" t="s">
        <v>298</v>
      </c>
      <c r="F85" t="s">
        <v>1416</v>
      </c>
      <c r="G85" t="s">
        <v>1411</v>
      </c>
      <c r="H85" s="639" t="s">
        <v>1411</v>
      </c>
      <c r="I85" s="639" t="s">
        <v>1411</v>
      </c>
    </row>
    <row r="86" spans="1:13" x14ac:dyDescent="0.25">
      <c r="A86" t="s">
        <v>37</v>
      </c>
      <c r="B86" t="s">
        <v>2500</v>
      </c>
      <c r="C86" t="s">
        <v>22</v>
      </c>
      <c r="D86" t="s">
        <v>18</v>
      </c>
      <c r="E86" t="s">
        <v>298</v>
      </c>
      <c r="F86" t="s">
        <v>1416</v>
      </c>
      <c r="G86">
        <v>61</v>
      </c>
      <c r="H86" s="639">
        <v>42224.833333333336</v>
      </c>
      <c r="I86" s="415">
        <v>42253</v>
      </c>
      <c r="J86" t="s">
        <v>1917</v>
      </c>
      <c r="L86">
        <v>20</v>
      </c>
    </row>
    <row r="87" spans="1:13" x14ac:dyDescent="0.25">
      <c r="A87" t="s">
        <v>37</v>
      </c>
      <c r="B87" t="s">
        <v>2501</v>
      </c>
      <c r="C87" t="s">
        <v>44</v>
      </c>
      <c r="D87" t="s">
        <v>14</v>
      </c>
      <c r="E87" t="s">
        <v>298</v>
      </c>
      <c r="F87" t="s">
        <v>1439</v>
      </c>
      <c r="G87">
        <v>150</v>
      </c>
      <c r="H87" s="639">
        <v>42258</v>
      </c>
      <c r="I87" s="639">
        <v>42403</v>
      </c>
      <c r="K87" t="s">
        <v>2221</v>
      </c>
    </row>
    <row r="88" spans="1:13" x14ac:dyDescent="0.25">
      <c r="A88" t="s">
        <v>37</v>
      </c>
      <c r="B88" t="s">
        <v>2502</v>
      </c>
      <c r="C88" t="s">
        <v>17</v>
      </c>
      <c r="D88" t="s">
        <v>14</v>
      </c>
      <c r="E88" t="s">
        <v>298</v>
      </c>
      <c r="F88" t="s">
        <v>1410</v>
      </c>
      <c r="G88">
        <v>75</v>
      </c>
      <c r="H88" s="639">
        <v>42408</v>
      </c>
      <c r="I88" s="639">
        <v>42478</v>
      </c>
    </row>
    <row r="89" spans="1:13" x14ac:dyDescent="0.25">
      <c r="A89" t="s">
        <v>37</v>
      </c>
      <c r="B89" t="s">
        <v>2503</v>
      </c>
      <c r="C89" t="s">
        <v>17</v>
      </c>
      <c r="D89" t="s">
        <v>14</v>
      </c>
      <c r="E89" t="s">
        <v>298</v>
      </c>
      <c r="F89" t="s">
        <v>1410</v>
      </c>
      <c r="G89">
        <v>75</v>
      </c>
      <c r="H89" s="639">
        <v>42483</v>
      </c>
      <c r="I89" s="639">
        <v>42553</v>
      </c>
    </row>
    <row r="90" spans="1:13" x14ac:dyDescent="0.25">
      <c r="A90" t="s">
        <v>37</v>
      </c>
      <c r="B90" t="s">
        <v>2504</v>
      </c>
      <c r="C90" t="s">
        <v>17</v>
      </c>
      <c r="D90" t="s">
        <v>14</v>
      </c>
      <c r="E90" t="s">
        <v>298</v>
      </c>
      <c r="F90" t="s">
        <v>1410</v>
      </c>
      <c r="G90">
        <v>75</v>
      </c>
      <c r="H90" s="639">
        <v>42558</v>
      </c>
      <c r="I90" s="639">
        <v>42628</v>
      </c>
    </row>
    <row r="91" spans="1:13" x14ac:dyDescent="0.25">
      <c r="A91" t="s">
        <v>37</v>
      </c>
      <c r="B91" t="s">
        <v>2505</v>
      </c>
      <c r="C91" t="s">
        <v>17</v>
      </c>
      <c r="D91" t="s">
        <v>14</v>
      </c>
      <c r="E91" t="s">
        <v>34</v>
      </c>
      <c r="F91" t="s">
        <v>1410</v>
      </c>
      <c r="G91">
        <v>68</v>
      </c>
      <c r="H91" s="639">
        <v>42633</v>
      </c>
      <c r="I91" s="639">
        <v>42696</v>
      </c>
    </row>
    <row r="92" spans="1:13" x14ac:dyDescent="0.25">
      <c r="A92" t="s">
        <v>37</v>
      </c>
      <c r="B92" t="s">
        <v>2506</v>
      </c>
      <c r="C92" t="s">
        <v>17</v>
      </c>
      <c r="D92" t="s">
        <v>14</v>
      </c>
      <c r="E92" t="s">
        <v>298</v>
      </c>
      <c r="F92" t="s">
        <v>1410</v>
      </c>
      <c r="G92">
        <v>75</v>
      </c>
      <c r="H92" s="639">
        <v>42701</v>
      </c>
      <c r="I92" s="639">
        <v>42771</v>
      </c>
    </row>
    <row r="93" spans="1:13" x14ac:dyDescent="0.25">
      <c r="A93" t="s">
        <v>37</v>
      </c>
      <c r="B93" t="s">
        <v>2507</v>
      </c>
      <c r="C93" t="s">
        <v>17</v>
      </c>
      <c r="D93" t="s">
        <v>18</v>
      </c>
      <c r="E93" t="s">
        <v>34</v>
      </c>
      <c r="F93" t="s">
        <v>1416</v>
      </c>
      <c r="G93">
        <v>61</v>
      </c>
      <c r="H93" s="639">
        <v>42776</v>
      </c>
      <c r="I93" s="639">
        <v>42832</v>
      </c>
    </row>
    <row r="94" spans="1:13" x14ac:dyDescent="0.25">
      <c r="A94" t="s">
        <v>838</v>
      </c>
      <c r="B94" t="s">
        <v>2508</v>
      </c>
      <c r="C94" t="s">
        <v>29</v>
      </c>
      <c r="D94" t="s">
        <v>14</v>
      </c>
      <c r="E94" t="s">
        <v>298</v>
      </c>
      <c r="F94" t="s">
        <v>1416</v>
      </c>
      <c r="G94">
        <v>75</v>
      </c>
      <c r="H94" s="639">
        <v>42127.625</v>
      </c>
      <c r="I94" s="415">
        <v>42243</v>
      </c>
      <c r="J94" t="s">
        <v>1917</v>
      </c>
      <c r="L94">
        <v>10</v>
      </c>
    </row>
    <row r="95" spans="1:13" x14ac:dyDescent="0.25">
      <c r="A95" t="s">
        <v>838</v>
      </c>
      <c r="B95" t="s">
        <v>2509</v>
      </c>
      <c r="C95" t="s">
        <v>22</v>
      </c>
      <c r="D95" t="s">
        <v>14</v>
      </c>
      <c r="E95" t="s">
        <v>298</v>
      </c>
      <c r="F95" t="s">
        <v>1416</v>
      </c>
      <c r="G95">
        <v>75</v>
      </c>
      <c r="H95" s="639">
        <v>42248</v>
      </c>
      <c r="I95" s="639">
        <v>42318</v>
      </c>
      <c r="K95" t="s">
        <v>2222</v>
      </c>
    </row>
    <row r="96" spans="1:13" x14ac:dyDescent="0.25">
      <c r="A96" t="s">
        <v>838</v>
      </c>
      <c r="B96" t="s">
        <v>2510</v>
      </c>
      <c r="C96" t="s">
        <v>17</v>
      </c>
      <c r="D96" t="s">
        <v>14</v>
      </c>
      <c r="E96" t="s">
        <v>298</v>
      </c>
      <c r="F96" t="s">
        <v>1410</v>
      </c>
      <c r="G96">
        <v>75</v>
      </c>
      <c r="H96" s="639">
        <v>42323</v>
      </c>
      <c r="I96" s="639">
        <v>42393</v>
      </c>
      <c r="K96" t="s">
        <v>1987</v>
      </c>
      <c r="M96" t="s">
        <v>2223</v>
      </c>
    </row>
    <row r="97" spans="1:13" x14ac:dyDescent="0.25">
      <c r="A97" t="s">
        <v>838</v>
      </c>
      <c r="B97" t="s">
        <v>2511</v>
      </c>
      <c r="C97" t="s">
        <v>22</v>
      </c>
      <c r="D97" t="s">
        <v>14</v>
      </c>
      <c r="E97" t="s">
        <v>298</v>
      </c>
      <c r="F97" t="s">
        <v>1416</v>
      </c>
      <c r="G97">
        <v>75</v>
      </c>
      <c r="H97" s="639">
        <v>42398</v>
      </c>
      <c r="I97" s="639">
        <v>42468</v>
      </c>
    </row>
    <row r="98" spans="1:13" x14ac:dyDescent="0.25">
      <c r="A98" t="s">
        <v>838</v>
      </c>
      <c r="B98" t="s">
        <v>2512</v>
      </c>
      <c r="C98" t="s">
        <v>17</v>
      </c>
      <c r="D98" t="s">
        <v>14</v>
      </c>
      <c r="E98" t="s">
        <v>298</v>
      </c>
      <c r="F98" t="s">
        <v>1410</v>
      </c>
      <c r="G98">
        <v>75</v>
      </c>
      <c r="H98" s="639">
        <v>42473</v>
      </c>
      <c r="I98" s="639">
        <v>42543</v>
      </c>
    </row>
    <row r="99" spans="1:13" x14ac:dyDescent="0.25">
      <c r="A99" t="s">
        <v>838</v>
      </c>
      <c r="B99" t="s">
        <v>2513</v>
      </c>
      <c r="C99" t="s">
        <v>17</v>
      </c>
      <c r="D99" t="s">
        <v>14</v>
      </c>
      <c r="E99" t="s">
        <v>298</v>
      </c>
      <c r="F99" t="s">
        <v>1410</v>
      </c>
      <c r="G99">
        <v>75</v>
      </c>
      <c r="H99" s="639">
        <v>42548</v>
      </c>
      <c r="I99" s="639">
        <v>42618</v>
      </c>
    </row>
    <row r="100" spans="1:13" x14ac:dyDescent="0.25">
      <c r="A100" t="s">
        <v>838</v>
      </c>
      <c r="B100" t="s">
        <v>2514</v>
      </c>
      <c r="C100" t="s">
        <v>17</v>
      </c>
      <c r="D100" t="s">
        <v>14</v>
      </c>
      <c r="E100" t="s">
        <v>298</v>
      </c>
      <c r="F100" t="s">
        <v>1410</v>
      </c>
      <c r="G100">
        <v>75</v>
      </c>
      <c r="H100" s="639">
        <v>42623</v>
      </c>
      <c r="I100" s="639">
        <v>42693</v>
      </c>
    </row>
    <row r="101" spans="1:13" x14ac:dyDescent="0.25">
      <c r="A101" t="s">
        <v>838</v>
      </c>
      <c r="B101" t="s">
        <v>2515</v>
      </c>
      <c r="C101" t="s">
        <v>17</v>
      </c>
      <c r="D101" t="s">
        <v>14</v>
      </c>
      <c r="E101" t="s">
        <v>34</v>
      </c>
      <c r="F101" t="s">
        <v>1410</v>
      </c>
      <c r="G101">
        <v>68</v>
      </c>
      <c r="H101" s="639">
        <v>42698</v>
      </c>
      <c r="I101" s="639">
        <v>42761</v>
      </c>
    </row>
    <row r="102" spans="1:13" x14ac:dyDescent="0.25">
      <c r="A102" t="s">
        <v>838</v>
      </c>
      <c r="B102" t="s">
        <v>2516</v>
      </c>
      <c r="C102" t="s">
        <v>17</v>
      </c>
      <c r="D102" t="s">
        <v>14</v>
      </c>
      <c r="E102" t="s">
        <v>298</v>
      </c>
      <c r="F102" t="s">
        <v>1410</v>
      </c>
      <c r="G102">
        <v>75</v>
      </c>
      <c r="H102" s="639">
        <v>42766</v>
      </c>
      <c r="I102" s="639">
        <v>42836</v>
      </c>
    </row>
    <row r="103" spans="1:13" x14ac:dyDescent="0.25">
      <c r="A103" t="s">
        <v>838</v>
      </c>
      <c r="B103" t="s">
        <v>2517</v>
      </c>
      <c r="C103" t="s">
        <v>17</v>
      </c>
      <c r="D103" t="s">
        <v>18</v>
      </c>
      <c r="E103" t="s">
        <v>298</v>
      </c>
      <c r="F103" t="s">
        <v>1416</v>
      </c>
      <c r="G103">
        <v>61</v>
      </c>
      <c r="H103" s="639">
        <v>42841</v>
      </c>
      <c r="I103" s="639">
        <v>42897</v>
      </c>
    </row>
    <row r="104" spans="1:13" x14ac:dyDescent="0.25">
      <c r="A104" t="s">
        <v>839</v>
      </c>
      <c r="B104" t="s">
        <v>2518</v>
      </c>
      <c r="C104" t="s">
        <v>22</v>
      </c>
      <c r="D104" t="s">
        <v>14</v>
      </c>
      <c r="E104" t="s">
        <v>298</v>
      </c>
      <c r="F104" t="s">
        <v>1416</v>
      </c>
      <c r="G104">
        <v>75</v>
      </c>
      <c r="H104" s="639">
        <v>42205.5625</v>
      </c>
      <c r="I104" s="415">
        <v>42247</v>
      </c>
      <c r="J104" t="s">
        <v>1917</v>
      </c>
      <c r="L104">
        <v>14</v>
      </c>
    </row>
    <row r="105" spans="1:13" x14ac:dyDescent="0.25">
      <c r="A105" t="s">
        <v>839</v>
      </c>
      <c r="B105" t="s">
        <v>2519</v>
      </c>
      <c r="C105" t="s">
        <v>22</v>
      </c>
      <c r="D105" t="s">
        <v>14</v>
      </c>
      <c r="E105" t="s">
        <v>298</v>
      </c>
      <c r="F105" t="s">
        <v>1416</v>
      </c>
      <c r="G105">
        <v>75</v>
      </c>
      <c r="H105" s="639">
        <v>42252</v>
      </c>
      <c r="I105" s="639">
        <v>42322</v>
      </c>
      <c r="K105" t="s">
        <v>2225</v>
      </c>
    </row>
    <row r="106" spans="1:13" x14ac:dyDescent="0.25">
      <c r="A106" t="s">
        <v>839</v>
      </c>
      <c r="B106" t="s">
        <v>2520</v>
      </c>
      <c r="C106" t="s">
        <v>17</v>
      </c>
      <c r="D106" t="s">
        <v>14</v>
      </c>
      <c r="E106" t="s">
        <v>34</v>
      </c>
      <c r="F106" t="s">
        <v>1511</v>
      </c>
      <c r="G106">
        <v>75</v>
      </c>
      <c r="H106" s="639">
        <v>42327</v>
      </c>
      <c r="I106" s="639">
        <v>42397</v>
      </c>
      <c r="K106" t="s">
        <v>1982</v>
      </c>
      <c r="M106" t="s">
        <v>2220</v>
      </c>
    </row>
    <row r="107" spans="1:13" x14ac:dyDescent="0.25">
      <c r="A107" t="s">
        <v>839</v>
      </c>
      <c r="B107" t="s">
        <v>2521</v>
      </c>
      <c r="C107" t="s">
        <v>17</v>
      </c>
      <c r="D107" t="s">
        <v>14</v>
      </c>
      <c r="E107" t="s">
        <v>34</v>
      </c>
      <c r="F107" t="s">
        <v>1511</v>
      </c>
      <c r="G107">
        <v>75</v>
      </c>
      <c r="H107" s="639">
        <v>42402</v>
      </c>
      <c r="I107" s="639">
        <v>42472</v>
      </c>
      <c r="K107" t="s">
        <v>1982</v>
      </c>
      <c r="M107" t="s">
        <v>2220</v>
      </c>
    </row>
    <row r="108" spans="1:13" x14ac:dyDescent="0.25">
      <c r="A108" t="s">
        <v>839</v>
      </c>
      <c r="B108" t="s">
        <v>2522</v>
      </c>
      <c r="C108" t="s">
        <v>17</v>
      </c>
      <c r="D108" t="s">
        <v>14</v>
      </c>
      <c r="E108" t="s">
        <v>34</v>
      </c>
      <c r="F108" t="s">
        <v>1511</v>
      </c>
      <c r="G108">
        <v>75</v>
      </c>
      <c r="H108" s="639">
        <v>42477</v>
      </c>
      <c r="I108" s="639">
        <v>42547</v>
      </c>
      <c r="K108" t="s">
        <v>1982</v>
      </c>
      <c r="M108" t="s">
        <v>2220</v>
      </c>
    </row>
    <row r="109" spans="1:13" x14ac:dyDescent="0.25">
      <c r="A109" t="s">
        <v>839</v>
      </c>
      <c r="B109" t="s">
        <v>2523</v>
      </c>
      <c r="C109" t="s">
        <v>17</v>
      </c>
      <c r="D109" t="s">
        <v>18</v>
      </c>
      <c r="E109" t="s">
        <v>34</v>
      </c>
      <c r="F109" t="s">
        <v>1411</v>
      </c>
      <c r="G109">
        <v>54</v>
      </c>
      <c r="H109" s="639">
        <v>42552</v>
      </c>
      <c r="I109" s="639">
        <v>42601</v>
      </c>
    </row>
    <row r="110" spans="1:13" x14ac:dyDescent="0.25">
      <c r="A110" t="s">
        <v>839</v>
      </c>
      <c r="B110" t="s">
        <v>2524</v>
      </c>
      <c r="C110" t="s">
        <v>29</v>
      </c>
      <c r="D110" t="s">
        <v>14</v>
      </c>
      <c r="E110" t="s">
        <v>34</v>
      </c>
      <c r="F110" t="s">
        <v>1511</v>
      </c>
      <c r="G110">
        <v>75</v>
      </c>
      <c r="H110" s="639">
        <v>42606</v>
      </c>
      <c r="I110" s="639">
        <v>42676</v>
      </c>
    </row>
    <row r="111" spans="1:13" x14ac:dyDescent="0.25">
      <c r="A111" t="s">
        <v>839</v>
      </c>
      <c r="B111" t="s">
        <v>2525</v>
      </c>
      <c r="C111" t="s">
        <v>17</v>
      </c>
      <c r="D111" t="s">
        <v>14</v>
      </c>
      <c r="E111" t="s">
        <v>298</v>
      </c>
      <c r="F111" t="s">
        <v>1410</v>
      </c>
      <c r="G111">
        <v>75</v>
      </c>
      <c r="H111" s="639">
        <v>42681</v>
      </c>
      <c r="I111" s="639">
        <v>42751</v>
      </c>
    </row>
    <row r="112" spans="1:13" x14ac:dyDescent="0.25">
      <c r="A112" t="s">
        <v>839</v>
      </c>
      <c r="B112" t="s">
        <v>2526</v>
      </c>
      <c r="C112" t="s">
        <v>17</v>
      </c>
      <c r="D112" t="s">
        <v>14</v>
      </c>
      <c r="E112" t="s">
        <v>34</v>
      </c>
      <c r="F112" t="s">
        <v>1410</v>
      </c>
      <c r="G112">
        <v>68</v>
      </c>
      <c r="H112" s="639">
        <v>42756</v>
      </c>
      <c r="I112" s="639">
        <v>42819</v>
      </c>
    </row>
    <row r="113" spans="1:13" x14ac:dyDescent="0.25">
      <c r="A113" t="s">
        <v>839</v>
      </c>
      <c r="B113" t="s">
        <v>2527</v>
      </c>
      <c r="C113" t="s">
        <v>29</v>
      </c>
      <c r="D113" t="s">
        <v>14</v>
      </c>
      <c r="E113" t="s">
        <v>34</v>
      </c>
      <c r="F113" t="s">
        <v>1416</v>
      </c>
      <c r="G113">
        <v>75</v>
      </c>
      <c r="H113" s="639">
        <v>42824</v>
      </c>
      <c r="I113" s="639">
        <v>42894</v>
      </c>
    </row>
    <row r="114" spans="1:13" x14ac:dyDescent="0.25">
      <c r="A114" t="s">
        <v>1412</v>
      </c>
      <c r="B114" t="s">
        <v>2528</v>
      </c>
      <c r="C114" t="s">
        <v>17</v>
      </c>
      <c r="D114" t="s">
        <v>14</v>
      </c>
      <c r="E114" t="s">
        <v>298</v>
      </c>
      <c r="F114" t="s">
        <v>1410</v>
      </c>
      <c r="G114">
        <v>75</v>
      </c>
      <c r="H114" s="639">
        <v>42201.875</v>
      </c>
      <c r="I114" s="415">
        <v>42254</v>
      </c>
      <c r="J114" t="s">
        <v>1917</v>
      </c>
      <c r="L114">
        <v>21</v>
      </c>
    </row>
    <row r="115" spans="1:13" x14ac:dyDescent="0.25">
      <c r="A115" t="s">
        <v>1412</v>
      </c>
      <c r="B115" t="s">
        <v>2529</v>
      </c>
      <c r="C115" t="s">
        <v>22</v>
      </c>
      <c r="D115" t="s">
        <v>18</v>
      </c>
      <c r="E115" t="s">
        <v>298</v>
      </c>
      <c r="F115" t="s">
        <v>1416</v>
      </c>
      <c r="G115">
        <v>61</v>
      </c>
      <c r="H115" s="639">
        <v>42259</v>
      </c>
      <c r="I115" s="639">
        <v>42315</v>
      </c>
      <c r="K115" t="s">
        <v>2226</v>
      </c>
    </row>
    <row r="116" spans="1:13" x14ac:dyDescent="0.25">
      <c r="A116" t="s">
        <v>1412</v>
      </c>
      <c r="B116" t="s">
        <v>2530</v>
      </c>
      <c r="C116" t="s">
        <v>29</v>
      </c>
      <c r="D116" t="s">
        <v>14</v>
      </c>
      <c r="E116" t="s">
        <v>298</v>
      </c>
      <c r="F116" t="s">
        <v>1410</v>
      </c>
      <c r="G116">
        <v>75</v>
      </c>
      <c r="H116" s="639">
        <v>42320</v>
      </c>
      <c r="I116" s="639">
        <v>42390</v>
      </c>
      <c r="J116" t="s">
        <v>2407</v>
      </c>
      <c r="K116" t="s">
        <v>2227</v>
      </c>
    </row>
    <row r="117" spans="1:13" x14ac:dyDescent="0.25">
      <c r="A117" t="s">
        <v>1412</v>
      </c>
      <c r="B117" t="s">
        <v>2531</v>
      </c>
      <c r="C117" t="s">
        <v>29</v>
      </c>
      <c r="D117" t="s">
        <v>14</v>
      </c>
      <c r="E117" t="s">
        <v>34</v>
      </c>
      <c r="F117" t="s">
        <v>1416</v>
      </c>
      <c r="G117">
        <v>75</v>
      </c>
      <c r="H117" s="639">
        <v>42395</v>
      </c>
      <c r="I117" s="639">
        <v>42465</v>
      </c>
    </row>
    <row r="118" spans="1:13" x14ac:dyDescent="0.25">
      <c r="A118" t="s">
        <v>1413</v>
      </c>
      <c r="B118" t="s">
        <v>2532</v>
      </c>
      <c r="C118" t="s">
        <v>17</v>
      </c>
      <c r="D118" t="s">
        <v>14</v>
      </c>
      <c r="E118" t="s">
        <v>298</v>
      </c>
      <c r="F118" t="s">
        <v>1410</v>
      </c>
      <c r="G118">
        <v>75</v>
      </c>
      <c r="H118" s="639">
        <v>42161</v>
      </c>
      <c r="I118" s="415">
        <v>42238</v>
      </c>
      <c r="J118" t="s">
        <v>1917</v>
      </c>
      <c r="L118">
        <v>5</v>
      </c>
    </row>
    <row r="119" spans="1:13" x14ac:dyDescent="0.25">
      <c r="A119" t="s">
        <v>1413</v>
      </c>
      <c r="B119" t="s">
        <v>2533</v>
      </c>
      <c r="C119" t="s">
        <v>17</v>
      </c>
      <c r="D119" t="s">
        <v>14</v>
      </c>
      <c r="E119" t="s">
        <v>298</v>
      </c>
      <c r="F119" t="s">
        <v>1410</v>
      </c>
      <c r="G119">
        <v>75</v>
      </c>
      <c r="H119" s="639">
        <v>42243</v>
      </c>
      <c r="I119" s="639">
        <v>42313</v>
      </c>
      <c r="K119" t="s">
        <v>2222</v>
      </c>
    </row>
    <row r="120" spans="1:13" x14ac:dyDescent="0.25">
      <c r="A120" t="s">
        <v>1413</v>
      </c>
      <c r="B120" t="s">
        <v>2534</v>
      </c>
      <c r="C120" t="s">
        <v>29</v>
      </c>
      <c r="D120" t="s">
        <v>14</v>
      </c>
      <c r="E120" t="s">
        <v>298</v>
      </c>
      <c r="F120" t="s">
        <v>1410</v>
      </c>
      <c r="G120">
        <v>75</v>
      </c>
      <c r="H120" s="639">
        <v>42318</v>
      </c>
      <c r="I120" s="639">
        <v>42388</v>
      </c>
      <c r="K120" t="s">
        <v>2233</v>
      </c>
    </row>
    <row r="121" spans="1:13" x14ac:dyDescent="0.25">
      <c r="A121" t="s">
        <v>1413</v>
      </c>
      <c r="B121" t="s">
        <v>2535</v>
      </c>
      <c r="C121" t="s">
        <v>22</v>
      </c>
      <c r="D121" t="s">
        <v>14</v>
      </c>
      <c r="E121" t="s">
        <v>298</v>
      </c>
      <c r="F121" t="s">
        <v>1416</v>
      </c>
      <c r="G121">
        <v>75</v>
      </c>
      <c r="H121" s="639">
        <v>42393</v>
      </c>
      <c r="I121" s="639">
        <v>42463</v>
      </c>
    </row>
    <row r="122" spans="1:13" x14ac:dyDescent="0.25">
      <c r="A122" t="s">
        <v>1413</v>
      </c>
      <c r="B122" t="s">
        <v>2536</v>
      </c>
      <c r="C122" t="s">
        <v>22</v>
      </c>
      <c r="D122" t="s">
        <v>1411</v>
      </c>
      <c r="E122" t="s">
        <v>298</v>
      </c>
      <c r="F122" t="s">
        <v>1410</v>
      </c>
      <c r="G122">
        <v>75</v>
      </c>
      <c r="H122" s="639">
        <v>42468</v>
      </c>
      <c r="I122" s="639">
        <v>42538</v>
      </c>
    </row>
    <row r="123" spans="1:13" x14ac:dyDescent="0.25">
      <c r="A123" t="s">
        <v>1414</v>
      </c>
      <c r="B123" t="s">
        <v>2537</v>
      </c>
      <c r="C123" t="s">
        <v>17</v>
      </c>
      <c r="D123" t="s">
        <v>18</v>
      </c>
      <c r="E123" t="s">
        <v>298</v>
      </c>
      <c r="F123" t="s">
        <v>1410</v>
      </c>
      <c r="G123">
        <v>61</v>
      </c>
      <c r="H123" s="639">
        <v>42208</v>
      </c>
      <c r="I123" s="415">
        <v>42240</v>
      </c>
      <c r="J123" t="s">
        <v>1917</v>
      </c>
      <c r="L123">
        <v>7</v>
      </c>
    </row>
    <row r="124" spans="1:13" x14ac:dyDescent="0.25">
      <c r="A124" t="s">
        <v>1414</v>
      </c>
      <c r="B124" t="s">
        <v>2538</v>
      </c>
      <c r="C124" t="s">
        <v>44</v>
      </c>
      <c r="D124" t="s">
        <v>18</v>
      </c>
      <c r="E124" t="s">
        <v>34</v>
      </c>
      <c r="F124" t="s">
        <v>1511</v>
      </c>
      <c r="G124">
        <v>35</v>
      </c>
      <c r="H124" s="639">
        <v>42245</v>
      </c>
      <c r="I124" s="639">
        <v>42275</v>
      </c>
      <c r="K124" t="s">
        <v>2232</v>
      </c>
      <c r="M124" t="s">
        <v>1981</v>
      </c>
    </row>
    <row r="125" spans="1:13" x14ac:dyDescent="0.25">
      <c r="A125" t="s">
        <v>1414</v>
      </c>
      <c r="B125" t="s">
        <v>2539</v>
      </c>
      <c r="C125" t="s">
        <v>17</v>
      </c>
      <c r="D125" t="s">
        <v>18</v>
      </c>
      <c r="E125" t="s">
        <v>298</v>
      </c>
      <c r="F125" t="s">
        <v>1410</v>
      </c>
      <c r="G125">
        <v>61</v>
      </c>
      <c r="H125" s="639">
        <v>42280</v>
      </c>
      <c r="I125" s="639">
        <v>42336</v>
      </c>
      <c r="K125" t="s">
        <v>1983</v>
      </c>
      <c r="M125" t="s">
        <v>299</v>
      </c>
    </row>
    <row r="126" spans="1:13" x14ac:dyDescent="0.25">
      <c r="A126" t="s">
        <v>1414</v>
      </c>
      <c r="B126" t="s">
        <v>2540</v>
      </c>
      <c r="C126" t="s">
        <v>29</v>
      </c>
      <c r="D126" t="s">
        <v>14</v>
      </c>
      <c r="E126" t="s">
        <v>298</v>
      </c>
      <c r="F126" t="s">
        <v>1416</v>
      </c>
      <c r="G126">
        <v>75</v>
      </c>
      <c r="H126" s="639">
        <v>42341</v>
      </c>
      <c r="I126" s="639">
        <v>42411</v>
      </c>
    </row>
    <row r="127" spans="1:13" x14ac:dyDescent="0.25">
      <c r="A127" t="s">
        <v>1414</v>
      </c>
      <c r="B127" t="s">
        <v>2541</v>
      </c>
      <c r="C127" t="s">
        <v>17</v>
      </c>
      <c r="D127" t="s">
        <v>14</v>
      </c>
      <c r="E127" t="s">
        <v>298</v>
      </c>
      <c r="F127" t="s">
        <v>1410</v>
      </c>
      <c r="G127">
        <v>75</v>
      </c>
      <c r="H127" s="639">
        <v>42416</v>
      </c>
      <c r="I127" s="639">
        <v>42486</v>
      </c>
    </row>
    <row r="128" spans="1:13" x14ac:dyDescent="0.25">
      <c r="A128" t="s">
        <v>1414</v>
      </c>
      <c r="B128" t="s">
        <v>2542</v>
      </c>
      <c r="C128" t="s">
        <v>17</v>
      </c>
      <c r="D128" t="s">
        <v>14</v>
      </c>
      <c r="E128" t="s">
        <v>298</v>
      </c>
      <c r="F128" t="s">
        <v>1410</v>
      </c>
      <c r="G128">
        <v>75</v>
      </c>
      <c r="H128" s="639">
        <v>42491</v>
      </c>
      <c r="I128" s="639">
        <v>42561</v>
      </c>
    </row>
    <row r="129" spans="1:13" x14ac:dyDescent="0.25">
      <c r="A129" t="s">
        <v>1414</v>
      </c>
      <c r="B129" t="s">
        <v>2543</v>
      </c>
      <c r="C129" t="s">
        <v>22</v>
      </c>
      <c r="D129" t="s">
        <v>14</v>
      </c>
      <c r="E129" t="s">
        <v>298</v>
      </c>
      <c r="F129" t="s">
        <v>1416</v>
      </c>
      <c r="G129">
        <v>75</v>
      </c>
      <c r="H129" s="639">
        <v>42566</v>
      </c>
      <c r="I129" s="639">
        <v>42636</v>
      </c>
    </row>
    <row r="130" spans="1:13" x14ac:dyDescent="0.25">
      <c r="A130" t="s">
        <v>1414</v>
      </c>
      <c r="B130" t="s">
        <v>2544</v>
      </c>
      <c r="C130" t="s">
        <v>17</v>
      </c>
      <c r="D130" t="s">
        <v>14</v>
      </c>
      <c r="E130" t="s">
        <v>298</v>
      </c>
      <c r="F130" t="s">
        <v>1410</v>
      </c>
      <c r="G130">
        <v>75</v>
      </c>
      <c r="H130" s="639">
        <v>42641</v>
      </c>
      <c r="I130" s="639">
        <v>42711</v>
      </c>
    </row>
    <row r="131" spans="1:13" x14ac:dyDescent="0.25">
      <c r="A131" t="s">
        <v>1414</v>
      </c>
      <c r="B131" t="s">
        <v>2545</v>
      </c>
      <c r="C131" t="s">
        <v>17</v>
      </c>
      <c r="D131" t="s">
        <v>18</v>
      </c>
      <c r="E131" t="s">
        <v>34</v>
      </c>
      <c r="F131" t="s">
        <v>1416</v>
      </c>
      <c r="G131">
        <v>61</v>
      </c>
      <c r="H131" s="639">
        <v>42716</v>
      </c>
      <c r="I131" s="639">
        <v>42772</v>
      </c>
    </row>
    <row r="132" spans="1:13" x14ac:dyDescent="0.25">
      <c r="A132" t="s">
        <v>1415</v>
      </c>
      <c r="B132" t="s">
        <v>2546</v>
      </c>
      <c r="C132" t="s">
        <v>17</v>
      </c>
      <c r="D132" t="s">
        <v>18</v>
      </c>
      <c r="E132" t="s">
        <v>298</v>
      </c>
      <c r="F132" t="s">
        <v>1410</v>
      </c>
      <c r="G132">
        <v>61</v>
      </c>
      <c r="H132" s="639" t="s">
        <v>2413</v>
      </c>
      <c r="I132" s="415">
        <v>42275</v>
      </c>
      <c r="J132" t="s">
        <v>1917</v>
      </c>
      <c r="K132" t="s">
        <v>457</v>
      </c>
      <c r="L132" t="s">
        <v>2228</v>
      </c>
    </row>
    <row r="133" spans="1:13" x14ac:dyDescent="0.25">
      <c r="A133" t="s">
        <v>1415</v>
      </c>
      <c r="B133" t="s">
        <v>2547</v>
      </c>
      <c r="C133" t="s">
        <v>22</v>
      </c>
      <c r="D133" t="s">
        <v>14</v>
      </c>
      <c r="E133" t="s">
        <v>298</v>
      </c>
      <c r="F133" t="s">
        <v>1416</v>
      </c>
      <c r="G133">
        <v>75</v>
      </c>
      <c r="H133" s="639">
        <v>42280</v>
      </c>
      <c r="I133" s="639">
        <v>42350</v>
      </c>
      <c r="M133" t="s">
        <v>1981</v>
      </c>
    </row>
    <row r="134" spans="1:13" x14ac:dyDescent="0.25">
      <c r="A134" t="s">
        <v>1415</v>
      </c>
      <c r="B134" t="s">
        <v>2548</v>
      </c>
      <c r="C134" t="s">
        <v>17</v>
      </c>
      <c r="D134" t="s">
        <v>18</v>
      </c>
      <c r="E134" t="s">
        <v>298</v>
      </c>
      <c r="F134" t="s">
        <v>1410</v>
      </c>
      <c r="G134">
        <v>61</v>
      </c>
      <c r="H134" s="639">
        <v>42355</v>
      </c>
      <c r="I134" s="639">
        <v>42411</v>
      </c>
      <c r="K134" t="s">
        <v>2219</v>
      </c>
    </row>
    <row r="135" spans="1:13" x14ac:dyDescent="0.25">
      <c r="A135" t="s">
        <v>1415</v>
      </c>
      <c r="B135" t="s">
        <v>2549</v>
      </c>
      <c r="C135" t="s">
        <v>22</v>
      </c>
      <c r="D135" t="s">
        <v>14</v>
      </c>
      <c r="E135" t="s">
        <v>298</v>
      </c>
      <c r="F135" t="s">
        <v>1410</v>
      </c>
      <c r="G135">
        <v>75</v>
      </c>
      <c r="H135" s="639">
        <v>42416</v>
      </c>
      <c r="I135" s="639">
        <v>42486</v>
      </c>
      <c r="K135" t="s">
        <v>1985</v>
      </c>
    </row>
    <row r="136" spans="1:13" x14ac:dyDescent="0.25">
      <c r="A136" t="s">
        <v>1415</v>
      </c>
      <c r="B136" t="s">
        <v>2550</v>
      </c>
      <c r="C136" t="s">
        <v>17</v>
      </c>
      <c r="D136" t="s">
        <v>14</v>
      </c>
      <c r="E136" t="s">
        <v>298</v>
      </c>
      <c r="F136" t="s">
        <v>1410</v>
      </c>
      <c r="G136">
        <v>75</v>
      </c>
      <c r="H136" s="639">
        <v>42491</v>
      </c>
      <c r="I136" s="639">
        <v>42561</v>
      </c>
    </row>
    <row r="137" spans="1:13" x14ac:dyDescent="0.25">
      <c r="A137" t="s">
        <v>1415</v>
      </c>
      <c r="B137" t="s">
        <v>2551</v>
      </c>
      <c r="C137" t="s">
        <v>17</v>
      </c>
      <c r="D137" t="s">
        <v>14</v>
      </c>
      <c r="E137" t="s">
        <v>298</v>
      </c>
      <c r="F137" t="s">
        <v>1410</v>
      </c>
      <c r="G137">
        <v>75</v>
      </c>
      <c r="H137" s="639">
        <v>42566</v>
      </c>
      <c r="I137" s="639">
        <v>42636</v>
      </c>
    </row>
    <row r="138" spans="1:13" x14ac:dyDescent="0.25">
      <c r="A138" t="s">
        <v>1415</v>
      </c>
      <c r="B138" t="s">
        <v>2552</v>
      </c>
      <c r="C138" t="s">
        <v>22</v>
      </c>
      <c r="D138" t="s">
        <v>14</v>
      </c>
      <c r="E138" t="s">
        <v>298</v>
      </c>
      <c r="F138" t="s">
        <v>1416</v>
      </c>
      <c r="G138">
        <v>75</v>
      </c>
      <c r="H138" s="639">
        <v>42641</v>
      </c>
      <c r="I138" s="639">
        <v>42711</v>
      </c>
    </row>
    <row r="139" spans="1:13" x14ac:dyDescent="0.25">
      <c r="A139" t="s">
        <v>1415</v>
      </c>
      <c r="B139" t="s">
        <v>2553</v>
      </c>
      <c r="C139" t="s">
        <v>17</v>
      </c>
      <c r="D139" t="s">
        <v>14</v>
      </c>
      <c r="E139" t="s">
        <v>298</v>
      </c>
      <c r="F139" t="s">
        <v>1410</v>
      </c>
      <c r="G139">
        <v>75</v>
      </c>
      <c r="H139" s="639">
        <v>42716</v>
      </c>
      <c r="I139" s="639">
        <v>42786</v>
      </c>
    </row>
    <row r="140" spans="1:13" x14ac:dyDescent="0.25">
      <c r="A140" t="s">
        <v>1415</v>
      </c>
      <c r="B140" t="s">
        <v>2554</v>
      </c>
      <c r="C140" t="s">
        <v>17</v>
      </c>
      <c r="D140" t="s">
        <v>14</v>
      </c>
      <c r="E140" t="s">
        <v>1620</v>
      </c>
      <c r="F140" t="s">
        <v>1511</v>
      </c>
      <c r="G140" t="s">
        <v>1411</v>
      </c>
      <c r="H140" s="639" t="s">
        <v>1411</v>
      </c>
      <c r="I140" s="639" t="s">
        <v>1411</v>
      </c>
    </row>
    <row r="141" spans="1:13" x14ac:dyDescent="0.25">
      <c r="A141" t="s">
        <v>734</v>
      </c>
      <c r="B141" t="s">
        <v>2555</v>
      </c>
      <c r="C141" t="s">
        <v>22</v>
      </c>
      <c r="D141" t="s">
        <v>14</v>
      </c>
      <c r="E141" t="s">
        <v>298</v>
      </c>
      <c r="F141" t="s">
        <v>1410</v>
      </c>
      <c r="G141">
        <v>75</v>
      </c>
      <c r="H141" s="639">
        <v>42191.041666666664</v>
      </c>
      <c r="I141" s="415">
        <v>42243</v>
      </c>
      <c r="J141" t="s">
        <v>1917</v>
      </c>
      <c r="L141">
        <v>10</v>
      </c>
    </row>
    <row r="142" spans="1:13" x14ac:dyDescent="0.25">
      <c r="A142" t="s">
        <v>734</v>
      </c>
      <c r="B142" t="s">
        <v>2556</v>
      </c>
      <c r="C142" t="s">
        <v>17</v>
      </c>
      <c r="D142" t="s">
        <v>14</v>
      </c>
      <c r="E142" t="s">
        <v>298</v>
      </c>
      <c r="F142" t="s">
        <v>1410</v>
      </c>
      <c r="G142">
        <v>75</v>
      </c>
      <c r="H142" s="639">
        <v>42248</v>
      </c>
      <c r="I142" s="639">
        <v>42318</v>
      </c>
      <c r="K142" t="s">
        <v>2222</v>
      </c>
    </row>
    <row r="143" spans="1:13" x14ac:dyDescent="0.25">
      <c r="A143" t="s">
        <v>734</v>
      </c>
      <c r="B143" t="s">
        <v>2557</v>
      </c>
      <c r="C143" t="s">
        <v>29</v>
      </c>
      <c r="D143" t="s">
        <v>14</v>
      </c>
      <c r="E143" t="s">
        <v>298</v>
      </c>
      <c r="F143" t="s">
        <v>1416</v>
      </c>
      <c r="G143">
        <v>75</v>
      </c>
      <c r="H143" s="639">
        <v>42323</v>
      </c>
      <c r="I143" s="639">
        <v>42393</v>
      </c>
      <c r="K143" t="s">
        <v>2219</v>
      </c>
      <c r="M143" t="s">
        <v>299</v>
      </c>
    </row>
    <row r="144" spans="1:13" x14ac:dyDescent="0.25">
      <c r="A144" t="s">
        <v>734</v>
      </c>
      <c r="B144" t="s">
        <v>2558</v>
      </c>
      <c r="C144" t="s">
        <v>17</v>
      </c>
      <c r="D144" t="s">
        <v>14</v>
      </c>
      <c r="E144" t="s">
        <v>298</v>
      </c>
      <c r="F144" t="s">
        <v>1410</v>
      </c>
      <c r="G144">
        <v>75</v>
      </c>
      <c r="H144" s="639">
        <v>42398</v>
      </c>
      <c r="I144" s="639">
        <v>42468</v>
      </c>
    </row>
    <row r="145" spans="1:13" x14ac:dyDescent="0.25">
      <c r="A145" t="s">
        <v>734</v>
      </c>
      <c r="B145" t="s">
        <v>2559</v>
      </c>
      <c r="C145" t="s">
        <v>17</v>
      </c>
      <c r="D145" t="s">
        <v>14</v>
      </c>
      <c r="E145" t="s">
        <v>298</v>
      </c>
      <c r="F145" t="s">
        <v>1410</v>
      </c>
      <c r="G145">
        <v>75</v>
      </c>
      <c r="H145" s="639">
        <v>42473</v>
      </c>
      <c r="I145" s="639">
        <v>42543</v>
      </c>
    </row>
    <row r="146" spans="1:13" x14ac:dyDescent="0.25">
      <c r="A146" t="s">
        <v>734</v>
      </c>
      <c r="B146" t="s">
        <v>2560</v>
      </c>
      <c r="C146" t="s">
        <v>17</v>
      </c>
      <c r="D146" t="s">
        <v>14</v>
      </c>
      <c r="E146" t="s">
        <v>34</v>
      </c>
      <c r="F146" t="s">
        <v>1410</v>
      </c>
      <c r="G146">
        <v>68</v>
      </c>
      <c r="H146" s="639">
        <v>42548</v>
      </c>
      <c r="I146" s="639">
        <v>42611</v>
      </c>
    </row>
    <row r="147" spans="1:13" x14ac:dyDescent="0.25">
      <c r="A147" t="s">
        <v>734</v>
      </c>
      <c r="B147" t="s">
        <v>2561</v>
      </c>
      <c r="C147" t="s">
        <v>44</v>
      </c>
      <c r="D147" t="s">
        <v>14</v>
      </c>
      <c r="E147" t="s">
        <v>298</v>
      </c>
      <c r="F147" t="s">
        <v>1410</v>
      </c>
      <c r="G147">
        <v>103</v>
      </c>
      <c r="H147" s="639">
        <v>42616</v>
      </c>
      <c r="I147" s="639">
        <v>42714</v>
      </c>
    </row>
    <row r="148" spans="1:13" x14ac:dyDescent="0.25">
      <c r="A148" t="s">
        <v>734</v>
      </c>
      <c r="B148" t="s">
        <v>2562</v>
      </c>
      <c r="C148" t="s">
        <v>744</v>
      </c>
      <c r="D148" t="s">
        <v>14</v>
      </c>
      <c r="E148" t="s">
        <v>34</v>
      </c>
      <c r="F148" t="s">
        <v>1410</v>
      </c>
      <c r="G148" t="s">
        <v>1411</v>
      </c>
      <c r="H148" s="639" t="s">
        <v>1411</v>
      </c>
      <c r="I148" s="639" t="s">
        <v>1411</v>
      </c>
    </row>
    <row r="149" spans="1:13" x14ac:dyDescent="0.25">
      <c r="A149" t="s">
        <v>735</v>
      </c>
      <c r="B149" t="s">
        <v>2563</v>
      </c>
      <c r="C149" t="s">
        <v>29</v>
      </c>
      <c r="D149" t="s">
        <v>14</v>
      </c>
      <c r="E149" t="s">
        <v>298</v>
      </c>
      <c r="F149" t="s">
        <v>1416</v>
      </c>
      <c r="G149">
        <v>75</v>
      </c>
      <c r="H149" s="639">
        <v>42209.708333333336</v>
      </c>
      <c r="I149" s="415">
        <v>42247</v>
      </c>
      <c r="J149" t="s">
        <v>1917</v>
      </c>
      <c r="L149">
        <v>14</v>
      </c>
    </row>
    <row r="150" spans="1:13" x14ac:dyDescent="0.25">
      <c r="A150" t="s">
        <v>735</v>
      </c>
      <c r="B150" t="s">
        <v>2564</v>
      </c>
      <c r="C150" t="s">
        <v>29</v>
      </c>
      <c r="D150" t="s">
        <v>14</v>
      </c>
      <c r="E150" t="s">
        <v>298</v>
      </c>
      <c r="F150" t="s">
        <v>1416</v>
      </c>
      <c r="G150">
        <v>75</v>
      </c>
      <c r="H150" s="639">
        <v>42252</v>
      </c>
      <c r="I150" s="639">
        <v>42322</v>
      </c>
      <c r="K150" t="s">
        <v>1987</v>
      </c>
    </row>
    <row r="151" spans="1:13" x14ac:dyDescent="0.25">
      <c r="A151" t="s">
        <v>735</v>
      </c>
      <c r="B151" t="s">
        <v>2565</v>
      </c>
      <c r="C151" t="s">
        <v>22</v>
      </c>
      <c r="D151" t="s">
        <v>14</v>
      </c>
      <c r="E151" t="s">
        <v>298</v>
      </c>
      <c r="F151" t="s">
        <v>1410</v>
      </c>
      <c r="G151">
        <v>75</v>
      </c>
      <c r="H151" s="639">
        <v>42327</v>
      </c>
      <c r="I151" s="639">
        <v>42397</v>
      </c>
      <c r="K151" t="s">
        <v>1987</v>
      </c>
      <c r="M151" t="s">
        <v>2229</v>
      </c>
    </row>
    <row r="152" spans="1:13" x14ac:dyDescent="0.25">
      <c r="A152" t="s">
        <v>735</v>
      </c>
      <c r="B152" t="s">
        <v>2566</v>
      </c>
      <c r="C152" t="s">
        <v>17</v>
      </c>
      <c r="D152" t="s">
        <v>18</v>
      </c>
      <c r="E152" t="s">
        <v>34</v>
      </c>
      <c r="F152" t="s">
        <v>1410</v>
      </c>
      <c r="G152">
        <v>54</v>
      </c>
      <c r="H152" s="639">
        <v>42402</v>
      </c>
      <c r="I152" s="639">
        <v>42451</v>
      </c>
    </row>
    <row r="153" spans="1:13" x14ac:dyDescent="0.25">
      <c r="A153" t="s">
        <v>735</v>
      </c>
      <c r="B153" t="s">
        <v>2567</v>
      </c>
      <c r="C153" t="s">
        <v>17</v>
      </c>
      <c r="D153" t="s">
        <v>14</v>
      </c>
      <c r="E153" t="s">
        <v>298</v>
      </c>
      <c r="F153" t="s">
        <v>1410</v>
      </c>
      <c r="G153">
        <v>75</v>
      </c>
      <c r="H153" s="639">
        <v>42456</v>
      </c>
      <c r="I153" s="639">
        <v>42526</v>
      </c>
    </row>
    <row r="154" spans="1:13" x14ac:dyDescent="0.25">
      <c r="A154" t="s">
        <v>735</v>
      </c>
      <c r="B154" t="s">
        <v>2568</v>
      </c>
      <c r="C154" t="s">
        <v>17</v>
      </c>
      <c r="D154" t="s">
        <v>14</v>
      </c>
      <c r="E154" t="s">
        <v>34</v>
      </c>
      <c r="F154" t="s">
        <v>1410</v>
      </c>
      <c r="G154">
        <v>68</v>
      </c>
      <c r="H154" s="639">
        <v>42531</v>
      </c>
      <c r="I154" s="639">
        <v>42594</v>
      </c>
    </row>
    <row r="155" spans="1:13" x14ac:dyDescent="0.25">
      <c r="A155" t="s">
        <v>735</v>
      </c>
      <c r="B155" t="s">
        <v>2569</v>
      </c>
      <c r="C155" t="s">
        <v>44</v>
      </c>
      <c r="D155" t="s">
        <v>14</v>
      </c>
      <c r="E155" t="s">
        <v>34</v>
      </c>
      <c r="F155" t="s">
        <v>1410</v>
      </c>
      <c r="G155" t="s">
        <v>1411</v>
      </c>
      <c r="H155" s="639" t="s">
        <v>1411</v>
      </c>
      <c r="I155" s="639" t="s">
        <v>1411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Z53"/>
  <sheetViews>
    <sheetView zoomScale="70" zoomScaleNormal="70" workbookViewId="0">
      <pane xSplit="1" ySplit="12" topLeftCell="F13" activePane="bottomRight" state="frozen"/>
      <selection pane="topRight" activeCell="B1" sqref="B1"/>
      <selection pane="bottomLeft" activeCell="A13" sqref="A13"/>
      <selection pane="bottomRight" activeCell="U49" sqref="U49"/>
    </sheetView>
  </sheetViews>
  <sheetFormatPr defaultColWidth="17.140625" defaultRowHeight="15" x14ac:dyDescent="0.25"/>
  <cols>
    <col min="1" max="1" width="42.5703125" customWidth="1"/>
    <col min="2" max="2" width="28" customWidth="1"/>
    <col min="4" max="4" width="17.140625" style="345"/>
    <col min="5" max="5" width="17.140625" style="451"/>
    <col min="6" max="6" width="24.42578125" customWidth="1"/>
    <col min="8" max="8" width="17.140625" style="345"/>
    <col min="9" max="9" width="17.140625" style="451"/>
    <col min="10" max="10" width="25.5703125" customWidth="1"/>
    <col min="12" max="12" width="17.140625" style="345"/>
    <col min="13" max="13" width="17.140625" style="451"/>
    <col min="14" max="14" width="24.28515625" customWidth="1"/>
    <col min="16" max="16" width="17.140625" style="345"/>
    <col min="17" max="17" width="17.140625" style="451"/>
    <col min="18" max="18" width="24.42578125" customWidth="1"/>
    <col min="20" max="20" width="17.140625" style="345"/>
    <col min="21" max="21" width="17.140625" style="451"/>
    <col min="22" max="22" width="24.85546875" customWidth="1"/>
    <col min="24" max="24" width="17.140625" style="345"/>
    <col min="25" max="25" width="17.140625" style="451"/>
    <col min="26" max="26" width="24" customWidth="1"/>
    <col min="28" max="28" width="17.140625" style="345"/>
    <col min="29" max="29" width="17.140625" style="451"/>
    <col min="30" max="30" width="24.140625" customWidth="1"/>
    <col min="32" max="32" width="17.140625" style="345"/>
    <col min="33" max="33" width="17.140625" style="451"/>
    <col min="36" max="36" width="17.140625" style="345"/>
    <col min="37" max="37" width="17.140625" style="451"/>
    <col min="38" max="38" width="27" customWidth="1"/>
    <col min="40" max="40" width="17.140625" style="345"/>
    <col min="41" max="41" width="17.140625" style="451"/>
    <col min="42" max="42" width="26.140625" customWidth="1"/>
    <col min="44" max="44" width="17.140625" style="345"/>
    <col min="45" max="45" width="17.140625" style="451"/>
    <col min="46" max="46" width="25.7109375" customWidth="1"/>
    <col min="48" max="48" width="17.140625" style="345"/>
    <col min="49" max="49" width="17.140625" style="451"/>
    <col min="50" max="50" width="25.85546875" customWidth="1"/>
    <col min="52" max="52" width="17.140625" style="345"/>
    <col min="53" max="53" width="17.140625" style="451"/>
    <col min="54" max="54" width="25.140625" customWidth="1"/>
    <col min="56" max="56" width="17.140625" style="345"/>
    <col min="57" max="57" width="17.140625" style="451"/>
    <col min="58" max="58" width="25.140625" customWidth="1"/>
    <col min="60" max="60" width="17.140625" style="345"/>
    <col min="61" max="61" width="17.140625" style="451"/>
    <col min="62" max="62" width="26.28515625" customWidth="1"/>
    <col min="64" max="64" width="17.140625" style="345"/>
    <col min="65" max="65" width="17.140625" style="451"/>
    <col min="66" max="66" width="27" customWidth="1"/>
    <col min="68" max="68" width="17.140625" style="345"/>
    <col min="69" max="69" width="17.140625" style="451"/>
    <col min="70" max="70" width="27.7109375" style="345" customWidth="1"/>
    <col min="71" max="72" width="17.140625" style="345"/>
    <col min="73" max="73" width="17.140625" style="451"/>
    <col min="74" max="74" width="25.140625" customWidth="1"/>
    <col min="76" max="76" width="17.140625" style="345"/>
    <col min="77" max="77" width="17.140625" style="451"/>
  </cols>
  <sheetData>
    <row r="1" spans="1:78" s="292" customFormat="1" x14ac:dyDescent="0.25">
      <c r="A1" s="292" t="s">
        <v>1574</v>
      </c>
      <c r="B1" s="292" t="s">
        <v>1575</v>
      </c>
      <c r="C1" s="281" t="s">
        <v>1576</v>
      </c>
      <c r="D1" s="281" t="s">
        <v>1588</v>
      </c>
      <c r="E1" s="281" t="s">
        <v>1577</v>
      </c>
      <c r="F1" s="449" t="s">
        <v>1575</v>
      </c>
      <c r="G1" s="281" t="s">
        <v>1576</v>
      </c>
      <c r="H1" s="281" t="s">
        <v>1588</v>
      </c>
      <c r="I1" s="281" t="s">
        <v>1577</v>
      </c>
      <c r="J1" s="449" t="s">
        <v>1575</v>
      </c>
      <c r="K1" s="281" t="s">
        <v>1576</v>
      </c>
      <c r="L1" s="281" t="s">
        <v>1588</v>
      </c>
      <c r="M1" s="281" t="s">
        <v>1577</v>
      </c>
      <c r="N1" s="449" t="s">
        <v>1575</v>
      </c>
      <c r="O1" s="281" t="s">
        <v>1576</v>
      </c>
      <c r="P1" s="281" t="s">
        <v>1588</v>
      </c>
      <c r="Q1" s="281" t="s">
        <v>1577</v>
      </c>
      <c r="R1" s="449" t="s">
        <v>1575</v>
      </c>
      <c r="S1" s="281" t="s">
        <v>1576</v>
      </c>
      <c r="T1" s="281" t="s">
        <v>1588</v>
      </c>
      <c r="U1" s="281" t="s">
        <v>1577</v>
      </c>
      <c r="V1" s="449" t="s">
        <v>1575</v>
      </c>
      <c r="W1" s="281" t="s">
        <v>1576</v>
      </c>
      <c r="X1" s="281" t="s">
        <v>1588</v>
      </c>
      <c r="Y1" s="281" t="s">
        <v>1577</v>
      </c>
      <c r="Z1" s="449" t="s">
        <v>1575</v>
      </c>
      <c r="AA1" s="281" t="s">
        <v>1576</v>
      </c>
      <c r="AB1" s="281" t="s">
        <v>1588</v>
      </c>
      <c r="AC1" s="281" t="s">
        <v>1577</v>
      </c>
      <c r="AD1" s="449" t="s">
        <v>1575</v>
      </c>
      <c r="AE1" s="281" t="s">
        <v>1576</v>
      </c>
      <c r="AF1" s="281" t="s">
        <v>1588</v>
      </c>
      <c r="AG1" s="281" t="s">
        <v>1577</v>
      </c>
      <c r="AH1" s="449" t="s">
        <v>1575</v>
      </c>
      <c r="AI1" s="281" t="s">
        <v>1576</v>
      </c>
      <c r="AJ1" s="281" t="s">
        <v>1588</v>
      </c>
      <c r="AK1" s="281" t="s">
        <v>1577</v>
      </c>
      <c r="AL1" s="449" t="s">
        <v>1575</v>
      </c>
      <c r="AM1" s="281" t="s">
        <v>1576</v>
      </c>
      <c r="AN1" s="281" t="s">
        <v>1588</v>
      </c>
      <c r="AO1" s="281" t="s">
        <v>1577</v>
      </c>
      <c r="AP1" s="449" t="s">
        <v>1575</v>
      </c>
      <c r="AQ1" s="281" t="s">
        <v>1576</v>
      </c>
      <c r="AR1" s="281" t="s">
        <v>1588</v>
      </c>
      <c r="AS1" s="281" t="s">
        <v>1577</v>
      </c>
      <c r="AT1" s="449" t="s">
        <v>1575</v>
      </c>
      <c r="AU1" s="281" t="s">
        <v>1576</v>
      </c>
      <c r="AV1" s="281" t="s">
        <v>1588</v>
      </c>
      <c r="AW1" s="281" t="s">
        <v>1577</v>
      </c>
      <c r="AX1" s="449" t="s">
        <v>1575</v>
      </c>
      <c r="AY1" s="281" t="s">
        <v>1576</v>
      </c>
      <c r="AZ1" s="281" t="s">
        <v>1588</v>
      </c>
      <c r="BA1" s="281" t="s">
        <v>1577</v>
      </c>
      <c r="BB1" s="449" t="s">
        <v>1575</v>
      </c>
      <c r="BC1" s="281" t="s">
        <v>1576</v>
      </c>
      <c r="BD1" s="281" t="s">
        <v>1588</v>
      </c>
      <c r="BE1" s="281" t="s">
        <v>1577</v>
      </c>
      <c r="BF1" s="449" t="s">
        <v>1575</v>
      </c>
      <c r="BG1" s="281" t="s">
        <v>1576</v>
      </c>
      <c r="BH1" s="281" t="s">
        <v>1588</v>
      </c>
      <c r="BI1" s="281" t="s">
        <v>1577</v>
      </c>
      <c r="BJ1" s="449" t="s">
        <v>1575</v>
      </c>
      <c r="BK1" s="281" t="s">
        <v>1576</v>
      </c>
      <c r="BL1" s="281" t="s">
        <v>1588</v>
      </c>
      <c r="BM1" s="281" t="s">
        <v>1577</v>
      </c>
      <c r="BN1" s="449" t="s">
        <v>1575</v>
      </c>
      <c r="BO1" s="281" t="s">
        <v>1576</v>
      </c>
      <c r="BP1" s="281" t="s">
        <v>1588</v>
      </c>
      <c r="BQ1" s="281" t="s">
        <v>1577</v>
      </c>
      <c r="BR1" s="449" t="s">
        <v>1575</v>
      </c>
      <c r="BS1" s="281" t="s">
        <v>1576</v>
      </c>
      <c r="BT1" s="281" t="s">
        <v>1588</v>
      </c>
      <c r="BU1" s="281" t="s">
        <v>1577</v>
      </c>
      <c r="BV1" s="449" t="s">
        <v>1575</v>
      </c>
      <c r="BW1" s="281" t="s">
        <v>1576</v>
      </c>
      <c r="BX1" s="281" t="s">
        <v>1588</v>
      </c>
      <c r="BY1" s="281" t="s">
        <v>1577</v>
      </c>
      <c r="BZ1" s="449"/>
    </row>
    <row r="2" spans="1:78" x14ac:dyDescent="0.25">
      <c r="A2" s="345"/>
      <c r="B2" s="349"/>
      <c r="C2" s="347"/>
      <c r="D2" s="347"/>
      <c r="F2" s="347"/>
      <c r="G2" s="347"/>
      <c r="H2" s="347"/>
      <c r="J2" s="347"/>
      <c r="K2" s="347"/>
      <c r="L2" s="347"/>
      <c r="N2" s="347"/>
      <c r="O2" s="347"/>
      <c r="P2" s="347"/>
      <c r="R2" s="347"/>
      <c r="S2" s="347"/>
      <c r="T2" s="347"/>
      <c r="V2" s="347"/>
      <c r="W2" s="347"/>
      <c r="X2" s="347"/>
      <c r="Z2" s="347"/>
      <c r="AA2" s="347"/>
      <c r="AB2" s="347"/>
      <c r="AD2" s="347"/>
      <c r="AE2" s="347"/>
      <c r="AF2" s="347"/>
      <c r="AH2" s="347"/>
      <c r="AI2" s="347"/>
      <c r="AJ2" s="347"/>
      <c r="AL2" s="347"/>
      <c r="AM2" s="347"/>
      <c r="AN2" s="347"/>
      <c r="AP2" s="347"/>
      <c r="AQ2" s="347"/>
      <c r="AR2" s="347"/>
      <c r="AT2" s="347"/>
      <c r="AU2" s="347"/>
      <c r="AV2" s="347"/>
      <c r="AX2" s="347"/>
      <c r="AY2" s="347"/>
      <c r="AZ2" s="347"/>
      <c r="BB2" s="347"/>
      <c r="BC2" s="347"/>
      <c r="BD2" s="347"/>
      <c r="BF2" s="347"/>
      <c r="BG2" s="347"/>
      <c r="BH2" s="347"/>
      <c r="BJ2" s="347"/>
      <c r="BK2" s="347"/>
      <c r="BL2" s="347"/>
      <c r="BN2" s="347"/>
      <c r="BO2" s="347"/>
      <c r="BP2" s="347"/>
      <c r="BR2" s="347"/>
      <c r="BS2" s="347"/>
      <c r="BT2" s="347"/>
      <c r="BV2" s="347"/>
      <c r="BW2" s="347"/>
      <c r="BX2" s="347"/>
    </row>
    <row r="3" spans="1:78" x14ac:dyDescent="0.25">
      <c r="A3" s="345"/>
      <c r="B3" s="349"/>
      <c r="C3" s="347"/>
      <c r="D3" s="347"/>
      <c r="F3" s="347"/>
      <c r="G3" s="347"/>
      <c r="H3" s="347"/>
      <c r="J3" s="347"/>
      <c r="K3" s="347"/>
      <c r="L3" s="347"/>
      <c r="N3" s="347"/>
      <c r="O3" s="347"/>
      <c r="P3" s="347"/>
      <c r="R3" s="347"/>
      <c r="S3" s="347"/>
      <c r="T3" s="347"/>
      <c r="V3" s="347"/>
      <c r="W3" s="347"/>
      <c r="X3" s="347"/>
      <c r="Z3" s="347"/>
      <c r="AA3" s="347"/>
      <c r="AB3" s="347"/>
      <c r="AD3" s="347"/>
      <c r="AE3" s="347"/>
      <c r="AF3" s="347"/>
      <c r="AH3" s="347"/>
      <c r="AI3" s="347"/>
      <c r="AJ3" s="347"/>
      <c r="AL3" s="347"/>
      <c r="AM3" s="347"/>
      <c r="AN3" s="347"/>
      <c r="AP3" s="347"/>
      <c r="AQ3" s="347"/>
      <c r="AR3" s="347"/>
      <c r="AT3" s="347"/>
      <c r="AU3" s="347"/>
      <c r="AV3" s="347"/>
      <c r="AX3" s="347"/>
      <c r="AY3" s="347"/>
      <c r="AZ3" s="347"/>
      <c r="BB3" s="347"/>
      <c r="BC3" s="347"/>
      <c r="BD3" s="347"/>
      <c r="BF3" s="347"/>
      <c r="BG3" s="347"/>
      <c r="BH3" s="347"/>
      <c r="BJ3" s="347"/>
      <c r="BK3" s="347"/>
      <c r="BL3" s="347"/>
      <c r="BN3" s="347"/>
      <c r="BO3" s="347"/>
      <c r="BP3" s="347"/>
      <c r="BR3" s="347"/>
      <c r="BS3" s="347"/>
      <c r="BT3" s="347"/>
      <c r="BV3" s="347"/>
      <c r="BW3" s="347"/>
      <c r="BX3" s="347"/>
    </row>
    <row r="4" spans="1:78" x14ac:dyDescent="0.25">
      <c r="A4" s="345"/>
      <c r="B4" s="489" t="s">
        <v>1515</v>
      </c>
      <c r="C4" s="472" t="s">
        <v>1908</v>
      </c>
      <c r="D4" s="472" t="s">
        <v>1909</v>
      </c>
      <c r="E4" s="490" t="s">
        <v>1404</v>
      </c>
      <c r="F4" s="489" t="s">
        <v>1515</v>
      </c>
      <c r="G4" s="472" t="s">
        <v>1908</v>
      </c>
      <c r="H4" s="472" t="s">
        <v>1909</v>
      </c>
      <c r="I4" s="490" t="s">
        <v>1404</v>
      </c>
      <c r="J4" s="489" t="s">
        <v>1515</v>
      </c>
      <c r="K4" s="472" t="s">
        <v>1908</v>
      </c>
      <c r="L4" s="472" t="s">
        <v>1909</v>
      </c>
      <c r="M4" s="490" t="s">
        <v>1404</v>
      </c>
      <c r="N4" s="489" t="s">
        <v>1515</v>
      </c>
      <c r="O4" s="472" t="s">
        <v>1908</v>
      </c>
      <c r="P4" s="472" t="s">
        <v>1909</v>
      </c>
      <c r="Q4" s="490" t="s">
        <v>1404</v>
      </c>
      <c r="R4" s="489" t="s">
        <v>1515</v>
      </c>
      <c r="S4" s="472" t="s">
        <v>1908</v>
      </c>
      <c r="T4" s="472" t="s">
        <v>1909</v>
      </c>
      <c r="U4" s="490" t="s">
        <v>1404</v>
      </c>
      <c r="V4" s="489" t="s">
        <v>1515</v>
      </c>
      <c r="W4" s="472" t="s">
        <v>1908</v>
      </c>
      <c r="X4" s="472" t="s">
        <v>1909</v>
      </c>
      <c r="Y4" s="490" t="s">
        <v>1404</v>
      </c>
      <c r="Z4" s="489" t="s">
        <v>1515</v>
      </c>
      <c r="AA4" s="472" t="s">
        <v>1908</v>
      </c>
      <c r="AB4" s="472" t="s">
        <v>1909</v>
      </c>
      <c r="AC4" s="490" t="s">
        <v>1404</v>
      </c>
      <c r="AD4" s="489" t="s">
        <v>1515</v>
      </c>
      <c r="AE4" s="472" t="s">
        <v>1908</v>
      </c>
      <c r="AF4" s="472" t="s">
        <v>1909</v>
      </c>
      <c r="AG4" s="490" t="s">
        <v>1404</v>
      </c>
      <c r="AH4" s="489" t="s">
        <v>1515</v>
      </c>
      <c r="AI4" s="472" t="s">
        <v>1908</v>
      </c>
      <c r="AJ4" s="472" t="s">
        <v>1909</v>
      </c>
      <c r="AK4" s="490" t="s">
        <v>1404</v>
      </c>
      <c r="AL4" s="489" t="s">
        <v>1515</v>
      </c>
      <c r="AM4" s="472" t="s">
        <v>1908</v>
      </c>
      <c r="AN4" s="472" t="s">
        <v>1909</v>
      </c>
      <c r="AO4" s="490" t="s">
        <v>1404</v>
      </c>
      <c r="AP4" s="489" t="s">
        <v>1515</v>
      </c>
      <c r="AQ4" s="472" t="s">
        <v>1908</v>
      </c>
      <c r="AR4" s="472" t="s">
        <v>1909</v>
      </c>
      <c r="AS4" s="490" t="s">
        <v>1404</v>
      </c>
      <c r="AT4" s="489" t="s">
        <v>1515</v>
      </c>
      <c r="AU4" s="472" t="s">
        <v>1908</v>
      </c>
      <c r="AV4" s="472" t="s">
        <v>1909</v>
      </c>
      <c r="AW4" s="490" t="s">
        <v>1404</v>
      </c>
      <c r="AX4" s="489" t="s">
        <v>1515</v>
      </c>
      <c r="AY4" s="472" t="s">
        <v>1908</v>
      </c>
      <c r="AZ4" s="472" t="s">
        <v>1909</v>
      </c>
      <c r="BA4" s="490" t="s">
        <v>1404</v>
      </c>
      <c r="BB4" s="489" t="s">
        <v>1515</v>
      </c>
      <c r="BC4" s="472" t="s">
        <v>1908</v>
      </c>
      <c r="BD4" s="472" t="s">
        <v>1909</v>
      </c>
      <c r="BE4" s="490" t="s">
        <v>1404</v>
      </c>
      <c r="BF4" s="489" t="s">
        <v>1515</v>
      </c>
      <c r="BG4" s="472" t="s">
        <v>1908</v>
      </c>
      <c r="BH4" s="472" t="s">
        <v>1909</v>
      </c>
      <c r="BI4" s="490" t="s">
        <v>1404</v>
      </c>
      <c r="BJ4" s="489" t="s">
        <v>1515</v>
      </c>
      <c r="BK4" s="472" t="s">
        <v>1908</v>
      </c>
      <c r="BL4" s="472" t="s">
        <v>1909</v>
      </c>
      <c r="BM4" s="490" t="s">
        <v>1404</v>
      </c>
      <c r="BN4" s="489" t="s">
        <v>1515</v>
      </c>
      <c r="BO4" s="472" t="s">
        <v>1908</v>
      </c>
      <c r="BP4" s="472" t="s">
        <v>1909</v>
      </c>
      <c r="BQ4" s="490" t="s">
        <v>1404</v>
      </c>
      <c r="BR4" s="489" t="s">
        <v>1515</v>
      </c>
      <c r="BS4" s="472" t="s">
        <v>1908</v>
      </c>
      <c r="BT4" s="472" t="s">
        <v>1909</v>
      </c>
      <c r="BU4" s="490" t="s">
        <v>1404</v>
      </c>
      <c r="BV4" s="489" t="s">
        <v>1515</v>
      </c>
      <c r="BW4" s="472" t="s">
        <v>1908</v>
      </c>
      <c r="BX4" s="472" t="s">
        <v>1909</v>
      </c>
      <c r="BY4" s="490" t="s">
        <v>1404</v>
      </c>
    </row>
    <row r="5" spans="1:78" s="301" customFormat="1" x14ac:dyDescent="0.25">
      <c r="A5" s="276" t="s">
        <v>1066</v>
      </c>
      <c r="B5" s="466" t="s">
        <v>12</v>
      </c>
      <c r="C5" s="378" t="s">
        <v>12</v>
      </c>
      <c r="D5" s="378" t="s">
        <v>12</v>
      </c>
      <c r="E5" s="378" t="s">
        <v>12</v>
      </c>
      <c r="F5" s="450" t="s">
        <v>1171</v>
      </c>
      <c r="G5" s="378" t="s">
        <v>1171</v>
      </c>
      <c r="H5" s="378" t="s">
        <v>1171</v>
      </c>
      <c r="I5" s="378" t="s">
        <v>1171</v>
      </c>
      <c r="J5" s="450" t="s">
        <v>35</v>
      </c>
      <c r="K5" s="378" t="s">
        <v>35</v>
      </c>
      <c r="L5" s="378" t="s">
        <v>35</v>
      </c>
      <c r="M5" s="378" t="s">
        <v>35</v>
      </c>
      <c r="N5" s="450" t="s">
        <v>430</v>
      </c>
      <c r="O5" s="378" t="s">
        <v>430</v>
      </c>
      <c r="P5" s="378" t="s">
        <v>430</v>
      </c>
      <c r="Q5" s="378" t="s">
        <v>430</v>
      </c>
      <c r="R5" s="450" t="s">
        <v>513</v>
      </c>
      <c r="S5" s="378" t="s">
        <v>513</v>
      </c>
      <c r="T5" s="378" t="s">
        <v>513</v>
      </c>
      <c r="U5" s="378" t="s">
        <v>513</v>
      </c>
      <c r="V5" s="450" t="s">
        <v>512</v>
      </c>
      <c r="W5" s="378" t="s">
        <v>512</v>
      </c>
      <c r="X5" s="378" t="s">
        <v>512</v>
      </c>
      <c r="Y5" s="378" t="s">
        <v>512</v>
      </c>
      <c r="Z5" s="450" t="s">
        <v>511</v>
      </c>
      <c r="AA5" s="378" t="s">
        <v>511</v>
      </c>
      <c r="AB5" s="378" t="s">
        <v>511</v>
      </c>
      <c r="AC5" s="378" t="s">
        <v>511</v>
      </c>
      <c r="AD5" s="450" t="s">
        <v>23</v>
      </c>
      <c r="AE5" s="378" t="s">
        <v>23</v>
      </c>
      <c r="AF5" s="378" t="s">
        <v>23</v>
      </c>
      <c r="AG5" s="378" t="s">
        <v>23</v>
      </c>
      <c r="AH5" s="450" t="s">
        <v>31</v>
      </c>
      <c r="AI5" s="378" t="s">
        <v>31</v>
      </c>
      <c r="AJ5" s="378" t="s">
        <v>31</v>
      </c>
      <c r="AK5" s="378" t="s">
        <v>31</v>
      </c>
      <c r="AL5" s="450" t="s">
        <v>79</v>
      </c>
      <c r="AM5" s="378" t="s">
        <v>79</v>
      </c>
      <c r="AN5" s="378" t="s">
        <v>79</v>
      </c>
      <c r="AO5" s="378" t="s">
        <v>79</v>
      </c>
      <c r="AP5" s="450" t="s">
        <v>37</v>
      </c>
      <c r="AQ5" s="378" t="s">
        <v>37</v>
      </c>
      <c r="AR5" s="378" t="s">
        <v>37</v>
      </c>
      <c r="AS5" s="378" t="s">
        <v>37</v>
      </c>
      <c r="AT5" s="450" t="s">
        <v>838</v>
      </c>
      <c r="AU5" s="378" t="s">
        <v>838</v>
      </c>
      <c r="AV5" s="378" t="s">
        <v>838</v>
      </c>
      <c r="AW5" s="378" t="s">
        <v>838</v>
      </c>
      <c r="AX5" s="450" t="s">
        <v>839</v>
      </c>
      <c r="AY5" s="378" t="s">
        <v>839</v>
      </c>
      <c r="AZ5" s="378" t="s">
        <v>839</v>
      </c>
      <c r="BA5" s="378" t="s">
        <v>839</v>
      </c>
      <c r="BB5" s="450" t="s">
        <v>1412</v>
      </c>
      <c r="BC5" s="378" t="s">
        <v>1412</v>
      </c>
      <c r="BD5" s="378" t="s">
        <v>1412</v>
      </c>
      <c r="BE5" s="378" t="s">
        <v>1412</v>
      </c>
      <c r="BF5" s="450" t="s">
        <v>1413</v>
      </c>
      <c r="BG5" s="378" t="s">
        <v>1413</v>
      </c>
      <c r="BH5" s="378" t="s">
        <v>1413</v>
      </c>
      <c r="BI5" s="378" t="s">
        <v>1413</v>
      </c>
      <c r="BJ5" s="450" t="s">
        <v>1414</v>
      </c>
      <c r="BK5" s="378" t="s">
        <v>1414</v>
      </c>
      <c r="BL5" s="378" t="s">
        <v>1414</v>
      </c>
      <c r="BM5" s="378" t="s">
        <v>1414</v>
      </c>
      <c r="BN5" s="450" t="s">
        <v>1415</v>
      </c>
      <c r="BO5" s="378" t="s">
        <v>1415</v>
      </c>
      <c r="BP5" s="378" t="s">
        <v>1415</v>
      </c>
      <c r="BQ5" s="378" t="s">
        <v>1415</v>
      </c>
      <c r="BR5" s="450" t="s">
        <v>734</v>
      </c>
      <c r="BS5" s="378" t="s">
        <v>734</v>
      </c>
      <c r="BT5" s="378" t="s">
        <v>734</v>
      </c>
      <c r="BU5" s="378" t="s">
        <v>734</v>
      </c>
      <c r="BV5" s="450" t="s">
        <v>735</v>
      </c>
      <c r="BW5" s="378" t="s">
        <v>735</v>
      </c>
      <c r="BX5" s="378" t="s">
        <v>735</v>
      </c>
      <c r="BY5" s="378" t="s">
        <v>735</v>
      </c>
      <c r="BZ5" s="453"/>
    </row>
    <row r="6" spans="1:78" x14ac:dyDescent="0.25">
      <c r="A6" s="345" t="s">
        <v>1578</v>
      </c>
      <c r="B6" s="349" t="s">
        <v>1615</v>
      </c>
      <c r="C6" s="350"/>
      <c r="D6" s="350"/>
      <c r="E6" s="452"/>
      <c r="F6" s="347" t="s">
        <v>1579</v>
      </c>
      <c r="G6" s="350"/>
      <c r="H6" s="350"/>
      <c r="I6" s="452"/>
      <c r="J6" s="347" t="s">
        <v>1870</v>
      </c>
      <c r="K6" s="350"/>
      <c r="L6" s="350"/>
      <c r="M6" s="452"/>
      <c r="N6" s="347" t="s">
        <v>1920</v>
      </c>
      <c r="O6" s="350"/>
      <c r="P6" s="350"/>
      <c r="Q6" s="452"/>
      <c r="R6" s="347" t="s">
        <v>754</v>
      </c>
      <c r="S6" s="350"/>
      <c r="T6" s="350"/>
      <c r="U6" s="452"/>
      <c r="V6" s="347" t="s">
        <v>1593</v>
      </c>
      <c r="W6" s="350"/>
      <c r="X6" s="350"/>
      <c r="Y6" s="452"/>
      <c r="Z6" s="347" t="s">
        <v>1701</v>
      </c>
      <c r="AA6" s="350"/>
      <c r="AB6" s="350"/>
      <c r="AC6" s="452"/>
      <c r="AD6" s="347" t="s">
        <v>1694</v>
      </c>
      <c r="AE6" s="350"/>
      <c r="AF6" s="350"/>
      <c r="AG6" s="452"/>
      <c r="AH6" s="347" t="s">
        <v>1697</v>
      </c>
      <c r="AI6" s="350"/>
      <c r="AJ6" s="350"/>
      <c r="AK6" s="452"/>
      <c r="AL6" s="347" t="s">
        <v>1839</v>
      </c>
      <c r="AM6" s="350"/>
      <c r="AN6" s="350"/>
      <c r="AO6" s="452"/>
      <c r="AP6" s="347" t="s">
        <v>760</v>
      </c>
      <c r="AQ6" s="350"/>
      <c r="AR6" s="350"/>
      <c r="AS6" s="452"/>
      <c r="AT6" s="347" t="s">
        <v>1581</v>
      </c>
      <c r="AU6" s="350"/>
      <c r="AV6" s="350"/>
      <c r="AW6" s="452"/>
      <c r="AX6" s="347" t="s">
        <v>1808</v>
      </c>
      <c r="AY6" s="350"/>
      <c r="AZ6" s="350"/>
      <c r="BA6" s="452"/>
      <c r="BB6" s="347" t="s">
        <v>1704</v>
      </c>
      <c r="BC6" s="350"/>
      <c r="BD6" s="350"/>
      <c r="BE6" s="452"/>
      <c r="BF6" s="448" t="s">
        <v>1589</v>
      </c>
      <c r="BG6" s="350"/>
      <c r="BH6" s="350"/>
      <c r="BI6" s="452"/>
      <c r="BJ6" s="347" t="s">
        <v>1842</v>
      </c>
      <c r="BK6" s="350"/>
      <c r="BL6" s="350"/>
      <c r="BM6" s="452"/>
      <c r="BN6" s="347" t="s">
        <v>1596</v>
      </c>
      <c r="BO6" s="350"/>
      <c r="BP6" s="350"/>
      <c r="BQ6" s="452"/>
      <c r="BR6" s="347" t="s">
        <v>1702</v>
      </c>
      <c r="BS6" s="350"/>
      <c r="BT6" s="350"/>
      <c r="BU6" s="452"/>
      <c r="BV6" s="347" t="s">
        <v>1869</v>
      </c>
      <c r="BW6" s="350"/>
      <c r="BX6" s="350"/>
      <c r="BY6" s="452"/>
    </row>
    <row r="7" spans="1:78" s="345" customFormat="1" x14ac:dyDescent="0.25">
      <c r="A7" s="345" t="s">
        <v>1585</v>
      </c>
      <c r="B7" s="349" t="str">
        <f>LEFT(B6,7)</f>
        <v>RA-0179</v>
      </c>
      <c r="C7" s="347"/>
      <c r="D7" s="347"/>
      <c r="E7" s="451"/>
      <c r="F7" s="347" t="str">
        <f>LEFT(F6,7)</f>
        <v>RA-0561</v>
      </c>
      <c r="G7" s="347"/>
      <c r="H7" s="347"/>
      <c r="I7" s="451"/>
      <c r="J7" s="347" t="str">
        <f>LEFT(J6,7)</f>
        <v>SA-0495</v>
      </c>
      <c r="K7" s="347"/>
      <c r="L7" s="347"/>
      <c r="M7" s="451"/>
      <c r="N7" s="347" t="str">
        <f>LEFT(N6,7)</f>
        <v>SA-0587</v>
      </c>
      <c r="O7" s="347"/>
      <c r="P7" s="347"/>
      <c r="Q7" s="451"/>
      <c r="R7" s="347" t="str">
        <f>LEFT(R6,7)</f>
        <v>RA-0392</v>
      </c>
      <c r="S7" s="347"/>
      <c r="T7" s="347"/>
      <c r="U7" s="451"/>
      <c r="V7" s="347" t="str">
        <f>LEFT(V6,7)</f>
        <v>SA-0166</v>
      </c>
      <c r="W7" s="347"/>
      <c r="X7" s="347"/>
      <c r="Y7" s="451"/>
      <c r="Z7" s="347" t="str">
        <f>LEFT(Z6,7)</f>
        <v>RA-0577</v>
      </c>
      <c r="AA7" s="347"/>
      <c r="AB7" s="347"/>
      <c r="AC7" s="451"/>
      <c r="AD7" s="347" t="str">
        <f>LEFT(AD6,7)</f>
        <v>RA-0592</v>
      </c>
      <c r="AE7" s="347"/>
      <c r="AF7" s="347"/>
      <c r="AG7" s="451"/>
      <c r="AH7" s="347" t="str">
        <f>LEFT(AH6,7)</f>
        <v>RA-0046</v>
      </c>
      <c r="AI7" s="347"/>
      <c r="AJ7" s="347"/>
      <c r="AK7" s="451"/>
      <c r="AL7" s="347" t="str">
        <f>LEFT(AL6,7)</f>
        <v>RA-0573</v>
      </c>
      <c r="AM7" s="347"/>
      <c r="AN7" s="347"/>
      <c r="AO7" s="451"/>
      <c r="AP7" s="347" t="str">
        <f>LEFT(AP6,7)</f>
        <v>SA-0248</v>
      </c>
      <c r="AQ7" s="416"/>
      <c r="AR7" s="347"/>
      <c r="AS7" s="451"/>
      <c r="AT7" s="347" t="str">
        <f>LEFT(AT6,7)</f>
        <v>RA-0564</v>
      </c>
      <c r="AU7" s="347"/>
      <c r="AV7" s="347"/>
      <c r="AW7" s="451"/>
      <c r="AX7" s="347" t="str">
        <f>LEFT(AX6,7)</f>
        <v>RA-0580</v>
      </c>
      <c r="AY7" s="347"/>
      <c r="AZ7" s="347"/>
      <c r="BA7" s="451"/>
      <c r="BB7" s="347" t="str">
        <f>LEFT(BB6,7)</f>
        <v>SA-0599</v>
      </c>
      <c r="BC7" s="347"/>
      <c r="BD7" s="347"/>
      <c r="BE7" s="451"/>
      <c r="BF7" s="347" t="str">
        <f>LEFT(BF6,7)</f>
        <v>SA-0580</v>
      </c>
      <c r="BG7" s="347"/>
      <c r="BH7" s="347"/>
      <c r="BI7" s="451"/>
      <c r="BJ7" s="347" t="str">
        <f>LEFT(BJ6,7)</f>
        <v>SA-0137</v>
      </c>
      <c r="BK7" s="347"/>
      <c r="BL7" s="347"/>
      <c r="BM7" s="451"/>
      <c r="BN7" s="347" t="str">
        <f>LEFT(BN6,7)</f>
        <v>SA-0152</v>
      </c>
      <c r="BO7" s="347"/>
      <c r="BP7" s="347"/>
      <c r="BQ7" s="451"/>
      <c r="BR7" s="347" t="str">
        <f>LEFT(BR6,7)</f>
        <v>SA-0582</v>
      </c>
      <c r="BS7" s="347"/>
      <c r="BT7" s="347"/>
      <c r="BU7" s="451"/>
      <c r="BV7" s="347" t="str">
        <f>LEFT(BV6,7)</f>
        <v>SA-0610</v>
      </c>
      <c r="BW7" s="347"/>
      <c r="BX7" s="347"/>
      <c r="BY7" s="451"/>
    </row>
    <row r="8" spans="1:78" x14ac:dyDescent="0.25">
      <c r="A8" s="345" t="s">
        <v>1583</v>
      </c>
      <c r="B8" s="345" t="str">
        <f ca="1">IF(INDEX(Well_Data_NK_Upcoming!$C$2:$C$877,MATCH(B9,Well_Data_NK_Upcoming!Well_Rig,0))=0,"unknown",INDEX(Well_Data_NK_Upcoming!$C$2:$C$877,MATCH(B9,Well_Data_NK_Upcoming!Well_Rig,0)))</f>
        <v>RA-0179DPN</v>
      </c>
      <c r="C8" s="347"/>
      <c r="D8" s="347"/>
      <c r="F8" s="345" t="str">
        <f ca="1">IF(INDEX(Well_Data_NK_Upcoming!$C$2:$C$877,MATCH(F9,Well_Data_NK_Upcoming!Well_Rig,0))=0,"unknown",INDEX(Well_Data_NK_Upcoming!$C$2:$C$877,MATCH(F9,Well_Data_NK_Upcoming!Well_Rig,0)))</f>
        <v>RA-0561H</v>
      </c>
      <c r="G8" s="347"/>
      <c r="H8" s="347"/>
      <c r="J8" s="345" t="str">
        <f ca="1">IF(INDEX(Well_Data_NK_Upcoming!$C$2:$C$877,MATCH(J9,Well_Data_NK_Upcoming!Well_Rig,0))=0,"unknown",INDEX(Well_Data_NK_Upcoming!$C$2:$C$877,MATCH(J9,Well_Data_NK_Upcoming!Well_Rig,0)))</f>
        <v>SA-0495HST1</v>
      </c>
      <c r="K8" s="347"/>
      <c r="L8" s="347"/>
      <c r="N8" s="345" t="str">
        <f ca="1">IF(INDEX(Well_Data_NK_Upcoming!$C$2:$C$877,MATCH(N9,Well_Data_NK_Upcoming!Well_Rig,0))=0,"unknown",INDEX(Well_Data_NK_Upcoming!$C$2:$C$877,MATCH(N9,Well_Data_NK_Upcoming!Well_Rig,0)))</f>
        <v>SA-0587H</v>
      </c>
      <c r="O8" s="347"/>
      <c r="P8" s="347"/>
      <c r="R8" s="345" t="str">
        <f ca="1">IF(INDEX(Well_Data_NK_Upcoming!$C$2:$C$877,MATCH(R9,Well_Data_NK_Upcoming!Well_Rig,0))=0,"unknown",INDEX(Well_Data_NK_Upcoming!$C$2:$C$877,MATCH(R9,Well_Data_NK_Upcoming!Well_Rig,0)))</f>
        <v>RA-0392HST1</v>
      </c>
      <c r="S8" s="347"/>
      <c r="T8" s="347"/>
      <c r="V8" s="345" t="str">
        <f ca="1">IF(INDEX(Well_Data_NK_Upcoming!$C$2:$C$877,MATCH(V9,Well_Data_NK_Upcoming!Well_Rig,0))=0,"unknown",INDEX(Well_Data_NK_Upcoming!$C$2:$C$877,MATCH(V9,Well_Data_NK_Upcoming!Well_Rig,0)))</f>
        <v>SA-0166HST1</v>
      </c>
      <c r="W8" s="347"/>
      <c r="X8" s="347"/>
      <c r="Z8" s="345" t="str">
        <f ca="1">IF(INDEX(Well_Data_NK_Upcoming!$C$2:$C$877,MATCH(Z9,Well_Data_NK_Upcoming!Well_Rig,0))=0,"unknown",INDEX(Well_Data_NK_Upcoming!$C$2:$C$877,MATCH(Z9,Well_Data_NK_Upcoming!Well_Rig,0)))</f>
        <v>RA-0577</v>
      </c>
      <c r="AA8" s="347"/>
      <c r="AB8" s="347"/>
      <c r="AD8" s="345" t="str">
        <f ca="1">IF(INDEX(Well_Data_NK_Upcoming!$C$2:$C$877,MATCH(AD9,Well_Data_NK_Upcoming!Well_Rig,0))=0,"unknown",INDEX(Well_Data_NK_Upcoming!$C$2:$C$877,MATCH(AD9,Well_Data_NK_Upcoming!Well_Rig,0)))</f>
        <v>RA-0592</v>
      </c>
      <c r="AE8" s="347"/>
      <c r="AF8" s="347"/>
      <c r="AH8" s="345" t="str">
        <f ca="1">IF(INDEX(Well_Data_NK_Upcoming!$C$2:$C$877,MATCH(AH9,Well_Data_NK_Upcoming!Well_Rig,0))=0,"unknown",INDEX(Well_Data_NK_Upcoming!$C$2:$C$877,MATCH(AH9,Well_Data_NK_Upcoming!Well_Rig,0)))</f>
        <v>RA-0046HST1</v>
      </c>
      <c r="AI8" s="347"/>
      <c r="AJ8" s="347"/>
      <c r="AL8" s="345" t="str">
        <f ca="1">IF(INDEX(Well_Data_NK_Upcoming!$C$2:$C$877,MATCH(AL9,Well_Data_NK_Upcoming!Well_Rig,0))=0,"unknown",INDEX(Well_Data_NK_Upcoming!$C$2:$C$877,MATCH(AL9,Well_Data_NK_Upcoming!Well_Rig,0)))</f>
        <v>RA-0573</v>
      </c>
      <c r="AM8" s="347"/>
      <c r="AN8" s="347"/>
      <c r="AP8" s="345" t="str">
        <f ca="1">IF(INDEX(Well_Data_NK_Upcoming!$C$2:$C$877,MATCH(AP9,Well_Data_NK_Upcoming!Well_Rig,0))=0,"unknown",INDEX(Well_Data_NK_Upcoming!$C$2:$C$877,MATCH(AP9,Well_Data_NK_Upcoming!Well_Rig,0)))</f>
        <v>SA-0248ST1</v>
      </c>
      <c r="AQ8" s="347"/>
      <c r="AR8" s="347"/>
      <c r="AT8" s="345" t="str">
        <f ca="1">IF(INDEX(Well_Data_NK_Upcoming!$C$2:$C$877,MATCH(AT9,Well_Data_NK_Upcoming!Well_Rig,0))=0,"unknown",INDEX(Well_Data_NK_Upcoming!$C$2:$C$877,MATCH(AT9,Well_Data_NK_Upcoming!Well_Rig,0)))</f>
        <v>RA-0564</v>
      </c>
      <c r="AU8" s="347"/>
      <c r="AV8" s="347"/>
      <c r="AX8" s="345" t="str">
        <f ca="1">IF(INDEX(Well_Data_NK_Upcoming!$C$2:$C$877,MATCH(AX9,Well_Data_NK_Upcoming!Well_Rig,0))=0,"unknown",INDEX(Well_Data_NK_Upcoming!$C$2:$C$877,MATCH(AX9,Well_Data_NK_Upcoming!Well_Rig,0)))</f>
        <v>RA-0580</v>
      </c>
      <c r="AY8" s="347"/>
      <c r="AZ8" s="347"/>
      <c r="BB8" s="345" t="str">
        <f ca="1">IF(INDEX(Well_Data_NK_Upcoming!$C$2:$C$877,MATCH(BB9,Well_Data_NK_Upcoming!Well_Rig,0))=0,"unknown",INDEX(Well_Data_NK_Upcoming!$C$2:$C$877,MATCH(BB9,Well_Data_NK_Upcoming!Well_Rig,0)))</f>
        <v>SA-0599H</v>
      </c>
      <c r="BC8" s="347"/>
      <c r="BD8" s="347"/>
      <c r="BF8" s="345" t="str">
        <f ca="1">IF(INDEX(Well_Data_NK_Upcoming!$C$2:$C$877,MATCH(BF9,Well_Data_NK_Upcoming!Well_Rig,0))=0,"unknown",INDEX(Well_Data_NK_Upcoming!$C$2:$C$877,MATCH(BF9,Well_Data_NK_Upcoming!Well_Rig,0)))</f>
        <v>SA-0580H</v>
      </c>
      <c r="BG8" s="347"/>
      <c r="BH8" s="347"/>
      <c r="BJ8" s="345" t="str">
        <f ca="1">IF(INDEX(Well_Data_NK_Upcoming!$C$2:$C$877,MATCH(BJ9,Well_Data_NK_Upcoming!Well_Rig,0))=0,"unknown",INDEX(Well_Data_NK_Upcoming!$C$2:$C$877,MATCH(BJ9,Well_Data_NK_Upcoming!Well_Rig,0)))</f>
        <v>SA-0137HST1</v>
      </c>
      <c r="BK8" s="347"/>
      <c r="BL8" s="347"/>
      <c r="BN8" s="345" t="str">
        <f ca="1">IF(INDEX(Well_Data_NK_Upcoming!$C$2:$C$877,MATCH(BN9,Well_Data_NK_Upcoming!Well_Rig,0))=0,"unknown",INDEX(Well_Data_NK_Upcoming!$C$2:$C$877,MATCH(BN9,Well_Data_NK_Upcoming!Well_Rig,0)))</f>
        <v>SA-0152HST1</v>
      </c>
      <c r="BO8" s="347"/>
      <c r="BP8" s="347"/>
      <c r="BR8" s="345" t="str">
        <f ca="1">IF(INDEX(Well_Data_NK_Upcoming!$C$2:$C$877,MATCH(BR9,Well_Data_NK_Upcoming!Well_Rig,0))=0,"unknown",INDEX(Well_Data_NK_Upcoming!$C$2:$C$877,MATCH(BR9,Well_Data_NK_Upcoming!Well_Rig,0)))</f>
        <v>SA-0582H</v>
      </c>
      <c r="BS8" s="347"/>
      <c r="BT8" s="347"/>
      <c r="BV8" s="345" t="str">
        <f ca="1">IF(INDEX(Well_Data_NK_Upcoming!$C$2:$C$877,MATCH(BV9,Well_Data_NK_Upcoming!Well_Rig,0))=0,"unknown",INDEX(Well_Data_NK_Upcoming!$C$2:$C$877,MATCH(BV9,Well_Data_NK_Upcoming!Well_Rig,0)))</f>
        <v>SA-0610</v>
      </c>
      <c r="BW8" s="347"/>
      <c r="BX8" s="347"/>
    </row>
    <row r="9" spans="1:78" x14ac:dyDescent="0.25">
      <c r="A9" s="345" t="s">
        <v>1514</v>
      </c>
      <c r="B9" s="345" t="str">
        <f>B7&amp;"-"&amp;B5</f>
        <v>RA-0179-BWD-130</v>
      </c>
      <c r="C9" s="416" t="s">
        <v>481</v>
      </c>
      <c r="F9" s="345" t="str">
        <f>F7&amp;"-"&amp;F5</f>
        <v>RA-0561-KDC-25</v>
      </c>
      <c r="G9" s="416" t="s">
        <v>481</v>
      </c>
      <c r="J9" s="345" t="str">
        <f>J7&amp;"-"&amp;J5</f>
        <v>SA-0495-KDC-26</v>
      </c>
      <c r="K9" s="345" t="s">
        <v>481</v>
      </c>
      <c r="N9" s="345" t="str">
        <f>N7&amp;"-"&amp;N5</f>
        <v>SA-0587-KDC-49</v>
      </c>
      <c r="O9" s="416" t="s">
        <v>481</v>
      </c>
      <c r="R9" s="345" t="str">
        <f>R7&amp;"-"&amp;R5</f>
        <v>RA-0392-NDSC-15</v>
      </c>
      <c r="S9" s="416" t="s">
        <v>481</v>
      </c>
      <c r="V9" s="345" t="str">
        <f>V7&amp;"-"&amp;V5</f>
        <v>SA-0166-NDSC-16</v>
      </c>
      <c r="W9" s="416" t="s">
        <v>481</v>
      </c>
      <c r="Z9" s="345" t="str">
        <f>Z7&amp;"-"&amp;Z5</f>
        <v>RA-0577-NDSC-17</v>
      </c>
      <c r="AA9" s="416" t="s">
        <v>481</v>
      </c>
      <c r="AD9" s="345" t="str">
        <f>AD7&amp;"-"&amp;AD5</f>
        <v>RA-0592-SP-158</v>
      </c>
      <c r="AE9" s="416" t="s">
        <v>481</v>
      </c>
      <c r="AH9" s="345" t="str">
        <f>AH7&amp;"-"&amp;AH5</f>
        <v>RA-0046-SP-159</v>
      </c>
      <c r="AI9" s="416" t="s">
        <v>481</v>
      </c>
      <c r="AL9" s="345" t="str">
        <f>AL7&amp;"-"&amp;AL5</f>
        <v>RA-0573-SP-185</v>
      </c>
      <c r="AM9" s="416" t="s">
        <v>481</v>
      </c>
      <c r="AP9" s="345" t="str">
        <f>AP7&amp;"-"&amp;AP5</f>
        <v>SA-0248-SP-186</v>
      </c>
      <c r="AQ9" s="416" t="s">
        <v>481</v>
      </c>
      <c r="AT9" s="345" t="str">
        <f>AT7&amp;"-"&amp;AT5</f>
        <v>RA-0564-SP-266</v>
      </c>
      <c r="AU9" s="416" t="s">
        <v>481</v>
      </c>
      <c r="AX9" s="345" t="str">
        <f>AX7&amp;"-"&amp;AX5</f>
        <v>RA-0580-SP-267</v>
      </c>
      <c r="AY9" s="416" t="s">
        <v>481</v>
      </c>
      <c r="BB9" s="345" t="str">
        <f>BB7&amp;"-"&amp;BB5</f>
        <v>SA-0599-SP-279</v>
      </c>
      <c r="BC9" s="416" t="s">
        <v>481</v>
      </c>
      <c r="BF9" s="345" t="str">
        <f>BF7&amp;"-"&amp;BF5</f>
        <v>SA-0580-SP-282</v>
      </c>
      <c r="BG9" s="416" t="s">
        <v>481</v>
      </c>
      <c r="BJ9" s="345" t="str">
        <f>BJ7&amp;"-"&amp;BJ5</f>
        <v>SA-0137-SP-283</v>
      </c>
      <c r="BK9" s="416" t="s">
        <v>481</v>
      </c>
      <c r="BN9" s="345" t="str">
        <f>BN7&amp;"-"&amp;BN5</f>
        <v>SA-0152-SP-288</v>
      </c>
      <c r="BO9" s="416" t="s">
        <v>481</v>
      </c>
      <c r="BR9" s="345" t="str">
        <f>BR7&amp;"-"&amp;BR5</f>
        <v>SA-0582-SP-294</v>
      </c>
      <c r="BS9" s="416" t="s">
        <v>481</v>
      </c>
      <c r="BV9" s="345" t="str">
        <f>BV7&amp;"-"&amp;BV5</f>
        <v>SA-0610-SP-295</v>
      </c>
      <c r="BW9" s="416" t="s">
        <v>481</v>
      </c>
    </row>
    <row r="10" spans="1:78" s="345" customFormat="1" x14ac:dyDescent="0.25">
      <c r="A10" s="346" t="s">
        <v>1584</v>
      </c>
      <c r="B10" s="345" t="str">
        <f ca="1">INDEX(Well_Data_NK_Upcoming!Well_Type,MATCH(B9,Well_Data_NK_Upcoming!Well_Rig,0))</f>
        <v>RA-0179-ZU-ST-Prod</v>
      </c>
      <c r="C10" s="82">
        <f ca="1">INDEX(Well_Data_NK_Upcoming!Spud_Date_Upcoming,MATCH(B9,Well_Data_NK_Upcoming!Well_Rig,0))</f>
        <v>42222.083333333336</v>
      </c>
      <c r="E10" s="451"/>
      <c r="F10" s="345" t="str">
        <f ca="1">INDEX(Well_Data_NK_Upcoming!Well_Type,MATCH(F9,Well_Data_NK_Upcoming!Well_Rig,0))</f>
        <v>RA-0561-UB-NW-Prod</v>
      </c>
      <c r="G10" s="82">
        <f ca="1">INDEX(Well_Data_NK_Upcoming!Spud_Date_Upcoming,MATCH(F9,Well_Data_NK_Upcoming!Well_Rig,0))</f>
        <v>42115.229166666664</v>
      </c>
      <c r="I10" s="451"/>
      <c r="J10" s="345" t="str">
        <f ca="1">INDEX(Well_Data_NK_Upcoming!Well_Type,MATCH(J9,Well_Data_NK_Upcoming!Well_Rig,0))</f>
        <v>SA-0495-MA-ST-Prod</v>
      </c>
      <c r="K10" s="82">
        <f ca="1">INDEX(Well_Data_NK_Upcoming!Spud_Date_Upcoming,MATCH(J9,Well_Data_NK_Upcoming!Well_Rig,0))</f>
        <v>42215.854166666664</v>
      </c>
      <c r="M10" s="451"/>
      <c r="N10" s="345" t="str">
        <f ca="1">INDEX(Well_Data_NK_Upcoming!Well_Type,MATCH(N9,Well_Data_NK_Upcoming!Well_Rig,0))</f>
        <v>SA-0587-MA-NW-Prod</v>
      </c>
      <c r="O10" s="82" t="str">
        <f ca="1">INDEX(Well_Data_NK_Upcoming!Spud_Date_Upcoming,MATCH(N9,Well_Data_NK_Upcoming!Well_Rig,0))</f>
        <v>RigMove</v>
      </c>
      <c r="Q10" s="451"/>
      <c r="R10" s="345" t="str">
        <f ca="1">INDEX(Well_Data_NK_Upcoming!Well_Type,MATCH(R9,Well_Data_NK_Upcoming!Well_Rig,0))</f>
        <v>RA-0392-MA-ST-Prod</v>
      </c>
      <c r="S10" s="82">
        <f ca="1">INDEX(Well_Data_NK_Upcoming!Spud_Date_Upcoming,MATCH(R9,Well_Data_NK_Upcoming!Well_Rig,0))</f>
        <v>42218.458333333336</v>
      </c>
      <c r="U10" s="451"/>
      <c r="V10" s="345" t="str">
        <f ca="1">INDEX(Well_Data_NK_Upcoming!Well_Type,MATCH(V9,Well_Data_NK_Upcoming!Well_Rig,0))</f>
        <v>SA-0166-MA-ST-Prod</v>
      </c>
      <c r="W10" s="82">
        <f ca="1">INDEX(Well_Data_NK_Upcoming!Spud_Date_Upcoming,MATCH(V9,Well_Data_NK_Upcoming!Well_Rig,0))</f>
        <v>42222.041666666664</v>
      </c>
      <c r="Y10" s="451"/>
      <c r="Z10" s="345" t="str">
        <f ca="1">INDEX(Well_Data_NK_Upcoming!Well_Type,MATCH(Z9,Well_Data_NK_Upcoming!Well_Rig,0))</f>
        <v>RA-0577-LB-NW-Prod</v>
      </c>
      <c r="AA10" s="82">
        <f ca="1">INDEX(Well_Data_NK_Upcoming!Spud_Date_Upcoming,MATCH(Z9,Well_Data_NK_Upcoming!Well_Rig,0))</f>
        <v>42195</v>
      </c>
      <c r="AC10" s="451"/>
      <c r="AD10" s="345" t="str">
        <f ca="1">INDEX(Well_Data_NK_Upcoming!Well_Type,MATCH(AD9,Well_Data_NK_Upcoming!Well_Rig,0))</f>
        <v>RA-0592-UB-NW-Prod</v>
      </c>
      <c r="AE10" s="82">
        <f ca="1">INDEX(Well_Data_NK_Upcoming!Spud_Date_Upcoming,MATCH(AD9,Well_Data_NK_Upcoming!Well_Rig,0))</f>
        <v>42195.166666666664</v>
      </c>
      <c r="AG10" s="451"/>
      <c r="AH10" s="345" t="str">
        <f ca="1">INDEX(Well_Data_NK_Upcoming!Well_Type,MATCH(AH9,Well_Data_NK_Upcoming!Well_Rig,0))</f>
        <v>RA-0046-MA-ST-Prod</v>
      </c>
      <c r="AI10" s="82">
        <f ca="1">INDEX(Well_Data_NK_Upcoming!Spud_Date_Upcoming,MATCH(AH9,Well_Data_NK_Upcoming!Well_Rig,0))</f>
        <v>42194.958333333336</v>
      </c>
      <c r="AK10" s="451"/>
      <c r="AL10" s="345" t="str">
        <f ca="1">INDEX(Well_Data_NK_Upcoming!Well_Type,MATCH(AL9,Well_Data_NK_Upcoming!Well_Rig,0))</f>
        <v>RA-0573-ZU-NW-Prod</v>
      </c>
      <c r="AM10" s="82">
        <f ca="1">INDEX(Well_Data_NK_Upcoming!Spud_Date_Upcoming,MATCH(AL9,Well_Data_NK_Upcoming!Well_Rig,0))</f>
        <v>42206.75</v>
      </c>
      <c r="AO10" s="451"/>
      <c r="AP10" s="345" t="str">
        <f ca="1">INDEX(Well_Data_NK_Upcoming!Well_Type,MATCH(AP9,Well_Data_NK_Upcoming!Well_Rig,0))</f>
        <v>SA-0248-LB-ST-Prod</v>
      </c>
      <c r="AQ10" s="82">
        <f ca="1">INDEX(Well_Data_NK_Upcoming!Spud_Date_Upcoming,MATCH(AP9,Well_Data_NK_Upcoming!Well_Rig,0))</f>
        <v>42224.833333333336</v>
      </c>
      <c r="AS10" s="451"/>
      <c r="AT10" s="345" t="str">
        <f ca="1">INDEX(Well_Data_NK_Upcoming!Well_Type,MATCH(AT9,Well_Data_NK_Upcoming!Well_Rig,0))</f>
        <v>RA-0564-UB-NW-Prod</v>
      </c>
      <c r="AU10" s="82">
        <f ca="1">INDEX(Well_Data_NK_Upcoming!Spud_Date_Upcoming,MATCH(AT9,Well_Data_NK_Upcoming!Well_Rig,0))</f>
        <v>42127.625</v>
      </c>
      <c r="AW10" s="451"/>
      <c r="AX10" s="345" t="str">
        <f ca="1">INDEX(Well_Data_NK_Upcoming!Well_Type,MATCH(AX9,Well_Data_NK_Upcoming!Well_Rig,0))</f>
        <v>RA-0580-LB-NW-Prod</v>
      </c>
      <c r="AY10" s="82">
        <f ca="1">INDEX(Well_Data_NK_Upcoming!Spud_Date_Upcoming,MATCH(AX9,Well_Data_NK_Upcoming!Well_Rig,0))</f>
        <v>42205.5625</v>
      </c>
      <c r="BA10" s="451"/>
      <c r="BB10" s="345" t="str">
        <f ca="1">INDEX(Well_Data_NK_Upcoming!Well_Type,MATCH(BB9,Well_Data_NK_Upcoming!Well_Rig,0))</f>
        <v>SA-0599-MA-NW-Prod</v>
      </c>
      <c r="BC10" s="82">
        <f ca="1">INDEX(Well_Data_NK_Upcoming!Spud_Date_Upcoming,MATCH(BB9,Well_Data_NK_Upcoming!Well_Rig,0))</f>
        <v>42201.875</v>
      </c>
      <c r="BE10" s="451"/>
      <c r="BF10" s="345" t="str">
        <f ca="1">INDEX(Well_Data_NK_Upcoming!Well_Type,MATCH(BF9,Well_Data_NK_Upcoming!Well_Rig,0))</f>
        <v>SA-0580-MA-NW-Prod</v>
      </c>
      <c r="BG10" s="82">
        <f ca="1">INDEX(Well_Data_NK_Upcoming!Spud_Date_Upcoming,MATCH(BF9,Well_Data_NK_Upcoming!Well_Rig,0))</f>
        <v>42161</v>
      </c>
      <c r="BI10" s="451"/>
      <c r="BJ10" s="345" t="str">
        <f ca="1">INDEX(Well_Data_NK_Upcoming!Well_Type,MATCH(BJ9,Well_Data_NK_Upcoming!Well_Rig,0))</f>
        <v>SA-0137-MA-ST-Prod</v>
      </c>
      <c r="BK10" s="82">
        <f ca="1">INDEX(Well_Data_NK_Upcoming!Spud_Date_Upcoming,MATCH(BJ9,Well_Data_NK_Upcoming!Well_Rig,0))</f>
        <v>42208</v>
      </c>
      <c r="BM10" s="451"/>
      <c r="BN10" s="345" t="str">
        <f ca="1">INDEX(Well_Data_NK_Upcoming!Well_Type,MATCH(BN9,Well_Data_NK_Upcoming!Well_Rig,0))</f>
        <v>SA-0152-MA-ST-Prod</v>
      </c>
      <c r="BO10" s="82" t="str">
        <f ca="1">INDEX(Well_Data_NK_Upcoming!Spud_Date_Upcoming,MATCH(BN9,Well_Data_NK_Upcoming!Well_Rig,0))</f>
        <v xml:space="preserve"> 8/19/2015 3:00</v>
      </c>
      <c r="BQ10" s="451"/>
      <c r="BR10" s="345" t="str">
        <f ca="1">INDEX(Well_Data_NK_Upcoming!Well_Type,MATCH(BR9,Well_Data_NK_Upcoming!Well_Rig,0))</f>
        <v>SA-0582-LB-NW-Prod</v>
      </c>
      <c r="BS10" s="82">
        <f ca="1">INDEX(Well_Data_NK_Upcoming!Spud_Date_Upcoming,MATCH(BR9,Well_Data_NK_Upcoming!Well_Rig,0))</f>
        <v>42191.041666666664</v>
      </c>
      <c r="BU10" s="451"/>
      <c r="BV10" s="345" t="str">
        <f ca="1">INDEX(Well_Data_NK_Upcoming!Well_Type,MATCH(BV9,Well_Data_NK_Upcoming!Well_Rig,0))</f>
        <v>SA-0610-UB-NW-Prod</v>
      </c>
      <c r="BW10" s="82">
        <f ca="1">INDEX(Well_Data_NK_Upcoming!Spud_Date_Upcoming,MATCH(BV9,Well_Data_NK_Upcoming!Well_Rig,0))</f>
        <v>42209.708333333336</v>
      </c>
      <c r="BY10" s="451"/>
    </row>
    <row r="11" spans="1:78" s="345" customFormat="1" x14ac:dyDescent="0.25">
      <c r="E11" s="451"/>
      <c r="I11" s="451"/>
      <c r="M11" s="451"/>
      <c r="Q11" s="451"/>
      <c r="U11" s="451"/>
      <c r="Y11" s="451"/>
      <c r="AC11" s="451"/>
      <c r="AG11" s="451"/>
      <c r="AK11" s="451"/>
      <c r="AO11" s="451"/>
      <c r="AS11" s="451"/>
      <c r="AW11" s="451"/>
      <c r="BA11" s="451"/>
      <c r="BE11" s="451"/>
      <c r="BI11" s="451"/>
      <c r="BM11" s="451"/>
      <c r="BQ11" s="451"/>
      <c r="BU11" s="451"/>
      <c r="BY11" s="451"/>
    </row>
    <row r="12" spans="1:78" s="345" customFormat="1" x14ac:dyDescent="0.25">
      <c r="E12" s="451"/>
      <c r="I12" s="451"/>
      <c r="M12" s="451"/>
      <c r="Q12" s="451"/>
      <c r="U12" s="451"/>
      <c r="Y12" s="451"/>
      <c r="AC12" s="451"/>
      <c r="AG12" s="451"/>
      <c r="AK12" s="451"/>
      <c r="AO12" s="451"/>
      <c r="AS12" s="451"/>
      <c r="AW12" s="451"/>
      <c r="BA12" s="451"/>
      <c r="BE12" s="451"/>
      <c r="BI12" s="451"/>
      <c r="BM12" s="451"/>
      <c r="BQ12" s="451"/>
      <c r="BU12" s="451"/>
      <c r="BY12" s="451"/>
    </row>
    <row r="13" spans="1:78" s="101" customFormat="1" x14ac:dyDescent="0.25">
      <c r="A13" s="498">
        <v>42199</v>
      </c>
      <c r="B13" s="499" t="s">
        <v>1693</v>
      </c>
      <c r="C13" s="101">
        <v>8280</v>
      </c>
      <c r="E13" s="500"/>
      <c r="F13" s="458" t="s">
        <v>1579</v>
      </c>
      <c r="G13" s="101">
        <v>7910</v>
      </c>
      <c r="H13" s="101" t="s">
        <v>1708</v>
      </c>
      <c r="I13" s="500"/>
      <c r="J13" s="458" t="s">
        <v>1703</v>
      </c>
      <c r="K13" s="101">
        <v>9547</v>
      </c>
      <c r="M13" s="500"/>
      <c r="N13" s="458" t="s">
        <v>1696</v>
      </c>
      <c r="O13" s="101">
        <v>11908</v>
      </c>
      <c r="Q13" s="500"/>
      <c r="R13" s="458" t="s">
        <v>1699</v>
      </c>
      <c r="S13" s="101">
        <v>11985</v>
      </c>
      <c r="U13" s="500"/>
      <c r="V13" s="458" t="s">
        <v>1698</v>
      </c>
      <c r="W13" s="101">
        <v>9485</v>
      </c>
      <c r="Y13" s="500"/>
      <c r="Z13" s="458" t="s">
        <v>1701</v>
      </c>
      <c r="AA13" s="101">
        <v>1294</v>
      </c>
      <c r="AC13" s="500"/>
      <c r="AD13" s="458" t="s">
        <v>1694</v>
      </c>
      <c r="AE13" s="101">
        <v>1240</v>
      </c>
      <c r="AG13" s="500"/>
      <c r="AH13" s="458" t="s">
        <v>1697</v>
      </c>
      <c r="AI13" s="101">
        <v>7159</v>
      </c>
      <c r="AK13" s="500"/>
      <c r="AL13" s="458" t="s">
        <v>1695</v>
      </c>
      <c r="AM13" s="101">
        <v>10017</v>
      </c>
      <c r="AO13" s="500"/>
      <c r="AP13" s="458" t="s">
        <v>1692</v>
      </c>
      <c r="AQ13" s="101">
        <v>12070</v>
      </c>
      <c r="AS13" s="500"/>
      <c r="AT13" s="458" t="s">
        <v>1581</v>
      </c>
      <c r="AU13" s="101">
        <v>11037</v>
      </c>
      <c r="AW13" s="500"/>
      <c r="AX13" s="458" t="s">
        <v>1387</v>
      </c>
      <c r="AY13" s="101">
        <v>10031</v>
      </c>
      <c r="BA13" s="500"/>
      <c r="BB13" s="458" t="s">
        <v>1704</v>
      </c>
      <c r="BD13" s="101" t="s">
        <v>1711</v>
      </c>
      <c r="BE13" s="500"/>
      <c r="BF13" s="458" t="s">
        <v>1589</v>
      </c>
      <c r="BG13" s="101">
        <v>8583</v>
      </c>
      <c r="BI13" s="500"/>
      <c r="BJ13" s="458" t="s">
        <v>1582</v>
      </c>
      <c r="BK13" s="101">
        <v>11978</v>
      </c>
      <c r="BM13" s="500"/>
      <c r="BN13" s="458" t="s">
        <v>1890</v>
      </c>
      <c r="BO13" s="101">
        <v>8766</v>
      </c>
      <c r="BQ13" s="500"/>
      <c r="BR13" s="458" t="s">
        <v>1702</v>
      </c>
      <c r="BS13" s="101">
        <v>2600</v>
      </c>
      <c r="BU13" s="500"/>
      <c r="BV13" s="458" t="s">
        <v>1700</v>
      </c>
      <c r="BW13" s="101">
        <v>10031</v>
      </c>
      <c r="BY13" s="500"/>
    </row>
    <row r="14" spans="1:78" s="101" customFormat="1" x14ac:dyDescent="0.25">
      <c r="A14" s="498">
        <v>42200</v>
      </c>
      <c r="B14" s="499" t="s">
        <v>1693</v>
      </c>
      <c r="C14" s="101">
        <v>8280</v>
      </c>
      <c r="E14" s="500"/>
      <c r="F14" s="458" t="s">
        <v>1579</v>
      </c>
      <c r="G14" s="101">
        <v>7910</v>
      </c>
      <c r="H14" s="101" t="s">
        <v>1708</v>
      </c>
      <c r="I14" s="500"/>
      <c r="J14" s="458" t="s">
        <v>1703</v>
      </c>
      <c r="K14" s="101">
        <v>9547</v>
      </c>
      <c r="M14" s="500"/>
      <c r="N14" s="458" t="s">
        <v>1696</v>
      </c>
      <c r="O14" s="101">
        <v>12440</v>
      </c>
      <c r="Q14" s="500" t="s">
        <v>1713</v>
      </c>
      <c r="R14" s="458" t="s">
        <v>1699</v>
      </c>
      <c r="S14" s="101">
        <v>12035</v>
      </c>
      <c r="U14" s="500" t="s">
        <v>1714</v>
      </c>
      <c r="V14" s="458" t="s">
        <v>1698</v>
      </c>
      <c r="W14" s="101">
        <v>9841</v>
      </c>
      <c r="Y14" s="500" t="s">
        <v>1715</v>
      </c>
      <c r="Z14" s="458" t="s">
        <v>1701</v>
      </c>
      <c r="AA14" s="101">
        <v>1294</v>
      </c>
      <c r="AC14" s="500"/>
      <c r="AD14" s="458" t="s">
        <v>1694</v>
      </c>
      <c r="AE14" s="101">
        <v>1240</v>
      </c>
      <c r="AG14" s="500"/>
      <c r="AH14" s="458" t="s">
        <v>1697</v>
      </c>
      <c r="AI14" s="101">
        <v>7160</v>
      </c>
      <c r="AK14" s="500"/>
      <c r="AL14" s="458" t="s">
        <v>1695</v>
      </c>
      <c r="AM14" s="101">
        <v>10017</v>
      </c>
      <c r="AO14" s="500"/>
      <c r="AP14" s="458" t="s">
        <v>1692</v>
      </c>
      <c r="AQ14" s="101">
        <v>12388</v>
      </c>
      <c r="AS14" s="500" t="s">
        <v>1712</v>
      </c>
      <c r="AT14" s="458" t="s">
        <v>1581</v>
      </c>
      <c r="AU14" s="101">
        <v>11037</v>
      </c>
      <c r="AV14" s="101" t="s">
        <v>1710</v>
      </c>
      <c r="AW14" s="500"/>
      <c r="AX14" s="458" t="s">
        <v>1387</v>
      </c>
      <c r="AY14" s="101">
        <v>10031</v>
      </c>
      <c r="AZ14" s="101" t="s">
        <v>1709</v>
      </c>
      <c r="BA14" s="500" t="s">
        <v>1716</v>
      </c>
      <c r="BB14" s="458" t="s">
        <v>1704</v>
      </c>
      <c r="BD14" s="101" t="s">
        <v>1711</v>
      </c>
      <c r="BE14" s="500"/>
      <c r="BF14" s="458" t="s">
        <v>1589</v>
      </c>
      <c r="BG14" s="101">
        <v>8591</v>
      </c>
      <c r="BI14" s="500"/>
      <c r="BJ14" s="458" t="s">
        <v>1582</v>
      </c>
      <c r="BK14" s="101">
        <v>11978</v>
      </c>
      <c r="BM14" s="500"/>
      <c r="BN14" s="458" t="s">
        <v>1890</v>
      </c>
      <c r="BO14" s="101">
        <v>8766</v>
      </c>
      <c r="BQ14" s="500"/>
      <c r="BR14" s="458" t="s">
        <v>1702</v>
      </c>
      <c r="BS14" s="101">
        <v>3350</v>
      </c>
      <c r="BU14" s="500"/>
      <c r="BV14" s="458" t="s">
        <v>1700</v>
      </c>
      <c r="BW14" s="101">
        <v>10031</v>
      </c>
      <c r="BY14" s="500"/>
    </row>
    <row r="15" spans="1:78" s="101" customFormat="1" x14ac:dyDescent="0.25">
      <c r="A15" s="498">
        <v>42201</v>
      </c>
      <c r="B15" s="499" t="s">
        <v>1693</v>
      </c>
      <c r="C15" s="101">
        <v>9940</v>
      </c>
      <c r="D15" s="101" t="s">
        <v>1804</v>
      </c>
      <c r="E15" s="500" t="s">
        <v>1815</v>
      </c>
      <c r="F15" s="458" t="s">
        <v>1579</v>
      </c>
      <c r="G15" s="101">
        <v>7910</v>
      </c>
      <c r="H15" s="101" t="s">
        <v>1708</v>
      </c>
      <c r="I15" s="500"/>
      <c r="J15" s="346" t="s">
        <v>1703</v>
      </c>
      <c r="K15" s="101">
        <v>9547</v>
      </c>
      <c r="L15" s="101" t="s">
        <v>1811</v>
      </c>
      <c r="M15" s="500"/>
      <c r="N15" s="101" t="s">
        <v>1696</v>
      </c>
      <c r="O15" s="101">
        <v>13010</v>
      </c>
      <c r="P15" s="101" t="s">
        <v>1806</v>
      </c>
      <c r="Q15" s="500" t="s">
        <v>1815</v>
      </c>
      <c r="R15" s="346" t="s">
        <v>1699</v>
      </c>
      <c r="S15" s="101">
        <v>12416</v>
      </c>
      <c r="T15" s="101" t="s">
        <v>1806</v>
      </c>
      <c r="U15" s="500" t="s">
        <v>1815</v>
      </c>
      <c r="V15" s="346" t="s">
        <v>1698</v>
      </c>
      <c r="W15" s="101">
        <v>10138</v>
      </c>
      <c r="X15" s="101" t="s">
        <v>1806</v>
      </c>
      <c r="Y15" s="500" t="s">
        <v>1807</v>
      </c>
      <c r="Z15" s="101" t="s">
        <v>1701</v>
      </c>
      <c r="AA15" s="101">
        <v>1764</v>
      </c>
      <c r="AB15" s="101" t="s">
        <v>1804</v>
      </c>
      <c r="AC15" s="500"/>
      <c r="AD15" s="458" t="s">
        <v>1694</v>
      </c>
      <c r="AE15" s="101">
        <v>1970</v>
      </c>
      <c r="AF15" s="101" t="s">
        <v>1804</v>
      </c>
      <c r="AG15" s="500"/>
      <c r="AH15" s="346" t="s">
        <v>1697</v>
      </c>
      <c r="AI15" s="101">
        <v>7511</v>
      </c>
      <c r="AJ15" s="101" t="s">
        <v>1804</v>
      </c>
      <c r="AK15" s="500" t="s">
        <v>1816</v>
      </c>
      <c r="AL15" s="101" t="s">
        <v>1695</v>
      </c>
      <c r="AM15" s="101">
        <v>10017</v>
      </c>
      <c r="AN15" s="101" t="s">
        <v>1805</v>
      </c>
      <c r="AO15" s="500"/>
      <c r="AP15" s="458" t="s">
        <v>1692</v>
      </c>
      <c r="AQ15" s="101">
        <v>12509</v>
      </c>
      <c r="AR15" s="101" t="s">
        <v>1804</v>
      </c>
      <c r="AS15" s="500" t="s">
        <v>1815</v>
      </c>
      <c r="AT15" s="346" t="s">
        <v>1581</v>
      </c>
      <c r="AU15" s="101">
        <v>11037</v>
      </c>
      <c r="AV15" s="101" t="s">
        <v>1710</v>
      </c>
      <c r="AW15" s="500"/>
      <c r="AX15" s="101" t="s">
        <v>1808</v>
      </c>
      <c r="AZ15" s="101" t="s">
        <v>1809</v>
      </c>
      <c r="BA15" s="500" t="s">
        <v>1810</v>
      </c>
      <c r="BB15" s="101" t="s">
        <v>1704</v>
      </c>
      <c r="BD15" s="101" t="s">
        <v>1711</v>
      </c>
      <c r="BE15" s="500" t="s">
        <v>1812</v>
      </c>
      <c r="BF15" s="346" t="s">
        <v>1589</v>
      </c>
      <c r="BG15" s="101">
        <v>8591</v>
      </c>
      <c r="BH15" s="101" t="s">
        <v>1813</v>
      </c>
      <c r="BI15" s="500"/>
      <c r="BJ15" s="346" t="s">
        <v>1582</v>
      </c>
      <c r="BK15" s="101">
        <v>11978</v>
      </c>
      <c r="BL15" s="346" t="s">
        <v>1805</v>
      </c>
      <c r="BM15" s="500"/>
      <c r="BN15" s="458" t="s">
        <v>1890</v>
      </c>
      <c r="BO15" s="101">
        <v>8766</v>
      </c>
      <c r="BP15" s="101" t="s">
        <v>1814</v>
      </c>
      <c r="BQ15" s="500"/>
      <c r="BR15" s="101" t="s">
        <v>1702</v>
      </c>
      <c r="BS15" s="101">
        <v>3930</v>
      </c>
      <c r="BT15" s="101" t="s">
        <v>1804</v>
      </c>
      <c r="BU15" s="500"/>
      <c r="BV15" s="346" t="s">
        <v>1700</v>
      </c>
      <c r="BW15" s="101">
        <v>10031</v>
      </c>
      <c r="BY15" s="500"/>
    </row>
    <row r="16" spans="1:78" s="101" customFormat="1" x14ac:dyDescent="0.25">
      <c r="A16" s="498">
        <v>42202</v>
      </c>
      <c r="B16" s="458" t="s">
        <v>1693</v>
      </c>
      <c r="C16" s="101">
        <v>10412</v>
      </c>
      <c r="D16" s="101" t="s">
        <v>1804</v>
      </c>
      <c r="E16" s="500" t="s">
        <v>1833</v>
      </c>
      <c r="F16" s="458" t="s">
        <v>1579</v>
      </c>
      <c r="G16" s="101">
        <v>7910</v>
      </c>
      <c r="H16" s="101" t="s">
        <v>1708</v>
      </c>
      <c r="I16" s="500"/>
      <c r="J16" s="346" t="s">
        <v>1703</v>
      </c>
      <c r="K16" s="101">
        <v>9547</v>
      </c>
      <c r="L16" s="101" t="s">
        <v>1837</v>
      </c>
      <c r="M16" s="500"/>
      <c r="N16" s="346" t="s">
        <v>1696</v>
      </c>
      <c r="O16" s="101">
        <v>13030</v>
      </c>
      <c r="P16" s="101" t="s">
        <v>1836</v>
      </c>
      <c r="Q16" s="500"/>
      <c r="R16" s="346" t="s">
        <v>1699</v>
      </c>
      <c r="S16" s="101">
        <v>13030</v>
      </c>
      <c r="T16" s="101" t="s">
        <v>1804</v>
      </c>
      <c r="U16" s="500" t="s">
        <v>1833</v>
      </c>
      <c r="V16" s="346" t="s">
        <v>1698</v>
      </c>
      <c r="W16" s="101">
        <v>10315</v>
      </c>
      <c r="X16" s="101" t="s">
        <v>1804</v>
      </c>
      <c r="Y16" s="500" t="s">
        <v>1833</v>
      </c>
      <c r="Z16" s="101" t="s">
        <v>1701</v>
      </c>
      <c r="AA16" s="101">
        <v>2983</v>
      </c>
      <c r="AB16" s="101" t="s">
        <v>1804</v>
      </c>
      <c r="AC16" s="500"/>
      <c r="AD16" s="458" t="s">
        <v>1694</v>
      </c>
      <c r="AE16" s="101">
        <v>2565</v>
      </c>
      <c r="AF16" s="101" t="s">
        <v>1804</v>
      </c>
      <c r="AG16" s="500" t="s">
        <v>1833</v>
      </c>
      <c r="AH16" s="346" t="s">
        <v>1697</v>
      </c>
      <c r="AI16" s="101">
        <v>7827</v>
      </c>
      <c r="AJ16" s="101" t="s">
        <v>1804</v>
      </c>
      <c r="AK16" s="500" t="s">
        <v>1833</v>
      </c>
      <c r="AL16" s="346" t="s">
        <v>1695</v>
      </c>
      <c r="AM16" s="101">
        <v>10017</v>
      </c>
      <c r="AN16" s="101" t="s">
        <v>1834</v>
      </c>
      <c r="AO16" s="500" t="s">
        <v>1835</v>
      </c>
      <c r="AP16" s="458" t="s">
        <v>1692</v>
      </c>
      <c r="AQ16" s="101">
        <v>12509</v>
      </c>
      <c r="AR16" s="101" t="s">
        <v>1832</v>
      </c>
      <c r="AS16" s="500"/>
      <c r="AT16" s="346" t="s">
        <v>1581</v>
      </c>
      <c r="AU16" s="101">
        <v>11037</v>
      </c>
      <c r="AV16" s="101" t="s">
        <v>1710</v>
      </c>
      <c r="AW16" s="500"/>
      <c r="AX16" s="101" t="s">
        <v>1808</v>
      </c>
      <c r="AZ16" s="101" t="s">
        <v>1809</v>
      </c>
      <c r="BA16" s="500"/>
      <c r="BB16" s="101" t="s">
        <v>1704</v>
      </c>
      <c r="BC16" s="101">
        <v>300</v>
      </c>
      <c r="BD16" s="101" t="s">
        <v>1838</v>
      </c>
      <c r="BE16" s="500" t="s">
        <v>1833</v>
      </c>
      <c r="BF16" s="346" t="s">
        <v>1589</v>
      </c>
      <c r="BG16" s="101">
        <v>9165</v>
      </c>
      <c r="BH16" s="101" t="s">
        <v>1804</v>
      </c>
      <c r="BI16" s="500"/>
      <c r="BJ16" s="346" t="s">
        <v>1582</v>
      </c>
      <c r="BK16" s="101">
        <v>11978</v>
      </c>
      <c r="BL16" s="101" t="s">
        <v>1805</v>
      </c>
      <c r="BM16" s="500"/>
      <c r="BN16" s="458" t="s">
        <v>1890</v>
      </c>
      <c r="BO16" s="101">
        <v>8766</v>
      </c>
      <c r="BP16" s="101" t="s">
        <v>1832</v>
      </c>
      <c r="BQ16" s="500"/>
      <c r="BR16" s="101" t="s">
        <v>1702</v>
      </c>
      <c r="BS16" s="101">
        <v>4475</v>
      </c>
      <c r="BT16" s="101" t="s">
        <v>1804</v>
      </c>
      <c r="BU16" s="500"/>
      <c r="BV16" s="346" t="s">
        <v>1700</v>
      </c>
      <c r="BW16" s="101">
        <v>10031</v>
      </c>
      <c r="BY16" s="500"/>
    </row>
    <row r="17" spans="1:77" s="101" customFormat="1" x14ac:dyDescent="0.25">
      <c r="A17" s="498">
        <v>42203</v>
      </c>
      <c r="B17" s="458" t="s">
        <v>1693</v>
      </c>
      <c r="C17" s="101">
        <v>11024</v>
      </c>
      <c r="D17" s="101" t="s">
        <v>1804</v>
      </c>
      <c r="E17" s="500" t="s">
        <v>1833</v>
      </c>
      <c r="F17" s="458" t="s">
        <v>1579</v>
      </c>
      <c r="G17" s="101">
        <v>7910</v>
      </c>
      <c r="H17" s="101" t="s">
        <v>1708</v>
      </c>
      <c r="I17" s="500"/>
      <c r="J17" s="346" t="s">
        <v>1703</v>
      </c>
      <c r="K17" s="101">
        <v>9547</v>
      </c>
      <c r="L17" s="101" t="s">
        <v>1805</v>
      </c>
      <c r="M17" s="500"/>
      <c r="N17" s="346" t="s">
        <v>1696</v>
      </c>
      <c r="O17" s="101">
        <v>13010</v>
      </c>
      <c r="P17" s="101" t="s">
        <v>1832</v>
      </c>
      <c r="Q17" s="500"/>
      <c r="R17" s="346" t="s">
        <v>1699</v>
      </c>
      <c r="S17" s="101">
        <v>13030</v>
      </c>
      <c r="T17" s="101" t="s">
        <v>1837</v>
      </c>
      <c r="U17" s="500"/>
      <c r="V17" s="346" t="s">
        <v>1698</v>
      </c>
      <c r="W17" s="101">
        <v>10495</v>
      </c>
      <c r="X17" s="101" t="s">
        <v>1804</v>
      </c>
      <c r="Y17" s="500"/>
      <c r="Z17" s="101" t="s">
        <v>1701</v>
      </c>
      <c r="AA17" s="101">
        <v>3876</v>
      </c>
      <c r="AB17" s="101" t="s">
        <v>1804</v>
      </c>
      <c r="AC17" s="500"/>
      <c r="AD17" s="458" t="s">
        <v>1694</v>
      </c>
      <c r="AE17" s="101">
        <v>3690</v>
      </c>
      <c r="AF17" s="101" t="s">
        <v>1804</v>
      </c>
      <c r="AG17" s="500" t="s">
        <v>1833</v>
      </c>
      <c r="AH17" s="346" t="s">
        <v>1697</v>
      </c>
      <c r="AI17" s="101">
        <v>7895</v>
      </c>
      <c r="AJ17" s="101" t="s">
        <v>1837</v>
      </c>
      <c r="AK17" s="500"/>
      <c r="AL17" s="346" t="s">
        <v>1839</v>
      </c>
      <c r="AN17" s="101" t="s">
        <v>1809</v>
      </c>
      <c r="AO17" s="500"/>
      <c r="AP17" s="458" t="s">
        <v>1692</v>
      </c>
      <c r="AQ17" s="101">
        <v>12785</v>
      </c>
      <c r="AR17" s="101" t="s">
        <v>1804</v>
      </c>
      <c r="AS17" s="500" t="s">
        <v>1833</v>
      </c>
      <c r="AT17" s="346" t="s">
        <v>1581</v>
      </c>
      <c r="AU17" s="101">
        <v>11037</v>
      </c>
      <c r="AV17" s="101" t="s">
        <v>1710</v>
      </c>
      <c r="AW17" s="500"/>
      <c r="AX17" s="101" t="s">
        <v>1808</v>
      </c>
      <c r="AZ17" s="101" t="s">
        <v>1809</v>
      </c>
      <c r="BA17" s="500"/>
      <c r="BB17" s="101" t="s">
        <v>1704</v>
      </c>
      <c r="BC17" s="101">
        <v>1150</v>
      </c>
      <c r="BD17" s="101" t="s">
        <v>1804</v>
      </c>
      <c r="BE17" s="500"/>
      <c r="BF17" s="346" t="s">
        <v>1589</v>
      </c>
      <c r="BG17" s="101">
        <v>9965</v>
      </c>
      <c r="BH17" s="346" t="s">
        <v>1804</v>
      </c>
      <c r="BI17" s="500"/>
      <c r="BJ17" s="346" t="s">
        <v>1582</v>
      </c>
      <c r="BK17" s="101">
        <v>11978</v>
      </c>
      <c r="BL17" s="101" t="s">
        <v>1840</v>
      </c>
      <c r="BM17" s="501" t="s">
        <v>1833</v>
      </c>
      <c r="BN17" s="458" t="s">
        <v>1890</v>
      </c>
      <c r="BO17" s="101">
        <v>8766</v>
      </c>
      <c r="BP17" s="101" t="s">
        <v>1837</v>
      </c>
      <c r="BQ17" s="500"/>
      <c r="BR17" s="101" t="s">
        <v>1702</v>
      </c>
      <c r="BS17" s="101">
        <v>4475</v>
      </c>
      <c r="BT17" s="101" t="s">
        <v>1804</v>
      </c>
      <c r="BU17" s="500"/>
      <c r="BV17" s="346" t="s">
        <v>1700</v>
      </c>
      <c r="BW17" s="101">
        <v>10031</v>
      </c>
      <c r="BY17" s="500"/>
    </row>
    <row r="18" spans="1:77" s="101" customFormat="1" x14ac:dyDescent="0.25">
      <c r="A18" s="498">
        <v>42204</v>
      </c>
      <c r="B18" s="458" t="s">
        <v>1693</v>
      </c>
      <c r="C18" s="101">
        <v>11605</v>
      </c>
      <c r="D18" s="101" t="s">
        <v>1804</v>
      </c>
      <c r="E18" s="500"/>
      <c r="F18" s="458" t="s">
        <v>1579</v>
      </c>
      <c r="G18" s="101">
        <v>7910</v>
      </c>
      <c r="H18" s="101" t="s">
        <v>1708</v>
      </c>
      <c r="I18" s="500"/>
      <c r="J18" s="346" t="s">
        <v>1703</v>
      </c>
      <c r="K18" s="101">
        <v>9547</v>
      </c>
      <c r="L18" s="101" t="s">
        <v>1805</v>
      </c>
      <c r="M18" s="500"/>
      <c r="N18" s="346" t="s">
        <v>1696</v>
      </c>
      <c r="O18" s="101">
        <v>13010</v>
      </c>
      <c r="P18" s="101" t="s">
        <v>1837</v>
      </c>
      <c r="Q18" s="500" t="s">
        <v>1845</v>
      </c>
      <c r="R18" s="346" t="s">
        <v>1699</v>
      </c>
      <c r="S18" s="101">
        <v>13030</v>
      </c>
      <c r="T18" s="101" t="s">
        <v>1837</v>
      </c>
      <c r="U18" s="500"/>
      <c r="V18" s="346" t="s">
        <v>1698</v>
      </c>
      <c r="W18" s="101">
        <v>10495</v>
      </c>
      <c r="X18" s="101" t="s">
        <v>1837</v>
      </c>
      <c r="Y18" s="500"/>
      <c r="Z18" s="101" t="s">
        <v>1701</v>
      </c>
      <c r="AA18" s="101">
        <v>4837</v>
      </c>
      <c r="AB18" s="101" t="s">
        <v>1804</v>
      </c>
      <c r="AC18" s="500"/>
      <c r="AD18" s="458" t="s">
        <v>1694</v>
      </c>
      <c r="AE18" s="101">
        <v>4610</v>
      </c>
      <c r="AG18" s="500"/>
      <c r="AH18" s="346" t="s">
        <v>1697</v>
      </c>
      <c r="AI18" s="101">
        <v>7895</v>
      </c>
      <c r="AJ18" s="101" t="s">
        <v>1841</v>
      </c>
      <c r="AK18" s="500"/>
      <c r="AL18" s="346" t="s">
        <v>1839</v>
      </c>
      <c r="AN18" s="101" t="s">
        <v>1809</v>
      </c>
      <c r="AO18" s="500"/>
      <c r="AP18" s="458" t="s">
        <v>1692</v>
      </c>
      <c r="AQ18" s="101">
        <v>13320</v>
      </c>
      <c r="AR18" s="101" t="s">
        <v>1804</v>
      </c>
      <c r="AS18" s="500"/>
      <c r="AT18" s="346" t="s">
        <v>1581</v>
      </c>
      <c r="AU18" s="101">
        <v>11037</v>
      </c>
      <c r="AV18" s="101" t="s">
        <v>1710</v>
      </c>
      <c r="AW18" s="500"/>
      <c r="AX18" s="101" t="s">
        <v>1808</v>
      </c>
      <c r="AZ18" s="101" t="s">
        <v>1809</v>
      </c>
      <c r="BA18" s="500"/>
      <c r="BB18" s="101" t="s">
        <v>1704</v>
      </c>
      <c r="BC18" s="101">
        <v>1335</v>
      </c>
      <c r="BD18" s="101" t="s">
        <v>1804</v>
      </c>
      <c r="BE18" s="500"/>
      <c r="BF18" s="346" t="s">
        <v>1589</v>
      </c>
      <c r="BG18" s="101">
        <v>10810</v>
      </c>
      <c r="BH18" s="346" t="s">
        <v>1804</v>
      </c>
      <c r="BI18" s="500"/>
      <c r="BJ18" s="346" t="s">
        <v>1842</v>
      </c>
      <c r="BL18" s="101" t="s">
        <v>1843</v>
      </c>
      <c r="BM18" s="500" t="s">
        <v>1846</v>
      </c>
      <c r="BN18" s="458" t="s">
        <v>1890</v>
      </c>
      <c r="BO18" s="101">
        <v>8766</v>
      </c>
      <c r="BP18" s="101" t="s">
        <v>1844</v>
      </c>
      <c r="BQ18" s="500"/>
      <c r="BR18" s="101" t="s">
        <v>1702</v>
      </c>
      <c r="BS18" s="101">
        <v>4475</v>
      </c>
      <c r="BT18" s="101" t="s">
        <v>1804</v>
      </c>
      <c r="BU18" s="500"/>
      <c r="BV18" s="346" t="s">
        <v>1700</v>
      </c>
      <c r="BW18" s="101">
        <v>10031</v>
      </c>
      <c r="BY18" s="500"/>
    </row>
    <row r="19" spans="1:77" s="101" customFormat="1" x14ac:dyDescent="0.25">
      <c r="A19" s="498">
        <v>42205</v>
      </c>
      <c r="B19" s="458" t="s">
        <v>1693</v>
      </c>
      <c r="C19" s="101">
        <v>12016</v>
      </c>
      <c r="D19" s="101" t="s">
        <v>1804</v>
      </c>
      <c r="E19" s="500"/>
      <c r="F19" s="458" t="s">
        <v>1579</v>
      </c>
      <c r="G19" s="101">
        <v>7910</v>
      </c>
      <c r="H19" s="101" t="s">
        <v>1708</v>
      </c>
      <c r="I19" s="500"/>
      <c r="J19" s="346" t="s">
        <v>1703</v>
      </c>
      <c r="K19" s="101">
        <v>9547</v>
      </c>
      <c r="L19" s="101" t="s">
        <v>1805</v>
      </c>
      <c r="M19" s="500"/>
      <c r="N19" s="346" t="s">
        <v>1696</v>
      </c>
      <c r="O19" s="101">
        <v>13010</v>
      </c>
      <c r="P19" s="101" t="s">
        <v>1805</v>
      </c>
      <c r="Q19" s="500"/>
      <c r="R19" s="346" t="s">
        <v>1699</v>
      </c>
      <c r="S19" s="101">
        <v>13030</v>
      </c>
      <c r="T19" s="101" t="s">
        <v>1832</v>
      </c>
      <c r="U19" s="500" t="s">
        <v>1845</v>
      </c>
      <c r="V19" s="346" t="s">
        <v>1698</v>
      </c>
      <c r="W19" s="101">
        <v>10495</v>
      </c>
      <c r="X19" s="101" t="s">
        <v>1814</v>
      </c>
      <c r="Y19" s="500" t="s">
        <v>1848</v>
      </c>
      <c r="Z19" s="346" t="s">
        <v>1701</v>
      </c>
      <c r="AA19" s="101">
        <v>5390</v>
      </c>
      <c r="AB19" s="101" t="s">
        <v>1850</v>
      </c>
      <c r="AC19" s="500" t="s">
        <v>1851</v>
      </c>
      <c r="AD19" s="458" t="s">
        <v>1694</v>
      </c>
      <c r="AE19" s="101">
        <v>5150</v>
      </c>
      <c r="AF19" s="101" t="s">
        <v>1804</v>
      </c>
      <c r="AG19" s="500"/>
      <c r="AH19" s="346" t="s">
        <v>1697</v>
      </c>
      <c r="AI19" s="101">
        <v>7895</v>
      </c>
      <c r="AK19" s="500"/>
      <c r="AL19" s="346" t="s">
        <v>1839</v>
      </c>
      <c r="AN19" s="101" t="s">
        <v>1809</v>
      </c>
      <c r="AO19" s="500"/>
      <c r="AP19" s="458" t="s">
        <v>1692</v>
      </c>
      <c r="AQ19" s="101">
        <v>13838</v>
      </c>
      <c r="AR19" s="101" t="s">
        <v>1804</v>
      </c>
      <c r="AS19" s="500"/>
      <c r="AT19" s="346" t="s">
        <v>1581</v>
      </c>
      <c r="AU19" s="101">
        <v>11037</v>
      </c>
      <c r="AV19" s="101" t="s">
        <v>1710</v>
      </c>
      <c r="AW19" s="500"/>
      <c r="AX19" s="346" t="s">
        <v>1808</v>
      </c>
      <c r="AZ19" s="101" t="s">
        <v>1809</v>
      </c>
      <c r="BA19" s="500"/>
      <c r="BB19" s="101" t="s">
        <v>1704</v>
      </c>
      <c r="BC19" s="101">
        <v>1335</v>
      </c>
      <c r="BE19" s="500"/>
      <c r="BF19" s="346" t="s">
        <v>1589</v>
      </c>
      <c r="BG19" s="101">
        <v>11647</v>
      </c>
      <c r="BH19" s="346" t="s">
        <v>1804</v>
      </c>
      <c r="BI19" s="500"/>
      <c r="BJ19" s="346" t="s">
        <v>1842</v>
      </c>
      <c r="BL19" s="101" t="s">
        <v>1843</v>
      </c>
      <c r="BM19" s="500"/>
      <c r="BN19" s="458" t="s">
        <v>1890</v>
      </c>
      <c r="BO19" s="101">
        <v>8766</v>
      </c>
      <c r="BQ19" s="500"/>
      <c r="BR19" s="346" t="s">
        <v>1702</v>
      </c>
      <c r="BS19" s="101">
        <v>5975</v>
      </c>
      <c r="BT19" s="101" t="s">
        <v>1852</v>
      </c>
      <c r="BU19" s="500"/>
      <c r="BV19" s="346" t="s">
        <v>1700</v>
      </c>
      <c r="BW19" s="101">
        <v>10031</v>
      </c>
      <c r="BX19" s="101" t="s">
        <v>1847</v>
      </c>
      <c r="BY19" s="500" t="s">
        <v>1849</v>
      </c>
    </row>
    <row r="20" spans="1:77" s="101" customFormat="1" x14ac:dyDescent="0.25">
      <c r="A20" s="498">
        <v>42206</v>
      </c>
      <c r="B20" s="458" t="s">
        <v>1693</v>
      </c>
      <c r="C20" s="101">
        <v>12110</v>
      </c>
      <c r="D20" s="101" t="s">
        <v>1856</v>
      </c>
      <c r="E20" s="500"/>
      <c r="F20" s="458" t="s">
        <v>1579</v>
      </c>
      <c r="G20" s="101">
        <v>7910</v>
      </c>
      <c r="H20" s="101" t="s">
        <v>1708</v>
      </c>
      <c r="I20" s="500"/>
      <c r="J20" s="346" t="s">
        <v>1703</v>
      </c>
      <c r="K20" s="101">
        <v>9547</v>
      </c>
      <c r="L20" s="101" t="s">
        <v>1861</v>
      </c>
      <c r="M20" s="500" t="s">
        <v>1863</v>
      </c>
      <c r="N20" s="346" t="s">
        <v>1696</v>
      </c>
      <c r="O20" s="101">
        <v>13010</v>
      </c>
      <c r="P20" s="101" t="s">
        <v>1805</v>
      </c>
      <c r="Q20" s="500"/>
      <c r="R20" s="346" t="s">
        <v>1699</v>
      </c>
      <c r="S20" s="101">
        <v>13030</v>
      </c>
      <c r="T20" s="101" t="s">
        <v>1857</v>
      </c>
      <c r="U20" s="500"/>
      <c r="V20" s="346" t="s">
        <v>1698</v>
      </c>
      <c r="W20" s="101">
        <v>10495</v>
      </c>
      <c r="X20" s="101" t="s">
        <v>1814</v>
      </c>
      <c r="Y20" s="500" t="s">
        <v>1862</v>
      </c>
      <c r="Z20" s="346" t="s">
        <v>1701</v>
      </c>
      <c r="AA20" s="101">
        <v>5390</v>
      </c>
      <c r="AB20" s="101" t="s">
        <v>1850</v>
      </c>
      <c r="AC20" s="500" t="s">
        <v>1864</v>
      </c>
      <c r="AD20" s="458" t="s">
        <v>1694</v>
      </c>
      <c r="AE20" s="101">
        <v>5940</v>
      </c>
      <c r="AF20" s="101" t="s">
        <v>1804</v>
      </c>
      <c r="AG20" s="500" t="s">
        <v>1862</v>
      </c>
      <c r="AH20" s="346" t="s">
        <v>1697</v>
      </c>
      <c r="AI20" s="101">
        <v>7895</v>
      </c>
      <c r="AJ20" s="101" t="s">
        <v>1832</v>
      </c>
      <c r="AK20" s="500"/>
      <c r="AL20" s="346" t="s">
        <v>1839</v>
      </c>
      <c r="AN20" s="101" t="s">
        <v>1809</v>
      </c>
      <c r="AO20" s="500"/>
      <c r="AP20" s="458" t="s">
        <v>1692</v>
      </c>
      <c r="AQ20" s="101">
        <v>13900</v>
      </c>
      <c r="AR20" s="101" t="s">
        <v>1855</v>
      </c>
      <c r="AS20" s="500"/>
      <c r="AT20" s="346" t="s">
        <v>1581</v>
      </c>
      <c r="AU20" s="101">
        <v>11037</v>
      </c>
      <c r="AV20" s="101" t="s">
        <v>1710</v>
      </c>
      <c r="AW20" s="500"/>
      <c r="AX20" s="346" t="s">
        <v>1808</v>
      </c>
      <c r="AY20" s="101">
        <v>550</v>
      </c>
      <c r="AZ20" s="101" t="s">
        <v>1860</v>
      </c>
      <c r="BA20" s="500"/>
      <c r="BB20" s="101" t="s">
        <v>1704</v>
      </c>
      <c r="BC20" s="101">
        <v>1335</v>
      </c>
      <c r="BE20" s="500"/>
      <c r="BF20" s="346" t="s">
        <v>1589</v>
      </c>
      <c r="BG20" s="101">
        <v>12118</v>
      </c>
      <c r="BH20" s="346" t="s">
        <v>1804</v>
      </c>
      <c r="BI20" s="500"/>
      <c r="BJ20" s="346" t="s">
        <v>1842</v>
      </c>
      <c r="BL20" s="101" t="s">
        <v>1843</v>
      </c>
      <c r="BM20" s="500"/>
      <c r="BN20" s="346" t="s">
        <v>1705</v>
      </c>
      <c r="BO20" s="101">
        <v>8766</v>
      </c>
      <c r="BP20" s="101" t="s">
        <v>1832</v>
      </c>
      <c r="BQ20" s="500" t="s">
        <v>1865</v>
      </c>
      <c r="BR20" s="346" t="s">
        <v>1702</v>
      </c>
      <c r="BS20" s="101">
        <v>5975</v>
      </c>
      <c r="BT20" s="101" t="s">
        <v>1859</v>
      </c>
      <c r="BU20" s="500"/>
      <c r="BV20" s="346" t="s">
        <v>1700</v>
      </c>
      <c r="BW20" s="101">
        <v>10031</v>
      </c>
      <c r="BX20" s="101" t="s">
        <v>1858</v>
      </c>
      <c r="BY20" s="501" t="s">
        <v>1863</v>
      </c>
    </row>
    <row r="21" spans="1:77" s="101" customFormat="1" x14ac:dyDescent="0.25">
      <c r="A21" s="498">
        <v>42207</v>
      </c>
      <c r="B21" s="458" t="s">
        <v>1693</v>
      </c>
      <c r="C21" s="101">
        <v>12110</v>
      </c>
      <c r="D21" s="101" t="s">
        <v>1832</v>
      </c>
      <c r="E21" s="500"/>
      <c r="F21" s="458" t="s">
        <v>1579</v>
      </c>
      <c r="G21" s="101">
        <v>7910</v>
      </c>
      <c r="H21" s="101" t="s">
        <v>1708</v>
      </c>
      <c r="I21" s="500"/>
      <c r="J21" s="346" t="s">
        <v>1870</v>
      </c>
      <c r="L21" s="101" t="s">
        <v>1809</v>
      </c>
      <c r="M21" s="500"/>
      <c r="N21" s="346" t="s">
        <v>1696</v>
      </c>
      <c r="O21" s="101">
        <v>13010</v>
      </c>
      <c r="P21" s="101" t="s">
        <v>1805</v>
      </c>
      <c r="Q21" s="500"/>
      <c r="R21" s="346" t="s">
        <v>1699</v>
      </c>
      <c r="S21" s="101">
        <v>13030</v>
      </c>
      <c r="T21" s="101" t="s">
        <v>1866</v>
      </c>
      <c r="U21" s="500"/>
      <c r="V21" s="346" t="s">
        <v>1698</v>
      </c>
      <c r="W21" s="101">
        <v>10495</v>
      </c>
      <c r="X21" s="101" t="s">
        <v>1868</v>
      </c>
      <c r="Y21" s="500" t="s">
        <v>1862</v>
      </c>
      <c r="Z21" s="346" t="s">
        <v>1701</v>
      </c>
      <c r="AA21" s="101">
        <v>5390</v>
      </c>
      <c r="AB21" s="101" t="s">
        <v>1850</v>
      </c>
      <c r="AC21" s="500"/>
      <c r="AD21" s="458" t="s">
        <v>1694</v>
      </c>
      <c r="AE21" s="101">
        <v>5998</v>
      </c>
      <c r="AF21" s="101" t="s">
        <v>1852</v>
      </c>
      <c r="AG21" s="500" t="s">
        <v>1862</v>
      </c>
      <c r="AH21" s="346" t="s">
        <v>1697</v>
      </c>
      <c r="AI21" s="101">
        <v>7895</v>
      </c>
      <c r="AJ21" s="101" t="s">
        <v>1837</v>
      </c>
      <c r="AK21" s="500" t="s">
        <v>1862</v>
      </c>
      <c r="AL21" s="346" t="s">
        <v>1839</v>
      </c>
      <c r="AM21" s="101">
        <v>120</v>
      </c>
      <c r="AN21" s="101" t="s">
        <v>1867</v>
      </c>
      <c r="AO21" s="500"/>
      <c r="AP21" s="458" t="s">
        <v>1692</v>
      </c>
      <c r="AQ21" s="101">
        <v>13900</v>
      </c>
      <c r="AR21" s="101" t="s">
        <v>1866</v>
      </c>
      <c r="AS21" s="500"/>
      <c r="AT21" s="346" t="s">
        <v>1581</v>
      </c>
      <c r="AU21" s="101">
        <v>11037</v>
      </c>
      <c r="AV21" s="101" t="s">
        <v>1710</v>
      </c>
      <c r="AW21" s="500"/>
      <c r="AX21" s="346" t="s">
        <v>1808</v>
      </c>
      <c r="AY21" s="101">
        <v>1265</v>
      </c>
      <c r="AZ21" s="101" t="s">
        <v>1852</v>
      </c>
      <c r="BA21" s="500"/>
      <c r="BB21" s="101" t="s">
        <v>1704</v>
      </c>
      <c r="BC21" s="101">
        <v>1335</v>
      </c>
      <c r="BD21" s="101" t="s">
        <v>1832</v>
      </c>
      <c r="BE21" s="500"/>
      <c r="BF21" s="346" t="s">
        <v>1589</v>
      </c>
      <c r="BG21" s="101">
        <v>13060</v>
      </c>
      <c r="BH21" s="346" t="s">
        <v>1804</v>
      </c>
      <c r="BI21" s="500"/>
      <c r="BJ21" s="346" t="s">
        <v>1842</v>
      </c>
      <c r="BL21" s="101" t="s">
        <v>1843</v>
      </c>
      <c r="BM21" s="500"/>
      <c r="BN21" s="346" t="s">
        <v>1705</v>
      </c>
      <c r="BO21" s="101">
        <v>9025</v>
      </c>
      <c r="BP21" s="101" t="s">
        <v>1804</v>
      </c>
      <c r="BQ21" s="500" t="s">
        <v>18</v>
      </c>
      <c r="BR21" s="346" t="s">
        <v>1702</v>
      </c>
      <c r="BS21" s="101">
        <v>5975</v>
      </c>
      <c r="BT21" s="101" t="s">
        <v>1837</v>
      </c>
      <c r="BU21" s="500"/>
      <c r="BV21" s="346" t="s">
        <v>1869</v>
      </c>
      <c r="BX21" s="101" t="s">
        <v>1809</v>
      </c>
      <c r="BY21" s="500"/>
    </row>
    <row r="22" spans="1:77" s="101" customFormat="1" x14ac:dyDescent="0.25">
      <c r="A22" s="498">
        <v>42208</v>
      </c>
      <c r="B22" s="458" t="s">
        <v>1693</v>
      </c>
      <c r="C22" s="101">
        <v>12110</v>
      </c>
      <c r="D22" s="101" t="s">
        <v>1852</v>
      </c>
      <c r="E22" s="500" t="s">
        <v>1886</v>
      </c>
      <c r="F22" s="458" t="s">
        <v>1579</v>
      </c>
      <c r="G22" s="101">
        <v>7910</v>
      </c>
      <c r="H22" s="101" t="s">
        <v>1708</v>
      </c>
      <c r="I22" s="500"/>
      <c r="J22" s="346" t="s">
        <v>1870</v>
      </c>
      <c r="L22" s="101" t="s">
        <v>1809</v>
      </c>
      <c r="M22" s="500"/>
      <c r="N22" s="346" t="s">
        <v>1696</v>
      </c>
      <c r="O22" s="101">
        <v>13010</v>
      </c>
      <c r="P22" s="101" t="s">
        <v>1850</v>
      </c>
      <c r="Q22" s="500"/>
      <c r="R22" s="346" t="s">
        <v>1699</v>
      </c>
      <c r="S22" s="101">
        <v>13030</v>
      </c>
      <c r="T22" s="101" t="s">
        <v>1866</v>
      </c>
      <c r="U22" s="500" t="s">
        <v>1886</v>
      </c>
      <c r="V22" s="346" t="s">
        <v>1698</v>
      </c>
      <c r="W22" s="101">
        <v>10495</v>
      </c>
      <c r="X22" s="101" t="s">
        <v>1841</v>
      </c>
      <c r="Y22" s="500"/>
      <c r="Z22" s="346" t="s">
        <v>1701</v>
      </c>
      <c r="AA22" s="101">
        <v>5390</v>
      </c>
      <c r="AB22" s="101" t="s">
        <v>1850</v>
      </c>
      <c r="AC22" s="500"/>
      <c r="AD22" s="458" t="s">
        <v>1694</v>
      </c>
      <c r="AE22" s="101">
        <v>5998</v>
      </c>
      <c r="AF22" s="101" t="s">
        <v>1868</v>
      </c>
      <c r="AG22" s="500"/>
      <c r="AH22" s="346" t="s">
        <v>1697</v>
      </c>
      <c r="AI22" s="101">
        <v>7895</v>
      </c>
      <c r="AJ22" s="101" t="s">
        <v>1832</v>
      </c>
      <c r="AK22" s="500"/>
      <c r="AL22" s="346" t="s">
        <v>1839</v>
      </c>
      <c r="AM22" s="101">
        <v>640</v>
      </c>
      <c r="AN22" s="101" t="s">
        <v>1804</v>
      </c>
      <c r="AO22" s="500"/>
      <c r="AP22" s="458" t="s">
        <v>1692</v>
      </c>
      <c r="AQ22" s="101">
        <v>13900</v>
      </c>
      <c r="AR22" s="101" t="s">
        <v>1866</v>
      </c>
      <c r="AS22" s="500" t="s">
        <v>1886</v>
      </c>
      <c r="AT22" s="346" t="s">
        <v>1581</v>
      </c>
      <c r="AU22" s="101">
        <v>11037</v>
      </c>
      <c r="AV22" s="101" t="s">
        <v>1850</v>
      </c>
      <c r="AW22" s="500" t="s">
        <v>1887</v>
      </c>
      <c r="AX22" s="346" t="s">
        <v>1808</v>
      </c>
      <c r="AY22" s="101">
        <v>1265</v>
      </c>
      <c r="AZ22" s="101" t="s">
        <v>1841</v>
      </c>
      <c r="BA22" s="500"/>
      <c r="BB22" s="101" t="s">
        <v>1704</v>
      </c>
      <c r="BC22" s="101">
        <v>2060</v>
      </c>
      <c r="BD22" s="101" t="s">
        <v>1804</v>
      </c>
      <c r="BE22" s="500"/>
      <c r="BF22" s="346" t="s">
        <v>1589</v>
      </c>
      <c r="BG22" s="101">
        <v>13910</v>
      </c>
      <c r="BH22" s="346" t="s">
        <v>1804</v>
      </c>
      <c r="BI22" s="500" t="s">
        <v>1888</v>
      </c>
      <c r="BJ22" s="346" t="s">
        <v>1842</v>
      </c>
      <c r="BL22" s="101" t="s">
        <v>1885</v>
      </c>
      <c r="BM22" s="500"/>
      <c r="BN22" s="346" t="s">
        <v>1705</v>
      </c>
      <c r="BO22" s="101">
        <v>8400</v>
      </c>
      <c r="BP22" s="101" t="s">
        <v>1804</v>
      </c>
      <c r="BQ22" s="500" t="s">
        <v>1889</v>
      </c>
      <c r="BR22" s="346" t="s">
        <v>1702</v>
      </c>
      <c r="BS22" s="101">
        <v>5975</v>
      </c>
      <c r="BU22" s="500"/>
      <c r="BV22" s="346" t="s">
        <v>1869</v>
      </c>
      <c r="BX22" s="101" t="s">
        <v>1809</v>
      </c>
      <c r="BY22" s="500"/>
    </row>
    <row r="23" spans="1:77" s="101" customFormat="1" x14ac:dyDescent="0.25">
      <c r="A23" s="498">
        <v>42209</v>
      </c>
      <c r="B23" s="458" t="s">
        <v>1693</v>
      </c>
      <c r="C23" s="101">
        <v>12110</v>
      </c>
      <c r="D23" s="101" t="s">
        <v>1837</v>
      </c>
      <c r="E23" s="500"/>
      <c r="F23" s="458" t="s">
        <v>1579</v>
      </c>
      <c r="G23" s="101">
        <v>7910</v>
      </c>
      <c r="H23" s="101" t="s">
        <v>1708</v>
      </c>
      <c r="I23" s="500"/>
      <c r="J23" s="346" t="s">
        <v>1870</v>
      </c>
      <c r="L23" s="101" t="s">
        <v>1809</v>
      </c>
      <c r="M23" s="500"/>
      <c r="N23" s="346" t="s">
        <v>1696</v>
      </c>
      <c r="O23" s="101">
        <v>13175</v>
      </c>
      <c r="P23" s="101" t="s">
        <v>1850</v>
      </c>
      <c r="Q23" s="500"/>
      <c r="R23" s="346" t="s">
        <v>1699</v>
      </c>
      <c r="S23" s="101">
        <v>13330</v>
      </c>
      <c r="T23" s="101" t="s">
        <v>1837</v>
      </c>
      <c r="U23" s="500"/>
      <c r="V23" s="346" t="s">
        <v>1698</v>
      </c>
      <c r="W23" s="101">
        <v>10570</v>
      </c>
      <c r="X23" s="101" t="s">
        <v>1832</v>
      </c>
      <c r="Y23" s="500"/>
      <c r="Z23" s="346" t="s">
        <v>1701</v>
      </c>
      <c r="AA23" s="101">
        <v>5390</v>
      </c>
      <c r="AB23" s="101" t="s">
        <v>1850</v>
      </c>
      <c r="AC23" s="500"/>
      <c r="AD23" s="458" t="s">
        <v>1694</v>
      </c>
      <c r="AE23" s="101">
        <v>5998</v>
      </c>
      <c r="AF23" s="101" t="s">
        <v>1841</v>
      </c>
      <c r="AG23" s="500"/>
      <c r="AH23" s="346" t="s">
        <v>1697</v>
      </c>
      <c r="AI23" s="101">
        <v>8005</v>
      </c>
      <c r="AJ23" s="101" t="s">
        <v>1804</v>
      </c>
      <c r="AK23" s="500"/>
      <c r="AL23" s="346" t="s">
        <v>1839</v>
      </c>
      <c r="AM23" s="101">
        <v>1245</v>
      </c>
      <c r="AN23" s="101" t="s">
        <v>1837</v>
      </c>
      <c r="AO23" s="500"/>
      <c r="AP23" s="458" t="s">
        <v>1692</v>
      </c>
      <c r="AQ23" s="101">
        <v>13900</v>
      </c>
      <c r="AR23" s="101" t="s">
        <v>1837</v>
      </c>
      <c r="AS23" s="500"/>
      <c r="AT23" s="346" t="s">
        <v>1581</v>
      </c>
      <c r="AU23" s="101">
        <v>11037</v>
      </c>
      <c r="AV23" s="101" t="s">
        <v>1850</v>
      </c>
      <c r="AW23" s="500"/>
      <c r="AX23" s="346" t="s">
        <v>1808</v>
      </c>
      <c r="AY23" s="101">
        <v>1265</v>
      </c>
      <c r="BA23" s="500"/>
      <c r="BB23" s="101" t="s">
        <v>1704</v>
      </c>
      <c r="BC23" s="101">
        <v>2625</v>
      </c>
      <c r="BD23" s="101" t="s">
        <v>1804</v>
      </c>
      <c r="BE23" s="500"/>
      <c r="BF23" s="346" t="s">
        <v>1589</v>
      </c>
      <c r="BG23" s="101">
        <v>14550</v>
      </c>
      <c r="BH23" s="346" t="s">
        <v>1804</v>
      </c>
      <c r="BI23" s="500"/>
      <c r="BJ23" s="346" t="s">
        <v>1842</v>
      </c>
      <c r="BL23" s="101" t="s">
        <v>1832</v>
      </c>
      <c r="BM23" s="500"/>
      <c r="BN23" s="346" t="s">
        <v>1705</v>
      </c>
      <c r="BO23" s="101">
        <v>8758</v>
      </c>
      <c r="BP23" s="101" t="s">
        <v>1804</v>
      </c>
      <c r="BQ23" s="500"/>
      <c r="BR23" s="346" t="s">
        <v>1702</v>
      </c>
      <c r="BS23" s="101">
        <v>5975</v>
      </c>
      <c r="BU23" s="500"/>
      <c r="BV23" s="346" t="s">
        <v>1869</v>
      </c>
      <c r="BX23" s="101" t="s">
        <v>1809</v>
      </c>
      <c r="BY23" s="500"/>
    </row>
    <row r="24" spans="1:77" s="101" customFormat="1" x14ac:dyDescent="0.25">
      <c r="A24" s="498">
        <v>42210</v>
      </c>
      <c r="B24" s="458" t="s">
        <v>1693</v>
      </c>
      <c r="C24" s="101">
        <v>12110</v>
      </c>
      <c r="D24" s="101" t="s">
        <v>1811</v>
      </c>
      <c r="E24" s="500"/>
      <c r="F24" s="458" t="s">
        <v>1579</v>
      </c>
      <c r="G24" s="101">
        <v>7910</v>
      </c>
      <c r="H24" s="101" t="s">
        <v>1708</v>
      </c>
      <c r="I24" s="500"/>
      <c r="J24" s="346" t="s">
        <v>1870</v>
      </c>
      <c r="L24" s="101" t="s">
        <v>1809</v>
      </c>
      <c r="M24" s="500"/>
      <c r="N24" s="346" t="s">
        <v>1696</v>
      </c>
      <c r="O24" s="101">
        <v>13175</v>
      </c>
      <c r="P24" s="101" t="s">
        <v>1891</v>
      </c>
      <c r="Q24" s="500"/>
      <c r="R24" s="346" t="s">
        <v>1699</v>
      </c>
      <c r="S24" s="101">
        <v>13330</v>
      </c>
      <c r="T24" s="101" t="s">
        <v>1837</v>
      </c>
      <c r="U24" s="500"/>
      <c r="V24" s="346" t="s">
        <v>1698</v>
      </c>
      <c r="W24" s="101">
        <v>10570</v>
      </c>
      <c r="X24" s="101" t="s">
        <v>1814</v>
      </c>
      <c r="Y24" s="500"/>
      <c r="Z24" s="346" t="s">
        <v>1701</v>
      </c>
      <c r="AA24" s="101">
        <v>5405</v>
      </c>
      <c r="AB24" s="101" t="s">
        <v>1893</v>
      </c>
      <c r="AC24" s="500"/>
      <c r="AD24" s="458" t="s">
        <v>1694</v>
      </c>
      <c r="AE24" s="101">
        <v>5998</v>
      </c>
      <c r="AG24" s="500"/>
      <c r="AH24" s="346" t="s">
        <v>1697</v>
      </c>
      <c r="AI24" s="101">
        <v>8097</v>
      </c>
      <c r="AJ24" s="101" t="s">
        <v>1804</v>
      </c>
      <c r="AK24" s="500"/>
      <c r="AL24" s="346" t="s">
        <v>1839</v>
      </c>
      <c r="AM24" s="101">
        <v>1245</v>
      </c>
      <c r="AN24" s="101" t="s">
        <v>1841</v>
      </c>
      <c r="AO24" s="500"/>
      <c r="AP24" s="458" t="s">
        <v>1692</v>
      </c>
      <c r="AQ24" s="101">
        <v>13900</v>
      </c>
      <c r="AR24" s="101" t="s">
        <v>1852</v>
      </c>
      <c r="AS24" s="500"/>
      <c r="AT24" s="346" t="s">
        <v>1581</v>
      </c>
      <c r="AU24" s="101">
        <v>11037</v>
      </c>
      <c r="AV24" s="101" t="s">
        <v>1850</v>
      </c>
      <c r="AW24" s="500"/>
      <c r="AX24" s="346" t="s">
        <v>1808</v>
      </c>
      <c r="AY24" s="101">
        <v>1265</v>
      </c>
      <c r="AZ24" s="101" t="s">
        <v>1894</v>
      </c>
      <c r="BA24" s="500"/>
      <c r="BB24" s="101" t="s">
        <v>1704</v>
      </c>
      <c r="BC24" s="101">
        <v>3470</v>
      </c>
      <c r="BD24" s="101" t="s">
        <v>1804</v>
      </c>
      <c r="BE24" s="500"/>
      <c r="BF24" s="346" t="s">
        <v>1589</v>
      </c>
      <c r="BG24" s="101">
        <v>15080</v>
      </c>
      <c r="BI24" s="500"/>
      <c r="BJ24" s="346" t="s">
        <v>1842</v>
      </c>
      <c r="BL24" s="101" t="s">
        <v>1841</v>
      </c>
      <c r="BM24" s="500"/>
      <c r="BN24" s="346" t="s">
        <v>1705</v>
      </c>
      <c r="BO24" s="101">
        <v>8847</v>
      </c>
      <c r="BP24" s="101" t="s">
        <v>1895</v>
      </c>
      <c r="BQ24" s="500"/>
      <c r="BR24" s="346" t="s">
        <v>1702</v>
      </c>
      <c r="BS24" s="101">
        <v>5990</v>
      </c>
      <c r="BT24" s="101" t="s">
        <v>1804</v>
      </c>
      <c r="BU24" s="500"/>
      <c r="BV24" s="346" t="s">
        <v>1869</v>
      </c>
      <c r="BW24" s="101">
        <v>80</v>
      </c>
      <c r="BX24" s="101" t="s">
        <v>1892</v>
      </c>
      <c r="BY24" s="500"/>
    </row>
    <row r="25" spans="1:77" s="101" customFormat="1" x14ac:dyDescent="0.25">
      <c r="A25" s="498">
        <v>42211</v>
      </c>
      <c r="B25" s="458" t="s">
        <v>1693</v>
      </c>
      <c r="C25" s="101">
        <v>12110</v>
      </c>
      <c r="D25" s="101" t="s">
        <v>1811</v>
      </c>
      <c r="E25" s="500"/>
      <c r="F25" s="458" t="s">
        <v>1579</v>
      </c>
      <c r="G25" s="101">
        <v>7910</v>
      </c>
      <c r="H25" s="101" t="s">
        <v>1708</v>
      </c>
      <c r="I25" s="500"/>
      <c r="J25" s="346" t="s">
        <v>1870</v>
      </c>
      <c r="L25" s="101" t="s">
        <v>1904</v>
      </c>
      <c r="M25" s="500"/>
      <c r="N25" s="346" t="s">
        <v>1696</v>
      </c>
      <c r="O25" s="101">
        <v>13175</v>
      </c>
      <c r="P25" s="101" t="s">
        <v>1805</v>
      </c>
      <c r="Q25" s="500"/>
      <c r="R25" s="346" t="s">
        <v>1699</v>
      </c>
      <c r="S25" s="101">
        <v>13330</v>
      </c>
      <c r="T25" s="101" t="s">
        <v>1837</v>
      </c>
      <c r="U25" s="500"/>
      <c r="V25" s="346" t="s">
        <v>1698</v>
      </c>
      <c r="W25" s="101">
        <v>10570</v>
      </c>
      <c r="X25" s="101" t="s">
        <v>1837</v>
      </c>
      <c r="Y25" s="500"/>
      <c r="Z25" s="346" t="s">
        <v>1701</v>
      </c>
      <c r="AA25" s="101">
        <v>5791</v>
      </c>
      <c r="AB25" s="101" t="s">
        <v>1804</v>
      </c>
      <c r="AC25" s="500"/>
      <c r="AD25" s="458" t="s">
        <v>1694</v>
      </c>
      <c r="AE25" s="101">
        <v>6018</v>
      </c>
      <c r="AF25" s="101" t="s">
        <v>1837</v>
      </c>
      <c r="AG25" s="500"/>
      <c r="AH25" s="346" t="s">
        <v>1697</v>
      </c>
      <c r="AI25" s="101">
        <v>8113</v>
      </c>
      <c r="AJ25" s="101" t="s">
        <v>1903</v>
      </c>
      <c r="AK25" s="500"/>
      <c r="AL25" s="346" t="s">
        <v>1839</v>
      </c>
      <c r="AM25" s="101">
        <v>1245</v>
      </c>
      <c r="AN25" s="101" t="s">
        <v>1902</v>
      </c>
      <c r="AO25" s="500"/>
      <c r="AP25" s="458" t="s">
        <v>1692</v>
      </c>
      <c r="AQ25" s="101">
        <v>13900</v>
      </c>
      <c r="AR25" s="101" t="s">
        <v>1811</v>
      </c>
      <c r="AS25" s="500"/>
      <c r="AT25" s="346" t="s">
        <v>1581</v>
      </c>
      <c r="AU25" s="101">
        <v>11037</v>
      </c>
      <c r="AV25" s="101" t="s">
        <v>1850</v>
      </c>
      <c r="AW25" s="500"/>
      <c r="AX25" s="346" t="s">
        <v>1808</v>
      </c>
      <c r="AY25" s="101">
        <v>2222</v>
      </c>
      <c r="AZ25" s="101" t="s">
        <v>1804</v>
      </c>
      <c r="BA25" s="500"/>
      <c r="BB25" s="101" t="s">
        <v>1704</v>
      </c>
      <c r="BC25" s="101">
        <v>4120</v>
      </c>
      <c r="BD25" s="101" t="s">
        <v>1804</v>
      </c>
      <c r="BE25" s="500"/>
      <c r="BF25" s="346" t="s">
        <v>1589</v>
      </c>
      <c r="BG25" s="101">
        <v>15080</v>
      </c>
      <c r="BH25" s="101" t="s">
        <v>1837</v>
      </c>
      <c r="BI25" s="500"/>
      <c r="BJ25" s="346" t="s">
        <v>1842</v>
      </c>
      <c r="BL25" s="101" t="s">
        <v>1852</v>
      </c>
      <c r="BM25" s="500"/>
      <c r="BN25" s="346" t="s">
        <v>1705</v>
      </c>
      <c r="BO25" s="101">
        <v>8847</v>
      </c>
      <c r="BP25" s="101" t="s">
        <v>1905</v>
      </c>
      <c r="BQ25" s="500"/>
      <c r="BR25" s="346" t="s">
        <v>1702</v>
      </c>
      <c r="BS25" s="101">
        <v>6006</v>
      </c>
      <c r="BT25" s="101" t="s">
        <v>1832</v>
      </c>
      <c r="BU25" s="500"/>
      <c r="BV25" s="346" t="s">
        <v>1869</v>
      </c>
      <c r="BW25" s="101">
        <v>256</v>
      </c>
      <c r="BX25" s="101" t="s">
        <v>1804</v>
      </c>
      <c r="BY25" s="500"/>
    </row>
    <row r="26" spans="1:77" s="101" customFormat="1" x14ac:dyDescent="0.25">
      <c r="A26" s="498">
        <v>42212</v>
      </c>
      <c r="B26" s="458" t="s">
        <v>1693</v>
      </c>
      <c r="C26" s="101">
        <v>12110</v>
      </c>
      <c r="D26" s="101" t="s">
        <v>1811</v>
      </c>
      <c r="E26" s="500"/>
      <c r="F26" s="458" t="s">
        <v>1579</v>
      </c>
      <c r="G26" s="101">
        <v>7910</v>
      </c>
      <c r="H26" s="101" t="s">
        <v>1708</v>
      </c>
      <c r="I26" s="500"/>
      <c r="J26" s="346" t="s">
        <v>1870</v>
      </c>
      <c r="L26" s="101" t="s">
        <v>1809</v>
      </c>
      <c r="M26" s="500"/>
      <c r="N26" s="346" t="s">
        <v>1696</v>
      </c>
      <c r="O26" s="101">
        <v>13175</v>
      </c>
      <c r="P26" s="101" t="s">
        <v>1805</v>
      </c>
      <c r="Q26" s="500"/>
      <c r="R26" s="346" t="s">
        <v>1699</v>
      </c>
      <c r="S26" s="101">
        <v>13330</v>
      </c>
      <c r="T26" s="101" t="s">
        <v>1805</v>
      </c>
      <c r="U26" s="500"/>
      <c r="V26" s="346" t="s">
        <v>1698</v>
      </c>
      <c r="W26" s="101">
        <v>10570</v>
      </c>
      <c r="X26" s="101" t="s">
        <v>1832</v>
      </c>
      <c r="Y26" s="500"/>
      <c r="Z26" s="346" t="s">
        <v>1701</v>
      </c>
      <c r="AA26" s="101">
        <v>6002</v>
      </c>
      <c r="AB26" s="101" t="s">
        <v>1804</v>
      </c>
      <c r="AC26" s="500"/>
      <c r="AD26" s="458" t="s">
        <v>1694</v>
      </c>
      <c r="AE26" s="101">
        <v>6018</v>
      </c>
      <c r="AF26" s="101" t="s">
        <v>1832</v>
      </c>
      <c r="AG26" s="500"/>
      <c r="AH26" s="346" t="s">
        <v>1697</v>
      </c>
      <c r="AI26" s="101">
        <v>8183</v>
      </c>
      <c r="AJ26" s="101" t="s">
        <v>1804</v>
      </c>
      <c r="AK26" s="500"/>
      <c r="AL26" s="346" t="s">
        <v>1839</v>
      </c>
      <c r="AM26" s="101">
        <v>1245</v>
      </c>
      <c r="AN26" s="101" t="s">
        <v>1906</v>
      </c>
      <c r="AO26" s="500"/>
      <c r="AP26" s="458" t="s">
        <v>1692</v>
      </c>
      <c r="AQ26" s="101">
        <v>13900</v>
      </c>
      <c r="AR26" s="101" t="s">
        <v>1811</v>
      </c>
      <c r="AS26" s="500"/>
      <c r="AT26" s="346" t="s">
        <v>1581</v>
      </c>
      <c r="AU26" s="101">
        <v>11037</v>
      </c>
      <c r="AV26" s="101" t="s">
        <v>1850</v>
      </c>
      <c r="AW26" s="500"/>
      <c r="AX26" s="346" t="s">
        <v>1808</v>
      </c>
      <c r="AY26" s="101">
        <v>3160</v>
      </c>
      <c r="AZ26" s="101" t="s">
        <v>1804</v>
      </c>
      <c r="BA26" s="500"/>
      <c r="BB26" s="101" t="s">
        <v>1704</v>
      </c>
      <c r="BC26" s="101">
        <v>4732</v>
      </c>
      <c r="BD26" s="101" t="s">
        <v>1804</v>
      </c>
      <c r="BE26" s="500"/>
      <c r="BF26" s="346" t="s">
        <v>1589</v>
      </c>
      <c r="BG26" s="101">
        <v>15080</v>
      </c>
      <c r="BH26" s="101" t="s">
        <v>1832</v>
      </c>
      <c r="BI26" s="500"/>
      <c r="BJ26" s="346" t="s">
        <v>1842</v>
      </c>
      <c r="BL26" s="101" t="s">
        <v>1907</v>
      </c>
      <c r="BM26" s="500"/>
      <c r="BN26" s="346" t="s">
        <v>1705</v>
      </c>
      <c r="BO26" s="101">
        <v>8847</v>
      </c>
      <c r="BP26" s="101" t="s">
        <v>1868</v>
      </c>
      <c r="BQ26" s="500"/>
      <c r="BR26" s="346" t="s">
        <v>1702</v>
      </c>
      <c r="BS26" s="101">
        <v>6062</v>
      </c>
      <c r="BT26" s="101" t="s">
        <v>1804</v>
      </c>
      <c r="BU26" s="500"/>
      <c r="BV26" s="346" t="s">
        <v>1869</v>
      </c>
      <c r="BW26" s="101">
        <v>1265</v>
      </c>
      <c r="BX26" s="101" t="s">
        <v>1804</v>
      </c>
      <c r="BY26" s="500"/>
    </row>
    <row r="27" spans="1:77" s="101" customFormat="1" x14ac:dyDescent="0.25">
      <c r="A27" s="498">
        <v>42213</v>
      </c>
      <c r="B27" s="458" t="s">
        <v>1693</v>
      </c>
      <c r="C27" s="101">
        <v>12110</v>
      </c>
      <c r="D27" s="101" t="s">
        <v>1811</v>
      </c>
      <c r="E27" s="500"/>
      <c r="F27" s="458" t="s">
        <v>1579</v>
      </c>
      <c r="G27" s="101">
        <v>7910</v>
      </c>
      <c r="H27" s="101" t="s">
        <v>1708</v>
      </c>
      <c r="I27" s="500"/>
      <c r="J27" s="346" t="s">
        <v>1870</v>
      </c>
      <c r="L27" s="101" t="s">
        <v>1809</v>
      </c>
      <c r="M27" s="500"/>
      <c r="N27" s="346" t="s">
        <v>1696</v>
      </c>
      <c r="O27" s="101">
        <v>13175</v>
      </c>
      <c r="P27" s="101" t="s">
        <v>1910</v>
      </c>
      <c r="Q27" s="500"/>
      <c r="R27" s="346" t="s">
        <v>1699</v>
      </c>
      <c r="S27" s="101">
        <v>13330</v>
      </c>
      <c r="T27" s="101" t="s">
        <v>1805</v>
      </c>
      <c r="U27" s="500"/>
      <c r="V27" s="346" t="s">
        <v>1698</v>
      </c>
      <c r="W27" s="101">
        <v>10570</v>
      </c>
      <c r="X27" s="101" t="s">
        <v>1805</v>
      </c>
      <c r="Y27" s="500"/>
      <c r="Z27" s="346" t="s">
        <v>1701</v>
      </c>
      <c r="AA27" s="101">
        <v>6071</v>
      </c>
      <c r="AB27" s="101" t="s">
        <v>1911</v>
      </c>
      <c r="AC27" s="500"/>
      <c r="AD27" s="458" t="s">
        <v>1694</v>
      </c>
      <c r="AE27" s="101">
        <v>6115</v>
      </c>
      <c r="AF27" s="101" t="s">
        <v>1804</v>
      </c>
      <c r="AG27" s="500"/>
      <c r="AH27" s="346" t="s">
        <v>1697</v>
      </c>
      <c r="AI27" s="101">
        <v>8352</v>
      </c>
      <c r="AJ27" s="101" t="s">
        <v>1804</v>
      </c>
      <c r="AK27" s="500"/>
      <c r="AL27" s="346" t="s">
        <v>1839</v>
      </c>
      <c r="AM27" s="101">
        <v>1518</v>
      </c>
      <c r="AN27" s="101" t="s">
        <v>1804</v>
      </c>
      <c r="AO27" s="500"/>
      <c r="AP27" s="458" t="s">
        <v>1692</v>
      </c>
      <c r="AQ27" s="101">
        <v>13900</v>
      </c>
      <c r="AS27" s="500"/>
      <c r="AT27" s="346" t="s">
        <v>1581</v>
      </c>
      <c r="AU27" s="101">
        <v>11037</v>
      </c>
      <c r="AV27" s="101" t="s">
        <v>1850</v>
      </c>
      <c r="AW27" s="500"/>
      <c r="AX27" s="346" t="s">
        <v>1808</v>
      </c>
      <c r="AY27" s="101">
        <v>4235</v>
      </c>
      <c r="AZ27" s="101" t="s">
        <v>1804</v>
      </c>
      <c r="BA27" s="500"/>
      <c r="BB27" s="101" t="s">
        <v>1704</v>
      </c>
      <c r="BC27" s="101">
        <v>4795</v>
      </c>
      <c r="BD27" s="101" t="s">
        <v>1804</v>
      </c>
      <c r="BE27" s="500"/>
      <c r="BF27" s="346" t="s">
        <v>1589</v>
      </c>
      <c r="BG27" s="101">
        <v>15080</v>
      </c>
      <c r="BH27" s="101" t="s">
        <v>1837</v>
      </c>
      <c r="BI27" s="500"/>
      <c r="BJ27" s="346" t="s">
        <v>1842</v>
      </c>
      <c r="BK27" s="101">
        <v>6795</v>
      </c>
      <c r="BL27" s="101" t="s">
        <v>1832</v>
      </c>
      <c r="BM27" s="500"/>
      <c r="BN27" s="346" t="s">
        <v>1705</v>
      </c>
      <c r="BO27" s="101">
        <v>8847</v>
      </c>
      <c r="BP27" s="101" t="s">
        <v>1837</v>
      </c>
      <c r="BQ27" s="500"/>
      <c r="BR27" s="346" t="s">
        <v>1702</v>
      </c>
      <c r="BS27" s="101">
        <v>6500</v>
      </c>
      <c r="BT27" s="101" t="s">
        <v>1804</v>
      </c>
      <c r="BU27" s="500"/>
      <c r="BV27" s="346" t="s">
        <v>1869</v>
      </c>
      <c r="BW27" s="101">
        <v>1325</v>
      </c>
      <c r="BX27" s="101" t="s">
        <v>1841</v>
      </c>
      <c r="BY27" s="500"/>
    </row>
    <row r="28" spans="1:77" s="101" customFormat="1" x14ac:dyDescent="0.25">
      <c r="A28" s="498">
        <v>42214</v>
      </c>
      <c r="B28" s="458" t="s">
        <v>1693</v>
      </c>
      <c r="C28" s="101">
        <v>12110</v>
      </c>
      <c r="D28" s="101" t="s">
        <v>1891</v>
      </c>
      <c r="E28" s="500"/>
      <c r="F28" s="458" t="s">
        <v>1579</v>
      </c>
      <c r="G28" s="101">
        <v>7910</v>
      </c>
      <c r="H28" s="101" t="s">
        <v>1708</v>
      </c>
      <c r="I28" s="500"/>
      <c r="J28" s="346" t="s">
        <v>1870</v>
      </c>
      <c r="L28" s="101" t="s">
        <v>1809</v>
      </c>
      <c r="M28" s="500"/>
      <c r="N28" s="346" t="s">
        <v>1696</v>
      </c>
      <c r="O28" s="101">
        <v>13175</v>
      </c>
      <c r="P28" s="101" t="s">
        <v>1912</v>
      </c>
      <c r="Q28" s="500"/>
      <c r="R28" s="346" t="s">
        <v>1699</v>
      </c>
      <c r="S28" s="101">
        <v>13330</v>
      </c>
      <c r="T28" s="101" t="s">
        <v>1913</v>
      </c>
      <c r="U28" s="500"/>
      <c r="V28" s="346" t="s">
        <v>1698</v>
      </c>
      <c r="W28" s="101">
        <v>10570</v>
      </c>
      <c r="X28" s="101" t="s">
        <v>1805</v>
      </c>
      <c r="Y28" s="500" t="s">
        <v>1915</v>
      </c>
      <c r="Z28" s="346" t="s">
        <v>1701</v>
      </c>
      <c r="AA28" s="101">
        <v>6071</v>
      </c>
      <c r="AB28" s="101" t="s">
        <v>1868</v>
      </c>
      <c r="AC28" s="500" t="s">
        <v>1862</v>
      </c>
      <c r="AD28" s="458" t="s">
        <v>1694</v>
      </c>
      <c r="AE28" s="101">
        <v>6540</v>
      </c>
      <c r="AF28" s="101" t="s">
        <v>1708</v>
      </c>
      <c r="AG28" s="500" t="s">
        <v>1862</v>
      </c>
      <c r="AH28" s="346" t="s">
        <v>1697</v>
      </c>
      <c r="AI28" s="101">
        <v>8500</v>
      </c>
      <c r="AJ28" s="101" t="s">
        <v>1804</v>
      </c>
      <c r="AK28" s="500"/>
      <c r="AL28" s="346" t="s">
        <v>1839</v>
      </c>
      <c r="AM28" s="101">
        <v>2116</v>
      </c>
      <c r="AN28" s="101" t="s">
        <v>1804</v>
      </c>
      <c r="AO28" s="500"/>
      <c r="AP28" s="458" t="s">
        <v>1692</v>
      </c>
      <c r="AQ28" s="101">
        <v>13900</v>
      </c>
      <c r="AR28" s="101" t="s">
        <v>1891</v>
      </c>
      <c r="AS28" s="500"/>
      <c r="AT28" s="346" t="s">
        <v>1581</v>
      </c>
      <c r="AU28" s="101">
        <v>11037</v>
      </c>
      <c r="AV28" s="101" t="s">
        <v>1850</v>
      </c>
      <c r="AW28" s="500"/>
      <c r="AX28" s="346" t="s">
        <v>1808</v>
      </c>
      <c r="AY28" s="101">
        <v>5015</v>
      </c>
      <c r="AZ28" s="101" t="s">
        <v>1804</v>
      </c>
      <c r="BA28" s="500" t="s">
        <v>1862</v>
      </c>
      <c r="BB28" s="101" t="s">
        <v>1704</v>
      </c>
      <c r="BC28" s="101">
        <v>5100</v>
      </c>
      <c r="BD28" s="101" t="s">
        <v>1804</v>
      </c>
      <c r="BE28" s="500" t="s">
        <v>1862</v>
      </c>
      <c r="BF28" s="346" t="s">
        <v>1589</v>
      </c>
      <c r="BG28" s="101">
        <v>15080</v>
      </c>
      <c r="BH28" s="101" t="s">
        <v>1814</v>
      </c>
      <c r="BI28" s="500"/>
      <c r="BJ28" s="346" t="s">
        <v>1842</v>
      </c>
      <c r="BK28" s="101">
        <v>6866</v>
      </c>
      <c r="BL28" s="101" t="s">
        <v>1804</v>
      </c>
      <c r="BM28" s="500"/>
      <c r="BN28" s="346" t="s">
        <v>1705</v>
      </c>
      <c r="BO28" s="101">
        <v>8847</v>
      </c>
      <c r="BP28" s="101" t="s">
        <v>1832</v>
      </c>
      <c r="BQ28" s="500"/>
      <c r="BR28" s="346" t="s">
        <v>1702</v>
      </c>
      <c r="BS28" s="101">
        <v>6915</v>
      </c>
      <c r="BT28" s="101" t="s">
        <v>1804</v>
      </c>
      <c r="BU28" s="500" t="s">
        <v>1862</v>
      </c>
      <c r="BV28" s="346" t="s">
        <v>1869</v>
      </c>
      <c r="BW28" s="101">
        <v>1325</v>
      </c>
      <c r="BX28" s="101" t="s">
        <v>1914</v>
      </c>
      <c r="BY28" s="500"/>
    </row>
    <row r="29" spans="1:77" s="101" customFormat="1" x14ac:dyDescent="0.25">
      <c r="A29" s="498">
        <v>42215</v>
      </c>
      <c r="B29" s="458" t="s">
        <v>1693</v>
      </c>
      <c r="C29" s="101">
        <v>12110</v>
      </c>
      <c r="D29" s="101" t="s">
        <v>1805</v>
      </c>
      <c r="E29" s="500"/>
      <c r="F29" s="458" t="s">
        <v>1579</v>
      </c>
      <c r="G29" s="101">
        <v>7910</v>
      </c>
      <c r="H29" s="101" t="s">
        <v>1708</v>
      </c>
      <c r="I29" s="500"/>
      <c r="J29" s="346" t="s">
        <v>1870</v>
      </c>
      <c r="L29" s="101" t="s">
        <v>1809</v>
      </c>
      <c r="M29" s="500"/>
      <c r="N29" s="346" t="s">
        <v>1920</v>
      </c>
      <c r="P29" s="101" t="s">
        <v>457</v>
      </c>
      <c r="Q29" s="500"/>
      <c r="R29" s="346" t="s">
        <v>754</v>
      </c>
      <c r="T29" s="101" t="s">
        <v>457</v>
      </c>
      <c r="U29" s="500"/>
      <c r="V29" s="346" t="s">
        <v>1698</v>
      </c>
      <c r="W29" s="101">
        <v>10570</v>
      </c>
      <c r="X29" s="101" t="s">
        <v>1805</v>
      </c>
      <c r="Y29" s="500"/>
      <c r="Z29" s="346" t="s">
        <v>1701</v>
      </c>
      <c r="AA29" s="101">
        <v>6071</v>
      </c>
      <c r="AB29" s="101" t="s">
        <v>1841</v>
      </c>
      <c r="AC29" s="500"/>
      <c r="AD29" s="458" t="s">
        <v>1694</v>
      </c>
      <c r="AF29" s="101" t="s">
        <v>1924</v>
      </c>
      <c r="AG29" s="500"/>
      <c r="AH29" s="346" t="s">
        <v>1697</v>
      </c>
      <c r="AI29" s="101">
        <v>8500</v>
      </c>
      <c r="AJ29" s="101" t="s">
        <v>1832</v>
      </c>
      <c r="AK29" s="500"/>
      <c r="AL29" s="346" t="s">
        <v>1839</v>
      </c>
      <c r="AM29" s="101">
        <v>2770</v>
      </c>
      <c r="AN29" s="101" t="s">
        <v>1804</v>
      </c>
      <c r="AO29" s="500"/>
      <c r="AP29" s="458" t="s">
        <v>1692</v>
      </c>
      <c r="AQ29" s="101">
        <v>13900</v>
      </c>
      <c r="AR29" s="101" t="s">
        <v>1891</v>
      </c>
      <c r="AS29" s="500"/>
      <c r="AT29" s="346" t="s">
        <v>1581</v>
      </c>
      <c r="AU29" s="101">
        <v>11037</v>
      </c>
      <c r="AV29" s="101" t="s">
        <v>1850</v>
      </c>
      <c r="AW29" s="500"/>
      <c r="AX29" s="346" t="s">
        <v>1808</v>
      </c>
      <c r="AY29" s="101">
        <v>5067</v>
      </c>
      <c r="AZ29" s="101" t="s">
        <v>1804</v>
      </c>
      <c r="BA29" s="500"/>
      <c r="BB29" s="101" t="s">
        <v>1704</v>
      </c>
      <c r="BC29" s="101">
        <v>5395</v>
      </c>
      <c r="BD29" s="101" t="s">
        <v>1804</v>
      </c>
      <c r="BE29" s="500"/>
      <c r="BF29" s="346" t="s">
        <v>1589</v>
      </c>
      <c r="BG29" s="101">
        <v>15080</v>
      </c>
      <c r="BH29" s="101" t="s">
        <v>1814</v>
      </c>
      <c r="BI29" s="500"/>
      <c r="BJ29" s="346" t="s">
        <v>1842</v>
      </c>
      <c r="BK29" s="101">
        <v>6930</v>
      </c>
      <c r="BL29" s="101" t="s">
        <v>1832</v>
      </c>
      <c r="BM29" s="500"/>
      <c r="BN29" s="346" t="s">
        <v>1705</v>
      </c>
      <c r="BO29" s="101">
        <v>8847</v>
      </c>
      <c r="BP29" s="101" t="s">
        <v>1837</v>
      </c>
      <c r="BQ29" s="500"/>
      <c r="BR29" s="346" t="s">
        <v>1702</v>
      </c>
      <c r="BS29" s="101">
        <v>7300</v>
      </c>
      <c r="BT29" s="101" t="s">
        <v>1804</v>
      </c>
      <c r="BU29" s="500"/>
      <c r="BV29" s="346" t="s">
        <v>1869</v>
      </c>
      <c r="BW29" s="101">
        <v>1325</v>
      </c>
      <c r="BX29" s="101" t="s">
        <v>1804</v>
      </c>
      <c r="BY29" s="500"/>
    </row>
    <row r="30" spans="1:77" s="101" customFormat="1" x14ac:dyDescent="0.25">
      <c r="A30" s="498">
        <v>42216</v>
      </c>
      <c r="B30" s="458" t="s">
        <v>1693</v>
      </c>
      <c r="C30" s="101">
        <v>12110</v>
      </c>
      <c r="D30" s="101" t="s">
        <v>1805</v>
      </c>
      <c r="E30" s="500"/>
      <c r="F30" s="458" t="s">
        <v>1579</v>
      </c>
      <c r="G30" s="101">
        <v>7910</v>
      </c>
      <c r="H30" s="101" t="s">
        <v>1708</v>
      </c>
      <c r="I30" s="500"/>
      <c r="J30" s="346" t="s">
        <v>1870</v>
      </c>
      <c r="L30" s="101" t="s">
        <v>1921</v>
      </c>
      <c r="M30" s="500"/>
      <c r="N30" s="346" t="s">
        <v>1920</v>
      </c>
      <c r="P30" s="101" t="s">
        <v>457</v>
      </c>
      <c r="Q30" s="500"/>
      <c r="R30" s="346" t="s">
        <v>754</v>
      </c>
      <c r="T30" s="101" t="s">
        <v>457</v>
      </c>
      <c r="U30" s="500"/>
      <c r="V30" s="346" t="s">
        <v>1698</v>
      </c>
      <c r="W30" s="101">
        <v>10570</v>
      </c>
      <c r="X30" s="101" t="s">
        <v>1922</v>
      </c>
      <c r="Y30" s="500" t="s">
        <v>1935</v>
      </c>
      <c r="Z30" s="346" t="s">
        <v>1701</v>
      </c>
      <c r="AA30" s="101">
        <v>6071</v>
      </c>
      <c r="AB30" s="101" t="s">
        <v>1923</v>
      </c>
      <c r="AC30" s="500"/>
      <c r="AD30" s="458" t="s">
        <v>1694</v>
      </c>
      <c r="AE30" s="101">
        <v>7475</v>
      </c>
      <c r="AF30" s="101" t="s">
        <v>1804</v>
      </c>
      <c r="AG30" s="500"/>
      <c r="AH30" s="346" t="s">
        <v>1697</v>
      </c>
      <c r="AI30" s="101">
        <v>8600</v>
      </c>
      <c r="AJ30" s="101" t="s">
        <v>1804</v>
      </c>
      <c r="AK30" s="500"/>
      <c r="AL30" s="346" t="s">
        <v>1839</v>
      </c>
      <c r="AM30" s="101">
        <v>3587</v>
      </c>
      <c r="AN30" s="101" t="s">
        <v>1804</v>
      </c>
      <c r="AO30" s="500"/>
      <c r="AP30" s="458" t="s">
        <v>1692</v>
      </c>
      <c r="AQ30" s="101">
        <v>13900</v>
      </c>
      <c r="AR30" s="101" t="s">
        <v>1805</v>
      </c>
      <c r="AS30" s="500"/>
      <c r="AT30" s="346" t="s">
        <v>1581</v>
      </c>
      <c r="AU30" s="101">
        <v>11037</v>
      </c>
      <c r="AV30" s="101" t="s">
        <v>1850</v>
      </c>
      <c r="AW30" s="500"/>
      <c r="AX30" s="346" t="s">
        <v>1808</v>
      </c>
      <c r="AY30" s="101">
        <v>5804</v>
      </c>
      <c r="AZ30" s="101" t="s">
        <v>1804</v>
      </c>
      <c r="BA30" s="500"/>
      <c r="BB30" s="101" t="s">
        <v>1704</v>
      </c>
      <c r="BC30" s="101">
        <v>5920</v>
      </c>
      <c r="BD30" s="101" t="s">
        <v>1804</v>
      </c>
      <c r="BE30" s="500"/>
      <c r="BF30" s="346" t="s">
        <v>1589</v>
      </c>
      <c r="BG30" s="101">
        <v>15080</v>
      </c>
      <c r="BH30" s="101" t="s">
        <v>1814</v>
      </c>
      <c r="BI30" s="500"/>
      <c r="BJ30" s="346" t="s">
        <v>1842</v>
      </c>
      <c r="BK30" s="101">
        <v>7185</v>
      </c>
      <c r="BL30" s="101" t="s">
        <v>1804</v>
      </c>
      <c r="BM30" s="500"/>
      <c r="BN30" s="346" t="s">
        <v>1705</v>
      </c>
      <c r="BO30" s="101">
        <v>8860</v>
      </c>
      <c r="BP30" s="101" t="s">
        <v>1837</v>
      </c>
      <c r="BQ30" s="500"/>
      <c r="BR30" s="346" t="s">
        <v>1702</v>
      </c>
      <c r="BS30" s="101">
        <v>7652</v>
      </c>
      <c r="BT30" s="101" t="s">
        <v>1708</v>
      </c>
      <c r="BU30" s="500"/>
      <c r="BV30" s="346" t="s">
        <v>1869</v>
      </c>
      <c r="BW30" s="101">
        <v>2486</v>
      </c>
      <c r="BX30" s="101" t="s">
        <v>1804</v>
      </c>
      <c r="BY30" s="500"/>
    </row>
    <row r="31" spans="1:77" s="101" customFormat="1" x14ac:dyDescent="0.25">
      <c r="A31" s="498">
        <v>42217</v>
      </c>
      <c r="B31" s="458" t="s">
        <v>1693</v>
      </c>
      <c r="C31" s="101">
        <v>12110</v>
      </c>
      <c r="D31" s="101" t="s">
        <v>1925</v>
      </c>
      <c r="E31" s="500"/>
      <c r="F31" s="458" t="s">
        <v>1579</v>
      </c>
      <c r="G31" s="101">
        <v>7910</v>
      </c>
      <c r="H31" s="101" t="s">
        <v>1708</v>
      </c>
      <c r="I31" s="500"/>
      <c r="J31" s="346" t="s">
        <v>1870</v>
      </c>
      <c r="L31" s="101" t="s">
        <v>1926</v>
      </c>
      <c r="M31" s="500"/>
      <c r="N31" s="346" t="s">
        <v>1920</v>
      </c>
      <c r="P31" s="101" t="s">
        <v>1711</v>
      </c>
      <c r="Q31" s="500"/>
      <c r="R31" s="346" t="s">
        <v>754</v>
      </c>
      <c r="T31" s="101" t="s">
        <v>1711</v>
      </c>
      <c r="U31" s="500"/>
      <c r="V31" s="346" t="s">
        <v>1938</v>
      </c>
      <c r="X31" s="101" t="s">
        <v>457</v>
      </c>
      <c r="Y31" s="500"/>
      <c r="Z31" s="346" t="s">
        <v>1701</v>
      </c>
      <c r="AA31" s="101">
        <v>6071</v>
      </c>
      <c r="AB31" s="101" t="s">
        <v>1832</v>
      </c>
      <c r="AC31" s="500"/>
      <c r="AD31" s="458" t="s">
        <v>1694</v>
      </c>
      <c r="AE31" s="101">
        <v>7777</v>
      </c>
      <c r="AF31" s="101" t="s">
        <v>1927</v>
      </c>
      <c r="AG31" s="500"/>
      <c r="AH31" s="346" t="s">
        <v>1697</v>
      </c>
      <c r="AI31" s="101">
        <v>8600</v>
      </c>
      <c r="AJ31" s="101" t="s">
        <v>1903</v>
      </c>
      <c r="AK31" s="500"/>
      <c r="AL31" s="346" t="s">
        <v>1839</v>
      </c>
      <c r="AM31" s="101">
        <v>4294</v>
      </c>
      <c r="AN31" s="101" t="s">
        <v>1804</v>
      </c>
      <c r="AO31" s="500"/>
      <c r="AP31" s="458" t="s">
        <v>1692</v>
      </c>
      <c r="AQ31" s="101">
        <v>13900</v>
      </c>
      <c r="AR31" s="101" t="s">
        <v>1805</v>
      </c>
      <c r="AS31" s="500"/>
      <c r="AT31" s="346" t="s">
        <v>1581</v>
      </c>
      <c r="AU31" s="101">
        <v>11037</v>
      </c>
      <c r="AV31" s="101" t="s">
        <v>1841</v>
      </c>
      <c r="AW31" s="500"/>
      <c r="AX31" s="346" t="s">
        <v>1808</v>
      </c>
      <c r="AY31" s="101">
        <v>6077</v>
      </c>
      <c r="AZ31" s="101" t="s">
        <v>1837</v>
      </c>
      <c r="BA31" s="500"/>
      <c r="BB31" s="101" t="s">
        <v>1704</v>
      </c>
      <c r="BC31" s="101">
        <v>6144</v>
      </c>
      <c r="BD31" s="101" t="s">
        <v>1928</v>
      </c>
      <c r="BE31" s="500"/>
      <c r="BF31" s="346" t="s">
        <v>1589</v>
      </c>
      <c r="BG31" s="101">
        <v>15080</v>
      </c>
      <c r="BH31" s="101" t="s">
        <v>1850</v>
      </c>
      <c r="BI31" s="500"/>
      <c r="BJ31" s="346" t="s">
        <v>1842</v>
      </c>
      <c r="BK31" s="101">
        <v>7631</v>
      </c>
      <c r="BL31" s="101" t="s">
        <v>1804</v>
      </c>
      <c r="BM31" s="500"/>
      <c r="BN31" s="346" t="s">
        <v>1705</v>
      </c>
      <c r="BO31" s="101">
        <v>8870</v>
      </c>
      <c r="BP31" s="101" t="s">
        <v>1804</v>
      </c>
      <c r="BQ31" s="500"/>
      <c r="BR31" s="346" t="s">
        <v>1702</v>
      </c>
      <c r="BS31" s="101">
        <v>7887</v>
      </c>
      <c r="BT31" s="101" t="s">
        <v>1804</v>
      </c>
      <c r="BU31" s="500"/>
      <c r="BV31" s="346" t="s">
        <v>1869</v>
      </c>
      <c r="BW31" s="101">
        <v>3630</v>
      </c>
      <c r="BX31" s="101" t="s">
        <v>1804</v>
      </c>
      <c r="BY31" s="500"/>
    </row>
    <row r="32" spans="1:77" s="101" customFormat="1" x14ac:dyDescent="0.25">
      <c r="A32" s="498">
        <v>42218</v>
      </c>
      <c r="B32" s="458" t="s">
        <v>1615</v>
      </c>
      <c r="D32" s="101" t="s">
        <v>457</v>
      </c>
      <c r="E32" s="500" t="s">
        <v>1936</v>
      </c>
      <c r="F32" s="458" t="s">
        <v>1579</v>
      </c>
      <c r="G32" s="101">
        <v>7910</v>
      </c>
      <c r="H32" s="101" t="s">
        <v>1708</v>
      </c>
      <c r="I32" s="500"/>
      <c r="J32" s="346" t="s">
        <v>1870</v>
      </c>
      <c r="L32" s="101" t="s">
        <v>1844</v>
      </c>
      <c r="M32" s="500"/>
      <c r="N32" s="346" t="s">
        <v>1920</v>
      </c>
      <c r="O32" s="101">
        <v>0</v>
      </c>
      <c r="P32" s="101" t="s">
        <v>1929</v>
      </c>
      <c r="Q32" s="500"/>
      <c r="R32" s="346" t="s">
        <v>754</v>
      </c>
      <c r="S32" s="101">
        <v>8342</v>
      </c>
      <c r="T32" s="101" t="s">
        <v>1929</v>
      </c>
      <c r="U32" s="500"/>
      <c r="V32" s="346" t="s">
        <v>1938</v>
      </c>
      <c r="X32" s="101" t="s">
        <v>457</v>
      </c>
      <c r="Y32" s="500"/>
      <c r="Z32" s="346" t="s">
        <v>1701</v>
      </c>
      <c r="AA32" s="101">
        <v>6100</v>
      </c>
      <c r="AB32" s="101" t="s">
        <v>1837</v>
      </c>
      <c r="AC32" s="500"/>
      <c r="AD32" s="458" t="s">
        <v>1694</v>
      </c>
      <c r="AE32" s="101">
        <v>7777</v>
      </c>
      <c r="AF32" s="101" t="s">
        <v>1927</v>
      </c>
      <c r="AG32" s="500"/>
      <c r="AH32" s="346" t="s">
        <v>1697</v>
      </c>
      <c r="AI32" s="101">
        <v>8702</v>
      </c>
      <c r="AJ32" s="101" t="s">
        <v>1930</v>
      </c>
      <c r="AK32" s="500"/>
      <c r="AL32" s="346" t="s">
        <v>1839</v>
      </c>
      <c r="AM32" s="101">
        <v>4910</v>
      </c>
      <c r="AN32" s="101" t="s">
        <v>1804</v>
      </c>
      <c r="AO32" s="500"/>
      <c r="AP32" s="458" t="s">
        <v>1692</v>
      </c>
      <c r="AQ32" s="101">
        <v>13900</v>
      </c>
      <c r="AR32" s="101" t="s">
        <v>1837</v>
      </c>
      <c r="AS32" s="500"/>
      <c r="AT32" s="346" t="s">
        <v>1581</v>
      </c>
      <c r="AU32" s="101">
        <v>11037</v>
      </c>
      <c r="AV32" s="101" t="s">
        <v>1930</v>
      </c>
      <c r="AW32" s="500"/>
      <c r="AX32" s="346" t="s">
        <v>1808</v>
      </c>
      <c r="AY32" s="101">
        <v>6077</v>
      </c>
      <c r="AZ32" s="101" t="s">
        <v>1868</v>
      </c>
      <c r="BA32" s="500"/>
      <c r="BB32" s="101" t="s">
        <v>1704</v>
      </c>
      <c r="BC32" s="101">
        <v>6144</v>
      </c>
      <c r="BD32" s="101" t="s">
        <v>1837</v>
      </c>
      <c r="BE32" s="500"/>
      <c r="BF32" s="346" t="s">
        <v>1589</v>
      </c>
      <c r="BG32" s="101">
        <v>15080</v>
      </c>
      <c r="BH32" s="101" t="s">
        <v>1837</v>
      </c>
      <c r="BI32" s="500"/>
      <c r="BJ32" s="346" t="s">
        <v>1842</v>
      </c>
      <c r="BK32" s="101">
        <v>8007</v>
      </c>
      <c r="BL32" s="101" t="s">
        <v>1931</v>
      </c>
      <c r="BM32" s="500"/>
      <c r="BN32" s="346" t="s">
        <v>1705</v>
      </c>
      <c r="BO32" s="101">
        <v>9300</v>
      </c>
      <c r="BP32" s="101" t="s">
        <v>1804</v>
      </c>
      <c r="BQ32" s="500"/>
      <c r="BR32" s="346" t="s">
        <v>1702</v>
      </c>
      <c r="BS32" s="101">
        <v>7920</v>
      </c>
      <c r="BT32" s="101" t="s">
        <v>1911</v>
      </c>
      <c r="BU32" s="500"/>
      <c r="BV32" s="346" t="s">
        <v>1869</v>
      </c>
      <c r="BW32" s="101">
        <v>4650</v>
      </c>
      <c r="BX32" s="101" t="s">
        <v>1804</v>
      </c>
      <c r="BY32" s="500"/>
    </row>
    <row r="33" spans="1:77" s="474" customFormat="1" x14ac:dyDescent="0.25">
      <c r="A33" s="505">
        <v>42219</v>
      </c>
      <c r="B33" s="473" t="s">
        <v>1615</v>
      </c>
      <c r="D33" s="474" t="s">
        <v>457</v>
      </c>
      <c r="E33" s="506"/>
      <c r="F33" s="473" t="s">
        <v>1579</v>
      </c>
      <c r="G33" s="474">
        <v>7910</v>
      </c>
      <c r="H33" s="474" t="s">
        <v>1708</v>
      </c>
      <c r="I33" s="506"/>
      <c r="J33" s="475" t="s">
        <v>1870</v>
      </c>
      <c r="K33" s="474">
        <v>7580</v>
      </c>
      <c r="L33" s="474" t="s">
        <v>1832</v>
      </c>
      <c r="M33" s="506"/>
      <c r="N33" s="475" t="s">
        <v>1920</v>
      </c>
      <c r="O33" s="474">
        <v>0</v>
      </c>
      <c r="P33" s="474" t="s">
        <v>1711</v>
      </c>
      <c r="Q33" s="506" t="s">
        <v>1937</v>
      </c>
      <c r="R33" s="475" t="s">
        <v>754</v>
      </c>
      <c r="S33" s="474">
        <v>8342</v>
      </c>
      <c r="T33" s="474" t="s">
        <v>1932</v>
      </c>
      <c r="U33" s="506"/>
      <c r="V33" s="474" t="s">
        <v>1938</v>
      </c>
      <c r="X33" s="474" t="s">
        <v>457</v>
      </c>
      <c r="Y33" s="506"/>
      <c r="Z33" s="475" t="s">
        <v>1701</v>
      </c>
      <c r="AA33" s="474">
        <v>6100</v>
      </c>
      <c r="AB33" s="474" t="s">
        <v>1832</v>
      </c>
      <c r="AC33" s="506" t="s">
        <v>1862</v>
      </c>
      <c r="AD33" s="473" t="s">
        <v>1694</v>
      </c>
      <c r="AE33" s="474">
        <v>7777</v>
      </c>
      <c r="AF33" s="474" t="s">
        <v>1852</v>
      </c>
      <c r="AG33" s="506" t="s">
        <v>1939</v>
      </c>
      <c r="AH33" s="475" t="s">
        <v>1697</v>
      </c>
      <c r="AI33" s="474">
        <v>8702</v>
      </c>
      <c r="AJ33" s="474" t="s">
        <v>1804</v>
      </c>
      <c r="AK33" s="506" t="s">
        <v>1939</v>
      </c>
      <c r="AL33" s="475" t="s">
        <v>1839</v>
      </c>
      <c r="AM33" s="474">
        <v>5261</v>
      </c>
      <c r="AN33" s="474" t="s">
        <v>1804</v>
      </c>
      <c r="AO33" s="506"/>
      <c r="AP33" s="473" t="s">
        <v>1692</v>
      </c>
      <c r="AQ33" s="474">
        <v>13900</v>
      </c>
      <c r="AR33" s="474" t="s">
        <v>1805</v>
      </c>
      <c r="AS33" s="506"/>
      <c r="AT33" s="475" t="s">
        <v>1581</v>
      </c>
      <c r="AU33" s="474">
        <v>11037</v>
      </c>
      <c r="AV33" s="474" t="s">
        <v>1832</v>
      </c>
      <c r="AW33" s="506"/>
      <c r="AX33" s="475" t="s">
        <v>1808</v>
      </c>
      <c r="AY33" s="474">
        <v>6077</v>
      </c>
      <c r="AZ33" s="474" t="s">
        <v>1933</v>
      </c>
      <c r="BA33" s="506"/>
      <c r="BB33" s="474" t="s">
        <v>1704</v>
      </c>
      <c r="BC33" s="474">
        <v>6144</v>
      </c>
      <c r="BD33" s="474" t="s">
        <v>1868</v>
      </c>
      <c r="BE33" s="506"/>
      <c r="BF33" s="475" t="s">
        <v>1589</v>
      </c>
      <c r="BG33" s="474">
        <v>15080</v>
      </c>
      <c r="BH33" s="474" t="s">
        <v>1850</v>
      </c>
      <c r="BI33" s="506"/>
      <c r="BJ33" s="475" t="s">
        <v>1842</v>
      </c>
      <c r="BK33" s="474">
        <v>8007</v>
      </c>
      <c r="BL33" s="474" t="s">
        <v>1868</v>
      </c>
      <c r="BM33" s="506"/>
      <c r="BN33" s="475" t="s">
        <v>1705</v>
      </c>
      <c r="BO33" s="474">
        <v>9731</v>
      </c>
      <c r="BP33" s="474" t="s">
        <v>1804</v>
      </c>
      <c r="BQ33" s="506"/>
      <c r="BR33" s="475" t="s">
        <v>1702</v>
      </c>
      <c r="BS33" s="474">
        <v>7920</v>
      </c>
      <c r="BT33" s="474" t="s">
        <v>1868</v>
      </c>
      <c r="BU33" s="506"/>
      <c r="BV33" s="346" t="s">
        <v>1869</v>
      </c>
      <c r="BW33" s="474">
        <v>5290</v>
      </c>
      <c r="BX33" s="474" t="s">
        <v>1804</v>
      </c>
      <c r="BY33" s="506"/>
    </row>
    <row r="34" spans="1:77" x14ac:dyDescent="0.25">
      <c r="A34" s="348">
        <v>42220</v>
      </c>
      <c r="B34" s="458" t="s">
        <v>1615</v>
      </c>
      <c r="D34" s="101" t="s">
        <v>457</v>
      </c>
      <c r="F34" s="458" t="s">
        <v>1579</v>
      </c>
      <c r="G34" s="101">
        <v>7910</v>
      </c>
      <c r="H34" s="101" t="s">
        <v>1708</v>
      </c>
      <c r="J34" s="346" t="s">
        <v>1870</v>
      </c>
      <c r="K34">
        <v>7580</v>
      </c>
      <c r="L34" s="101" t="s">
        <v>1942</v>
      </c>
      <c r="N34" s="346" t="s">
        <v>1920</v>
      </c>
      <c r="O34">
        <v>0</v>
      </c>
      <c r="P34" s="101" t="s">
        <v>1711</v>
      </c>
      <c r="R34" s="346" t="s">
        <v>754</v>
      </c>
      <c r="S34">
        <v>8342</v>
      </c>
      <c r="T34" s="101" t="s">
        <v>1837</v>
      </c>
      <c r="V34" s="346" t="s">
        <v>1938</v>
      </c>
      <c r="W34">
        <v>0</v>
      </c>
      <c r="X34" s="101" t="s">
        <v>457</v>
      </c>
      <c r="Z34" s="346" t="s">
        <v>1701</v>
      </c>
      <c r="AA34" s="101">
        <v>6310</v>
      </c>
      <c r="AB34" s="101" t="s">
        <v>1804</v>
      </c>
      <c r="AD34" s="458" t="s">
        <v>1694</v>
      </c>
      <c r="AE34" s="101">
        <v>7777</v>
      </c>
      <c r="AF34" s="101" t="s">
        <v>1837</v>
      </c>
      <c r="AH34" s="346" t="s">
        <v>1697</v>
      </c>
      <c r="AI34" s="101">
        <v>9021</v>
      </c>
      <c r="AJ34" s="101" t="s">
        <v>1804</v>
      </c>
      <c r="AL34" s="346" t="s">
        <v>1839</v>
      </c>
      <c r="AM34" s="101">
        <v>5945</v>
      </c>
      <c r="AN34" s="101" t="s">
        <v>1804</v>
      </c>
      <c r="AP34" s="458" t="s">
        <v>1692</v>
      </c>
      <c r="AQ34" s="101">
        <v>13900</v>
      </c>
      <c r="AR34" s="101" t="s">
        <v>1805</v>
      </c>
      <c r="AT34" s="346" t="s">
        <v>1581</v>
      </c>
      <c r="AU34" s="101">
        <v>11037</v>
      </c>
      <c r="AV34" s="101" t="s">
        <v>1943</v>
      </c>
      <c r="AX34" s="346" t="s">
        <v>1808</v>
      </c>
      <c r="AY34" s="101">
        <v>6077</v>
      </c>
      <c r="AZ34" s="101" t="s">
        <v>1903</v>
      </c>
      <c r="BB34" s="101" t="s">
        <v>1704</v>
      </c>
      <c r="BC34" s="101">
        <v>6144</v>
      </c>
      <c r="BD34" s="101" t="s">
        <v>1944</v>
      </c>
      <c r="BF34" s="346" t="s">
        <v>1589</v>
      </c>
      <c r="BG34" s="101">
        <v>15080</v>
      </c>
      <c r="BH34" s="101" t="s">
        <v>1850</v>
      </c>
      <c r="BJ34" s="346" t="s">
        <v>1842</v>
      </c>
      <c r="BK34" s="101">
        <v>8007</v>
      </c>
      <c r="BL34" s="101" t="s">
        <v>1945</v>
      </c>
      <c r="BN34" s="346" t="s">
        <v>1705</v>
      </c>
      <c r="BO34" s="101">
        <v>9850</v>
      </c>
      <c r="BP34" s="101" t="s">
        <v>1837</v>
      </c>
      <c r="BR34" s="346" t="s">
        <v>1702</v>
      </c>
      <c r="BS34" s="101">
        <v>7920</v>
      </c>
      <c r="BT34" s="101" t="s">
        <v>1923</v>
      </c>
      <c r="BV34" s="346" t="s">
        <v>1869</v>
      </c>
      <c r="BW34" s="101">
        <v>5895</v>
      </c>
      <c r="BX34" s="101" t="s">
        <v>1804</v>
      </c>
    </row>
    <row r="35" spans="1:77" x14ac:dyDescent="0.25">
      <c r="A35" s="348">
        <v>42221</v>
      </c>
      <c r="B35" s="458" t="s">
        <v>1615</v>
      </c>
      <c r="D35" s="101" t="s">
        <v>1947</v>
      </c>
      <c r="F35" s="458" t="s">
        <v>1579</v>
      </c>
      <c r="G35" s="101">
        <v>7910</v>
      </c>
      <c r="H35" s="101" t="s">
        <v>1868</v>
      </c>
      <c r="J35" s="346" t="s">
        <v>1870</v>
      </c>
      <c r="L35" s="101" t="s">
        <v>1942</v>
      </c>
      <c r="M35" s="451" t="s">
        <v>1948</v>
      </c>
      <c r="N35" s="346" t="s">
        <v>1920</v>
      </c>
      <c r="O35">
        <v>0</v>
      </c>
      <c r="P35" s="101" t="s">
        <v>1711</v>
      </c>
      <c r="R35" s="346" t="s">
        <v>754</v>
      </c>
      <c r="S35">
        <v>8342</v>
      </c>
      <c r="T35" s="101" t="s">
        <v>1894</v>
      </c>
      <c r="V35" s="346" t="s">
        <v>1938</v>
      </c>
      <c r="W35">
        <v>0</v>
      </c>
      <c r="X35" s="101" t="s">
        <v>1711</v>
      </c>
      <c r="Z35" s="346" t="s">
        <v>1701</v>
      </c>
      <c r="AA35" s="101">
        <v>6445</v>
      </c>
      <c r="AB35" s="101" t="s">
        <v>1804</v>
      </c>
      <c r="AD35" s="458" t="s">
        <v>1694</v>
      </c>
      <c r="AE35" s="101">
        <v>7777</v>
      </c>
      <c r="AF35" s="101" t="s">
        <v>1868</v>
      </c>
      <c r="AH35" s="346" t="s">
        <v>1697</v>
      </c>
      <c r="AI35" s="101">
        <v>9210</v>
      </c>
      <c r="AJ35" s="101" t="s">
        <v>1837</v>
      </c>
      <c r="AL35" s="346" t="s">
        <v>1839</v>
      </c>
      <c r="AM35" s="101">
        <v>5945</v>
      </c>
      <c r="AN35" s="101" t="s">
        <v>1949</v>
      </c>
      <c r="AP35" s="458" t="s">
        <v>1692</v>
      </c>
      <c r="AQ35" s="101">
        <v>13900</v>
      </c>
      <c r="AR35" s="101" t="s">
        <v>1950</v>
      </c>
      <c r="AT35" s="346" t="s">
        <v>1581</v>
      </c>
      <c r="AU35" s="101">
        <v>11037</v>
      </c>
      <c r="AV35" s="101" t="s">
        <v>1837</v>
      </c>
      <c r="AW35" s="451" t="s">
        <v>1946</v>
      </c>
      <c r="AX35" s="346" t="s">
        <v>1808</v>
      </c>
      <c r="AY35" s="101">
        <v>6113</v>
      </c>
      <c r="AZ35" s="346" t="s">
        <v>1837</v>
      </c>
      <c r="BB35" s="346" t="s">
        <v>1704</v>
      </c>
      <c r="BC35" s="101">
        <v>6144</v>
      </c>
      <c r="BD35" s="101" t="s">
        <v>1832</v>
      </c>
      <c r="BF35" s="346" t="s">
        <v>1589</v>
      </c>
      <c r="BH35" s="101" t="s">
        <v>1837</v>
      </c>
      <c r="BJ35" s="346" t="s">
        <v>1842</v>
      </c>
      <c r="BK35" s="101">
        <v>8007</v>
      </c>
      <c r="BL35" s="101" t="s">
        <v>1837</v>
      </c>
      <c r="BN35" s="346" t="s">
        <v>1705</v>
      </c>
      <c r="BO35" s="101">
        <v>9850</v>
      </c>
      <c r="BP35" s="101" t="s">
        <v>1951</v>
      </c>
      <c r="BQ35" s="451" t="s">
        <v>1959</v>
      </c>
      <c r="BR35" s="346" t="s">
        <v>1702</v>
      </c>
      <c r="BS35" s="101">
        <v>7920</v>
      </c>
      <c r="BT35" s="101" t="s">
        <v>1894</v>
      </c>
      <c r="BV35" s="346" t="s">
        <v>1869</v>
      </c>
      <c r="BW35" s="101">
        <v>6005</v>
      </c>
      <c r="BX35" s="101" t="s">
        <v>1931</v>
      </c>
    </row>
    <row r="36" spans="1:77" x14ac:dyDescent="0.25">
      <c r="A36" s="348">
        <v>42222</v>
      </c>
      <c r="B36" s="458" t="s">
        <v>1615</v>
      </c>
      <c r="C36">
        <v>0</v>
      </c>
      <c r="D36" s="101" t="s">
        <v>1952</v>
      </c>
      <c r="F36" s="458" t="s">
        <v>1579</v>
      </c>
      <c r="G36" s="101">
        <v>7910</v>
      </c>
      <c r="H36" s="101" t="s">
        <v>1708</v>
      </c>
      <c r="J36" s="346" t="s">
        <v>1870</v>
      </c>
      <c r="K36">
        <v>6828</v>
      </c>
      <c r="L36" s="101" t="s">
        <v>1832</v>
      </c>
      <c r="M36" s="451" t="s">
        <v>1953</v>
      </c>
      <c r="N36" s="346" t="s">
        <v>1920</v>
      </c>
      <c r="O36">
        <v>0</v>
      </c>
      <c r="P36" s="101" t="s">
        <v>1711</v>
      </c>
      <c r="R36" s="510" t="s">
        <v>754</v>
      </c>
      <c r="S36">
        <v>8390</v>
      </c>
      <c r="T36" s="101" t="s">
        <v>1945</v>
      </c>
      <c r="U36" s="451" t="s">
        <v>1955</v>
      </c>
      <c r="V36" s="346" t="s">
        <v>1938</v>
      </c>
      <c r="W36">
        <v>0</v>
      </c>
      <c r="X36" s="101" t="s">
        <v>1954</v>
      </c>
      <c r="Z36" s="346" t="s">
        <v>1701</v>
      </c>
      <c r="AA36" s="101">
        <v>6675</v>
      </c>
      <c r="AB36" s="101" t="s">
        <v>1804</v>
      </c>
      <c r="AD36" s="458" t="s">
        <v>1694</v>
      </c>
      <c r="AE36" s="101">
        <v>7777</v>
      </c>
      <c r="AF36" s="101" t="s">
        <v>1944</v>
      </c>
      <c r="AH36" s="475" t="s">
        <v>1697</v>
      </c>
      <c r="AI36" s="101">
        <v>9210</v>
      </c>
      <c r="AJ36" s="101" t="s">
        <v>1866</v>
      </c>
      <c r="AK36" s="451" t="s">
        <v>1939</v>
      </c>
      <c r="AL36" s="346" t="s">
        <v>1839</v>
      </c>
      <c r="AM36" s="101">
        <v>5945</v>
      </c>
      <c r="AN36" s="101" t="s">
        <v>1841</v>
      </c>
      <c r="AP36" s="473" t="s">
        <v>1692</v>
      </c>
      <c r="AQ36" s="101">
        <v>13900</v>
      </c>
      <c r="AR36" s="101" t="s">
        <v>1956</v>
      </c>
      <c r="AT36" s="346" t="s">
        <v>1581</v>
      </c>
      <c r="AU36" s="101">
        <v>11037</v>
      </c>
      <c r="AV36" s="101" t="s">
        <v>1852</v>
      </c>
      <c r="AX36" s="346" t="s">
        <v>1808</v>
      </c>
      <c r="AY36" s="101">
        <v>6180</v>
      </c>
      <c r="AZ36" s="346" t="s">
        <v>1832</v>
      </c>
      <c r="BB36" s="346" t="s">
        <v>1704</v>
      </c>
      <c r="BC36" s="101">
        <v>6157</v>
      </c>
      <c r="BD36" s="101" t="s">
        <v>1804</v>
      </c>
      <c r="BF36" s="346" t="s">
        <v>1589</v>
      </c>
      <c r="BH36" s="101" t="s">
        <v>1850</v>
      </c>
      <c r="BJ36" s="346" t="s">
        <v>1842</v>
      </c>
      <c r="BK36" s="101">
        <v>8007</v>
      </c>
      <c r="BL36" s="101" t="s">
        <v>1957</v>
      </c>
      <c r="BN36" s="475" t="s">
        <v>1705</v>
      </c>
      <c r="BO36" s="101">
        <v>9850</v>
      </c>
      <c r="BP36" s="101" t="s">
        <v>1837</v>
      </c>
      <c r="BR36" s="346" t="s">
        <v>1702</v>
      </c>
      <c r="BS36" s="101">
        <v>7930</v>
      </c>
      <c r="BT36" s="101" t="s">
        <v>1958</v>
      </c>
      <c r="BV36" s="346" t="s">
        <v>1869</v>
      </c>
      <c r="BW36" s="101">
        <v>6005</v>
      </c>
      <c r="BX36" s="101" t="s">
        <v>1837</v>
      </c>
    </row>
    <row r="37" spans="1:77" x14ac:dyDescent="0.25">
      <c r="A37" s="348">
        <v>42223</v>
      </c>
      <c r="B37" s="458" t="s">
        <v>1615</v>
      </c>
      <c r="C37">
        <v>0</v>
      </c>
      <c r="D37" s="101" t="s">
        <v>1708</v>
      </c>
      <c r="F37" s="458" t="s">
        <v>1579</v>
      </c>
      <c r="G37" s="101">
        <v>7910</v>
      </c>
      <c r="H37" s="101" t="s">
        <v>1708</v>
      </c>
      <c r="J37" s="346" t="s">
        <v>1870</v>
      </c>
      <c r="K37">
        <v>6923</v>
      </c>
      <c r="L37" s="101" t="s">
        <v>1804</v>
      </c>
      <c r="N37" s="346" t="s">
        <v>1920</v>
      </c>
      <c r="O37">
        <v>0</v>
      </c>
      <c r="P37" s="101" t="s">
        <v>1711</v>
      </c>
      <c r="R37" s="346" t="s">
        <v>754</v>
      </c>
      <c r="S37">
        <v>8390</v>
      </c>
      <c r="T37" s="101" t="s">
        <v>1903</v>
      </c>
      <c r="V37" s="346" t="s">
        <v>1938</v>
      </c>
      <c r="W37">
        <v>0</v>
      </c>
      <c r="X37" s="101" t="s">
        <v>1926</v>
      </c>
      <c r="Z37" s="346" t="s">
        <v>1701</v>
      </c>
      <c r="AA37" s="101">
        <v>6975</v>
      </c>
      <c r="AB37" s="101" t="s">
        <v>1804</v>
      </c>
      <c r="AD37" s="458" t="s">
        <v>1694</v>
      </c>
      <c r="AE37" s="101">
        <v>7781</v>
      </c>
      <c r="AF37" s="101" t="s">
        <v>1804</v>
      </c>
      <c r="AH37" s="346" t="s">
        <v>1697</v>
      </c>
      <c r="AI37" s="101">
        <v>9243</v>
      </c>
      <c r="AJ37" s="101" t="s">
        <v>1804</v>
      </c>
      <c r="AL37" s="346" t="s">
        <v>1839</v>
      </c>
      <c r="AM37" s="101">
        <v>5945</v>
      </c>
      <c r="AN37" s="101" t="s">
        <v>1832</v>
      </c>
      <c r="AP37" s="458" t="s">
        <v>1426</v>
      </c>
      <c r="AQ37" s="101">
        <v>0</v>
      </c>
      <c r="AR37" s="101" t="s">
        <v>1961</v>
      </c>
      <c r="AT37" s="346" t="s">
        <v>1581</v>
      </c>
      <c r="AU37" s="101">
        <v>11037</v>
      </c>
      <c r="AV37" s="101" t="s">
        <v>1957</v>
      </c>
      <c r="AX37" s="346" t="s">
        <v>1808</v>
      </c>
      <c r="AY37" s="346">
        <v>6686</v>
      </c>
      <c r="AZ37" s="346" t="s">
        <v>1804</v>
      </c>
      <c r="BB37" s="346" t="s">
        <v>1704</v>
      </c>
      <c r="BC37" s="101">
        <v>6166</v>
      </c>
      <c r="BD37" s="101" t="s">
        <v>1832</v>
      </c>
      <c r="BF37" s="346" t="s">
        <v>1589</v>
      </c>
      <c r="BG37">
        <v>15080</v>
      </c>
      <c r="BH37" s="101" t="s">
        <v>1850</v>
      </c>
      <c r="BJ37" s="346" t="s">
        <v>1842</v>
      </c>
      <c r="BK37" s="101">
        <v>8007</v>
      </c>
      <c r="BL37" s="101" t="s">
        <v>1832</v>
      </c>
      <c r="BN37" s="346" t="s">
        <v>1705</v>
      </c>
      <c r="BO37" s="101">
        <v>9850</v>
      </c>
      <c r="BP37" s="101" t="s">
        <v>1811</v>
      </c>
      <c r="BR37" s="346" t="s">
        <v>1702</v>
      </c>
      <c r="BS37" s="101">
        <v>8241</v>
      </c>
      <c r="BT37" s="101" t="s">
        <v>1962</v>
      </c>
      <c r="BV37" s="346" t="s">
        <v>1963</v>
      </c>
      <c r="BW37" s="101">
        <v>6005</v>
      </c>
      <c r="BX37" s="101" t="s">
        <v>1868</v>
      </c>
    </row>
    <row r="38" spans="1:77" s="474" customFormat="1" x14ac:dyDescent="0.25">
      <c r="A38" s="505">
        <v>42224</v>
      </c>
      <c r="B38" s="473" t="s">
        <v>1615</v>
      </c>
      <c r="C38" s="474">
        <v>0</v>
      </c>
      <c r="D38" s="474" t="s">
        <v>1926</v>
      </c>
      <c r="E38" s="506"/>
      <c r="F38" s="473" t="s">
        <v>1579</v>
      </c>
      <c r="G38" s="474">
        <v>7910</v>
      </c>
      <c r="H38" s="474" t="s">
        <v>1708</v>
      </c>
      <c r="I38" s="506"/>
      <c r="J38" s="475" t="s">
        <v>1870</v>
      </c>
      <c r="K38" s="474">
        <v>7060</v>
      </c>
      <c r="L38" s="474" t="s">
        <v>1804</v>
      </c>
      <c r="M38" s="506" t="s">
        <v>1972</v>
      </c>
      <c r="N38" s="475" t="s">
        <v>1920</v>
      </c>
      <c r="O38" s="474">
        <v>0</v>
      </c>
      <c r="P38" s="474" t="s">
        <v>1711</v>
      </c>
      <c r="Q38" s="506"/>
      <c r="R38" s="475" t="s">
        <v>754</v>
      </c>
      <c r="S38" s="474">
        <v>8574</v>
      </c>
      <c r="T38" s="474" t="s">
        <v>1804</v>
      </c>
      <c r="U38" s="506" t="s">
        <v>1939</v>
      </c>
      <c r="V38" s="475" t="s">
        <v>1938</v>
      </c>
      <c r="W38" s="474">
        <v>0</v>
      </c>
      <c r="X38" s="474" t="s">
        <v>1926</v>
      </c>
      <c r="Y38" s="506"/>
      <c r="Z38" s="475" t="s">
        <v>1701</v>
      </c>
      <c r="AA38" s="474">
        <v>7277</v>
      </c>
      <c r="AB38" s="474" t="s">
        <v>1804</v>
      </c>
      <c r="AC38" s="506" t="s">
        <v>1862</v>
      </c>
      <c r="AD38" s="473" t="s">
        <v>1694</v>
      </c>
      <c r="AE38" s="474">
        <v>7787</v>
      </c>
      <c r="AF38" s="474" t="s">
        <v>1903</v>
      </c>
      <c r="AG38" s="506"/>
      <c r="AH38" s="475" t="s">
        <v>1697</v>
      </c>
      <c r="AI38" s="474">
        <v>9385</v>
      </c>
      <c r="AJ38" s="474" t="s">
        <v>1804</v>
      </c>
      <c r="AK38" s="506" t="s">
        <v>1939</v>
      </c>
      <c r="AL38" s="475" t="s">
        <v>1839</v>
      </c>
      <c r="AM38" s="474">
        <v>5955</v>
      </c>
      <c r="AN38" s="474" t="s">
        <v>1911</v>
      </c>
      <c r="AO38" s="506" t="s">
        <v>1862</v>
      </c>
      <c r="AP38" s="473" t="s">
        <v>1426</v>
      </c>
      <c r="AQ38" s="474">
        <v>0</v>
      </c>
      <c r="AR38" s="474" t="s">
        <v>1711</v>
      </c>
      <c r="AS38" s="506"/>
      <c r="AT38" s="475" t="s">
        <v>1581</v>
      </c>
      <c r="AU38" s="474">
        <v>11037</v>
      </c>
      <c r="AV38" s="474" t="s">
        <v>1894</v>
      </c>
      <c r="AW38" s="506"/>
      <c r="AX38" s="475" t="s">
        <v>1808</v>
      </c>
      <c r="AY38" s="475">
        <v>7170</v>
      </c>
      <c r="AZ38" s="475" t="s">
        <v>1804</v>
      </c>
      <c r="BA38" s="506" t="s">
        <v>1971</v>
      </c>
      <c r="BB38" s="475" t="s">
        <v>1704</v>
      </c>
      <c r="BC38" s="474">
        <v>6760</v>
      </c>
      <c r="BD38" s="474" t="s">
        <v>1804</v>
      </c>
      <c r="BE38" s="506" t="s">
        <v>1970</v>
      </c>
      <c r="BF38" s="475" t="s">
        <v>1589</v>
      </c>
      <c r="BG38" s="474">
        <v>15080</v>
      </c>
      <c r="BH38" s="474" t="s">
        <v>1850</v>
      </c>
      <c r="BI38" s="506"/>
      <c r="BJ38" s="475" t="s">
        <v>1842</v>
      </c>
      <c r="BK38" s="474">
        <v>8017</v>
      </c>
      <c r="BL38" s="474" t="s">
        <v>1832</v>
      </c>
      <c r="BM38" s="506"/>
      <c r="BN38" s="475" t="s">
        <v>1705</v>
      </c>
      <c r="BO38" s="474">
        <v>9850</v>
      </c>
      <c r="BP38" s="474" t="s">
        <v>1811</v>
      </c>
      <c r="BQ38" s="506"/>
      <c r="BR38" s="475" t="s">
        <v>1702</v>
      </c>
      <c r="BS38" s="474">
        <v>8407</v>
      </c>
      <c r="BT38" s="474" t="s">
        <v>1804</v>
      </c>
      <c r="BU38" s="506" t="s">
        <v>1972</v>
      </c>
      <c r="BV38" s="475" t="s">
        <v>1963</v>
      </c>
      <c r="BW38" s="474">
        <v>6005</v>
      </c>
      <c r="BX38" s="474" t="s">
        <v>1964</v>
      </c>
      <c r="BY38" s="506" t="s">
        <v>1862</v>
      </c>
    </row>
    <row r="39" spans="1:77" x14ac:dyDescent="0.25">
      <c r="A39" s="348">
        <v>42225</v>
      </c>
      <c r="B39" s="458" t="s">
        <v>1615</v>
      </c>
      <c r="C39">
        <v>0</v>
      </c>
      <c r="D39" s="101" t="s">
        <v>1837</v>
      </c>
      <c r="F39" s="458" t="s">
        <v>1579</v>
      </c>
      <c r="G39" s="101">
        <v>7910</v>
      </c>
      <c r="H39" s="101" t="s">
        <v>1708</v>
      </c>
      <c r="J39" s="346" t="s">
        <v>1870</v>
      </c>
      <c r="K39">
        <v>7550</v>
      </c>
      <c r="L39" s="101" t="s">
        <v>1804</v>
      </c>
      <c r="N39" s="346" t="s">
        <v>1920</v>
      </c>
      <c r="O39">
        <v>0</v>
      </c>
      <c r="P39" s="101" t="s">
        <v>1711</v>
      </c>
      <c r="R39" s="346" t="s">
        <v>754</v>
      </c>
      <c r="S39">
        <v>8917</v>
      </c>
      <c r="T39" s="101" t="s">
        <v>1804</v>
      </c>
      <c r="V39" s="346" t="s">
        <v>1938</v>
      </c>
      <c r="W39">
        <v>0</v>
      </c>
      <c r="X39" s="101" t="s">
        <v>1926</v>
      </c>
      <c r="Z39" s="346" t="s">
        <v>1701</v>
      </c>
      <c r="AA39" s="101">
        <v>7535</v>
      </c>
      <c r="AB39" s="101" t="s">
        <v>1804</v>
      </c>
      <c r="AD39" s="458" t="s">
        <v>1694</v>
      </c>
      <c r="AE39" s="101">
        <v>7925</v>
      </c>
      <c r="AF39" s="101" t="s">
        <v>1804</v>
      </c>
      <c r="AH39" s="346" t="s">
        <v>1697</v>
      </c>
      <c r="AI39" s="101">
        <v>9540</v>
      </c>
      <c r="AJ39" s="101" t="s">
        <v>1804</v>
      </c>
      <c r="AL39" s="346" t="s">
        <v>1839</v>
      </c>
      <c r="AM39" s="101">
        <v>6050</v>
      </c>
      <c r="AN39" s="101" t="s">
        <v>1804</v>
      </c>
      <c r="AP39" s="458" t="s">
        <v>1426</v>
      </c>
      <c r="AQ39" s="101">
        <v>0</v>
      </c>
      <c r="AR39" s="101" t="s">
        <v>1973</v>
      </c>
      <c r="AT39" s="346" t="s">
        <v>1581</v>
      </c>
      <c r="AU39" s="101">
        <v>11037</v>
      </c>
      <c r="AV39" s="101" t="s">
        <v>1903</v>
      </c>
      <c r="AX39" s="346" t="s">
        <v>1808</v>
      </c>
      <c r="AY39" s="346">
        <v>7254</v>
      </c>
      <c r="AZ39" s="346" t="s">
        <v>1832</v>
      </c>
      <c r="BB39" s="346" t="s">
        <v>1704</v>
      </c>
      <c r="BC39" s="101">
        <v>7290</v>
      </c>
      <c r="BD39" s="101" t="s">
        <v>1852</v>
      </c>
      <c r="BF39" s="346" t="s">
        <v>1589</v>
      </c>
      <c r="BG39">
        <v>15080</v>
      </c>
      <c r="BH39" s="101" t="s">
        <v>1837</v>
      </c>
      <c r="BJ39" s="346" t="s">
        <v>1842</v>
      </c>
      <c r="BK39" s="101">
        <v>8481</v>
      </c>
      <c r="BL39" s="101" t="s">
        <v>1804</v>
      </c>
      <c r="BN39" s="346" t="s">
        <v>1705</v>
      </c>
      <c r="BO39" s="101">
        <v>9850</v>
      </c>
      <c r="BP39" s="101" t="s">
        <v>1891</v>
      </c>
      <c r="BR39" s="346" t="s">
        <v>1702</v>
      </c>
      <c r="BS39" s="101">
        <v>8808</v>
      </c>
      <c r="BT39" s="101" t="s">
        <v>1974</v>
      </c>
      <c r="BV39" s="346" t="s">
        <v>1963</v>
      </c>
      <c r="BW39" s="101">
        <v>6020</v>
      </c>
      <c r="BX39" s="101" t="s">
        <v>1837</v>
      </c>
    </row>
    <row r="40" spans="1:77" x14ac:dyDescent="0.25">
      <c r="A40" s="348">
        <v>42226</v>
      </c>
      <c r="B40" s="458" t="s">
        <v>1615</v>
      </c>
      <c r="C40">
        <v>7350</v>
      </c>
      <c r="D40" s="101" t="s">
        <v>1942</v>
      </c>
      <c r="F40" s="458" t="s">
        <v>1579</v>
      </c>
      <c r="G40" s="101">
        <v>7910</v>
      </c>
      <c r="H40" s="101" t="s">
        <v>1708</v>
      </c>
      <c r="J40" s="346" t="s">
        <v>1870</v>
      </c>
      <c r="K40">
        <v>8030</v>
      </c>
      <c r="L40" s="101" t="s">
        <v>1931</v>
      </c>
      <c r="N40" s="346" t="s">
        <v>1920</v>
      </c>
      <c r="O40">
        <v>0</v>
      </c>
      <c r="P40" s="101" t="s">
        <v>1711</v>
      </c>
      <c r="R40" s="346" t="s">
        <v>754</v>
      </c>
      <c r="S40">
        <v>9207</v>
      </c>
      <c r="T40" s="101" t="s">
        <v>1974</v>
      </c>
      <c r="V40" s="346" t="s">
        <v>1938</v>
      </c>
      <c r="W40">
        <v>0</v>
      </c>
      <c r="X40" s="101" t="s">
        <v>1926</v>
      </c>
      <c r="Z40" s="346" t="s">
        <v>1701</v>
      </c>
      <c r="AA40" s="101">
        <v>7795</v>
      </c>
      <c r="AB40" s="101" t="s">
        <v>1804</v>
      </c>
      <c r="AD40" s="458" t="s">
        <v>1694</v>
      </c>
      <c r="AE40" s="101">
        <v>8385</v>
      </c>
      <c r="AF40" s="101" t="s">
        <v>1804</v>
      </c>
      <c r="AH40" s="346" t="s">
        <v>1697</v>
      </c>
      <c r="AI40" s="101">
        <v>9590</v>
      </c>
      <c r="AJ40" s="101" t="s">
        <v>1903</v>
      </c>
      <c r="AL40" s="346" t="s">
        <v>1839</v>
      </c>
      <c r="AM40" s="101">
        <v>6605</v>
      </c>
      <c r="AN40" s="101" t="s">
        <v>1804</v>
      </c>
      <c r="AP40" s="473" t="s">
        <v>1426</v>
      </c>
      <c r="AQ40" s="101">
        <v>0</v>
      </c>
      <c r="AR40" s="101" t="s">
        <v>1926</v>
      </c>
      <c r="AT40" s="510" t="s">
        <v>1581</v>
      </c>
      <c r="AU40" s="512">
        <v>9316</v>
      </c>
      <c r="AV40" s="512" t="s">
        <v>1975</v>
      </c>
      <c r="AW40" s="513" t="s">
        <v>1976</v>
      </c>
      <c r="AX40" s="346" t="s">
        <v>1808</v>
      </c>
      <c r="AY40" s="346">
        <v>7546</v>
      </c>
      <c r="AZ40" s="346" t="s">
        <v>1974</v>
      </c>
      <c r="BB40" s="346" t="s">
        <v>1704</v>
      </c>
      <c r="BC40" s="101">
        <v>7290</v>
      </c>
      <c r="BD40" s="101" t="s">
        <v>1868</v>
      </c>
      <c r="BF40" s="346" t="s">
        <v>1589</v>
      </c>
      <c r="BG40">
        <v>15080</v>
      </c>
      <c r="BH40" s="101" t="s">
        <v>1850</v>
      </c>
      <c r="BJ40" s="346" t="s">
        <v>1842</v>
      </c>
      <c r="BK40" s="101">
        <v>9138</v>
      </c>
      <c r="BL40" s="101" t="s">
        <v>1804</v>
      </c>
      <c r="BN40" s="346" t="s">
        <v>1705</v>
      </c>
      <c r="BO40" s="101">
        <v>9850</v>
      </c>
      <c r="BP40" s="101" t="s">
        <v>1805</v>
      </c>
      <c r="BR40" s="346" t="s">
        <v>1702</v>
      </c>
      <c r="BS40" s="101">
        <v>8808</v>
      </c>
      <c r="BT40" s="101" t="s">
        <v>1868</v>
      </c>
      <c r="BV40" s="346" t="s">
        <v>1963</v>
      </c>
      <c r="BW40" s="101">
        <v>6270</v>
      </c>
      <c r="BX40" s="101" t="s">
        <v>1804</v>
      </c>
    </row>
    <row r="41" spans="1:77" x14ac:dyDescent="0.25">
      <c r="A41" s="348">
        <v>42227</v>
      </c>
      <c r="B41" s="458" t="s">
        <v>1615</v>
      </c>
      <c r="C41">
        <v>7350</v>
      </c>
      <c r="D41" s="101" t="s">
        <v>1991</v>
      </c>
      <c r="F41" s="458" t="s">
        <v>1579</v>
      </c>
      <c r="G41" s="101">
        <v>7910</v>
      </c>
      <c r="H41" s="101" t="s">
        <v>1708</v>
      </c>
      <c r="J41" s="346" t="s">
        <v>1870</v>
      </c>
      <c r="K41">
        <v>8030</v>
      </c>
      <c r="L41" s="101" t="s">
        <v>1868</v>
      </c>
      <c r="N41" s="346" t="s">
        <v>1920</v>
      </c>
      <c r="O41">
        <v>0</v>
      </c>
      <c r="P41" s="101" t="s">
        <v>1711</v>
      </c>
      <c r="R41" s="346" t="s">
        <v>754</v>
      </c>
      <c r="S41">
        <v>9207</v>
      </c>
      <c r="T41" s="101" t="s">
        <v>1992</v>
      </c>
      <c r="V41" s="346" t="s">
        <v>1938</v>
      </c>
      <c r="W41">
        <v>0</v>
      </c>
      <c r="X41" s="101" t="s">
        <v>1837</v>
      </c>
      <c r="Z41" s="346" t="s">
        <v>1701</v>
      </c>
      <c r="AA41" s="101">
        <v>7990</v>
      </c>
      <c r="AB41" s="101" t="s">
        <v>1852</v>
      </c>
      <c r="AD41" s="458" t="s">
        <v>1694</v>
      </c>
      <c r="AE41" s="101">
        <v>8798</v>
      </c>
      <c r="AF41" s="101" t="s">
        <v>1837</v>
      </c>
      <c r="AH41" s="346" t="s">
        <v>1697</v>
      </c>
      <c r="AI41" s="101">
        <v>9692</v>
      </c>
      <c r="AJ41" s="101" t="s">
        <v>1804</v>
      </c>
      <c r="AL41" s="346" t="s">
        <v>1839</v>
      </c>
      <c r="AM41" s="101">
        <v>7165</v>
      </c>
      <c r="AN41" s="101" t="s">
        <v>1804</v>
      </c>
      <c r="AP41" s="458" t="s">
        <v>1426</v>
      </c>
      <c r="AQ41" s="101">
        <v>0</v>
      </c>
      <c r="AR41" s="101" t="s">
        <v>1903</v>
      </c>
      <c r="AT41" s="346" t="s">
        <v>1581</v>
      </c>
      <c r="AU41" s="101">
        <v>9640</v>
      </c>
      <c r="AV41" s="101" t="s">
        <v>1975</v>
      </c>
      <c r="AX41" s="346" t="s">
        <v>1808</v>
      </c>
      <c r="AY41" s="346">
        <v>8009</v>
      </c>
      <c r="AZ41" s="346" t="s">
        <v>1804</v>
      </c>
      <c r="BB41" s="346" t="s">
        <v>1704</v>
      </c>
      <c r="BC41" s="101">
        <v>7290</v>
      </c>
      <c r="BD41" s="101" t="s">
        <v>1923</v>
      </c>
      <c r="BF41" s="346" t="s">
        <v>1589</v>
      </c>
      <c r="BG41">
        <v>15080</v>
      </c>
      <c r="BH41" s="101" t="s">
        <v>1850</v>
      </c>
      <c r="BJ41" s="346" t="s">
        <v>1842</v>
      </c>
      <c r="BK41" s="101">
        <v>9830</v>
      </c>
      <c r="BL41" s="101" t="s">
        <v>1804</v>
      </c>
      <c r="BN41" s="346" t="s">
        <v>1705</v>
      </c>
      <c r="BO41" s="101">
        <v>9850</v>
      </c>
      <c r="BP41" s="101" t="s">
        <v>1805</v>
      </c>
      <c r="BR41" s="346" t="s">
        <v>1702</v>
      </c>
      <c r="BS41" s="101">
        <v>8808</v>
      </c>
      <c r="BT41" s="101" t="s">
        <v>1868</v>
      </c>
      <c r="BV41" s="346" t="s">
        <v>1963</v>
      </c>
      <c r="BW41" s="101">
        <v>6880</v>
      </c>
      <c r="BX41" s="101" t="s">
        <v>1804</v>
      </c>
    </row>
    <row r="42" spans="1:77" x14ac:dyDescent="0.25">
      <c r="A42" s="348">
        <v>42228</v>
      </c>
      <c r="B42" s="458" t="s">
        <v>1615</v>
      </c>
      <c r="C42">
        <v>7215</v>
      </c>
      <c r="D42" s="101" t="s">
        <v>1942</v>
      </c>
      <c r="F42" s="458" t="s">
        <v>1579</v>
      </c>
      <c r="G42" s="101">
        <v>7910</v>
      </c>
      <c r="H42" s="101" t="s">
        <v>1708</v>
      </c>
      <c r="J42" s="346" t="s">
        <v>1870</v>
      </c>
      <c r="K42">
        <v>8030</v>
      </c>
      <c r="L42" s="101" t="s">
        <v>1708</v>
      </c>
      <c r="N42" s="346" t="s">
        <v>1920</v>
      </c>
      <c r="O42">
        <v>0</v>
      </c>
      <c r="P42" s="101" t="s">
        <v>1711</v>
      </c>
      <c r="R42" s="346" t="s">
        <v>754</v>
      </c>
      <c r="S42">
        <v>9207</v>
      </c>
      <c r="T42" s="101" t="s">
        <v>1992</v>
      </c>
      <c r="V42" s="346" t="s">
        <v>1938</v>
      </c>
      <c r="W42">
        <v>0</v>
      </c>
      <c r="X42" s="101" t="s">
        <v>1942</v>
      </c>
      <c r="Z42" s="346" t="s">
        <v>1701</v>
      </c>
      <c r="AA42" s="101">
        <v>7990</v>
      </c>
      <c r="AB42" s="101" t="s">
        <v>1868</v>
      </c>
      <c r="AD42" s="458" t="s">
        <v>1694</v>
      </c>
      <c r="AE42" s="101">
        <v>8789</v>
      </c>
      <c r="AF42" s="101" t="s">
        <v>1868</v>
      </c>
      <c r="AH42" s="346" t="s">
        <v>1697</v>
      </c>
      <c r="AI42" s="101">
        <v>9854</v>
      </c>
      <c r="AJ42" s="101" t="s">
        <v>1804</v>
      </c>
      <c r="AL42" s="346" t="s">
        <v>1839</v>
      </c>
      <c r="AM42" s="101">
        <v>7705</v>
      </c>
      <c r="AN42" s="101" t="s">
        <v>1804</v>
      </c>
      <c r="AP42" s="458" t="s">
        <v>1426</v>
      </c>
      <c r="AQ42" s="101"/>
      <c r="AR42" s="101" t="s">
        <v>1832</v>
      </c>
      <c r="AT42" s="346" t="s">
        <v>1581</v>
      </c>
      <c r="AU42" s="101">
        <v>10045</v>
      </c>
      <c r="AV42" s="101" t="s">
        <v>1975</v>
      </c>
      <c r="AX42" s="346" t="s">
        <v>1808</v>
      </c>
      <c r="AY42" s="346">
        <v>8330</v>
      </c>
      <c r="AZ42" s="346" t="s">
        <v>1852</v>
      </c>
      <c r="BB42" s="346" t="s">
        <v>1704</v>
      </c>
      <c r="BC42" s="101">
        <v>7290</v>
      </c>
      <c r="BD42" s="101" t="s">
        <v>1894</v>
      </c>
      <c r="BF42" s="346" t="s">
        <v>1589</v>
      </c>
      <c r="BG42">
        <v>15080</v>
      </c>
      <c r="BH42" s="101" t="s">
        <v>1832</v>
      </c>
      <c r="BJ42" s="346" t="s">
        <v>1842</v>
      </c>
      <c r="BK42" s="101">
        <v>10364</v>
      </c>
      <c r="BL42" s="101" t="s">
        <v>1931</v>
      </c>
      <c r="BN42" s="346" t="s">
        <v>1705</v>
      </c>
      <c r="BO42" s="101">
        <v>9850</v>
      </c>
      <c r="BP42" s="101" t="s">
        <v>1805</v>
      </c>
      <c r="BR42" s="346" t="s">
        <v>1702</v>
      </c>
      <c r="BS42" s="101">
        <v>8808</v>
      </c>
      <c r="BT42" s="101" t="s">
        <v>1832</v>
      </c>
      <c r="BV42" s="346" t="s">
        <v>1963</v>
      </c>
      <c r="BW42" s="101">
        <v>7560</v>
      </c>
      <c r="BX42" s="101" t="s">
        <v>1804</v>
      </c>
    </row>
    <row r="43" spans="1:77" x14ac:dyDescent="0.25">
      <c r="A43" s="348">
        <v>42229</v>
      </c>
      <c r="B43" s="458" t="s">
        <v>1615</v>
      </c>
      <c r="C43">
        <v>7238</v>
      </c>
      <c r="D43" s="101" t="s">
        <v>1804</v>
      </c>
      <c r="F43" s="458" t="s">
        <v>1579</v>
      </c>
      <c r="G43" s="101">
        <v>7910</v>
      </c>
      <c r="H43" s="101" t="s">
        <v>1708</v>
      </c>
      <c r="J43" s="346" t="s">
        <v>1870</v>
      </c>
      <c r="K43">
        <v>8030</v>
      </c>
      <c r="L43" s="101" t="s">
        <v>1837</v>
      </c>
      <c r="N43" s="346" t="s">
        <v>1920</v>
      </c>
      <c r="O43">
        <v>0</v>
      </c>
      <c r="P43" s="101" t="s">
        <v>1929</v>
      </c>
      <c r="R43" s="346" t="s">
        <v>754</v>
      </c>
      <c r="S43">
        <v>9207</v>
      </c>
      <c r="T43" s="101" t="s">
        <v>1992</v>
      </c>
      <c r="V43" s="346" t="s">
        <v>1938</v>
      </c>
      <c r="W43">
        <v>0</v>
      </c>
      <c r="X43" s="101" t="s">
        <v>1942</v>
      </c>
      <c r="Z43" s="346" t="s">
        <v>1701</v>
      </c>
      <c r="AA43" s="101">
        <v>7990</v>
      </c>
      <c r="AB43" s="101" t="s">
        <v>1841</v>
      </c>
      <c r="AD43" s="458" t="s">
        <v>1694</v>
      </c>
      <c r="AE43" s="101">
        <v>8798</v>
      </c>
      <c r="AF43" s="101" t="s">
        <v>1837</v>
      </c>
      <c r="AH43" s="346" t="s">
        <v>1697</v>
      </c>
      <c r="AI43" s="101">
        <v>10040</v>
      </c>
      <c r="AJ43" s="101" t="s">
        <v>1804</v>
      </c>
      <c r="AL43" s="346" t="s">
        <v>1839</v>
      </c>
      <c r="AM43" s="101">
        <v>8325</v>
      </c>
      <c r="AN43" s="101" t="s">
        <v>1804</v>
      </c>
      <c r="AP43" s="458" t="s">
        <v>1426</v>
      </c>
      <c r="AQ43" s="101">
        <v>0</v>
      </c>
      <c r="AR43" s="101" t="s">
        <v>1993</v>
      </c>
      <c r="AT43" s="346" t="s">
        <v>1581</v>
      </c>
      <c r="AU43" s="101">
        <v>10545</v>
      </c>
      <c r="AV43" s="101" t="s">
        <v>1806</v>
      </c>
      <c r="AX43" s="346" t="s">
        <v>1808</v>
      </c>
      <c r="AY43" s="346">
        <v>8340</v>
      </c>
      <c r="AZ43" s="346" t="s">
        <v>1927</v>
      </c>
      <c r="BB43" s="346" t="s">
        <v>1704</v>
      </c>
      <c r="BC43" s="101">
        <v>7300</v>
      </c>
      <c r="BD43" s="101" t="s">
        <v>1832</v>
      </c>
      <c r="BF43" s="346" t="s">
        <v>1589</v>
      </c>
      <c r="BG43">
        <v>15080</v>
      </c>
      <c r="BH43" s="101" t="s">
        <v>1832</v>
      </c>
      <c r="BJ43" s="346" t="s">
        <v>1842</v>
      </c>
      <c r="BK43" s="346">
        <v>10364</v>
      </c>
      <c r="BL43" s="346" t="s">
        <v>1832</v>
      </c>
      <c r="BN43" s="510" t="s">
        <v>1705</v>
      </c>
      <c r="BO43" s="512">
        <v>9850</v>
      </c>
      <c r="BP43" s="512" t="s">
        <v>1994</v>
      </c>
      <c r="BQ43" s="513"/>
      <c r="BR43" s="346" t="s">
        <v>1702</v>
      </c>
      <c r="BS43" s="101">
        <v>8818</v>
      </c>
      <c r="BT43" s="101" t="s">
        <v>1837</v>
      </c>
      <c r="BV43" s="346" t="s">
        <v>1963</v>
      </c>
      <c r="BW43" s="101">
        <v>7707</v>
      </c>
      <c r="BX43" s="101" t="s">
        <v>1837</v>
      </c>
    </row>
    <row r="44" spans="1:77" x14ac:dyDescent="0.25">
      <c r="A44" s="348">
        <v>42230</v>
      </c>
      <c r="B44" s="458" t="s">
        <v>1615</v>
      </c>
      <c r="C44">
        <v>7888</v>
      </c>
      <c r="D44" s="101" t="s">
        <v>1804</v>
      </c>
      <c r="F44" s="458" t="s">
        <v>1579</v>
      </c>
      <c r="G44" s="101">
        <v>7910</v>
      </c>
      <c r="H44" s="101" t="s">
        <v>1708</v>
      </c>
      <c r="J44" s="346" t="s">
        <v>1870</v>
      </c>
      <c r="K44">
        <v>8030</v>
      </c>
      <c r="L44" s="101" t="s">
        <v>1837</v>
      </c>
      <c r="N44" s="510" t="s">
        <v>1920</v>
      </c>
      <c r="O44" s="512">
        <v>560</v>
      </c>
      <c r="P44" s="512" t="s">
        <v>1995</v>
      </c>
      <c r="Q44" s="513"/>
      <c r="R44" s="346" t="s">
        <v>754</v>
      </c>
      <c r="S44">
        <v>9207</v>
      </c>
      <c r="V44" s="346" t="s">
        <v>1938</v>
      </c>
      <c r="W44">
        <v>6734</v>
      </c>
      <c r="Z44" s="346" t="s">
        <v>1701</v>
      </c>
      <c r="AA44" s="101">
        <v>7990</v>
      </c>
      <c r="AD44" s="458" t="s">
        <v>1694</v>
      </c>
      <c r="AE44" s="101">
        <v>8798</v>
      </c>
      <c r="AH44" s="346" t="s">
        <v>1697</v>
      </c>
      <c r="AI44" s="101">
        <v>10240</v>
      </c>
      <c r="AJ44" s="101" t="s">
        <v>1804</v>
      </c>
      <c r="AL44" s="346" t="s">
        <v>1839</v>
      </c>
      <c r="AM44" s="101">
        <v>8720</v>
      </c>
      <c r="AP44" s="458" t="s">
        <v>1426</v>
      </c>
      <c r="AQ44" s="101">
        <v>6934</v>
      </c>
      <c r="AR44" s="101" t="s">
        <v>1996</v>
      </c>
      <c r="AT44" s="346" t="s">
        <v>1581</v>
      </c>
      <c r="AU44" s="101">
        <v>10975</v>
      </c>
      <c r="AX44" s="346" t="s">
        <v>1808</v>
      </c>
      <c r="AY44" s="346">
        <v>8340</v>
      </c>
      <c r="BB44" s="346" t="s">
        <v>1704</v>
      </c>
      <c r="BC44" s="101">
        <v>7730</v>
      </c>
      <c r="BF44" s="346" t="s">
        <v>1589</v>
      </c>
      <c r="BG44" s="416">
        <v>15080</v>
      </c>
      <c r="BJ44" s="346" t="s">
        <v>1842</v>
      </c>
      <c r="BK44" s="346">
        <v>10900</v>
      </c>
      <c r="BN44" s="510" t="s">
        <v>1596</v>
      </c>
      <c r="BO44" s="101">
        <v>0</v>
      </c>
      <c r="BP44" s="101" t="s">
        <v>457</v>
      </c>
      <c r="BR44" s="346" t="s">
        <v>1702</v>
      </c>
      <c r="BS44" s="101">
        <v>8818</v>
      </c>
      <c r="BV44" s="346" t="s">
        <v>1963</v>
      </c>
      <c r="BW44" s="101">
        <v>7707</v>
      </c>
    </row>
    <row r="45" spans="1:77" s="474" customFormat="1" x14ac:dyDescent="0.25">
      <c r="A45" s="505">
        <v>42231</v>
      </c>
      <c r="B45" s="473" t="s">
        <v>1615</v>
      </c>
      <c r="C45" s="474">
        <v>8357</v>
      </c>
      <c r="D45" s="474" t="s">
        <v>1804</v>
      </c>
      <c r="E45" s="506" t="s">
        <v>2004</v>
      </c>
      <c r="F45" s="473" t="s">
        <v>1579</v>
      </c>
      <c r="G45" s="474">
        <v>7910</v>
      </c>
      <c r="I45" s="506" t="s">
        <v>1997</v>
      </c>
      <c r="J45" s="475" t="s">
        <v>1870</v>
      </c>
      <c r="K45" s="474">
        <v>8030</v>
      </c>
      <c r="M45" s="506" t="s">
        <v>1998</v>
      </c>
      <c r="N45" s="475" t="s">
        <v>1920</v>
      </c>
      <c r="O45" s="474">
        <v>1222</v>
      </c>
      <c r="Q45" s="506" t="s">
        <v>1999</v>
      </c>
      <c r="R45" s="475" t="s">
        <v>754</v>
      </c>
      <c r="S45" s="474">
        <v>9207</v>
      </c>
      <c r="U45" s="506" t="s">
        <v>2000</v>
      </c>
      <c r="V45" s="475" t="s">
        <v>1938</v>
      </c>
      <c r="W45" s="474">
        <v>6755</v>
      </c>
      <c r="Y45" s="506" t="s">
        <v>1862</v>
      </c>
      <c r="Z45" s="475" t="s">
        <v>1701</v>
      </c>
      <c r="AA45" s="474">
        <v>7990</v>
      </c>
      <c r="AC45" s="506" t="s">
        <v>2004</v>
      </c>
      <c r="AD45" s="473" t="s">
        <v>1694</v>
      </c>
      <c r="AE45" s="474">
        <v>8810</v>
      </c>
      <c r="AG45" s="506" t="s">
        <v>2000</v>
      </c>
      <c r="AH45" s="475" t="s">
        <v>1697</v>
      </c>
      <c r="AI45" s="474">
        <v>10256</v>
      </c>
      <c r="AK45" s="506" t="s">
        <v>2000</v>
      </c>
      <c r="AL45" s="475" t="s">
        <v>1839</v>
      </c>
      <c r="AM45" s="474">
        <v>8720</v>
      </c>
      <c r="AO45" s="506" t="s">
        <v>2000</v>
      </c>
      <c r="AP45" s="473" t="s">
        <v>1426</v>
      </c>
      <c r="AS45" s="506" t="s">
        <v>1862</v>
      </c>
      <c r="AT45" s="475" t="s">
        <v>1581</v>
      </c>
      <c r="AU45" s="474">
        <v>10975</v>
      </c>
      <c r="AW45" s="506" t="s">
        <v>2001</v>
      </c>
      <c r="AX45" s="475" t="s">
        <v>1808</v>
      </c>
      <c r="AY45" s="475">
        <v>8340</v>
      </c>
      <c r="BA45" s="506" t="s">
        <v>2000</v>
      </c>
      <c r="BB45" s="475" t="s">
        <v>1704</v>
      </c>
      <c r="BC45" s="474">
        <v>8210</v>
      </c>
      <c r="BE45" s="506" t="s">
        <v>2000</v>
      </c>
      <c r="BF45" s="475" t="s">
        <v>1589</v>
      </c>
      <c r="BG45" s="474">
        <v>15080</v>
      </c>
      <c r="BI45" s="506"/>
      <c r="BJ45" s="475" t="s">
        <v>1842</v>
      </c>
      <c r="BK45" s="475">
        <v>11430</v>
      </c>
      <c r="BM45" s="506" t="s">
        <v>2000</v>
      </c>
      <c r="BN45" s="475" t="s">
        <v>1596</v>
      </c>
      <c r="BO45" s="474">
        <v>0</v>
      </c>
      <c r="BQ45" s="506" t="s">
        <v>2002</v>
      </c>
      <c r="BR45" s="475" t="s">
        <v>1702</v>
      </c>
      <c r="BS45" s="474">
        <v>8947</v>
      </c>
      <c r="BU45" s="506" t="s">
        <v>2003</v>
      </c>
      <c r="BV45" s="475" t="s">
        <v>1963</v>
      </c>
      <c r="BW45" s="474">
        <v>7707</v>
      </c>
      <c r="BY45" s="506" t="s">
        <v>2000</v>
      </c>
    </row>
    <row r="46" spans="1:77" x14ac:dyDescent="0.25">
      <c r="A46" s="348">
        <v>42232</v>
      </c>
      <c r="B46" s="458" t="s">
        <v>1615</v>
      </c>
      <c r="C46">
        <v>8725</v>
      </c>
      <c r="F46" s="458" t="s">
        <v>1579</v>
      </c>
      <c r="G46" s="101">
        <v>7910</v>
      </c>
      <c r="J46" s="346" t="s">
        <v>1870</v>
      </c>
      <c r="K46">
        <v>8030</v>
      </c>
      <c r="N46" s="346" t="s">
        <v>1920</v>
      </c>
      <c r="O46">
        <v>1222</v>
      </c>
      <c r="R46" s="346" t="s">
        <v>754</v>
      </c>
      <c r="S46">
        <v>9207</v>
      </c>
      <c r="V46" s="346" t="s">
        <v>1938</v>
      </c>
      <c r="W46">
        <v>6852</v>
      </c>
      <c r="Z46" s="346" t="s">
        <v>1701</v>
      </c>
      <c r="AA46" s="101">
        <v>8282</v>
      </c>
      <c r="AD46" s="458" t="s">
        <v>1694</v>
      </c>
      <c r="AE46" s="101">
        <v>8810</v>
      </c>
      <c r="AH46" s="346" t="s">
        <v>1697</v>
      </c>
      <c r="AI46" s="101">
        <v>10302</v>
      </c>
      <c r="AL46" s="346" t="s">
        <v>1839</v>
      </c>
      <c r="AM46" s="101">
        <v>8720</v>
      </c>
      <c r="AP46" s="458" t="s">
        <v>1426</v>
      </c>
      <c r="AQ46" s="101">
        <v>6982</v>
      </c>
      <c r="AT46" s="346" t="s">
        <v>1581</v>
      </c>
      <c r="AU46" s="101">
        <v>10975</v>
      </c>
      <c r="AX46" s="346" t="s">
        <v>1808</v>
      </c>
      <c r="AY46" s="346">
        <v>8340</v>
      </c>
      <c r="BB46" s="346" t="s">
        <v>1704</v>
      </c>
      <c r="BC46" s="101">
        <v>8255</v>
      </c>
      <c r="BF46" s="346" t="s">
        <v>1589</v>
      </c>
      <c r="BG46">
        <v>15080</v>
      </c>
      <c r="BJ46" s="346" t="s">
        <v>1842</v>
      </c>
      <c r="BK46" s="346">
        <v>12010</v>
      </c>
      <c r="BN46" t="s">
        <v>1596</v>
      </c>
      <c r="BO46" s="101">
        <v>0</v>
      </c>
      <c r="BR46" s="346" t="s">
        <v>1702</v>
      </c>
      <c r="BS46" s="101">
        <v>9087</v>
      </c>
      <c r="BV46" s="346" t="s">
        <v>1963</v>
      </c>
      <c r="BW46" s="101">
        <v>7707</v>
      </c>
    </row>
    <row r="47" spans="1:77" x14ac:dyDescent="0.25">
      <c r="A47" s="348">
        <v>42233</v>
      </c>
      <c r="B47" s="458" t="s">
        <v>1615</v>
      </c>
      <c r="C47">
        <v>8725</v>
      </c>
      <c r="F47" s="458" t="s">
        <v>1579</v>
      </c>
      <c r="G47" s="101">
        <v>7910</v>
      </c>
      <c r="H47" s="345" t="s">
        <v>1708</v>
      </c>
      <c r="J47" s="346" t="s">
        <v>1870</v>
      </c>
      <c r="K47">
        <v>8038</v>
      </c>
      <c r="L47" s="345" t="s">
        <v>1903</v>
      </c>
      <c r="N47" s="346" t="s">
        <v>1920</v>
      </c>
      <c r="O47">
        <v>1222</v>
      </c>
      <c r="P47" s="345" t="s">
        <v>1923</v>
      </c>
      <c r="R47" s="346" t="s">
        <v>754</v>
      </c>
      <c r="S47">
        <v>9207</v>
      </c>
      <c r="V47" s="346" t="s">
        <v>1938</v>
      </c>
      <c r="W47">
        <v>7370</v>
      </c>
      <c r="X47" s="345" t="s">
        <v>1804</v>
      </c>
      <c r="Z47" s="346" t="s">
        <v>1701</v>
      </c>
      <c r="AA47" s="101">
        <v>9120</v>
      </c>
      <c r="AB47" s="345" t="s">
        <v>1804</v>
      </c>
      <c r="AD47" s="458" t="s">
        <v>1694</v>
      </c>
      <c r="AE47" s="101">
        <v>9125</v>
      </c>
      <c r="AF47" s="345" t="s">
        <v>1804</v>
      </c>
      <c r="AH47" s="346" t="s">
        <v>1697</v>
      </c>
      <c r="AI47" s="101">
        <v>10558</v>
      </c>
      <c r="AJ47" s="345" t="s">
        <v>1804</v>
      </c>
      <c r="AL47" s="346" t="s">
        <v>1839</v>
      </c>
      <c r="AM47" s="101">
        <v>9126</v>
      </c>
      <c r="AN47" s="345" t="s">
        <v>1804</v>
      </c>
      <c r="AP47" s="458" t="s">
        <v>1426</v>
      </c>
      <c r="AQ47" s="101">
        <v>7070</v>
      </c>
      <c r="AR47" s="345" t="s">
        <v>1903</v>
      </c>
      <c r="AT47" s="346" t="s">
        <v>1581</v>
      </c>
      <c r="AU47" s="101">
        <v>10975</v>
      </c>
      <c r="AV47" s="345" t="s">
        <v>1837</v>
      </c>
      <c r="AX47" s="346" t="s">
        <v>1808</v>
      </c>
      <c r="AY47" s="346">
        <v>8340</v>
      </c>
      <c r="AZ47" s="345" t="s">
        <v>1868</v>
      </c>
      <c r="BB47" s="346" t="s">
        <v>1704</v>
      </c>
      <c r="BC47" s="101">
        <v>8255</v>
      </c>
      <c r="BD47" s="345" t="s">
        <v>1710</v>
      </c>
      <c r="BF47" s="346" t="s">
        <v>1589</v>
      </c>
      <c r="BG47">
        <v>15080</v>
      </c>
      <c r="BH47" s="345" t="s">
        <v>1811</v>
      </c>
      <c r="BJ47" s="346" t="s">
        <v>1842</v>
      </c>
      <c r="BK47" s="346">
        <v>12652</v>
      </c>
      <c r="BL47" s="345" t="s">
        <v>1804</v>
      </c>
      <c r="BN47" t="s">
        <v>1596</v>
      </c>
      <c r="BO47" s="101">
        <v>0</v>
      </c>
      <c r="BP47" s="345" t="s">
        <v>1929</v>
      </c>
      <c r="BR47" s="510" t="s">
        <v>1702</v>
      </c>
      <c r="BS47" s="512">
        <v>9087</v>
      </c>
      <c r="BT47" s="512" t="s">
        <v>1832</v>
      </c>
      <c r="BU47" s="513" t="s">
        <v>2215</v>
      </c>
      <c r="BV47" s="346" t="s">
        <v>1963</v>
      </c>
      <c r="BW47" s="101">
        <v>7707</v>
      </c>
      <c r="BX47" s="345" t="s">
        <v>1832</v>
      </c>
    </row>
    <row r="48" spans="1:77" x14ac:dyDescent="0.25">
      <c r="A48" s="348">
        <v>42234</v>
      </c>
      <c r="B48" s="458" t="s">
        <v>1615</v>
      </c>
      <c r="C48">
        <v>8725</v>
      </c>
      <c r="D48" s="345" t="s">
        <v>1931</v>
      </c>
      <c r="F48" s="458" t="s">
        <v>1579</v>
      </c>
      <c r="G48" s="101">
        <v>7910</v>
      </c>
      <c r="H48" s="345" t="s">
        <v>1708</v>
      </c>
      <c r="J48" s="346" t="s">
        <v>1870</v>
      </c>
      <c r="K48">
        <v>8218</v>
      </c>
      <c r="L48" s="345" t="s">
        <v>1804</v>
      </c>
      <c r="N48" s="346" t="s">
        <v>1920</v>
      </c>
      <c r="O48">
        <v>1900</v>
      </c>
      <c r="P48" s="345" t="s">
        <v>1804</v>
      </c>
      <c r="R48" s="346" t="s">
        <v>754</v>
      </c>
      <c r="S48">
        <v>9207</v>
      </c>
      <c r="V48" s="346" t="s">
        <v>1938</v>
      </c>
      <c r="W48">
        <v>7565</v>
      </c>
      <c r="X48" s="345" t="s">
        <v>1837</v>
      </c>
      <c r="Z48" s="346" t="s">
        <v>1701</v>
      </c>
      <c r="AA48" s="101">
        <v>9395</v>
      </c>
      <c r="AB48" s="345" t="s">
        <v>1837</v>
      </c>
      <c r="AD48" s="458" t="s">
        <v>1694</v>
      </c>
      <c r="AE48" s="101">
        <v>9611</v>
      </c>
      <c r="AF48" s="345" t="s">
        <v>2403</v>
      </c>
      <c r="AH48" s="346" t="s">
        <v>1697</v>
      </c>
      <c r="AI48" s="101">
        <v>10750</v>
      </c>
      <c r="AJ48" s="345" t="s">
        <v>1804</v>
      </c>
      <c r="AL48" s="346" t="s">
        <v>1839</v>
      </c>
      <c r="AM48" s="101">
        <v>9167</v>
      </c>
      <c r="AN48" s="345" t="s">
        <v>1852</v>
      </c>
      <c r="AP48" s="458" t="s">
        <v>1426</v>
      </c>
      <c r="AQ48" s="101">
        <v>7145</v>
      </c>
      <c r="AR48" s="345" t="s">
        <v>1804</v>
      </c>
      <c r="AT48" s="346" t="s">
        <v>1581</v>
      </c>
      <c r="AU48" s="101">
        <v>10975</v>
      </c>
      <c r="AV48" s="345" t="s">
        <v>1814</v>
      </c>
      <c r="AX48" s="346" t="s">
        <v>1808</v>
      </c>
      <c r="AY48" s="346">
        <v>8340</v>
      </c>
      <c r="AZ48" s="345" t="s">
        <v>1923</v>
      </c>
      <c r="BB48" s="346" t="s">
        <v>1704</v>
      </c>
      <c r="BC48" s="101">
        <v>8255</v>
      </c>
      <c r="BD48" s="345" t="s">
        <v>1850</v>
      </c>
      <c r="BF48" s="346" t="s">
        <v>1589</v>
      </c>
      <c r="BG48">
        <v>15080</v>
      </c>
      <c r="BH48" s="345" t="s">
        <v>1850</v>
      </c>
      <c r="BJ48" s="346" t="s">
        <v>1842</v>
      </c>
      <c r="BK48" s="346">
        <v>12688</v>
      </c>
      <c r="BL48" s="345" t="s">
        <v>1814</v>
      </c>
      <c r="BN48" t="s">
        <v>1596</v>
      </c>
      <c r="BO48" s="101">
        <v>0</v>
      </c>
      <c r="BP48" s="345" t="s">
        <v>1711</v>
      </c>
      <c r="BR48" s="346" t="s">
        <v>1702</v>
      </c>
      <c r="BS48" s="101">
        <v>8880</v>
      </c>
      <c r="BT48" s="345" t="s">
        <v>1804</v>
      </c>
      <c r="BV48" s="346" t="s">
        <v>1963</v>
      </c>
      <c r="BW48" s="101">
        <v>7722</v>
      </c>
      <c r="BX48" s="345" t="s">
        <v>1832</v>
      </c>
    </row>
    <row r="49" spans="1:77" x14ac:dyDescent="0.25">
      <c r="A49" s="348">
        <v>42235</v>
      </c>
      <c r="B49" s="458" t="s">
        <v>1615</v>
      </c>
      <c r="C49">
        <v>8725</v>
      </c>
      <c r="D49" s="345" t="s">
        <v>1837</v>
      </c>
      <c r="F49" s="458" t="s">
        <v>1579</v>
      </c>
      <c r="G49" s="101">
        <v>7910</v>
      </c>
      <c r="H49" s="345" t="s">
        <v>1708</v>
      </c>
      <c r="J49" s="346" t="s">
        <v>1870</v>
      </c>
      <c r="K49">
        <v>8611</v>
      </c>
      <c r="L49" s="345" t="s">
        <v>1837</v>
      </c>
      <c r="N49" s="346" t="s">
        <v>1920</v>
      </c>
      <c r="O49">
        <v>2500</v>
      </c>
      <c r="R49" s="346" t="s">
        <v>754</v>
      </c>
      <c r="S49">
        <v>9207</v>
      </c>
      <c r="V49" s="346" t="s">
        <v>1938</v>
      </c>
      <c r="W49">
        <v>7565</v>
      </c>
      <c r="X49" s="345" t="s">
        <v>1852</v>
      </c>
      <c r="Z49" s="346" t="s">
        <v>1701</v>
      </c>
      <c r="AA49" s="101">
        <v>9395</v>
      </c>
      <c r="AB49" s="345" t="s">
        <v>1852</v>
      </c>
      <c r="AD49" s="458" t="s">
        <v>1694</v>
      </c>
      <c r="AE49" s="101">
        <v>9611</v>
      </c>
      <c r="AF49" s="345" t="s">
        <v>1832</v>
      </c>
      <c r="AH49" s="346" t="s">
        <v>1697</v>
      </c>
      <c r="AI49" s="101">
        <v>11005</v>
      </c>
      <c r="AJ49" s="345" t="s">
        <v>1804</v>
      </c>
      <c r="AL49" s="346" t="s">
        <v>1839</v>
      </c>
      <c r="AM49" s="101">
        <v>9167</v>
      </c>
      <c r="AN49" s="345" t="s">
        <v>1868</v>
      </c>
      <c r="AP49" s="458" t="s">
        <v>1426</v>
      </c>
      <c r="AQ49" s="101">
        <v>7560</v>
      </c>
      <c r="AR49" s="345" t="s">
        <v>1804</v>
      </c>
      <c r="AT49" s="346" t="s">
        <v>1581</v>
      </c>
      <c r="AU49" s="101">
        <v>10975</v>
      </c>
      <c r="AV49" s="345" t="s">
        <v>1837</v>
      </c>
      <c r="AX49" s="346" t="s">
        <v>1808</v>
      </c>
      <c r="AY49" s="346">
        <v>8340</v>
      </c>
      <c r="AZ49" s="345" t="s">
        <v>1832</v>
      </c>
      <c r="BB49" s="346" t="s">
        <v>1704</v>
      </c>
      <c r="BC49" s="101">
        <v>8255</v>
      </c>
      <c r="BD49" s="345" t="s">
        <v>1850</v>
      </c>
      <c r="BF49" s="346" t="s">
        <v>1589</v>
      </c>
      <c r="BG49">
        <v>15080</v>
      </c>
      <c r="BH49" s="345" t="s">
        <v>1850</v>
      </c>
      <c r="BJ49" s="346" t="s">
        <v>1842</v>
      </c>
      <c r="BK49" s="346">
        <v>12688</v>
      </c>
      <c r="BL49" s="345" t="s">
        <v>1903</v>
      </c>
      <c r="BN49" t="s">
        <v>1596</v>
      </c>
      <c r="BO49" s="101">
        <v>0</v>
      </c>
      <c r="BP49" s="345" t="s">
        <v>2405</v>
      </c>
      <c r="BQ49" s="451" t="s">
        <v>2412</v>
      </c>
      <c r="BR49" s="346" t="s">
        <v>1702</v>
      </c>
      <c r="BS49" s="101">
        <v>8975</v>
      </c>
      <c r="BT49" s="345" t="s">
        <v>1804</v>
      </c>
      <c r="BV49" s="346" t="s">
        <v>1963</v>
      </c>
      <c r="BW49" s="101">
        <v>8085</v>
      </c>
      <c r="BX49" s="345" t="s">
        <v>1804</v>
      </c>
    </row>
    <row r="50" spans="1:77" x14ac:dyDescent="0.25">
      <c r="A50" s="348">
        <v>42236</v>
      </c>
      <c r="B50" s="458" t="s">
        <v>1615</v>
      </c>
      <c r="C50">
        <v>8800</v>
      </c>
      <c r="D50" s="345" t="s">
        <v>1804</v>
      </c>
      <c r="E50" s="451" t="s">
        <v>2408</v>
      </c>
      <c r="F50" s="458" t="s">
        <v>1579</v>
      </c>
      <c r="G50" s="101">
        <v>7910</v>
      </c>
      <c r="H50" s="345" t="s">
        <v>1837</v>
      </c>
      <c r="J50" s="346" t="s">
        <v>1870</v>
      </c>
      <c r="K50">
        <v>8692</v>
      </c>
      <c r="L50" s="345" t="s">
        <v>1804</v>
      </c>
      <c r="M50" s="451" t="s">
        <v>1998</v>
      </c>
      <c r="N50" s="346" t="s">
        <v>1920</v>
      </c>
      <c r="O50">
        <v>3700</v>
      </c>
      <c r="P50" s="345" t="s">
        <v>1804</v>
      </c>
      <c r="R50" s="346" t="s">
        <v>754</v>
      </c>
      <c r="S50">
        <v>9207</v>
      </c>
      <c r="T50" s="345" t="s">
        <v>1805</v>
      </c>
      <c r="U50" s="451" t="s">
        <v>2408</v>
      </c>
      <c r="V50" s="346" t="s">
        <v>1938</v>
      </c>
      <c r="W50">
        <v>7565</v>
      </c>
      <c r="X50" s="345" t="s">
        <v>1957</v>
      </c>
      <c r="Y50" s="451" t="s">
        <v>2000</v>
      </c>
      <c r="Z50" s="346" t="s">
        <v>1701</v>
      </c>
      <c r="AA50" s="101">
        <v>9395</v>
      </c>
      <c r="AB50" s="345" t="s">
        <v>1836</v>
      </c>
      <c r="AD50" s="458" t="s">
        <v>1694</v>
      </c>
      <c r="AE50" s="101">
        <v>9611</v>
      </c>
      <c r="AF50" s="345" t="s">
        <v>1852</v>
      </c>
      <c r="AG50" s="451" t="s">
        <v>2000</v>
      </c>
      <c r="AH50" s="568" t="s">
        <v>1697</v>
      </c>
      <c r="AI50" s="101">
        <v>11100</v>
      </c>
      <c r="AJ50" s="345" t="s">
        <v>1837</v>
      </c>
      <c r="AL50" s="346" t="s">
        <v>1839</v>
      </c>
      <c r="AM50" s="101">
        <v>9167</v>
      </c>
      <c r="AN50" s="345" t="s">
        <v>1841</v>
      </c>
      <c r="AP50" s="458" t="s">
        <v>1426</v>
      </c>
      <c r="AQ50" s="101">
        <v>7955</v>
      </c>
      <c r="AR50" s="345" t="s">
        <v>1804</v>
      </c>
      <c r="AS50" s="451" t="s">
        <v>2000</v>
      </c>
      <c r="AT50" s="346" t="s">
        <v>1581</v>
      </c>
      <c r="AU50" s="101">
        <v>10975</v>
      </c>
      <c r="AV50" s="345" t="s">
        <v>1974</v>
      </c>
      <c r="AX50" s="346" t="s">
        <v>1808</v>
      </c>
      <c r="AY50" s="346">
        <v>8360</v>
      </c>
      <c r="AZ50" s="345" t="s">
        <v>1903</v>
      </c>
      <c r="BB50" s="346" t="s">
        <v>1704</v>
      </c>
      <c r="BC50" s="101">
        <v>8255</v>
      </c>
      <c r="BD50" s="345" t="s">
        <v>1832</v>
      </c>
      <c r="BF50" s="346" t="s">
        <v>1589</v>
      </c>
      <c r="BG50">
        <v>15080</v>
      </c>
      <c r="BH50" s="345" t="s">
        <v>1850</v>
      </c>
      <c r="BJ50" s="346" t="s">
        <v>1842</v>
      </c>
      <c r="BK50" s="346">
        <v>12688</v>
      </c>
      <c r="BL50" s="345" t="s">
        <v>1852</v>
      </c>
      <c r="BM50" s="451" t="s">
        <v>2000</v>
      </c>
      <c r="BN50" t="s">
        <v>1596</v>
      </c>
      <c r="BO50" s="101">
        <v>0</v>
      </c>
      <c r="BP50" s="345" t="s">
        <v>1945</v>
      </c>
      <c r="BR50" s="346" t="s">
        <v>1702</v>
      </c>
      <c r="BS50" s="101">
        <v>9212</v>
      </c>
      <c r="BT50" s="345" t="s">
        <v>1837</v>
      </c>
      <c r="BV50" s="346" t="s">
        <v>1963</v>
      </c>
      <c r="BW50" s="101">
        <v>8585</v>
      </c>
      <c r="BX50" s="345" t="s">
        <v>1804</v>
      </c>
      <c r="BY50" s="451" t="s">
        <v>2000</v>
      </c>
    </row>
    <row r="51" spans="1:77" x14ac:dyDescent="0.25">
      <c r="A51" s="348">
        <v>42237</v>
      </c>
      <c r="B51" s="458" t="s">
        <v>1615</v>
      </c>
      <c r="C51">
        <v>8857</v>
      </c>
      <c r="D51" s="345" t="s">
        <v>2409</v>
      </c>
      <c r="F51" s="458" t="s">
        <v>1579</v>
      </c>
      <c r="G51" s="101">
        <v>7910</v>
      </c>
      <c r="H51" s="345" t="s">
        <v>1837</v>
      </c>
      <c r="J51" s="346" t="s">
        <v>1870</v>
      </c>
      <c r="K51">
        <v>9325</v>
      </c>
      <c r="L51" s="345" t="s">
        <v>1804</v>
      </c>
      <c r="N51" s="346" t="s">
        <v>1920</v>
      </c>
      <c r="O51">
        <v>4600</v>
      </c>
      <c r="P51" s="416" t="s">
        <v>1804</v>
      </c>
      <c r="R51" s="346" t="s">
        <v>754</v>
      </c>
      <c r="S51">
        <v>9207</v>
      </c>
      <c r="T51" s="416" t="s">
        <v>1805</v>
      </c>
      <c r="V51" s="346" t="s">
        <v>1938</v>
      </c>
      <c r="W51">
        <v>7565</v>
      </c>
      <c r="X51" s="345" t="s">
        <v>1837</v>
      </c>
      <c r="Z51" s="346" t="s">
        <v>1701</v>
      </c>
      <c r="AA51" s="101">
        <v>9395</v>
      </c>
      <c r="AB51" s="345" t="s">
        <v>1868</v>
      </c>
      <c r="AD51" s="458" t="s">
        <v>1694</v>
      </c>
      <c r="AE51" s="101">
        <v>9611</v>
      </c>
      <c r="AF51" s="345" t="s">
        <v>1811</v>
      </c>
      <c r="AH51" s="346" t="s">
        <v>1697</v>
      </c>
      <c r="AI51" s="101">
        <v>11100</v>
      </c>
      <c r="AJ51" s="416" t="s">
        <v>1837</v>
      </c>
      <c r="AL51" s="346" t="s">
        <v>1839</v>
      </c>
      <c r="AM51" s="101">
        <v>9167</v>
      </c>
      <c r="AN51" s="416" t="s">
        <v>1832</v>
      </c>
      <c r="AP51" s="458" t="s">
        <v>1426</v>
      </c>
      <c r="AQ51" s="101">
        <v>8923</v>
      </c>
      <c r="AR51" s="345" t="s">
        <v>1837</v>
      </c>
      <c r="AT51" s="346" t="s">
        <v>1581</v>
      </c>
      <c r="AU51" s="101">
        <v>10975</v>
      </c>
      <c r="AV51" s="345" t="s">
        <v>1974</v>
      </c>
      <c r="AX51" s="346" t="s">
        <v>1808</v>
      </c>
      <c r="AY51" s="346">
        <v>8621</v>
      </c>
      <c r="AZ51" s="345" t="s">
        <v>1974</v>
      </c>
      <c r="BB51" s="346" t="s">
        <v>1704</v>
      </c>
      <c r="BC51" s="101">
        <v>8255</v>
      </c>
      <c r="BD51" s="345" t="s">
        <v>1832</v>
      </c>
      <c r="BF51" s="346" t="s">
        <v>1589</v>
      </c>
      <c r="BG51" s="416">
        <v>15080</v>
      </c>
      <c r="BH51" s="416" t="s">
        <v>1850</v>
      </c>
      <c r="BJ51" s="346" t="s">
        <v>1842</v>
      </c>
      <c r="BK51" s="416">
        <v>12688</v>
      </c>
      <c r="BN51" s="416" t="s">
        <v>1596</v>
      </c>
      <c r="BO51" s="101">
        <v>0</v>
      </c>
      <c r="BP51" s="345" t="s">
        <v>1836</v>
      </c>
      <c r="BR51" s="346" t="s">
        <v>1702</v>
      </c>
      <c r="BS51" s="101">
        <v>9212</v>
      </c>
      <c r="BT51" s="345" t="s">
        <v>1852</v>
      </c>
      <c r="BV51" s="346" t="s">
        <v>1963</v>
      </c>
      <c r="BW51" s="101">
        <v>8925</v>
      </c>
      <c r="BX51" s="345" t="s">
        <v>1974</v>
      </c>
    </row>
    <row r="52" spans="1:77" x14ac:dyDescent="0.25">
      <c r="A52" s="348">
        <v>42238</v>
      </c>
      <c r="B52" s="458" t="s">
        <v>1615</v>
      </c>
      <c r="C52">
        <v>8857</v>
      </c>
      <c r="D52" s="345" t="s">
        <v>2409</v>
      </c>
      <c r="F52" s="458" t="s">
        <v>1579</v>
      </c>
      <c r="G52" s="101">
        <v>7910</v>
      </c>
      <c r="H52" s="345" t="s">
        <v>1708</v>
      </c>
      <c r="J52" s="346" t="s">
        <v>1870</v>
      </c>
      <c r="K52">
        <v>9924</v>
      </c>
      <c r="L52" s="345" t="s">
        <v>1804</v>
      </c>
      <c r="M52" s="451" t="s">
        <v>1998</v>
      </c>
      <c r="N52" s="346" t="s">
        <v>1920</v>
      </c>
      <c r="O52">
        <v>4640</v>
      </c>
      <c r="P52" s="345" t="s">
        <v>1850</v>
      </c>
      <c r="R52" s="568" t="s">
        <v>754</v>
      </c>
      <c r="S52" s="50">
        <v>9207</v>
      </c>
      <c r="T52" s="50" t="s">
        <v>2410</v>
      </c>
      <c r="U52" s="570"/>
      <c r="V52" s="346" t="s">
        <v>1938</v>
      </c>
      <c r="W52">
        <v>7565</v>
      </c>
      <c r="X52" s="345" t="s">
        <v>1894</v>
      </c>
      <c r="Z52" s="346" t="s">
        <v>1701</v>
      </c>
      <c r="AA52" s="101">
        <v>9395</v>
      </c>
      <c r="AB52" s="345" t="s">
        <v>1868</v>
      </c>
      <c r="AD52" s="458" t="s">
        <v>1694</v>
      </c>
      <c r="AE52" s="101">
        <v>9611</v>
      </c>
      <c r="AF52" s="345" t="s">
        <v>1805</v>
      </c>
      <c r="AH52" s="346" t="s">
        <v>1697</v>
      </c>
      <c r="AI52" s="101">
        <v>11100</v>
      </c>
      <c r="AJ52" s="345" t="s">
        <v>2411</v>
      </c>
      <c r="AK52" s="451" t="s">
        <v>2000</v>
      </c>
      <c r="AL52" s="346" t="s">
        <v>1839</v>
      </c>
      <c r="AM52" s="101">
        <v>9177</v>
      </c>
      <c r="AN52" s="345" t="s">
        <v>1805</v>
      </c>
      <c r="AP52" s="458" t="s">
        <v>1426</v>
      </c>
      <c r="AQ52" s="101">
        <v>8293</v>
      </c>
      <c r="AR52" s="345" t="s">
        <v>1814</v>
      </c>
      <c r="AS52" s="451" t="s">
        <v>2000</v>
      </c>
      <c r="AT52" s="346" t="s">
        <v>1581</v>
      </c>
      <c r="AU52" s="101">
        <v>10975</v>
      </c>
      <c r="AV52" s="345" t="s">
        <v>1837</v>
      </c>
      <c r="AX52" s="346" t="s">
        <v>1808</v>
      </c>
      <c r="AY52" s="346">
        <v>8691</v>
      </c>
      <c r="AZ52" s="345" t="s">
        <v>1804</v>
      </c>
      <c r="BB52" s="510" t="s">
        <v>1704</v>
      </c>
      <c r="BC52" s="512">
        <v>8255</v>
      </c>
      <c r="BD52" s="512" t="s">
        <v>1837</v>
      </c>
      <c r="BE52" s="513" t="s">
        <v>2414</v>
      </c>
      <c r="BF52" s="346" t="s">
        <v>1589</v>
      </c>
      <c r="BG52">
        <v>15080</v>
      </c>
      <c r="BH52" s="345" t="s">
        <v>1850</v>
      </c>
      <c r="BJ52" s="346" t="s">
        <v>1842</v>
      </c>
      <c r="BK52">
        <v>12688</v>
      </c>
      <c r="BL52" s="345" t="s">
        <v>1805</v>
      </c>
      <c r="BN52" t="s">
        <v>1596</v>
      </c>
      <c r="BO52" s="101">
        <v>6920</v>
      </c>
      <c r="BR52" s="346" t="s">
        <v>1702</v>
      </c>
      <c r="BS52" s="101">
        <v>9212</v>
      </c>
      <c r="BT52" s="345" t="s">
        <v>1805</v>
      </c>
      <c r="BV52" s="346" t="s">
        <v>1963</v>
      </c>
      <c r="BW52" s="101">
        <v>8925</v>
      </c>
      <c r="BX52" s="345" t="s">
        <v>1852</v>
      </c>
      <c r="BY52" s="451" t="s">
        <v>2000</v>
      </c>
    </row>
    <row r="53" spans="1:77" x14ac:dyDescent="0.25">
      <c r="A53" s="348">
        <v>42239</v>
      </c>
      <c r="B53" s="458" t="s">
        <v>1615</v>
      </c>
      <c r="C53">
        <v>8857</v>
      </c>
      <c r="D53" s="345" t="s">
        <v>1850</v>
      </c>
      <c r="F53" s="458" t="s">
        <v>1579</v>
      </c>
      <c r="G53" s="101">
        <v>7910</v>
      </c>
      <c r="H53" s="345" t="s">
        <v>1708</v>
      </c>
      <c r="J53" s="346" t="s">
        <v>1870</v>
      </c>
      <c r="K53">
        <v>10455</v>
      </c>
      <c r="L53" s="345" t="s">
        <v>1804</v>
      </c>
      <c r="N53" s="346" t="s">
        <v>1920</v>
      </c>
      <c r="O53">
        <v>4840</v>
      </c>
      <c r="P53" s="345" t="s">
        <v>1804</v>
      </c>
      <c r="R53" s="346" t="s">
        <v>1447</v>
      </c>
      <c r="S53">
        <v>0</v>
      </c>
      <c r="T53" s="345" t="s">
        <v>2415</v>
      </c>
      <c r="V53" s="346" t="s">
        <v>1938</v>
      </c>
      <c r="W53">
        <v>7565</v>
      </c>
      <c r="Z53" s="346" t="s">
        <v>1701</v>
      </c>
      <c r="AA53" s="101">
        <v>9395</v>
      </c>
      <c r="AB53" s="345" t="s">
        <v>2416</v>
      </c>
      <c r="AD53" s="458" t="s">
        <v>1694</v>
      </c>
      <c r="AE53" s="101">
        <v>9611</v>
      </c>
      <c r="AF53" s="345" t="s">
        <v>1805</v>
      </c>
      <c r="AH53" s="346" t="s">
        <v>1697</v>
      </c>
      <c r="AI53" s="101">
        <v>11100</v>
      </c>
      <c r="AJ53" s="345" t="s">
        <v>1805</v>
      </c>
      <c r="AL53" s="346" t="s">
        <v>1839</v>
      </c>
      <c r="AM53" s="101">
        <v>9202</v>
      </c>
      <c r="AN53" s="345" t="s">
        <v>1804</v>
      </c>
      <c r="AP53" s="458" t="s">
        <v>1426</v>
      </c>
      <c r="AQ53" s="101">
        <v>8293</v>
      </c>
      <c r="AR53" s="345" t="s">
        <v>1814</v>
      </c>
      <c r="AT53" s="346" t="s">
        <v>1581</v>
      </c>
      <c r="AU53" s="101">
        <v>10975</v>
      </c>
      <c r="AX53" s="346" t="s">
        <v>1808</v>
      </c>
      <c r="AY53" s="346">
        <v>8621</v>
      </c>
      <c r="AZ53" s="345" t="s">
        <v>1852</v>
      </c>
      <c r="BB53" s="346" t="s">
        <v>1704</v>
      </c>
      <c r="BC53" s="101">
        <v>8255</v>
      </c>
      <c r="BF53" s="346" t="s">
        <v>1589</v>
      </c>
      <c r="BG53">
        <v>15080</v>
      </c>
      <c r="BH53" s="345" t="s">
        <v>1850</v>
      </c>
      <c r="BJ53" s="346" t="s">
        <v>1842</v>
      </c>
      <c r="BK53">
        <v>12688</v>
      </c>
      <c r="BL53" s="345" t="s">
        <v>1805</v>
      </c>
      <c r="BN53" t="s">
        <v>1596</v>
      </c>
      <c r="BO53" s="101">
        <v>6937</v>
      </c>
      <c r="BP53" s="345" t="s">
        <v>1708</v>
      </c>
      <c r="BR53" s="346" t="s">
        <v>1702</v>
      </c>
      <c r="BS53" s="101">
        <v>9212</v>
      </c>
      <c r="BT53" s="345" t="s">
        <v>1805</v>
      </c>
      <c r="BV53" s="346" t="s">
        <v>1963</v>
      </c>
      <c r="BW53" s="101">
        <v>8925</v>
      </c>
      <c r="BX53" s="345" t="s">
        <v>1868</v>
      </c>
    </row>
  </sheetData>
  <sortState columnSort="1" ref="B1:BY27">
    <sortCondition ref="B5:BY5"/>
    <sortCondition ref="B4:BY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31"/>
  <sheetViews>
    <sheetView workbookViewId="0">
      <selection activeCell="L43" sqref="L43"/>
    </sheetView>
  </sheetViews>
  <sheetFormatPr defaultColWidth="8.85546875" defaultRowHeight="15" x14ac:dyDescent="0.25"/>
  <cols>
    <col min="4" max="4" width="14" bestFit="1" customWidth="1"/>
    <col min="5" max="5" width="16.7109375" customWidth="1"/>
    <col min="6" max="6" width="14" style="28" customWidth="1"/>
    <col min="7" max="7" width="14" customWidth="1"/>
    <col min="8" max="8" width="14" style="28" customWidth="1"/>
    <col min="10" max="10" width="12.5703125" customWidth="1"/>
    <col min="11" max="11" width="30.42578125" style="119" customWidth="1"/>
    <col min="12" max="12" width="30.42578125" style="416" customWidth="1"/>
    <col min="13" max="13" width="38.28515625" style="416" customWidth="1"/>
    <col min="14" max="14" width="10.42578125" customWidth="1"/>
    <col min="15" max="15" width="17.85546875" customWidth="1"/>
    <col min="16" max="16" width="19.5703125" customWidth="1"/>
    <col min="17" max="17" width="19.28515625" customWidth="1"/>
    <col min="18" max="18" width="15.5703125" customWidth="1"/>
    <col min="19" max="19" width="23.5703125" customWidth="1"/>
    <col min="20" max="20" width="17.140625" customWidth="1"/>
    <col min="21" max="21" width="23" customWidth="1"/>
    <col min="22" max="22" width="25.28515625" customWidth="1"/>
    <col min="27" max="27" width="16.42578125" customWidth="1"/>
  </cols>
  <sheetData>
    <row r="1" spans="1:30" x14ac:dyDescent="0.25">
      <c r="A1" s="11" t="s">
        <v>452</v>
      </c>
      <c r="B1" s="11" t="s">
        <v>453</v>
      </c>
      <c r="C1" s="11" t="s">
        <v>454</v>
      </c>
      <c r="D1" s="583" t="s">
        <v>463</v>
      </c>
      <c r="E1" s="583"/>
      <c r="F1" s="583"/>
      <c r="G1" s="583"/>
      <c r="H1" s="48"/>
      <c r="I1" s="45"/>
      <c r="J1" s="45"/>
      <c r="K1" s="271"/>
      <c r="L1" s="271"/>
      <c r="M1" s="271"/>
    </row>
    <row r="2" spans="1:30" x14ac:dyDescent="0.25">
      <c r="A2" s="11"/>
      <c r="B2" s="11"/>
      <c r="C2" s="11"/>
      <c r="D2" s="45" t="s">
        <v>17</v>
      </c>
      <c r="E2" s="45" t="s">
        <v>22</v>
      </c>
      <c r="F2" s="45" t="s">
        <v>29</v>
      </c>
      <c r="G2" s="45" t="s">
        <v>817</v>
      </c>
      <c r="H2" s="45" t="s">
        <v>813</v>
      </c>
      <c r="I2" s="45" t="s">
        <v>464</v>
      </c>
      <c r="J2" s="45" t="s">
        <v>465</v>
      </c>
      <c r="K2" s="271" t="s">
        <v>1397</v>
      </c>
      <c r="L2" s="271" t="s">
        <v>1901</v>
      </c>
      <c r="M2" s="271" t="s">
        <v>1900</v>
      </c>
      <c r="AA2" s="43"/>
      <c r="AB2" s="43"/>
      <c r="AC2" s="43"/>
      <c r="AD2" s="43"/>
    </row>
    <row r="3" spans="1:30" x14ac:dyDescent="0.25">
      <c r="A3" s="44">
        <v>41000</v>
      </c>
      <c r="B3" s="16">
        <v>7</v>
      </c>
      <c r="C3" s="16"/>
      <c r="N3" s="584" t="s">
        <v>455</v>
      </c>
      <c r="O3" s="585"/>
      <c r="P3" s="585"/>
      <c r="Q3" s="585"/>
      <c r="R3" s="585"/>
      <c r="S3" s="585"/>
      <c r="T3" s="585"/>
      <c r="U3" s="585"/>
      <c r="V3" s="585"/>
      <c r="W3" s="585"/>
      <c r="X3" s="586"/>
      <c r="AA3" s="43"/>
      <c r="AB3" s="43"/>
      <c r="AC3" s="43"/>
      <c r="AD3" s="43"/>
    </row>
    <row r="4" spans="1:30" x14ac:dyDescent="0.25">
      <c r="A4" s="44">
        <v>41030</v>
      </c>
      <c r="B4" s="16">
        <v>10</v>
      </c>
      <c r="C4" s="16"/>
      <c r="N4" s="11" t="s">
        <v>456</v>
      </c>
      <c r="O4" s="11" t="s">
        <v>457</v>
      </c>
      <c r="P4" s="11" t="s">
        <v>458</v>
      </c>
      <c r="Q4" s="11" t="s">
        <v>425</v>
      </c>
      <c r="R4" s="11" t="s">
        <v>459</v>
      </c>
      <c r="S4" s="11" t="s">
        <v>467</v>
      </c>
      <c r="T4" s="11" t="s">
        <v>460</v>
      </c>
      <c r="U4" s="11" t="s">
        <v>461</v>
      </c>
      <c r="V4" s="11"/>
      <c r="W4" s="11"/>
      <c r="X4" s="11"/>
      <c r="AA4" s="43"/>
      <c r="AB4" s="43"/>
      <c r="AC4" s="43"/>
      <c r="AD4" s="43"/>
    </row>
    <row r="5" spans="1:30" x14ac:dyDescent="0.25">
      <c r="A5" s="44">
        <v>41061</v>
      </c>
      <c r="B5" s="16">
        <v>10</v>
      </c>
      <c r="C5" s="16"/>
      <c r="E5" t="s">
        <v>819</v>
      </c>
      <c r="N5" s="42" t="str">
        <f>'Well Data-NK'!A109</f>
        <v>RA-0123</v>
      </c>
      <c r="O5" s="42">
        <f>'Well Data-NK'!U109</f>
        <v>4</v>
      </c>
      <c r="P5" s="42">
        <f>'Well Data-NK'!Q109</f>
        <v>36</v>
      </c>
      <c r="Q5" s="42">
        <f>'Well Data-NK'!V109</f>
        <v>40</v>
      </c>
      <c r="R5" s="42" t="str">
        <f>'Well Data-NK'!R109</f>
        <v/>
      </c>
      <c r="S5" s="42" t="e">
        <f>'Well Data-NK'!T109</f>
        <v>#N/A</v>
      </c>
      <c r="T5" s="42" t="e">
        <f>'Well Data-NK'!AM109</f>
        <v>#VALUE!</v>
      </c>
      <c r="U5" s="16" t="e">
        <f>S5</f>
        <v>#N/A</v>
      </c>
      <c r="V5" s="16">
        <v>0</v>
      </c>
      <c r="W5" s="16">
        <v>0</v>
      </c>
      <c r="X5" s="16"/>
      <c r="AA5" s="43"/>
      <c r="AB5" s="43"/>
      <c r="AC5" s="43"/>
      <c r="AD5" s="43"/>
    </row>
    <row r="6" spans="1:30" x14ac:dyDescent="0.25">
      <c r="A6" s="44">
        <v>41091</v>
      </c>
      <c r="B6" s="16">
        <v>10</v>
      </c>
      <c r="C6" s="16"/>
      <c r="E6" s="16" t="s">
        <v>818</v>
      </c>
      <c r="F6" s="66"/>
      <c r="G6" s="66" t="s">
        <v>307</v>
      </c>
      <c r="H6" s="66"/>
      <c r="I6" s="587" t="s">
        <v>815</v>
      </c>
      <c r="J6" s="588"/>
      <c r="K6" s="270"/>
      <c r="L6" s="477"/>
      <c r="M6" s="477"/>
      <c r="N6" s="42" t="str">
        <f>'Well Data-NK'!A110</f>
        <v>RA-0169</v>
      </c>
      <c r="O6" s="42">
        <f>'Well Data-NK'!U110</f>
        <v>2.5625</v>
      </c>
      <c r="P6" s="42">
        <f>'Well Data-NK'!Q110</f>
        <v>37.520833333335759</v>
      </c>
      <c r="Q6" s="42">
        <f>'Well Data-NK'!V110</f>
        <v>40.083333333335759</v>
      </c>
      <c r="R6" s="42">
        <f>'Well Data-NK'!R110</f>
        <v>54</v>
      </c>
      <c r="S6" s="42">
        <f>'Well Data-NK'!T110</f>
        <v>25</v>
      </c>
      <c r="T6" s="42">
        <f>'Well Data-NK'!AM110</f>
        <v>-13.916666666664241</v>
      </c>
      <c r="U6" s="16">
        <f t="shared" ref="U6:U40" si="0">S6</f>
        <v>25</v>
      </c>
      <c r="V6" s="16">
        <v>180</v>
      </c>
      <c r="W6" s="16">
        <v>180</v>
      </c>
      <c r="X6" s="16"/>
      <c r="AA6" s="43"/>
      <c r="AB6" s="43"/>
      <c r="AC6" s="43"/>
      <c r="AD6" s="43"/>
    </row>
    <row r="7" spans="1:30" x14ac:dyDescent="0.25">
      <c r="A7" s="44">
        <v>41122</v>
      </c>
      <c r="B7" s="16">
        <v>11</v>
      </c>
      <c r="C7" s="16"/>
      <c r="E7" s="16" t="s">
        <v>7</v>
      </c>
      <c r="F7" s="16" t="s">
        <v>603</v>
      </c>
      <c r="G7" s="16" t="s">
        <v>814</v>
      </c>
      <c r="H7" s="16" t="s">
        <v>815</v>
      </c>
      <c r="I7" s="89" t="s">
        <v>14</v>
      </c>
      <c r="J7" s="89" t="s">
        <v>18</v>
      </c>
      <c r="K7" s="89"/>
      <c r="L7" s="89"/>
      <c r="M7" s="89"/>
      <c r="N7" s="42" t="str">
        <f>'Well Data-NK'!A111</f>
        <v>SA-0554</v>
      </c>
      <c r="O7" s="42">
        <f>'Well Data-NK'!U111</f>
        <v>3.5833333333357587</v>
      </c>
      <c r="P7" s="42">
        <f>'Well Data-NK'!Q111</f>
        <v>48.125</v>
      </c>
      <c r="Q7" s="42">
        <f>'Well Data-NK'!V111</f>
        <v>51.708333333335759</v>
      </c>
      <c r="R7" s="42">
        <f>'Well Data-NK'!R111</f>
        <v>75</v>
      </c>
      <c r="S7" s="42">
        <f>'Well Data-NK'!T111</f>
        <v>33</v>
      </c>
      <c r="T7" s="42">
        <f>'Well Data-NK'!AM111</f>
        <v>-23.291666666664241</v>
      </c>
      <c r="U7" s="16">
        <f t="shared" si="0"/>
        <v>33</v>
      </c>
      <c r="V7" s="16"/>
      <c r="W7" s="16"/>
      <c r="X7" s="16"/>
      <c r="AA7" s="43"/>
      <c r="AB7" s="43"/>
      <c r="AC7" s="43"/>
      <c r="AD7" s="43"/>
    </row>
    <row r="8" spans="1:30" x14ac:dyDescent="0.25">
      <c r="A8" s="44">
        <v>41153</v>
      </c>
      <c r="B8" s="16">
        <v>12</v>
      </c>
      <c r="C8" s="16"/>
      <c r="E8" s="16" t="s">
        <v>17</v>
      </c>
      <c r="F8" s="16">
        <f ca="1">COUNTIF('Well Data-NK'!Sept2014_Form,"MA")</f>
        <v>45</v>
      </c>
      <c r="G8" s="16">
        <f ca="1">AVERAGEIF('Well Data-NK'!Sept2014_Form,"MA",'Well Data-NK'!Sept2014_Planned_Spud_to_RR)</f>
        <v>57.555555555555557</v>
      </c>
      <c r="H8" s="81">
        <f ca="1">AVERAGEIF('Well Data-NK'!Sept2014_Form,"MA",'Well Data-NK'!Sept2014_Spud_to_RR)</f>
        <v>50.012037037036983</v>
      </c>
      <c r="I8" s="121">
        <f t="array" aca="1" ref="I8" ca="1">AVERAGE(IF('Well Data-NK'!Sept2014_Form={"MA"},IF('Well Data-NK'!Sept2014_Well_Type="NW",'Well Data-NK'!Sept2014_Spud_to_RR)))</f>
        <v>60.566964285715322</v>
      </c>
      <c r="J8" s="120">
        <f t="array" aca="1" ref="J8" ca="1">AVERAGE(IF('Well Data-NK'!Sept2014_Form={"MA"},IF('Well Data-NK'!Sept2014_Well_Type="ST",'Well Data-NK'!Sept2014_Spud_to_RR)))</f>
        <v>45.245295698924181</v>
      </c>
      <c r="K8" s="120"/>
      <c r="L8" s="276"/>
      <c r="M8" s="276"/>
      <c r="N8" s="42" t="str">
        <f>'Well Data-NK'!A112</f>
        <v>RA-0238</v>
      </c>
      <c r="O8" s="42">
        <f>'Well Data-NK'!U112</f>
        <v>2.3333333333357587</v>
      </c>
      <c r="P8" s="42">
        <f>'Well Data-NK'!Q112</f>
        <v>50.416666666664241</v>
      </c>
      <c r="Q8" s="42">
        <f>'Well Data-NK'!V112</f>
        <v>52.75</v>
      </c>
      <c r="R8" s="42">
        <f>'Well Data-NK'!R112</f>
        <v>54</v>
      </c>
      <c r="S8" s="42">
        <f>'Well Data-NK'!T112</f>
        <v>25</v>
      </c>
      <c r="T8" s="42">
        <f>'Well Data-NK'!AM112</f>
        <v>-1.25</v>
      </c>
      <c r="U8" s="16">
        <f t="shared" si="0"/>
        <v>25</v>
      </c>
      <c r="V8" s="16"/>
      <c r="W8" s="16"/>
      <c r="X8" s="16"/>
      <c r="AA8" s="43"/>
      <c r="AB8" s="43"/>
      <c r="AC8" s="43"/>
      <c r="AD8" s="43"/>
    </row>
    <row r="9" spans="1:30" x14ac:dyDescent="0.25">
      <c r="A9" s="44">
        <v>41183</v>
      </c>
      <c r="B9" s="16">
        <v>13</v>
      </c>
      <c r="C9" s="16"/>
      <c r="E9" s="16" t="s">
        <v>29</v>
      </c>
      <c r="F9" s="16">
        <f ca="1">COUNTIF('Well Data-NK'!Sept2014_Form,"UB")</f>
        <v>7</v>
      </c>
      <c r="G9" s="16">
        <f ca="1">AVERAGEIF('Well Data-NK'!Sept2014_Form,"UB",'Well Data-NK'!Sept2014_Planned_Spud_to_RR)</f>
        <v>66</v>
      </c>
      <c r="H9" s="16">
        <f ca="1">AVERAGEIF('Well Data-NK'!Sept2014_Form,"UB",'Well Data-NK'!Sept2014_Spud_to_RR)</f>
        <v>56.148809047619395</v>
      </c>
      <c r="I9" s="121">
        <f t="array" aca="1" ref="I9" ca="1">AVERAGE(IF('Well Data-NK'!Sept2014_Form={"UB"},IF('Well Data-NK'!Sept2014_Well_Type="NW",'Well Data-NK'!Sept2014_Spud_to_RR)))</f>
        <v>57.55416666666715</v>
      </c>
      <c r="J9" s="120">
        <f t="array" aca="1" ref="J9" ca="1">AVERAGE(IF('Well Data-NK'!Sept2014_Form={"UB"},IF('Well Data-NK'!Sept2014_Well_Type="ST",'Well Data-NK'!Sept2014_Spud_to_RR)))</f>
        <v>52.635414999999995</v>
      </c>
      <c r="K9" s="120"/>
      <c r="L9" s="276"/>
      <c r="M9" s="276"/>
      <c r="N9" s="42" t="str">
        <f>'Well Data-NK'!A113</f>
        <v>RA-0547</v>
      </c>
      <c r="O9" s="42">
        <f>'Well Data-NK'!U113</f>
        <v>7.4375</v>
      </c>
      <c r="P9" s="42">
        <f>'Well Data-NK'!Q113</f>
        <v>55.229166666671517</v>
      </c>
      <c r="Q9" s="42">
        <f>'Well Data-NK'!V113</f>
        <v>62.666666666671517</v>
      </c>
      <c r="R9" s="42">
        <f>'Well Data-NK'!R113</f>
        <v>75</v>
      </c>
      <c r="S9" s="42">
        <f>'Well Data-NK'!T113</f>
        <v>33</v>
      </c>
      <c r="T9" s="42">
        <f>'Well Data-NK'!AM113</f>
        <v>-12.333333333328483</v>
      </c>
      <c r="U9" s="16">
        <f t="shared" si="0"/>
        <v>33</v>
      </c>
      <c r="V9" s="16"/>
      <c r="W9" s="16"/>
      <c r="X9" s="16"/>
    </row>
    <row r="10" spans="1:30" x14ac:dyDescent="0.25">
      <c r="A10" s="44">
        <v>41214</v>
      </c>
      <c r="B10" s="16">
        <v>13</v>
      </c>
      <c r="C10" s="16"/>
      <c r="E10" s="16" t="s">
        <v>22</v>
      </c>
      <c r="F10" s="16">
        <f ca="1">COUNTIF('Well Data-NK'!Sept2014_Form,"LB")</f>
        <v>13</v>
      </c>
      <c r="G10" s="16">
        <f ca="1">AVERAGEIF('Well Data-NK'!Sept2014_Form,"LB",'Well Data-NK'!Sept2014_Planned_Spud_to_RR)</f>
        <v>70</v>
      </c>
      <c r="H10" s="16">
        <f ca="1">AVERAGEIF('Well Data-NK'!Sept2014_Form,"LB",'Well Data-NK'!Sept2014_Spud_to_RR)</f>
        <v>65.53525640769287</v>
      </c>
      <c r="I10" s="121">
        <f t="array" aca="1" ref="I10" ca="1">AVERAGE(IF('Well Data-NK'!Sept2014_Form={"LB"},IF('Well Data-NK'!Sept2014_Well_Type="NW",'Well Data-NK'!Sept2014_Spud_to_RR)))</f>
        <v>65.53525640769287</v>
      </c>
      <c r="J10" s="120" t="e">
        <f t="array" aca="1" ref="J10" ca="1">AVERAGE(IF('Well Data-NK'!Sept2014_Form={"LB"},IF('Well Data-NK'!Sept2014_Well_Type="ST",'Well Data-NK'!Sept2014_Spud_to_RR)))</f>
        <v>#DIV/0!</v>
      </c>
      <c r="K10" s="120"/>
      <c r="L10" s="276"/>
      <c r="M10" s="276"/>
      <c r="N10" s="42" t="str">
        <f>'Well Data-NK'!A114</f>
        <v>SA-0128</v>
      </c>
      <c r="O10" s="42">
        <f>'Well Data-NK'!U114</f>
        <v>4.21</v>
      </c>
      <c r="P10" s="42">
        <f>'Well Data-NK'!Q114</f>
        <v>43.375</v>
      </c>
      <c r="Q10" s="42">
        <f>'Well Data-NK'!V114</f>
        <v>47.585000000000001</v>
      </c>
      <c r="R10" s="42">
        <f>'Well Data-NK'!R114</f>
        <v>54</v>
      </c>
      <c r="S10" s="42">
        <f>'Well Data-NK'!T114</f>
        <v>25</v>
      </c>
      <c r="T10" s="42">
        <f>'Well Data-NK'!AM114</f>
        <v>-6.4149999999999991</v>
      </c>
      <c r="U10" s="16">
        <f t="shared" si="0"/>
        <v>25</v>
      </c>
      <c r="V10" s="16"/>
      <c r="W10" s="16"/>
      <c r="X10" s="16"/>
    </row>
    <row r="11" spans="1:30" x14ac:dyDescent="0.25">
      <c r="A11" s="44">
        <v>41244</v>
      </c>
      <c r="B11" s="16">
        <v>13</v>
      </c>
      <c r="C11" s="16"/>
      <c r="E11" s="16" t="s">
        <v>825</v>
      </c>
      <c r="F11" s="16">
        <f ca="1">COUNTIFS('Well Data-NK'!Sept2014_Form,"ZU")+COUNTIFS('Well Data-NK'!Sept2014_Form,"RT")</f>
        <v>7</v>
      </c>
      <c r="G11" s="16">
        <f ca="1">SUM(SUMIF('Well Data-NK'!Sept2014_Form,{"ZU","RT"},'Well Data-NK'!Sept2014_Planned_Spud_to_RR))/SUM(COUNTIF('Well Data-NK'!Sept2014_Form,{"ZU","RT"}))</f>
        <v>92</v>
      </c>
      <c r="H11" s="16">
        <f ca="1">SUM(SUMIF('Well Data-NK'!Sept2014_Form,{"ZU","RT"},'Well Data-NK'!Sept2014_Spud_to_RR))/SUM(COUNTIF('Well Data-NK'!Sept2014_Form,{"ZU","RT"}))</f>
        <v>83.729166666666316</v>
      </c>
      <c r="I11" s="121">
        <f t="array" aca="1" ref="I11" ca="1">AVERAGE(IF('Well Data-NK'!Sept2014_Form={"RT","ZU"},IF('Well Data-NK'!Sept2014_Well_Type="NW",'Well Data-NK'!Sept2014_Spud_to_RR)))</f>
        <v>89.017361111110702</v>
      </c>
      <c r="J11" s="120">
        <f t="array" aca="1" ref="J11" ca="1">AVERAGE(IF('Well Data-NK'!Sept2014_Form={"RT","ZU"},IF('Well Data-NK'!Sept2014_Well_Type="ST",'Well Data-NK'!Sept2014_Spud_to_RR)))</f>
        <v>52</v>
      </c>
      <c r="K11" s="120"/>
      <c r="L11" s="276"/>
      <c r="M11" s="276"/>
      <c r="N11" s="42" t="str">
        <f>'Well Data-NK'!A115</f>
        <v>RA-0529</v>
      </c>
      <c r="O11" s="42">
        <f>'Well Data-NK'!U115</f>
        <v>4.21</v>
      </c>
      <c r="P11" s="42">
        <f>'Well Data-NK'!Q115</f>
        <v>53.375</v>
      </c>
      <c r="Q11" s="42">
        <f>'Well Data-NK'!V115</f>
        <v>57.585000000000001</v>
      </c>
      <c r="R11" s="42">
        <f>'Well Data-NK'!R115</f>
        <v>103</v>
      </c>
      <c r="S11" s="42">
        <f>'Well Data-NK'!T115</f>
        <v>75</v>
      </c>
      <c r="T11" s="42">
        <f>'Well Data-NK'!AM115</f>
        <v>-45.414999999999999</v>
      </c>
      <c r="U11" s="16">
        <f t="shared" si="0"/>
        <v>75</v>
      </c>
      <c r="V11" s="16"/>
      <c r="W11" s="16"/>
      <c r="X11" s="16"/>
    </row>
    <row r="12" spans="1:30" x14ac:dyDescent="0.25">
      <c r="A12" s="44">
        <v>41275</v>
      </c>
      <c r="B12" s="16">
        <v>13</v>
      </c>
      <c r="C12" s="16"/>
      <c r="E12" s="16" t="s">
        <v>816</v>
      </c>
      <c r="F12" s="16">
        <f ca="1">COUNT('Well Data-NK'!Sept2014_Spud_to_RR)</f>
        <v>73</v>
      </c>
      <c r="G12" s="16">
        <f ca="1">AVERAGE('Well Data-NK'!Sept2014_Planned_Spud_to_RR)</f>
        <v>63.972222222222221</v>
      </c>
      <c r="H12" s="16">
        <f ca="1">AVERAGE('Well Data-NK'!Sept2014_Spud_to_RR)</f>
        <v>56.419805889954411</v>
      </c>
      <c r="I12" s="121">
        <f t="array" aca="1" ref="I12" ca="1">AVERAGE(IF('Well Data-NK'!Sept2014_Form={"RT","ZU","LB","UB","MA"},IF('Well Data-NK'!Sept2014_Well_Type="NW",'Well Data-NK'!Sept2014_Spud_to_RR)))</f>
        <v>66.362390350000581</v>
      </c>
      <c r="J12" s="120">
        <f t="array" aca="1" ref="J12" ca="1">AVERAGE(IF('Well Data-NK'!Sept2014_Form={"RT","ZU","LB","UB","MA"},IF('Well Data-NK'!Sept2014_Well_Type="ST",'Well Data-NK'!Sept2014_Spud_to_RR)))</f>
        <v>45.878676372548519</v>
      </c>
      <c r="K12" s="120"/>
      <c r="L12" s="276"/>
      <c r="M12" s="276"/>
      <c r="N12" s="42" t="str">
        <f>'Well Data-NK'!A116</f>
        <v>RA-0145</v>
      </c>
      <c r="O12" s="42">
        <f>'Well Data-NK'!U116</f>
        <v>3</v>
      </c>
      <c r="P12" s="42">
        <f>'Well Data-NK'!Q116</f>
        <v>36</v>
      </c>
      <c r="Q12" s="42">
        <f>'Well Data-NK'!V116</f>
        <v>39</v>
      </c>
      <c r="R12" s="42">
        <f>'Well Data-NK'!R116</f>
        <v>54</v>
      </c>
      <c r="S12" s="42">
        <f>'Well Data-NK'!T116</f>
        <v>25</v>
      </c>
      <c r="T12" s="42">
        <f>'Well Data-NK'!AM116</f>
        <v>-15</v>
      </c>
      <c r="U12" s="16">
        <f t="shared" si="0"/>
        <v>25</v>
      </c>
      <c r="V12" s="16"/>
      <c r="W12" s="16"/>
      <c r="X12" s="16"/>
    </row>
    <row r="13" spans="1:30" x14ac:dyDescent="0.25">
      <c r="A13" s="44">
        <v>41306</v>
      </c>
      <c r="B13" s="16">
        <v>12</v>
      </c>
      <c r="C13" s="16"/>
      <c r="E13" s="79" t="s">
        <v>859</v>
      </c>
      <c r="G13" s="43"/>
      <c r="H13" s="43"/>
      <c r="I13" s="79"/>
      <c r="J13" s="79"/>
      <c r="N13" s="42" t="str">
        <f>'Well Data-NK'!A117</f>
        <v>SA-0532</v>
      </c>
      <c r="O13" s="42">
        <f>'Well Data-NK'!U117</f>
        <v>2.1041669999999999</v>
      </c>
      <c r="P13" s="42">
        <f>'Well Data-NK'!Q117</f>
        <v>166.54169999999999</v>
      </c>
      <c r="Q13" s="42">
        <f>'Well Data-NK'!V117</f>
        <v>168.64586699999998</v>
      </c>
      <c r="R13" s="42">
        <f>'Well Data-NK'!R117</f>
        <v>103</v>
      </c>
      <c r="S13" s="42">
        <f>'Well Data-NK'!T117</f>
        <v>75</v>
      </c>
      <c r="T13" s="42">
        <f>'Well Data-NK'!AM117</f>
        <v>65.645866999999981</v>
      </c>
      <c r="U13" s="16">
        <f t="shared" si="0"/>
        <v>75</v>
      </c>
      <c r="V13" s="16"/>
      <c r="W13" s="16"/>
      <c r="X13" s="16"/>
    </row>
    <row r="14" spans="1:30" x14ac:dyDescent="0.25">
      <c r="A14" s="44">
        <v>41334</v>
      </c>
      <c r="B14" s="16">
        <v>12</v>
      </c>
      <c r="C14" s="16"/>
      <c r="E14" t="s">
        <v>822</v>
      </c>
      <c r="N14" s="42" t="str">
        <f>'Well Data-NK'!A118</f>
        <v>SA-0127</v>
      </c>
      <c r="O14" s="42">
        <f>'Well Data-NK'!U118</f>
        <v>6.35</v>
      </c>
      <c r="P14" s="42">
        <f>'Well Data-NK'!Q118</f>
        <v>25.854165999999999</v>
      </c>
      <c r="Q14" s="42">
        <f>'Well Data-NK'!V118</f>
        <v>32.204166000000001</v>
      </c>
      <c r="R14" s="42">
        <f>'Well Data-NK'!R118</f>
        <v>54</v>
      </c>
      <c r="S14" s="42">
        <f>'Well Data-NK'!T118</f>
        <v>25</v>
      </c>
      <c r="T14" s="42">
        <f>'Well Data-NK'!AM118</f>
        <v>-21.795833999999999</v>
      </c>
      <c r="U14" s="16">
        <f t="shared" si="0"/>
        <v>25</v>
      </c>
      <c r="V14" s="16"/>
      <c r="W14" s="16"/>
      <c r="X14" s="16"/>
    </row>
    <row r="15" spans="1:30" x14ac:dyDescent="0.25">
      <c r="A15" s="44">
        <v>41365</v>
      </c>
      <c r="B15" s="16">
        <v>11</v>
      </c>
      <c r="C15" s="16"/>
      <c r="N15" s="42" t="str">
        <f>'Well Data-NK'!A119</f>
        <v>SA-0325</v>
      </c>
      <c r="O15" s="42">
        <f>'Well Data-NK'!U119</f>
        <v>2</v>
      </c>
      <c r="P15" s="42">
        <f>'Well Data-NK'!Q119</f>
        <v>25.625</v>
      </c>
      <c r="Q15" s="42">
        <f>'Well Data-NK'!V119</f>
        <v>27.625</v>
      </c>
      <c r="R15" s="42">
        <f>'Well Data-NK'!R119</f>
        <v>54</v>
      </c>
      <c r="S15" s="42">
        <f>'Well Data-NK'!T119</f>
        <v>25</v>
      </c>
      <c r="T15" s="42">
        <f>'Well Data-NK'!AM119</f>
        <v>-26.375</v>
      </c>
      <c r="U15" s="16">
        <f t="shared" si="0"/>
        <v>25</v>
      </c>
      <c r="V15" s="16"/>
      <c r="W15" s="16"/>
      <c r="X15" s="16"/>
    </row>
    <row r="16" spans="1:30" x14ac:dyDescent="0.25">
      <c r="A16" s="44">
        <v>41395</v>
      </c>
      <c r="B16" s="16">
        <v>10</v>
      </c>
      <c r="C16" s="16"/>
      <c r="E16" s="9" t="s">
        <v>453</v>
      </c>
      <c r="F16" s="9" t="s">
        <v>823</v>
      </c>
      <c r="G16" s="9" t="s">
        <v>824</v>
      </c>
      <c r="H16" s="9" t="s">
        <v>1341</v>
      </c>
      <c r="N16" s="42" t="str">
        <f>'Well Data-NK'!A120</f>
        <v>SA-0326</v>
      </c>
      <c r="O16" s="42">
        <f>'Well Data-NK'!U120</f>
        <v>6.6660000000000004</v>
      </c>
      <c r="P16" s="42">
        <f>'Well Data-NK'!Q120</f>
        <v>31.375</v>
      </c>
      <c r="Q16" s="42">
        <f>'Well Data-NK'!V120</f>
        <v>38.040999999999997</v>
      </c>
      <c r="R16" s="42">
        <f>'Well Data-NK'!R120</f>
        <v>54</v>
      </c>
      <c r="S16" s="42">
        <f>'Well Data-NK'!T120</f>
        <v>25</v>
      </c>
      <c r="T16" s="42">
        <f>'Well Data-NK'!AM120</f>
        <v>-15.959000000000003</v>
      </c>
      <c r="U16" s="16">
        <f t="shared" si="0"/>
        <v>25</v>
      </c>
      <c r="V16" s="16"/>
      <c r="W16" s="16"/>
      <c r="X16" s="16"/>
    </row>
    <row r="17" spans="1:24" x14ac:dyDescent="0.25">
      <c r="A17" s="44">
        <v>41426</v>
      </c>
      <c r="B17" s="16">
        <v>9</v>
      </c>
      <c r="C17" s="16"/>
      <c r="E17" s="9">
        <v>10</v>
      </c>
      <c r="F17" s="9">
        <f>(365/(60/E17))-5</f>
        <v>55.833333333333336</v>
      </c>
      <c r="G17" s="9">
        <f>(365/(75/E17))-5</f>
        <v>43.666666666666664</v>
      </c>
      <c r="H17" s="9">
        <v>49.2</v>
      </c>
      <c r="N17" s="42" t="str">
        <f>'Well Data-NK'!A121</f>
        <v>RA-0147</v>
      </c>
      <c r="O17" s="42">
        <f>'Well Data-NK'!U121</f>
        <v>3.4159999999999999</v>
      </c>
      <c r="P17" s="42">
        <f>'Well Data-NK'!Q121</f>
        <v>38.875</v>
      </c>
      <c r="Q17" s="42">
        <f>'Well Data-NK'!V121</f>
        <v>42.290999999999997</v>
      </c>
      <c r="R17" s="42">
        <f>'Well Data-NK'!R121</f>
        <v>54</v>
      </c>
      <c r="S17" s="42">
        <f>'Well Data-NK'!T121</f>
        <v>25</v>
      </c>
      <c r="T17" s="42">
        <f>'Well Data-NK'!AM121</f>
        <v>-11.709000000000003</v>
      </c>
      <c r="U17" s="16">
        <f t="shared" si="0"/>
        <v>25</v>
      </c>
      <c r="V17" s="16"/>
      <c r="W17" s="16"/>
      <c r="X17" s="16"/>
    </row>
    <row r="18" spans="1:24" x14ac:dyDescent="0.25">
      <c r="A18" s="44">
        <v>41456</v>
      </c>
      <c r="B18" s="16">
        <v>9</v>
      </c>
      <c r="C18" s="16"/>
      <c r="E18" s="9">
        <v>11</v>
      </c>
      <c r="F18" s="9">
        <f t="shared" ref="F18:F19" si="1">(365/(60/E18))-5</f>
        <v>61.916666666666671</v>
      </c>
      <c r="G18" s="9">
        <f t="shared" ref="G18:G19" si="2">(365/(75/E18))-5</f>
        <v>48.533333333333331</v>
      </c>
      <c r="H18" s="9">
        <v>49.2</v>
      </c>
      <c r="N18" s="42" t="str">
        <f>'Well Data-NK'!A122</f>
        <v>SA-0367</v>
      </c>
      <c r="O18" s="42">
        <f>'Well Data-NK'!U122</f>
        <v>1.8541666666666667</v>
      </c>
      <c r="P18" s="42">
        <f>'Well Data-NK'!Q122</f>
        <v>53.645829999999997</v>
      </c>
      <c r="Q18" s="42">
        <f>'Well Data-NK'!V122</f>
        <v>55.499996666666661</v>
      </c>
      <c r="R18" s="42">
        <f>'Well Data-NK'!R122</f>
        <v>61</v>
      </c>
      <c r="S18" s="42">
        <f>'Well Data-NK'!T122</f>
        <v>27</v>
      </c>
      <c r="T18" s="42">
        <f>'Well Data-NK'!AM122</f>
        <v>-5.5000033333333391</v>
      </c>
      <c r="U18" s="16">
        <f t="shared" si="0"/>
        <v>27</v>
      </c>
      <c r="V18" s="16"/>
      <c r="W18" s="16"/>
      <c r="X18" s="16"/>
    </row>
    <row r="19" spans="1:24" x14ac:dyDescent="0.25">
      <c r="A19" s="44">
        <v>41487</v>
      </c>
      <c r="B19" s="16">
        <v>9</v>
      </c>
      <c r="C19" s="16"/>
      <c r="E19" s="9">
        <v>12.5</v>
      </c>
      <c r="F19" s="9">
        <f t="shared" si="1"/>
        <v>71.041666666666671</v>
      </c>
      <c r="G19" s="9">
        <f t="shared" si="2"/>
        <v>55.833333333333336</v>
      </c>
      <c r="H19" s="9">
        <v>49.2</v>
      </c>
      <c r="J19" s="119" t="s">
        <v>72</v>
      </c>
      <c r="K19" s="119" t="s">
        <v>1379</v>
      </c>
      <c r="N19" s="42" t="str">
        <f>'Well Data-NK'!A123</f>
        <v>SA-0553</v>
      </c>
      <c r="O19" s="42">
        <f>'Well Data-NK'!U123</f>
        <v>22.332999999999998</v>
      </c>
      <c r="P19" s="42">
        <f>'Well Data-NK'!Q123</f>
        <v>79.4375</v>
      </c>
      <c r="Q19" s="42">
        <f>'Well Data-NK'!V123</f>
        <v>101.7705</v>
      </c>
      <c r="R19" s="42">
        <f>'Well Data-NK'!R123</f>
        <v>103</v>
      </c>
      <c r="S19" s="42">
        <f>'Well Data-NK'!T123</f>
        <v>75</v>
      </c>
      <c r="T19" s="42">
        <f>'Well Data-NK'!AM123</f>
        <v>-1.2295000000000016</v>
      </c>
      <c r="U19" s="16">
        <f t="shared" si="0"/>
        <v>75</v>
      </c>
      <c r="V19" s="16"/>
      <c r="W19" s="16"/>
      <c r="X19" s="16"/>
    </row>
    <row r="20" spans="1:24" x14ac:dyDescent="0.25">
      <c r="A20" s="44">
        <v>41518</v>
      </c>
      <c r="B20" s="16">
        <v>9.5</v>
      </c>
      <c r="C20" s="16"/>
      <c r="D20" s="119" t="s">
        <v>72</v>
      </c>
      <c r="E20" s="119" t="s">
        <v>1379</v>
      </c>
      <c r="J20" s="119" t="s">
        <v>747</v>
      </c>
      <c r="K20" s="119" t="s">
        <v>1380</v>
      </c>
      <c r="N20" s="42" t="str">
        <f>'Well Data-NK'!A124</f>
        <v>SA-0299</v>
      </c>
      <c r="O20" s="42">
        <f>'Well Data-NK'!U124</f>
        <v>16.707999999999998</v>
      </c>
      <c r="P20" s="42">
        <f>'Well Data-NK'!Q124</f>
        <v>45.9</v>
      </c>
      <c r="Q20" s="42">
        <f>'Well Data-NK'!V124</f>
        <v>62.607999999999997</v>
      </c>
      <c r="R20" s="42">
        <f>'Well Data-NK'!R124</f>
        <v>61</v>
      </c>
      <c r="S20" s="42">
        <f>'Well Data-NK'!T124</f>
        <v>27</v>
      </c>
      <c r="T20" s="42">
        <f>'Well Data-NK'!AM124</f>
        <v>1.607999999999997</v>
      </c>
      <c r="U20" s="16">
        <f t="shared" si="0"/>
        <v>27</v>
      </c>
      <c r="V20" s="16"/>
      <c r="W20" s="16"/>
      <c r="X20" s="16"/>
    </row>
    <row r="21" spans="1:24" x14ac:dyDescent="0.25">
      <c r="A21" s="44">
        <v>41548</v>
      </c>
      <c r="B21" s="16">
        <v>9</v>
      </c>
      <c r="C21" s="16"/>
      <c r="D21" s="119" t="s">
        <v>747</v>
      </c>
      <c r="E21" s="119" t="s">
        <v>1380</v>
      </c>
      <c r="J21" s="119" t="s">
        <v>1378</v>
      </c>
      <c r="K21" s="119" t="s">
        <v>1381</v>
      </c>
      <c r="N21" s="42" t="str">
        <f>'Well Data-NK'!A125</f>
        <v>SA-0319</v>
      </c>
      <c r="O21" s="42">
        <f>'Well Data-NK'!U125</f>
        <v>2.4583333333333335</v>
      </c>
      <c r="P21" s="42">
        <f>'Well Data-NK'!Q125</f>
        <v>23.125</v>
      </c>
      <c r="Q21" s="42">
        <f>'Well Data-NK'!V125</f>
        <v>25.583333333333332</v>
      </c>
      <c r="R21" s="42">
        <f>'Well Data-NK'!R125</f>
        <v>54</v>
      </c>
      <c r="S21" s="42">
        <f>'Well Data-NK'!T125</f>
        <v>25</v>
      </c>
      <c r="T21" s="42">
        <f>'Well Data-NK'!AM125</f>
        <v>-28.416666666666668</v>
      </c>
      <c r="U21" s="16">
        <f t="shared" si="0"/>
        <v>25</v>
      </c>
      <c r="V21" s="16"/>
      <c r="W21" s="16"/>
      <c r="X21" s="16"/>
    </row>
    <row r="22" spans="1:24" x14ac:dyDescent="0.25">
      <c r="A22" s="44">
        <v>41579</v>
      </c>
      <c r="B22" s="16">
        <v>9</v>
      </c>
      <c r="C22" s="16"/>
      <c r="D22" s="119" t="s">
        <v>1378</v>
      </c>
      <c r="E22" s="119" t="s">
        <v>1381</v>
      </c>
      <c r="J22" s="119" t="s">
        <v>596</v>
      </c>
      <c r="K22" s="119" t="s">
        <v>1382</v>
      </c>
      <c r="N22" s="42" t="str">
        <f>'Well Data-NK'!A126</f>
        <v>SA-0324</v>
      </c>
      <c r="O22" s="42">
        <f>'Well Data-NK'!U126</f>
        <v>2</v>
      </c>
      <c r="P22" s="42">
        <f>'Well Data-NK'!Q126</f>
        <v>32.791665999999999</v>
      </c>
      <c r="Q22" s="42">
        <f>'Well Data-NK'!V126</f>
        <v>34.791665999999999</v>
      </c>
      <c r="R22" s="42">
        <f>'Well Data-NK'!R126</f>
        <v>54</v>
      </c>
      <c r="S22" s="42">
        <f>'Well Data-NK'!T126</f>
        <v>25</v>
      </c>
      <c r="T22" s="42">
        <f>'Well Data-NK'!AM126</f>
        <v>-19.208334000000001</v>
      </c>
      <c r="U22" s="16">
        <f t="shared" si="0"/>
        <v>25</v>
      </c>
      <c r="V22" s="16"/>
      <c r="W22" s="16"/>
      <c r="X22" s="16"/>
    </row>
    <row r="23" spans="1:24" x14ac:dyDescent="0.25">
      <c r="A23" s="44">
        <v>41609</v>
      </c>
      <c r="B23" s="16">
        <v>9</v>
      </c>
      <c r="C23" s="16"/>
      <c r="D23" s="119" t="s">
        <v>596</v>
      </c>
      <c r="E23" s="119" t="s">
        <v>1382</v>
      </c>
      <c r="J23" s="119" t="s">
        <v>743</v>
      </c>
      <c r="K23" s="267" t="s">
        <v>1383</v>
      </c>
      <c r="L23" s="278"/>
      <c r="M23" s="278"/>
      <c r="N23" s="42" t="str">
        <f>'Well Data-NK'!A127</f>
        <v>SA-0327</v>
      </c>
      <c r="O23" s="42">
        <f>'Well Data-NK'!U127</f>
        <v>14.333</v>
      </c>
      <c r="P23" s="42">
        <f>'Well Data-NK'!Q127</f>
        <v>40.270829999999997</v>
      </c>
      <c r="Q23" s="42">
        <f>'Well Data-NK'!V127</f>
        <v>54.603829999999995</v>
      </c>
      <c r="R23" s="42">
        <f>'Well Data-NK'!R127</f>
        <v>54</v>
      </c>
      <c r="S23" s="42">
        <f>'Well Data-NK'!T127</f>
        <v>25</v>
      </c>
      <c r="T23" s="42">
        <f>'Well Data-NK'!AM127</f>
        <v>0.60382999999999498</v>
      </c>
      <c r="U23" s="16">
        <f t="shared" si="0"/>
        <v>25</v>
      </c>
      <c r="V23" s="16"/>
      <c r="W23" s="16"/>
      <c r="X23" s="16"/>
    </row>
    <row r="24" spans="1:24" x14ac:dyDescent="0.25">
      <c r="A24" s="44">
        <v>41640</v>
      </c>
      <c r="B24" s="16">
        <v>8</v>
      </c>
      <c r="C24" s="16"/>
      <c r="D24" s="119" t="s">
        <v>743</v>
      </c>
      <c r="E24" s="267" t="s">
        <v>1383</v>
      </c>
      <c r="N24" s="42" t="str">
        <f>'Well Data-NK'!A128</f>
        <v>RA-0549</v>
      </c>
      <c r="O24" s="42">
        <f>'Well Data-NK'!U128</f>
        <v>6.75</v>
      </c>
      <c r="P24" s="42">
        <f>'Well Data-NK'!Q128</f>
        <v>43.415999999999997</v>
      </c>
      <c r="Q24" s="42">
        <f>'Well Data-NK'!V128</f>
        <v>50.165999999999997</v>
      </c>
      <c r="R24" s="42">
        <f>'Well Data-NK'!R128</f>
        <v>75</v>
      </c>
      <c r="S24" s="42">
        <f>'Well Data-NK'!T128</f>
        <v>33</v>
      </c>
      <c r="T24" s="42">
        <f>'Well Data-NK'!AM128</f>
        <v>-24.834000000000003</v>
      </c>
      <c r="U24" s="16">
        <f t="shared" si="0"/>
        <v>33</v>
      </c>
      <c r="V24" s="16"/>
      <c r="W24" s="16"/>
      <c r="X24" s="16"/>
    </row>
    <row r="25" spans="1:24" x14ac:dyDescent="0.25">
      <c r="A25" s="44">
        <v>41671</v>
      </c>
      <c r="B25" s="16">
        <v>8</v>
      </c>
      <c r="C25" s="16"/>
      <c r="N25" s="42" t="str">
        <f>'Well Data-NK'!A129</f>
        <v>RA-0509</v>
      </c>
      <c r="O25" s="42">
        <f>'Well Data-NK'!U129</f>
        <v>1.083</v>
      </c>
      <c r="P25" s="42">
        <f>'Well Data-NK'!Q129</f>
        <v>66.375</v>
      </c>
      <c r="Q25" s="42">
        <f>'Well Data-NK'!V129</f>
        <v>67.457999999999998</v>
      </c>
      <c r="R25" s="42">
        <f>'Well Data-NK'!R129</f>
        <v>75</v>
      </c>
      <c r="S25" s="42">
        <f>'Well Data-NK'!T129</f>
        <v>35</v>
      </c>
      <c r="T25" s="42">
        <f>'Well Data-NK'!AM129</f>
        <v>-7.5420000000000016</v>
      </c>
      <c r="U25" s="16">
        <f t="shared" si="0"/>
        <v>35</v>
      </c>
      <c r="V25" s="16"/>
      <c r="W25" s="16"/>
      <c r="X25" s="16"/>
    </row>
    <row r="26" spans="1:24" x14ac:dyDescent="0.25">
      <c r="A26" s="44">
        <v>41699</v>
      </c>
      <c r="B26" s="16">
        <v>8</v>
      </c>
      <c r="C26" s="273"/>
      <c r="D26" s="46">
        <f ca="1">COUNTIFS('Well Data-NK'!Rig_Release_Date,"&gt;="&amp;A26,'Well Data-NK'!Rig_Release_Date,"&lt;="&amp;A27,'Well Data-NK'!Target_Reservoir,"MA")</f>
        <v>0</v>
      </c>
      <c r="E26" s="46">
        <f ca="1">COUNTIFS('Well Data-NK'!Rig_Release_Date,"&gt;="&amp;A26,'Well Data-NK'!Rig_Release_Date,"&lt;="&amp;A27,'Well Data-NK'!Target_Reservoir,"LB")</f>
        <v>4</v>
      </c>
      <c r="F26" s="46">
        <f ca="1">COUNTIFS('Well Data-NK'!Rig_Release_Date,"&gt;="&amp;A26,'Well Data-NK'!Rig_Release_Date,"&lt;="&amp;A27,'Well Data-NK'!Target_Reservoir,"UB")</f>
        <v>0</v>
      </c>
      <c r="G26" s="46">
        <f ca="1">COUNTIFS('Well Data-NK'!Rig_Release_Date,"&gt;="&amp;A26,'Well Data-NK'!Rig_Release_Date,"&lt;="&amp;A27,'Well Data-NK'!Target_Reservoir,"ZU/RT")</f>
        <v>2</v>
      </c>
      <c r="H26" s="46"/>
      <c r="I26" s="46"/>
      <c r="J26" s="46"/>
      <c r="K26" s="46"/>
      <c r="L26" s="46"/>
      <c r="M26" s="46"/>
      <c r="N26" s="42" t="str">
        <f>'Well Data-NK'!A130</f>
        <v>RA-0431</v>
      </c>
      <c r="O26" s="42">
        <f>'Well Data-NK'!U130</f>
        <v>15.9375</v>
      </c>
      <c r="P26" s="42">
        <f>'Well Data-NK'!Q130</f>
        <v>59.208329999999997</v>
      </c>
      <c r="Q26" s="42">
        <f>'Well Data-NK'!V130</f>
        <v>75.145829999999989</v>
      </c>
      <c r="R26" s="42">
        <f>'Well Data-NK'!R130</f>
        <v>75</v>
      </c>
      <c r="S26" s="42">
        <f>'Well Data-NK'!T130</f>
        <v>33</v>
      </c>
      <c r="T26" s="42">
        <f>'Well Data-NK'!AM130</f>
        <v>0.14582999999998947</v>
      </c>
      <c r="U26" s="16">
        <f t="shared" si="0"/>
        <v>33</v>
      </c>
      <c r="V26" s="16"/>
      <c r="W26" s="16"/>
      <c r="X26" s="16"/>
    </row>
    <row r="27" spans="1:24" x14ac:dyDescent="0.25">
      <c r="A27" s="44">
        <v>41730</v>
      </c>
      <c r="B27" s="16">
        <v>9</v>
      </c>
      <c r="C27" s="273">
        <f>B27</f>
        <v>9</v>
      </c>
      <c r="D27" s="46">
        <f ca="1">COUNTIFS('Well Data-NK'!Rig_Release_Date,"&gt;="&amp;A27,'Well Data-NK'!Rig_Release_Date,"&lt;="&amp;A28,'Well Data-NK'!Target_Reservoir,"MA")</f>
        <v>1</v>
      </c>
      <c r="E27" s="46">
        <f ca="1">COUNTIFS('Well Data-NK'!Rig_Release_Date,"&gt;="&amp;A27,'Well Data-NK'!Rig_Release_Date,"&lt;="&amp;A28,'Well Data-NK'!Target_Reservoir,"LB")</f>
        <v>0</v>
      </c>
      <c r="F27" s="46">
        <f ca="1">COUNTIFS('Well Data-NK'!Rig_Release_Date,"&gt;="&amp;A27,'Well Data-NK'!Rig_Release_Date,"&lt;="&amp;A28,'Well Data-NK'!Target_Reservoir,"UB")</f>
        <v>0</v>
      </c>
      <c r="G27" s="46">
        <f ca="1">COUNTIFS('Well Data-NK'!Rig_Release_Date,"&gt;="&amp;A27,'Well Data-NK'!Rig_Release_Date,"&lt;="&amp;A28,'Well Data-NK'!Target_Reservoir,"ZU/RT")</f>
        <v>1</v>
      </c>
      <c r="H27" s="46">
        <v>0</v>
      </c>
      <c r="I27" s="46">
        <f t="shared" ref="I27:I37" ca="1" si="3">SUM(D27:H27)</f>
        <v>2</v>
      </c>
      <c r="J27" s="46">
        <f ca="1">SUM(I$27:I27)</f>
        <v>2</v>
      </c>
      <c r="K27" s="487">
        <f ca="1">I27</f>
        <v>2</v>
      </c>
      <c r="L27" s="487"/>
      <c r="M27" s="487"/>
      <c r="N27" s="42" t="str">
        <f>'Well Data-NK'!A131</f>
        <v>RA-0548</v>
      </c>
      <c r="O27" s="42">
        <f>'Well Data-NK'!U131</f>
        <v>2.3330000000000002</v>
      </c>
      <c r="P27" s="42">
        <f>'Well Data-NK'!Q131</f>
        <v>58.666600000000003</v>
      </c>
      <c r="Q27" s="42">
        <f>'Well Data-NK'!V131</f>
        <v>60.999600000000001</v>
      </c>
      <c r="R27" s="42">
        <f>'Well Data-NK'!R131</f>
        <v>75</v>
      </c>
      <c r="S27" s="42">
        <f>'Well Data-NK'!T131</f>
        <v>33</v>
      </c>
      <c r="T27" s="42">
        <f>'Well Data-NK'!AM131</f>
        <v>-14.000399999999999</v>
      </c>
      <c r="U27" s="16">
        <f t="shared" si="0"/>
        <v>33</v>
      </c>
      <c r="V27" s="16"/>
      <c r="W27" s="16"/>
      <c r="X27" s="16"/>
    </row>
    <row r="28" spans="1:24" x14ac:dyDescent="0.25">
      <c r="A28" s="44">
        <v>41760</v>
      </c>
      <c r="B28" s="16">
        <v>8.5</v>
      </c>
      <c r="C28" s="273">
        <f>AVERAGE(B27:B28)</f>
        <v>8.75</v>
      </c>
      <c r="D28" s="46">
        <f ca="1">COUNTIFS('Well Data-NK'!Rig_Release_Date,"&gt;="&amp;A28,'Well Data-NK'!Rig_Release_Date,"&lt;="&amp;A29,'Well Data-NK'!Target_Reservoir,"MA")</f>
        <v>3</v>
      </c>
      <c r="E28" s="46">
        <f ca="1">COUNTIFS('Well Data-NK'!Rig_Release_Date,"&gt;="&amp;A28,'Well Data-NK'!Rig_Release_Date,"&lt;="&amp;A29,'Well Data-NK'!Target_Reservoir,"LB")</f>
        <v>2</v>
      </c>
      <c r="F28" s="46">
        <f ca="1">COUNTIFS('Well Data-NK'!Rig_Release_Date,"&gt;="&amp;A28,'Well Data-NK'!Rig_Release_Date,"&lt;="&amp;A29,'Well Data-NK'!Target_Reservoir,"UB")</f>
        <v>0</v>
      </c>
      <c r="G28" s="46">
        <f ca="1">COUNTIFS('Well Data-NK'!Rig_Release_Date,"&gt;="&amp;A28,'Well Data-NK'!Rig_Release_Date,"&lt;="&amp;A29,'Well Data-NK'!Target_Reservoir,"ZU/RT")</f>
        <v>1</v>
      </c>
      <c r="H28" s="46">
        <v>0</v>
      </c>
      <c r="I28" s="46">
        <f t="shared" ca="1" si="3"/>
        <v>6</v>
      </c>
      <c r="J28" s="46">
        <f ca="1">SUM(I$27:I28)</f>
        <v>8</v>
      </c>
      <c r="K28" s="487">
        <f ca="1">AVERAGE($I$27:I28)</f>
        <v>4</v>
      </c>
      <c r="L28" s="487"/>
      <c r="M28" s="487"/>
      <c r="N28" s="42" t="str">
        <f>'Well Data-NK'!A132</f>
        <v>SA-0555</v>
      </c>
      <c r="O28" s="42">
        <f>'Well Data-NK'!U132</f>
        <v>2.7291669999999999</v>
      </c>
      <c r="P28" s="42">
        <f>'Well Data-NK'!Q132</f>
        <v>59.3958333</v>
      </c>
      <c r="Q28" s="42">
        <f>'Well Data-NK'!V132</f>
        <v>62.125000299999996</v>
      </c>
      <c r="R28" s="42">
        <f>'Well Data-NK'!R132</f>
        <v>75</v>
      </c>
      <c r="S28" s="42">
        <f>'Well Data-NK'!T132</f>
        <v>35</v>
      </c>
      <c r="T28" s="42">
        <f>'Well Data-NK'!AM132</f>
        <v>-12.874999700000004</v>
      </c>
      <c r="U28" s="16">
        <f t="shared" si="0"/>
        <v>35</v>
      </c>
      <c r="V28" s="16"/>
      <c r="W28" s="16"/>
      <c r="X28" s="16"/>
    </row>
    <row r="29" spans="1:24" x14ac:dyDescent="0.25">
      <c r="A29" s="44">
        <v>41791</v>
      </c>
      <c r="B29" s="16">
        <v>9.5</v>
      </c>
      <c r="C29" s="273">
        <f>AVERAGE(B27:B29)</f>
        <v>9</v>
      </c>
      <c r="D29" s="46">
        <f ca="1">COUNTIFS('Well Data-NK'!Rig_Release_Date,"&gt;="&amp;A29,'Well Data-NK'!Rig_Release_Date,"&lt;="&amp;A30,'Well Data-NK'!Target_Reservoir,"MA")</f>
        <v>5</v>
      </c>
      <c r="E29" s="46">
        <f ca="1">COUNTIFS('Well Data-NK'!Rig_Release_Date,"&gt;="&amp;A29,'Well Data-NK'!Rig_Release_Date,"&lt;="&amp;A30,'Well Data-NK'!Target_Reservoir,"LB")</f>
        <v>0</v>
      </c>
      <c r="F29" s="46">
        <f ca="1">COUNTIFS('Well Data-NK'!Rig_Release_Date,"&gt;="&amp;A29,'Well Data-NK'!Rig_Release_Date,"&lt;="&amp;A30,'Well Data-NK'!Target_Reservoir,"UB")</f>
        <v>0</v>
      </c>
      <c r="G29" s="46">
        <f ca="1">COUNTIFS('Well Data-NK'!Rig_Release_Date,"&gt;="&amp;A29,'Well Data-NK'!Rig_Release_Date,"&lt;="&amp;A30,'Well Data-NK'!Target_Reservoir,"ZU/RT")</f>
        <v>1</v>
      </c>
      <c r="H29" s="46">
        <v>0</v>
      </c>
      <c r="I29" s="46">
        <f t="shared" ca="1" si="3"/>
        <v>6</v>
      </c>
      <c r="J29" s="46">
        <f ca="1">SUM(I$27:I29)</f>
        <v>14</v>
      </c>
      <c r="K29" s="487">
        <f ca="1">AVERAGE($I$27:I29)</f>
        <v>4.666666666666667</v>
      </c>
      <c r="L29" s="487"/>
      <c r="M29" s="487"/>
      <c r="N29" s="42" t="str">
        <f>'Well Data-NK'!A133</f>
        <v>SA-0254</v>
      </c>
      <c r="O29" s="42">
        <f>'Well Data-NK'!U133</f>
        <v>2.0830000000000002</v>
      </c>
      <c r="P29" s="42">
        <f>'Well Data-NK'!Q133</f>
        <v>40.770829999999997</v>
      </c>
      <c r="Q29" s="42">
        <f>'Well Data-NK'!V133</f>
        <v>42.853829999999995</v>
      </c>
      <c r="R29" s="42">
        <f>'Well Data-NK'!R133</f>
        <v>61</v>
      </c>
      <c r="S29" s="42" t="e">
        <f>'Well Data-NK'!T133</f>
        <v>#N/A</v>
      </c>
      <c r="T29" s="42">
        <f>'Well Data-NK'!AM133</f>
        <v>-18.146170000000005</v>
      </c>
      <c r="U29" s="16" t="e">
        <f t="shared" si="0"/>
        <v>#N/A</v>
      </c>
      <c r="V29" s="16"/>
      <c r="W29" s="16"/>
      <c r="X29" s="16"/>
    </row>
    <row r="30" spans="1:24" x14ac:dyDescent="0.25">
      <c r="A30" s="44">
        <v>41821</v>
      </c>
      <c r="B30" s="16">
        <v>10</v>
      </c>
      <c r="C30" s="273">
        <f>AVERAGE(B27:B30)</f>
        <v>9.25</v>
      </c>
      <c r="D30" s="46">
        <f ca="1">COUNTIFS('Well Data-NK'!Rig_Release_Date,"&gt;="&amp;A30,'Well Data-NK'!Rig_Release_Date,"&lt;="&amp;A31,'Well Data-NK'!Target_Reservoir,"MA")</f>
        <v>3</v>
      </c>
      <c r="E30" s="46">
        <f ca="1">COUNTIFS('Well Data-NK'!Rig_Release_Date,"&gt;="&amp;A30,'Well Data-NK'!Rig_Release_Date,"&lt;="&amp;A31,'Well Data-NK'!Target_Reservoir,"LB")</f>
        <v>0</v>
      </c>
      <c r="F30" s="46">
        <f ca="1">COUNTIFS('Well Data-NK'!Rig_Release_Date,"&gt;="&amp;A30,'Well Data-NK'!Rig_Release_Date,"&lt;="&amp;A31,'Well Data-NK'!Target_Reservoir,"UB")</f>
        <v>0</v>
      </c>
      <c r="G30" s="46">
        <f ca="1">COUNTIFS('Well Data-NK'!Rig_Release_Date,"&gt;="&amp;A30,'Well Data-NK'!Rig_Release_Date,"&lt;="&amp;A31,'Well Data-NK'!Target_Reservoir,"ZU/RT")</f>
        <v>1</v>
      </c>
      <c r="H30" s="46">
        <v>0</v>
      </c>
      <c r="I30" s="46">
        <f t="shared" ca="1" si="3"/>
        <v>4</v>
      </c>
      <c r="J30" s="46">
        <f ca="1">SUM(I$27:I30)</f>
        <v>18</v>
      </c>
      <c r="K30" s="487">
        <f ca="1">AVERAGE($I$27:I30)</f>
        <v>4.5</v>
      </c>
      <c r="L30" s="487"/>
      <c r="M30" s="487"/>
      <c r="N30" s="42" t="str">
        <f>'Well Data-NK'!A134</f>
        <v>SA-0483</v>
      </c>
      <c r="O30" s="42">
        <f>'Well Data-NK'!U134</f>
        <v>2.0416666666642413</v>
      </c>
      <c r="P30" s="42">
        <f>'Well Data-NK'!Q134</f>
        <v>40.833333333335759</v>
      </c>
      <c r="Q30" s="42">
        <f>'Well Data-NK'!V134</f>
        <v>42.875</v>
      </c>
      <c r="R30" s="42">
        <f>'Well Data-NK'!R134</f>
        <v>61</v>
      </c>
      <c r="S30" s="42">
        <f>'Well Data-NK'!T134</f>
        <v>27</v>
      </c>
      <c r="T30" s="42">
        <f>'Well Data-NK'!AM134</f>
        <v>-18.125</v>
      </c>
      <c r="U30" s="16">
        <f t="shared" si="0"/>
        <v>27</v>
      </c>
      <c r="V30" s="16"/>
      <c r="W30" s="16"/>
      <c r="X30" s="16"/>
    </row>
    <row r="31" spans="1:24" x14ac:dyDescent="0.25">
      <c r="A31" s="44">
        <v>41852</v>
      </c>
      <c r="B31" s="16">
        <v>9.5</v>
      </c>
      <c r="C31" s="273">
        <f>AVERAGE(B27:B31)</f>
        <v>9.3000000000000007</v>
      </c>
      <c r="D31" s="46">
        <f ca="1">COUNTIFS('Well Data-NK'!Rig_Release_Date,"&gt;="&amp;A31,'Well Data-NK'!Rig_Release_Date,"&lt;="&amp;A32,'Well Data-NK'!Target_Reservoir,"MA")</f>
        <v>2</v>
      </c>
      <c r="E31" s="46">
        <f ca="1">COUNTIFS('Well Data-NK'!Rig_Release_Date,"&gt;="&amp;A31,'Well Data-NK'!Rig_Release_Date,"&lt;="&amp;A32,'Well Data-NK'!Target_Reservoir,"LB")</f>
        <v>2</v>
      </c>
      <c r="F31" s="46">
        <f ca="1">COUNTIFS('Well Data-NK'!Rig_Release_Date,"&gt;="&amp;A31,'Well Data-NK'!Rig_Release_Date,"&lt;="&amp;A32,'Well Data-NK'!Target_Reservoir,"UB")</f>
        <v>1</v>
      </c>
      <c r="G31" s="46">
        <f ca="1">COUNTIFS('Well Data-NK'!Rig_Release_Date,"&gt;="&amp;A31,'Well Data-NK'!Rig_Release_Date,"&lt;="&amp;A32,'Well Data-NK'!Target_Reservoir,"ZU/RT")</f>
        <v>0</v>
      </c>
      <c r="H31" s="46">
        <v>1</v>
      </c>
      <c r="I31" s="46">
        <f t="shared" ca="1" si="3"/>
        <v>6</v>
      </c>
      <c r="J31" s="46">
        <f ca="1">SUM(I$27:I31)</f>
        <v>24</v>
      </c>
      <c r="K31" s="487">
        <f ca="1">AVERAGE($I$27:I31)</f>
        <v>4.8</v>
      </c>
      <c r="L31" s="487"/>
      <c r="M31" s="487"/>
      <c r="N31" s="42" t="str">
        <f>'Well Data-NK'!A135</f>
        <v>RA-0178</v>
      </c>
      <c r="O31" s="42">
        <f>'Well Data-NK'!U135</f>
        <v>7.5416666666642413</v>
      </c>
      <c r="P31" s="42">
        <f>'Well Data-NK'!Q135</f>
        <v>28.666666666664241</v>
      </c>
      <c r="Q31" s="42">
        <f>'Well Data-NK'!V135</f>
        <v>36.208333333328483</v>
      </c>
      <c r="R31" s="42">
        <f>'Well Data-NK'!R135</f>
        <v>54</v>
      </c>
      <c r="S31" s="42">
        <f>'Well Data-NK'!T135</f>
        <v>25</v>
      </c>
      <c r="T31" s="42">
        <f>'Well Data-NK'!AM135</f>
        <v>0</v>
      </c>
      <c r="U31" s="16">
        <f t="shared" si="0"/>
        <v>25</v>
      </c>
      <c r="V31" s="16"/>
      <c r="W31" s="16"/>
      <c r="X31" s="16"/>
    </row>
    <row r="32" spans="1:24" x14ac:dyDescent="0.25">
      <c r="A32" s="44">
        <v>41883</v>
      </c>
      <c r="B32" s="16">
        <v>10</v>
      </c>
      <c r="C32" s="273">
        <f>AVERAGE(B27:B32)</f>
        <v>9.4166666666666661</v>
      </c>
      <c r="D32" s="300">
        <f ca="1">COUNTIFS('Well Data-NK'!Rig_Release_Date,"&gt;="&amp;A32,'Well Data-NK'!Rig_Release_Date,"&lt;="&amp;A33,'Well Data-NK'!Target_Reservoir,"MA")</f>
        <v>2</v>
      </c>
      <c r="E32" s="300">
        <f ca="1">COUNTIFS('Well Data-NK'!Rig_Release_Date,"&gt;="&amp;A32,'Well Data-NK'!Rig_Release_Date,"&lt;="&amp;A33,'Well Data-NK'!Target_Reservoir,"LB")</f>
        <v>1</v>
      </c>
      <c r="F32" s="300">
        <f ca="1">COUNTIFS('Well Data-NK'!Rig_Release_Date,"&gt;="&amp;A32,'Well Data-NK'!Rig_Release_Date,"&lt;="&amp;A33,'Well Data-NK'!Target_Reservoir,"UB")</f>
        <v>1</v>
      </c>
      <c r="G32" s="300">
        <f ca="1">COUNTIFS('Well Data-NK'!Rig_Release_Date,"&gt;="&amp;A32,'Well Data-NK'!Rig_Release_Date,"&lt;="&amp;A33,'Well Data-NK'!Target_Reservoir,"ZU/RT")</f>
        <v>0</v>
      </c>
      <c r="H32" s="300">
        <v>1</v>
      </c>
      <c r="I32" s="300">
        <f t="shared" ca="1" si="3"/>
        <v>5</v>
      </c>
      <c r="J32" s="300">
        <f ca="1">SUM(I$32:I32)</f>
        <v>5</v>
      </c>
      <c r="K32" s="488">
        <f ca="1">AVERAGE($I$32:I32)</f>
        <v>5</v>
      </c>
      <c r="L32" s="488"/>
      <c r="M32" s="488"/>
      <c r="N32" s="42" t="str">
        <f>'Well Data-NK'!A136</f>
        <v>RA-0282</v>
      </c>
      <c r="O32" s="42">
        <f>'Well Data-NK'!U136</f>
        <v>3.5416666666715173</v>
      </c>
      <c r="P32" s="42">
        <f>'Well Data-NK'!Q136</f>
        <v>30.791666666664199</v>
      </c>
      <c r="Q32" s="42">
        <f>'Well Data-NK'!V136</f>
        <v>34.333333333335716</v>
      </c>
      <c r="R32" s="42">
        <f>'Well Data-NK'!R136</f>
        <v>54</v>
      </c>
      <c r="S32" s="42">
        <f>'Well Data-NK'!T136</f>
        <v>25</v>
      </c>
      <c r="T32" s="42">
        <f>'Well Data-NK'!AM136</f>
        <v>-19.666666666664284</v>
      </c>
      <c r="U32" s="16">
        <f t="shared" si="0"/>
        <v>25</v>
      </c>
      <c r="V32" s="16"/>
      <c r="W32" s="16"/>
      <c r="X32" s="16"/>
    </row>
    <row r="33" spans="1:25" x14ac:dyDescent="0.25">
      <c r="A33" s="44">
        <v>41913</v>
      </c>
      <c r="B33" s="16">
        <v>14</v>
      </c>
      <c r="C33" s="273">
        <f>AVERAGE(B27:B33)</f>
        <v>10.071428571428571</v>
      </c>
      <c r="D33" s="46">
        <f ca="1">COUNTIFS('Well Data-NK'!Rig_Release_Date,"&gt;"&amp;A33,'Well Data-NK'!Rig_Release_Date,"&lt;"&amp;A34,'Well Data-NK'!Target_Reservoir,"MA")</f>
        <v>3</v>
      </c>
      <c r="E33" s="46">
        <f ca="1">COUNTIFS('Well Data-NK'!Rig_Release_Date,"&gt;"&amp;A33,'Well Data-NK'!Rig_Release_Date,"&lt;"&amp;A34,'Well Data-NK'!Target_Reservoir,"LB")</f>
        <v>1</v>
      </c>
      <c r="F33" s="46">
        <f ca="1">COUNTIFS('Well Data-NK'!Rig_Release_Date,"&gt;"&amp;A33,'Well Data-NK'!Rig_Release_Date,"&lt;"&amp;A34,'Well Data-NK'!Target_Reservoir,"UB")</f>
        <v>0</v>
      </c>
      <c r="G33" s="46">
        <f ca="1">COUNTIFS('Well Data-NK'!Rig_Release_Date,"&gt;"&amp;A33,'Well Data-NK'!Rig_Release_Date,"&lt;"&amp;A34,'Well Data-NK'!Target_Reservoir,"ZU/RT")</f>
        <v>0</v>
      </c>
      <c r="H33" s="46">
        <v>1</v>
      </c>
      <c r="I33" s="46">
        <f t="shared" ca="1" si="3"/>
        <v>5</v>
      </c>
      <c r="J33" s="300">
        <f ca="1">SUM(I$32:I33)</f>
        <v>10</v>
      </c>
      <c r="K33" s="487">
        <f ca="1">AVERAGE($I$32:I33)</f>
        <v>5</v>
      </c>
      <c r="L33" s="487"/>
      <c r="M33" s="487"/>
      <c r="N33" s="42" t="str">
        <f>'Well Data-NK'!A137</f>
        <v>SA-0562</v>
      </c>
      <c r="O33" s="42">
        <f>'Well Data-NK'!U137</f>
        <v>13.0208333333358</v>
      </c>
      <c r="P33" s="42">
        <f>'Well Data-NK'!Q137</f>
        <v>78.875</v>
      </c>
      <c r="Q33" s="42">
        <f>'Well Data-NK'!V137</f>
        <v>91.895833333335801</v>
      </c>
      <c r="R33" s="42">
        <f>'Well Data-NK'!R137</f>
        <v>75</v>
      </c>
      <c r="S33" s="42">
        <f>'Well Data-NK'!T137</f>
        <v>33</v>
      </c>
      <c r="T33" s="42">
        <f>'Well Data-NK'!AM137</f>
        <v>16.895833333335801</v>
      </c>
      <c r="U33" s="16">
        <f t="shared" si="0"/>
        <v>33</v>
      </c>
      <c r="V33" s="16"/>
      <c r="W33" s="16"/>
      <c r="X33" s="16"/>
      <c r="Y33" s="28"/>
    </row>
    <row r="34" spans="1:25" x14ac:dyDescent="0.25">
      <c r="A34" s="44">
        <v>41944</v>
      </c>
      <c r="B34" s="16">
        <v>14</v>
      </c>
      <c r="C34" s="273">
        <f>AVERAGE(B27:B34)</f>
        <v>10.5625</v>
      </c>
      <c r="D34" s="46">
        <f ca="1">COUNTIFS('Well Data-NK'!Rig_Release_Date,"&gt;"&amp;A34,'Well Data-NK'!Rig_Release_Date,"&lt;"&amp;A35,'Well Data-NK'!Target_Reservoir,"MA")</f>
        <v>6</v>
      </c>
      <c r="E34" s="46">
        <f ca="1">COUNTIFS('Well Data-NK'!Rig_Release_Date,"&gt;"&amp;A34,'Well Data-NK'!Rig_Release_Date,"&lt;"&amp;A35,'Well Data-NK'!Target_Reservoir,"LB")</f>
        <v>0</v>
      </c>
      <c r="F34" s="46">
        <f ca="1">COUNTIFS('Well Data-NK'!Rig_Release_Date,"&gt;"&amp;A34,'Well Data-NK'!Rig_Release_Date,"&lt;"&amp;A35,'Well Data-NK'!Target_Reservoir,"UB")</f>
        <v>1</v>
      </c>
      <c r="G34" s="46">
        <f ca="1">COUNTIFS('Well Data-NK'!Rig_Release_Date,"&gt;"&amp;A34,'Well Data-NK'!Rig_Release_Date,"&lt;"&amp;A35,'Well Data-NK'!Target_Reservoir,"ZU/RT")</f>
        <v>0</v>
      </c>
      <c r="H34" s="46">
        <v>1</v>
      </c>
      <c r="I34" s="46">
        <f t="shared" ca="1" si="3"/>
        <v>8</v>
      </c>
      <c r="J34" s="300">
        <f ca="1">SUM(I$32:I34)</f>
        <v>18</v>
      </c>
      <c r="K34" s="487">
        <f ca="1">AVERAGE($I$32:I34)</f>
        <v>6</v>
      </c>
      <c r="L34" s="487"/>
      <c r="M34" s="487"/>
      <c r="N34" s="42" t="str">
        <f>'Well Data-NK'!A138</f>
        <v>SA-0322</v>
      </c>
      <c r="O34" s="42">
        <f>'Well Data-NK'!U138</f>
        <v>2.7080000000000002</v>
      </c>
      <c r="P34" s="42">
        <f>'Well Data-NK'!Q138</f>
        <v>38</v>
      </c>
      <c r="Q34" s="42">
        <f>'Well Data-NK'!V138</f>
        <v>40.707999999999998</v>
      </c>
      <c r="R34" s="42">
        <f>'Well Data-NK'!R138</f>
        <v>54</v>
      </c>
      <c r="S34" s="42">
        <f>'Well Data-NK'!T138</f>
        <v>25</v>
      </c>
      <c r="T34" s="42">
        <f>'Well Data-NK'!AM138</f>
        <v>-13.292000000000002</v>
      </c>
      <c r="U34" s="16">
        <f t="shared" si="0"/>
        <v>25</v>
      </c>
      <c r="V34" s="16"/>
      <c r="W34" s="16"/>
      <c r="X34" s="16"/>
      <c r="Y34" s="28"/>
    </row>
    <row r="35" spans="1:25" x14ac:dyDescent="0.25">
      <c r="A35" s="44">
        <v>41974</v>
      </c>
      <c r="B35" s="16">
        <v>14.5</v>
      </c>
      <c r="C35" s="273">
        <f>AVERAGE(B27:B35)</f>
        <v>11</v>
      </c>
      <c r="D35" s="46">
        <f ca="1">COUNTIFS('Well Data-NK'!Rig_Release_Date,"&gt;"&amp;A35,'Well Data-NK'!Rig_Release_Date,"&lt;"&amp;A36,'Well Data-NK'!Target_Reservoir,"MA")</f>
        <v>2</v>
      </c>
      <c r="E35" s="46">
        <f ca="1">COUNTIFS('Well Data-NK'!Rig_Release_Date,"&gt;"&amp;A35,'Well Data-NK'!Rig_Release_Date,"&lt;"&amp;A36,'Well Data-NK'!Target_Reservoir,"LB")</f>
        <v>0</v>
      </c>
      <c r="F35" s="46">
        <f ca="1">COUNTIFS('Well Data-NK'!Rig_Release_Date,"&gt;"&amp;A35,'Well Data-NK'!Rig_Release_Date,"&lt;"&amp;A36,'Well Data-NK'!Target_Reservoir,"UB")</f>
        <v>1</v>
      </c>
      <c r="G35" s="46">
        <f ca="1">COUNTIFS('Well Data-NK'!Rig_Release_Date,"&gt;"&amp;A35,'Well Data-NK'!Rig_Release_Date,"&lt;"&amp;A36,'Well Data-NK'!Target_Reservoir,"ZU/RT")</f>
        <v>1</v>
      </c>
      <c r="H35" s="46">
        <v>0</v>
      </c>
      <c r="I35" s="46">
        <f t="shared" ca="1" si="3"/>
        <v>4</v>
      </c>
      <c r="J35" s="300">
        <f ca="1">SUM(I$32:I35)</f>
        <v>22</v>
      </c>
      <c r="K35" s="487">
        <f ca="1">AVERAGE($I$32:I35)</f>
        <v>5.5</v>
      </c>
      <c r="L35" s="487"/>
      <c r="M35" s="487"/>
      <c r="N35" s="42" t="str">
        <f>'Well Data-NK'!A139</f>
        <v>SA-0158</v>
      </c>
      <c r="O35" s="42">
        <f>'Well Data-NK'!U139</f>
        <v>2.8333333333357587</v>
      </c>
      <c r="P35" s="42">
        <f>'Well Data-NK'!Q139</f>
        <v>42.708333333328483</v>
      </c>
      <c r="Q35" s="42">
        <f>'Well Data-NK'!V139</f>
        <v>45.541666666664241</v>
      </c>
      <c r="R35" s="42">
        <f>'Well Data-NK'!R139</f>
        <v>61</v>
      </c>
      <c r="S35" s="42">
        <f>'Well Data-NK'!T139</f>
        <v>27</v>
      </c>
      <c r="T35" s="42">
        <f>'Well Data-NK'!AM139</f>
        <v>0</v>
      </c>
      <c r="U35" s="16">
        <f t="shared" si="0"/>
        <v>27</v>
      </c>
      <c r="V35" s="16"/>
      <c r="W35" s="16"/>
      <c r="X35" s="16"/>
      <c r="Y35" s="28"/>
    </row>
    <row r="36" spans="1:25" x14ac:dyDescent="0.25">
      <c r="A36" s="44">
        <v>42005</v>
      </c>
      <c r="B36" s="16">
        <v>16</v>
      </c>
      <c r="C36" s="273">
        <f>AVERAGE(B27:B36)</f>
        <v>11.5</v>
      </c>
      <c r="D36" s="46">
        <f ca="1">COUNTIFS('Well Data-NK'!Rig_Release_Date,"&gt;"&amp;A36,'Well Data-NK'!Rig_Release_Date,"&lt;"&amp;A37,'Well Data-NK'!Target_Reservoir,"MA")</f>
        <v>3</v>
      </c>
      <c r="E36" s="46">
        <f ca="1">COUNTIFS('Well Data-NK'!Rig_Release_Date,"&gt;"&amp;A36,'Well Data-NK'!Rig_Release_Date,"&lt;"&amp;A37,'Well Data-NK'!Target_Reservoir,"LB")</f>
        <v>1</v>
      </c>
      <c r="F36" s="46">
        <f ca="1">COUNTIFS('Well Data-NK'!Rig_Release_Date,"&gt;"&amp;A36,'Well Data-NK'!Rig_Release_Date,"&lt;"&amp;A37,'Well Data-NK'!Target_Reservoir,"UB")</f>
        <v>0</v>
      </c>
      <c r="G36" s="46">
        <f ca="1">COUNTIFS('Well Data-NK'!Rig_Release_Date,"&gt;"&amp;A36,'Well Data-NK'!Rig_Release_Date,"&lt;"&amp;A37,'Well Data-NK'!Target_Reservoir,"ZU/RT")</f>
        <v>1</v>
      </c>
      <c r="H36" s="46">
        <v>0</v>
      </c>
      <c r="I36" s="46">
        <f t="shared" ca="1" si="3"/>
        <v>5</v>
      </c>
      <c r="J36" s="300">
        <f ca="1">SUM(I$32:I36)</f>
        <v>27</v>
      </c>
      <c r="K36" s="487">
        <f ca="1">AVERAGE($I$32:I36)</f>
        <v>5.4</v>
      </c>
      <c r="L36" s="487"/>
      <c r="M36" s="487"/>
      <c r="N36" s="42" t="str">
        <f>'Well Data-NK'!A140</f>
        <v>RA-0152</v>
      </c>
      <c r="O36" s="42">
        <f>'Well Data-NK'!U140</f>
        <v>34.3125</v>
      </c>
      <c r="P36" s="42">
        <f>'Well Data-NK'!Q140</f>
        <v>31.125</v>
      </c>
      <c r="Q36" s="42">
        <f>'Well Data-NK'!V140</f>
        <v>65.4375</v>
      </c>
      <c r="R36" s="42">
        <f>'Well Data-NK'!R140</f>
        <v>54</v>
      </c>
      <c r="S36" s="42">
        <f>'Well Data-NK'!T140</f>
        <v>25</v>
      </c>
      <c r="T36" s="42">
        <f>'Well Data-NK'!AM140</f>
        <v>0</v>
      </c>
      <c r="U36" s="16">
        <f t="shared" si="0"/>
        <v>25</v>
      </c>
      <c r="V36" s="16"/>
      <c r="W36" s="16"/>
      <c r="X36" s="16"/>
      <c r="Y36" s="28"/>
    </row>
    <row r="37" spans="1:25" x14ac:dyDescent="0.25">
      <c r="A37" s="44">
        <v>42036</v>
      </c>
      <c r="B37" s="81">
        <v>16</v>
      </c>
      <c r="C37" s="273">
        <f>AVERAGE(B27:B37)</f>
        <v>11.909090909090908</v>
      </c>
      <c r="D37" s="46">
        <f ca="1">COUNTIFS('Well Data-NK'!Rig_Release_Date,"&gt;"&amp;A37,'Well Data-NK'!Rig_Release_Date,"&lt;"&amp;A38,'Well Data-NK'!Target_Reservoir,"MA")</f>
        <v>3</v>
      </c>
      <c r="E37" s="46">
        <f ca="1">COUNTIFS('Well Data-NK'!Rig_Release_Date,"&gt;"&amp;A37,'Well Data-NK'!Rig_Release_Date,"&lt;"&amp;A38,'Well Data-NK'!Target_Reservoir,"LB")</f>
        <v>3</v>
      </c>
      <c r="F37" s="46">
        <f ca="1">COUNTIFS('Well Data-NK'!Rig_Release_Date,"&gt;"&amp;A37,'Well Data-NK'!Rig_Release_Date,"&lt;"&amp;A38,'Well Data-NK'!Target_Reservoir,"UB")</f>
        <v>0</v>
      </c>
      <c r="G37" s="46">
        <f ca="1">COUNTIFS('Well Data-NK'!Rig_Release_Date,"&gt;"&amp;A37,'Well Data-NK'!Rig_Release_Date,"&lt;"&amp;A38,'Well Data-NK'!Target_Reservoir,"ZU/RT")</f>
        <v>1</v>
      </c>
      <c r="H37" s="46">
        <v>0</v>
      </c>
      <c r="I37" s="46">
        <f t="shared" ca="1" si="3"/>
        <v>7</v>
      </c>
      <c r="J37" s="300">
        <f ca="1">SUM(I$32:I37)</f>
        <v>34</v>
      </c>
      <c r="K37" s="487">
        <f ca="1">AVERAGE($I$32:I37)</f>
        <v>5.666666666666667</v>
      </c>
      <c r="L37" s="487"/>
      <c r="M37" s="487"/>
      <c r="N37" s="42" t="str">
        <f>'Well Data-NK'!A141</f>
        <v>SA-0221</v>
      </c>
      <c r="O37" s="42">
        <f>'Well Data-NK'!U141</f>
        <v>33.333333333335759</v>
      </c>
      <c r="P37" s="42">
        <f>'Well Data-NK'!Q141</f>
        <v>64.5</v>
      </c>
      <c r="Q37" s="42">
        <f>'Well Data-NK'!V141</f>
        <v>97.833333333335759</v>
      </c>
      <c r="R37" s="42">
        <f>'Well Data-NK'!R141</f>
        <v>61</v>
      </c>
      <c r="S37" s="42" t="e">
        <f>'Well Data-NK'!T141</f>
        <v>#N/A</v>
      </c>
      <c r="T37" s="42">
        <f>'Well Data-NK'!AM141</f>
        <v>0</v>
      </c>
      <c r="U37" s="16" t="e">
        <f t="shared" si="0"/>
        <v>#N/A</v>
      </c>
      <c r="V37" s="16"/>
      <c r="W37" s="16"/>
      <c r="X37" s="16"/>
      <c r="Y37" s="28"/>
    </row>
    <row r="38" spans="1:25" x14ac:dyDescent="0.25">
      <c r="A38" s="44">
        <v>42064</v>
      </c>
      <c r="B38" s="81">
        <v>15</v>
      </c>
      <c r="C38" s="273">
        <f>AVERAGE(B27:B38)</f>
        <v>12.166666666666666</v>
      </c>
      <c r="D38" s="46">
        <f ca="1">COUNTIFS('Well Data-NK'!Rig_Release_Date,"&gt;"&amp;A38,'Well Data-NK'!Rig_Release_Date,"&lt;"&amp;A39,'Well Data-NK'!Target_Reservoir,"MA")</f>
        <v>6</v>
      </c>
      <c r="E38" s="46">
        <f ca="1">COUNTIFS('Well Data-NK'!Rig_Release_Date,"&gt;"&amp;A38,'Well Data-NK'!Rig_Release_Date,"&lt;"&amp;A39,'Well Data-NK'!Target_Reservoir,"LB")</f>
        <v>1</v>
      </c>
      <c r="F38" s="46">
        <f ca="1">COUNTIFS('Well Data-NK'!Rig_Release_Date,"&gt;"&amp;A38,'Well Data-NK'!Rig_Release_Date,"&lt;"&amp;A39,'Well Data-NK'!Target_Reservoir,"UB")</f>
        <v>0</v>
      </c>
      <c r="G38" s="46">
        <f ca="1">COUNTIFS('Well Data-NK'!Rig_Release_Date,"&gt;"&amp;A38,'Well Data-NK'!Rig_Release_Date,"&lt;"&amp;A39,'Well Data-NK'!Target_Reservoir,"ZU/RT")</f>
        <v>0</v>
      </c>
      <c r="H38" s="46">
        <v>0</v>
      </c>
      <c r="I38" s="46">
        <f t="shared" ref="I38:I43" ca="1" si="4">SUM(D38:H38)</f>
        <v>7</v>
      </c>
      <c r="J38" s="300">
        <f ca="1">SUM(I$32:I38)</f>
        <v>41</v>
      </c>
      <c r="K38" s="487">
        <f ca="1">AVERAGE($I$32:I38)</f>
        <v>5.8571428571428568</v>
      </c>
      <c r="L38" s="487"/>
      <c r="M38" s="487"/>
      <c r="N38" s="42" t="str">
        <f>'Well Data-NK'!A142</f>
        <v>SA-0184</v>
      </c>
      <c r="O38" s="42">
        <f>'Well Data-NK'!U142</f>
        <v>2.0833333333284827</v>
      </c>
      <c r="P38" s="42">
        <f>'Well Data-NK'!Q142</f>
        <v>47.833333333335759</v>
      </c>
      <c r="Q38" s="42">
        <f>'Well Data-NK'!V142</f>
        <v>49.916666666664241</v>
      </c>
      <c r="R38" s="42">
        <f>'Well Data-NK'!R142</f>
        <v>54</v>
      </c>
      <c r="S38" s="42">
        <f>'Well Data-NK'!T142</f>
        <v>25</v>
      </c>
      <c r="T38" s="42">
        <f>'Well Data-NK'!AM142</f>
        <v>0</v>
      </c>
      <c r="U38" s="16">
        <f t="shared" si="0"/>
        <v>25</v>
      </c>
      <c r="V38" s="16"/>
      <c r="W38" s="16"/>
      <c r="X38" s="16"/>
      <c r="Y38" s="28"/>
    </row>
    <row r="39" spans="1:25" x14ac:dyDescent="0.25">
      <c r="A39" s="44">
        <v>42095</v>
      </c>
      <c r="B39" s="89">
        <v>15</v>
      </c>
      <c r="C39" s="273">
        <f t="shared" ref="C39:C43" si="5">AVERAGE(B28:B39)</f>
        <v>12.666666666666666</v>
      </c>
      <c r="D39" s="46">
        <f ca="1">COUNTIFS('Well Data-NK'!Rig_Release_Date,"&gt;"&amp;A39,'Well Data-NK'!Rig_Release_Date,"&lt;"&amp;A40,'Well Data-NK'!Target_Reservoir,"MA")</f>
        <v>4</v>
      </c>
      <c r="E39" s="46">
        <f ca="1">COUNTIFS('Well Data-NK'!Rig_Release_Date,"&gt;"&amp;A39,'Well Data-NK'!Rig_Release_Date,"&lt;"&amp;A40,'Well Data-NK'!Target_Reservoir,"LB")</f>
        <v>0</v>
      </c>
      <c r="F39" s="46">
        <f ca="1">COUNTIFS('Well Data-NK'!Rig_Release_Date,"&gt;"&amp;A39,'Well Data-NK'!Rig_Release_Date,"&lt;"&amp;A40,'Well Data-NK'!Target_Reservoir,"UB")</f>
        <v>2</v>
      </c>
      <c r="G39" s="46">
        <f ca="1">COUNTIFS('Well Data-NK'!Rig_Release_Date,"&gt;"&amp;A39,'Well Data-NK'!Rig_Release_Date,"&lt;"&amp;A40,'Well Data-NK'!Target_Reservoir,"ZU/RT")</f>
        <v>1</v>
      </c>
      <c r="H39" s="46">
        <v>1</v>
      </c>
      <c r="I39" s="46">
        <f t="shared" ca="1" si="4"/>
        <v>8</v>
      </c>
      <c r="J39" s="300">
        <f ca="1">SUM(I$32:I39)</f>
        <v>49</v>
      </c>
      <c r="K39" s="487">
        <f ca="1">AVERAGE($I$32:I39)</f>
        <v>6.125</v>
      </c>
      <c r="L39" s="488">
        <f ca="1">SUM(I$39:I39)</f>
        <v>8</v>
      </c>
      <c r="M39" s="488">
        <f ca="1">AVERAGE($I$39:I39)</f>
        <v>8</v>
      </c>
      <c r="N39" s="42" t="str">
        <f>'Well Data-NK'!A143</f>
        <v>SA-0115</v>
      </c>
      <c r="O39" s="42">
        <f>'Well Data-NK'!U143</f>
        <v>2.5</v>
      </c>
      <c r="P39" s="42">
        <f>'Well Data-NK'!Q143</f>
        <v>35.083333333328483</v>
      </c>
      <c r="Q39" s="42">
        <f>'Well Data-NK'!V143</f>
        <v>37.583333333328483</v>
      </c>
      <c r="R39" s="42">
        <f>'Well Data-NK'!R143</f>
        <v>54</v>
      </c>
      <c r="S39" s="42">
        <f>'Well Data-NK'!T143</f>
        <v>25</v>
      </c>
      <c r="T39" s="42">
        <f>'Well Data-NK'!AM143</f>
        <v>0</v>
      </c>
      <c r="U39" s="16">
        <f t="shared" si="0"/>
        <v>25</v>
      </c>
      <c r="V39" s="16"/>
      <c r="W39" s="16"/>
      <c r="X39" s="16"/>
      <c r="Y39" s="28"/>
    </row>
    <row r="40" spans="1:25" x14ac:dyDescent="0.25">
      <c r="A40" s="44">
        <v>42125</v>
      </c>
      <c r="B40" s="89">
        <v>16</v>
      </c>
      <c r="C40" s="273">
        <f t="shared" si="5"/>
        <v>13.291666666666666</v>
      </c>
      <c r="D40" s="46">
        <f ca="1">COUNTIFS('Well Data-NK'!Rig_Release_Date,"&gt;"&amp;A40,'Well Data-NK'!Rig_Release_Date,"&lt;"&amp;A41,'Well Data-NK'!Target_Reservoir,"MA")</f>
        <v>5</v>
      </c>
      <c r="E40" s="46">
        <f ca="1">COUNTIFS('Well Data-NK'!Rig_Release_Date,"&gt;"&amp;A40,'Well Data-NK'!Rig_Release_Date,"&lt;"&amp;A41,'Well Data-NK'!Target_Reservoir,"LB")</f>
        <v>2</v>
      </c>
      <c r="F40" s="46">
        <f ca="1">COUNTIFS('Well Data-NK'!Rig_Release_Date,"&gt;"&amp;A40,'Well Data-NK'!Rig_Release_Date,"&lt;"&amp;A41,'Well Data-NK'!Target_Reservoir,"UB")</f>
        <v>0</v>
      </c>
      <c r="G40" s="46">
        <f ca="1">COUNTIFS('Well Data-NK'!Rig_Release_Date,"&gt;"&amp;A40,'Well Data-NK'!Rig_Release_Date,"&lt;"&amp;A41,'Well Data-NK'!Target_Reservoir,"ZU/RT")</f>
        <v>2</v>
      </c>
      <c r="H40" s="46">
        <v>0</v>
      </c>
      <c r="I40" s="46">
        <f t="shared" ca="1" si="4"/>
        <v>9</v>
      </c>
      <c r="J40" s="300">
        <f ca="1">SUM(I$32:I40)</f>
        <v>58</v>
      </c>
      <c r="K40" s="487">
        <f ca="1">AVERAGE($I$32:I40)</f>
        <v>6.4444444444444446</v>
      </c>
      <c r="L40" s="488">
        <f ca="1">SUM(I$39:I40)</f>
        <v>17</v>
      </c>
      <c r="M40" s="488">
        <f ca="1">AVERAGE($I$39:I40)</f>
        <v>8.5</v>
      </c>
      <c r="N40" s="42" t="str">
        <f>'Well Data-NK'!A144</f>
        <v>RA-0554</v>
      </c>
      <c r="O40" s="42">
        <f>'Well Data-NK'!U144</f>
        <v>5.8333333333357587</v>
      </c>
      <c r="P40" s="42">
        <f>'Well Data-NK'!Q144</f>
        <v>47.791666666664241</v>
      </c>
      <c r="Q40" s="42">
        <f>'Well Data-NK'!V144</f>
        <v>53.625</v>
      </c>
      <c r="R40" s="42">
        <f>'Well Data-NK'!R144</f>
        <v>75</v>
      </c>
      <c r="S40" s="42">
        <f>'Well Data-NK'!T144</f>
        <v>35</v>
      </c>
      <c r="T40" s="42">
        <f>'Well Data-NK'!AM144</f>
        <v>0</v>
      </c>
      <c r="U40" s="16">
        <f t="shared" si="0"/>
        <v>35</v>
      </c>
      <c r="V40" s="16"/>
      <c r="W40" s="16"/>
      <c r="X40" s="16"/>
      <c r="Y40" s="28"/>
    </row>
    <row r="41" spans="1:25" x14ac:dyDescent="0.25">
      <c r="A41" s="44">
        <v>42156</v>
      </c>
      <c r="B41" s="89">
        <v>18</v>
      </c>
      <c r="C41" s="273">
        <f t="shared" si="5"/>
        <v>14</v>
      </c>
      <c r="D41" s="46">
        <f ca="1">COUNTIFS('Well Data-NK'!Rig_Release_Date,"&gt;"&amp;A41,'Well Data-NK'!Rig_Release_Date,"&lt;"&amp;A42,'Well Data-NK'!Target_Reservoir,"MA")</f>
        <v>1</v>
      </c>
      <c r="E41" s="46">
        <f ca="1">COUNTIFS('Well Data-NK'!Rig_Release_Date,"&gt;"&amp;A41,'Well Data-NK'!Rig_Release_Date,"&lt;"&amp;A42,'Well Data-NK'!Target_Reservoir,"LB")</f>
        <v>0</v>
      </c>
      <c r="F41" s="46">
        <f ca="1">COUNTIFS('Well Data-NK'!Rig_Release_Date,"&gt;"&amp;A41,'Well Data-NK'!Rig_Release_Date,"&lt;"&amp;A42,'Well Data-NK'!Target_Reservoir,"UB")</f>
        <v>1</v>
      </c>
      <c r="G41" s="46">
        <f ca="1">COUNTIFS('Well Data-NK'!Rig_Release_Date,"&gt;"&amp;A41,'Well Data-NK'!Rig_Release_Date,"&lt;"&amp;A42,'Well Data-NK'!Target_Reservoir,"ZU/RT")</f>
        <v>0</v>
      </c>
      <c r="H41" s="46">
        <v>0</v>
      </c>
      <c r="I41" s="46">
        <f t="shared" ca="1" si="4"/>
        <v>2</v>
      </c>
      <c r="J41" s="300">
        <f ca="1">SUM(I$32:I41)</f>
        <v>60</v>
      </c>
      <c r="K41" s="487">
        <f ca="1">AVERAGE($I$32:I41)</f>
        <v>6</v>
      </c>
      <c r="L41" s="488">
        <f ca="1">SUM(I$39:I41)</f>
        <v>19</v>
      </c>
      <c r="M41" s="488">
        <f ca="1">AVERAGE($I$39:I41)</f>
        <v>6.333333333333333</v>
      </c>
      <c r="N41" s="42" t="str">
        <f>'Well Data-NK'!A145</f>
        <v>SA-0431</v>
      </c>
      <c r="O41" s="42">
        <f>'Well Data-NK'!U145</f>
        <v>2.125</v>
      </c>
      <c r="P41" s="42">
        <f>'Well Data-NK'!Q145</f>
        <v>30.1875</v>
      </c>
      <c r="Q41" s="42">
        <f>'Well Data-NK'!V145</f>
        <v>32.3125</v>
      </c>
      <c r="R41" s="42">
        <f>'Well Data-NK'!R145</f>
        <v>54</v>
      </c>
      <c r="S41" s="42">
        <f>'Well Data-NK'!T145</f>
        <v>25</v>
      </c>
      <c r="T41" s="42">
        <f>'Well Data-NK'!AM145</f>
        <v>0</v>
      </c>
      <c r="U41" s="16">
        <f t="shared" ref="U41:U42" si="6">S41</f>
        <v>25</v>
      </c>
      <c r="V41" s="16"/>
      <c r="W41" s="16"/>
      <c r="X41" s="16"/>
      <c r="Y41" s="28"/>
    </row>
    <row r="42" spans="1:25" x14ac:dyDescent="0.25">
      <c r="A42" s="44">
        <v>42186</v>
      </c>
      <c r="B42" s="89">
        <v>19</v>
      </c>
      <c r="C42" s="273">
        <f t="shared" si="5"/>
        <v>14.75</v>
      </c>
      <c r="D42" s="46">
        <f ca="1">COUNTIFS('Well Data-NK'!Rig_Release_Date,"&gt;"&amp;A42,'Well Data-NK'!Rig_Release_Date,"&lt;"&amp;A43,'Well Data-NK'!Target_Reservoir,"MA")</f>
        <v>7</v>
      </c>
      <c r="E42" s="46">
        <f ca="1">COUNTIFS('Well Data-NK'!Rig_Release_Date,"&gt;"&amp;A42,'Well Data-NK'!Rig_Release_Date,"&lt;"&amp;A43,'Well Data-NK'!Target_Reservoir,"LB")</f>
        <v>3</v>
      </c>
      <c r="F42" s="46">
        <f ca="1">COUNTIFS('Well Data-NK'!Rig_Release_Date,"&gt;"&amp;A42,'Well Data-NK'!Rig_Release_Date,"&lt;"&amp;A43,'Well Data-NK'!Target_Reservoir,"UB")</f>
        <v>1</v>
      </c>
      <c r="G42" s="46">
        <f ca="1">COUNTIFS('Well Data-NK'!Rig_Release_Date,"&gt;"&amp;A42,'Well Data-NK'!Rig_Release_Date,"&lt;"&amp;A43,'Well Data-NK'!Target_Reservoir,"ZU/RT")</f>
        <v>1</v>
      </c>
      <c r="H42" s="46">
        <v>0</v>
      </c>
      <c r="I42" s="46">
        <f t="shared" ca="1" si="4"/>
        <v>12</v>
      </c>
      <c r="J42" s="300">
        <f ca="1">SUM(I$32:I42)</f>
        <v>72</v>
      </c>
      <c r="K42" s="487">
        <f ca="1">AVERAGE($I$32:I42)</f>
        <v>6.5454545454545459</v>
      </c>
      <c r="L42" s="488">
        <f ca="1">SUM(I$39:I42)</f>
        <v>31</v>
      </c>
      <c r="M42" s="488">
        <f ca="1">AVERAGE($I$39:I42)</f>
        <v>7.75</v>
      </c>
      <c r="N42" s="42" t="e">
        <f>'Well Data-NK'!#REF!</f>
        <v>#REF!</v>
      </c>
      <c r="O42" s="42" t="e">
        <f>'Well Data-NK'!#REF!</f>
        <v>#REF!</v>
      </c>
      <c r="P42" s="42" t="e">
        <f>'Well Data-NK'!#REF!</f>
        <v>#REF!</v>
      </c>
      <c r="Q42" s="42" t="e">
        <f>'Well Data-NK'!#REF!</f>
        <v>#REF!</v>
      </c>
      <c r="R42" s="42" t="e">
        <f>'Well Data-NK'!#REF!</f>
        <v>#REF!</v>
      </c>
      <c r="S42" s="42" t="e">
        <f>'Well Data-NK'!#REF!</f>
        <v>#REF!</v>
      </c>
      <c r="T42" s="42" t="e">
        <f>'Well Data-NK'!#REF!</f>
        <v>#REF!</v>
      </c>
      <c r="U42" s="16" t="e">
        <f t="shared" si="6"/>
        <v>#REF!</v>
      </c>
      <c r="V42" s="16"/>
      <c r="W42" s="16"/>
      <c r="X42" s="16"/>
      <c r="Y42" s="28"/>
    </row>
    <row r="43" spans="1:25" x14ac:dyDescent="0.25">
      <c r="A43" s="44">
        <v>42217</v>
      </c>
      <c r="B43" s="54">
        <v>19</v>
      </c>
      <c r="C43" s="273">
        <f t="shared" si="5"/>
        <v>15.541666666666666</v>
      </c>
      <c r="D43" s="46">
        <f ca="1">COUNTIFS('Well Data-NK'!Rig_Release_Date,"&gt;"&amp;A43,'Well Data-NK'!Rig_Release_Date,"&lt;"&amp;A44,'Well Data-NK'!Target_Reservoir,"MA")</f>
        <v>3</v>
      </c>
      <c r="E43" s="46">
        <f ca="1">COUNTIFS('Well Data-NK'!Rig_Release_Date,"&gt;"&amp;A43,'Well Data-NK'!Rig_Release_Date,"&lt;"&amp;A44,'Well Data-NK'!Target_Reservoir,"LB")</f>
        <v>1</v>
      </c>
      <c r="F43" s="46">
        <f ca="1">COUNTIFS('Well Data-NK'!Rig_Release_Date,"&gt;"&amp;A43,'Well Data-NK'!Rig_Release_Date,"&lt;"&amp;A44,'Well Data-NK'!Target_Reservoir,"UB")</f>
        <v>0</v>
      </c>
      <c r="G43" s="46">
        <f ca="1">COUNTIFS('Well Data-NK'!Rig_Release_Date,"&gt;"&amp;A43,'Well Data-NK'!Rig_Release_Date,"&lt;"&amp;A44,'Well Data-NK'!Target_Reservoir,"ZU/RT")</f>
        <v>0</v>
      </c>
      <c r="H43" s="46">
        <v>0</v>
      </c>
      <c r="I43" s="46">
        <f t="shared" ca="1" si="4"/>
        <v>4</v>
      </c>
      <c r="J43" s="300">
        <f ca="1">SUM(I$32:I43)</f>
        <v>76</v>
      </c>
      <c r="K43" s="487">
        <f ca="1">AVERAGE($I$32:I43)</f>
        <v>6.333333333333333</v>
      </c>
      <c r="L43" s="488">
        <f ca="1">SUM(I$39:I43)</f>
        <v>35</v>
      </c>
      <c r="M43" s="488">
        <f ca="1">AVERAGE($I$39:I43)</f>
        <v>7</v>
      </c>
      <c r="N43" s="42" t="str">
        <f>'Well Data-NK'!A147</f>
        <v>RA-0304</v>
      </c>
      <c r="O43" s="42">
        <f>'Well Data-NK'!U147</f>
        <v>2</v>
      </c>
      <c r="P43" s="42">
        <f>'Well Data-NK'!Q147</f>
        <v>27</v>
      </c>
      <c r="Q43" s="42">
        <f>'Well Data-NK'!V147</f>
        <v>29</v>
      </c>
      <c r="R43" s="42">
        <f>'Well Data-NK'!R147</f>
        <v>54</v>
      </c>
      <c r="S43" s="42">
        <f>'Well Data-NK'!T147</f>
        <v>25</v>
      </c>
      <c r="T43" s="42">
        <f>'Well Data-NK'!AM147</f>
        <v>0</v>
      </c>
      <c r="U43" s="81">
        <f t="shared" ref="U43:U50" si="7">S43</f>
        <v>25</v>
      </c>
      <c r="V43" s="81"/>
      <c r="W43" s="81"/>
      <c r="X43" s="81"/>
      <c r="Y43" s="28"/>
    </row>
    <row r="44" spans="1:25" x14ac:dyDescent="0.25">
      <c r="A44" s="44">
        <v>42248</v>
      </c>
      <c r="B44" s="54">
        <v>19</v>
      </c>
      <c r="D44" s="39"/>
      <c r="E44" s="56"/>
      <c r="N44" s="42" t="str">
        <f>'Well Data-NK'!A148</f>
        <v>SA-0570</v>
      </c>
      <c r="O44" s="42">
        <f>'Well Data-NK'!U148</f>
        <v>0</v>
      </c>
      <c r="P44" s="42">
        <f>'Well Data-NK'!Q148</f>
        <v>48</v>
      </c>
      <c r="Q44" s="42">
        <f>'Well Data-NK'!V148</f>
        <v>48</v>
      </c>
      <c r="R44" s="42">
        <f>'Well Data-NK'!R148</f>
        <v>75</v>
      </c>
      <c r="S44" s="42">
        <f>'Well Data-NK'!T148</f>
        <v>33</v>
      </c>
      <c r="T44" s="42">
        <f>'Well Data-NK'!AM148</f>
        <v>0</v>
      </c>
      <c r="U44" s="81">
        <f t="shared" si="7"/>
        <v>33</v>
      </c>
      <c r="V44" s="81"/>
      <c r="W44" s="81"/>
      <c r="X44" s="81"/>
      <c r="Y44" s="28"/>
    </row>
    <row r="45" spans="1:25" x14ac:dyDescent="0.25">
      <c r="A45" s="44">
        <v>42278</v>
      </c>
      <c r="B45" s="54">
        <v>19</v>
      </c>
      <c r="D45" s="39"/>
      <c r="E45" s="56"/>
      <c r="N45" s="42" t="str">
        <f>'Well Data-NK'!A149</f>
        <v>SA-0328</v>
      </c>
      <c r="O45" s="42">
        <f>'Well Data-NK'!U149</f>
        <v>2</v>
      </c>
      <c r="P45" s="42">
        <f>'Well Data-NK'!Q149</f>
        <v>57</v>
      </c>
      <c r="Q45" s="42">
        <f>'Well Data-NK'!V149</f>
        <v>59</v>
      </c>
      <c r="R45" s="42">
        <f>'Well Data-NK'!R149</f>
        <v>54</v>
      </c>
      <c r="S45" s="42">
        <f>'Well Data-NK'!T149</f>
        <v>25</v>
      </c>
      <c r="T45" s="42">
        <f>'Well Data-NK'!AM149</f>
        <v>0</v>
      </c>
      <c r="U45" s="81">
        <f t="shared" si="7"/>
        <v>25</v>
      </c>
      <c r="V45" s="81"/>
      <c r="W45" s="81"/>
      <c r="X45" s="81"/>
      <c r="Y45" s="28"/>
    </row>
    <row r="46" spans="1:25" x14ac:dyDescent="0.25">
      <c r="A46" s="44">
        <v>42309</v>
      </c>
      <c r="B46" s="54">
        <v>19</v>
      </c>
      <c r="D46" s="39"/>
      <c r="E46" s="56"/>
      <c r="J46" s="39"/>
      <c r="K46" s="39"/>
      <c r="L46" s="39"/>
      <c r="M46" s="39"/>
      <c r="N46" s="42" t="str">
        <f>'Well Data-NK'!A150</f>
        <v>SA-0393</v>
      </c>
      <c r="O46" s="42">
        <f>'Well Data-NK'!U150</f>
        <v>1</v>
      </c>
      <c r="P46" s="42">
        <f>'Well Data-NK'!Q150</f>
        <v>52</v>
      </c>
      <c r="Q46" s="42">
        <f>'Well Data-NK'!V150</f>
        <v>53</v>
      </c>
      <c r="R46" s="42">
        <f>'Well Data-NK'!R150</f>
        <v>61</v>
      </c>
      <c r="S46" s="42" t="e">
        <f>'Well Data-NK'!T150</f>
        <v>#N/A</v>
      </c>
      <c r="T46" s="42">
        <f>'Well Data-NK'!AM150</f>
        <v>0</v>
      </c>
      <c r="U46" s="81" t="e">
        <f t="shared" si="7"/>
        <v>#N/A</v>
      </c>
      <c r="V46" s="81"/>
      <c r="W46" s="81"/>
      <c r="X46" s="81"/>
      <c r="Y46" s="28"/>
    </row>
    <row r="47" spans="1:25" x14ac:dyDescent="0.25">
      <c r="A47" s="44">
        <v>42339</v>
      </c>
      <c r="B47" s="54">
        <v>19</v>
      </c>
      <c r="D47" s="39"/>
      <c r="E47" s="56"/>
      <c r="N47" s="42" t="str">
        <f>'Well Data-NK'!A151</f>
        <v>RA-0555</v>
      </c>
      <c r="O47" s="42">
        <f>'Well Data-NK'!U151</f>
        <v>0</v>
      </c>
      <c r="P47" s="42">
        <f>'Well Data-NK'!Q151</f>
        <v>47</v>
      </c>
      <c r="Q47" s="42">
        <f>'Well Data-NK'!V151</f>
        <v>47</v>
      </c>
      <c r="R47" s="42">
        <f>'Well Data-NK'!R151</f>
        <v>75</v>
      </c>
      <c r="S47" s="42">
        <f>'Well Data-NK'!T151</f>
        <v>33</v>
      </c>
      <c r="T47" s="42">
        <f>'Well Data-NK'!AM151</f>
        <v>0</v>
      </c>
      <c r="U47" s="81">
        <f t="shared" si="7"/>
        <v>33</v>
      </c>
      <c r="V47" s="81"/>
      <c r="W47" s="81"/>
      <c r="X47" s="81"/>
      <c r="Y47" s="28"/>
    </row>
    <row r="48" spans="1:25" x14ac:dyDescent="0.25">
      <c r="D48" s="39"/>
      <c r="E48" s="56"/>
      <c r="N48" s="42" t="str">
        <f>'Well Data-NK'!A152</f>
        <v>RA-0477</v>
      </c>
      <c r="O48" s="42">
        <f>'Well Data-NK'!U152</f>
        <v>0</v>
      </c>
      <c r="P48" s="42">
        <f>'Well Data-NK'!Q152</f>
        <v>97</v>
      </c>
      <c r="Q48" s="42">
        <f>'Well Data-NK'!V152</f>
        <v>97</v>
      </c>
      <c r="R48" s="42">
        <f>'Well Data-NK'!R152</f>
        <v>103</v>
      </c>
      <c r="S48" s="42">
        <f>'Well Data-NK'!T152</f>
        <v>75</v>
      </c>
      <c r="T48" s="42">
        <f>'Well Data-NK'!AM152</f>
        <v>0</v>
      </c>
      <c r="U48" s="81">
        <f t="shared" si="7"/>
        <v>75</v>
      </c>
      <c r="V48" s="81"/>
      <c r="W48" s="81"/>
      <c r="X48" s="81"/>
      <c r="Y48" s="28"/>
    </row>
    <row r="49" spans="1:27" x14ac:dyDescent="0.25">
      <c r="E49" s="56"/>
      <c r="N49" s="42" t="str">
        <f>'Well Data-NK'!A153</f>
        <v>SA-0480</v>
      </c>
      <c r="O49" s="42">
        <f>'Well Data-NK'!U153</f>
        <v>0</v>
      </c>
      <c r="P49" s="42">
        <f>'Well Data-NK'!Q153</f>
        <v>56</v>
      </c>
      <c r="Q49" s="42">
        <f>'Well Data-NK'!V153</f>
        <v>56</v>
      </c>
      <c r="R49" s="42">
        <f>'Well Data-NK'!R153</f>
        <v>61</v>
      </c>
      <c r="S49" s="42">
        <f>'Well Data-NK'!T153</f>
        <v>27</v>
      </c>
      <c r="T49" s="42">
        <f>'Well Data-NK'!AM153</f>
        <v>0</v>
      </c>
      <c r="U49" s="81">
        <f t="shared" si="7"/>
        <v>27</v>
      </c>
      <c r="V49" s="81"/>
      <c r="W49" s="81"/>
      <c r="X49" s="81"/>
      <c r="Y49" s="28"/>
    </row>
    <row r="50" spans="1:27" x14ac:dyDescent="0.25">
      <c r="E50" s="56"/>
      <c r="N50" s="42" t="str">
        <f>'Well Data-NK'!A154</f>
        <v>SA-0372</v>
      </c>
      <c r="O50" s="42">
        <f>'Well Data-NK'!U154</f>
        <v>0</v>
      </c>
      <c r="P50" s="42">
        <f>'Well Data-NK'!Q154</f>
        <v>44</v>
      </c>
      <c r="Q50" s="42">
        <f>'Well Data-NK'!V154</f>
        <v>44</v>
      </c>
      <c r="R50" s="42">
        <f>'Well Data-NK'!R154</f>
        <v>61</v>
      </c>
      <c r="S50" s="42">
        <f>'Well Data-NK'!T154</f>
        <v>27</v>
      </c>
      <c r="T50" s="42">
        <f>'Well Data-NK'!AM154</f>
        <v>0</v>
      </c>
      <c r="U50" s="81">
        <f t="shared" si="7"/>
        <v>27</v>
      </c>
      <c r="V50" s="81"/>
      <c r="W50" s="81"/>
      <c r="X50" s="81"/>
      <c r="Y50" s="28"/>
    </row>
    <row r="51" spans="1:27" x14ac:dyDescent="0.25">
      <c r="A51" s="24"/>
      <c r="B51" s="28"/>
      <c r="C51" s="28"/>
      <c r="E51" s="56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</row>
    <row r="52" spans="1:27" x14ac:dyDescent="0.25">
      <c r="A52" s="24"/>
      <c r="B52" s="28"/>
      <c r="C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spans="1:27" x14ac:dyDescent="0.25">
      <c r="A53" s="24"/>
      <c r="B53" s="28"/>
      <c r="C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spans="1:27" x14ac:dyDescent="0.25">
      <c r="A54" s="24"/>
      <c r="B54" s="28"/>
      <c r="C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spans="1:27" x14ac:dyDescent="0.25">
      <c r="A55" s="24"/>
      <c r="B55" s="28"/>
      <c r="C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</row>
    <row r="56" spans="1:27" x14ac:dyDescent="0.25">
      <c r="A56" s="28"/>
      <c r="B56" s="28"/>
      <c r="C56" s="28"/>
      <c r="D56" s="28"/>
      <c r="E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</row>
    <row r="57" spans="1:27" x14ac:dyDescent="0.25">
      <c r="A57" s="28"/>
      <c r="B57" s="28"/>
      <c r="C57" s="28"/>
      <c r="D57" s="28"/>
      <c r="E57" s="28"/>
    </row>
    <row r="58" spans="1:27" x14ac:dyDescent="0.25">
      <c r="A58" s="28"/>
      <c r="B58" s="28"/>
      <c r="C58" s="28"/>
      <c r="D58" s="28"/>
      <c r="E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</row>
    <row r="59" spans="1:27" x14ac:dyDescent="0.25">
      <c r="A59" s="24"/>
      <c r="B59" s="28"/>
      <c r="C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</row>
    <row r="60" spans="1:27" x14ac:dyDescent="0.25">
      <c r="A60" s="24"/>
      <c r="B60" s="28"/>
      <c r="C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</row>
    <row r="61" spans="1:27" x14ac:dyDescent="0.25">
      <c r="A61" s="24"/>
      <c r="B61" s="28"/>
      <c r="C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</row>
    <row r="62" spans="1:27" x14ac:dyDescent="0.25">
      <c r="A62" s="24"/>
      <c r="B62" s="28"/>
      <c r="C62" s="28"/>
      <c r="N62" s="28"/>
      <c r="O62" s="41"/>
      <c r="P62" s="41"/>
      <c r="Q62" s="41"/>
      <c r="R62" s="41"/>
      <c r="S62" s="41"/>
      <c r="T62" s="41"/>
      <c r="U62" s="41"/>
      <c r="V62" s="28"/>
      <c r="W62" s="28"/>
      <c r="X62" s="28"/>
      <c r="Y62" s="28"/>
      <c r="Z62" s="28"/>
      <c r="AA62" s="28"/>
    </row>
    <row r="63" spans="1:27" x14ac:dyDescent="0.25"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</row>
    <row r="64" spans="1:27" x14ac:dyDescent="0.25"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</row>
    <row r="65" spans="14:27" x14ac:dyDescent="0.25"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</row>
    <row r="66" spans="14:27" x14ac:dyDescent="0.25"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</row>
    <row r="67" spans="14:27" x14ac:dyDescent="0.25"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</row>
    <row r="68" spans="14:27" x14ac:dyDescent="0.25"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</row>
    <row r="69" spans="14:27" x14ac:dyDescent="0.25"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</row>
    <row r="70" spans="14:27" x14ac:dyDescent="0.25"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</row>
    <row r="71" spans="14:27" x14ac:dyDescent="0.25"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</row>
    <row r="72" spans="14:27" x14ac:dyDescent="0.25"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</row>
    <row r="73" spans="14:27" x14ac:dyDescent="0.25"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</row>
    <row r="74" spans="14:27" x14ac:dyDescent="0.25"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</row>
    <row r="75" spans="14:27" x14ac:dyDescent="0.25"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</row>
    <row r="76" spans="14:27" x14ac:dyDescent="0.25"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</row>
    <row r="77" spans="14:27" x14ac:dyDescent="0.25"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</row>
    <row r="78" spans="14:27" x14ac:dyDescent="0.25"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</row>
    <row r="79" spans="14:27" x14ac:dyDescent="0.25"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</row>
    <row r="80" spans="14:27" x14ac:dyDescent="0.25"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</row>
    <row r="81" spans="14:27" x14ac:dyDescent="0.25"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</row>
    <row r="82" spans="14:27" x14ac:dyDescent="0.25"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</row>
    <row r="83" spans="14:27" x14ac:dyDescent="0.25"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</row>
    <row r="84" spans="14:27" x14ac:dyDescent="0.25"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</row>
    <row r="85" spans="14:27" x14ac:dyDescent="0.25"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</row>
    <row r="86" spans="14:27" x14ac:dyDescent="0.25"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</row>
    <row r="87" spans="14:27" x14ac:dyDescent="0.25"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</row>
    <row r="88" spans="14:27" x14ac:dyDescent="0.25"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</row>
    <row r="89" spans="14:27" x14ac:dyDescent="0.25"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</row>
    <row r="90" spans="14:27" x14ac:dyDescent="0.25"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</row>
    <row r="91" spans="14:27" x14ac:dyDescent="0.25"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</row>
    <row r="92" spans="14:27" x14ac:dyDescent="0.25"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</row>
    <row r="93" spans="14:27" x14ac:dyDescent="0.25"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</row>
    <row r="94" spans="14:27" x14ac:dyDescent="0.25"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</row>
    <row r="95" spans="14:27" x14ac:dyDescent="0.25"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</row>
    <row r="96" spans="14:27" x14ac:dyDescent="0.25"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</row>
    <row r="97" spans="14:27" x14ac:dyDescent="0.25"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</row>
    <row r="98" spans="14:27" x14ac:dyDescent="0.25"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</row>
    <row r="99" spans="14:27" x14ac:dyDescent="0.25"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</row>
    <row r="100" spans="14:27" x14ac:dyDescent="0.25"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</row>
    <row r="101" spans="14:27" x14ac:dyDescent="0.25"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</row>
    <row r="102" spans="14:27" x14ac:dyDescent="0.25"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</row>
    <row r="103" spans="14:27" x14ac:dyDescent="0.25"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</row>
    <row r="104" spans="14:27" x14ac:dyDescent="0.25"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</row>
    <row r="105" spans="14:27" x14ac:dyDescent="0.25"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</row>
    <row r="106" spans="14:27" x14ac:dyDescent="0.25"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</row>
    <row r="107" spans="14:27" x14ac:dyDescent="0.25"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</row>
    <row r="108" spans="14:27" x14ac:dyDescent="0.25"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</row>
    <row r="109" spans="14:27" x14ac:dyDescent="0.25"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</row>
    <row r="110" spans="14:27" x14ac:dyDescent="0.25"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</row>
    <row r="111" spans="14:27" x14ac:dyDescent="0.25"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</row>
    <row r="112" spans="14:27" x14ac:dyDescent="0.25"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</row>
    <row r="113" spans="14:27" x14ac:dyDescent="0.25"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</row>
    <row r="114" spans="14:27" x14ac:dyDescent="0.25"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</row>
    <row r="115" spans="14:27" x14ac:dyDescent="0.25"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</row>
    <row r="116" spans="14:27" x14ac:dyDescent="0.25"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</row>
    <row r="117" spans="14:27" x14ac:dyDescent="0.25"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</row>
    <row r="118" spans="14:27" x14ac:dyDescent="0.25"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</row>
    <row r="119" spans="14:27" x14ac:dyDescent="0.25"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</row>
    <row r="120" spans="14:27" x14ac:dyDescent="0.25"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</row>
    <row r="121" spans="14:27" x14ac:dyDescent="0.25"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</row>
    <row r="122" spans="14:27" x14ac:dyDescent="0.25"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</row>
    <row r="123" spans="14:27" x14ac:dyDescent="0.25"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</row>
    <row r="124" spans="14:27" x14ac:dyDescent="0.25"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</row>
    <row r="125" spans="14:27" x14ac:dyDescent="0.25"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</row>
    <row r="126" spans="14:27" x14ac:dyDescent="0.25"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</row>
    <row r="127" spans="14:27" x14ac:dyDescent="0.25"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</row>
    <row r="128" spans="14:27" x14ac:dyDescent="0.25"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</row>
    <row r="129" spans="14:27" x14ac:dyDescent="0.25"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</row>
    <row r="130" spans="14:27" x14ac:dyDescent="0.25"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</row>
    <row r="131" spans="14:27" x14ac:dyDescent="0.25"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</row>
  </sheetData>
  <mergeCells count="3">
    <mergeCell ref="D1:G1"/>
    <mergeCell ref="N3:X3"/>
    <mergeCell ref="I6:J6"/>
  </mergeCells>
  <pageMargins left="0.7" right="0.7" top="0.75" bottom="0.75" header="0.3" footer="0.3"/>
  <pageSetup paperSize="119" orientation="portrait" horizontalDpi="4294967294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J35"/>
  <sheetViews>
    <sheetView topLeftCell="A52" zoomScaleNormal="100" workbookViewId="0">
      <selection activeCell="A37" sqref="A37"/>
    </sheetView>
  </sheetViews>
  <sheetFormatPr defaultColWidth="8.85546875" defaultRowHeight="15" x14ac:dyDescent="0.25"/>
  <cols>
    <col min="1" max="30" width="8.85546875" style="416"/>
    <col min="31" max="31" width="16" style="416" customWidth="1"/>
    <col min="32" max="16384" width="8.85546875" style="416"/>
  </cols>
  <sheetData>
    <row r="1" spans="1:36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</row>
    <row r="2" spans="1:36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AE2" s="416" t="s">
        <v>819</v>
      </c>
    </row>
    <row r="3" spans="1:36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AE3" s="416" t="s">
        <v>1896</v>
      </c>
      <c r="AG3" s="416" t="s">
        <v>307</v>
      </c>
      <c r="AI3" s="416" t="s">
        <v>815</v>
      </c>
    </row>
    <row r="4" spans="1:36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AE4" s="416" t="s">
        <v>7</v>
      </c>
      <c r="AF4" s="416" t="s">
        <v>603</v>
      </c>
      <c r="AG4" s="416" t="s">
        <v>814</v>
      </c>
      <c r="AH4" s="416" t="s">
        <v>815</v>
      </c>
      <c r="AI4" s="416" t="s">
        <v>14</v>
      </c>
      <c r="AJ4" s="416" t="s">
        <v>18</v>
      </c>
    </row>
    <row r="5" spans="1:36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AE5" s="416" t="s">
        <v>17</v>
      </c>
      <c r="AF5" s="416">
        <f ca="1">COUNTIF('Well Data-NK'!April2015_Form,"MA")</f>
        <v>20</v>
      </c>
      <c r="AG5" s="416">
        <f ca="1">AVERAGEIF('Well Data-NK'!April2015_Form,"MA",'Well Data-NK'!April2015_Planned_Spud_to_RR)</f>
        <v>63</v>
      </c>
      <c r="AH5" s="416">
        <f ca="1">AVERAGEIF('Well Data-NK'!April2015_Form,"MA",'Well Data-NK'!April2015_Spud_to_RR)</f>
        <v>54.847916666667153</v>
      </c>
      <c r="AI5" s="416">
        <f t="array" aca="1" ref="AI5" ca="1">AVERAGE(IF('Well Data-NK'!April2015_Form={"MA"},IF('Well Data-NK'!April2015_Well_Type="NW",'Well Data-NK'!April2015_Spud_to_RR)))</f>
        <v>62.428819444445857</v>
      </c>
      <c r="AJ5" s="416">
        <f t="array" aca="1" ref="AJ5" ca="1">AVERAGE(IF('Well Data-NK'!April2015_Form={"MA"},IF('Well Data-NK'!April2015_Well_Type="ST",'Well Data-NK'!April2015_Spud_to_RR)))</f>
        <v>43.476562499999091</v>
      </c>
    </row>
    <row r="6" spans="1:36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AE6" s="416" t="s">
        <v>29</v>
      </c>
      <c r="AF6" s="416">
        <f ca="1">COUNTIF('Well Data-NK'!April2015_Form,"UB")</f>
        <v>4</v>
      </c>
      <c r="AG6" s="416">
        <f ca="1">AVERAGEIF('Well Data-NK'!April2015_Form,"UB",'Well Data-NK'!April2015_Planned_Spud_to_RR)</f>
        <v>70</v>
      </c>
      <c r="AH6" s="416">
        <f ca="1">AVERAGEIF('Well Data-NK'!April2015_Form,"UB",'Well Data-NK'!April2015_Spud_to_RR)</f>
        <v>59.94270833333394</v>
      </c>
      <c r="AI6" s="416">
        <f t="array" aca="1" ref="AI6" ca="1">AVERAGE(IF('Well Data-NK'!April2015_Form={"UB"},IF('Well Data-NK'!April2015_Well_Type="NW",'Well Data-NK'!April2015_Spud_to_RR)))</f>
        <v>59.94270833333394</v>
      </c>
      <c r="AJ6" s="416" t="e">
        <f t="array" aca="1" ref="AJ6" ca="1">AVERAGE(IF('Well Data-NK'!April2015_Form={"UB"},IF('Well Data-NK'!April2015_Well_Type="ST",'Well Data-NK'!April2015_Spud_to_RR)))</f>
        <v>#DIV/0!</v>
      </c>
    </row>
    <row r="7" spans="1:36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AE7" s="416" t="s">
        <v>22</v>
      </c>
      <c r="AF7" s="416">
        <f ca="1">COUNTIF('Well Data-NK'!April2015_Form,"LB")</f>
        <v>6</v>
      </c>
      <c r="AG7" s="416">
        <f ca="1">AVERAGEIF('Well Data-NK'!April2015_Form,"LB",'Well Data-NK'!April2015_Planned_Spud_to_RR)</f>
        <v>70</v>
      </c>
      <c r="AH7" s="416">
        <f ca="1">AVERAGEIF('Well Data-NK'!April2015_Form,"LB",'Well Data-NK'!April2015_Spud_to_RR)</f>
        <v>74.017361111111924</v>
      </c>
      <c r="AI7" s="416">
        <f t="array" aca="1" ref="AI7" ca="1">AVERAGE(IF('Well Data-NK'!April2015_Form={"LB"},IF('Well Data-NK'!April2015_Well_Type="NW",'Well Data-NK'!April2015_Spud_to_RR)))</f>
        <v>74.017361111111924</v>
      </c>
      <c r="AJ7" s="416" t="e">
        <f t="array" aca="1" ref="AJ7" ca="1">AVERAGE(IF('Well Data-NK'!April2015_Form={"LB"},IF('Well Data-NK'!April2015_Well_Type="ST",'Well Data-NK'!April2015_Spud_to_RR)))</f>
        <v>#DIV/0!</v>
      </c>
    </row>
    <row r="8" spans="1:36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AE8" s="416" t="s">
        <v>825</v>
      </c>
      <c r="AF8" s="416">
        <f ca="1">COUNTIFS('Well Data-NK'!April2015_Form,"ZU")+COUNTIFS('Well Data-NK'!April2015_Form,"RT")</f>
        <v>4</v>
      </c>
      <c r="AG8" s="416">
        <f ca="1">SUM(SUMIF('Well Data-NK'!April2015_Form,{"ZU","RT"},'Well Data-NK'!April2015_Planned_Spud_to_RR))/SUM(COUNTIF('Well Data-NK'!April2015_Form,{"ZU","RT"}))</f>
        <v>98</v>
      </c>
      <c r="AH8" s="416">
        <f ca="1">SUM(SUMIF('Well Data-NK'!April2015_Form,{"ZU","RT"},'Well Data-NK'!April2015_Spud_to_RR))/SUM(COUNTIF('Well Data-NK'!April2015_Form,{"ZU","RT"}))</f>
        <v>69.40625</v>
      </c>
      <c r="AI8" s="416">
        <f t="array" aca="1" ref="AI8" ca="1">AVERAGE(IF('Well Data-NK'!April2015_Form={"RT","ZU"},IF('Well Data-NK'!April2015_Well_Type="NW",'Well Data-NK'!April2015_Spud_to_RR)))</f>
        <v>69.40625</v>
      </c>
      <c r="AJ8" s="416" t="e">
        <f t="array" aca="1" ref="AJ8" ca="1">AVERAGE(IF('Well Data-NK'!April2015_Form={"RT","ZU"},IF('Well Data-NK'!April2015_Well_Type="ST",'Well Data-NK'!April2015_Spud_to_RR)))</f>
        <v>#DIV/0!</v>
      </c>
    </row>
    <row r="9" spans="1:36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AE9" s="416" t="s">
        <v>816</v>
      </c>
      <c r="AF9" s="416">
        <f ca="1">COUNT('Well Data-NK'!April2015_Spud_to_RR)</f>
        <v>35</v>
      </c>
      <c r="AG9" s="416">
        <f ca="1">AVERAGE('Well Data-NK'!April2015_Planned_Spud_to_RR)</f>
        <v>69.17647058823529</v>
      </c>
      <c r="AH9" s="416">
        <f ca="1">AVERAGE('Well Data-NK'!April2015_Spud_to_RR)</f>
        <v>59.870238095238584</v>
      </c>
      <c r="AI9" s="416">
        <f t="array" aca="1" ref="AI9" ca="1">AVERAGE(IF('Well Data-NK'!April2015_Form={"RT","ZU","LB","UB","MA"},IF('Well Data-NK'!April2015_Well_Type="NW",'Well Data-NK'!April2015_Spud_to_RR)))</f>
        <v>65.794070512821449</v>
      </c>
      <c r="AJ9" s="416">
        <f t="array" aca="1" ref="AJ9" ca="1">AVERAGE(IF('Well Data-NK'!April2015_Form={"RT","ZU","LB","UB","MA"},IF('Well Data-NK'!April2015_Well_Type="ST",'Well Data-NK'!April2015_Spud_to_RR)))</f>
        <v>43.476562499999091</v>
      </c>
    </row>
    <row r="10" spans="1:36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 spans="1:36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36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36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36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36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36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5"/>
  <sheetViews>
    <sheetView zoomScaleNormal="100" workbookViewId="0">
      <selection activeCell="AD19" sqref="AD19"/>
    </sheetView>
  </sheetViews>
  <sheetFormatPr defaultColWidth="8.85546875" defaultRowHeight="15" x14ac:dyDescent="0.25"/>
  <cols>
    <col min="1" max="16384" width="8.85546875" style="28"/>
  </cols>
  <sheetData>
    <row r="1" spans="1:25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</row>
    <row r="2" spans="1:25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</row>
    <row r="3" spans="1:25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</row>
    <row r="4" spans="1:25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</row>
    <row r="6" spans="1:25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 spans="1:25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 spans="1:25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</row>
    <row r="9" spans="1:25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 spans="1:25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25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13"/>
  <sheetViews>
    <sheetView zoomScale="70" zoomScaleNormal="70" workbookViewId="0">
      <selection activeCell="A2" sqref="A2"/>
    </sheetView>
  </sheetViews>
  <sheetFormatPr defaultColWidth="20.5703125" defaultRowHeight="15" x14ac:dyDescent="0.25"/>
  <cols>
    <col min="1" max="1" width="36.7109375" style="34" customWidth="1"/>
    <col min="2" max="8" width="20.5703125" style="33"/>
    <col min="9" max="11" width="20.5703125" style="56"/>
    <col min="12" max="12" width="33.85546875" style="56" customWidth="1"/>
    <col min="13" max="13" width="24" style="56" customWidth="1"/>
    <col min="14" max="15" width="20.5703125" style="56"/>
    <col min="16" max="18" width="20.5703125" style="33"/>
    <col min="19" max="19" width="20.5703125" style="33" customWidth="1"/>
    <col min="20" max="20" width="20.5703125" style="33"/>
    <col min="21" max="21" width="37.28515625" style="33" customWidth="1"/>
    <col min="22" max="22" width="38.28515625" style="33" customWidth="1"/>
    <col min="23" max="23" width="43.7109375" style="33" customWidth="1"/>
    <col min="24" max="24" width="41.140625" style="33" customWidth="1"/>
    <col min="25" max="16384" width="20.5703125" style="33"/>
  </cols>
  <sheetData>
    <row r="1" spans="1:42" x14ac:dyDescent="0.25">
      <c r="A1" s="35" t="s">
        <v>770</v>
      </c>
      <c r="B1" s="35" t="s">
        <v>515</v>
      </c>
      <c r="C1" s="35" t="s">
        <v>1451</v>
      </c>
      <c r="D1" s="35" t="s">
        <v>1452</v>
      </c>
      <c r="E1" s="35" t="s">
        <v>1453</v>
      </c>
      <c r="F1" s="35" t="s">
        <v>1454</v>
      </c>
      <c r="G1" s="35" t="s">
        <v>1455</v>
      </c>
      <c r="H1" s="33" t="s">
        <v>857</v>
      </c>
      <c r="I1" s="76" t="s">
        <v>840</v>
      </c>
      <c r="J1" s="77" t="s">
        <v>841</v>
      </c>
      <c r="L1" s="274" t="s">
        <v>1402</v>
      </c>
      <c r="M1" s="274" t="s">
        <v>515</v>
      </c>
      <c r="N1" s="274" t="s">
        <v>1475</v>
      </c>
      <c r="O1" s="274" t="s">
        <v>1476</v>
      </c>
      <c r="P1" s="274" t="s">
        <v>1477</v>
      </c>
      <c r="Q1" s="274" t="s">
        <v>1478</v>
      </c>
      <c r="R1" s="274" t="s">
        <v>1479</v>
      </c>
      <c r="S1" s="274" t="s">
        <v>1480</v>
      </c>
      <c r="T1" s="279" t="s">
        <v>1481</v>
      </c>
      <c r="U1" s="279" t="s">
        <v>1482</v>
      </c>
      <c r="V1" s="295" t="s">
        <v>1474</v>
      </c>
      <c r="W1" s="295" t="s">
        <v>1473</v>
      </c>
      <c r="X1" s="295" t="s">
        <v>1572</v>
      </c>
      <c r="Y1" s="295" t="s">
        <v>1573</v>
      </c>
      <c r="Z1" s="295" t="s">
        <v>1472</v>
      </c>
      <c r="AA1" s="295" t="s">
        <v>1471</v>
      </c>
      <c r="AB1" s="295" t="s">
        <v>1470</v>
      </c>
      <c r="AC1" s="294" t="s">
        <v>1469</v>
      </c>
      <c r="AD1" s="297" t="s">
        <v>1483</v>
      </c>
      <c r="AE1" s="323" t="s">
        <v>1484</v>
      </c>
      <c r="AF1" s="294" t="s">
        <v>1485</v>
      </c>
      <c r="AG1" s="294" t="s">
        <v>1486</v>
      </c>
      <c r="AH1" s="294" t="s">
        <v>1487</v>
      </c>
      <c r="AI1" s="294" t="s">
        <v>1488</v>
      </c>
      <c r="AJ1" s="33" t="s">
        <v>1543</v>
      </c>
      <c r="AK1" s="33" t="s">
        <v>1610</v>
      </c>
      <c r="AL1" s="33" t="s">
        <v>1631</v>
      </c>
      <c r="AM1" s="33" t="s">
        <v>1632</v>
      </c>
      <c r="AN1" s="279" t="s">
        <v>1633</v>
      </c>
      <c r="AO1" s="33" t="s">
        <v>1918</v>
      </c>
      <c r="AP1" s="33" t="s">
        <v>1919</v>
      </c>
    </row>
    <row r="2" spans="1:42" x14ac:dyDescent="0.25">
      <c r="A2" s="35" t="s">
        <v>17</v>
      </c>
      <c r="B2" s="36" t="s">
        <v>459</v>
      </c>
      <c r="C2" s="36">
        <v>50</v>
      </c>
      <c r="D2" s="36">
        <v>60</v>
      </c>
      <c r="E2" s="36">
        <v>75</v>
      </c>
      <c r="F2" s="36">
        <v>75</v>
      </c>
      <c r="G2" s="36" t="s">
        <v>91</v>
      </c>
      <c r="I2" s="76" t="s">
        <v>17</v>
      </c>
      <c r="J2" s="77" t="s">
        <v>842</v>
      </c>
      <c r="L2" s="274" t="s">
        <v>17</v>
      </c>
      <c r="M2" s="277" t="s">
        <v>459</v>
      </c>
      <c r="N2" s="317">
        <v>56</v>
      </c>
      <c r="O2" s="318">
        <v>49</v>
      </c>
      <c r="P2" s="319">
        <v>70</v>
      </c>
      <c r="Q2" s="321">
        <v>63</v>
      </c>
      <c r="R2" s="299" t="s">
        <v>91</v>
      </c>
      <c r="S2" s="299" t="s">
        <v>91</v>
      </c>
      <c r="T2" s="317">
        <v>56</v>
      </c>
      <c r="U2" s="317">
        <v>56</v>
      </c>
      <c r="V2" s="317">
        <v>56</v>
      </c>
      <c r="W2" s="318">
        <v>49</v>
      </c>
      <c r="X2" s="318"/>
      <c r="Y2" s="318"/>
      <c r="Z2" s="319">
        <v>70</v>
      </c>
      <c r="AA2" s="321">
        <v>63</v>
      </c>
      <c r="AB2" s="319">
        <v>70</v>
      </c>
      <c r="AC2" s="321">
        <v>63</v>
      </c>
      <c r="AD2" s="299" t="s">
        <v>91</v>
      </c>
      <c r="AE2" s="319">
        <v>70</v>
      </c>
      <c r="AF2" s="319">
        <v>70</v>
      </c>
      <c r="AG2" s="320">
        <v>63</v>
      </c>
      <c r="AH2" s="315">
        <v>56</v>
      </c>
      <c r="AI2" s="299">
        <v>70</v>
      </c>
      <c r="AJ2" s="319">
        <v>70</v>
      </c>
      <c r="AK2" s="33">
        <v>25</v>
      </c>
      <c r="AL2" s="299">
        <v>70</v>
      </c>
      <c r="AM2" s="299">
        <v>70</v>
      </c>
      <c r="AN2" s="299" t="s">
        <v>91</v>
      </c>
      <c r="AO2" s="33" t="s">
        <v>91</v>
      </c>
      <c r="AP2" s="33" t="s">
        <v>91</v>
      </c>
    </row>
    <row r="3" spans="1:42" x14ac:dyDescent="0.25">
      <c r="A3" s="35" t="s">
        <v>29</v>
      </c>
      <c r="B3" s="36" t="s">
        <v>459</v>
      </c>
      <c r="C3" s="36" t="s">
        <v>91</v>
      </c>
      <c r="D3" s="36">
        <v>60</v>
      </c>
      <c r="E3" s="36">
        <v>75</v>
      </c>
      <c r="F3" s="36">
        <v>75</v>
      </c>
      <c r="G3" s="36">
        <v>65</v>
      </c>
      <c r="H3" s="33">
        <v>60</v>
      </c>
      <c r="I3" s="76" t="s">
        <v>29</v>
      </c>
      <c r="J3" s="77" t="s">
        <v>843</v>
      </c>
      <c r="L3" s="274" t="s">
        <v>29</v>
      </c>
      <c r="M3" s="277" t="s">
        <v>459</v>
      </c>
      <c r="N3" s="325">
        <v>56</v>
      </c>
      <c r="O3" s="324" t="s">
        <v>91</v>
      </c>
      <c r="P3" s="322">
        <v>70</v>
      </c>
      <c r="Q3" s="299" t="s">
        <v>91</v>
      </c>
      <c r="R3" s="322">
        <v>70</v>
      </c>
      <c r="S3" s="299" t="s">
        <v>91</v>
      </c>
      <c r="T3" s="317">
        <v>56</v>
      </c>
      <c r="U3" s="322">
        <v>70</v>
      </c>
      <c r="V3" s="299" t="s">
        <v>91</v>
      </c>
      <c r="W3" s="299" t="s">
        <v>91</v>
      </c>
      <c r="X3" s="299"/>
      <c r="Y3" s="322">
        <v>70</v>
      </c>
      <c r="Z3" s="322">
        <v>70</v>
      </c>
      <c r="AA3" s="299" t="s">
        <v>91</v>
      </c>
      <c r="AB3" s="322">
        <v>70</v>
      </c>
      <c r="AC3" s="296">
        <v>70</v>
      </c>
      <c r="AD3" s="299" t="s">
        <v>91</v>
      </c>
      <c r="AE3" s="322">
        <v>70</v>
      </c>
      <c r="AF3" s="322">
        <v>70</v>
      </c>
      <c r="AG3" s="314">
        <v>63</v>
      </c>
      <c r="AH3" s="299" t="s">
        <v>91</v>
      </c>
      <c r="AI3" s="299">
        <v>70</v>
      </c>
      <c r="AJ3" s="322">
        <v>70</v>
      </c>
      <c r="AK3" s="33" t="s">
        <v>91</v>
      </c>
      <c r="AL3" s="299">
        <v>70</v>
      </c>
      <c r="AM3" s="299">
        <v>70</v>
      </c>
      <c r="AN3" s="322">
        <v>70</v>
      </c>
      <c r="AO3" s="33" t="s">
        <v>91</v>
      </c>
      <c r="AP3" s="33" t="s">
        <v>91</v>
      </c>
    </row>
    <row r="4" spans="1:42" x14ac:dyDescent="0.25">
      <c r="A4" s="35" t="s">
        <v>22</v>
      </c>
      <c r="B4" s="36" t="s">
        <v>459</v>
      </c>
      <c r="C4" s="36" t="s">
        <v>91</v>
      </c>
      <c r="D4" s="36" t="s">
        <v>91</v>
      </c>
      <c r="E4" s="36" t="s">
        <v>91</v>
      </c>
      <c r="F4" s="36">
        <v>75</v>
      </c>
      <c r="G4" s="36">
        <v>65</v>
      </c>
      <c r="I4" s="76" t="s">
        <v>22</v>
      </c>
      <c r="J4" s="77" t="s">
        <v>843</v>
      </c>
      <c r="L4" s="274" t="s">
        <v>22</v>
      </c>
      <c r="M4" s="277" t="s">
        <v>459</v>
      </c>
      <c r="N4" s="326">
        <v>70</v>
      </c>
      <c r="O4" s="326">
        <v>70</v>
      </c>
      <c r="P4" s="327">
        <v>70</v>
      </c>
      <c r="Q4" s="299" t="s">
        <v>91</v>
      </c>
      <c r="R4" s="327">
        <v>70</v>
      </c>
      <c r="S4" s="299">
        <v>130</v>
      </c>
      <c r="T4" s="317">
        <v>56</v>
      </c>
      <c r="U4" s="317">
        <v>56</v>
      </c>
      <c r="V4" s="299" t="s">
        <v>91</v>
      </c>
      <c r="W4" s="299" t="s">
        <v>91</v>
      </c>
      <c r="X4" s="299"/>
      <c r="Y4" s="299"/>
      <c r="Z4" s="327">
        <v>70</v>
      </c>
      <c r="AA4" s="299" t="s">
        <v>91</v>
      </c>
      <c r="AB4" s="327">
        <v>70</v>
      </c>
      <c r="AC4" s="299">
        <v>70</v>
      </c>
      <c r="AD4" s="299">
        <v>130</v>
      </c>
      <c r="AE4" s="327">
        <v>70</v>
      </c>
      <c r="AF4" s="299">
        <v>70</v>
      </c>
      <c r="AG4" s="316" t="s">
        <v>91</v>
      </c>
      <c r="AH4" s="299" t="s">
        <v>91</v>
      </c>
      <c r="AI4" s="299">
        <v>70</v>
      </c>
      <c r="AJ4" s="327">
        <v>70</v>
      </c>
      <c r="AK4" s="33" t="s">
        <v>91</v>
      </c>
      <c r="AL4" s="299">
        <v>70</v>
      </c>
      <c r="AM4" s="299">
        <v>70</v>
      </c>
      <c r="AN4" s="327">
        <v>70</v>
      </c>
      <c r="AO4" s="33" t="s">
        <v>91</v>
      </c>
      <c r="AP4" s="33" t="s">
        <v>91</v>
      </c>
    </row>
    <row r="5" spans="1:42" x14ac:dyDescent="0.25">
      <c r="A5" s="35" t="s">
        <v>44</v>
      </c>
      <c r="B5" s="36" t="s">
        <v>459</v>
      </c>
      <c r="C5" s="36" t="s">
        <v>91</v>
      </c>
      <c r="D5" s="36">
        <v>55</v>
      </c>
      <c r="E5" s="36">
        <v>55</v>
      </c>
      <c r="F5" s="36">
        <v>110</v>
      </c>
      <c r="G5" s="36">
        <v>110</v>
      </c>
      <c r="I5" s="76" t="s">
        <v>44</v>
      </c>
      <c r="J5" s="77" t="s">
        <v>843</v>
      </c>
      <c r="L5" s="274" t="s">
        <v>44</v>
      </c>
      <c r="M5" s="277" t="s">
        <v>459</v>
      </c>
      <c r="N5" s="317">
        <v>56</v>
      </c>
      <c r="O5" s="317">
        <v>56</v>
      </c>
      <c r="P5" s="328">
        <v>98</v>
      </c>
      <c r="Q5" s="329" t="s">
        <v>91</v>
      </c>
      <c r="R5" s="328">
        <v>98</v>
      </c>
      <c r="S5" s="299">
        <v>145</v>
      </c>
      <c r="T5" s="317">
        <v>56</v>
      </c>
      <c r="U5" s="317">
        <v>56</v>
      </c>
      <c r="V5" s="299" t="s">
        <v>91</v>
      </c>
      <c r="W5" s="299" t="s">
        <v>91</v>
      </c>
      <c r="X5" s="299"/>
      <c r="Y5" s="299"/>
      <c r="Z5" s="328">
        <v>98</v>
      </c>
      <c r="AA5" s="329" t="s">
        <v>91</v>
      </c>
      <c r="AB5" s="328">
        <v>98</v>
      </c>
      <c r="AC5" s="329">
        <v>98</v>
      </c>
      <c r="AD5" s="299">
        <v>145</v>
      </c>
      <c r="AE5" s="328">
        <v>98</v>
      </c>
      <c r="AF5" s="328">
        <v>98</v>
      </c>
      <c r="AG5" s="330" t="s">
        <v>91</v>
      </c>
      <c r="AH5" s="299" t="s">
        <v>91</v>
      </c>
      <c r="AI5" s="299">
        <v>98</v>
      </c>
      <c r="AJ5" s="328">
        <v>98</v>
      </c>
      <c r="AK5" s="33" t="s">
        <v>91</v>
      </c>
      <c r="AL5" s="299">
        <v>98</v>
      </c>
      <c r="AM5" s="299">
        <v>98</v>
      </c>
      <c r="AN5" s="328">
        <v>98</v>
      </c>
      <c r="AO5" s="33">
        <v>30</v>
      </c>
      <c r="AP5" s="33">
        <v>30</v>
      </c>
    </row>
    <row r="6" spans="1:42" x14ac:dyDescent="0.25">
      <c r="A6" s="34" t="s">
        <v>744</v>
      </c>
      <c r="B6" s="36" t="s">
        <v>459</v>
      </c>
      <c r="C6" s="36" t="s">
        <v>91</v>
      </c>
      <c r="D6" s="36">
        <v>55</v>
      </c>
      <c r="E6" s="36">
        <v>55</v>
      </c>
      <c r="F6" s="36">
        <v>110</v>
      </c>
      <c r="G6" s="36">
        <v>110</v>
      </c>
      <c r="I6" s="77" t="s">
        <v>13</v>
      </c>
      <c r="J6" s="77" t="s">
        <v>842</v>
      </c>
      <c r="L6" s="274" t="s">
        <v>744</v>
      </c>
      <c r="M6" s="277" t="s">
        <v>459</v>
      </c>
      <c r="N6" s="317">
        <v>56</v>
      </c>
      <c r="O6" s="317">
        <v>56</v>
      </c>
      <c r="P6" s="328">
        <v>98</v>
      </c>
      <c r="Q6" s="329" t="s">
        <v>91</v>
      </c>
      <c r="R6" s="328">
        <v>98</v>
      </c>
      <c r="S6" s="299" t="s">
        <v>91</v>
      </c>
      <c r="T6" s="317">
        <v>56</v>
      </c>
      <c r="U6" s="317">
        <v>56</v>
      </c>
      <c r="V6" s="299" t="s">
        <v>91</v>
      </c>
      <c r="W6" s="299" t="s">
        <v>91</v>
      </c>
      <c r="X6" s="299"/>
      <c r="Y6" s="299"/>
      <c r="Z6" s="328">
        <v>98</v>
      </c>
      <c r="AA6" s="329" t="s">
        <v>91</v>
      </c>
      <c r="AB6" s="328">
        <v>98</v>
      </c>
      <c r="AC6" s="329">
        <v>98</v>
      </c>
      <c r="AD6" s="299" t="s">
        <v>91</v>
      </c>
      <c r="AE6" s="328">
        <v>98</v>
      </c>
      <c r="AF6" s="328">
        <v>98</v>
      </c>
      <c r="AG6" s="330" t="s">
        <v>91</v>
      </c>
      <c r="AH6" s="299" t="s">
        <v>91</v>
      </c>
      <c r="AI6" s="299">
        <v>98</v>
      </c>
      <c r="AJ6" s="328">
        <v>98</v>
      </c>
      <c r="AK6" s="33" t="s">
        <v>91</v>
      </c>
      <c r="AL6" s="299">
        <v>98</v>
      </c>
      <c r="AM6" s="299">
        <v>98</v>
      </c>
      <c r="AN6" s="328">
        <v>98</v>
      </c>
      <c r="AO6" s="33">
        <v>30</v>
      </c>
      <c r="AP6" s="33">
        <v>30</v>
      </c>
    </row>
    <row r="7" spans="1:42" x14ac:dyDescent="0.25">
      <c r="A7" s="35" t="s">
        <v>770</v>
      </c>
      <c r="B7" s="35" t="s">
        <v>515</v>
      </c>
      <c r="C7" s="35" t="s">
        <v>1451</v>
      </c>
      <c r="D7" s="35" t="s">
        <v>1452</v>
      </c>
      <c r="E7" s="35" t="s">
        <v>1453</v>
      </c>
      <c r="F7" s="35" t="s">
        <v>1454</v>
      </c>
      <c r="G7" s="35" t="s">
        <v>1455</v>
      </c>
      <c r="I7" s="77" t="s">
        <v>744</v>
      </c>
      <c r="J7" s="77" t="s">
        <v>843</v>
      </c>
      <c r="L7" s="274" t="s">
        <v>13</v>
      </c>
      <c r="M7" s="277" t="s">
        <v>459</v>
      </c>
      <c r="N7" s="299" t="s">
        <v>91</v>
      </c>
      <c r="O7" s="299" t="s">
        <v>91</v>
      </c>
      <c r="P7" s="299" t="s">
        <v>91</v>
      </c>
      <c r="Q7" s="299" t="s">
        <v>91</v>
      </c>
      <c r="R7" s="299" t="s">
        <v>91</v>
      </c>
      <c r="S7" s="299" t="s">
        <v>91</v>
      </c>
      <c r="T7" s="299" t="s">
        <v>91</v>
      </c>
      <c r="U7" s="299" t="s">
        <v>91</v>
      </c>
      <c r="V7" s="299" t="s">
        <v>91</v>
      </c>
      <c r="W7" s="299" t="s">
        <v>91</v>
      </c>
      <c r="X7" s="299"/>
      <c r="Y7" s="299"/>
      <c r="Z7" s="299" t="s">
        <v>91</v>
      </c>
      <c r="AA7" s="299" t="s">
        <v>91</v>
      </c>
      <c r="AB7" s="299">
        <v>70</v>
      </c>
      <c r="AC7" s="299">
        <v>70</v>
      </c>
      <c r="AD7" s="299" t="s">
        <v>91</v>
      </c>
      <c r="AE7" s="299" t="s">
        <v>91</v>
      </c>
      <c r="AF7" s="299">
        <v>70</v>
      </c>
      <c r="AG7" s="316" t="s">
        <v>91</v>
      </c>
      <c r="AH7" s="299" t="s">
        <v>91</v>
      </c>
      <c r="AI7" s="299" t="s">
        <v>91</v>
      </c>
      <c r="AJ7" s="299" t="s">
        <v>91</v>
      </c>
      <c r="AK7" s="33" t="s">
        <v>91</v>
      </c>
      <c r="AL7" s="299" t="s">
        <v>91</v>
      </c>
      <c r="AM7" s="299" t="s">
        <v>91</v>
      </c>
      <c r="AN7" s="299" t="s">
        <v>91</v>
      </c>
      <c r="AO7" s="33" t="s">
        <v>91</v>
      </c>
      <c r="AP7" s="33" t="s">
        <v>91</v>
      </c>
    </row>
    <row r="8" spans="1:42" x14ac:dyDescent="0.25">
      <c r="A8" s="35" t="s">
        <v>17</v>
      </c>
      <c r="B8" s="36" t="s">
        <v>514</v>
      </c>
      <c r="C8" s="36">
        <v>25</v>
      </c>
      <c r="D8" s="36">
        <v>27</v>
      </c>
      <c r="E8" s="36">
        <v>35</v>
      </c>
      <c r="F8" s="36">
        <v>35</v>
      </c>
      <c r="G8" s="36" t="s">
        <v>91</v>
      </c>
      <c r="L8" s="56" t="s">
        <v>599</v>
      </c>
    </row>
    <row r="9" spans="1:42" s="28" customFormat="1" x14ac:dyDescent="0.25">
      <c r="A9" s="35" t="s">
        <v>29</v>
      </c>
      <c r="B9" s="37" t="s">
        <v>514</v>
      </c>
      <c r="C9" s="36" t="s">
        <v>91</v>
      </c>
      <c r="D9" s="36">
        <v>33</v>
      </c>
      <c r="E9" s="36">
        <v>35</v>
      </c>
      <c r="F9" s="36">
        <v>35</v>
      </c>
      <c r="G9" s="36">
        <v>33</v>
      </c>
      <c r="H9" s="88">
        <v>33</v>
      </c>
      <c r="I9" s="56"/>
      <c r="J9" s="56"/>
      <c r="K9" s="56"/>
      <c r="L9" s="56"/>
      <c r="M9" s="56"/>
      <c r="N9" s="56"/>
      <c r="O9" s="56"/>
    </row>
    <row r="10" spans="1:42" s="28" customFormat="1" x14ac:dyDescent="0.25">
      <c r="A10" s="35" t="s">
        <v>22</v>
      </c>
      <c r="B10" s="36" t="s">
        <v>514</v>
      </c>
      <c r="C10" s="36" t="s">
        <v>91</v>
      </c>
      <c r="D10" s="36" t="s">
        <v>91</v>
      </c>
      <c r="E10" s="36" t="s">
        <v>91</v>
      </c>
      <c r="F10" s="36">
        <v>35</v>
      </c>
      <c r="G10" s="36">
        <v>33</v>
      </c>
      <c r="I10" s="56"/>
      <c r="J10" s="56"/>
      <c r="K10" s="56"/>
      <c r="L10" s="56"/>
      <c r="M10" s="56"/>
      <c r="N10" s="56"/>
      <c r="O10" s="56"/>
    </row>
    <row r="11" spans="1:42" s="28" customFormat="1" x14ac:dyDescent="0.25">
      <c r="A11" s="35" t="s">
        <v>44</v>
      </c>
      <c r="B11" s="36" t="s">
        <v>514</v>
      </c>
      <c r="C11" s="36" t="s">
        <v>91</v>
      </c>
      <c r="D11" s="36">
        <v>30</v>
      </c>
      <c r="E11" s="36">
        <v>30</v>
      </c>
      <c r="F11" s="36">
        <v>75</v>
      </c>
      <c r="G11" s="36">
        <v>75</v>
      </c>
      <c r="I11" s="56"/>
      <c r="J11" s="56"/>
      <c r="K11" s="56"/>
      <c r="L11" s="56"/>
      <c r="M11" s="56"/>
      <c r="N11" s="56"/>
      <c r="O11" s="56" t="s">
        <v>1496</v>
      </c>
    </row>
    <row r="12" spans="1:42" s="28" customFormat="1" x14ac:dyDescent="0.25">
      <c r="A12" s="34" t="s">
        <v>744</v>
      </c>
      <c r="B12" s="36" t="s">
        <v>514</v>
      </c>
      <c r="C12" s="36" t="s">
        <v>91</v>
      </c>
      <c r="D12" s="36">
        <v>30</v>
      </c>
      <c r="E12" s="36">
        <v>30</v>
      </c>
      <c r="F12" s="36">
        <v>75</v>
      </c>
      <c r="G12" s="36">
        <v>75</v>
      </c>
      <c r="I12" s="56"/>
      <c r="J12" s="56"/>
      <c r="K12" s="56"/>
      <c r="L12" s="56"/>
      <c r="M12" s="56"/>
      <c r="N12" s="56"/>
      <c r="O12" s="274" t="s">
        <v>1402</v>
      </c>
      <c r="P12" s="274" t="s">
        <v>515</v>
      </c>
      <c r="Q12" s="274" t="s">
        <v>782</v>
      </c>
      <c r="R12" s="274" t="s">
        <v>1296</v>
      </c>
      <c r="S12" s="274" t="s">
        <v>1295</v>
      </c>
      <c r="T12" s="274" t="s">
        <v>1297</v>
      </c>
      <c r="U12" s="274" t="s">
        <v>1295</v>
      </c>
      <c r="AF12" s="28" t="s">
        <v>1568</v>
      </c>
      <c r="AL12" s="82"/>
      <c r="AM12" s="82"/>
    </row>
    <row r="13" spans="1:42" x14ac:dyDescent="0.25">
      <c r="A13" s="34" t="s">
        <v>784</v>
      </c>
      <c r="O13" s="274" t="s">
        <v>17</v>
      </c>
      <c r="P13" s="277" t="s">
        <v>459</v>
      </c>
      <c r="Q13" s="304">
        <v>1</v>
      </c>
      <c r="R13" s="305">
        <v>2</v>
      </c>
      <c r="S13" s="306">
        <v>3</v>
      </c>
      <c r="T13" s="307">
        <v>4</v>
      </c>
      <c r="U13" s="291">
        <v>5</v>
      </c>
    </row>
    <row r="14" spans="1:42" x14ac:dyDescent="0.25">
      <c r="O14" s="274" t="s">
        <v>29</v>
      </c>
      <c r="P14" s="277" t="s">
        <v>459</v>
      </c>
      <c r="Q14" s="291">
        <v>6</v>
      </c>
      <c r="R14" s="291">
        <v>7</v>
      </c>
      <c r="S14" s="296">
        <v>8</v>
      </c>
      <c r="T14" s="291">
        <v>9</v>
      </c>
      <c r="U14" s="296">
        <v>10</v>
      </c>
    </row>
    <row r="15" spans="1:42" x14ac:dyDescent="0.25">
      <c r="A15" s="33" t="s">
        <v>579</v>
      </c>
      <c r="B15" s="33" t="s">
        <v>580</v>
      </c>
      <c r="C15" s="33" t="s">
        <v>581</v>
      </c>
      <c r="D15" s="33" t="s">
        <v>771</v>
      </c>
      <c r="E15" s="33" t="s">
        <v>774</v>
      </c>
      <c r="F15" s="33" t="s">
        <v>775</v>
      </c>
      <c r="G15" s="33" t="s">
        <v>772</v>
      </c>
      <c r="H15" s="33" t="s">
        <v>773</v>
      </c>
      <c r="O15" s="274" t="s">
        <v>22</v>
      </c>
      <c r="P15" s="277" t="s">
        <v>459</v>
      </c>
      <c r="Q15" s="299">
        <v>11</v>
      </c>
      <c r="R15" s="291">
        <v>12</v>
      </c>
      <c r="S15" s="291">
        <v>13</v>
      </c>
      <c r="T15" s="291">
        <v>14</v>
      </c>
      <c r="U15" s="291">
        <v>15</v>
      </c>
    </row>
    <row r="16" spans="1:42" x14ac:dyDescent="0.25">
      <c r="A16" s="59" t="s">
        <v>11</v>
      </c>
      <c r="B16" s="59" t="s">
        <v>17</v>
      </c>
      <c r="C16" s="59" t="s">
        <v>776</v>
      </c>
      <c r="D16" s="59">
        <v>1200</v>
      </c>
      <c r="E16" s="33">
        <v>75</v>
      </c>
      <c r="F16" s="33">
        <v>35</v>
      </c>
      <c r="G16" s="61">
        <f>$D16/E16</f>
        <v>16</v>
      </c>
      <c r="H16" s="61">
        <f>$D16/F16</f>
        <v>34.285714285714285</v>
      </c>
      <c r="I16" s="56" t="s">
        <v>785</v>
      </c>
      <c r="O16" s="274" t="s">
        <v>44</v>
      </c>
      <c r="P16" s="277" t="s">
        <v>459</v>
      </c>
      <c r="Q16" s="291">
        <v>16</v>
      </c>
      <c r="R16" s="291">
        <v>17</v>
      </c>
      <c r="S16" s="291">
        <v>18</v>
      </c>
      <c r="T16" s="291">
        <v>19</v>
      </c>
      <c r="U16" s="291">
        <v>20</v>
      </c>
    </row>
    <row r="17" spans="1:21" x14ac:dyDescent="0.25">
      <c r="A17" s="59" t="s">
        <v>11</v>
      </c>
      <c r="B17" s="59" t="s">
        <v>22</v>
      </c>
      <c r="C17" s="59" t="s">
        <v>596</v>
      </c>
      <c r="D17" s="59">
        <v>1800</v>
      </c>
      <c r="E17" s="33">
        <v>75</v>
      </c>
      <c r="F17" s="33">
        <v>35</v>
      </c>
      <c r="G17" s="61">
        <f t="shared" ref="G17:G40" si="0">$D17/E17</f>
        <v>24</v>
      </c>
      <c r="H17" s="61">
        <f t="shared" ref="H17:H40" si="1">$D17/F17</f>
        <v>51.428571428571431</v>
      </c>
      <c r="I17" s="56" t="s">
        <v>785</v>
      </c>
      <c r="O17" s="274" t="s">
        <v>744</v>
      </c>
      <c r="P17" s="277" t="s">
        <v>459</v>
      </c>
      <c r="Q17" s="291">
        <v>21</v>
      </c>
      <c r="R17" s="291">
        <v>22</v>
      </c>
      <c r="S17" s="291">
        <v>23</v>
      </c>
      <c r="T17" s="291">
        <v>24</v>
      </c>
      <c r="U17" s="291">
        <v>25</v>
      </c>
    </row>
    <row r="18" spans="1:21" x14ac:dyDescent="0.25">
      <c r="A18" s="59" t="s">
        <v>11</v>
      </c>
      <c r="B18" s="59" t="s">
        <v>29</v>
      </c>
      <c r="C18" s="59" t="s">
        <v>596</v>
      </c>
      <c r="D18" s="59">
        <v>1500</v>
      </c>
      <c r="E18" s="33">
        <v>75</v>
      </c>
      <c r="F18" s="33">
        <v>35</v>
      </c>
      <c r="G18" s="61">
        <f t="shared" si="0"/>
        <v>20</v>
      </c>
      <c r="H18" s="61">
        <f t="shared" si="1"/>
        <v>42.857142857142854</v>
      </c>
      <c r="I18" s="56" t="s">
        <v>785</v>
      </c>
      <c r="O18" s="274" t="s">
        <v>13</v>
      </c>
      <c r="P18" s="277" t="s">
        <v>459</v>
      </c>
      <c r="Q18" s="291">
        <v>26</v>
      </c>
      <c r="R18" s="291">
        <v>27</v>
      </c>
      <c r="S18" s="291">
        <v>28</v>
      </c>
      <c r="T18" s="291">
        <v>29</v>
      </c>
      <c r="U18" s="291">
        <v>30</v>
      </c>
    </row>
    <row r="19" spans="1:21" x14ac:dyDescent="0.25">
      <c r="A19" s="59" t="s">
        <v>11</v>
      </c>
      <c r="B19" s="59" t="s">
        <v>44</v>
      </c>
      <c r="C19" s="59" t="s">
        <v>596</v>
      </c>
      <c r="D19" s="59">
        <v>2000</v>
      </c>
      <c r="E19" s="33">
        <v>110</v>
      </c>
      <c r="F19" s="33">
        <v>75</v>
      </c>
      <c r="G19" s="61">
        <f t="shared" si="0"/>
        <v>18.181818181818183</v>
      </c>
      <c r="H19" s="61">
        <f t="shared" si="1"/>
        <v>26.666666666666668</v>
      </c>
      <c r="I19" s="56" t="s">
        <v>785</v>
      </c>
    </row>
    <row r="20" spans="1:21" x14ac:dyDescent="0.25">
      <c r="A20" s="59" t="s">
        <v>11</v>
      </c>
      <c r="B20" s="59" t="s">
        <v>17</v>
      </c>
      <c r="C20" s="59" t="s">
        <v>777</v>
      </c>
      <c r="D20" s="59">
        <v>15000</v>
      </c>
      <c r="E20" s="33">
        <v>75</v>
      </c>
      <c r="F20" s="33">
        <v>35</v>
      </c>
      <c r="G20" s="61">
        <f t="shared" si="0"/>
        <v>200</v>
      </c>
      <c r="H20" s="61">
        <f t="shared" si="1"/>
        <v>428.57142857142856</v>
      </c>
      <c r="I20" s="56" t="s">
        <v>785</v>
      </c>
    </row>
    <row r="21" spans="1:21" x14ac:dyDescent="0.25">
      <c r="A21" s="59" t="s">
        <v>11</v>
      </c>
      <c r="B21" s="59" t="s">
        <v>17</v>
      </c>
      <c r="C21" s="59" t="s">
        <v>778</v>
      </c>
      <c r="D21" s="59">
        <v>1200</v>
      </c>
      <c r="E21" s="33">
        <v>60</v>
      </c>
      <c r="F21" s="33">
        <v>27</v>
      </c>
      <c r="G21" s="61">
        <f t="shared" si="0"/>
        <v>20</v>
      </c>
      <c r="H21" s="61">
        <f t="shared" si="1"/>
        <v>44.444444444444443</v>
      </c>
      <c r="I21" s="56" t="s">
        <v>785</v>
      </c>
    </row>
    <row r="22" spans="1:21" x14ac:dyDescent="0.25">
      <c r="A22" s="59" t="s">
        <v>11</v>
      </c>
      <c r="B22" s="59" t="s">
        <v>17</v>
      </c>
      <c r="C22" s="59" t="s">
        <v>779</v>
      </c>
      <c r="D22" s="59">
        <v>15000</v>
      </c>
      <c r="E22" s="33">
        <v>50</v>
      </c>
      <c r="F22" s="33">
        <v>25</v>
      </c>
      <c r="G22" s="61">
        <f t="shared" si="0"/>
        <v>300</v>
      </c>
      <c r="H22" s="61">
        <f t="shared" si="1"/>
        <v>600</v>
      </c>
      <c r="I22" s="56" t="s">
        <v>785</v>
      </c>
      <c r="O22" s="56" t="s">
        <v>1497</v>
      </c>
    </row>
    <row r="23" spans="1:21" x14ac:dyDescent="0.25">
      <c r="A23" s="59" t="s">
        <v>11</v>
      </c>
      <c r="B23" s="59" t="s">
        <v>29</v>
      </c>
      <c r="C23" s="59" t="s">
        <v>18</v>
      </c>
      <c r="D23" s="59">
        <v>1500</v>
      </c>
      <c r="E23" s="33">
        <v>60</v>
      </c>
      <c r="F23" s="33">
        <v>33</v>
      </c>
      <c r="G23" s="61">
        <f t="shared" si="0"/>
        <v>25</v>
      </c>
      <c r="H23" s="61">
        <f t="shared" si="1"/>
        <v>45.454545454545453</v>
      </c>
      <c r="I23" s="56" t="s">
        <v>785</v>
      </c>
      <c r="O23" s="274" t="s">
        <v>1402</v>
      </c>
      <c r="P23" s="274" t="s">
        <v>515</v>
      </c>
      <c r="Q23" s="274" t="s">
        <v>782</v>
      </c>
      <c r="R23" s="274" t="s">
        <v>1296</v>
      </c>
      <c r="S23" s="274" t="s">
        <v>1295</v>
      </c>
      <c r="T23" s="274" t="s">
        <v>1297</v>
      </c>
      <c r="U23" s="274"/>
    </row>
    <row r="24" spans="1:21" x14ac:dyDescent="0.25">
      <c r="A24" s="59" t="s">
        <v>11</v>
      </c>
      <c r="B24" s="59" t="s">
        <v>44</v>
      </c>
      <c r="C24" s="59" t="s">
        <v>18</v>
      </c>
      <c r="D24" s="59">
        <v>2000</v>
      </c>
      <c r="E24" s="33">
        <v>55</v>
      </c>
      <c r="F24" s="33">
        <v>30</v>
      </c>
      <c r="G24" s="61">
        <f t="shared" si="0"/>
        <v>36.363636363636367</v>
      </c>
      <c r="H24" s="61">
        <f t="shared" si="1"/>
        <v>66.666666666666671</v>
      </c>
      <c r="I24" s="56" t="s">
        <v>785</v>
      </c>
      <c r="O24" s="274" t="s">
        <v>17</v>
      </c>
      <c r="P24" s="277" t="s">
        <v>459</v>
      </c>
      <c r="Q24" s="303">
        <v>1</v>
      </c>
      <c r="R24" s="303">
        <v>2</v>
      </c>
      <c r="S24" s="303">
        <v>1</v>
      </c>
      <c r="T24" s="303">
        <v>2</v>
      </c>
      <c r="U24" s="303"/>
    </row>
    <row r="25" spans="1:21" x14ac:dyDescent="0.25">
      <c r="A25" s="59" t="s">
        <v>42</v>
      </c>
      <c r="B25" s="59" t="s">
        <v>17</v>
      </c>
      <c r="C25" s="59" t="s">
        <v>780</v>
      </c>
      <c r="D25" s="59">
        <v>15000</v>
      </c>
      <c r="E25" s="33">
        <v>75</v>
      </c>
      <c r="F25" s="33">
        <v>35</v>
      </c>
      <c r="G25" s="61">
        <f t="shared" si="0"/>
        <v>200</v>
      </c>
      <c r="H25" s="61">
        <f t="shared" si="1"/>
        <v>428.57142857142856</v>
      </c>
      <c r="I25" s="56" t="s">
        <v>785</v>
      </c>
      <c r="O25" s="274" t="s">
        <v>29</v>
      </c>
      <c r="P25" s="277" t="s">
        <v>459</v>
      </c>
      <c r="Q25" s="303">
        <v>3</v>
      </c>
      <c r="R25" s="303">
        <v>4</v>
      </c>
      <c r="S25" s="303">
        <v>3</v>
      </c>
      <c r="T25" s="303">
        <v>4</v>
      </c>
      <c r="U25" s="303"/>
    </row>
    <row r="26" spans="1:21" x14ac:dyDescent="0.25">
      <c r="A26" s="59" t="s">
        <v>11</v>
      </c>
      <c r="B26" s="59" t="s">
        <v>22</v>
      </c>
      <c r="C26" s="59" t="s">
        <v>597</v>
      </c>
      <c r="D26" s="59">
        <v>1800</v>
      </c>
      <c r="E26" s="33">
        <v>65</v>
      </c>
      <c r="F26" s="33">
        <v>33</v>
      </c>
      <c r="G26" s="61">
        <f t="shared" si="0"/>
        <v>27.692307692307693</v>
      </c>
      <c r="H26" s="61">
        <f t="shared" si="1"/>
        <v>54.545454545454547</v>
      </c>
      <c r="I26" s="56" t="s">
        <v>785</v>
      </c>
      <c r="O26" s="274" t="s">
        <v>22</v>
      </c>
      <c r="P26" s="277" t="s">
        <v>459</v>
      </c>
      <c r="Q26" s="303">
        <v>5</v>
      </c>
      <c r="R26" s="303">
        <v>6</v>
      </c>
      <c r="S26" s="303">
        <v>5</v>
      </c>
      <c r="T26" s="303">
        <v>6</v>
      </c>
      <c r="U26" s="303"/>
    </row>
    <row r="27" spans="1:21" x14ac:dyDescent="0.25">
      <c r="A27" s="59" t="s">
        <v>11</v>
      </c>
      <c r="B27" s="59" t="s">
        <v>29</v>
      </c>
      <c r="C27" s="59" t="s">
        <v>597</v>
      </c>
      <c r="D27" s="59">
        <v>1500</v>
      </c>
      <c r="E27" s="33">
        <v>75</v>
      </c>
      <c r="F27" s="33">
        <v>35</v>
      </c>
      <c r="G27" s="61">
        <f t="shared" si="0"/>
        <v>20</v>
      </c>
      <c r="H27" s="61">
        <f t="shared" si="1"/>
        <v>42.857142857142854</v>
      </c>
      <c r="I27" s="56" t="s">
        <v>785</v>
      </c>
      <c r="O27" s="274" t="s">
        <v>44</v>
      </c>
      <c r="P27" s="277" t="s">
        <v>459</v>
      </c>
      <c r="Q27" s="303">
        <v>7</v>
      </c>
      <c r="R27" s="303">
        <v>8</v>
      </c>
      <c r="S27" s="303">
        <v>7</v>
      </c>
      <c r="T27" s="303">
        <v>8</v>
      </c>
      <c r="U27" s="303"/>
    </row>
    <row r="28" spans="1:21" x14ac:dyDescent="0.25">
      <c r="A28" s="59" t="s">
        <v>11</v>
      </c>
      <c r="B28" s="59" t="s">
        <v>44</v>
      </c>
      <c r="C28" s="59" t="s">
        <v>597</v>
      </c>
      <c r="D28" s="59">
        <v>2000</v>
      </c>
      <c r="E28" s="33">
        <v>110</v>
      </c>
      <c r="F28" s="33">
        <v>75</v>
      </c>
      <c r="G28" s="61">
        <f t="shared" si="0"/>
        <v>18.181818181818183</v>
      </c>
      <c r="H28" s="61">
        <f t="shared" si="1"/>
        <v>26.666666666666668</v>
      </c>
      <c r="I28" s="56" t="s">
        <v>785</v>
      </c>
      <c r="O28" s="274" t="s">
        <v>744</v>
      </c>
      <c r="P28" s="277" t="s">
        <v>459</v>
      </c>
      <c r="Q28" s="303">
        <v>7</v>
      </c>
      <c r="R28" s="303">
        <v>8</v>
      </c>
      <c r="S28" s="303">
        <v>7</v>
      </c>
      <c r="T28" s="303">
        <v>8</v>
      </c>
      <c r="U28" s="303"/>
    </row>
    <row r="29" spans="1:21" x14ac:dyDescent="0.25">
      <c r="A29" s="59" t="s">
        <v>42</v>
      </c>
      <c r="B29" s="59" t="s">
        <v>17</v>
      </c>
      <c r="C29" s="59" t="s">
        <v>781</v>
      </c>
      <c r="D29" s="59">
        <v>1200</v>
      </c>
      <c r="E29" s="33">
        <v>75</v>
      </c>
      <c r="F29" s="33">
        <v>35</v>
      </c>
      <c r="G29" s="61">
        <f t="shared" si="0"/>
        <v>16</v>
      </c>
      <c r="H29" s="61">
        <f t="shared" si="1"/>
        <v>34.285714285714285</v>
      </c>
      <c r="I29" s="56" t="s">
        <v>785</v>
      </c>
      <c r="O29" s="274" t="s">
        <v>13</v>
      </c>
      <c r="P29" s="277" t="s">
        <v>459</v>
      </c>
      <c r="Q29" s="303">
        <v>9</v>
      </c>
      <c r="R29" s="303">
        <v>9</v>
      </c>
      <c r="S29" s="303">
        <v>9</v>
      </c>
      <c r="T29" s="303">
        <v>9</v>
      </c>
      <c r="U29" s="303"/>
    </row>
    <row r="30" spans="1:21" x14ac:dyDescent="0.25">
      <c r="A30" s="60" t="s">
        <v>42</v>
      </c>
      <c r="B30" s="60" t="s">
        <v>22</v>
      </c>
      <c r="C30" s="60" t="s">
        <v>596</v>
      </c>
      <c r="D30" s="60">
        <v>2200</v>
      </c>
      <c r="E30" s="33">
        <v>75</v>
      </c>
      <c r="F30" s="33">
        <v>35</v>
      </c>
      <c r="G30" s="61">
        <f t="shared" si="0"/>
        <v>29.333333333333332</v>
      </c>
      <c r="H30" s="61">
        <f t="shared" si="1"/>
        <v>62.857142857142854</v>
      </c>
      <c r="I30" s="56" t="s">
        <v>785</v>
      </c>
    </row>
    <row r="31" spans="1:21" x14ac:dyDescent="0.25">
      <c r="A31" s="59" t="s">
        <v>42</v>
      </c>
      <c r="B31" s="59" t="s">
        <v>29</v>
      </c>
      <c r="C31" s="59" t="s">
        <v>596</v>
      </c>
      <c r="D31" s="59">
        <v>1800</v>
      </c>
      <c r="E31" s="33">
        <v>75</v>
      </c>
      <c r="F31" s="33">
        <v>35</v>
      </c>
      <c r="G31" s="61">
        <f t="shared" si="0"/>
        <v>24</v>
      </c>
      <c r="H31" s="61">
        <f t="shared" si="1"/>
        <v>51.428571428571431</v>
      </c>
      <c r="I31" s="56" t="s">
        <v>785</v>
      </c>
    </row>
    <row r="32" spans="1:21" x14ac:dyDescent="0.25">
      <c r="A32" s="59" t="s">
        <v>42</v>
      </c>
      <c r="B32" s="59" t="s">
        <v>44</v>
      </c>
      <c r="C32" s="59" t="s">
        <v>596</v>
      </c>
      <c r="D32" s="59">
        <v>3000</v>
      </c>
      <c r="E32" s="33">
        <v>110</v>
      </c>
      <c r="F32" s="33">
        <v>75</v>
      </c>
      <c r="G32" s="61">
        <f t="shared" si="0"/>
        <v>27.272727272727273</v>
      </c>
      <c r="H32" s="61">
        <f t="shared" si="1"/>
        <v>40</v>
      </c>
      <c r="I32" s="56" t="s">
        <v>785</v>
      </c>
    </row>
    <row r="33" spans="1:25" x14ac:dyDescent="0.25">
      <c r="A33" s="59" t="s">
        <v>42</v>
      </c>
      <c r="B33" s="59" t="s">
        <v>17</v>
      </c>
      <c r="C33" s="59" t="s">
        <v>783</v>
      </c>
      <c r="D33" s="59">
        <v>15000</v>
      </c>
      <c r="E33" s="33">
        <v>50</v>
      </c>
      <c r="F33" s="33">
        <v>25</v>
      </c>
      <c r="G33" s="61">
        <f t="shared" si="0"/>
        <v>300</v>
      </c>
      <c r="H33" s="61">
        <f t="shared" si="1"/>
        <v>600</v>
      </c>
      <c r="I33" s="56" t="s">
        <v>785</v>
      </c>
      <c r="S33" s="303" t="s">
        <v>1497</v>
      </c>
    </row>
    <row r="34" spans="1:25" x14ac:dyDescent="0.25">
      <c r="A34" s="59" t="s">
        <v>42</v>
      </c>
      <c r="B34" s="59" t="s">
        <v>17</v>
      </c>
      <c r="C34" s="59" t="s">
        <v>782</v>
      </c>
      <c r="D34" s="59">
        <v>1200</v>
      </c>
      <c r="E34" s="33">
        <v>60</v>
      </c>
      <c r="F34" s="33">
        <v>27</v>
      </c>
      <c r="G34" s="61">
        <f t="shared" si="0"/>
        <v>20</v>
      </c>
      <c r="H34" s="61">
        <f t="shared" si="1"/>
        <v>44.444444444444443</v>
      </c>
      <c r="I34" s="56" t="s">
        <v>785</v>
      </c>
      <c r="S34" s="274" t="s">
        <v>1402</v>
      </c>
      <c r="T34" s="274" t="s">
        <v>515</v>
      </c>
      <c r="U34" s="274" t="s">
        <v>782</v>
      </c>
      <c r="V34" s="274" t="s">
        <v>1296</v>
      </c>
      <c r="W34" s="274" t="s">
        <v>1295</v>
      </c>
      <c r="X34" s="274" t="s">
        <v>1297</v>
      </c>
      <c r="Y34" s="274"/>
    </row>
    <row r="35" spans="1:25" x14ac:dyDescent="0.25">
      <c r="A35" s="59" t="s">
        <v>42</v>
      </c>
      <c r="B35" s="59" t="s">
        <v>29</v>
      </c>
      <c r="C35" s="59" t="s">
        <v>18</v>
      </c>
      <c r="D35" s="59">
        <v>1100</v>
      </c>
      <c r="E35" s="33">
        <v>60</v>
      </c>
      <c r="F35" s="33">
        <v>33</v>
      </c>
      <c r="G35" s="61">
        <f t="shared" si="0"/>
        <v>18.333333333333332</v>
      </c>
      <c r="H35" s="61">
        <f t="shared" si="1"/>
        <v>33.333333333333336</v>
      </c>
      <c r="I35" s="56" t="s">
        <v>785</v>
      </c>
      <c r="S35" s="274" t="s">
        <v>17</v>
      </c>
      <c r="T35" s="277" t="s">
        <v>459</v>
      </c>
      <c r="U35" s="311" t="s">
        <v>1526</v>
      </c>
      <c r="V35" s="312" t="s">
        <v>1524</v>
      </c>
      <c r="W35" s="33" t="s">
        <v>1516</v>
      </c>
      <c r="X35" s="33" t="s">
        <v>1522</v>
      </c>
      <c r="Y35" s="303"/>
    </row>
    <row r="36" spans="1:25" x14ac:dyDescent="0.25">
      <c r="A36" s="59" t="s">
        <v>42</v>
      </c>
      <c r="B36" s="59" t="s">
        <v>44</v>
      </c>
      <c r="C36" s="59" t="s">
        <v>18</v>
      </c>
      <c r="D36" s="59">
        <v>3000</v>
      </c>
      <c r="E36" s="33">
        <v>55</v>
      </c>
      <c r="F36" s="33">
        <v>30</v>
      </c>
      <c r="G36" s="61">
        <f t="shared" si="0"/>
        <v>54.545454545454547</v>
      </c>
      <c r="H36" s="61">
        <f t="shared" si="1"/>
        <v>100</v>
      </c>
      <c r="I36" s="56" t="s">
        <v>785</v>
      </c>
      <c r="S36" s="274" t="s">
        <v>29</v>
      </c>
      <c r="T36" s="277" t="s">
        <v>459</v>
      </c>
      <c r="U36" s="33" t="s">
        <v>1527</v>
      </c>
      <c r="V36" s="33" t="s">
        <v>1525</v>
      </c>
      <c r="W36" s="33" t="s">
        <v>1517</v>
      </c>
      <c r="X36" s="33" t="s">
        <v>1523</v>
      </c>
      <c r="Y36" s="303"/>
    </row>
    <row r="37" spans="1:25" x14ac:dyDescent="0.25">
      <c r="A37" s="59" t="s">
        <v>42</v>
      </c>
      <c r="B37" s="59" t="s">
        <v>22</v>
      </c>
      <c r="C37" s="59" t="s">
        <v>597</v>
      </c>
      <c r="D37" s="59">
        <v>2200</v>
      </c>
      <c r="E37" s="33">
        <v>65</v>
      </c>
      <c r="F37" s="33">
        <v>33</v>
      </c>
      <c r="G37" s="61">
        <f t="shared" si="0"/>
        <v>33.846153846153847</v>
      </c>
      <c r="H37" s="61">
        <f t="shared" si="1"/>
        <v>66.666666666666671</v>
      </c>
      <c r="I37" s="56" t="s">
        <v>785</v>
      </c>
      <c r="S37" s="274" t="s">
        <v>22</v>
      </c>
      <c r="T37" s="277" t="s">
        <v>459</v>
      </c>
      <c r="U37" s="33" t="s">
        <v>1536</v>
      </c>
      <c r="V37" s="33" t="s">
        <v>1532</v>
      </c>
      <c r="W37" s="33" t="s">
        <v>1518</v>
      </c>
      <c r="X37" s="33" t="s">
        <v>1528</v>
      </c>
      <c r="Y37" s="303"/>
    </row>
    <row r="38" spans="1:25" x14ac:dyDescent="0.25">
      <c r="A38" s="59" t="s">
        <v>42</v>
      </c>
      <c r="B38" s="59" t="s">
        <v>29</v>
      </c>
      <c r="C38" s="59" t="s">
        <v>597</v>
      </c>
      <c r="D38" s="59">
        <v>1800</v>
      </c>
      <c r="E38" s="33">
        <v>75</v>
      </c>
      <c r="F38" s="33">
        <v>35</v>
      </c>
      <c r="G38" s="61">
        <f t="shared" si="0"/>
        <v>24</v>
      </c>
      <c r="H38" s="61">
        <f t="shared" si="1"/>
        <v>51.428571428571431</v>
      </c>
      <c r="I38" s="56" t="s">
        <v>785</v>
      </c>
      <c r="S38" s="274" t="s">
        <v>44</v>
      </c>
      <c r="T38" s="277" t="s">
        <v>459</v>
      </c>
      <c r="U38" s="33" t="s">
        <v>1537</v>
      </c>
      <c r="V38" s="33" t="s">
        <v>1533</v>
      </c>
      <c r="W38" s="33" t="s">
        <v>1519</v>
      </c>
      <c r="X38" s="33" t="s">
        <v>1529</v>
      </c>
      <c r="Y38" s="303"/>
    </row>
    <row r="39" spans="1:25" x14ac:dyDescent="0.25">
      <c r="A39" s="59" t="s">
        <v>42</v>
      </c>
      <c r="B39" s="59" t="s">
        <v>44</v>
      </c>
      <c r="C39" s="59" t="s">
        <v>597</v>
      </c>
      <c r="D39" s="59">
        <v>3000</v>
      </c>
      <c r="E39" s="33">
        <v>110</v>
      </c>
      <c r="F39" s="33">
        <v>75</v>
      </c>
      <c r="G39" s="61">
        <f t="shared" si="0"/>
        <v>27.272727272727273</v>
      </c>
      <c r="H39" s="61">
        <f t="shared" si="1"/>
        <v>40</v>
      </c>
      <c r="I39" s="56" t="s">
        <v>785</v>
      </c>
      <c r="S39" s="274" t="s">
        <v>744</v>
      </c>
      <c r="T39" s="277" t="s">
        <v>459</v>
      </c>
      <c r="U39" s="33" t="s">
        <v>1538</v>
      </c>
      <c r="V39" s="33" t="s">
        <v>1534</v>
      </c>
      <c r="W39" s="33" t="s">
        <v>1520</v>
      </c>
      <c r="X39" s="33" t="s">
        <v>1530</v>
      </c>
      <c r="Y39" s="303"/>
    </row>
    <row r="40" spans="1:25" x14ac:dyDescent="0.25">
      <c r="A40" s="59" t="s">
        <v>11</v>
      </c>
      <c r="B40" s="59" t="s">
        <v>744</v>
      </c>
      <c r="C40" s="59" t="s">
        <v>596</v>
      </c>
      <c r="D40" s="59">
        <v>800</v>
      </c>
      <c r="E40" s="33">
        <v>110</v>
      </c>
      <c r="F40" s="33">
        <v>75</v>
      </c>
      <c r="G40" s="61">
        <f t="shared" si="0"/>
        <v>7.2727272727272725</v>
      </c>
      <c r="H40" s="61">
        <f t="shared" si="1"/>
        <v>10.666666666666666</v>
      </c>
      <c r="I40" s="56" t="s">
        <v>788</v>
      </c>
      <c r="S40" s="274" t="s">
        <v>13</v>
      </c>
      <c r="T40" s="277" t="s">
        <v>459</v>
      </c>
      <c r="U40" s="33" t="s">
        <v>1539</v>
      </c>
      <c r="V40" s="33" t="s">
        <v>1535</v>
      </c>
      <c r="W40" s="33" t="s">
        <v>1521</v>
      </c>
      <c r="X40" s="33" t="s">
        <v>1531</v>
      </c>
      <c r="Y40" s="303"/>
    </row>
    <row r="42" spans="1:25" x14ac:dyDescent="0.25">
      <c r="A42" s="34" t="s">
        <v>792</v>
      </c>
      <c r="I42" s="34"/>
      <c r="J42" s="33"/>
      <c r="K42" s="33"/>
      <c r="L42" s="33"/>
      <c r="M42" s="33"/>
      <c r="N42" s="33"/>
      <c r="O42" s="33"/>
    </row>
    <row r="43" spans="1:25" x14ac:dyDescent="0.25">
      <c r="A43" s="35" t="s">
        <v>770</v>
      </c>
      <c r="B43" s="35" t="s">
        <v>515</v>
      </c>
      <c r="C43" s="35" t="s">
        <v>1456</v>
      </c>
      <c r="D43" s="35" t="s">
        <v>1457</v>
      </c>
      <c r="E43" s="35" t="s">
        <v>1458</v>
      </c>
      <c r="F43" s="35" t="s">
        <v>1459</v>
      </c>
      <c r="G43" s="35" t="s">
        <v>1464</v>
      </c>
      <c r="H43" s="35" t="s">
        <v>1460</v>
      </c>
      <c r="I43" s="35" t="s">
        <v>1461</v>
      </c>
      <c r="J43" s="35" t="s">
        <v>1462</v>
      </c>
      <c r="K43" s="35" t="s">
        <v>1463</v>
      </c>
      <c r="L43" s="35" t="s">
        <v>1465</v>
      </c>
      <c r="M43" s="35"/>
      <c r="N43" s="35"/>
      <c r="O43" s="35"/>
    </row>
    <row r="44" spans="1:25" x14ac:dyDescent="0.25">
      <c r="A44" s="35" t="s">
        <v>17</v>
      </c>
      <c r="B44" s="36" t="s">
        <v>459</v>
      </c>
      <c r="C44" s="63">
        <v>300</v>
      </c>
      <c r="D44" s="63">
        <v>20</v>
      </c>
      <c r="E44" s="63">
        <v>200</v>
      </c>
      <c r="F44" s="62">
        <v>16</v>
      </c>
      <c r="G44" s="36" t="s">
        <v>91</v>
      </c>
      <c r="H44" s="63">
        <v>300</v>
      </c>
      <c r="I44" s="63">
        <v>20</v>
      </c>
      <c r="J44" s="63">
        <v>200</v>
      </c>
      <c r="K44" s="63">
        <v>16</v>
      </c>
      <c r="L44" s="36" t="s">
        <v>91</v>
      </c>
      <c r="M44" s="63"/>
      <c r="N44" s="62"/>
      <c r="O44" s="36"/>
    </row>
    <row r="45" spans="1:25" x14ac:dyDescent="0.25">
      <c r="A45" s="35" t="s">
        <v>29</v>
      </c>
      <c r="B45" s="36" t="s">
        <v>459</v>
      </c>
      <c r="C45" s="36" t="s">
        <v>91</v>
      </c>
      <c r="D45" s="63">
        <v>25</v>
      </c>
      <c r="E45" s="57" t="s">
        <v>91</v>
      </c>
      <c r="F45" s="63">
        <v>20</v>
      </c>
      <c r="G45" s="63">
        <v>20</v>
      </c>
      <c r="H45" s="36" t="s">
        <v>91</v>
      </c>
      <c r="I45" s="63">
        <v>18</v>
      </c>
      <c r="J45" s="57" t="s">
        <v>91</v>
      </c>
      <c r="K45" s="63">
        <v>24</v>
      </c>
      <c r="L45" s="63">
        <v>24</v>
      </c>
      <c r="M45" s="57"/>
      <c r="N45" s="63"/>
      <c r="O45" s="63"/>
    </row>
    <row r="46" spans="1:25" x14ac:dyDescent="0.25">
      <c r="A46" s="35" t="s">
        <v>22</v>
      </c>
      <c r="B46" s="36" t="s">
        <v>459</v>
      </c>
      <c r="C46" s="36" t="s">
        <v>91</v>
      </c>
      <c r="D46" s="36" t="s">
        <v>91</v>
      </c>
      <c r="E46" s="36" t="s">
        <v>91</v>
      </c>
      <c r="F46" s="63">
        <v>24</v>
      </c>
      <c r="G46" s="63">
        <v>28</v>
      </c>
      <c r="H46" s="36" t="s">
        <v>91</v>
      </c>
      <c r="I46" s="36" t="s">
        <v>91</v>
      </c>
      <c r="J46" s="36" t="s">
        <v>91</v>
      </c>
      <c r="K46" s="63">
        <v>29</v>
      </c>
      <c r="L46" s="63">
        <v>34</v>
      </c>
      <c r="M46" s="36"/>
      <c r="N46" s="63"/>
      <c r="O46" s="63"/>
    </row>
    <row r="47" spans="1:25" x14ac:dyDescent="0.25">
      <c r="A47" s="35" t="s">
        <v>44</v>
      </c>
      <c r="B47" s="36" t="s">
        <v>459</v>
      </c>
      <c r="C47" s="36" t="s">
        <v>91</v>
      </c>
      <c r="D47" s="63">
        <v>36</v>
      </c>
      <c r="E47" s="57" t="s">
        <v>91</v>
      </c>
      <c r="F47" s="63">
        <v>18</v>
      </c>
      <c r="G47" s="63">
        <v>18</v>
      </c>
      <c r="H47" s="36" t="s">
        <v>91</v>
      </c>
      <c r="I47" s="57" t="s">
        <v>91</v>
      </c>
      <c r="J47" s="63">
        <v>55</v>
      </c>
      <c r="K47" s="63">
        <v>27</v>
      </c>
      <c r="L47" s="63">
        <v>27</v>
      </c>
      <c r="M47" s="57"/>
      <c r="N47" s="63"/>
      <c r="O47" s="63"/>
    </row>
    <row r="49" spans="1:15" x14ac:dyDescent="0.25">
      <c r="A49" s="34" t="s">
        <v>786</v>
      </c>
      <c r="I49" s="34" t="s">
        <v>787</v>
      </c>
      <c r="J49" s="33"/>
      <c r="K49" s="33"/>
      <c r="L49" s="33"/>
      <c r="M49" s="33"/>
      <c r="N49" s="33"/>
      <c r="O49" s="33"/>
    </row>
    <row r="50" spans="1:15" x14ac:dyDescent="0.25">
      <c r="A50" s="35" t="s">
        <v>770</v>
      </c>
      <c r="B50" s="35" t="s">
        <v>515</v>
      </c>
      <c r="C50" s="35" t="s">
        <v>1451</v>
      </c>
      <c r="D50" s="35" t="s">
        <v>1452</v>
      </c>
      <c r="E50" s="35" t="s">
        <v>1453</v>
      </c>
      <c r="F50" s="35" t="s">
        <v>1454</v>
      </c>
      <c r="G50" s="35" t="s">
        <v>1455</v>
      </c>
      <c r="I50" s="35" t="s">
        <v>770</v>
      </c>
      <c r="J50" s="35" t="s">
        <v>515</v>
      </c>
      <c r="K50" s="35" t="s">
        <v>1451</v>
      </c>
      <c r="L50" s="35" t="s">
        <v>1452</v>
      </c>
      <c r="M50" s="35" t="s">
        <v>1453</v>
      </c>
      <c r="N50" s="35" t="s">
        <v>1454</v>
      </c>
      <c r="O50" s="35" t="s">
        <v>1455</v>
      </c>
    </row>
    <row r="51" spans="1:15" x14ac:dyDescent="0.25">
      <c r="A51" s="35" t="s">
        <v>17</v>
      </c>
      <c r="B51" s="36" t="s">
        <v>514</v>
      </c>
      <c r="C51" s="63">
        <v>600</v>
      </c>
      <c r="D51" s="63">
        <v>44</v>
      </c>
      <c r="E51" s="63">
        <v>429</v>
      </c>
      <c r="F51" s="63">
        <v>34</v>
      </c>
      <c r="G51" s="36" t="s">
        <v>91</v>
      </c>
      <c r="I51" s="35" t="s">
        <v>17</v>
      </c>
      <c r="J51" s="36" t="s">
        <v>459</v>
      </c>
      <c r="K51" s="63">
        <v>15000</v>
      </c>
      <c r="L51" s="63">
        <v>1200</v>
      </c>
      <c r="M51" s="63">
        <v>15000</v>
      </c>
      <c r="N51" s="62">
        <v>1200</v>
      </c>
      <c r="O51" s="36" t="s">
        <v>91</v>
      </c>
    </row>
    <row r="52" spans="1:15" x14ac:dyDescent="0.25">
      <c r="A52" s="35" t="s">
        <v>29</v>
      </c>
      <c r="B52" s="37" t="s">
        <v>514</v>
      </c>
      <c r="C52" s="36" t="s">
        <v>91</v>
      </c>
      <c r="D52" s="63">
        <v>45</v>
      </c>
      <c r="E52" s="57" t="s">
        <v>91</v>
      </c>
      <c r="F52" s="63">
        <v>43</v>
      </c>
      <c r="G52" s="63">
        <v>43</v>
      </c>
      <c r="I52" s="35" t="s">
        <v>29</v>
      </c>
      <c r="J52" s="36" t="s">
        <v>459</v>
      </c>
      <c r="K52" s="36" t="s">
        <v>91</v>
      </c>
      <c r="L52" s="63">
        <v>1500</v>
      </c>
      <c r="M52" s="57" t="s">
        <v>91</v>
      </c>
      <c r="N52" s="63">
        <v>1500</v>
      </c>
      <c r="O52" s="63">
        <v>1500</v>
      </c>
    </row>
    <row r="53" spans="1:15" x14ac:dyDescent="0.25">
      <c r="A53" s="35" t="s">
        <v>22</v>
      </c>
      <c r="B53" s="36" t="s">
        <v>514</v>
      </c>
      <c r="C53" s="36" t="s">
        <v>91</v>
      </c>
      <c r="D53" s="36" t="s">
        <v>91</v>
      </c>
      <c r="E53" s="36" t="s">
        <v>91</v>
      </c>
      <c r="F53" s="63">
        <v>51</v>
      </c>
      <c r="G53" s="63">
        <v>55</v>
      </c>
      <c r="I53" s="35" t="s">
        <v>22</v>
      </c>
      <c r="J53" s="36" t="s">
        <v>459</v>
      </c>
      <c r="K53" s="36" t="s">
        <v>91</v>
      </c>
      <c r="L53" s="36" t="s">
        <v>91</v>
      </c>
      <c r="M53" s="36" t="s">
        <v>91</v>
      </c>
      <c r="N53" s="63">
        <v>1800</v>
      </c>
      <c r="O53" s="63">
        <v>1800</v>
      </c>
    </row>
    <row r="54" spans="1:15" x14ac:dyDescent="0.25">
      <c r="A54" s="35" t="s">
        <v>44</v>
      </c>
      <c r="B54" s="36" t="s">
        <v>514</v>
      </c>
      <c r="C54" s="36" t="s">
        <v>91</v>
      </c>
      <c r="D54" s="63">
        <v>67</v>
      </c>
      <c r="E54" s="57" t="s">
        <v>91</v>
      </c>
      <c r="F54" s="63">
        <v>27</v>
      </c>
      <c r="G54" s="63">
        <v>27</v>
      </c>
      <c r="I54" s="35" t="s">
        <v>44</v>
      </c>
      <c r="J54" s="36" t="s">
        <v>459</v>
      </c>
      <c r="K54" s="36" t="s">
        <v>91</v>
      </c>
      <c r="L54" s="63">
        <v>2000</v>
      </c>
      <c r="M54" s="57" t="s">
        <v>91</v>
      </c>
      <c r="N54" s="63">
        <v>2000</v>
      </c>
      <c r="O54" s="63">
        <v>2000</v>
      </c>
    </row>
    <row r="56" spans="1:15" x14ac:dyDescent="0.25">
      <c r="A56" s="34" t="s">
        <v>789</v>
      </c>
      <c r="I56" s="34" t="s">
        <v>791</v>
      </c>
      <c r="J56" s="33"/>
      <c r="K56" s="33"/>
      <c r="L56" s="33"/>
      <c r="M56" s="33"/>
      <c r="N56" s="33"/>
      <c r="O56" s="33"/>
    </row>
    <row r="57" spans="1:15" x14ac:dyDescent="0.25">
      <c r="A57" s="35" t="s">
        <v>770</v>
      </c>
      <c r="B57" s="35" t="s">
        <v>515</v>
      </c>
      <c r="C57" s="35" t="s">
        <v>1460</v>
      </c>
      <c r="D57" s="35" t="s">
        <v>1461</v>
      </c>
      <c r="E57" s="35" t="s">
        <v>1462</v>
      </c>
      <c r="F57" s="35" t="s">
        <v>1463</v>
      </c>
      <c r="G57" s="35" t="s">
        <v>1465</v>
      </c>
      <c r="I57" s="35" t="s">
        <v>770</v>
      </c>
      <c r="J57" s="35" t="s">
        <v>515</v>
      </c>
      <c r="K57" s="35" t="s">
        <v>1451</v>
      </c>
      <c r="L57" s="35" t="s">
        <v>1452</v>
      </c>
      <c r="M57" s="35" t="s">
        <v>1453</v>
      </c>
      <c r="N57" s="35" t="s">
        <v>1454</v>
      </c>
      <c r="O57" s="35" t="s">
        <v>1455</v>
      </c>
    </row>
    <row r="58" spans="1:15" x14ac:dyDescent="0.25">
      <c r="A58" s="35" t="s">
        <v>17</v>
      </c>
      <c r="B58" s="36" t="s">
        <v>459</v>
      </c>
      <c r="C58" s="63">
        <v>300</v>
      </c>
      <c r="D58" s="63">
        <v>20</v>
      </c>
      <c r="E58" s="63">
        <v>200</v>
      </c>
      <c r="F58" s="63">
        <v>16</v>
      </c>
      <c r="G58" s="36" t="s">
        <v>91</v>
      </c>
      <c r="I58" s="35" t="s">
        <v>17</v>
      </c>
      <c r="J58" s="36" t="s">
        <v>459</v>
      </c>
      <c r="K58" s="63">
        <v>15000</v>
      </c>
      <c r="L58" s="63">
        <v>1200</v>
      </c>
      <c r="M58" s="63">
        <v>15000</v>
      </c>
      <c r="N58" s="63">
        <v>1200</v>
      </c>
      <c r="O58" s="36" t="s">
        <v>91</v>
      </c>
    </row>
    <row r="59" spans="1:15" x14ac:dyDescent="0.25">
      <c r="A59" s="35" t="s">
        <v>29</v>
      </c>
      <c r="B59" s="36" t="s">
        <v>459</v>
      </c>
      <c r="C59" s="36" t="s">
        <v>91</v>
      </c>
      <c r="D59" s="63">
        <v>18</v>
      </c>
      <c r="E59" s="57" t="s">
        <v>91</v>
      </c>
      <c r="F59" s="63">
        <v>24</v>
      </c>
      <c r="G59" s="63">
        <v>24</v>
      </c>
      <c r="I59" s="35" t="s">
        <v>29</v>
      </c>
      <c r="J59" s="36" t="s">
        <v>459</v>
      </c>
      <c r="K59" s="36" t="s">
        <v>91</v>
      </c>
      <c r="L59" s="63">
        <v>1100</v>
      </c>
      <c r="M59" s="57" t="s">
        <v>91</v>
      </c>
      <c r="N59" s="63">
        <v>1800</v>
      </c>
      <c r="O59" s="63">
        <v>1800</v>
      </c>
    </row>
    <row r="60" spans="1:15" x14ac:dyDescent="0.25">
      <c r="A60" s="35" t="s">
        <v>22</v>
      </c>
      <c r="B60" s="36" t="s">
        <v>459</v>
      </c>
      <c r="C60" s="36" t="s">
        <v>91</v>
      </c>
      <c r="D60" s="36" t="s">
        <v>91</v>
      </c>
      <c r="E60" s="36" t="s">
        <v>91</v>
      </c>
      <c r="F60" s="63">
        <v>29</v>
      </c>
      <c r="G60" s="63">
        <v>34</v>
      </c>
      <c r="I60" s="35" t="s">
        <v>22</v>
      </c>
      <c r="J60" s="36" t="s">
        <v>459</v>
      </c>
      <c r="K60" s="36" t="s">
        <v>91</v>
      </c>
      <c r="L60" s="36" t="s">
        <v>91</v>
      </c>
      <c r="M60" s="36" t="s">
        <v>91</v>
      </c>
      <c r="N60" s="63">
        <v>2200</v>
      </c>
      <c r="O60" s="63">
        <v>2200</v>
      </c>
    </row>
    <row r="61" spans="1:15" x14ac:dyDescent="0.25">
      <c r="A61" s="35" t="s">
        <v>44</v>
      </c>
      <c r="B61" s="36" t="s">
        <v>459</v>
      </c>
      <c r="C61" s="36" t="s">
        <v>91</v>
      </c>
      <c r="D61" s="57" t="s">
        <v>91</v>
      </c>
      <c r="E61" s="63">
        <v>55</v>
      </c>
      <c r="F61" s="63">
        <v>27</v>
      </c>
      <c r="G61" s="63">
        <v>27</v>
      </c>
      <c r="I61" s="35" t="s">
        <v>44</v>
      </c>
      <c r="J61" s="36" t="s">
        <v>459</v>
      </c>
      <c r="K61" s="36" t="s">
        <v>91</v>
      </c>
      <c r="L61" s="57" t="s">
        <v>91</v>
      </c>
      <c r="M61" s="63">
        <v>3000</v>
      </c>
      <c r="N61" s="63">
        <v>3000</v>
      </c>
      <c r="O61" s="63">
        <v>3000</v>
      </c>
    </row>
    <row r="62" spans="1:15" x14ac:dyDescent="0.25">
      <c r="A62" s="64"/>
      <c r="B62" s="58"/>
      <c r="C62" s="58"/>
      <c r="D62" s="58"/>
      <c r="E62" s="58"/>
      <c r="F62" s="58"/>
      <c r="G62" s="58"/>
    </row>
    <row r="63" spans="1:15" x14ac:dyDescent="0.25">
      <c r="A63" s="34" t="s">
        <v>790</v>
      </c>
    </row>
    <row r="64" spans="1:15" x14ac:dyDescent="0.25">
      <c r="A64" s="35" t="s">
        <v>770</v>
      </c>
      <c r="B64" s="35" t="s">
        <v>515</v>
      </c>
      <c r="C64" s="35" t="s">
        <v>1451</v>
      </c>
      <c r="D64" s="35" t="s">
        <v>1452</v>
      </c>
      <c r="E64" s="35" t="s">
        <v>1453</v>
      </c>
      <c r="F64" s="35" t="s">
        <v>1454</v>
      </c>
      <c r="G64" s="35" t="s">
        <v>1455</v>
      </c>
    </row>
    <row r="65" spans="1:15" x14ac:dyDescent="0.25">
      <c r="A65" s="35" t="s">
        <v>17</v>
      </c>
      <c r="B65" s="36" t="s">
        <v>514</v>
      </c>
      <c r="C65" s="63">
        <v>600</v>
      </c>
      <c r="D65" s="63">
        <v>44</v>
      </c>
      <c r="E65" s="63">
        <v>429</v>
      </c>
      <c r="F65" s="63">
        <v>34</v>
      </c>
      <c r="G65" s="36" t="s">
        <v>91</v>
      </c>
    </row>
    <row r="66" spans="1:15" x14ac:dyDescent="0.25">
      <c r="A66" s="35" t="s">
        <v>29</v>
      </c>
      <c r="B66" s="37" t="s">
        <v>514</v>
      </c>
      <c r="C66" s="36" t="s">
        <v>91</v>
      </c>
      <c r="D66" s="63">
        <v>33</v>
      </c>
      <c r="E66" s="57" t="s">
        <v>91</v>
      </c>
      <c r="F66" s="63">
        <v>51</v>
      </c>
      <c r="G66" s="63">
        <v>51</v>
      </c>
    </row>
    <row r="67" spans="1:15" x14ac:dyDescent="0.25">
      <c r="A67" s="35" t="s">
        <v>22</v>
      </c>
      <c r="B67" s="36" t="s">
        <v>514</v>
      </c>
      <c r="C67" s="36" t="s">
        <v>91</v>
      </c>
      <c r="D67" s="36" t="s">
        <v>91</v>
      </c>
      <c r="E67" s="36" t="s">
        <v>91</v>
      </c>
      <c r="F67" s="63">
        <v>63</v>
      </c>
      <c r="G67" s="63">
        <v>67</v>
      </c>
    </row>
    <row r="68" spans="1:15" x14ac:dyDescent="0.25">
      <c r="A68" s="35" t="s">
        <v>44</v>
      </c>
      <c r="B68" s="36" t="s">
        <v>514</v>
      </c>
      <c r="C68" s="36" t="s">
        <v>91</v>
      </c>
      <c r="D68" s="57" t="s">
        <v>91</v>
      </c>
      <c r="E68" s="63">
        <v>100</v>
      </c>
      <c r="F68" s="63">
        <v>40</v>
      </c>
      <c r="G68" s="63">
        <v>40</v>
      </c>
    </row>
    <row r="72" spans="1:15" x14ac:dyDescent="0.25">
      <c r="A72" s="589" t="s">
        <v>1303</v>
      </c>
      <c r="B72" s="589"/>
      <c r="C72" s="589"/>
      <c r="D72" s="589"/>
      <c r="E72" s="589"/>
      <c r="F72" s="589"/>
      <c r="G72" s="589"/>
      <c r="H72" s="589"/>
      <c r="I72" s="589"/>
      <c r="J72" s="589"/>
      <c r="K72" s="589"/>
      <c r="L72" s="589"/>
      <c r="M72" s="589"/>
      <c r="N72" s="589"/>
      <c r="O72" s="589"/>
    </row>
    <row r="73" spans="1:15" x14ac:dyDescent="0.25">
      <c r="A73" s="34" t="s">
        <v>792</v>
      </c>
      <c r="I73" s="34"/>
      <c r="J73" s="33"/>
      <c r="K73" s="33"/>
      <c r="L73" s="33"/>
      <c r="M73" s="33"/>
      <c r="N73" s="33"/>
      <c r="O73" s="33"/>
    </row>
    <row r="74" spans="1:15" x14ac:dyDescent="0.25">
      <c r="A74" s="35" t="s">
        <v>770</v>
      </c>
      <c r="B74" s="35" t="s">
        <v>515</v>
      </c>
      <c r="C74" s="35" t="s">
        <v>1456</v>
      </c>
      <c r="D74" s="35" t="s">
        <v>1457</v>
      </c>
      <c r="E74" s="35" t="s">
        <v>1458</v>
      </c>
      <c r="F74" s="35" t="s">
        <v>1459</v>
      </c>
      <c r="G74" s="35" t="s">
        <v>1464</v>
      </c>
      <c r="H74" s="35" t="s">
        <v>1460</v>
      </c>
      <c r="I74" s="35" t="s">
        <v>1461</v>
      </c>
      <c r="J74" s="35" t="s">
        <v>1462</v>
      </c>
      <c r="K74" s="35" t="s">
        <v>1463</v>
      </c>
      <c r="L74" s="35" t="s">
        <v>1465</v>
      </c>
      <c r="M74" s="35"/>
      <c r="N74" s="35"/>
      <c r="O74" s="35"/>
    </row>
    <row r="75" spans="1:15" x14ac:dyDescent="0.25">
      <c r="A75" s="35" t="s">
        <v>17</v>
      </c>
      <c r="B75" s="36" t="s">
        <v>459</v>
      </c>
      <c r="C75" s="63">
        <v>300</v>
      </c>
      <c r="D75" s="63">
        <v>20</v>
      </c>
      <c r="E75" s="63">
        <v>200</v>
      </c>
      <c r="F75" s="62">
        <v>16</v>
      </c>
      <c r="G75" s="36" t="s">
        <v>91</v>
      </c>
      <c r="H75" s="63">
        <v>300</v>
      </c>
      <c r="I75" s="63">
        <v>20</v>
      </c>
      <c r="J75" s="63">
        <v>200</v>
      </c>
      <c r="K75" s="63">
        <v>16</v>
      </c>
      <c r="L75" s="36" t="s">
        <v>91</v>
      </c>
      <c r="M75" s="63"/>
      <c r="N75" s="62"/>
      <c r="O75" s="36"/>
    </row>
    <row r="76" spans="1:15" x14ac:dyDescent="0.25">
      <c r="A76" s="35" t="s">
        <v>29</v>
      </c>
      <c r="B76" s="36" t="s">
        <v>459</v>
      </c>
      <c r="C76" s="36" t="s">
        <v>91</v>
      </c>
      <c r="D76" s="63">
        <v>25</v>
      </c>
      <c r="E76" s="57" t="s">
        <v>91</v>
      </c>
      <c r="F76" s="63">
        <v>20</v>
      </c>
      <c r="G76" s="63">
        <v>20</v>
      </c>
      <c r="H76" s="36" t="s">
        <v>91</v>
      </c>
      <c r="I76" s="63">
        <v>18</v>
      </c>
      <c r="J76" s="57" t="s">
        <v>91</v>
      </c>
      <c r="K76" s="63">
        <v>24</v>
      </c>
      <c r="L76" s="63">
        <v>24</v>
      </c>
      <c r="M76" s="57"/>
      <c r="N76" s="63"/>
      <c r="O76" s="63"/>
    </row>
    <row r="77" spans="1:15" x14ac:dyDescent="0.25">
      <c r="A77" s="35" t="s">
        <v>22</v>
      </c>
      <c r="B77" s="36" t="s">
        <v>459</v>
      </c>
      <c r="C77" s="36" t="s">
        <v>91</v>
      </c>
      <c r="D77" s="36" t="s">
        <v>91</v>
      </c>
      <c r="E77" s="36" t="s">
        <v>91</v>
      </c>
      <c r="F77" s="63">
        <v>24</v>
      </c>
      <c r="G77" s="63">
        <v>28</v>
      </c>
      <c r="H77" s="36" t="s">
        <v>91</v>
      </c>
      <c r="I77" s="36" t="s">
        <v>91</v>
      </c>
      <c r="J77" s="36" t="s">
        <v>91</v>
      </c>
      <c r="K77" s="63">
        <v>29</v>
      </c>
      <c r="L77" s="63">
        <v>34</v>
      </c>
      <c r="M77" s="36"/>
      <c r="N77" s="63"/>
      <c r="O77" s="63"/>
    </row>
    <row r="78" spans="1:15" x14ac:dyDescent="0.25">
      <c r="A78" s="35" t="s">
        <v>825</v>
      </c>
      <c r="B78" s="36" t="s">
        <v>459</v>
      </c>
      <c r="C78" s="36" t="s">
        <v>91</v>
      </c>
      <c r="D78" s="63">
        <v>36</v>
      </c>
      <c r="E78" s="57" t="s">
        <v>91</v>
      </c>
      <c r="F78" s="63">
        <v>18</v>
      </c>
      <c r="G78" s="63">
        <v>18</v>
      </c>
      <c r="H78" s="36" t="s">
        <v>91</v>
      </c>
      <c r="I78" s="57" t="s">
        <v>91</v>
      </c>
      <c r="J78" s="63">
        <v>55</v>
      </c>
      <c r="K78" s="63">
        <v>27</v>
      </c>
      <c r="L78" s="63">
        <v>27</v>
      </c>
      <c r="M78" s="57"/>
      <c r="N78" s="63"/>
      <c r="O78" s="63"/>
    </row>
    <row r="80" spans="1:15" x14ac:dyDescent="0.25">
      <c r="A80" s="34" t="s">
        <v>786</v>
      </c>
      <c r="I80" s="34" t="s">
        <v>787</v>
      </c>
      <c r="J80" s="33"/>
      <c r="K80" s="33"/>
      <c r="L80" s="33"/>
      <c r="M80" s="33"/>
      <c r="N80" s="33"/>
      <c r="O80" s="33"/>
    </row>
    <row r="81" spans="1:20" x14ac:dyDescent="0.25">
      <c r="A81" s="35" t="s">
        <v>770</v>
      </c>
      <c r="B81" s="35" t="s">
        <v>515</v>
      </c>
      <c r="C81" s="35" t="s">
        <v>1451</v>
      </c>
      <c r="D81" s="35" t="s">
        <v>1452</v>
      </c>
      <c r="E81" s="35" t="s">
        <v>1453</v>
      </c>
      <c r="F81" s="35" t="s">
        <v>1454</v>
      </c>
      <c r="G81" s="35" t="s">
        <v>1455</v>
      </c>
      <c r="I81" s="35" t="s">
        <v>770</v>
      </c>
      <c r="J81" s="35" t="s">
        <v>515</v>
      </c>
      <c r="K81" s="35" t="s">
        <v>1451</v>
      </c>
      <c r="L81" s="35" t="s">
        <v>1452</v>
      </c>
      <c r="M81" s="35" t="s">
        <v>1453</v>
      </c>
      <c r="N81" s="35" t="s">
        <v>1454</v>
      </c>
      <c r="O81" s="35" t="s">
        <v>1455</v>
      </c>
    </row>
    <row r="82" spans="1:20" x14ac:dyDescent="0.25">
      <c r="A82" s="35" t="s">
        <v>17</v>
      </c>
      <c r="B82" s="36" t="s">
        <v>514</v>
      </c>
      <c r="C82" s="63">
        <v>600</v>
      </c>
      <c r="D82" s="63">
        <v>44</v>
      </c>
      <c r="E82" s="63">
        <v>429</v>
      </c>
      <c r="F82" s="63">
        <v>34</v>
      </c>
      <c r="G82" s="36" t="s">
        <v>91</v>
      </c>
      <c r="I82" s="35" t="s">
        <v>17</v>
      </c>
      <c r="J82" s="36" t="s">
        <v>459</v>
      </c>
      <c r="K82" s="63">
        <v>15000</v>
      </c>
      <c r="L82" s="63">
        <v>1200</v>
      </c>
      <c r="M82" s="63">
        <v>15000</v>
      </c>
      <c r="N82" s="62">
        <v>1200</v>
      </c>
      <c r="O82" s="36" t="s">
        <v>91</v>
      </c>
    </row>
    <row r="83" spans="1:20" x14ac:dyDescent="0.25">
      <c r="A83" s="35" t="s">
        <v>29</v>
      </c>
      <c r="B83" s="37" t="s">
        <v>514</v>
      </c>
      <c r="C83" s="36" t="s">
        <v>91</v>
      </c>
      <c r="D83" s="63">
        <v>45</v>
      </c>
      <c r="E83" s="57" t="s">
        <v>91</v>
      </c>
      <c r="F83" s="63">
        <v>43</v>
      </c>
      <c r="G83" s="63">
        <v>43</v>
      </c>
      <c r="I83" s="35" t="s">
        <v>29</v>
      </c>
      <c r="J83" s="36" t="s">
        <v>459</v>
      </c>
      <c r="K83" s="36" t="s">
        <v>91</v>
      </c>
      <c r="L83" s="63">
        <v>1500</v>
      </c>
      <c r="M83" s="57" t="s">
        <v>91</v>
      </c>
      <c r="N83" s="63">
        <v>1500</v>
      </c>
      <c r="O83" s="63">
        <v>1500</v>
      </c>
    </row>
    <row r="84" spans="1:20" x14ac:dyDescent="0.25">
      <c r="A84" s="35" t="s">
        <v>22</v>
      </c>
      <c r="B84" s="36" t="s">
        <v>514</v>
      </c>
      <c r="C84" s="36" t="s">
        <v>91</v>
      </c>
      <c r="D84" s="36" t="s">
        <v>91</v>
      </c>
      <c r="E84" s="36" t="s">
        <v>91</v>
      </c>
      <c r="F84" s="63">
        <v>51</v>
      </c>
      <c r="G84" s="63">
        <v>55</v>
      </c>
      <c r="I84" s="35" t="s">
        <v>22</v>
      </c>
      <c r="J84" s="36" t="s">
        <v>459</v>
      </c>
      <c r="K84" s="36" t="s">
        <v>91</v>
      </c>
      <c r="L84" s="36" t="s">
        <v>91</v>
      </c>
      <c r="M84" s="36" t="s">
        <v>91</v>
      </c>
      <c r="N84" s="63">
        <v>1800</v>
      </c>
      <c r="O84" s="63">
        <v>1800</v>
      </c>
    </row>
    <row r="85" spans="1:20" x14ac:dyDescent="0.25">
      <c r="A85" s="35" t="s">
        <v>44</v>
      </c>
      <c r="B85" s="36" t="s">
        <v>514</v>
      </c>
      <c r="C85" s="36" t="s">
        <v>91</v>
      </c>
      <c r="D85" s="63">
        <v>67</v>
      </c>
      <c r="E85" s="57" t="s">
        <v>91</v>
      </c>
      <c r="F85" s="63">
        <v>27</v>
      </c>
      <c r="G85" s="63">
        <v>27</v>
      </c>
      <c r="I85" s="35" t="s">
        <v>44</v>
      </c>
      <c r="J85" s="36" t="s">
        <v>459</v>
      </c>
      <c r="K85" s="36" t="s">
        <v>91</v>
      </c>
      <c r="L85" s="63">
        <v>2000</v>
      </c>
      <c r="M85" s="57" t="s">
        <v>91</v>
      </c>
      <c r="N85" s="63">
        <v>2000</v>
      </c>
      <c r="O85" s="63">
        <v>2000</v>
      </c>
    </row>
    <row r="87" spans="1:20" x14ac:dyDescent="0.25">
      <c r="A87" s="34" t="s">
        <v>789</v>
      </c>
      <c r="I87" s="34" t="s">
        <v>791</v>
      </c>
      <c r="J87" s="33"/>
      <c r="K87" s="33"/>
      <c r="L87" s="33"/>
      <c r="M87" s="33"/>
      <c r="N87" s="33"/>
      <c r="O87" s="33"/>
    </row>
    <row r="88" spans="1:20" x14ac:dyDescent="0.25">
      <c r="A88" s="35" t="s">
        <v>770</v>
      </c>
      <c r="B88" s="35" t="s">
        <v>515</v>
      </c>
      <c r="C88" s="35" t="s">
        <v>1460</v>
      </c>
      <c r="D88" s="35" t="s">
        <v>1461</v>
      </c>
      <c r="E88" s="35" t="s">
        <v>1462</v>
      </c>
      <c r="F88" s="35" t="s">
        <v>1463</v>
      </c>
      <c r="G88" s="35" t="s">
        <v>1465</v>
      </c>
      <c r="I88" s="35" t="s">
        <v>770</v>
      </c>
      <c r="J88" s="35" t="s">
        <v>515</v>
      </c>
      <c r="K88" s="35" t="s">
        <v>1451</v>
      </c>
      <c r="L88" s="35" t="s">
        <v>1452</v>
      </c>
      <c r="M88" s="35" t="s">
        <v>1453</v>
      </c>
      <c r="N88" s="35" t="s">
        <v>1454</v>
      </c>
      <c r="O88" s="35" t="s">
        <v>1455</v>
      </c>
    </row>
    <row r="89" spans="1:20" x14ac:dyDescent="0.25">
      <c r="A89" s="35" t="s">
        <v>17</v>
      </c>
      <c r="B89" s="36" t="s">
        <v>459</v>
      </c>
      <c r="C89" s="63">
        <v>300</v>
      </c>
      <c r="D89" s="63">
        <v>20</v>
      </c>
      <c r="E89" s="63">
        <v>200</v>
      </c>
      <c r="F89" s="63">
        <v>16</v>
      </c>
      <c r="G89" s="36" t="s">
        <v>91</v>
      </c>
      <c r="I89" s="35" t="s">
        <v>17</v>
      </c>
      <c r="J89" s="36" t="s">
        <v>459</v>
      </c>
      <c r="K89" s="63">
        <v>15000</v>
      </c>
      <c r="L89" s="63">
        <v>1200</v>
      </c>
      <c r="M89" s="63">
        <v>15000</v>
      </c>
      <c r="N89" s="63">
        <v>1200</v>
      </c>
      <c r="O89" s="36" t="s">
        <v>91</v>
      </c>
    </row>
    <row r="90" spans="1:20" x14ac:dyDescent="0.25">
      <c r="A90" s="35" t="s">
        <v>29</v>
      </c>
      <c r="B90" s="36" t="s">
        <v>459</v>
      </c>
      <c r="C90" s="36" t="s">
        <v>91</v>
      </c>
      <c r="D90" s="63">
        <v>18</v>
      </c>
      <c r="E90" s="57" t="s">
        <v>91</v>
      </c>
      <c r="F90" s="63">
        <v>24</v>
      </c>
      <c r="G90" s="63">
        <v>24</v>
      </c>
      <c r="I90" s="35" t="s">
        <v>29</v>
      </c>
      <c r="J90" s="36" t="s">
        <v>459</v>
      </c>
      <c r="K90" s="36" t="s">
        <v>91</v>
      </c>
      <c r="L90" s="63">
        <v>1100</v>
      </c>
      <c r="M90" s="57" t="s">
        <v>91</v>
      </c>
      <c r="N90" s="63">
        <v>1800</v>
      </c>
      <c r="O90" s="63">
        <v>1800</v>
      </c>
    </row>
    <row r="91" spans="1:20" x14ac:dyDescent="0.25">
      <c r="A91" s="35" t="s">
        <v>22</v>
      </c>
      <c r="B91" s="36" t="s">
        <v>459</v>
      </c>
      <c r="C91" s="36" t="s">
        <v>91</v>
      </c>
      <c r="D91" s="36" t="s">
        <v>91</v>
      </c>
      <c r="E91" s="36" t="s">
        <v>91</v>
      </c>
      <c r="F91" s="63">
        <v>29</v>
      </c>
      <c r="G91" s="63">
        <v>34</v>
      </c>
      <c r="I91" s="35" t="s">
        <v>22</v>
      </c>
      <c r="J91" s="36" t="s">
        <v>459</v>
      </c>
      <c r="K91" s="36" t="s">
        <v>91</v>
      </c>
      <c r="L91" s="36" t="s">
        <v>91</v>
      </c>
      <c r="M91" s="36" t="s">
        <v>91</v>
      </c>
      <c r="N91" s="63">
        <v>2200</v>
      </c>
      <c r="O91" s="63">
        <v>2200</v>
      </c>
    </row>
    <row r="92" spans="1:20" x14ac:dyDescent="0.25">
      <c r="A92" s="35" t="s">
        <v>44</v>
      </c>
      <c r="B92" s="36" t="s">
        <v>459</v>
      </c>
      <c r="C92" s="36" t="s">
        <v>91</v>
      </c>
      <c r="D92" s="57" t="s">
        <v>91</v>
      </c>
      <c r="E92" s="63">
        <v>55</v>
      </c>
      <c r="F92" s="63">
        <v>27</v>
      </c>
      <c r="G92" s="63">
        <v>27</v>
      </c>
      <c r="I92" s="35" t="s">
        <v>44</v>
      </c>
      <c r="J92" s="36" t="s">
        <v>459</v>
      </c>
      <c r="K92" s="36" t="s">
        <v>91</v>
      </c>
      <c r="L92" s="57" t="s">
        <v>91</v>
      </c>
      <c r="M92" s="63">
        <v>3000</v>
      </c>
      <c r="N92" s="63">
        <v>3000</v>
      </c>
      <c r="O92" s="63">
        <v>3000</v>
      </c>
    </row>
    <row r="93" spans="1:20" x14ac:dyDescent="0.25">
      <c r="A93" s="303" t="s">
        <v>1853</v>
      </c>
      <c r="B93" s="58"/>
      <c r="C93" s="58"/>
      <c r="D93" s="58"/>
      <c r="E93" s="58"/>
      <c r="F93" s="58"/>
      <c r="G93" s="58"/>
    </row>
    <row r="94" spans="1:20" x14ac:dyDescent="0.25">
      <c r="A94" s="56"/>
      <c r="B94" s="58"/>
      <c r="C94" s="58"/>
      <c r="D94" s="58"/>
      <c r="E94" s="58"/>
      <c r="F94" s="58"/>
      <c r="G94" s="58"/>
    </row>
    <row r="95" spans="1:20" x14ac:dyDescent="0.25">
      <c r="A95" s="56"/>
      <c r="B95" s="58"/>
      <c r="C95" s="58"/>
      <c r="D95" s="58"/>
      <c r="E95" s="58"/>
      <c r="F95" s="58"/>
      <c r="G95" s="58"/>
    </row>
    <row r="96" spans="1:20" x14ac:dyDescent="0.25">
      <c r="A96" s="34" t="s">
        <v>1302</v>
      </c>
      <c r="I96" s="33"/>
      <c r="J96" s="33"/>
      <c r="K96" s="33"/>
      <c r="L96" s="33"/>
      <c r="M96" s="33"/>
      <c r="P96" s="56"/>
      <c r="Q96" s="56"/>
      <c r="R96" s="56"/>
      <c r="S96" s="56"/>
      <c r="T96" s="56"/>
    </row>
    <row r="97" spans="1:20" x14ac:dyDescent="0.25">
      <c r="A97" s="35" t="s">
        <v>770</v>
      </c>
      <c r="B97" s="35" t="s">
        <v>515</v>
      </c>
      <c r="C97" s="35" t="s">
        <v>1456</v>
      </c>
      <c r="D97" s="35" t="s">
        <v>1457</v>
      </c>
      <c r="E97" s="35" t="s">
        <v>1458</v>
      </c>
      <c r="F97" s="35" t="s">
        <v>1459</v>
      </c>
      <c r="G97" s="35" t="s">
        <v>1464</v>
      </c>
      <c r="H97" s="35" t="s">
        <v>1460</v>
      </c>
      <c r="I97" s="35" t="s">
        <v>1461</v>
      </c>
      <c r="J97" s="35" t="s">
        <v>1462</v>
      </c>
      <c r="K97" s="35" t="s">
        <v>1463</v>
      </c>
      <c r="L97" s="35" t="s">
        <v>1465</v>
      </c>
      <c r="M97" s="33"/>
      <c r="P97" s="56"/>
      <c r="Q97" s="56"/>
      <c r="R97" s="56"/>
      <c r="S97" s="56"/>
      <c r="T97" s="56"/>
    </row>
    <row r="98" spans="1:20" x14ac:dyDescent="0.25">
      <c r="A98" s="35" t="s">
        <v>17</v>
      </c>
      <c r="B98" s="36" t="s">
        <v>514</v>
      </c>
      <c r="C98" s="63">
        <v>600</v>
      </c>
      <c r="D98" s="63">
        <v>44</v>
      </c>
      <c r="E98" s="63">
        <v>429</v>
      </c>
      <c r="F98" s="63">
        <v>34</v>
      </c>
      <c r="G98" s="36" t="s">
        <v>91</v>
      </c>
      <c r="H98" s="63">
        <v>600</v>
      </c>
      <c r="I98" s="63">
        <v>44</v>
      </c>
      <c r="J98" s="63">
        <v>429</v>
      </c>
      <c r="K98" s="63">
        <v>34</v>
      </c>
      <c r="L98" s="36" t="s">
        <v>91</v>
      </c>
      <c r="M98" s="33"/>
      <c r="P98" s="56"/>
      <c r="Q98" s="56"/>
      <c r="R98" s="56"/>
      <c r="S98" s="56"/>
      <c r="T98" s="56"/>
    </row>
    <row r="99" spans="1:20" x14ac:dyDescent="0.25">
      <c r="A99" s="35" t="s">
        <v>29</v>
      </c>
      <c r="B99" s="37" t="s">
        <v>514</v>
      </c>
      <c r="C99" s="36" t="s">
        <v>91</v>
      </c>
      <c r="D99" s="63">
        <v>45</v>
      </c>
      <c r="E99" s="57" t="s">
        <v>91</v>
      </c>
      <c r="F99" s="63">
        <v>43</v>
      </c>
      <c r="G99" s="63">
        <v>43</v>
      </c>
      <c r="H99" s="36" t="s">
        <v>91</v>
      </c>
      <c r="I99" s="63">
        <v>33</v>
      </c>
      <c r="J99" s="57" t="s">
        <v>91</v>
      </c>
      <c r="K99" s="63">
        <v>51</v>
      </c>
      <c r="L99" s="63">
        <v>51</v>
      </c>
      <c r="M99" s="33"/>
      <c r="P99" s="56"/>
      <c r="Q99" s="56"/>
      <c r="R99" s="56"/>
      <c r="S99" s="56"/>
      <c r="T99" s="56"/>
    </row>
    <row r="100" spans="1:20" x14ac:dyDescent="0.25">
      <c r="A100" s="35" t="s">
        <v>22</v>
      </c>
      <c r="B100" s="36" t="s">
        <v>514</v>
      </c>
      <c r="C100" s="36" t="s">
        <v>91</v>
      </c>
      <c r="D100" s="36" t="s">
        <v>91</v>
      </c>
      <c r="E100" s="36" t="s">
        <v>91</v>
      </c>
      <c r="F100" s="63">
        <v>51</v>
      </c>
      <c r="G100" s="63">
        <v>55</v>
      </c>
      <c r="H100" s="36" t="s">
        <v>91</v>
      </c>
      <c r="I100" s="36" t="s">
        <v>91</v>
      </c>
      <c r="J100" s="36" t="s">
        <v>91</v>
      </c>
      <c r="K100" s="63">
        <v>63</v>
      </c>
      <c r="L100" s="63">
        <v>67</v>
      </c>
      <c r="M100" s="33"/>
      <c r="P100" s="56"/>
      <c r="Q100" s="56"/>
      <c r="R100" s="56"/>
      <c r="S100" s="56"/>
      <c r="T100" s="56"/>
    </row>
    <row r="101" spans="1:20" x14ac:dyDescent="0.25">
      <c r="A101" s="35" t="s">
        <v>825</v>
      </c>
      <c r="B101" s="36" t="s">
        <v>514</v>
      </c>
      <c r="C101" s="36" t="s">
        <v>91</v>
      </c>
      <c r="D101" s="63">
        <v>67</v>
      </c>
      <c r="E101" s="57" t="s">
        <v>91</v>
      </c>
      <c r="F101" s="63">
        <v>27</v>
      </c>
      <c r="G101" s="63">
        <v>27</v>
      </c>
      <c r="H101" s="36" t="s">
        <v>91</v>
      </c>
      <c r="I101" s="57" t="s">
        <v>91</v>
      </c>
      <c r="J101" s="63">
        <v>100</v>
      </c>
      <c r="K101" s="63">
        <v>40</v>
      </c>
      <c r="L101" s="63">
        <v>40</v>
      </c>
      <c r="M101" s="33"/>
      <c r="P101" s="56"/>
      <c r="Q101" s="56"/>
      <c r="R101" s="56"/>
      <c r="S101" s="56"/>
      <c r="T101" s="56"/>
    </row>
    <row r="106" spans="1:20" x14ac:dyDescent="0.25">
      <c r="A106" s="36" t="s">
        <v>1687</v>
      </c>
      <c r="B106" s="36" t="s">
        <v>1688</v>
      </c>
      <c r="C106" s="36" t="s">
        <v>42</v>
      </c>
      <c r="D106" s="36" t="s">
        <v>11</v>
      </c>
      <c r="H106" s="56"/>
      <c r="O106" s="33"/>
    </row>
    <row r="107" spans="1:20" x14ac:dyDescent="0.25">
      <c r="A107" s="36" t="s">
        <v>1687</v>
      </c>
      <c r="B107" s="36" t="s">
        <v>17</v>
      </c>
      <c r="C107" s="36">
        <v>650</v>
      </c>
      <c r="D107" s="36">
        <v>740</v>
      </c>
      <c r="H107" s="56"/>
      <c r="O107" s="33"/>
    </row>
    <row r="108" spans="1:20" x14ac:dyDescent="0.25">
      <c r="A108" s="36" t="s">
        <v>1687</v>
      </c>
      <c r="B108" s="36" t="s">
        <v>29</v>
      </c>
      <c r="C108" s="36">
        <v>940</v>
      </c>
      <c r="D108" s="36">
        <v>630</v>
      </c>
      <c r="H108" s="56"/>
      <c r="O108" s="33"/>
    </row>
    <row r="109" spans="1:20" x14ac:dyDescent="0.25">
      <c r="A109" s="36" t="s">
        <v>1687</v>
      </c>
      <c r="B109" s="36" t="s">
        <v>22</v>
      </c>
      <c r="C109" s="36">
        <v>900</v>
      </c>
      <c r="D109" s="36">
        <v>550</v>
      </c>
      <c r="H109" s="56"/>
      <c r="O109" s="33"/>
    </row>
    <row r="110" spans="1:20" x14ac:dyDescent="0.25">
      <c r="A110" s="36" t="s">
        <v>1687</v>
      </c>
      <c r="B110" s="36" t="s">
        <v>44</v>
      </c>
      <c r="C110" s="36">
        <v>1560</v>
      </c>
      <c r="D110" s="36">
        <v>920</v>
      </c>
      <c r="H110" s="56"/>
      <c r="O110" s="33"/>
    </row>
    <row r="112" spans="1:20" x14ac:dyDescent="0.25">
      <c r="A112" s="34" t="s">
        <v>1689</v>
      </c>
    </row>
    <row r="113" spans="1:1" x14ac:dyDescent="0.25">
      <c r="A113" s="34" t="s">
        <v>1690</v>
      </c>
    </row>
  </sheetData>
  <autoFilter ref="A15:D40"/>
  <mergeCells count="1">
    <mergeCell ref="A72:O72"/>
  </mergeCells>
  <pageMargins left="0.7" right="0.7" top="0.75" bottom="0.75" header="0.3" footer="0.3"/>
  <pageSetup paperSize="119" orientation="portrait" horizontalDpi="4294967294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90"/>
  <sheetViews>
    <sheetView workbookViewId="0">
      <selection sqref="A1:H1"/>
    </sheetView>
  </sheetViews>
  <sheetFormatPr defaultRowHeight="15" x14ac:dyDescent="0.25"/>
  <cols>
    <col min="1" max="1" width="14.28515625" style="476" customWidth="1"/>
    <col min="2" max="2" width="16.42578125" style="476" customWidth="1"/>
    <col min="3" max="3" width="11.85546875" style="476" customWidth="1"/>
    <col min="4" max="4" width="10.85546875" style="476" customWidth="1"/>
    <col min="5" max="5" width="13.85546875" style="476" customWidth="1"/>
    <col min="6" max="6" width="25.42578125" style="476" customWidth="1"/>
    <col min="7" max="7" width="11.28515625" style="476" customWidth="1"/>
    <col min="8" max="9" width="9.140625" style="476"/>
    <col min="10" max="13" width="9.140625" style="119"/>
    <col min="14" max="14" width="11.42578125" style="119" customWidth="1"/>
    <col min="15" max="29" width="9.140625" style="119"/>
    <col min="30" max="30" width="16" style="119" customWidth="1"/>
    <col min="31" max="16384" width="9.140625" style="119"/>
  </cols>
  <sheetData>
    <row r="1" spans="1:14" s="416" customFormat="1" x14ac:dyDescent="0.25">
      <c r="A1" s="591" t="s">
        <v>1898</v>
      </c>
      <c r="B1" s="592"/>
      <c r="C1" s="592"/>
      <c r="D1" s="592"/>
      <c r="E1" s="592"/>
      <c r="F1" s="592"/>
      <c r="G1" s="592"/>
      <c r="H1" s="592"/>
      <c r="I1" s="486"/>
      <c r="M1" s="416" t="s">
        <v>72</v>
      </c>
      <c r="N1" s="416" t="s">
        <v>1379</v>
      </c>
    </row>
    <row r="2" spans="1:14" s="416" customFormat="1" x14ac:dyDescent="0.25">
      <c r="A2" s="292" t="s">
        <v>840</v>
      </c>
      <c r="B2" s="292" t="s">
        <v>1049</v>
      </c>
      <c r="C2" s="292" t="s">
        <v>7</v>
      </c>
      <c r="D2" s="292" t="s">
        <v>8</v>
      </c>
      <c r="E2" s="292" t="s">
        <v>1050</v>
      </c>
      <c r="F2" s="292" t="s">
        <v>1055</v>
      </c>
      <c r="G2" s="292" t="s">
        <v>1054</v>
      </c>
      <c r="H2" s="292" t="s">
        <v>603</v>
      </c>
      <c r="I2" s="292" t="s">
        <v>1057</v>
      </c>
      <c r="M2" s="416" t="s">
        <v>747</v>
      </c>
      <c r="N2" s="416" t="s">
        <v>1380</v>
      </c>
    </row>
    <row r="3" spans="1:14" s="416" customFormat="1" x14ac:dyDescent="0.25">
      <c r="A3" s="292" t="s">
        <v>17</v>
      </c>
      <c r="B3" s="292" t="s">
        <v>814</v>
      </c>
      <c r="C3" s="292" t="s">
        <v>1059</v>
      </c>
      <c r="D3" s="292" t="s">
        <v>8</v>
      </c>
      <c r="E3" s="292" t="s">
        <v>1052</v>
      </c>
      <c r="F3" s="292" t="s">
        <v>1897</v>
      </c>
      <c r="G3" s="478">
        <f t="array" aca="1" ref="G3" ca="1">AVERAGE(IF('Well Data-NK'!April2015_Form={"MA"},'Well Data-NK'!April2015_Planned_Spud_to_RR))</f>
        <v>63</v>
      </c>
      <c r="H3" s="292"/>
      <c r="I3" s="292">
        <v>1</v>
      </c>
      <c r="M3" s="416" t="s">
        <v>1378</v>
      </c>
      <c r="N3" s="416" t="s">
        <v>1381</v>
      </c>
    </row>
    <row r="4" spans="1:14" s="416" customFormat="1" x14ac:dyDescent="0.25">
      <c r="A4" s="292" t="s">
        <v>29</v>
      </c>
      <c r="B4" s="292" t="s">
        <v>814</v>
      </c>
      <c r="C4" s="292" t="s">
        <v>1059</v>
      </c>
      <c r="D4" s="292" t="s">
        <v>8</v>
      </c>
      <c r="E4" s="292" t="s">
        <v>1052</v>
      </c>
      <c r="F4" s="292" t="s">
        <v>1897</v>
      </c>
      <c r="G4" s="478">
        <f t="array" aca="1" ref="G4" ca="1">AVERAGE(IF('Well Data-NK'!April2015_Form={"UB"},'Well Data-NK'!April2015_Planned_Spud_to_RR))</f>
        <v>70</v>
      </c>
      <c r="H4" s="292"/>
      <c r="I4" s="292">
        <v>2</v>
      </c>
      <c r="M4" s="416" t="s">
        <v>596</v>
      </c>
      <c r="N4" s="416" t="s">
        <v>1382</v>
      </c>
    </row>
    <row r="5" spans="1:14" s="416" customFormat="1" x14ac:dyDescent="0.25">
      <c r="A5" s="292" t="s">
        <v>22</v>
      </c>
      <c r="B5" s="292" t="s">
        <v>814</v>
      </c>
      <c r="C5" s="292" t="s">
        <v>1059</v>
      </c>
      <c r="D5" s="292" t="s">
        <v>8</v>
      </c>
      <c r="E5" s="292" t="s">
        <v>1052</v>
      </c>
      <c r="F5" s="292" t="s">
        <v>1897</v>
      </c>
      <c r="G5" s="478">
        <f t="array" aca="1" ref="G5" ca="1">AVERAGE(IF('Well Data-NK'!April2015_Form={"LB"},'Well Data-NK'!April2015_Planned_Spud_to_RR))</f>
        <v>70</v>
      </c>
      <c r="H5" s="292"/>
      <c r="I5" s="292">
        <v>3</v>
      </c>
      <c r="M5" s="416" t="s">
        <v>743</v>
      </c>
      <c r="N5" s="416" t="s">
        <v>1383</v>
      </c>
    </row>
    <row r="6" spans="1:14" s="416" customFormat="1" x14ac:dyDescent="0.25">
      <c r="A6" s="292" t="s">
        <v>825</v>
      </c>
      <c r="B6" s="292" t="s">
        <v>814</v>
      </c>
      <c r="C6" s="292" t="s">
        <v>1059</v>
      </c>
      <c r="D6" s="292" t="s">
        <v>8</v>
      </c>
      <c r="E6" s="292" t="s">
        <v>1052</v>
      </c>
      <c r="F6" s="292" t="s">
        <v>1897</v>
      </c>
      <c r="G6" s="478">
        <f t="array" aca="1" ref="G6" ca="1">AVERAGE(IF('Well Data-NK'!April2015_Form={"ZU","RT"},'Well Data-NK'!April2015_Planned_Spud_to_RR))</f>
        <v>98</v>
      </c>
      <c r="H6" s="292"/>
      <c r="I6" s="292">
        <v>4</v>
      </c>
    </row>
    <row r="7" spans="1:14" s="416" customFormat="1" x14ac:dyDescent="0.25">
      <c r="A7" s="292" t="s">
        <v>816</v>
      </c>
      <c r="B7" s="292" t="s">
        <v>814</v>
      </c>
      <c r="C7" s="292" t="s">
        <v>1059</v>
      </c>
      <c r="D7" s="292" t="s">
        <v>8</v>
      </c>
      <c r="E7" s="292" t="s">
        <v>1052</v>
      </c>
      <c r="F7" s="292" t="s">
        <v>1897</v>
      </c>
      <c r="G7" s="478">
        <f t="array" aca="1" ref="G7" ca="1">AVERAGE(IF('Well Data-NK'!April2015_Form={"ZU","RT","LB","UB","MA"},'Well Data-NK'!April2015_Planned_Spud_to_RR))</f>
        <v>69.17647058823529</v>
      </c>
      <c r="H7" s="292"/>
      <c r="I7" s="292">
        <v>5</v>
      </c>
    </row>
    <row r="8" spans="1:14" s="416" customFormat="1" x14ac:dyDescent="0.25">
      <c r="A8" s="479" t="s">
        <v>17</v>
      </c>
      <c r="B8" s="479" t="s">
        <v>815</v>
      </c>
      <c r="C8" s="479" t="s">
        <v>1059</v>
      </c>
      <c r="D8" s="479" t="s">
        <v>8</v>
      </c>
      <c r="E8" s="479" t="s">
        <v>1052</v>
      </c>
      <c r="F8" s="479" t="s">
        <v>1897</v>
      </c>
      <c r="G8" s="480">
        <f t="array" aca="1" ref="G8" ca="1">AVERAGE(IF('Well Data-NK'!April2015_Form={"MA"},'Well Data-NK'!April2015_Spud_to_RR))</f>
        <v>54.847916666667153</v>
      </c>
      <c r="H8" s="479">
        <f ca="1">COUNTIF('Well Data-NK'!April2015_Form,"MA")</f>
        <v>20</v>
      </c>
      <c r="I8" s="479">
        <v>6</v>
      </c>
    </row>
    <row r="9" spans="1:14" s="416" customFormat="1" x14ac:dyDescent="0.25">
      <c r="A9" s="479" t="s">
        <v>29</v>
      </c>
      <c r="B9" s="479" t="s">
        <v>815</v>
      </c>
      <c r="C9" s="479" t="s">
        <v>1059</v>
      </c>
      <c r="D9" s="479" t="s">
        <v>8</v>
      </c>
      <c r="E9" s="479" t="s">
        <v>1052</v>
      </c>
      <c r="F9" s="479" t="s">
        <v>1897</v>
      </c>
      <c r="G9" s="480">
        <f t="array" aca="1" ref="G9" ca="1">AVERAGE(IF('Well Data-NK'!April2015_Form={"UB"},'Well Data-NK'!April2015_Spud_to_RR))</f>
        <v>59.94270833333394</v>
      </c>
      <c r="H9" s="479">
        <f ca="1">COUNTIF('Well Data-NK'!April2015_Form,"UB")</f>
        <v>4</v>
      </c>
      <c r="I9" s="479">
        <v>7</v>
      </c>
    </row>
    <row r="10" spans="1:14" s="416" customFormat="1" x14ac:dyDescent="0.25">
      <c r="A10" s="479" t="s">
        <v>22</v>
      </c>
      <c r="B10" s="479" t="s">
        <v>815</v>
      </c>
      <c r="C10" s="479" t="s">
        <v>1059</v>
      </c>
      <c r="D10" s="479" t="s">
        <v>8</v>
      </c>
      <c r="E10" s="479" t="s">
        <v>1052</v>
      </c>
      <c r="F10" s="479" t="s">
        <v>1897</v>
      </c>
      <c r="G10" s="480">
        <f t="array" aca="1" ref="G10" ca="1">AVERAGE(IF('Well Data-NK'!April2015_Form={"LB"},'Well Data-NK'!April2015_Spud_to_RR))</f>
        <v>74.017361111111924</v>
      </c>
      <c r="H10" s="479">
        <f ca="1">COUNTIF('Well Data-NK'!April2015_Form,"LB")</f>
        <v>6</v>
      </c>
      <c r="I10" s="479">
        <v>8</v>
      </c>
    </row>
    <row r="11" spans="1:14" s="416" customFormat="1" x14ac:dyDescent="0.25">
      <c r="A11" s="479" t="s">
        <v>825</v>
      </c>
      <c r="B11" s="479" t="s">
        <v>815</v>
      </c>
      <c r="C11" s="479" t="s">
        <v>1059</v>
      </c>
      <c r="D11" s="479" t="s">
        <v>8</v>
      </c>
      <c r="E11" s="479" t="s">
        <v>1052</v>
      </c>
      <c r="F11" s="479" t="s">
        <v>1897</v>
      </c>
      <c r="G11" s="480">
        <f t="array" aca="1" ref="G11" ca="1">AVERAGE(IF('Well Data-NK'!April2015_Form={"ZU","RT"},'Well Data-NK'!April2015_Spud_to_RR))</f>
        <v>69.40625</v>
      </c>
      <c r="H11" s="479">
        <f ca="1">COUNTIFS('Well Data-NK'!April2015_Form,"ZU")+COUNTIFS('Well Data-NK'!April2015_Form,"RT")</f>
        <v>4</v>
      </c>
      <c r="I11" s="479">
        <v>9</v>
      </c>
    </row>
    <row r="12" spans="1:14" s="416" customFormat="1" x14ac:dyDescent="0.25">
      <c r="A12" s="479" t="s">
        <v>816</v>
      </c>
      <c r="B12" s="479" t="s">
        <v>815</v>
      </c>
      <c r="C12" s="479" t="s">
        <v>1059</v>
      </c>
      <c r="D12" s="479" t="s">
        <v>8</v>
      </c>
      <c r="E12" s="479" t="s">
        <v>1052</v>
      </c>
      <c r="F12" s="479" t="s">
        <v>1897</v>
      </c>
      <c r="G12" s="480">
        <f t="array" aca="1" ref="G12" ca="1">AVERAGE(IF('Well Data-NK'!April2015_Form={"ZU","RT","LB","UB","MA"},'Well Data-NK'!April2015_Spud_to_RR))</f>
        <v>60.542892156863246</v>
      </c>
      <c r="H12" s="479">
        <f ca="1">COUNT('Well Data-NK'!April2015_Spud_to_RR)</f>
        <v>35</v>
      </c>
      <c r="I12" s="479">
        <v>10</v>
      </c>
    </row>
    <row r="13" spans="1:14" s="416" customFormat="1" x14ac:dyDescent="0.25">
      <c r="A13" s="292" t="s">
        <v>17</v>
      </c>
      <c r="B13" s="292" t="s">
        <v>814</v>
      </c>
      <c r="C13" s="292" t="s">
        <v>14</v>
      </c>
      <c r="D13" s="292" t="s">
        <v>8</v>
      </c>
      <c r="E13" s="292" t="s">
        <v>1052</v>
      </c>
      <c r="F13" s="292" t="s">
        <v>1897</v>
      </c>
      <c r="G13" s="478">
        <f t="array" aca="1" ref="G13" ca="1">AVERAGE(IF('Well Data-NK'!April2015_Form={"MA"},IF('Well Data-NK'!April2015_Well_Type="NW",'Well Data-NK'!April2015_Planned_Spud_to_RR)))</f>
        <v>68.833333333333329</v>
      </c>
      <c r="H13" s="292">
        <f t="array" aca="1" ref="H13" ca="1">COUNT(IF('Well Data-NK'!April2015_Form={"MA"},IF('Well Data-NK'!April2015_Well_Type="NW",'Well Data-NK'!April2015_Planned_Spud_to_RR)))</f>
        <v>12</v>
      </c>
      <c r="I13" s="292">
        <v>11</v>
      </c>
    </row>
    <row r="14" spans="1:14" s="416" customFormat="1" x14ac:dyDescent="0.25">
      <c r="A14" s="292" t="s">
        <v>29</v>
      </c>
      <c r="B14" s="292" t="s">
        <v>814</v>
      </c>
      <c r="C14" s="292" t="s">
        <v>14</v>
      </c>
      <c r="D14" s="292" t="s">
        <v>8</v>
      </c>
      <c r="E14" s="292" t="s">
        <v>1052</v>
      </c>
      <c r="F14" s="292" t="s">
        <v>1897</v>
      </c>
      <c r="G14" s="478">
        <f t="array" aca="1" ref="G14" ca="1">AVERAGE(IF('Well Data-NK'!April2015_Form={"UB"},IF('Well Data-NK'!April2015_Well_Type="NW",'Well Data-NK'!April2015_Planned_Spud_to_RR)))</f>
        <v>70</v>
      </c>
      <c r="H14" s="292">
        <f t="array" aca="1" ref="H14" ca="1">COUNT(IF('Well Data-NK'!April2015_Form={"UB"},IF('Well Data-NK'!April2015_Well_Type="NW",'Well Data-NK'!April2015_Planned_Spud_to_RR)))</f>
        <v>4</v>
      </c>
      <c r="I14" s="292">
        <v>12</v>
      </c>
    </row>
    <row r="15" spans="1:14" s="416" customFormat="1" x14ac:dyDescent="0.25">
      <c r="A15" s="292" t="s">
        <v>22</v>
      </c>
      <c r="B15" s="292" t="s">
        <v>814</v>
      </c>
      <c r="C15" s="292" t="s">
        <v>14</v>
      </c>
      <c r="D15" s="292" t="s">
        <v>8</v>
      </c>
      <c r="E15" s="292" t="s">
        <v>1052</v>
      </c>
      <c r="F15" s="292" t="s">
        <v>1897</v>
      </c>
      <c r="G15" s="478">
        <f t="array" aca="1" ref="G15" ca="1">AVERAGE(IF('Well Data-NK'!April2015_Form={"LB"},IF('Well Data-NK'!April2015_Well_Type="NW",'Well Data-NK'!April2015_Planned_Spud_to_RR)))</f>
        <v>70</v>
      </c>
      <c r="H15" s="292">
        <f t="array" aca="1" ref="H15" ca="1">COUNT(IF('Well Data-NK'!April2015_Form={"LB"},IF('Well Data-NK'!April2015_Well_Type="NW",'Well Data-NK'!April2015_Planned_Spud_to_RR)))</f>
        <v>6</v>
      </c>
      <c r="I15" s="292">
        <v>13</v>
      </c>
    </row>
    <row r="16" spans="1:14" s="416" customFormat="1" x14ac:dyDescent="0.25">
      <c r="A16" s="292" t="s">
        <v>825</v>
      </c>
      <c r="B16" s="292" t="s">
        <v>814</v>
      </c>
      <c r="C16" s="292" t="s">
        <v>14</v>
      </c>
      <c r="D16" s="292" t="s">
        <v>8</v>
      </c>
      <c r="E16" s="292" t="s">
        <v>1052</v>
      </c>
      <c r="F16" s="292" t="s">
        <v>1897</v>
      </c>
      <c r="G16" s="478">
        <f t="array" aca="1" ref="G16" ca="1">AVERAGE(IF('Well Data-NK'!April2015_Form={"RT","ZU"},IF('Well Data-NK'!April2015_Well_Type="NW",'Well Data-NK'!April2015_Planned_Spud_to_RR)))</f>
        <v>98</v>
      </c>
      <c r="H16" s="292">
        <f t="array" aca="1" ref="H16" ca="1">COUNT(IF('Well Data-NK'!April2015_Form={"RT","ZU"},IF('Well Data-NK'!April2015_Well_Type="NW",'Well Data-NK'!April2015_Planned_Spud_to_RR)))</f>
        <v>4</v>
      </c>
      <c r="I16" s="292">
        <v>14</v>
      </c>
    </row>
    <row r="17" spans="1:9" s="416" customFormat="1" x14ac:dyDescent="0.25">
      <c r="A17" s="292" t="s">
        <v>816</v>
      </c>
      <c r="B17" s="292" t="s">
        <v>814</v>
      </c>
      <c r="C17" s="292" t="s">
        <v>14</v>
      </c>
      <c r="D17" s="292" t="s">
        <v>8</v>
      </c>
      <c r="E17" s="292" t="s">
        <v>1052</v>
      </c>
      <c r="F17" s="292" t="s">
        <v>1897</v>
      </c>
      <c r="G17" s="478">
        <f t="array" aca="1" ref="G17" ca="1">AVERAGE(IF('Well Data-NK'!April2015_Form={"RT","ZU","LB","UB","MA"},IF('Well Data-NK'!April2015_Well_Type="NW",'Well Data-NK'!April2015_Planned_Spud_to_RR)))</f>
        <v>73.769230769230774</v>
      </c>
      <c r="H17" s="292">
        <f t="array" aca="1" ref="H17" ca="1">COUNT(IF('Well Data-NK'!April2015_Form={"RT","ZU","LB","UB","MA"},IF('Well Data-NK'!April2015_Well_Type="NW",'Well Data-NK'!April2015_Planned_Spud_to_RR)))</f>
        <v>26</v>
      </c>
      <c r="I17" s="292">
        <v>15</v>
      </c>
    </row>
    <row r="18" spans="1:9" s="416" customFormat="1" x14ac:dyDescent="0.25">
      <c r="A18" s="479" t="s">
        <v>17</v>
      </c>
      <c r="B18" s="479" t="s">
        <v>815</v>
      </c>
      <c r="C18" s="479" t="s">
        <v>14</v>
      </c>
      <c r="D18" s="479" t="s">
        <v>8</v>
      </c>
      <c r="E18" s="479" t="s">
        <v>1052</v>
      </c>
      <c r="F18" s="479" t="s">
        <v>1897</v>
      </c>
      <c r="G18" s="480">
        <f t="array" aca="1" ref="G18" ca="1">AVERAGE(IF('Well Data-NK'!April2015_Form={"MA"},IF('Well Data-NK'!April2015_Well_Type="NW",'Well Data-NK'!April2015_Spud_to_RR)))</f>
        <v>62.428819444445857</v>
      </c>
      <c r="H18" s="479">
        <f t="array" aca="1" ref="H18" ca="1">COUNT(IF('Well Data-NK'!April2015_Form={"MA"},IF('Well Data-NK'!April2015_Well_Type="NW",'Well Data-NK'!April2015_Spud_to_RR)))</f>
        <v>12</v>
      </c>
      <c r="I18" s="479">
        <v>16</v>
      </c>
    </row>
    <row r="19" spans="1:9" s="416" customFormat="1" x14ac:dyDescent="0.25">
      <c r="A19" s="479" t="s">
        <v>29</v>
      </c>
      <c r="B19" s="479" t="s">
        <v>815</v>
      </c>
      <c r="C19" s="479" t="s">
        <v>14</v>
      </c>
      <c r="D19" s="479" t="s">
        <v>8</v>
      </c>
      <c r="E19" s="479" t="s">
        <v>1052</v>
      </c>
      <c r="F19" s="479" t="s">
        <v>1897</v>
      </c>
      <c r="G19" s="480">
        <f t="array" aca="1" ref="G19" ca="1">AVERAGE(IF('Well Data-NK'!April2015_Form={"UB"},IF('Well Data-NK'!April2015_Well_Type="NW",'Well Data-NK'!April2015_Spud_to_RR)))</f>
        <v>59.94270833333394</v>
      </c>
      <c r="H19" s="479">
        <f t="array" aca="1" ref="H19" ca="1">COUNT(IF('Well Data-NK'!April2015_Form={"UB"},IF('Well Data-NK'!April2015_Well_Type="NW",'Well Data-NK'!April2015_Spud_to_RR)))</f>
        <v>4</v>
      </c>
      <c r="I19" s="479">
        <v>17</v>
      </c>
    </row>
    <row r="20" spans="1:9" s="416" customFormat="1" x14ac:dyDescent="0.25">
      <c r="A20" s="479" t="s">
        <v>22</v>
      </c>
      <c r="B20" s="479" t="s">
        <v>815</v>
      </c>
      <c r="C20" s="479" t="s">
        <v>14</v>
      </c>
      <c r="D20" s="479" t="s">
        <v>8</v>
      </c>
      <c r="E20" s="479" t="s">
        <v>1052</v>
      </c>
      <c r="F20" s="479" t="s">
        <v>1897</v>
      </c>
      <c r="G20" s="480">
        <f t="array" aca="1" ref="G20" ca="1">AVERAGE(IF('Well Data-NK'!April2015_Form={"LB"},IF('Well Data-NK'!April2015_Well_Type="NW",'Well Data-NK'!April2015_Spud_to_RR)))</f>
        <v>74.017361111111924</v>
      </c>
      <c r="H20" s="479">
        <f t="array" aca="1" ref="H20" ca="1">COUNT(IF('Well Data-NK'!April2015_Form={"LB"},IF('Well Data-NK'!April2015_Well_Type="NW",'Well Data-NK'!April2015_Spud_to_RR)))</f>
        <v>6</v>
      </c>
      <c r="I20" s="479">
        <v>18</v>
      </c>
    </row>
    <row r="21" spans="1:9" s="416" customFormat="1" x14ac:dyDescent="0.25">
      <c r="A21" s="479" t="s">
        <v>825</v>
      </c>
      <c r="B21" s="479" t="s">
        <v>815</v>
      </c>
      <c r="C21" s="479" t="s">
        <v>14</v>
      </c>
      <c r="D21" s="479" t="s">
        <v>8</v>
      </c>
      <c r="E21" s="479" t="s">
        <v>1052</v>
      </c>
      <c r="F21" s="479" t="s">
        <v>1897</v>
      </c>
      <c r="G21" s="480">
        <f t="array" aca="1" ref="G21" ca="1">AVERAGE(IF('Well Data-NK'!April2015_Form={"RT","ZU"},IF('Well Data-NK'!April2015_Well_Type="NW",'Well Data-NK'!April2015_Spud_to_RR)))</f>
        <v>69.40625</v>
      </c>
      <c r="H21" s="479">
        <f t="array" aca="1" ref="H21" ca="1">COUNT(IF('Well Data-NK'!April2015_Form={"RT","ZU"},IF('Well Data-NK'!April2015_Well_Type="NW",'Well Data-NK'!April2015_Spud_to_RR)))</f>
        <v>4</v>
      </c>
      <c r="I21" s="479">
        <v>19</v>
      </c>
    </row>
    <row r="22" spans="1:9" s="416" customFormat="1" x14ac:dyDescent="0.25">
      <c r="A22" s="479" t="s">
        <v>816</v>
      </c>
      <c r="B22" s="479" t="s">
        <v>815</v>
      </c>
      <c r="C22" s="479" t="s">
        <v>14</v>
      </c>
      <c r="D22" s="479" t="s">
        <v>8</v>
      </c>
      <c r="E22" s="479" t="s">
        <v>1052</v>
      </c>
      <c r="F22" s="479" t="s">
        <v>1897</v>
      </c>
      <c r="G22" s="480">
        <f t="array" aca="1" ref="G22" ca="1">AVERAGE(IF('Well Data-NK'!April2015_Form={"RT","ZU","LB","UB","MA"},IF('Well Data-NK'!April2015_Well_Type="NW",'Well Data-NK'!April2015_Spud_to_RR)))</f>
        <v>65.794070512821449</v>
      </c>
      <c r="H22" s="479">
        <f t="array" aca="1" ref="H22" ca="1">COUNT(IF('Well Data-NK'!April2015_Form={"RT","ZU","LB","UB","MA"},IF('Well Data-NK'!April2015_Well_Type="NW",'Well Data-NK'!April2015_Spud_to_RR)))</f>
        <v>26</v>
      </c>
      <c r="I22" s="479">
        <v>20</v>
      </c>
    </row>
    <row r="23" spans="1:9" s="416" customFormat="1" x14ac:dyDescent="0.25">
      <c r="A23" s="292" t="s">
        <v>17</v>
      </c>
      <c r="B23" s="292" t="s">
        <v>814</v>
      </c>
      <c r="C23" s="292" t="s">
        <v>18</v>
      </c>
      <c r="D23" s="292" t="s">
        <v>8</v>
      </c>
      <c r="E23" s="292" t="s">
        <v>1052</v>
      </c>
      <c r="F23" s="292" t="s">
        <v>1897</v>
      </c>
      <c r="G23" s="478">
        <f t="array" aca="1" ref="G23" ca="1">AVERAGE(IF('Well Data-NK'!April2015_Form={"MA"},IF('Well Data-NK'!April2015_Well_Type="ST",'Well Data-NK'!April2015_Planned_Spud_to_RR)))</f>
        <v>54.25</v>
      </c>
      <c r="H23" s="292">
        <f t="array" aca="1" ref="H23" ca="1">COUNT(IF('Well Data-NK'!April2015_Form={"MA"},IF('Well Data-NK'!April2015_Well_Type="ST",'Well Data-NK'!April2015_Planned_Spud_to_RR)))</f>
        <v>8</v>
      </c>
      <c r="I23" s="292">
        <v>21</v>
      </c>
    </row>
    <row r="24" spans="1:9" s="416" customFormat="1" x14ac:dyDescent="0.25">
      <c r="A24" s="292" t="s">
        <v>29</v>
      </c>
      <c r="B24" s="292" t="s">
        <v>814</v>
      </c>
      <c r="C24" s="292" t="s">
        <v>18</v>
      </c>
      <c r="D24" s="292" t="s">
        <v>8</v>
      </c>
      <c r="E24" s="292" t="s">
        <v>1052</v>
      </c>
      <c r="F24" s="292" t="s">
        <v>1897</v>
      </c>
      <c r="G24" s="478" t="e">
        <f t="array" aca="1" ref="G24" ca="1">AVERAGE(IF('Well Data-NK'!April2015_Form={"UB"},IF('Well Data-NK'!April2015_Well_Type="ST",'Well Data-NK'!April2015_Planned_Spud_to_RR)))</f>
        <v>#DIV/0!</v>
      </c>
      <c r="H24" s="292">
        <f t="array" aca="1" ref="H24" ca="1">COUNT(IF('Well Data-NK'!April2015_Form={"UB"},IF('Well Data-NK'!April2015_Well_Type="ST",'Well Data-NK'!April2015_Planned_Spud_to_RR)))</f>
        <v>0</v>
      </c>
      <c r="I24" s="292">
        <v>22</v>
      </c>
    </row>
    <row r="25" spans="1:9" s="416" customFormat="1" x14ac:dyDescent="0.25">
      <c r="A25" s="292" t="s">
        <v>22</v>
      </c>
      <c r="B25" s="292" t="s">
        <v>814</v>
      </c>
      <c r="C25" s="292" t="s">
        <v>18</v>
      </c>
      <c r="D25" s="292" t="s">
        <v>8</v>
      </c>
      <c r="E25" s="292" t="s">
        <v>1052</v>
      </c>
      <c r="F25" s="292" t="s">
        <v>1897</v>
      </c>
      <c r="G25" s="478" t="e">
        <f t="array" aca="1" ref="G25" ca="1">AVERAGE(IF('Well Data-NK'!April2015_Form={"LB"},IF('Well Data-NK'!April2015_Well_Type="ST",'Well Data-NK'!April2015_Planned_Spud_to_RR)))</f>
        <v>#DIV/0!</v>
      </c>
      <c r="H25" s="292">
        <f t="array" aca="1" ref="H25" ca="1">COUNT(IF('Well Data-NK'!April2015_Form={"LB"},IF('Well Data-NK'!April2015_Well_Type="ST",'Well Data-NK'!April2015_Planned_Spud_to_RR)))</f>
        <v>0</v>
      </c>
      <c r="I25" s="292">
        <v>23</v>
      </c>
    </row>
    <row r="26" spans="1:9" s="416" customFormat="1" x14ac:dyDescent="0.25">
      <c r="A26" s="292" t="s">
        <v>825</v>
      </c>
      <c r="B26" s="292" t="s">
        <v>814</v>
      </c>
      <c r="C26" s="292" t="s">
        <v>18</v>
      </c>
      <c r="D26" s="292" t="s">
        <v>8</v>
      </c>
      <c r="E26" s="292" t="s">
        <v>1052</v>
      </c>
      <c r="F26" s="292" t="s">
        <v>1897</v>
      </c>
      <c r="G26" s="478" t="e">
        <f t="array" aca="1" ref="G26" ca="1">AVERAGE(IF('Well Data-NK'!April2015_Form={"RT","ZU"},IF('Well Data-NK'!April2015_Well_Type="ST",'Well Data-NK'!April2015_Planned_Spud_to_RR)))</f>
        <v>#DIV/0!</v>
      </c>
      <c r="H26" s="292">
        <f t="array" aca="1" ref="H26" ca="1">COUNT(IF('Well Data-NK'!April2015_Form={"RT","ZU"},IF('Well Data-NK'!April2015_Well_Type="ST",'Well Data-NK'!April2015_Planned_Spud_to_RR)))</f>
        <v>0</v>
      </c>
      <c r="I26" s="292">
        <v>24</v>
      </c>
    </row>
    <row r="27" spans="1:9" s="416" customFormat="1" x14ac:dyDescent="0.25">
      <c r="A27" s="292" t="s">
        <v>816</v>
      </c>
      <c r="B27" s="292" t="s">
        <v>814</v>
      </c>
      <c r="C27" s="292" t="s">
        <v>18</v>
      </c>
      <c r="D27" s="292" t="s">
        <v>8</v>
      </c>
      <c r="E27" s="292" t="s">
        <v>1052</v>
      </c>
      <c r="F27" s="292" t="s">
        <v>1897</v>
      </c>
      <c r="G27" s="478">
        <f t="array" aca="1" ref="G27" ca="1">AVERAGE(IF('Well Data-NK'!April2015_Form={"RT","ZU","LB","UB","MA"},IF('Well Data-NK'!April2015_Well_Type="ST",'Well Data-NK'!April2015_Planned_Spud_to_RR)))</f>
        <v>54.25</v>
      </c>
      <c r="H27" s="292">
        <f t="array" aca="1" ref="H27" ca="1">COUNT(IF('Well Data-NK'!April2015_Form={"RT","ZU","LB","UB","MA"},IF('Well Data-NK'!April2015_Well_Type="ST",'Well Data-NK'!April2015_Planned_Spud_to_RR)))</f>
        <v>8</v>
      </c>
      <c r="I27" s="292">
        <v>25</v>
      </c>
    </row>
    <row r="28" spans="1:9" s="416" customFormat="1" x14ac:dyDescent="0.25">
      <c r="A28" s="479" t="s">
        <v>17</v>
      </c>
      <c r="B28" s="479" t="s">
        <v>815</v>
      </c>
      <c r="C28" s="479" t="s">
        <v>18</v>
      </c>
      <c r="D28" s="479" t="s">
        <v>8</v>
      </c>
      <c r="E28" s="479" t="s">
        <v>1052</v>
      </c>
      <c r="F28" s="479" t="s">
        <v>1897</v>
      </c>
      <c r="G28" s="480">
        <f t="array" aca="1" ref="G28" ca="1">AVERAGE(IF('Well Data-NK'!April2015_Form={"MA"},IF('Well Data-NK'!April2015_Well_Type="ST",'Well Data-NK'!April2015_Spud_to_RR)))</f>
        <v>43.476562499999091</v>
      </c>
      <c r="H28" s="479">
        <f t="array" aca="1" ref="H28" ca="1">COUNT(IF('Well Data-NK'!April2015_Form={"MA"},IF('Well Data-NK'!April2015_Well_Type="ST",'Well Data-NK'!April2015_Spud_to_RR)))</f>
        <v>8</v>
      </c>
      <c r="I28" s="479">
        <v>26</v>
      </c>
    </row>
    <row r="29" spans="1:9" s="416" customFormat="1" x14ac:dyDescent="0.25">
      <c r="A29" s="479" t="s">
        <v>29</v>
      </c>
      <c r="B29" s="479" t="s">
        <v>815</v>
      </c>
      <c r="C29" s="479" t="s">
        <v>18</v>
      </c>
      <c r="D29" s="479" t="s">
        <v>8</v>
      </c>
      <c r="E29" s="479" t="s">
        <v>1052</v>
      </c>
      <c r="F29" s="479" t="s">
        <v>1897</v>
      </c>
      <c r="G29" s="480" t="e">
        <f t="array" aca="1" ref="G29" ca="1">AVERAGE(IF('Well Data-NK'!April2015_Form={"UB"},IF('Well Data-NK'!April2015_Well_Type="ST",'Well Data-NK'!April2015_Spud_to_RR)))</f>
        <v>#DIV/0!</v>
      </c>
      <c r="H29" s="479">
        <f t="array" aca="1" ref="H29" ca="1">COUNT(IF('Well Data-NK'!April2015_Form={"UB"},IF('Well Data-NK'!April2015_Well_Type="ST",'Well Data-NK'!April2015_Spud_to_RR)))</f>
        <v>0</v>
      </c>
      <c r="I29" s="479">
        <v>27</v>
      </c>
    </row>
    <row r="30" spans="1:9" s="416" customFormat="1" x14ac:dyDescent="0.25">
      <c r="A30" s="479" t="s">
        <v>22</v>
      </c>
      <c r="B30" s="479" t="s">
        <v>815</v>
      </c>
      <c r="C30" s="479" t="s">
        <v>18</v>
      </c>
      <c r="D30" s="479" t="s">
        <v>8</v>
      </c>
      <c r="E30" s="479" t="s">
        <v>1052</v>
      </c>
      <c r="F30" s="479" t="s">
        <v>1897</v>
      </c>
      <c r="G30" s="480" t="e">
        <f t="array" aca="1" ref="G30" ca="1">AVERAGE(IF('Well Data-NK'!April2015_Form={"LB"},IF('Well Data-NK'!April2015_Well_Type="ST",'Well Data-NK'!April2015_Spud_to_RR)))</f>
        <v>#DIV/0!</v>
      </c>
      <c r="H30" s="479">
        <f t="array" aca="1" ref="H30" ca="1">COUNT(IF('Well Data-NK'!April2015_Form={"LB"},IF('Well Data-NK'!April2015_Well_Type="ST",'Well Data-NK'!April2015_Spud_to_RR)))</f>
        <v>0</v>
      </c>
      <c r="I30" s="479">
        <v>28</v>
      </c>
    </row>
    <row r="31" spans="1:9" s="416" customFormat="1" x14ac:dyDescent="0.25">
      <c r="A31" s="479" t="s">
        <v>825</v>
      </c>
      <c r="B31" s="479" t="s">
        <v>815</v>
      </c>
      <c r="C31" s="479" t="s">
        <v>18</v>
      </c>
      <c r="D31" s="479" t="s">
        <v>8</v>
      </c>
      <c r="E31" s="479" t="s">
        <v>1052</v>
      </c>
      <c r="F31" s="479" t="s">
        <v>1897</v>
      </c>
      <c r="G31" s="480" t="e">
        <f t="array" aca="1" ref="G31" ca="1">AVERAGE(IF('Well Data-NK'!April2015_Form={"RT","ZU"},IF('Well Data-NK'!April2015_Well_Type="ST",'Well Data-NK'!April2015_Spud_to_RR)))</f>
        <v>#DIV/0!</v>
      </c>
      <c r="H31" s="479">
        <f t="array" aca="1" ref="H31" ca="1">COUNT(IF('Well Data-NK'!April2015_Form={"RT","ZU"},IF('Well Data-NK'!April2015_Well_Type="ST",'Well Data-NK'!April2015_Spud_to_RR)))</f>
        <v>0</v>
      </c>
      <c r="I31" s="479">
        <v>29</v>
      </c>
    </row>
    <row r="32" spans="1:9" s="416" customFormat="1" x14ac:dyDescent="0.25">
      <c r="A32" s="479" t="s">
        <v>816</v>
      </c>
      <c r="B32" s="479" t="s">
        <v>815</v>
      </c>
      <c r="C32" s="479" t="s">
        <v>18</v>
      </c>
      <c r="D32" s="479" t="s">
        <v>8</v>
      </c>
      <c r="E32" s="479" t="s">
        <v>1052</v>
      </c>
      <c r="F32" s="479" t="s">
        <v>1897</v>
      </c>
      <c r="G32" s="480">
        <f t="array" aca="1" ref="G32" ca="1">AVERAGE(IF('Well Data-NK'!April2015_Form={"RT","ZU","LB","UB","MA"},IF('Well Data-NK'!April2015_Well_Type="ST",'Well Data-NK'!April2015_Spud_to_RR)))</f>
        <v>43.476562499999091</v>
      </c>
      <c r="H32" s="479">
        <f t="array" aca="1" ref="H32" ca="1">COUNT(IF('Well Data-NK'!April2015_Form={"RT","ZU","LB","UB","MA"},IF('Well Data-NK'!April2015_Well_Type="ST",'Well Data-NK'!April2015_Spud_to_RR)))</f>
        <v>8</v>
      </c>
      <c r="I32" s="479">
        <v>30</v>
      </c>
    </row>
    <row r="33" spans="1:9" s="416" customFormat="1" x14ac:dyDescent="0.25">
      <c r="A33" s="292" t="s">
        <v>17</v>
      </c>
      <c r="B33" s="292" t="s">
        <v>814</v>
      </c>
      <c r="C33" s="292" t="s">
        <v>14</v>
      </c>
      <c r="D33" s="292" t="s">
        <v>298</v>
      </c>
      <c r="E33" s="292" t="s">
        <v>1052</v>
      </c>
      <c r="F33" s="292" t="s">
        <v>1897</v>
      </c>
      <c r="G33" s="478">
        <f t="array" aca="1" ref="G33" ca="1">AVERAGE(IF('Well Data-NK'!April2015_Form={"MA"},IF('Well Data-NK'!April2015_Well_Type="NW",IF('Well Data-NK'!April2015_Prod_Inj="Prod",'Well Data-NK'!April2015_Planned_Spud_to_RR))))</f>
        <v>70</v>
      </c>
      <c r="H33" s="292"/>
      <c r="I33" s="292">
        <v>31</v>
      </c>
    </row>
    <row r="34" spans="1:9" s="416" customFormat="1" x14ac:dyDescent="0.25">
      <c r="A34" s="292" t="s">
        <v>29</v>
      </c>
      <c r="B34" s="292" t="s">
        <v>814</v>
      </c>
      <c r="C34" s="292" t="s">
        <v>14</v>
      </c>
      <c r="D34" s="292" t="s">
        <v>298</v>
      </c>
      <c r="E34" s="292" t="s">
        <v>1052</v>
      </c>
      <c r="F34" s="292" t="s">
        <v>1897</v>
      </c>
      <c r="G34" s="478">
        <f t="array" aca="1" ref="G34" ca="1">AVERAGE(IF('Well Data-NK'!April2015_Form={"UB"},IF('Well Data-NK'!April2015_Well_Type="NW",IF('Well Data-NK'!April2015_Prod_Inj="Prod",'Well Data-NK'!April2015_Planned_Spud_to_RR))))</f>
        <v>70</v>
      </c>
      <c r="H34" s="292"/>
      <c r="I34" s="292">
        <v>32</v>
      </c>
    </row>
    <row r="35" spans="1:9" s="416" customFormat="1" x14ac:dyDescent="0.25">
      <c r="A35" s="292" t="s">
        <v>22</v>
      </c>
      <c r="B35" s="292" t="s">
        <v>814</v>
      </c>
      <c r="C35" s="292" t="s">
        <v>14</v>
      </c>
      <c r="D35" s="292" t="s">
        <v>298</v>
      </c>
      <c r="E35" s="292" t="s">
        <v>1052</v>
      </c>
      <c r="F35" s="292" t="s">
        <v>1897</v>
      </c>
      <c r="G35" s="478">
        <f t="array" aca="1" ref="G35" ca="1">AVERAGE(IF('Well Data-NK'!April2015_Form={"LB"},IF('Well Data-NK'!April2015_Well_Type="NW",IF('Well Data-NK'!April2015_Prod_Inj="Prod",'Well Data-NK'!April2015_Planned_Spud_to_RR))))</f>
        <v>70</v>
      </c>
      <c r="H35" s="292"/>
      <c r="I35" s="292">
        <v>33</v>
      </c>
    </row>
    <row r="36" spans="1:9" s="416" customFormat="1" x14ac:dyDescent="0.25">
      <c r="A36" s="292" t="s">
        <v>825</v>
      </c>
      <c r="B36" s="292" t="s">
        <v>814</v>
      </c>
      <c r="C36" s="292" t="s">
        <v>14</v>
      </c>
      <c r="D36" s="292" t="s">
        <v>298</v>
      </c>
      <c r="E36" s="292" t="s">
        <v>1052</v>
      </c>
      <c r="F36" s="292" t="s">
        <v>1897</v>
      </c>
      <c r="G36" s="478">
        <f t="array" aca="1" ref="G36" ca="1">AVERAGE(IF('Well Data-NK'!April2015_Form={"ZU","RT"},IF('Well Data-NK'!April2015_Well_Type="NW",IF('Well Data-NK'!April2015_Prod_Inj="Prod",'Well Data-NK'!April2015_Planned_Spud_to_RR))))</f>
        <v>98</v>
      </c>
      <c r="H36" s="292"/>
      <c r="I36" s="292">
        <v>34</v>
      </c>
    </row>
    <row r="37" spans="1:9" s="416" customFormat="1" x14ac:dyDescent="0.25">
      <c r="A37" s="292" t="s">
        <v>816</v>
      </c>
      <c r="B37" s="292" t="s">
        <v>814</v>
      </c>
      <c r="C37" s="292" t="s">
        <v>14</v>
      </c>
      <c r="D37" s="292" t="s">
        <v>298</v>
      </c>
      <c r="E37" s="292" t="s">
        <v>1052</v>
      </c>
      <c r="F37" s="292" t="s">
        <v>1897</v>
      </c>
      <c r="G37" s="478">
        <f t="array" aca="1" ref="G37" ca="1">AVERAGE(IF('Well Data-NK'!April2015_Form={"ZU","RT","LB","UB","MA"},IF('Well Data-NK'!April2015_Well_Type="NW",IF('Well Data-NK'!April2015_Prod_Inj="Prod",'Well Data-NK'!April2015_Planned_Spud_to_RR))))</f>
        <v>74.666666666666671</v>
      </c>
      <c r="H37" s="292"/>
      <c r="I37" s="292">
        <v>35</v>
      </c>
    </row>
    <row r="38" spans="1:9" s="416" customFormat="1" x14ac:dyDescent="0.25">
      <c r="A38" s="479" t="s">
        <v>17</v>
      </c>
      <c r="B38" s="479" t="s">
        <v>815</v>
      </c>
      <c r="C38" s="479" t="s">
        <v>14</v>
      </c>
      <c r="D38" s="479" t="s">
        <v>298</v>
      </c>
      <c r="E38" s="479" t="s">
        <v>1052</v>
      </c>
      <c r="F38" s="479" t="s">
        <v>1897</v>
      </c>
      <c r="G38" s="480">
        <f t="array" aca="1" ref="G38" ca="1">AVERAGE(IF('Well Data-NK'!April2015_Form={"MA"},IF('Well Data-NK'!April2015_Well_Type="NW",IF('Well Data-NK'!April2015_Prod_Inj="Prod",'Well Data-NK'!April2015_Spud_to_RR))))</f>
        <v>63.827083333334301</v>
      </c>
      <c r="H38" s="479">
        <f t="array" aca="1" ref="H38" ca="1">COUNT(IF('Well Data-NK'!April2015_Form={"MA"},IF('Well Data-NK'!April2015_Well_Type="NW",IF('Well Data-NK'!April2015_Prod_Inj="Prod",'Well Data-NK'!April2015_Spud_to_RR))))</f>
        <v>10</v>
      </c>
      <c r="I38" s="479">
        <v>36</v>
      </c>
    </row>
    <row r="39" spans="1:9" s="416" customFormat="1" x14ac:dyDescent="0.25">
      <c r="A39" s="479" t="s">
        <v>29</v>
      </c>
      <c r="B39" s="479" t="s">
        <v>815</v>
      </c>
      <c r="C39" s="479" t="s">
        <v>14</v>
      </c>
      <c r="D39" s="479" t="s">
        <v>298</v>
      </c>
      <c r="E39" s="479" t="s">
        <v>1052</v>
      </c>
      <c r="F39" s="479" t="s">
        <v>1897</v>
      </c>
      <c r="G39" s="480">
        <f t="array" aca="1" ref="G39" ca="1">AVERAGE(IF('Well Data-NK'!April2015_Form={"UB"},IF('Well Data-NK'!April2015_Well_Type="NW",IF('Well Data-NK'!April2015_Prod_Inj="Prod",'Well Data-NK'!April2015_Spud_to_RR))))</f>
        <v>59.94270833333394</v>
      </c>
      <c r="H39" s="479">
        <f t="array" aca="1" ref="H39" ca="1">COUNT(IF('Well Data-NK'!April2015_Form={"UB"},IF('Well Data-NK'!April2015_Well_Type="NW",IF('Well Data-NK'!April2015_Prod_Inj="Prod",'Well Data-NK'!April2015_Spud_to_RR))))</f>
        <v>4</v>
      </c>
      <c r="I39" s="479">
        <v>37</v>
      </c>
    </row>
    <row r="40" spans="1:9" s="416" customFormat="1" x14ac:dyDescent="0.25">
      <c r="A40" s="479" t="s">
        <v>22</v>
      </c>
      <c r="B40" s="479" t="s">
        <v>815</v>
      </c>
      <c r="C40" s="479" t="s">
        <v>14</v>
      </c>
      <c r="D40" s="479" t="s">
        <v>298</v>
      </c>
      <c r="E40" s="479" t="s">
        <v>1052</v>
      </c>
      <c r="F40" s="479" t="s">
        <v>1897</v>
      </c>
      <c r="G40" s="480">
        <f t="array" aca="1" ref="G40" ca="1">AVERAGE(IF('Well Data-NK'!April2015_Form={"LB"},IF('Well Data-NK'!April2015_Well_Type="NW",IF('Well Data-NK'!April2015_Prod_Inj="Prod",'Well Data-NK'!April2015_Spud_to_RR))))</f>
        <v>74.017361111111924</v>
      </c>
      <c r="H40" s="479">
        <f t="array" aca="1" ref="H40" ca="1">COUNT(IF('Well Data-NK'!April2015_Form={"LB"},IF('Well Data-NK'!April2015_Well_Type="NW",IF('Well Data-NK'!April2015_Prod_Inj="Prod",'Well Data-NK'!April2015_Spud_to_RR))))</f>
        <v>6</v>
      </c>
      <c r="I40" s="479">
        <v>38</v>
      </c>
    </row>
    <row r="41" spans="1:9" s="416" customFormat="1" x14ac:dyDescent="0.25">
      <c r="A41" s="479" t="s">
        <v>825</v>
      </c>
      <c r="B41" s="479" t="s">
        <v>815</v>
      </c>
      <c r="C41" s="479" t="s">
        <v>14</v>
      </c>
      <c r="D41" s="479" t="s">
        <v>298</v>
      </c>
      <c r="E41" s="479" t="s">
        <v>1052</v>
      </c>
      <c r="F41" s="479" t="s">
        <v>1897</v>
      </c>
      <c r="G41" s="480">
        <f t="array" aca="1" ref="G41" ca="1">AVERAGE(IF('Well Data-NK'!April2015_Form={"ZU","RT"},IF('Well Data-NK'!April2015_Well_Type="NW",IF('Well Data-NK'!April2015_Prod_Inj="Prod",'Well Data-NK'!April2015_Spud_to_RR))))</f>
        <v>69.40625</v>
      </c>
      <c r="H41" s="479">
        <f t="array" aca="1" ref="H41" ca="1">COUNT(IF('Well Data-NK'!April2015_Form={"ZU","RT"},IF('Well Data-NK'!April2015_Well_Type="NW",IF('Well Data-NK'!April2015_Prod_Inj="Prod",'Well Data-NK'!April2015_Spud_to_RR))))</f>
        <v>4</v>
      </c>
      <c r="I41" s="479">
        <v>39</v>
      </c>
    </row>
    <row r="42" spans="1:9" s="416" customFormat="1" x14ac:dyDescent="0.25">
      <c r="A42" s="479" t="s">
        <v>816</v>
      </c>
      <c r="B42" s="479" t="s">
        <v>815</v>
      </c>
      <c r="C42" s="479" t="s">
        <v>14</v>
      </c>
      <c r="D42" s="479" t="s">
        <v>298</v>
      </c>
      <c r="E42" s="479" t="s">
        <v>1052</v>
      </c>
      <c r="F42" s="479" t="s">
        <v>1897</v>
      </c>
      <c r="G42" s="480">
        <f t="array" aca="1" ref="G42" ca="1">AVERAGE(IF('Well Data-NK'!April2015_Form={"ZU","RT","LB","UB","MA"},IF('Well Data-NK'!April2015_Well_Type="NW",IF('Well Data-NK'!April2015_Prod_Inj="Prod",'Well Data-NK'!April2015_Spud_to_RR))))</f>
        <v>66.657118055556268</v>
      </c>
      <c r="H42" s="479">
        <f t="array" aca="1" ref="H42" ca="1">COUNT(IF('Well Data-NK'!April2015_Form={"ZU","RT","LB","UB","MA"},IF('Well Data-NK'!April2015_Well_Type="NW",IF('Well Data-NK'!April2015_Prod_Inj="Prod",'Well Data-NK'!April2015_Spud_to_RR))))</f>
        <v>24</v>
      </c>
      <c r="I42" s="479">
        <v>40</v>
      </c>
    </row>
    <row r="43" spans="1:9" s="416" customFormat="1" x14ac:dyDescent="0.25">
      <c r="A43" s="292" t="s">
        <v>17</v>
      </c>
      <c r="B43" s="292" t="s">
        <v>814</v>
      </c>
      <c r="C43" s="292" t="s">
        <v>18</v>
      </c>
      <c r="D43" s="292" t="s">
        <v>298</v>
      </c>
      <c r="E43" s="292" t="s">
        <v>1052</v>
      </c>
      <c r="F43" s="292" t="s">
        <v>1897</v>
      </c>
      <c r="G43" s="478">
        <f t="array" aca="1" ref="G43" ca="1">AVERAGE(IF('Well Data-NK'!April2015_Form={"MA"},IF('Well Data-NK'!April2015_Well_Type="ST",IF('Well Data-NK'!April2015_Prod_Inj="Prod",'Well Data-NK'!April2015_Planned_Spud_to_RR))))</f>
        <v>56</v>
      </c>
      <c r="H43" s="292"/>
      <c r="I43" s="292">
        <v>41</v>
      </c>
    </row>
    <row r="44" spans="1:9" s="416" customFormat="1" x14ac:dyDescent="0.25">
      <c r="A44" s="292" t="s">
        <v>29</v>
      </c>
      <c r="B44" s="292" t="s">
        <v>814</v>
      </c>
      <c r="C44" s="292" t="s">
        <v>18</v>
      </c>
      <c r="D44" s="292" t="s">
        <v>298</v>
      </c>
      <c r="E44" s="292" t="s">
        <v>1052</v>
      </c>
      <c r="F44" s="292" t="s">
        <v>1897</v>
      </c>
      <c r="G44" s="478" t="e">
        <f t="array" aca="1" ref="G44" ca="1">AVERAGE(IF('Well Data-NK'!April2015_Form={"UB"},IF('Well Data-NK'!April2015_Well_Type="ST",IF('Well Data-NK'!April2015_Prod_Inj="Prod",'Well Data-NK'!April2015_Planned_Spud_to_RR))))</f>
        <v>#DIV/0!</v>
      </c>
      <c r="H44" s="292"/>
      <c r="I44" s="292">
        <v>42</v>
      </c>
    </row>
    <row r="45" spans="1:9" s="416" customFormat="1" x14ac:dyDescent="0.25">
      <c r="A45" s="292" t="s">
        <v>22</v>
      </c>
      <c r="B45" s="292" t="s">
        <v>814</v>
      </c>
      <c r="C45" s="292" t="s">
        <v>18</v>
      </c>
      <c r="D45" s="292" t="s">
        <v>298</v>
      </c>
      <c r="E45" s="292" t="s">
        <v>1052</v>
      </c>
      <c r="F45" s="292" t="s">
        <v>1897</v>
      </c>
      <c r="G45" s="478" t="e">
        <f t="array" aca="1" ref="G45" ca="1">AVERAGE(IF('Well Data-NK'!April2015_Form={"LB"},IF('Well Data-NK'!April2015_Well_Type="ST",IF('Well Data-NK'!April2015_Prod_Inj="Prod",'Well Data-NK'!April2015_Planned_Spud_to_RR))))</f>
        <v>#DIV/0!</v>
      </c>
      <c r="H45" s="292"/>
      <c r="I45" s="292">
        <v>43</v>
      </c>
    </row>
    <row r="46" spans="1:9" s="416" customFormat="1" x14ac:dyDescent="0.25">
      <c r="A46" s="292" t="s">
        <v>825</v>
      </c>
      <c r="B46" s="292" t="s">
        <v>814</v>
      </c>
      <c r="C46" s="292" t="s">
        <v>18</v>
      </c>
      <c r="D46" s="292" t="s">
        <v>298</v>
      </c>
      <c r="E46" s="292" t="s">
        <v>1052</v>
      </c>
      <c r="F46" s="292" t="s">
        <v>1897</v>
      </c>
      <c r="G46" s="478" t="e">
        <f t="array" aca="1" ref="G46" ca="1">AVERAGE(IF('Well Data-NK'!April2015_Form={"ZU","RT"},IF('Well Data-NK'!April2015_Well_Type="ST",IF('Well Data-NK'!April2015_Prod_Inj="Prod",'Well Data-NK'!April2015_Planned_Spud_to_RR))))</f>
        <v>#DIV/0!</v>
      </c>
      <c r="H46" s="292"/>
      <c r="I46" s="292">
        <v>44</v>
      </c>
    </row>
    <row r="47" spans="1:9" s="416" customFormat="1" x14ac:dyDescent="0.25">
      <c r="A47" s="292" t="s">
        <v>816</v>
      </c>
      <c r="B47" s="292" t="s">
        <v>814</v>
      </c>
      <c r="C47" s="292" t="s">
        <v>18</v>
      </c>
      <c r="D47" s="292" t="s">
        <v>298</v>
      </c>
      <c r="E47" s="292" t="s">
        <v>1052</v>
      </c>
      <c r="F47" s="292" t="s">
        <v>1897</v>
      </c>
      <c r="G47" s="478">
        <f t="array" aca="1" ref="G47" ca="1">AVERAGE(IF('Well Data-NK'!April2015_Form={"ZU","RT","LB","UB","MA"},IF('Well Data-NK'!April2015_Well_Type="ST",IF('Well Data-NK'!April2015_Prod_Inj="Prod",'Well Data-NK'!April2015_Planned_Spud_to_RR))))</f>
        <v>56</v>
      </c>
      <c r="H47" s="292"/>
      <c r="I47" s="292">
        <v>45</v>
      </c>
    </row>
    <row r="48" spans="1:9" s="416" customFormat="1" x14ac:dyDescent="0.25">
      <c r="A48" s="479" t="s">
        <v>17</v>
      </c>
      <c r="B48" s="479" t="s">
        <v>815</v>
      </c>
      <c r="C48" s="479" t="s">
        <v>18</v>
      </c>
      <c r="D48" s="479" t="s">
        <v>298</v>
      </c>
      <c r="E48" s="479" t="s">
        <v>1052</v>
      </c>
      <c r="F48" s="479" t="s">
        <v>1897</v>
      </c>
      <c r="G48" s="480">
        <f t="array" aca="1" ref="G48" ca="1">AVERAGE(IF('Well Data-NK'!April2015_Form={"MA"},IF('Well Data-NK'!April2015_Well_Type="ST",IF('Well Data-NK'!April2015_Prod_Inj="Prod",'Well Data-NK'!April2015_Spud_to_RR))))</f>
        <v>40.756944444444038</v>
      </c>
      <c r="H48" s="479">
        <f t="array" aca="1" ref="H48" ca="1">COUNT(IF('Well Data-NK'!April2015_Form={"MA"},IF('Well Data-NK'!April2015_Well_Type="ST",IF('Well Data-NK'!April2015_Prod_Inj="Prod",'Well Data-NK'!April2015_Spud_to_RR))))</f>
        <v>6</v>
      </c>
      <c r="I48" s="479">
        <v>46</v>
      </c>
    </row>
    <row r="49" spans="1:9" s="416" customFormat="1" x14ac:dyDescent="0.25">
      <c r="A49" s="479" t="s">
        <v>29</v>
      </c>
      <c r="B49" s="479" t="s">
        <v>815</v>
      </c>
      <c r="C49" s="479" t="s">
        <v>18</v>
      </c>
      <c r="D49" s="479" t="s">
        <v>298</v>
      </c>
      <c r="E49" s="479" t="s">
        <v>1052</v>
      </c>
      <c r="F49" s="479" t="s">
        <v>1897</v>
      </c>
      <c r="G49" s="480" t="e">
        <f t="array" aca="1" ref="G49" ca="1">AVERAGE(IF('Well Data-NK'!April2015_Form={"UB"},IF('Well Data-NK'!April2015_Well_Type="ST",IF('Well Data-NK'!April2015_Prod_Inj="Prod",'Well Data-NK'!April2015_Spud_to_RR))))</f>
        <v>#DIV/0!</v>
      </c>
      <c r="H49" s="479">
        <f t="array" aca="1" ref="H49" ca="1">COUNT(IF('Well Data-NK'!April2015_Form={"UB"},IF('Well Data-NK'!April2015_Well_Type="ST",IF('Well Data-NK'!April2015_Prod_Inj="Prod",'Well Data-NK'!April2015_Spud_to_RR))))</f>
        <v>0</v>
      </c>
      <c r="I49" s="479">
        <v>47</v>
      </c>
    </row>
    <row r="50" spans="1:9" s="416" customFormat="1" x14ac:dyDescent="0.25">
      <c r="A50" s="479" t="s">
        <v>22</v>
      </c>
      <c r="B50" s="479" t="s">
        <v>815</v>
      </c>
      <c r="C50" s="479" t="s">
        <v>18</v>
      </c>
      <c r="D50" s="479" t="s">
        <v>298</v>
      </c>
      <c r="E50" s="479" t="s">
        <v>1052</v>
      </c>
      <c r="F50" s="479" t="s">
        <v>1897</v>
      </c>
      <c r="G50" s="480" t="e">
        <f t="array" aca="1" ref="G50" ca="1">AVERAGE(IF('Well Data-NK'!April2015_Form={"LB"},IF('Well Data-NK'!April2015_Well_Type="ST",IF('Well Data-NK'!April2015_Prod_Inj="Prod",'Well Data-NK'!April2015_Spud_to_RR))))</f>
        <v>#DIV/0!</v>
      </c>
      <c r="H50" s="479">
        <f t="array" aca="1" ref="H50" ca="1">COUNT(IF('Well Data-NK'!April2015_Form={"LB"},IF('Well Data-NK'!April2015_Well_Type="ST",IF('Well Data-NK'!April2015_Prod_Inj="Prod",'Well Data-NK'!April2015_Spud_to_RR))))</f>
        <v>0</v>
      </c>
      <c r="I50" s="479">
        <v>48</v>
      </c>
    </row>
    <row r="51" spans="1:9" s="416" customFormat="1" x14ac:dyDescent="0.25">
      <c r="A51" s="479" t="s">
        <v>825</v>
      </c>
      <c r="B51" s="479" t="s">
        <v>815</v>
      </c>
      <c r="C51" s="479" t="s">
        <v>18</v>
      </c>
      <c r="D51" s="479" t="s">
        <v>298</v>
      </c>
      <c r="E51" s="479" t="s">
        <v>1052</v>
      </c>
      <c r="F51" s="479" t="s">
        <v>1897</v>
      </c>
      <c r="G51" s="480" t="e">
        <f t="array" aca="1" ref="G51" ca="1">AVERAGE(IF('Well Data-NK'!April2015_Form={"ZU","RT"},IF('Well Data-NK'!April2015_Well_Type="ST",IF('Well Data-NK'!April2015_Prod_Inj="Prod",'Well Data-NK'!April2015_Spud_to_RR))))</f>
        <v>#DIV/0!</v>
      </c>
      <c r="H51" s="479">
        <f t="array" aca="1" ref="H51" ca="1">COUNT(IF('Well Data-NK'!April2015_Form={"ZU","RT"},IF('Well Data-NK'!April2015_Well_Type="ST",IF('Well Data-NK'!April2015_Prod_Inj="Prod",'Well Data-NK'!April2015_Spud_to_RR))))</f>
        <v>0</v>
      </c>
      <c r="I51" s="479">
        <v>49</v>
      </c>
    </row>
    <row r="52" spans="1:9" s="416" customFormat="1" x14ac:dyDescent="0.25">
      <c r="A52" s="479" t="s">
        <v>816</v>
      </c>
      <c r="B52" s="479" t="s">
        <v>815</v>
      </c>
      <c r="C52" s="479" t="s">
        <v>18</v>
      </c>
      <c r="D52" s="479" t="s">
        <v>298</v>
      </c>
      <c r="E52" s="479" t="s">
        <v>1052</v>
      </c>
      <c r="F52" s="479" t="s">
        <v>1897</v>
      </c>
      <c r="G52" s="480">
        <f t="array" aca="1" ref="G52" ca="1">AVERAGE(IF('Well Data-NK'!April2015_Form={"ZU","RT","LB","UB","MA"},IF('Well Data-NK'!April2015_Well_Type="ST",IF('Well Data-NK'!April2015_Prod_Inj="Prod",'Well Data-NK'!April2015_Spud_to_RR))))</f>
        <v>40.756944444444038</v>
      </c>
      <c r="H52" s="479">
        <f t="array" aca="1" ref="H52" ca="1">COUNT(IF('Well Data-NK'!April2015_Form={"ZU","RT","LB","UB","MA"},IF('Well Data-NK'!April2015_Well_Type="ST",IF('Well Data-NK'!April2015_Prod_Inj="Prod",'Well Data-NK'!April2015_Spud_to_RR))))</f>
        <v>6</v>
      </c>
      <c r="I52" s="479">
        <v>50</v>
      </c>
    </row>
    <row r="53" spans="1:9" s="416" customFormat="1" x14ac:dyDescent="0.25">
      <c r="A53" s="292" t="s">
        <v>17</v>
      </c>
      <c r="B53" s="292" t="s">
        <v>814</v>
      </c>
      <c r="C53" s="292" t="s">
        <v>14</v>
      </c>
      <c r="D53" s="292" t="s">
        <v>34</v>
      </c>
      <c r="E53" s="292" t="s">
        <v>1052</v>
      </c>
      <c r="F53" s="292" t="s">
        <v>1897</v>
      </c>
      <c r="G53" s="478">
        <f t="array" aca="1" ref="G53" ca="1">AVERAGE(IF('Well Data-NK'!April2015_Form={"MA"},IF('Well Data-NK'!April2015_Well_Type="NW",IF('Well Data-NK'!April2015_Prod_Inj="Inj",'Well Data-NK'!April2015_Planned_Spud_to_RR))))</f>
        <v>63</v>
      </c>
      <c r="H53" s="292"/>
      <c r="I53" s="292">
        <v>51</v>
      </c>
    </row>
    <row r="54" spans="1:9" s="416" customFormat="1" x14ac:dyDescent="0.25">
      <c r="A54" s="292" t="s">
        <v>29</v>
      </c>
      <c r="B54" s="292" t="s">
        <v>814</v>
      </c>
      <c r="C54" s="292" t="s">
        <v>14</v>
      </c>
      <c r="D54" s="292" t="s">
        <v>34</v>
      </c>
      <c r="E54" s="292" t="s">
        <v>1052</v>
      </c>
      <c r="F54" s="292" t="s">
        <v>1897</v>
      </c>
      <c r="G54" s="478" t="e">
        <f t="array" aca="1" ref="G54" ca="1">AVERAGE(IF('Well Data-NK'!April2015_Form={"UB"},IF('Well Data-NK'!April2015_Well_Type="NW",IF('Well Data-NK'!April2015_Prod_Inj="Inj",'Well Data-NK'!April2015_Planned_Spud_to_RR))))</f>
        <v>#DIV/0!</v>
      </c>
      <c r="H54" s="292"/>
      <c r="I54" s="292">
        <v>52</v>
      </c>
    </row>
    <row r="55" spans="1:9" s="416" customFormat="1" x14ac:dyDescent="0.25">
      <c r="A55" s="292" t="s">
        <v>22</v>
      </c>
      <c r="B55" s="292" t="s">
        <v>814</v>
      </c>
      <c r="C55" s="292" t="s">
        <v>14</v>
      </c>
      <c r="D55" s="292" t="s">
        <v>34</v>
      </c>
      <c r="E55" s="292" t="s">
        <v>1052</v>
      </c>
      <c r="F55" s="292" t="s">
        <v>1897</v>
      </c>
      <c r="G55" s="478" t="e">
        <f t="array" aca="1" ref="G55" ca="1">AVERAGE(IF('Well Data-NK'!April2015_Form={"LB"},IF('Well Data-NK'!April2015_Well_Type="NW",IF('Well Data-NK'!April2015_Prod_Inj="Inj",'Well Data-NK'!April2015_Planned_Spud_to_RR))))</f>
        <v>#DIV/0!</v>
      </c>
      <c r="H55" s="292"/>
      <c r="I55" s="292">
        <v>53</v>
      </c>
    </row>
    <row r="56" spans="1:9" s="416" customFormat="1" x14ac:dyDescent="0.25">
      <c r="A56" s="292" t="s">
        <v>825</v>
      </c>
      <c r="B56" s="292" t="s">
        <v>814</v>
      </c>
      <c r="C56" s="292" t="s">
        <v>14</v>
      </c>
      <c r="D56" s="292" t="s">
        <v>34</v>
      </c>
      <c r="E56" s="292" t="s">
        <v>1052</v>
      </c>
      <c r="F56" s="292" t="s">
        <v>1897</v>
      </c>
      <c r="G56" s="478" t="e">
        <f t="array" aca="1" ref="G56" ca="1">AVERAGE(IF('Well Data-NK'!April2015_Form={"ZU","RT"},IF('Well Data-NK'!April2015_Well_Type="NW",IF('Well Data-NK'!April2015_Prod_Inj="Inj",'Well Data-NK'!April2015_Planned_Spud_to_RR))))</f>
        <v>#DIV/0!</v>
      </c>
      <c r="H56" s="292"/>
      <c r="I56" s="292">
        <v>54</v>
      </c>
    </row>
    <row r="57" spans="1:9" s="416" customFormat="1" x14ac:dyDescent="0.25">
      <c r="A57" s="292" t="s">
        <v>816</v>
      </c>
      <c r="B57" s="292" t="s">
        <v>814</v>
      </c>
      <c r="C57" s="292" t="s">
        <v>14</v>
      </c>
      <c r="D57" s="292" t="s">
        <v>34</v>
      </c>
      <c r="E57" s="292" t="s">
        <v>1052</v>
      </c>
      <c r="F57" s="292" t="s">
        <v>1897</v>
      </c>
      <c r="G57" s="478">
        <f t="array" aca="1" ref="G57" ca="1">AVERAGE(IF('Well Data-NK'!April2015_Form={"ZU","RT","LB","UB","MA"},IF('Well Data-NK'!April2015_Well_Type="NW",IF('Well Data-NK'!April2015_Prod_Inj="Inj",'Well Data-NK'!April2015_Planned_Spud_to_RR))))</f>
        <v>63</v>
      </c>
      <c r="H57" s="292"/>
      <c r="I57" s="292">
        <v>55</v>
      </c>
    </row>
    <row r="58" spans="1:9" s="416" customFormat="1" x14ac:dyDescent="0.25">
      <c r="A58" s="479" t="s">
        <v>17</v>
      </c>
      <c r="B58" s="479" t="s">
        <v>815</v>
      </c>
      <c r="C58" s="479" t="s">
        <v>14</v>
      </c>
      <c r="D58" s="479" t="s">
        <v>34</v>
      </c>
      <c r="E58" s="479" t="s">
        <v>1052</v>
      </c>
      <c r="F58" s="479" t="s">
        <v>1897</v>
      </c>
      <c r="G58" s="480">
        <f t="array" aca="1" ref="G58" ca="1">AVERAGE(IF('Well Data-NK'!April2015_Form={"MA"},IF('Well Data-NK'!April2015_Well_Type="NW",IF('Well Data-NK'!April2015_Prod_Inj="Inj",'Well Data-NK'!April2015_Spud_to_RR))))</f>
        <v>55.437500000003638</v>
      </c>
      <c r="H58" s="479">
        <f t="array" aca="1" ref="H58" ca="1">COUNT(IF('Well Data-NK'!April2015_Form={"MA"},IF('Well Data-NK'!April2015_Well_Type="NW",IF('Well Data-NK'!April2015_Prod_Inj="Inj",'Well Data-NK'!April2015_Spud_to_RR))))</f>
        <v>2</v>
      </c>
      <c r="I58" s="479">
        <v>56</v>
      </c>
    </row>
    <row r="59" spans="1:9" s="416" customFormat="1" x14ac:dyDescent="0.25">
      <c r="A59" s="479" t="s">
        <v>29</v>
      </c>
      <c r="B59" s="479" t="s">
        <v>815</v>
      </c>
      <c r="C59" s="479" t="s">
        <v>14</v>
      </c>
      <c r="D59" s="479" t="s">
        <v>34</v>
      </c>
      <c r="E59" s="479" t="s">
        <v>1052</v>
      </c>
      <c r="F59" s="479" t="s">
        <v>1897</v>
      </c>
      <c r="G59" s="480" t="e">
        <f t="array" aca="1" ref="G59" ca="1">AVERAGE(IF('Well Data-NK'!April2015_Form={"UB"},IF('Well Data-NK'!April2015_Well_Type="NW",IF('Well Data-NK'!April2015_Prod_Inj="Inj",'Well Data-NK'!April2015_Spud_to_RR))))</f>
        <v>#DIV/0!</v>
      </c>
      <c r="H59" s="479">
        <f t="array" aca="1" ref="H59" ca="1">COUNT(IF('Well Data-NK'!April2015_Form={"UB"},IF('Well Data-NK'!April2015_Well_Type="NW",IF('Well Data-NK'!April2015_Prod_Inj="Inj",'Well Data-NK'!April2015_Spud_to_RR))))</f>
        <v>0</v>
      </c>
      <c r="I59" s="479">
        <v>57</v>
      </c>
    </row>
    <row r="60" spans="1:9" s="416" customFormat="1" x14ac:dyDescent="0.25">
      <c r="A60" s="479" t="s">
        <v>22</v>
      </c>
      <c r="B60" s="479" t="s">
        <v>815</v>
      </c>
      <c r="C60" s="479" t="s">
        <v>14</v>
      </c>
      <c r="D60" s="479" t="s">
        <v>34</v>
      </c>
      <c r="E60" s="479" t="s">
        <v>1052</v>
      </c>
      <c r="F60" s="479" t="s">
        <v>1897</v>
      </c>
      <c r="G60" s="480" t="e">
        <f t="array" aca="1" ref="G60" ca="1">AVERAGE(IF('Well Data-NK'!April2015_Form={"LB"},IF('Well Data-NK'!April2015_Well_Type="NW",IF('Well Data-NK'!April2015_Prod_Inj="Inj",'Well Data-NK'!April2015_Spud_to_RR))))</f>
        <v>#DIV/0!</v>
      </c>
      <c r="H60" s="479">
        <f t="array" aca="1" ref="H60" ca="1">COUNT(IF('Well Data-NK'!April2015_Form={"LB"},IF('Well Data-NK'!April2015_Well_Type="NW",IF('Well Data-NK'!April2015_Prod_Inj="Inj",'Well Data-NK'!April2015_Spud_to_RR))))</f>
        <v>0</v>
      </c>
      <c r="I60" s="479">
        <v>58</v>
      </c>
    </row>
    <row r="61" spans="1:9" s="416" customFormat="1" x14ac:dyDescent="0.25">
      <c r="A61" s="479" t="s">
        <v>825</v>
      </c>
      <c r="B61" s="479" t="s">
        <v>815</v>
      </c>
      <c r="C61" s="479" t="s">
        <v>14</v>
      </c>
      <c r="D61" s="479" t="s">
        <v>34</v>
      </c>
      <c r="E61" s="479" t="s">
        <v>1052</v>
      </c>
      <c r="F61" s="479" t="s">
        <v>1897</v>
      </c>
      <c r="G61" s="480" t="e">
        <f t="array" aca="1" ref="G61" ca="1">AVERAGE(IF('Well Data-NK'!April2015_Form={"ZU","RT"},IF('Well Data-NK'!April2015_Well_Type="NW",IF('Well Data-NK'!April2015_Prod_Inj="Inj",'Well Data-NK'!April2015_Spud_to_RR))))</f>
        <v>#DIV/0!</v>
      </c>
      <c r="H61" s="479">
        <f t="array" aca="1" ref="H61" ca="1">COUNT(IF('Well Data-NK'!April2015_Form={"ZU","RT"},IF('Well Data-NK'!April2015_Well_Type="NW",IF('Well Data-NK'!April2015_Prod_Inj="Inj",'Well Data-NK'!April2015_Spud_to_RR))))</f>
        <v>0</v>
      </c>
      <c r="I61" s="479">
        <v>59</v>
      </c>
    </row>
    <row r="62" spans="1:9" s="416" customFormat="1" x14ac:dyDescent="0.25">
      <c r="A62" s="479" t="s">
        <v>816</v>
      </c>
      <c r="B62" s="479" t="s">
        <v>815</v>
      </c>
      <c r="C62" s="479" t="s">
        <v>14</v>
      </c>
      <c r="D62" s="479" t="s">
        <v>34</v>
      </c>
      <c r="E62" s="479" t="s">
        <v>1052</v>
      </c>
      <c r="F62" s="479" t="s">
        <v>1897</v>
      </c>
      <c r="G62" s="480">
        <f t="array" aca="1" ref="G62" ca="1">AVERAGE(IF('Well Data-NK'!April2015_Form={"ZU","RT","LB","UB","MA"},IF('Well Data-NK'!April2015_Well_Type="NW",IF('Well Data-NK'!April2015_Prod_Inj="Inj",'Well Data-NK'!April2015_Spud_to_RR))))</f>
        <v>55.437500000003638</v>
      </c>
      <c r="H62" s="479">
        <f t="array" aca="1" ref="H62" ca="1">COUNT(IF('Well Data-NK'!April2015_Form={"ZU","RT","LB","UB","MA"},IF('Well Data-NK'!April2015_Well_Type="NW",IF('Well Data-NK'!April2015_Prod_Inj="Inj",'Well Data-NK'!April2015_Spud_to_RR))))</f>
        <v>2</v>
      </c>
      <c r="I62" s="479">
        <v>60</v>
      </c>
    </row>
    <row r="63" spans="1:9" s="416" customFormat="1" x14ac:dyDescent="0.25">
      <c r="A63" s="292" t="s">
        <v>17</v>
      </c>
      <c r="B63" s="292" t="s">
        <v>814</v>
      </c>
      <c r="C63" s="292" t="s">
        <v>18</v>
      </c>
      <c r="D63" s="292" t="s">
        <v>34</v>
      </c>
      <c r="E63" s="292" t="s">
        <v>1052</v>
      </c>
      <c r="F63" s="292" t="s">
        <v>1897</v>
      </c>
      <c r="G63" s="478">
        <f t="array" aca="1" ref="G63" ca="1">AVERAGE(IF('Well Data-NK'!April2015_Form={"MA"},IF('Well Data-NK'!April2015_Well_Type="ST",IF('Well Data-NK'!April2015_Prod_Inj="Inj",'Well Data-NK'!April2015_Planned_Spud_to_RR))))</f>
        <v>49</v>
      </c>
      <c r="H63" s="292"/>
      <c r="I63" s="292">
        <v>61</v>
      </c>
    </row>
    <row r="64" spans="1:9" s="416" customFormat="1" x14ac:dyDescent="0.25">
      <c r="A64" s="292" t="s">
        <v>29</v>
      </c>
      <c r="B64" s="292" t="s">
        <v>814</v>
      </c>
      <c r="C64" s="292" t="s">
        <v>18</v>
      </c>
      <c r="D64" s="292" t="s">
        <v>34</v>
      </c>
      <c r="E64" s="292" t="s">
        <v>1052</v>
      </c>
      <c r="F64" s="292" t="s">
        <v>1897</v>
      </c>
      <c r="G64" s="478" t="e">
        <f t="array" aca="1" ref="G64" ca="1">AVERAGE(IF('Well Data-NK'!April2015_Form={"UB"},IF('Well Data-NK'!April2015_Well_Type="ST",IF('Well Data-NK'!April2015_Prod_Inj="Inj",'Well Data-NK'!April2015_Planned_Spud_to_RR))))</f>
        <v>#DIV/0!</v>
      </c>
      <c r="H64" s="292"/>
      <c r="I64" s="292">
        <v>62</v>
      </c>
    </row>
    <row r="65" spans="1:9" s="416" customFormat="1" x14ac:dyDescent="0.25">
      <c r="A65" s="292" t="s">
        <v>22</v>
      </c>
      <c r="B65" s="292" t="s">
        <v>814</v>
      </c>
      <c r="C65" s="292" t="s">
        <v>18</v>
      </c>
      <c r="D65" s="292" t="s">
        <v>34</v>
      </c>
      <c r="E65" s="292" t="s">
        <v>1052</v>
      </c>
      <c r="F65" s="292" t="s">
        <v>1897</v>
      </c>
      <c r="G65" s="478" t="e">
        <f t="array" aca="1" ref="G65" ca="1">AVERAGE(IF('Well Data-NK'!April2015_Form={"LB"},IF('Well Data-NK'!April2015_Well_Type="ST",IF('Well Data-NK'!April2015_Prod_Inj="Inj",'Well Data-NK'!April2015_Planned_Spud_to_RR))))</f>
        <v>#DIV/0!</v>
      </c>
      <c r="H65" s="292"/>
      <c r="I65" s="292">
        <v>63</v>
      </c>
    </row>
    <row r="66" spans="1:9" s="416" customFormat="1" x14ac:dyDescent="0.25">
      <c r="A66" s="292" t="s">
        <v>825</v>
      </c>
      <c r="B66" s="292" t="s">
        <v>814</v>
      </c>
      <c r="C66" s="292" t="s">
        <v>18</v>
      </c>
      <c r="D66" s="292" t="s">
        <v>34</v>
      </c>
      <c r="E66" s="292" t="s">
        <v>1052</v>
      </c>
      <c r="F66" s="292" t="s">
        <v>1897</v>
      </c>
      <c r="G66" s="478" t="e">
        <f t="array" aca="1" ref="G66" ca="1">AVERAGE(IF('Well Data-NK'!April2015_Form={"ZU","RT"},IF('Well Data-NK'!April2015_Well_Type="ST",IF('Well Data-NK'!April2015_Prod_Inj="Inj",'Well Data-NK'!April2015_Planned_Spud_to_RR))))</f>
        <v>#DIV/0!</v>
      </c>
      <c r="H66" s="292"/>
      <c r="I66" s="292">
        <v>64</v>
      </c>
    </row>
    <row r="67" spans="1:9" s="416" customFormat="1" x14ac:dyDescent="0.25">
      <c r="A67" s="292" t="s">
        <v>816</v>
      </c>
      <c r="B67" s="292" t="s">
        <v>814</v>
      </c>
      <c r="C67" s="292" t="s">
        <v>18</v>
      </c>
      <c r="D67" s="292" t="s">
        <v>34</v>
      </c>
      <c r="E67" s="292" t="s">
        <v>1052</v>
      </c>
      <c r="F67" s="292" t="s">
        <v>1897</v>
      </c>
      <c r="G67" s="478">
        <f t="array" aca="1" ref="G67" ca="1">AVERAGE(IF('Well Data-NK'!April2015_Form={"ZU","RT","LB","UB","MA"},IF('Well Data-NK'!April2015_Well_Type="ST",IF('Well Data-NK'!April2015_Prod_Inj="Inj",'Well Data-NK'!April2015_Planned_Spud_to_RR))))</f>
        <v>49</v>
      </c>
      <c r="H67" s="292"/>
      <c r="I67" s="292">
        <v>65</v>
      </c>
    </row>
    <row r="68" spans="1:9" s="416" customFormat="1" x14ac:dyDescent="0.25">
      <c r="A68" s="479" t="s">
        <v>17</v>
      </c>
      <c r="B68" s="479" t="s">
        <v>815</v>
      </c>
      <c r="C68" s="479" t="s">
        <v>18</v>
      </c>
      <c r="D68" s="479" t="s">
        <v>34</v>
      </c>
      <c r="E68" s="479" t="s">
        <v>1052</v>
      </c>
      <c r="F68" s="479" t="s">
        <v>1897</v>
      </c>
      <c r="G68" s="480">
        <f t="array" aca="1" ref="G68" ca="1">AVERAGE(IF('Well Data-NK'!April2015_Form={"MA"},IF('Well Data-NK'!April2015_Well_Type="ST",IF('Well Data-NK'!April2015_Prod_Inj="Inj",'Well Data-NK'!April2015_Spud_to_RR))))</f>
        <v>51.635416666664241</v>
      </c>
      <c r="H68" s="479">
        <f t="array" aca="1" ref="H68" ca="1">COUNT(IF('Well Data-NK'!April2015_Form={"MA"},IF('Well Data-NK'!April2015_Well_Type="ST",IF('Well Data-NK'!April2015_Prod_Inj="Inj",'Well Data-NK'!April2015_Spud_to_RR))))</f>
        <v>2</v>
      </c>
      <c r="I68" s="479">
        <v>66</v>
      </c>
    </row>
    <row r="69" spans="1:9" s="416" customFormat="1" x14ac:dyDescent="0.25">
      <c r="A69" s="479" t="s">
        <v>29</v>
      </c>
      <c r="B69" s="479" t="s">
        <v>815</v>
      </c>
      <c r="C69" s="479" t="s">
        <v>18</v>
      </c>
      <c r="D69" s="479" t="s">
        <v>34</v>
      </c>
      <c r="E69" s="479" t="s">
        <v>1052</v>
      </c>
      <c r="F69" s="479" t="s">
        <v>1897</v>
      </c>
      <c r="G69" s="480" t="e">
        <f t="array" aca="1" ref="G69" ca="1">AVERAGE(IF('Well Data-NK'!April2015_Form={"UB"},IF('Well Data-NK'!April2015_Well_Type="ST",IF('Well Data-NK'!April2015_Prod_Inj="Inj",'Well Data-NK'!April2015_Spud_to_RR))))</f>
        <v>#DIV/0!</v>
      </c>
      <c r="H69" s="479">
        <f t="array" aca="1" ref="H69" ca="1">COUNT(IF('Well Data-NK'!April2015_Form={"UB"},IF('Well Data-NK'!April2015_Well_Type="ST",IF('Well Data-NK'!April2015_Prod_Inj="Inj",'Well Data-NK'!April2015_Spud_to_RR))))</f>
        <v>0</v>
      </c>
      <c r="I69" s="479">
        <v>67</v>
      </c>
    </row>
    <row r="70" spans="1:9" s="416" customFormat="1" x14ac:dyDescent="0.25">
      <c r="A70" s="479" t="s">
        <v>22</v>
      </c>
      <c r="B70" s="479" t="s">
        <v>815</v>
      </c>
      <c r="C70" s="479" t="s">
        <v>18</v>
      </c>
      <c r="D70" s="479" t="s">
        <v>34</v>
      </c>
      <c r="E70" s="479" t="s">
        <v>1052</v>
      </c>
      <c r="F70" s="479" t="s">
        <v>1897</v>
      </c>
      <c r="G70" s="480" t="e">
        <f t="array" aca="1" ref="G70" ca="1">AVERAGE(IF('Well Data-NK'!April2015_Form={"LB"},IF('Well Data-NK'!April2015_Well_Type="ST",IF('Well Data-NK'!April2015_Prod_Inj="Inj",'Well Data-NK'!April2015_Spud_to_RR))))</f>
        <v>#DIV/0!</v>
      </c>
      <c r="H70" s="479">
        <f t="array" aca="1" ref="H70" ca="1">COUNT(IF('Well Data-NK'!April2015_Form={"LB"},IF('Well Data-NK'!April2015_Well_Type="ST",IF('Well Data-NK'!April2015_Prod_Inj="Inj",'Well Data-NK'!April2015_Spud_to_RR))))</f>
        <v>0</v>
      </c>
      <c r="I70" s="479">
        <v>68</v>
      </c>
    </row>
    <row r="71" spans="1:9" s="416" customFormat="1" x14ac:dyDescent="0.25">
      <c r="A71" s="479" t="s">
        <v>825</v>
      </c>
      <c r="B71" s="479" t="s">
        <v>815</v>
      </c>
      <c r="C71" s="479" t="s">
        <v>18</v>
      </c>
      <c r="D71" s="479" t="s">
        <v>34</v>
      </c>
      <c r="E71" s="479" t="s">
        <v>1052</v>
      </c>
      <c r="F71" s="479" t="s">
        <v>1897</v>
      </c>
      <c r="G71" s="480" t="e">
        <f t="array" aca="1" ref="G71" ca="1">AVERAGE(IF('Well Data-NK'!April2015_Form={"ZU","RT"},IF('Well Data-NK'!April2015_Well_Type="ST",IF('Well Data-NK'!April2015_Prod_Inj="Inj",'Well Data-NK'!April2015_Spud_to_RR))))</f>
        <v>#DIV/0!</v>
      </c>
      <c r="H71" s="479">
        <f t="array" aca="1" ref="H71" ca="1">COUNT(IF('Well Data-NK'!April2015_Form={"ZU","RT"},IF('Well Data-NK'!April2015_Well_Type="ST",IF('Well Data-NK'!April2015_Prod_Inj="Inj",'Well Data-NK'!April2015_Spud_to_RR))))</f>
        <v>0</v>
      </c>
      <c r="I71" s="479">
        <v>69</v>
      </c>
    </row>
    <row r="72" spans="1:9" s="416" customFormat="1" x14ac:dyDescent="0.25">
      <c r="A72" s="479" t="s">
        <v>816</v>
      </c>
      <c r="B72" s="479" t="s">
        <v>815</v>
      </c>
      <c r="C72" s="479" t="s">
        <v>18</v>
      </c>
      <c r="D72" s="479" t="s">
        <v>34</v>
      </c>
      <c r="E72" s="479" t="s">
        <v>1052</v>
      </c>
      <c r="F72" s="479" t="s">
        <v>1897</v>
      </c>
      <c r="G72" s="480">
        <f t="array" aca="1" ref="G72" ca="1">AVERAGE(IF('Well Data-NK'!April2015_Form={"ZU","RT","LB","UB","MA"},IF('Well Data-NK'!April2015_Well_Type="ST",IF('Well Data-NK'!April2015_Prod_Inj="Inj",'Well Data-NK'!April2015_Spud_to_RR))))</f>
        <v>51.635416666664241</v>
      </c>
      <c r="H72" s="479">
        <f t="array" aca="1" ref="H72" ca="1">COUNT(IF('Well Data-NK'!April2015_Form={"ZU","RT","LB","UB","MA"},IF('Well Data-NK'!April2015_Well_Type="ST",IF('Well Data-NK'!April2015_Prod_Inj="Inj",'Well Data-NK'!April2015_Spud_to_RR))))</f>
        <v>2</v>
      </c>
      <c r="I72" s="479">
        <v>70</v>
      </c>
    </row>
    <row r="73" spans="1:9" s="416" customFormat="1" x14ac:dyDescent="0.25">
      <c r="A73" s="292" t="s">
        <v>17</v>
      </c>
      <c r="B73" s="292" t="s">
        <v>814</v>
      </c>
      <c r="C73" s="292" t="s">
        <v>1059</v>
      </c>
      <c r="D73" s="292" t="s">
        <v>8</v>
      </c>
      <c r="E73" s="292" t="s">
        <v>1053</v>
      </c>
      <c r="F73" s="292" t="s">
        <v>1897</v>
      </c>
      <c r="G73" s="478"/>
      <c r="H73" s="292"/>
      <c r="I73" s="292">
        <v>71</v>
      </c>
    </row>
    <row r="74" spans="1:9" s="416" customFormat="1" x14ac:dyDescent="0.25">
      <c r="A74" s="292" t="s">
        <v>29</v>
      </c>
      <c r="B74" s="292" t="s">
        <v>814</v>
      </c>
      <c r="C74" s="292" t="s">
        <v>1059</v>
      </c>
      <c r="D74" s="292" t="s">
        <v>8</v>
      </c>
      <c r="E74" s="292" t="s">
        <v>1053</v>
      </c>
      <c r="F74" s="292" t="s">
        <v>1897</v>
      </c>
      <c r="G74" s="478"/>
      <c r="H74" s="292"/>
      <c r="I74" s="292">
        <v>72</v>
      </c>
    </row>
    <row r="75" spans="1:9" s="416" customFormat="1" x14ac:dyDescent="0.25">
      <c r="A75" s="292" t="s">
        <v>22</v>
      </c>
      <c r="B75" s="292" t="s">
        <v>814</v>
      </c>
      <c r="C75" s="292" t="s">
        <v>1059</v>
      </c>
      <c r="D75" s="292" t="s">
        <v>8</v>
      </c>
      <c r="E75" s="292" t="s">
        <v>1053</v>
      </c>
      <c r="F75" s="292" t="s">
        <v>1897</v>
      </c>
      <c r="G75" s="478"/>
      <c r="H75" s="292"/>
      <c r="I75" s="292">
        <v>73</v>
      </c>
    </row>
    <row r="76" spans="1:9" s="416" customFormat="1" x14ac:dyDescent="0.25">
      <c r="A76" s="292" t="s">
        <v>825</v>
      </c>
      <c r="B76" s="292" t="s">
        <v>814</v>
      </c>
      <c r="C76" s="292" t="s">
        <v>1059</v>
      </c>
      <c r="D76" s="292" t="s">
        <v>8</v>
      </c>
      <c r="E76" s="292" t="s">
        <v>1053</v>
      </c>
      <c r="F76" s="292" t="s">
        <v>1897</v>
      </c>
      <c r="G76" s="478"/>
      <c r="H76" s="292"/>
      <c r="I76" s="292">
        <v>74</v>
      </c>
    </row>
    <row r="77" spans="1:9" s="416" customFormat="1" x14ac:dyDescent="0.25">
      <c r="A77" s="292" t="s">
        <v>816</v>
      </c>
      <c r="B77" s="292" t="s">
        <v>814</v>
      </c>
      <c r="C77" s="292" t="s">
        <v>1059</v>
      </c>
      <c r="D77" s="292" t="s">
        <v>8</v>
      </c>
      <c r="E77" s="292" t="s">
        <v>1053</v>
      </c>
      <c r="F77" s="292" t="s">
        <v>1897</v>
      </c>
      <c r="G77" s="478"/>
      <c r="H77" s="292"/>
      <c r="I77" s="292">
        <v>75</v>
      </c>
    </row>
    <row r="78" spans="1:9" s="416" customFormat="1" x14ac:dyDescent="0.25">
      <c r="A78" s="479" t="s">
        <v>17</v>
      </c>
      <c r="B78" s="479" t="s">
        <v>815</v>
      </c>
      <c r="C78" s="479" t="s">
        <v>1059</v>
      </c>
      <c r="D78" s="479" t="s">
        <v>8</v>
      </c>
      <c r="E78" s="479" t="s">
        <v>1053</v>
      </c>
      <c r="F78" s="479" t="s">
        <v>1897</v>
      </c>
      <c r="G78" s="480"/>
      <c r="H78" s="479"/>
      <c r="I78" s="479">
        <v>76</v>
      </c>
    </row>
    <row r="79" spans="1:9" s="416" customFormat="1" x14ac:dyDescent="0.25">
      <c r="A79" s="479" t="s">
        <v>29</v>
      </c>
      <c r="B79" s="479" t="s">
        <v>815</v>
      </c>
      <c r="C79" s="479" t="s">
        <v>1059</v>
      </c>
      <c r="D79" s="479" t="s">
        <v>8</v>
      </c>
      <c r="E79" s="479" t="s">
        <v>1053</v>
      </c>
      <c r="F79" s="479" t="s">
        <v>1897</v>
      </c>
      <c r="G79" s="480"/>
      <c r="H79" s="479"/>
      <c r="I79" s="479">
        <v>77</v>
      </c>
    </row>
    <row r="80" spans="1:9" s="416" customFormat="1" x14ac:dyDescent="0.25">
      <c r="A80" s="479" t="s">
        <v>22</v>
      </c>
      <c r="B80" s="479" t="s">
        <v>815</v>
      </c>
      <c r="C80" s="479" t="s">
        <v>1059</v>
      </c>
      <c r="D80" s="479" t="s">
        <v>8</v>
      </c>
      <c r="E80" s="479" t="s">
        <v>1053</v>
      </c>
      <c r="F80" s="479" t="s">
        <v>1897</v>
      </c>
      <c r="G80" s="480"/>
      <c r="H80" s="479"/>
      <c r="I80" s="479">
        <v>78</v>
      </c>
    </row>
    <row r="81" spans="1:9" s="416" customFormat="1" x14ac:dyDescent="0.25">
      <c r="A81" s="479" t="s">
        <v>825</v>
      </c>
      <c r="B81" s="479" t="s">
        <v>815</v>
      </c>
      <c r="C81" s="479" t="s">
        <v>1059</v>
      </c>
      <c r="D81" s="479" t="s">
        <v>8</v>
      </c>
      <c r="E81" s="479" t="s">
        <v>1053</v>
      </c>
      <c r="F81" s="479" t="s">
        <v>1897</v>
      </c>
      <c r="G81" s="480"/>
      <c r="H81" s="479"/>
      <c r="I81" s="479">
        <v>79</v>
      </c>
    </row>
    <row r="82" spans="1:9" s="416" customFormat="1" x14ac:dyDescent="0.25">
      <c r="A82" s="479" t="s">
        <v>816</v>
      </c>
      <c r="B82" s="479" t="s">
        <v>815</v>
      </c>
      <c r="C82" s="479" t="s">
        <v>1059</v>
      </c>
      <c r="D82" s="479" t="s">
        <v>8</v>
      </c>
      <c r="E82" s="479" t="s">
        <v>1053</v>
      </c>
      <c r="F82" s="479" t="s">
        <v>1897</v>
      </c>
      <c r="G82" s="480"/>
      <c r="H82" s="479"/>
      <c r="I82" s="479">
        <v>80</v>
      </c>
    </row>
    <row r="83" spans="1:9" s="416" customFormat="1" x14ac:dyDescent="0.25">
      <c r="A83" s="292" t="s">
        <v>17</v>
      </c>
      <c r="B83" s="292" t="s">
        <v>814</v>
      </c>
      <c r="C83" s="292" t="s">
        <v>14</v>
      </c>
      <c r="D83" s="292" t="s">
        <v>8</v>
      </c>
      <c r="E83" s="292" t="s">
        <v>1053</v>
      </c>
      <c r="F83" s="292" t="s">
        <v>1897</v>
      </c>
      <c r="G83" s="478"/>
      <c r="H83" s="292"/>
      <c r="I83" s="292">
        <v>81</v>
      </c>
    </row>
    <row r="84" spans="1:9" s="416" customFormat="1" x14ac:dyDescent="0.25">
      <c r="A84" s="292" t="s">
        <v>29</v>
      </c>
      <c r="B84" s="292" t="s">
        <v>814</v>
      </c>
      <c r="C84" s="292" t="s">
        <v>14</v>
      </c>
      <c r="D84" s="292" t="s">
        <v>8</v>
      </c>
      <c r="E84" s="292" t="s">
        <v>1053</v>
      </c>
      <c r="F84" s="292" t="s">
        <v>1897</v>
      </c>
      <c r="G84" s="478"/>
      <c r="H84" s="292"/>
      <c r="I84" s="292">
        <v>82</v>
      </c>
    </row>
    <row r="85" spans="1:9" s="416" customFormat="1" x14ac:dyDescent="0.25">
      <c r="A85" s="292" t="s">
        <v>22</v>
      </c>
      <c r="B85" s="292" t="s">
        <v>814</v>
      </c>
      <c r="C85" s="292" t="s">
        <v>14</v>
      </c>
      <c r="D85" s="292" t="s">
        <v>8</v>
      </c>
      <c r="E85" s="292" t="s">
        <v>1053</v>
      </c>
      <c r="F85" s="292" t="s">
        <v>1897</v>
      </c>
      <c r="G85" s="478"/>
      <c r="H85" s="292"/>
      <c r="I85" s="292">
        <v>83</v>
      </c>
    </row>
    <row r="86" spans="1:9" s="416" customFormat="1" x14ac:dyDescent="0.25">
      <c r="A86" s="292" t="s">
        <v>825</v>
      </c>
      <c r="B86" s="292" t="s">
        <v>814</v>
      </c>
      <c r="C86" s="292" t="s">
        <v>14</v>
      </c>
      <c r="D86" s="292" t="s">
        <v>8</v>
      </c>
      <c r="E86" s="292" t="s">
        <v>1053</v>
      </c>
      <c r="F86" s="292" t="s">
        <v>1897</v>
      </c>
      <c r="G86" s="478"/>
      <c r="H86" s="292"/>
      <c r="I86" s="292">
        <v>84</v>
      </c>
    </row>
    <row r="87" spans="1:9" s="416" customFormat="1" x14ac:dyDescent="0.25">
      <c r="A87" s="292" t="s">
        <v>816</v>
      </c>
      <c r="B87" s="292" t="s">
        <v>814</v>
      </c>
      <c r="C87" s="292" t="s">
        <v>14</v>
      </c>
      <c r="D87" s="292" t="s">
        <v>8</v>
      </c>
      <c r="E87" s="292" t="s">
        <v>1053</v>
      </c>
      <c r="F87" s="292" t="s">
        <v>1897</v>
      </c>
      <c r="G87" s="478"/>
      <c r="H87" s="292"/>
      <c r="I87" s="292">
        <v>85</v>
      </c>
    </row>
    <row r="88" spans="1:9" s="416" customFormat="1" x14ac:dyDescent="0.25">
      <c r="A88" s="479" t="s">
        <v>17</v>
      </c>
      <c r="B88" s="479" t="s">
        <v>815</v>
      </c>
      <c r="C88" s="479" t="s">
        <v>14</v>
      </c>
      <c r="D88" s="479" t="s">
        <v>8</v>
      </c>
      <c r="E88" s="479" t="s">
        <v>1053</v>
      </c>
      <c r="F88" s="479" t="s">
        <v>1897</v>
      </c>
      <c r="G88" s="480">
        <f t="array" aca="1" ref="G88" ca="1">AVERAGE(IF('Well Data-NK'!April2015_Form={"MA"},IF('Well Data-NK'!April2015_Well_Type="NW",IF('Well Data-NK'!April2015_Spud_to_RR&lt;=PERCENTILE(IF('Well Data-NK'!April2015_Form={"MA"},IF('Well Data-NK'!April2015_Well_Type="NW",'Well Data-NK'!April2015_Spud_to_RR)),0.25),'Well Data-NK'!April2015_Spud_to_RR))))</f>
        <v>46.729166666669094</v>
      </c>
      <c r="H88" s="479">
        <f t="array" aca="1" ref="H88" ca="1">COUNT(IF('Well Data-NK'!April2015_Form={"MA"},IF('Well Data-NK'!April2015_Well_Type="NW",IF('Well Data-NK'!April2015_Spud_to_RR&lt;=PERCENTILE(IF('Well Data-NK'!April2015_Form={"MA"},IF('Well Data-NK'!April2015_Well_Type="NW",'Well Data-NK'!April2015_Spud_to_RR)),0.25),'Well Data-NK'!April2015_Spud_to_RR))))</f>
        <v>3</v>
      </c>
      <c r="I88" s="479">
        <v>86</v>
      </c>
    </row>
    <row r="89" spans="1:9" s="416" customFormat="1" x14ac:dyDescent="0.25">
      <c r="A89" s="479" t="s">
        <v>29</v>
      </c>
      <c r="B89" s="479" t="s">
        <v>815</v>
      </c>
      <c r="C89" s="479" t="s">
        <v>14</v>
      </c>
      <c r="D89" s="479" t="s">
        <v>8</v>
      </c>
      <c r="E89" s="479" t="s">
        <v>1053</v>
      </c>
      <c r="F89" s="479" t="s">
        <v>1897</v>
      </c>
      <c r="G89" s="480">
        <f t="array" aca="1" ref="G89" ca="1">AVERAGE(IF('Well Data-NK'!April2015_Form={"UB"},IF('Well Data-NK'!April2015_Well_Type="NW",IF('Well Data-NK'!April2015_Spud_to_RR&lt;=PERCENTILE(IF('Well Data-NK'!April2015_Form={"UB"},IF('Well Data-NK'!April2015_Well_Type="NW",'Well Data-NK'!April2015_Spud_to_RR)),0.25),'Well Data-NK'!April2015_Spud_to_RR))))</f>
        <v>49.75</v>
      </c>
      <c r="H89" s="479">
        <f t="array" aca="1" ref="H89" ca="1">COUNT(IF('Well Data-NK'!April2015_Form={"UB"},IF('Well Data-NK'!April2015_Well_Type="NW",IF('Well Data-NK'!April2015_Spud_to_RR&lt;=PERCENTILE(IF('Well Data-NK'!April2015_Form={"UB"},IF('Well Data-NK'!April2015_Well_Type="NW",'Well Data-NK'!April2015_Spud_to_RR)),0.25),'Well Data-NK'!April2015_Spud_to_RR))))</f>
        <v>1</v>
      </c>
      <c r="I89" s="479">
        <v>87</v>
      </c>
    </row>
    <row r="90" spans="1:9" s="416" customFormat="1" x14ac:dyDescent="0.25">
      <c r="A90" s="479" t="s">
        <v>22</v>
      </c>
      <c r="B90" s="479" t="s">
        <v>815</v>
      </c>
      <c r="C90" s="479" t="s">
        <v>14</v>
      </c>
      <c r="D90" s="479" t="s">
        <v>8</v>
      </c>
      <c r="E90" s="479" t="s">
        <v>1053</v>
      </c>
      <c r="F90" s="479" t="s">
        <v>1897</v>
      </c>
      <c r="G90" s="480">
        <f t="array" aca="1" ref="G90" ca="1">AVERAGE(IF('Well Data-NK'!April2015_Form={"LB"},IF('Well Data-NK'!April2015_Well_Type="NW",IF('Well Data-NK'!April2015_Spud_to_RR&lt;=PERCENTILE(IF('Well Data-NK'!April2015_Form={"LB"},IF('Well Data-NK'!April2015_Well_Type="NW",'Well Data-NK'!April2015_Spud_to_RR)),0.25),'Well Data-NK'!April2015_Spud_to_RR))))</f>
        <v>47.677083333332121</v>
      </c>
      <c r="H90" s="479">
        <f t="array" aca="1" ref="H90" ca="1">COUNT(IF('Well Data-NK'!April2015_Form={"LB"},IF('Well Data-NK'!April2015_Well_Type="NW",IF('Well Data-NK'!April2015_Spud_to_RR&lt;=PERCENTILE(IF('Well Data-NK'!April2015_Form={"LB"},IF('Well Data-NK'!April2015_Well_Type="NW",'Well Data-NK'!April2015_Spud_to_RR)),0.25),'Well Data-NK'!April2015_Spud_to_RR))))</f>
        <v>2</v>
      </c>
      <c r="I90" s="479">
        <v>88</v>
      </c>
    </row>
    <row r="91" spans="1:9" s="416" customFormat="1" x14ac:dyDescent="0.25">
      <c r="A91" s="479" t="s">
        <v>825</v>
      </c>
      <c r="B91" s="479" t="s">
        <v>815</v>
      </c>
      <c r="C91" s="479" t="s">
        <v>14</v>
      </c>
      <c r="D91" s="479" t="s">
        <v>8</v>
      </c>
      <c r="E91" s="479" t="s">
        <v>1053</v>
      </c>
      <c r="F91" s="479" t="s">
        <v>1897</v>
      </c>
      <c r="G91" s="480">
        <f t="array" aca="1" ref="G91" ca="1">AVERAGE(IF('Well Data-NK'!April2015_Form={"ZU","RT"},IF('Well Data-NK'!April2015_Well_Type="NW",IF('Well Data-NK'!April2015_Spud_to_RR&lt;=PERCENTILE(IF('Well Data-NK'!April2015_Form={"ZU","RT"},IF('Well Data-NK'!April2015_Well_Type="NW",'Well Data-NK'!April2015_Spud_to_RR)),0.25),'Well Data-NK'!April2015_Spud_to_RR))))</f>
        <v>59.6875</v>
      </c>
      <c r="H91" s="479">
        <f t="array" aca="1" ref="H91" ca="1">COUNT(IF('Well Data-NK'!April2015_Form={"ZU","RT"},IF('Well Data-NK'!April2015_Well_Type="NW",IF('Well Data-NK'!April2015_Spud_to_RR&lt;=PERCENTILE(IF('Well Data-NK'!April2015_Form={"ZU","RT"},IF('Well Data-NK'!April2015_Well_Type="NW",'Well Data-NK'!April2015_Spud_to_RR)),0.25),'Well Data-NK'!April2015_Spud_to_RR))))</f>
        <v>1</v>
      </c>
      <c r="I91" s="479">
        <v>89</v>
      </c>
    </row>
    <row r="92" spans="1:9" s="416" customFormat="1" x14ac:dyDescent="0.25">
      <c r="A92" s="479" t="s">
        <v>816</v>
      </c>
      <c r="B92" s="479" t="s">
        <v>815</v>
      </c>
      <c r="C92" s="479" t="s">
        <v>14</v>
      </c>
      <c r="D92" s="479" t="s">
        <v>8</v>
      </c>
      <c r="E92" s="479" t="s">
        <v>1053</v>
      </c>
      <c r="F92" s="479" t="s">
        <v>1897</v>
      </c>
      <c r="G92" s="480">
        <f t="array" aca="1" ref="G92" ca="1">AVERAGE(IF('Well Data-NK'!April2015_Form={"ZU","RT","LB","UB","MA"},IF('Well Data-NK'!April2015_Well_Type="NW",IF('Well Data-NK'!April2015_Spud_to_RR&lt;=PERCENTILE(IF('Well Data-NK'!April2015_Form={"ZU","RT","LB","UB","MA"},IF('Well Data-NK'!April2015_Well_Type="NW",'Well Data-NK'!April2015_Spud_to_RR)),0.25),'Well Data-NK'!April2015_Spud_to_RR))))</f>
        <v>47.898809523810215</v>
      </c>
      <c r="H92" s="479">
        <f t="array" aca="1" ref="H92" ca="1">COUNT(IF('Well Data-NK'!April2015_Form={"RT","ZU","LB","UB","MA"},IF('Well Data-NK'!April2015_Well_Type="NW",'Well Data-NK'!April2015_Spud_to_RR)))</f>
        <v>26</v>
      </c>
      <c r="I92" s="479">
        <v>90</v>
      </c>
    </row>
    <row r="93" spans="1:9" s="416" customFormat="1" x14ac:dyDescent="0.25">
      <c r="A93" s="292" t="s">
        <v>17</v>
      </c>
      <c r="B93" s="292" t="s">
        <v>814</v>
      </c>
      <c r="C93" s="292" t="s">
        <v>18</v>
      </c>
      <c r="D93" s="292" t="s">
        <v>8</v>
      </c>
      <c r="E93" s="292" t="s">
        <v>1053</v>
      </c>
      <c r="F93" s="292" t="s">
        <v>1897</v>
      </c>
      <c r="G93" s="478"/>
      <c r="H93" s="292"/>
      <c r="I93" s="292">
        <v>91</v>
      </c>
    </row>
    <row r="94" spans="1:9" s="416" customFormat="1" x14ac:dyDescent="0.25">
      <c r="A94" s="292" t="s">
        <v>29</v>
      </c>
      <c r="B94" s="292" t="s">
        <v>814</v>
      </c>
      <c r="C94" s="292" t="s">
        <v>18</v>
      </c>
      <c r="D94" s="292" t="s">
        <v>8</v>
      </c>
      <c r="E94" s="292" t="s">
        <v>1053</v>
      </c>
      <c r="F94" s="292" t="s">
        <v>1897</v>
      </c>
      <c r="G94" s="478"/>
      <c r="H94" s="292"/>
      <c r="I94" s="292">
        <v>92</v>
      </c>
    </row>
    <row r="95" spans="1:9" s="416" customFormat="1" x14ac:dyDescent="0.25">
      <c r="A95" s="292" t="s">
        <v>22</v>
      </c>
      <c r="B95" s="292" t="s">
        <v>814</v>
      </c>
      <c r="C95" s="292" t="s">
        <v>18</v>
      </c>
      <c r="D95" s="292" t="s">
        <v>8</v>
      </c>
      <c r="E95" s="292" t="s">
        <v>1053</v>
      </c>
      <c r="F95" s="292" t="s">
        <v>1897</v>
      </c>
      <c r="G95" s="478"/>
      <c r="H95" s="292"/>
      <c r="I95" s="292">
        <v>93</v>
      </c>
    </row>
    <row r="96" spans="1:9" s="416" customFormat="1" x14ac:dyDescent="0.25">
      <c r="A96" s="292" t="s">
        <v>825</v>
      </c>
      <c r="B96" s="292" t="s">
        <v>814</v>
      </c>
      <c r="C96" s="292" t="s">
        <v>18</v>
      </c>
      <c r="D96" s="292" t="s">
        <v>8</v>
      </c>
      <c r="E96" s="292" t="s">
        <v>1053</v>
      </c>
      <c r="F96" s="292" t="s">
        <v>1897</v>
      </c>
      <c r="G96" s="478"/>
      <c r="H96" s="292"/>
      <c r="I96" s="292">
        <v>94</v>
      </c>
    </row>
    <row r="97" spans="1:9" s="416" customFormat="1" x14ac:dyDescent="0.25">
      <c r="A97" s="292" t="s">
        <v>816</v>
      </c>
      <c r="B97" s="292" t="s">
        <v>814</v>
      </c>
      <c r="C97" s="292" t="s">
        <v>18</v>
      </c>
      <c r="D97" s="292" t="s">
        <v>8</v>
      </c>
      <c r="E97" s="292" t="s">
        <v>1053</v>
      </c>
      <c r="F97" s="292" t="s">
        <v>1897</v>
      </c>
      <c r="G97" s="478"/>
      <c r="H97" s="292"/>
      <c r="I97" s="292">
        <v>95</v>
      </c>
    </row>
    <row r="98" spans="1:9" s="416" customFormat="1" x14ac:dyDescent="0.25">
      <c r="A98" s="479" t="s">
        <v>17</v>
      </c>
      <c r="B98" s="479" t="s">
        <v>815</v>
      </c>
      <c r="C98" s="479" t="s">
        <v>18</v>
      </c>
      <c r="D98" s="479" t="s">
        <v>8</v>
      </c>
      <c r="E98" s="479" t="s">
        <v>1053</v>
      </c>
      <c r="F98" s="479" t="s">
        <v>1897</v>
      </c>
      <c r="G98" s="480">
        <f t="array" aca="1" ref="G98" ca="1">AVERAGE(IF('Well Data-NK'!April2015_Form={"MA"},IF('Well Data-NK'!April2015_Well_Type="ST",IF('Well Data-NK'!April2015_Spud_to_RR&lt;=PERCENTILE(IF('Well Data-NK'!April2015_Form={"MA"},IF('Well Data-NK'!April2015_Well_Type="ST",'Well Data-NK'!April2015_Spud_to_RR)),0.25),'Well Data-NK'!April2015_Spud_to_RR))))</f>
        <v>27.875</v>
      </c>
      <c r="H98" s="479">
        <f t="array" aca="1" ref="H98" ca="1">COUNT(IF('Well Data-NK'!April2015_Form={"MA"},IF('Well Data-NK'!April2015_Well_Type="ST",IF('Well Data-NK'!April2015_Spud_to_RR&lt;=PERCENTILE(IF('Well Data-NK'!April2015_Form={"MA"},IF('Well Data-NK'!April2015_Well_Type="ST",'Well Data-NK'!April2015_Spud_to_RR)),0.25),'Well Data-NK'!April2015_Spud_to_RR))))</f>
        <v>2</v>
      </c>
      <c r="I98" s="479">
        <v>96</v>
      </c>
    </row>
    <row r="99" spans="1:9" s="416" customFormat="1" x14ac:dyDescent="0.25">
      <c r="A99" s="479" t="s">
        <v>29</v>
      </c>
      <c r="B99" s="479" t="s">
        <v>815</v>
      </c>
      <c r="C99" s="479" t="s">
        <v>18</v>
      </c>
      <c r="D99" s="479" t="s">
        <v>8</v>
      </c>
      <c r="E99" s="479" t="s">
        <v>1053</v>
      </c>
      <c r="F99" s="479" t="s">
        <v>1897</v>
      </c>
      <c r="G99" s="480" t="e">
        <f t="array" aca="1" ref="G99" ca="1">AVERAGE(IF('Well Data-NK'!April2015_Form={"UB"},IF('Well Data-NK'!April2015_Well_Type="ST",IF('Well Data-NK'!April2015_Spud_to_RR&lt;=PERCENTILE(IF('Well Data-NK'!April2015_Form={"UB"},IF('Well Data-NK'!April2015_Well_Type="ST",'Well Data-NK'!April2015_Spud_to_RR)),0.25),'Well Data-NK'!April2015_Spud_to_RR))))</f>
        <v>#DIV/0!</v>
      </c>
      <c r="H99" s="479">
        <f t="array" aca="1" ref="H99" ca="1">COUNT(IF('Well Data-NK'!April2015_Form={"UB"},IF('Well Data-NK'!April2015_Well_Type="ST",IF('Well Data-NK'!April2015_Spud_to_RR&lt;=PERCENTILE(IF('Well Data-NK'!April2015_Form={"UB"},IF('Well Data-NK'!April2015_Well_Type="ST",'Well Data-NK'!April2015_Spud_to_RR)),0.25),'Well Data-NK'!April2015_Spud_to_RR))))</f>
        <v>0</v>
      </c>
      <c r="I99" s="479">
        <v>97</v>
      </c>
    </row>
    <row r="100" spans="1:9" s="416" customFormat="1" x14ac:dyDescent="0.25">
      <c r="A100" s="479" t="s">
        <v>22</v>
      </c>
      <c r="B100" s="479" t="s">
        <v>815</v>
      </c>
      <c r="C100" s="479" t="s">
        <v>18</v>
      </c>
      <c r="D100" s="479" t="s">
        <v>8</v>
      </c>
      <c r="E100" s="479" t="s">
        <v>1053</v>
      </c>
      <c r="F100" s="479" t="s">
        <v>1897</v>
      </c>
      <c r="G100" s="480" t="e">
        <f t="array" aca="1" ref="G100" ca="1">AVERAGE(IF('Well Data-NK'!April2015_Form={"LB"},IF('Well Data-NK'!April2015_Well_Type="ST",IF('Well Data-NK'!April2015_Spud_to_RR&lt;=PERCENTILE(IF('Well Data-NK'!April2015_Form={"LB"},IF('Well Data-NK'!April2015_Well_Type="ST",'Well Data-NK'!April2015_Spud_to_RR)),0.25),'Well Data-NK'!April2015_Spud_to_RR))))</f>
        <v>#DIV/0!</v>
      </c>
      <c r="H100" s="479">
        <f t="array" aca="1" ref="H100" ca="1">COUNT(IF('Well Data-NK'!April2015_Form={"LB"},IF('Well Data-NK'!April2015_Well_Type="ST",IF('Well Data-NK'!April2015_Spud_to_RR&lt;=PERCENTILE(IF('Well Data-NK'!April2015_Form={"LB"},IF('Well Data-NK'!April2015_Well_Type="ST",'Well Data-NK'!April2015_Spud_to_RR)),0.25),'Well Data-NK'!April2015_Spud_to_RR))))</f>
        <v>0</v>
      </c>
      <c r="I100" s="479">
        <v>98</v>
      </c>
    </row>
    <row r="101" spans="1:9" s="416" customFormat="1" x14ac:dyDescent="0.25">
      <c r="A101" s="479" t="s">
        <v>825</v>
      </c>
      <c r="B101" s="479" t="s">
        <v>815</v>
      </c>
      <c r="C101" s="479" t="s">
        <v>18</v>
      </c>
      <c r="D101" s="479" t="s">
        <v>8</v>
      </c>
      <c r="E101" s="479" t="s">
        <v>1053</v>
      </c>
      <c r="F101" s="479" t="s">
        <v>1897</v>
      </c>
      <c r="G101" s="480" t="e">
        <f t="array" aca="1" ref="G101" ca="1">AVERAGE(IF('Well Data-NK'!April2015_Form={"ZU","RT"},IF('Well Data-NK'!April2015_Well_Type="ST",IF('Well Data-NK'!April2015_Spud_to_RR&lt;=PERCENTILE(IF('Well Data-NK'!April2015_Form={"ZU","RT"},IF('Well Data-NK'!April2015_Well_Type="ST",'Well Data-NK'!April2015_Spud_to_RR)),0.25),'Well Data-NK'!April2015_Spud_to_RR))))</f>
        <v>#DIV/0!</v>
      </c>
      <c r="H101" s="479">
        <f t="array" aca="1" ref="H101" ca="1">COUNT(IF('Well Data-NK'!April2015_Form={"ZU","RT"},IF('Well Data-NK'!April2015_Well_Type="ST",IF('Well Data-NK'!April2015_Spud_to_RR&lt;=PERCENTILE(IF('Well Data-NK'!April2015_Form={"ZU","RT"},IF('Well Data-NK'!April2015_Well_Type="ST",'Well Data-NK'!April2015_Spud_to_RR)),0.25),'Well Data-NK'!April2015_Spud_to_RR))))</f>
        <v>0</v>
      </c>
      <c r="I101" s="479">
        <v>99</v>
      </c>
    </row>
    <row r="102" spans="1:9" s="416" customFormat="1" x14ac:dyDescent="0.25">
      <c r="A102" s="479" t="s">
        <v>816</v>
      </c>
      <c r="B102" s="479" t="s">
        <v>815</v>
      </c>
      <c r="C102" s="479" t="s">
        <v>18</v>
      </c>
      <c r="D102" s="479" t="s">
        <v>8</v>
      </c>
      <c r="E102" s="479" t="s">
        <v>1053</v>
      </c>
      <c r="F102" s="479" t="s">
        <v>1897</v>
      </c>
      <c r="G102" s="480">
        <f t="array" aca="1" ref="G102" ca="1">AVERAGE(IF('Well Data-NK'!April2015_Form={"ZU","RT","LB","UB","MA"},IF('Well Data-NK'!April2015_Well_Type="ST",IF('Well Data-NK'!April2015_Spud_to_RR&lt;=PERCENTILE(IF('Well Data-NK'!April2015_Form={"ZU","RT","LB","UB","MA"},IF('Well Data-NK'!April2015_Well_Type="ST",'Well Data-NK'!April2015_Spud_to_RR)),0.25),'Well Data-NK'!April2015_Spud_to_RR))))</f>
        <v>27.875</v>
      </c>
      <c r="H102" s="479">
        <f t="array" aca="1" ref="H102" ca="1">COUNT(IF('Well Data-NK'!April2015_Form={"ZU","RT","LB","UB","MA"},IF('Well Data-NK'!April2015_Well_Type="ST",IF('Well Data-NK'!April2015_Spud_to_RR&lt;=PERCENTILE(IF('Well Data-NK'!April2015_Form={"ZU","RT","LB","UB","MA"},IF('Well Data-NK'!April2015_Well_Type="ST",'Well Data-NK'!April2015_Spud_to_RR)),0.25),'Well Data-NK'!April2015_Spud_to_RR))))</f>
        <v>2</v>
      </c>
      <c r="I102" s="479">
        <v>100</v>
      </c>
    </row>
    <row r="103" spans="1:9" s="416" customFormat="1" x14ac:dyDescent="0.25">
      <c r="A103" s="292" t="s">
        <v>17</v>
      </c>
      <c r="B103" s="292" t="s">
        <v>814</v>
      </c>
      <c r="C103" s="292" t="s">
        <v>14</v>
      </c>
      <c r="D103" s="292" t="s">
        <v>298</v>
      </c>
      <c r="E103" s="292" t="s">
        <v>1053</v>
      </c>
      <c r="F103" s="292" t="s">
        <v>1897</v>
      </c>
      <c r="G103" s="478"/>
      <c r="H103" s="292"/>
      <c r="I103" s="292">
        <v>101</v>
      </c>
    </row>
    <row r="104" spans="1:9" s="416" customFormat="1" x14ac:dyDescent="0.25">
      <c r="A104" s="292" t="s">
        <v>29</v>
      </c>
      <c r="B104" s="292" t="s">
        <v>814</v>
      </c>
      <c r="C104" s="292" t="s">
        <v>14</v>
      </c>
      <c r="D104" s="292" t="s">
        <v>298</v>
      </c>
      <c r="E104" s="292" t="s">
        <v>1053</v>
      </c>
      <c r="F104" s="292" t="s">
        <v>1897</v>
      </c>
      <c r="G104" s="478"/>
      <c r="H104" s="292"/>
      <c r="I104" s="292">
        <v>102</v>
      </c>
    </row>
    <row r="105" spans="1:9" s="416" customFormat="1" x14ac:dyDescent="0.25">
      <c r="A105" s="292" t="s">
        <v>22</v>
      </c>
      <c r="B105" s="292" t="s">
        <v>814</v>
      </c>
      <c r="C105" s="292" t="s">
        <v>14</v>
      </c>
      <c r="D105" s="292" t="s">
        <v>298</v>
      </c>
      <c r="E105" s="292" t="s">
        <v>1053</v>
      </c>
      <c r="F105" s="292" t="s">
        <v>1897</v>
      </c>
      <c r="G105" s="478"/>
      <c r="H105" s="292"/>
      <c r="I105" s="292">
        <v>103</v>
      </c>
    </row>
    <row r="106" spans="1:9" s="416" customFormat="1" x14ac:dyDescent="0.25">
      <c r="A106" s="292" t="s">
        <v>825</v>
      </c>
      <c r="B106" s="292" t="s">
        <v>814</v>
      </c>
      <c r="C106" s="292" t="s">
        <v>14</v>
      </c>
      <c r="D106" s="292" t="s">
        <v>298</v>
      </c>
      <c r="E106" s="292" t="s">
        <v>1053</v>
      </c>
      <c r="F106" s="292" t="s">
        <v>1897</v>
      </c>
      <c r="G106" s="478"/>
      <c r="H106" s="292"/>
      <c r="I106" s="292">
        <v>104</v>
      </c>
    </row>
    <row r="107" spans="1:9" s="416" customFormat="1" x14ac:dyDescent="0.25">
      <c r="A107" s="292" t="s">
        <v>816</v>
      </c>
      <c r="B107" s="292" t="s">
        <v>814</v>
      </c>
      <c r="C107" s="292" t="s">
        <v>14</v>
      </c>
      <c r="D107" s="292" t="s">
        <v>298</v>
      </c>
      <c r="E107" s="292" t="s">
        <v>1053</v>
      </c>
      <c r="F107" s="292" t="s">
        <v>1897</v>
      </c>
      <c r="G107" s="478"/>
      <c r="H107" s="292"/>
      <c r="I107" s="292">
        <v>105</v>
      </c>
    </row>
    <row r="108" spans="1:9" s="416" customFormat="1" x14ac:dyDescent="0.25">
      <c r="A108" s="479" t="s">
        <v>17</v>
      </c>
      <c r="B108" s="479" t="s">
        <v>815</v>
      </c>
      <c r="C108" s="479" t="s">
        <v>14</v>
      </c>
      <c r="D108" s="479" t="s">
        <v>298</v>
      </c>
      <c r="E108" s="479" t="s">
        <v>1053</v>
      </c>
      <c r="F108" s="479" t="s">
        <v>1897</v>
      </c>
      <c r="G108" s="480">
        <f t="array" aca="1" ref="G108" ca="1">AVERAGE(IF('Well Data-NK'!April2015_Form={"MA"},IF('Well Data-NK'!April2015_Well_Type="NW",IF('Well Data-NK'!April2015_Prod_Inj="Prod",IF('Well Data-NK'!April2015_Spud_to_RR&lt;=PERCENTILE(IF('Well Data-NK'!April2015_Form={"MA"},IF('Well Data-NK'!April2015_Well_Type="NW",IF('Well Data-NK'!April2015_Prod_Inj="Prod",'Well Data-NK'!April2015_Spud_to_RR))),0.25),'Well Data-NK'!April2015_Spud_to_RR)))))</f>
        <v>50.951388888890506</v>
      </c>
      <c r="H108" s="479">
        <f t="array" aca="1" ref="H108" ca="1">COUNT(IF('Well Data-NK'!April2015_Form={"MA"},IF('Well Data-NK'!April2015_Well_Type="NW",IF('Well Data-NK'!April2015_Prod_Inj="Prod",IF('Well Data-NK'!April2015_Spud_to_RR&lt;=PERCENTILE(IF('Well Data-NK'!April2015_Form={"MA"},IF('Well Data-NK'!April2015_Well_Type="NW",IF('Well Data-NK'!April2015_Prod_Inj="Prod",'Well Data-NK'!April2015_Spud_to_RR))),0.25),'Well Data-NK'!April2015_Spud_to_RR)))))</f>
        <v>3</v>
      </c>
      <c r="I108" s="479">
        <v>106</v>
      </c>
    </row>
    <row r="109" spans="1:9" s="416" customFormat="1" x14ac:dyDescent="0.25">
      <c r="A109" s="479" t="s">
        <v>29</v>
      </c>
      <c r="B109" s="479" t="s">
        <v>815</v>
      </c>
      <c r="C109" s="479" t="s">
        <v>14</v>
      </c>
      <c r="D109" s="479" t="s">
        <v>298</v>
      </c>
      <c r="E109" s="479" t="s">
        <v>1053</v>
      </c>
      <c r="F109" s="479" t="s">
        <v>1897</v>
      </c>
      <c r="G109" s="480">
        <f t="array" aca="1" ref="G109" ca="1">AVERAGE(IF('Well Data-NK'!April2015_Form={"UB"},IF('Well Data-NK'!April2015_Well_Type="NW",IF('Well Data-NK'!April2015_Prod_Inj="Prod",IF('Well Data-NK'!April2015_Spud_to_RR&lt;=PERCENTILE(IF('Well Data-NK'!April2015_Form={"UB"},IF('Well Data-NK'!April2015_Well_Type="NW",IF('Well Data-NK'!April2015_Prod_Inj="Prod",'Well Data-NK'!April2015_Spud_to_RR))),0.25),'Well Data-NK'!April2015_Spud_to_RR)))))</f>
        <v>49.75</v>
      </c>
      <c r="H109" s="479">
        <f t="array" aca="1" ref="H109" ca="1">COUNT(IF('Well Data-NK'!April2015_Form={"UB"},IF('Well Data-NK'!April2015_Well_Type="NW",IF('Well Data-NK'!April2015_Prod_Inj="Prod",IF('Well Data-NK'!April2015_Spud_to_RR&lt;=PERCENTILE(IF('Well Data-NK'!April2015_Form={"UB"},IF('Well Data-NK'!April2015_Well_Type="NW",IF('Well Data-NK'!April2015_Prod_Inj="Prod",'Well Data-NK'!April2015_Spud_to_RR))),0.25),'Well Data-NK'!April2015_Spud_to_RR)))))</f>
        <v>1</v>
      </c>
      <c r="I109" s="479">
        <v>107</v>
      </c>
    </row>
    <row r="110" spans="1:9" s="416" customFormat="1" x14ac:dyDescent="0.25">
      <c r="A110" s="479" t="s">
        <v>22</v>
      </c>
      <c r="B110" s="479" t="s">
        <v>815</v>
      </c>
      <c r="C110" s="479" t="s">
        <v>14</v>
      </c>
      <c r="D110" s="479" t="s">
        <v>298</v>
      </c>
      <c r="E110" s="479" t="s">
        <v>1053</v>
      </c>
      <c r="F110" s="479" t="s">
        <v>1897</v>
      </c>
      <c r="G110" s="480">
        <f t="array" aca="1" ref="G110" ca="1">AVERAGE(IF('Well Data-NK'!April2015_Form={"LB"},IF('Well Data-NK'!April2015_Well_Type="NW",IF('Well Data-NK'!April2015_Prod_Inj="Prod",IF('Well Data-NK'!April2015_Spud_to_RR&lt;=PERCENTILE(IF('Well Data-NK'!April2015_Form={"LB"},IF('Well Data-NK'!April2015_Well_Type="NW",IF('Well Data-NK'!April2015_Prod_Inj="Prod",'Well Data-NK'!April2015_Spud_to_RR))),0.25),'Well Data-NK'!April2015_Spud_to_RR)))))</f>
        <v>47.677083333332121</v>
      </c>
      <c r="H110" s="479">
        <f t="array" aca="1" ref="H110" ca="1">COUNT(IF('Well Data-NK'!April2015_Form={"LB"},IF('Well Data-NK'!April2015_Well_Type="NW",IF('Well Data-NK'!April2015_Prod_Inj="Prod",IF('Well Data-NK'!April2015_Spud_to_RR&lt;=PERCENTILE(IF('Well Data-NK'!April2015_Form={"LB"},IF('Well Data-NK'!April2015_Well_Type="NW",IF('Well Data-NK'!April2015_Prod_Inj="Prod",'Well Data-NK'!April2015_Spud_to_RR))),0.25),'Well Data-NK'!April2015_Spud_to_RR)))))</f>
        <v>2</v>
      </c>
      <c r="I110" s="479">
        <v>108</v>
      </c>
    </row>
    <row r="111" spans="1:9" s="416" customFormat="1" x14ac:dyDescent="0.25">
      <c r="A111" s="479" t="s">
        <v>825</v>
      </c>
      <c r="B111" s="479" t="s">
        <v>815</v>
      </c>
      <c r="C111" s="479" t="s">
        <v>14</v>
      </c>
      <c r="D111" s="479" t="s">
        <v>298</v>
      </c>
      <c r="E111" s="479" t="s">
        <v>1053</v>
      </c>
      <c r="F111" s="479" t="s">
        <v>1897</v>
      </c>
      <c r="G111" s="480">
        <f t="array" aca="1" ref="G111" ca="1">AVERAGE(IF('Well Data-NK'!April2015_Form={"ZU","RT"},IF('Well Data-NK'!April2015_Well_Type="NW",IF('Well Data-NK'!April2015_Prod_Inj="Prod",IF('Well Data-NK'!April2015_Spud_to_RR&lt;=PERCENTILE(IF('Well Data-NK'!April2015_Form={"ZU","RT"},IF('Well Data-NK'!April2015_Well_Type="NW",IF('Well Data-NK'!April2015_Prod_Inj="Prod",'Well Data-NK'!April2015_Spud_to_RR))),0.25),'Well Data-NK'!April2015_Spud_to_RR)))))</f>
        <v>59.6875</v>
      </c>
      <c r="H111" s="479">
        <f t="array" aca="1" ref="H111" ca="1">COUNT(IF('Well Data-NK'!April2015_Form={"ZU","RT"},IF('Well Data-NK'!April2015_Well_Type="NW",IF('Well Data-NK'!April2015_Prod_Inj="Prod",IF('Well Data-NK'!April2015_Spud_to_RR&lt;=PERCENTILE(IF('Well Data-NK'!April2015_Form={"ZU","RT"},IF('Well Data-NK'!April2015_Well_Type="NW",IF('Well Data-NK'!April2015_Prod_Inj="Prod",'Well Data-NK'!April2015_Spud_to_RR))),0.25),'Well Data-NK'!April2015_Spud_to_RR)))))</f>
        <v>1</v>
      </c>
      <c r="I111" s="479">
        <v>109</v>
      </c>
    </row>
    <row r="112" spans="1:9" s="416" customFormat="1" x14ac:dyDescent="0.25">
      <c r="A112" s="479" t="s">
        <v>816</v>
      </c>
      <c r="B112" s="479" t="s">
        <v>815</v>
      </c>
      <c r="C112" s="479" t="s">
        <v>14</v>
      </c>
      <c r="D112" s="479" t="s">
        <v>298</v>
      </c>
      <c r="E112" s="479" t="s">
        <v>1053</v>
      </c>
      <c r="F112" s="479" t="s">
        <v>1897</v>
      </c>
      <c r="G112" s="480">
        <f t="array" aca="1" ref="G112" ca="1">AVERAGE(IF('Well Data-NK'!April2015_Form={"ZU","RT","LB","UB","MA"},IF('Well Data-NK'!April2015_Well_Type="NW",IF('Well Data-NK'!April2015_Prod_Inj="Prod",IF('Well Data-NK'!April2015_Spud_to_RR&lt;=PERCENTILE(IF('Well Data-NK'!April2015_Form={"ZU","RT","LB","UB","MA"},IF('Well Data-NK'!April2015_Well_Type="NW",IF('Well Data-NK'!April2015_Prod_Inj="Prod",'Well Data-NK'!April2015_Spud_to_RR))),0.25),'Well Data-NK'!April2015_Spud_to_RR)))))</f>
        <v>48.638888888889291</v>
      </c>
      <c r="H112" s="479">
        <f t="array" aca="1" ref="H112" ca="1">COUNT(IF('Well Data-NK'!April2015_Form={"ZU","RT","LB","UB","MA"},IF('Well Data-NK'!April2015_Well_Type="NW",IF('Well Data-NK'!April2015_Prod_Inj="Prod",IF('Well Data-NK'!April2015_Spud_to_RR&lt;=PERCENTILE(IF('Well Data-NK'!April2015_Form={"ZU","RT","LB","UB","MA"},IF('Well Data-NK'!April2015_Well_Type="NW",IF('Well Data-NK'!April2015_Prod_Inj="Prod",'Well Data-NK'!April2015_Spud_to_RR))),0.25),'Well Data-NK'!April2015_Spud_to_RR)))))</f>
        <v>6</v>
      </c>
      <c r="I112" s="479">
        <v>110</v>
      </c>
    </row>
    <row r="113" spans="1:9" s="416" customFormat="1" x14ac:dyDescent="0.25">
      <c r="A113" s="292" t="s">
        <v>17</v>
      </c>
      <c r="B113" s="292" t="s">
        <v>814</v>
      </c>
      <c r="C113" s="292" t="s">
        <v>18</v>
      </c>
      <c r="D113" s="292" t="s">
        <v>298</v>
      </c>
      <c r="E113" s="292" t="s">
        <v>1053</v>
      </c>
      <c r="F113" s="292" t="s">
        <v>1897</v>
      </c>
      <c r="G113" s="478"/>
      <c r="H113" s="292"/>
      <c r="I113" s="292">
        <v>111</v>
      </c>
    </row>
    <row r="114" spans="1:9" s="416" customFormat="1" x14ac:dyDescent="0.25">
      <c r="A114" s="292" t="s">
        <v>29</v>
      </c>
      <c r="B114" s="292" t="s">
        <v>814</v>
      </c>
      <c r="C114" s="292" t="s">
        <v>18</v>
      </c>
      <c r="D114" s="292" t="s">
        <v>298</v>
      </c>
      <c r="E114" s="292" t="s">
        <v>1053</v>
      </c>
      <c r="F114" s="292" t="s">
        <v>1897</v>
      </c>
      <c r="G114" s="478"/>
      <c r="H114" s="292"/>
      <c r="I114" s="292">
        <v>112</v>
      </c>
    </row>
    <row r="115" spans="1:9" s="416" customFormat="1" x14ac:dyDescent="0.25">
      <c r="A115" s="292" t="s">
        <v>22</v>
      </c>
      <c r="B115" s="292" t="s">
        <v>814</v>
      </c>
      <c r="C115" s="292" t="s">
        <v>18</v>
      </c>
      <c r="D115" s="292" t="s">
        <v>298</v>
      </c>
      <c r="E115" s="292" t="s">
        <v>1053</v>
      </c>
      <c r="F115" s="292" t="s">
        <v>1897</v>
      </c>
      <c r="G115" s="478"/>
      <c r="H115" s="292"/>
      <c r="I115" s="292">
        <v>113</v>
      </c>
    </row>
    <row r="116" spans="1:9" s="416" customFormat="1" x14ac:dyDescent="0.25">
      <c r="A116" s="292" t="s">
        <v>825</v>
      </c>
      <c r="B116" s="292" t="s">
        <v>814</v>
      </c>
      <c r="C116" s="292" t="s">
        <v>18</v>
      </c>
      <c r="D116" s="292" t="s">
        <v>298</v>
      </c>
      <c r="E116" s="292" t="s">
        <v>1053</v>
      </c>
      <c r="F116" s="292" t="s">
        <v>1897</v>
      </c>
      <c r="G116" s="478"/>
      <c r="H116" s="292"/>
      <c r="I116" s="292">
        <v>114</v>
      </c>
    </row>
    <row r="117" spans="1:9" s="416" customFormat="1" x14ac:dyDescent="0.25">
      <c r="A117" s="292" t="s">
        <v>816</v>
      </c>
      <c r="B117" s="292" t="s">
        <v>814</v>
      </c>
      <c r="C117" s="292" t="s">
        <v>18</v>
      </c>
      <c r="D117" s="292" t="s">
        <v>298</v>
      </c>
      <c r="E117" s="292" t="s">
        <v>1053</v>
      </c>
      <c r="F117" s="292" t="s">
        <v>1897</v>
      </c>
      <c r="G117" s="478"/>
      <c r="H117" s="292"/>
      <c r="I117" s="292">
        <v>115</v>
      </c>
    </row>
    <row r="118" spans="1:9" s="416" customFormat="1" x14ac:dyDescent="0.25">
      <c r="A118" s="479" t="s">
        <v>17</v>
      </c>
      <c r="B118" s="479" t="s">
        <v>815</v>
      </c>
      <c r="C118" s="479" t="s">
        <v>18</v>
      </c>
      <c r="D118" s="479" t="s">
        <v>298</v>
      </c>
      <c r="E118" s="479" t="s">
        <v>1053</v>
      </c>
      <c r="F118" s="479" t="s">
        <v>1897</v>
      </c>
      <c r="G118" s="480">
        <f t="array" aca="1" ref="G118" ca="1">AVERAGE(IF('Well Data-NK'!April2015_Form={"MA"},IF('Well Data-NK'!April2015_Well_Type="ST",IF('Well Data-NK'!April2015_Prod_Inj="Prod",IF('Well Data-NK'!April2015_Spud_to_RR&lt;=PERCENTILE(IF('Well Data-NK'!April2015_Form={"MA"},IF('Well Data-NK'!April2015_Well_Type="ST",IF('Well Data-NK'!April2015_Prod_Inj="Prod",'Well Data-NK'!April2015_Spud_to_RR))),0.25),'Well Data-NK'!April2015_Spud_to_RR)))))</f>
        <v>27.875</v>
      </c>
      <c r="H118" s="479">
        <f t="array" aca="1" ref="H118" ca="1">COUNT(IF('Well Data-NK'!April2015_Form={"MA"},IF('Well Data-NK'!April2015_Well_Type="ST",IF('Well Data-NK'!April2015_Prod_Inj="Prod",IF('Well Data-NK'!April2015_Spud_to_RR&lt;=PERCENTILE(IF('Well Data-NK'!April2015_Form={"MA"},IF('Well Data-NK'!April2015_Well_Type="ST",IF('Well Data-NK'!April2015_Prod_Inj="Prod",'Well Data-NK'!April2015_Spud_to_RR))),0.25),'Well Data-NK'!April2015_Spud_to_RR)))))</f>
        <v>2</v>
      </c>
      <c r="I118" s="479">
        <v>116</v>
      </c>
    </row>
    <row r="119" spans="1:9" s="416" customFormat="1" x14ac:dyDescent="0.25">
      <c r="A119" s="479" t="s">
        <v>29</v>
      </c>
      <c r="B119" s="479" t="s">
        <v>815</v>
      </c>
      <c r="C119" s="479" t="s">
        <v>18</v>
      </c>
      <c r="D119" s="479" t="s">
        <v>298</v>
      </c>
      <c r="E119" s="479" t="s">
        <v>1053</v>
      </c>
      <c r="F119" s="479" t="s">
        <v>1897</v>
      </c>
      <c r="G119" s="480" t="e">
        <f t="array" aca="1" ref="G119" ca="1">AVERAGE(IF('Well Data-NK'!April2015_Form={"UB"},IF('Well Data-NK'!April2015_Well_Type="ST",IF('Well Data-NK'!April2015_Prod_Inj="Prod",IF('Well Data-NK'!April2015_Spud_to_RR&lt;=PERCENTILE(IF('Well Data-NK'!April2015_Form={"UB"},IF('Well Data-NK'!April2015_Well_Type="ST",IF('Well Data-NK'!April2015_Prod_Inj="Prod",'Well Data-NK'!April2015_Spud_to_RR))),0.25),'Well Data-NK'!April2015_Spud_to_RR)))))</f>
        <v>#DIV/0!</v>
      </c>
      <c r="H119" s="479">
        <f t="array" aca="1" ref="H119" ca="1">COUNT(IF('Well Data-NK'!April2015_Form={"UB"},IF('Well Data-NK'!April2015_Well_Type="ST",IF('Well Data-NK'!April2015_Prod_Inj="Prod",IF('Well Data-NK'!April2015_Spud_to_RR&lt;=PERCENTILE(IF('Well Data-NK'!April2015_Form={"UB"},IF('Well Data-NK'!April2015_Well_Type="ST",IF('Well Data-NK'!April2015_Prod_Inj="Prod",'Well Data-NK'!April2015_Spud_to_RR))),0.25),'Well Data-NK'!April2015_Spud_to_RR)))))</f>
        <v>0</v>
      </c>
      <c r="I119" s="479">
        <v>117</v>
      </c>
    </row>
    <row r="120" spans="1:9" s="416" customFormat="1" x14ac:dyDescent="0.25">
      <c r="A120" s="479" t="s">
        <v>22</v>
      </c>
      <c r="B120" s="479" t="s">
        <v>815</v>
      </c>
      <c r="C120" s="479" t="s">
        <v>18</v>
      </c>
      <c r="D120" s="479" t="s">
        <v>298</v>
      </c>
      <c r="E120" s="479" t="s">
        <v>1053</v>
      </c>
      <c r="F120" s="479" t="s">
        <v>1897</v>
      </c>
      <c r="G120" s="480" t="e">
        <f t="array" aca="1" ref="G120" ca="1">AVERAGE(IF('Well Data-NK'!April2015_Form={"LB"},IF('Well Data-NK'!April2015_Well_Type="ST",IF('Well Data-NK'!April2015_Prod_Inj="Prod",IF('Well Data-NK'!April2015_Spud_to_RR&lt;=PERCENTILE(IF('Well Data-NK'!April2015_Form={"LB"},IF('Well Data-NK'!April2015_Well_Type="ST",IF('Well Data-NK'!April2015_Prod_Inj="Prod",'Well Data-NK'!April2015_Spud_to_RR))),0.25),'Well Data-NK'!April2015_Spud_to_RR)))))</f>
        <v>#DIV/0!</v>
      </c>
      <c r="H120" s="479">
        <f t="array" aca="1" ref="H120" ca="1">COUNT(IF('Well Data-NK'!April2015_Form={"LB"},IF('Well Data-NK'!April2015_Well_Type="ST",IF('Well Data-NK'!April2015_Prod_Inj="Prod",IF('Well Data-NK'!April2015_Spud_to_RR&lt;=PERCENTILE(IF('Well Data-NK'!April2015_Form={"LB"},IF('Well Data-NK'!April2015_Well_Type="ST",IF('Well Data-NK'!April2015_Prod_Inj="Prod",'Well Data-NK'!April2015_Spud_to_RR))),0.25),'Well Data-NK'!April2015_Spud_to_RR)))))</f>
        <v>0</v>
      </c>
      <c r="I120" s="479">
        <v>118</v>
      </c>
    </row>
    <row r="121" spans="1:9" s="416" customFormat="1" x14ac:dyDescent="0.25">
      <c r="A121" s="479" t="s">
        <v>825</v>
      </c>
      <c r="B121" s="479" t="s">
        <v>815</v>
      </c>
      <c r="C121" s="479" t="s">
        <v>18</v>
      </c>
      <c r="D121" s="479" t="s">
        <v>298</v>
      </c>
      <c r="E121" s="479" t="s">
        <v>1053</v>
      </c>
      <c r="F121" s="479" t="s">
        <v>1897</v>
      </c>
      <c r="G121" s="480" t="e">
        <f t="array" aca="1" ref="G121" ca="1">AVERAGE(IF('Well Data-NK'!April2015_Form={"ZU","RT"},IF('Well Data-NK'!April2015_Well_Type="ST",IF('Well Data-NK'!April2015_Prod_Inj="Prod",IF('Well Data-NK'!April2015_Spud_to_RR&lt;=PERCENTILE(IF('Well Data-NK'!April2015_Form={"ZU","RT"},IF('Well Data-NK'!April2015_Well_Type="ST",IF('Well Data-NK'!April2015_Prod_Inj="Prod",'Well Data-NK'!April2015_Spud_to_RR))),0.25),'Well Data-NK'!April2015_Spud_to_RR)))))</f>
        <v>#DIV/0!</v>
      </c>
      <c r="H121" s="479">
        <f t="array" aca="1" ref="H121" ca="1">COUNT(IF('Well Data-NK'!April2015_Form={"ZU","RT"},IF('Well Data-NK'!April2015_Well_Type="ST",IF('Well Data-NK'!April2015_Prod_Inj="Prod",IF('Well Data-NK'!April2015_Spud_to_RR&lt;=PERCENTILE(IF('Well Data-NK'!April2015_Form={"ZU","RT"},IF('Well Data-NK'!April2015_Well_Type="ST",IF('Well Data-NK'!April2015_Prod_Inj="Prod",'Well Data-NK'!April2015_Spud_to_RR))),0.25),'Well Data-NK'!April2015_Spud_to_RR)))))</f>
        <v>0</v>
      </c>
      <c r="I121" s="479">
        <v>119</v>
      </c>
    </row>
    <row r="122" spans="1:9" s="416" customFormat="1" x14ac:dyDescent="0.25">
      <c r="A122" s="479" t="s">
        <v>816</v>
      </c>
      <c r="B122" s="479" t="s">
        <v>815</v>
      </c>
      <c r="C122" s="479" t="s">
        <v>18</v>
      </c>
      <c r="D122" s="479" t="s">
        <v>298</v>
      </c>
      <c r="E122" s="479" t="s">
        <v>1053</v>
      </c>
      <c r="F122" s="479" t="s">
        <v>1897</v>
      </c>
      <c r="G122" s="480">
        <f t="array" aca="1" ref="G122" ca="1">AVERAGE(IF('Well Data-NK'!April2015_Form={"ZU","RT","LB","UB","MA"},IF('Well Data-NK'!April2015_Well_Type="ST",IF('Well Data-NK'!April2015_Prod_Inj="Prod",IF('Well Data-NK'!April2015_Spud_to_RR&lt;=PERCENTILE(IF('Well Data-NK'!April2015_Form={"ZU","RT","LB","UB","MA"},IF('Well Data-NK'!April2015_Well_Type="ST",IF('Well Data-NK'!April2015_Prod_Inj="Prod",'Well Data-NK'!April2015_Spud_to_RR))),0.25),'Well Data-NK'!April2015_Spud_to_RR)))))</f>
        <v>27.875</v>
      </c>
      <c r="H122" s="479">
        <f t="array" aca="1" ref="H122" ca="1">COUNT(IF('Well Data-NK'!April2015_Form={"ZU","RT","LB","UB","MA"},IF('Well Data-NK'!April2015_Well_Type="ST",IF('Well Data-NK'!April2015_Prod_Inj="Prod",IF('Well Data-NK'!April2015_Spud_to_RR&lt;=PERCENTILE(IF('Well Data-NK'!April2015_Form={"ZU","RT","LB","UB","MA"},IF('Well Data-NK'!April2015_Well_Type="ST",IF('Well Data-NK'!April2015_Prod_Inj="Prod",'Well Data-NK'!April2015_Spud_to_RR))),0.25),'Well Data-NK'!April2015_Spud_to_RR)))))</f>
        <v>2</v>
      </c>
      <c r="I122" s="479">
        <v>120</v>
      </c>
    </row>
    <row r="123" spans="1:9" s="416" customFormat="1" x14ac:dyDescent="0.25">
      <c r="A123" s="292" t="s">
        <v>17</v>
      </c>
      <c r="B123" s="292" t="s">
        <v>814</v>
      </c>
      <c r="C123" s="292" t="s">
        <v>14</v>
      </c>
      <c r="D123" s="292" t="s">
        <v>34</v>
      </c>
      <c r="E123" s="292" t="s">
        <v>1053</v>
      </c>
      <c r="F123" s="292" t="s">
        <v>1897</v>
      </c>
      <c r="G123" s="478"/>
      <c r="H123" s="292"/>
      <c r="I123" s="292">
        <v>121</v>
      </c>
    </row>
    <row r="124" spans="1:9" s="416" customFormat="1" x14ac:dyDescent="0.25">
      <c r="A124" s="292" t="s">
        <v>29</v>
      </c>
      <c r="B124" s="292" t="s">
        <v>814</v>
      </c>
      <c r="C124" s="292" t="s">
        <v>14</v>
      </c>
      <c r="D124" s="292" t="s">
        <v>34</v>
      </c>
      <c r="E124" s="292" t="s">
        <v>1053</v>
      </c>
      <c r="F124" s="292" t="s">
        <v>1897</v>
      </c>
      <c r="G124" s="478"/>
      <c r="H124" s="292"/>
      <c r="I124" s="292">
        <v>122</v>
      </c>
    </row>
    <row r="125" spans="1:9" s="416" customFormat="1" x14ac:dyDescent="0.25">
      <c r="A125" s="292" t="s">
        <v>22</v>
      </c>
      <c r="B125" s="292" t="s">
        <v>814</v>
      </c>
      <c r="C125" s="292" t="s">
        <v>14</v>
      </c>
      <c r="D125" s="292" t="s">
        <v>34</v>
      </c>
      <c r="E125" s="292" t="s">
        <v>1053</v>
      </c>
      <c r="F125" s="292" t="s">
        <v>1897</v>
      </c>
      <c r="G125" s="478"/>
      <c r="H125" s="292"/>
      <c r="I125" s="292">
        <v>123</v>
      </c>
    </row>
    <row r="126" spans="1:9" s="416" customFormat="1" x14ac:dyDescent="0.25">
      <c r="A126" s="292" t="s">
        <v>825</v>
      </c>
      <c r="B126" s="292" t="s">
        <v>814</v>
      </c>
      <c r="C126" s="292" t="s">
        <v>14</v>
      </c>
      <c r="D126" s="292" t="s">
        <v>34</v>
      </c>
      <c r="E126" s="292" t="s">
        <v>1053</v>
      </c>
      <c r="F126" s="292" t="s">
        <v>1897</v>
      </c>
      <c r="G126" s="478"/>
      <c r="H126" s="292"/>
      <c r="I126" s="292">
        <v>124</v>
      </c>
    </row>
    <row r="127" spans="1:9" s="416" customFormat="1" x14ac:dyDescent="0.25">
      <c r="A127" s="292" t="s">
        <v>816</v>
      </c>
      <c r="B127" s="292" t="s">
        <v>814</v>
      </c>
      <c r="C127" s="292" t="s">
        <v>14</v>
      </c>
      <c r="D127" s="292" t="s">
        <v>34</v>
      </c>
      <c r="E127" s="292" t="s">
        <v>1053</v>
      </c>
      <c r="F127" s="292" t="s">
        <v>1897</v>
      </c>
      <c r="G127" s="478"/>
      <c r="H127" s="292"/>
      <c r="I127" s="292">
        <v>125</v>
      </c>
    </row>
    <row r="128" spans="1:9" s="416" customFormat="1" x14ac:dyDescent="0.25">
      <c r="A128" s="479" t="s">
        <v>17</v>
      </c>
      <c r="B128" s="479" t="s">
        <v>815</v>
      </c>
      <c r="C128" s="479" t="s">
        <v>14</v>
      </c>
      <c r="D128" s="479" t="s">
        <v>34</v>
      </c>
      <c r="E128" s="479" t="s">
        <v>1053</v>
      </c>
      <c r="F128" s="479" t="s">
        <v>1897</v>
      </c>
      <c r="G128" s="480">
        <f t="array" aca="1" ref="G128" ca="1">AVERAGE(IF('Well Data-NK'!April2015_Form={"MA"},IF('Well Data-NK'!April2015_Well_Type="NW",IF('Well Data-NK'!April2015_Prod_Inj="Inj",IF('Well Data-NK'!April2015_Spud_to_RR&lt;=PERCENTILE(IF('Well Data-NK'!April2015_Form={"MA"},IF('Well Data-NK'!April2015_Well_Type="NW",IF('Well Data-NK'!April2015_Prod_Inj="Inj",'Well Data-NK'!April2015_Spud_to_RR))),0.25),'Well Data-NK'!April2015_Spud_to_RR)))))</f>
        <v>43.458333333335759</v>
      </c>
      <c r="H128" s="479">
        <f t="array" aca="1" ref="H128" ca="1">COUNT(IF('Well Data-NK'!April2015_Form={"MA"},IF('Well Data-NK'!April2015_Well_Type="NW",IF('Well Data-NK'!April2015_Prod_Inj="Inj",IF('Well Data-NK'!April2015_Spud_to_RR&lt;=PERCENTILE(IF('Well Data-NK'!April2015_Form={"MA"},IF('Well Data-NK'!April2015_Well_Type="NW",IF('Well Data-NK'!April2015_Prod_Inj="Inj",'Well Data-NK'!April2015_Spud_to_RR))),0.25),'Well Data-NK'!April2015_Spud_to_RR)))))</f>
        <v>1</v>
      </c>
      <c r="I128" s="479">
        <v>126</v>
      </c>
    </row>
    <row r="129" spans="1:9" s="416" customFormat="1" x14ac:dyDescent="0.25">
      <c r="A129" s="479" t="s">
        <v>29</v>
      </c>
      <c r="B129" s="479" t="s">
        <v>815</v>
      </c>
      <c r="C129" s="479" t="s">
        <v>14</v>
      </c>
      <c r="D129" s="479" t="s">
        <v>34</v>
      </c>
      <c r="E129" s="479" t="s">
        <v>1053</v>
      </c>
      <c r="F129" s="479" t="s">
        <v>1897</v>
      </c>
      <c r="G129" s="480" t="e">
        <f t="array" aca="1" ref="G129" ca="1">AVERAGE(IF('Well Data-NK'!April2015_Form={"UB"},IF('Well Data-NK'!April2015_Well_Type="NW",IF('Well Data-NK'!April2015_Prod_Inj="Inj",IF('Well Data-NK'!April2015_Spud_to_RR&lt;=PERCENTILE(IF('Well Data-NK'!April2015_Form={"UB"},IF('Well Data-NK'!April2015_Well_Type="NW",IF('Well Data-NK'!April2015_Prod_Inj="Inj",'Well Data-NK'!April2015_Spud_to_RR))),0.25),'Well Data-NK'!April2015_Spud_to_RR)))))</f>
        <v>#DIV/0!</v>
      </c>
      <c r="H129" s="479">
        <f t="array" aca="1" ref="H129" ca="1">COUNT(IF('Well Data-NK'!April2015_Form={"UB"},IF('Well Data-NK'!April2015_Well_Type="NW",IF('Well Data-NK'!April2015_Prod_Inj="Inj",IF('Well Data-NK'!April2015_Spud_to_RR&lt;=PERCENTILE(IF('Well Data-NK'!April2015_Form={"UB"},IF('Well Data-NK'!April2015_Well_Type="NW",IF('Well Data-NK'!April2015_Prod_Inj="Inj",'Well Data-NK'!April2015_Spud_to_RR))),0.25),'Well Data-NK'!April2015_Spud_to_RR)))))</f>
        <v>0</v>
      </c>
      <c r="I129" s="479">
        <v>127</v>
      </c>
    </row>
    <row r="130" spans="1:9" s="416" customFormat="1" x14ac:dyDescent="0.25">
      <c r="A130" s="479" t="s">
        <v>22</v>
      </c>
      <c r="B130" s="479" t="s">
        <v>815</v>
      </c>
      <c r="C130" s="479" t="s">
        <v>14</v>
      </c>
      <c r="D130" s="479" t="s">
        <v>34</v>
      </c>
      <c r="E130" s="479" t="s">
        <v>1053</v>
      </c>
      <c r="F130" s="479" t="s">
        <v>1897</v>
      </c>
      <c r="G130" s="480" t="e">
        <f t="array" aca="1" ref="G130" ca="1">AVERAGE(IF('Well Data-NK'!April2015_Form={"LB"},IF('Well Data-NK'!April2015_Well_Type="NW",IF('Well Data-NK'!April2015_Prod_Inj="Inj",IF('Well Data-NK'!April2015_Spud_to_RR&lt;=PERCENTILE(IF('Well Data-NK'!April2015_Form={"LB"},IF('Well Data-NK'!April2015_Well_Type="NW",IF('Well Data-NK'!April2015_Prod_Inj="Inj",'Well Data-NK'!April2015_Spud_to_RR))),0.25),'Well Data-NK'!April2015_Spud_to_RR)))))</f>
        <v>#DIV/0!</v>
      </c>
      <c r="H130" s="479">
        <f t="array" aca="1" ref="H130" ca="1">COUNT(IF('Well Data-NK'!April2015_Form={"LB"},IF('Well Data-NK'!April2015_Well_Type="NW",IF('Well Data-NK'!April2015_Prod_Inj="Inj",IF('Well Data-NK'!April2015_Spud_to_RR&lt;=PERCENTILE(IF('Well Data-NK'!April2015_Form={"LB"},IF('Well Data-NK'!April2015_Well_Type="NW",IF('Well Data-NK'!April2015_Prod_Inj="Inj",'Well Data-NK'!April2015_Spud_to_RR))),0.25),'Well Data-NK'!April2015_Spud_to_RR)))))</f>
        <v>0</v>
      </c>
      <c r="I130" s="479">
        <v>128</v>
      </c>
    </row>
    <row r="131" spans="1:9" s="416" customFormat="1" x14ac:dyDescent="0.25">
      <c r="A131" s="479" t="s">
        <v>825</v>
      </c>
      <c r="B131" s="479" t="s">
        <v>815</v>
      </c>
      <c r="C131" s="479" t="s">
        <v>14</v>
      </c>
      <c r="D131" s="479" t="s">
        <v>34</v>
      </c>
      <c r="E131" s="479" t="s">
        <v>1053</v>
      </c>
      <c r="F131" s="479" t="s">
        <v>1897</v>
      </c>
      <c r="G131" s="480" t="e">
        <f t="array" aca="1" ref="G131" ca="1">AVERAGE(IF('Well Data-NK'!April2015_Form={"ZU","RT"},IF('Well Data-NK'!April2015_Well_Type="NW",IF('Well Data-NK'!April2015_Prod_Inj="Inj",IF('Well Data-NK'!April2015_Spud_to_RR&lt;=PERCENTILE(IF('Well Data-NK'!April2015_Form={"ZU","RT"},IF('Well Data-NK'!April2015_Well_Type="NW",IF('Well Data-NK'!April2015_Prod_Inj="Inj",'Well Data-NK'!April2015_Spud_to_RR))),0.25),'Well Data-NK'!April2015_Spud_to_RR)))))</f>
        <v>#DIV/0!</v>
      </c>
      <c r="H131" s="479">
        <f t="array" aca="1" ref="H131" ca="1">COUNT(IF('Well Data-NK'!April2015_Form={"ZU","RT"},IF('Well Data-NK'!April2015_Well_Type="NW",IF('Well Data-NK'!April2015_Prod_Inj="Inj",IF('Well Data-NK'!April2015_Spud_to_RR&lt;=PERCENTILE(IF('Well Data-NK'!April2015_Form={"ZU","RT"},IF('Well Data-NK'!April2015_Well_Type="NW",IF('Well Data-NK'!April2015_Prod_Inj="Inj",'Well Data-NK'!April2015_Spud_to_RR))),0.25),'Well Data-NK'!April2015_Spud_to_RR)))))</f>
        <v>0</v>
      </c>
      <c r="I131" s="479">
        <v>129</v>
      </c>
    </row>
    <row r="132" spans="1:9" s="416" customFormat="1" x14ac:dyDescent="0.25">
      <c r="A132" s="479" t="s">
        <v>816</v>
      </c>
      <c r="B132" s="479" t="s">
        <v>815</v>
      </c>
      <c r="C132" s="479" t="s">
        <v>14</v>
      </c>
      <c r="D132" s="479" t="s">
        <v>34</v>
      </c>
      <c r="E132" s="479" t="s">
        <v>1053</v>
      </c>
      <c r="F132" s="479" t="s">
        <v>1897</v>
      </c>
      <c r="G132" s="480">
        <f t="array" aca="1" ref="G132" ca="1">AVERAGE(IF('Well Data-NK'!April2015_Form={"ZU","RT","LB","UB","MA"},IF('Well Data-NK'!April2015_Well_Type="NW",IF('Well Data-NK'!April2015_Prod_Inj="Inj",IF('Well Data-NK'!April2015_Spud_to_RR&lt;=PERCENTILE(IF('Well Data-NK'!April2015_Form={"ZU","RT","LB","UB","MA"},IF('Well Data-NK'!April2015_Well_Type="NW",IF('Well Data-NK'!April2015_Prod_Inj="Inj",'Well Data-NK'!April2015_Spud_to_RR))),0.25),'Well Data-NK'!April2015_Spud_to_RR)))))</f>
        <v>43.458333333335759</v>
      </c>
      <c r="H132" s="479">
        <f t="array" aca="1" ref="H132" ca="1">COUNT(IF('Well Data-NK'!April2015_Form={"ZU","RT","LB","UB","MA"},IF('Well Data-NK'!April2015_Well_Type="NW",IF('Well Data-NK'!April2015_Prod_Inj="Inj",IF('Well Data-NK'!April2015_Spud_to_RR&lt;=PERCENTILE(IF('Well Data-NK'!April2015_Form={"ZU","RT","LB","UB","MA"},IF('Well Data-NK'!April2015_Well_Type="NW",IF('Well Data-NK'!April2015_Prod_Inj="Inj",'Well Data-NK'!April2015_Spud_to_RR))),0.25),'Well Data-NK'!April2015_Spud_to_RR)))))</f>
        <v>1</v>
      </c>
      <c r="I132" s="479">
        <v>130</v>
      </c>
    </row>
    <row r="133" spans="1:9" s="416" customFormat="1" x14ac:dyDescent="0.25">
      <c r="A133" s="292" t="s">
        <v>17</v>
      </c>
      <c r="B133" s="292" t="s">
        <v>814</v>
      </c>
      <c r="C133" s="292" t="s">
        <v>18</v>
      </c>
      <c r="D133" s="292" t="s">
        <v>34</v>
      </c>
      <c r="E133" s="292" t="s">
        <v>1053</v>
      </c>
      <c r="F133" s="292" t="s">
        <v>1897</v>
      </c>
      <c r="G133" s="478"/>
      <c r="H133" s="292"/>
      <c r="I133" s="292">
        <v>131</v>
      </c>
    </row>
    <row r="134" spans="1:9" s="416" customFormat="1" x14ac:dyDescent="0.25">
      <c r="A134" s="292" t="s">
        <v>29</v>
      </c>
      <c r="B134" s="292" t="s">
        <v>814</v>
      </c>
      <c r="C134" s="292" t="s">
        <v>18</v>
      </c>
      <c r="D134" s="292" t="s">
        <v>34</v>
      </c>
      <c r="E134" s="292" t="s">
        <v>1053</v>
      </c>
      <c r="F134" s="292" t="s">
        <v>1897</v>
      </c>
      <c r="G134" s="478"/>
      <c r="H134" s="292"/>
      <c r="I134" s="292">
        <v>132</v>
      </c>
    </row>
    <row r="135" spans="1:9" s="416" customFormat="1" x14ac:dyDescent="0.25">
      <c r="A135" s="292" t="s">
        <v>22</v>
      </c>
      <c r="B135" s="292" t="s">
        <v>814</v>
      </c>
      <c r="C135" s="292" t="s">
        <v>18</v>
      </c>
      <c r="D135" s="292" t="s">
        <v>34</v>
      </c>
      <c r="E135" s="292" t="s">
        <v>1053</v>
      </c>
      <c r="F135" s="292" t="s">
        <v>1897</v>
      </c>
      <c r="G135" s="478"/>
      <c r="H135" s="292"/>
      <c r="I135" s="292">
        <v>133</v>
      </c>
    </row>
    <row r="136" spans="1:9" s="416" customFormat="1" x14ac:dyDescent="0.25">
      <c r="A136" s="292" t="s">
        <v>825</v>
      </c>
      <c r="B136" s="292" t="s">
        <v>814</v>
      </c>
      <c r="C136" s="292" t="s">
        <v>18</v>
      </c>
      <c r="D136" s="292" t="s">
        <v>34</v>
      </c>
      <c r="E136" s="292" t="s">
        <v>1053</v>
      </c>
      <c r="F136" s="292" t="s">
        <v>1897</v>
      </c>
      <c r="G136" s="478"/>
      <c r="H136" s="292"/>
      <c r="I136" s="292">
        <v>134</v>
      </c>
    </row>
    <row r="137" spans="1:9" s="416" customFormat="1" x14ac:dyDescent="0.25">
      <c r="A137" s="292" t="s">
        <v>816</v>
      </c>
      <c r="B137" s="292" t="s">
        <v>814</v>
      </c>
      <c r="C137" s="292" t="s">
        <v>18</v>
      </c>
      <c r="D137" s="292" t="s">
        <v>34</v>
      </c>
      <c r="E137" s="292" t="s">
        <v>1053</v>
      </c>
      <c r="F137" s="292" t="s">
        <v>1897</v>
      </c>
      <c r="G137" s="478"/>
      <c r="H137" s="292"/>
      <c r="I137" s="292">
        <v>135</v>
      </c>
    </row>
    <row r="138" spans="1:9" s="416" customFormat="1" x14ac:dyDescent="0.25">
      <c r="A138" s="479" t="s">
        <v>17</v>
      </c>
      <c r="B138" s="479" t="s">
        <v>815</v>
      </c>
      <c r="C138" s="479" t="s">
        <v>18</v>
      </c>
      <c r="D138" s="479" t="s">
        <v>34</v>
      </c>
      <c r="E138" s="479" t="s">
        <v>1053</v>
      </c>
      <c r="F138" s="479" t="s">
        <v>1897</v>
      </c>
      <c r="G138" s="480">
        <f t="array" aca="1" ref="G138" ca="1">AVERAGE(IF('Well Data-NK'!April2015_Form={"MA"},IF('Well Data-NK'!April2015_Well_Type="ST",IF('Well Data-NK'!April2015_Prod_Inj="Inj",IF('Well Data-NK'!April2015_Spud_to_RR&lt;=PERCENTILE(IF('Well Data-NK'!April2015_Form={"MA"},IF('Well Data-NK'!April2015_Well_Type="ST",IF('Well Data-NK'!April2015_Prod_Inj="Inj",'Well Data-NK'!April2015_Spud_to_RR))),0.25),'Well Data-NK'!April2015_Spud_to_RR)))))</f>
        <v>41.979166666664241</v>
      </c>
      <c r="H138" s="479">
        <f t="array" aca="1" ref="H138" ca="1">COUNT(IF('Well Data-NK'!April2015_Form={"MA"},IF('Well Data-NK'!April2015_Well_Type="ST",IF('Well Data-NK'!April2015_Prod_Inj="Inj",IF('Well Data-NK'!April2015_Spud_to_RR&lt;=PERCENTILE(IF('Well Data-NK'!April2015_Form={"MA"},IF('Well Data-NK'!April2015_Well_Type="ST",IF('Well Data-NK'!April2015_Prod_Inj="Inj",'Well Data-NK'!April2015_Spud_to_RR))),0.25),'Well Data-NK'!April2015_Spud_to_RR)))))</f>
        <v>1</v>
      </c>
      <c r="I138" s="479">
        <v>136</v>
      </c>
    </row>
    <row r="139" spans="1:9" s="416" customFormat="1" x14ac:dyDescent="0.25">
      <c r="A139" s="479" t="s">
        <v>29</v>
      </c>
      <c r="B139" s="479" t="s">
        <v>815</v>
      </c>
      <c r="C139" s="479" t="s">
        <v>18</v>
      </c>
      <c r="D139" s="479" t="s">
        <v>34</v>
      </c>
      <c r="E139" s="479" t="s">
        <v>1053</v>
      </c>
      <c r="F139" s="479" t="s">
        <v>1897</v>
      </c>
      <c r="G139" s="480" t="e">
        <f t="array" aca="1" ref="G139" ca="1">AVERAGE(IF('Well Data-NK'!April2015_Form={"UB"},IF('Well Data-NK'!April2015_Well_Type="ST",IF('Well Data-NK'!April2015_Prod_Inj="Inj",IF('Well Data-NK'!April2015_Spud_to_RR&lt;=PERCENTILE(IF('Well Data-NK'!April2015_Form={"UB"},IF('Well Data-NK'!April2015_Well_Type="ST",IF('Well Data-NK'!April2015_Prod_Inj="Inj",'Well Data-NK'!April2015_Spud_to_RR))),0.25),'Well Data-NK'!April2015_Spud_to_RR)))))</f>
        <v>#DIV/0!</v>
      </c>
      <c r="H139" s="479">
        <f t="array" aca="1" ref="H139" ca="1">COUNT(IF('Well Data-NK'!April2015_Form={"UB"},IF('Well Data-NK'!April2015_Well_Type="ST",IF('Well Data-NK'!April2015_Prod_Inj="Inj",IF('Well Data-NK'!April2015_Spud_to_RR&lt;=PERCENTILE(IF('Well Data-NK'!April2015_Form={"UB"},IF('Well Data-NK'!April2015_Well_Type="ST",IF('Well Data-NK'!April2015_Prod_Inj="Inj",'Well Data-NK'!April2015_Spud_to_RR))),0.25),'Well Data-NK'!April2015_Spud_to_RR)))))</f>
        <v>0</v>
      </c>
      <c r="I139" s="479">
        <v>137</v>
      </c>
    </row>
    <row r="140" spans="1:9" s="416" customFormat="1" x14ac:dyDescent="0.25">
      <c r="A140" s="479" t="s">
        <v>22</v>
      </c>
      <c r="B140" s="479" t="s">
        <v>815</v>
      </c>
      <c r="C140" s="479" t="s">
        <v>18</v>
      </c>
      <c r="D140" s="479" t="s">
        <v>34</v>
      </c>
      <c r="E140" s="479" t="s">
        <v>1053</v>
      </c>
      <c r="F140" s="479" t="s">
        <v>1897</v>
      </c>
      <c r="G140" s="480" t="e">
        <f t="array" aca="1" ref="G140" ca="1">AVERAGE(IF('Well Data-NK'!April2015_Form={"LB"},IF('Well Data-NK'!April2015_Well_Type="ST",IF('Well Data-NK'!April2015_Prod_Inj="Inj",IF('Well Data-NK'!April2015_Spud_to_RR&lt;=PERCENTILE(IF('Well Data-NK'!April2015_Form={"LB"},IF('Well Data-NK'!April2015_Well_Type="ST",IF('Well Data-NK'!April2015_Prod_Inj="Inj",'Well Data-NK'!April2015_Spud_to_RR))),0.25),'Well Data-NK'!April2015_Spud_to_RR)))))</f>
        <v>#DIV/0!</v>
      </c>
      <c r="H140" s="479">
        <f t="array" aca="1" ref="H140" ca="1">COUNT(IF('Well Data-NK'!April2015_Form={"LB"},IF('Well Data-NK'!April2015_Well_Type="ST",IF('Well Data-NK'!April2015_Prod_Inj="Inj",IF('Well Data-NK'!April2015_Spud_to_RR&lt;=PERCENTILE(IF('Well Data-NK'!April2015_Form={"LB"},IF('Well Data-NK'!April2015_Well_Type="ST",IF('Well Data-NK'!April2015_Prod_Inj="Inj",'Well Data-NK'!April2015_Spud_to_RR))),0.25),'Well Data-NK'!April2015_Spud_to_RR)))))</f>
        <v>0</v>
      </c>
      <c r="I140" s="479">
        <v>138</v>
      </c>
    </row>
    <row r="141" spans="1:9" s="416" customFormat="1" x14ac:dyDescent="0.25">
      <c r="A141" s="479" t="s">
        <v>825</v>
      </c>
      <c r="B141" s="479" t="s">
        <v>815</v>
      </c>
      <c r="C141" s="479" t="s">
        <v>18</v>
      </c>
      <c r="D141" s="479" t="s">
        <v>34</v>
      </c>
      <c r="E141" s="479" t="s">
        <v>1053</v>
      </c>
      <c r="F141" s="479" t="s">
        <v>1897</v>
      </c>
      <c r="G141" s="480" t="e">
        <f t="array" aca="1" ref="G141" ca="1">AVERAGE(IF('Well Data-NK'!April2015_Form={"ZU","RT"},IF('Well Data-NK'!April2015_Well_Type="ST",IF('Well Data-NK'!April2015_Prod_Inj="Inj",IF('Well Data-NK'!April2015_Spud_to_RR&lt;=PERCENTILE(IF('Well Data-NK'!April2015_Form={"ZU","RT"},IF('Well Data-NK'!April2015_Well_Type="ST",IF('Well Data-NK'!April2015_Prod_Inj="Inj",'Well Data-NK'!April2015_Spud_to_RR))),0.25),'Well Data-NK'!April2015_Spud_to_RR)))))</f>
        <v>#DIV/0!</v>
      </c>
      <c r="H141" s="479">
        <f t="array" aca="1" ref="H141" ca="1">COUNT(IF('Well Data-NK'!April2015_Form={"ZU","RT"},IF('Well Data-NK'!April2015_Well_Type="ST",IF('Well Data-NK'!April2015_Prod_Inj="Inj",IF('Well Data-NK'!April2015_Spud_to_RR&lt;=PERCENTILE(IF('Well Data-NK'!April2015_Form={"ZU","RT"},IF('Well Data-NK'!April2015_Well_Type="ST",IF('Well Data-NK'!April2015_Prod_Inj="Inj",'Well Data-NK'!April2015_Spud_to_RR))),0.25),'Well Data-NK'!April2015_Spud_to_RR)))))</f>
        <v>0</v>
      </c>
      <c r="I141" s="479">
        <v>139</v>
      </c>
    </row>
    <row r="142" spans="1:9" s="416" customFormat="1" x14ac:dyDescent="0.25">
      <c r="A142" s="479" t="s">
        <v>816</v>
      </c>
      <c r="B142" s="479" t="s">
        <v>815</v>
      </c>
      <c r="C142" s="479" t="s">
        <v>18</v>
      </c>
      <c r="D142" s="479" t="s">
        <v>34</v>
      </c>
      <c r="E142" s="479" t="s">
        <v>1053</v>
      </c>
      <c r="F142" s="479" t="s">
        <v>1897</v>
      </c>
      <c r="G142" s="480">
        <f t="array" aca="1" ref="G142" ca="1">AVERAGE(IF('Well Data-NK'!April2015_Form={"ZU","RT","LB","UB","MA"},IF('Well Data-NK'!April2015_Well_Type="ST",IF('Well Data-NK'!April2015_Prod_Inj="Inj",IF('Well Data-NK'!April2015_Spud_to_RR&lt;=PERCENTILE(IF('Well Data-NK'!April2015_Form={"ZU","RT","LB","UB","MA"},IF('Well Data-NK'!April2015_Well_Type="ST",IF('Well Data-NK'!April2015_Prod_Inj="Inj",'Well Data-NK'!April2015_Spud_to_RR))),0.25),'Well Data-NK'!April2015_Spud_to_RR)))))</f>
        <v>41.979166666664241</v>
      </c>
      <c r="H142" s="479">
        <f t="array" aca="1" ref="H142" ca="1">COUNT(IF('Well Data-NK'!April2015_Form={"ZU","RT","LB","UB","MA"},IF('Well Data-NK'!April2015_Well_Type="ST",IF('Well Data-NK'!April2015_Prod_Inj="Inj",IF('Well Data-NK'!April2015_Spud_to_RR&lt;=PERCENTILE(IF('Well Data-NK'!April2015_Form={"ZU","RT","LB","UB","MA"},IF('Well Data-NK'!April2015_Well_Type="ST",IF('Well Data-NK'!April2015_Prod_Inj="Inj",'Well Data-NK'!April2015_Spud_to_RR))),0.25),'Well Data-NK'!April2015_Spud_to_RR)))))</f>
        <v>1</v>
      </c>
      <c r="I142" s="479">
        <v>140</v>
      </c>
    </row>
    <row r="143" spans="1:9" s="416" customFormat="1" x14ac:dyDescent="0.25">
      <c r="A143" s="476"/>
      <c r="B143" s="476"/>
      <c r="C143" s="476"/>
      <c r="D143" s="476"/>
      <c r="E143" s="476"/>
      <c r="F143" s="476"/>
      <c r="G143" s="476"/>
      <c r="H143" s="476"/>
      <c r="I143" s="476"/>
    </row>
    <row r="144" spans="1:9" s="416" customFormat="1" x14ac:dyDescent="0.25">
      <c r="A144" s="476"/>
      <c r="B144" s="476"/>
      <c r="C144" s="476"/>
      <c r="D144" s="476"/>
      <c r="E144" s="476"/>
      <c r="F144" s="476"/>
      <c r="G144" s="476"/>
      <c r="H144" s="476"/>
      <c r="I144" s="476"/>
    </row>
    <row r="145" spans="1:15" s="416" customFormat="1" x14ac:dyDescent="0.25">
      <c r="A145" s="476"/>
      <c r="B145" s="476"/>
      <c r="C145" s="476"/>
      <c r="D145" s="476"/>
      <c r="E145" s="476"/>
      <c r="F145" s="476"/>
      <c r="G145" s="476"/>
      <c r="H145" s="476"/>
      <c r="I145" s="476"/>
    </row>
    <row r="146" spans="1:15" s="416" customFormat="1" x14ac:dyDescent="0.25">
      <c r="A146" s="476"/>
      <c r="B146" s="476"/>
      <c r="C146" s="476"/>
      <c r="D146" s="476"/>
      <c r="E146" s="476"/>
      <c r="F146" s="476"/>
      <c r="G146" s="476"/>
      <c r="H146" s="476"/>
      <c r="I146" s="476"/>
    </row>
    <row r="147" spans="1:15" s="416" customFormat="1" x14ac:dyDescent="0.25">
      <c r="A147" s="476"/>
      <c r="B147" s="476"/>
      <c r="C147" s="476"/>
      <c r="D147" s="476"/>
      <c r="E147" s="476"/>
      <c r="F147" s="476"/>
      <c r="G147" s="476"/>
      <c r="H147" s="476"/>
      <c r="I147" s="476"/>
    </row>
    <row r="148" spans="1:15" s="416" customFormat="1" x14ac:dyDescent="0.25">
      <c r="A148" s="476"/>
      <c r="B148" s="476"/>
      <c r="C148" s="476"/>
      <c r="D148" s="476"/>
      <c r="E148" s="476"/>
      <c r="F148" s="476"/>
      <c r="G148" s="476"/>
      <c r="H148" s="476"/>
      <c r="I148" s="476"/>
    </row>
    <row r="149" spans="1:15" x14ac:dyDescent="0.25">
      <c r="A149" s="590" t="s">
        <v>1403</v>
      </c>
      <c r="B149" s="590"/>
      <c r="C149" s="590"/>
      <c r="D149" s="590"/>
      <c r="E149" s="590"/>
      <c r="F149" s="590"/>
      <c r="G149" s="590"/>
      <c r="H149" s="590"/>
      <c r="M149" s="119" t="s">
        <v>72</v>
      </c>
      <c r="N149" s="119" t="s">
        <v>1379</v>
      </c>
    </row>
    <row r="150" spans="1:15" x14ac:dyDescent="0.25">
      <c r="A150" s="292" t="s">
        <v>840</v>
      </c>
      <c r="B150" s="292" t="s">
        <v>1049</v>
      </c>
      <c r="C150" s="292" t="s">
        <v>7</v>
      </c>
      <c r="D150" s="292" t="s">
        <v>8</v>
      </c>
      <c r="E150" s="292" t="s">
        <v>1050</v>
      </c>
      <c r="F150" s="292" t="s">
        <v>1055</v>
      </c>
      <c r="G150" s="292" t="s">
        <v>1054</v>
      </c>
      <c r="H150" s="292" t="s">
        <v>603</v>
      </c>
      <c r="I150" s="95" t="s">
        <v>1057</v>
      </c>
      <c r="J150" s="54"/>
      <c r="K150" s="54"/>
      <c r="L150" s="54"/>
      <c r="M150" s="119" t="s">
        <v>747</v>
      </c>
      <c r="N150" s="119" t="s">
        <v>1380</v>
      </c>
      <c r="O150" s="54"/>
    </row>
    <row r="151" spans="1:15" x14ac:dyDescent="0.25">
      <c r="A151" s="292" t="s">
        <v>17</v>
      </c>
      <c r="B151" s="292" t="s">
        <v>814</v>
      </c>
      <c r="C151" s="292" t="s">
        <v>1059</v>
      </c>
      <c r="D151" s="292" t="s">
        <v>8</v>
      </c>
      <c r="E151" s="292" t="s">
        <v>1052</v>
      </c>
      <c r="F151" s="292" t="s">
        <v>1899</v>
      </c>
      <c r="G151" s="481">
        <f t="array" aca="1" ref="G151" ca="1">AVERAGE(IF('Well Data-NK'!Sept2014_Form={"MA"},'Well Data-NK'!Sept2014_Planned_Spud_to_RR))</f>
        <v>57.555555555555557</v>
      </c>
      <c r="H151" s="292"/>
      <c r="I151" s="476">
        <v>1</v>
      </c>
      <c r="M151" s="119" t="s">
        <v>1378</v>
      </c>
      <c r="N151" s="119" t="s">
        <v>1381</v>
      </c>
    </row>
    <row r="152" spans="1:15" x14ac:dyDescent="0.25">
      <c r="A152" s="292" t="s">
        <v>29</v>
      </c>
      <c r="B152" s="292" t="s">
        <v>814</v>
      </c>
      <c r="C152" s="292" t="s">
        <v>1059</v>
      </c>
      <c r="D152" s="292" t="s">
        <v>8</v>
      </c>
      <c r="E152" s="292" t="s">
        <v>1052</v>
      </c>
      <c r="F152" s="292" t="s">
        <v>1899</v>
      </c>
      <c r="G152" s="481">
        <f t="array" aca="1" ref="G152" ca="1">AVERAGE(IF('Well Data-NK'!Sept2014_Form={"UB"},'Well Data-NK'!Sept2014_Planned_Spud_to_RR))</f>
        <v>66</v>
      </c>
      <c r="H152" s="292"/>
      <c r="I152" s="476">
        <v>2</v>
      </c>
      <c r="M152" s="119" t="s">
        <v>596</v>
      </c>
      <c r="N152" s="119" t="s">
        <v>1382</v>
      </c>
    </row>
    <row r="153" spans="1:15" x14ac:dyDescent="0.25">
      <c r="A153" s="292" t="s">
        <v>22</v>
      </c>
      <c r="B153" s="292" t="s">
        <v>814</v>
      </c>
      <c r="C153" s="292" t="s">
        <v>1059</v>
      </c>
      <c r="D153" s="292" t="s">
        <v>8</v>
      </c>
      <c r="E153" s="292" t="s">
        <v>1052</v>
      </c>
      <c r="F153" s="292" t="s">
        <v>1899</v>
      </c>
      <c r="G153" s="481">
        <f t="array" aca="1" ref="G153" ca="1">AVERAGE(IF('Well Data-NK'!Sept2014_Form={"LB"},'Well Data-NK'!Sept2014_Planned_Spud_to_RR))</f>
        <v>70</v>
      </c>
      <c r="H153" s="292"/>
      <c r="I153" s="476">
        <v>3</v>
      </c>
      <c r="M153" s="119" t="s">
        <v>743</v>
      </c>
      <c r="N153" s="267" t="s">
        <v>1383</v>
      </c>
    </row>
    <row r="154" spans="1:15" x14ac:dyDescent="0.25">
      <c r="A154" s="292" t="s">
        <v>825</v>
      </c>
      <c r="B154" s="292" t="s">
        <v>814</v>
      </c>
      <c r="C154" s="292" t="s">
        <v>1059</v>
      </c>
      <c r="D154" s="292" t="s">
        <v>8</v>
      </c>
      <c r="E154" s="292" t="s">
        <v>1052</v>
      </c>
      <c r="F154" s="292" t="s">
        <v>1899</v>
      </c>
      <c r="G154" s="481">
        <f t="array" aca="1" ref="G154" ca="1">AVERAGE(IF('Well Data-NK'!Sept2014_Form={"ZU","RT"},'Well Data-NK'!Sept2014_Planned_Spud_to_RR))</f>
        <v>92</v>
      </c>
      <c r="H154" s="292"/>
      <c r="I154" s="476">
        <v>4</v>
      </c>
      <c r="N154" s="262"/>
    </row>
    <row r="155" spans="1:15" x14ac:dyDescent="0.25">
      <c r="A155" s="292" t="s">
        <v>816</v>
      </c>
      <c r="B155" s="292" t="s">
        <v>814</v>
      </c>
      <c r="C155" s="292" t="s">
        <v>1059</v>
      </c>
      <c r="D155" s="292" t="s">
        <v>8</v>
      </c>
      <c r="E155" s="292" t="s">
        <v>1052</v>
      </c>
      <c r="F155" s="292" t="s">
        <v>1899</v>
      </c>
      <c r="G155" s="481">
        <f t="array" aca="1" ref="G155" ca="1">AVERAGE(IF('Well Data-NK'!Sept2014_Form={"ZU","RT","LB","UB","MA"},'Well Data-NK'!Sept2014_Planned_Spud_to_RR))</f>
        <v>63.972222222222221</v>
      </c>
      <c r="H155" s="292"/>
      <c r="I155" s="476">
        <v>5</v>
      </c>
      <c r="N155" s="261"/>
    </row>
    <row r="156" spans="1:15" x14ac:dyDescent="0.25">
      <c r="A156" s="482" t="s">
        <v>17</v>
      </c>
      <c r="B156" s="482" t="s">
        <v>815</v>
      </c>
      <c r="C156" s="482" t="s">
        <v>1059</v>
      </c>
      <c r="D156" s="482" t="s">
        <v>8</v>
      </c>
      <c r="E156" s="482" t="s">
        <v>1052</v>
      </c>
      <c r="F156" s="292" t="s">
        <v>1899</v>
      </c>
      <c r="G156" s="483">
        <f t="array" aca="1" ref="G156" ca="1">AVERAGE(IF('Well Data-NK'!Sept2014_Form={"MA"},'Well Data-NK'!Sept2014_Spud_to_RR))</f>
        <v>50.012037037036983</v>
      </c>
      <c r="H156" s="484">
        <f ca="1">COUNTIF('Well Data-NK'!Sept2014_Form,"MA")</f>
        <v>45</v>
      </c>
      <c r="I156" s="476">
        <v>6</v>
      </c>
      <c r="N156" s="261"/>
    </row>
    <row r="157" spans="1:15" x14ac:dyDescent="0.25">
      <c r="A157" s="482" t="s">
        <v>29</v>
      </c>
      <c r="B157" s="482" t="s">
        <v>815</v>
      </c>
      <c r="C157" s="482" t="s">
        <v>1059</v>
      </c>
      <c r="D157" s="482" t="s">
        <v>8</v>
      </c>
      <c r="E157" s="482" t="s">
        <v>1052</v>
      </c>
      <c r="F157" s="292" t="s">
        <v>1899</v>
      </c>
      <c r="G157" s="485">
        <f t="array" aca="1" ref="G157" ca="1">AVERAGE(IF('Well Data-NK'!Sept2014_Form={"UB"},'Well Data-NK'!Sept2014_Spud_to_RR))</f>
        <v>56.148809047619395</v>
      </c>
      <c r="H157" s="482">
        <f ca="1">COUNTIF('Well Data-NK'!Sept2014_Form,"UB")</f>
        <v>7</v>
      </c>
      <c r="I157" s="476">
        <v>7</v>
      </c>
      <c r="N157" s="261"/>
    </row>
    <row r="158" spans="1:15" x14ac:dyDescent="0.25">
      <c r="A158" s="482" t="s">
        <v>22</v>
      </c>
      <c r="B158" s="482" t="s">
        <v>815</v>
      </c>
      <c r="C158" s="482" t="s">
        <v>1059</v>
      </c>
      <c r="D158" s="482" t="s">
        <v>8</v>
      </c>
      <c r="E158" s="482" t="s">
        <v>1052</v>
      </c>
      <c r="F158" s="292" t="s">
        <v>1899</v>
      </c>
      <c r="G158" s="485">
        <f t="array" aca="1" ref="G158" ca="1">AVERAGE(IF('Well Data-NK'!Sept2014_Form={"LB"},'Well Data-NK'!Sept2014_Spud_to_RR))</f>
        <v>65.53525640769287</v>
      </c>
      <c r="H158" s="482">
        <f ca="1">COUNTIF('Well Data-NK'!Sept2014_Form,"LB")</f>
        <v>13</v>
      </c>
      <c r="I158" s="476">
        <v>8</v>
      </c>
      <c r="N158" s="261"/>
    </row>
    <row r="159" spans="1:15" x14ac:dyDescent="0.25">
      <c r="A159" s="482" t="s">
        <v>825</v>
      </c>
      <c r="B159" s="482" t="s">
        <v>815</v>
      </c>
      <c r="C159" s="482" t="s">
        <v>1059</v>
      </c>
      <c r="D159" s="482" t="s">
        <v>8</v>
      </c>
      <c r="E159" s="482" t="s">
        <v>1052</v>
      </c>
      <c r="F159" s="292" t="s">
        <v>1899</v>
      </c>
      <c r="G159" s="485">
        <f t="array" aca="1" ref="G159" ca="1">AVERAGE(IF('Well Data-NK'!Sept2014_Form={"ZU","RT"},'Well Data-NK'!Sept2014_Spud_to_RR))</f>
        <v>83.729166666666316</v>
      </c>
      <c r="H159" s="482">
        <f ca="1">COUNTIFS('Well Data-NK'!Sept2014_Form,"ZU")+COUNTIFS('Well Data-NK'!Sept2014_Form,"RT")</f>
        <v>7</v>
      </c>
      <c r="I159" s="476">
        <v>9</v>
      </c>
      <c r="N159" s="261"/>
    </row>
    <row r="160" spans="1:15" x14ac:dyDescent="0.25">
      <c r="A160" s="482" t="s">
        <v>816</v>
      </c>
      <c r="B160" s="482" t="s">
        <v>815</v>
      </c>
      <c r="C160" s="482" t="s">
        <v>1059</v>
      </c>
      <c r="D160" s="482" t="s">
        <v>8</v>
      </c>
      <c r="E160" s="482" t="s">
        <v>1052</v>
      </c>
      <c r="F160" s="292" t="s">
        <v>1899</v>
      </c>
      <c r="G160" s="485">
        <f t="array" aca="1" ref="G160" ca="1">AVERAGE(IF('Well Data-NK'!Sept2014_Form={"ZU","RT","LB","UB","MA"},'Well Data-NK'!Sept2014_Spud_to_RR))</f>
        <v>56.689525416203772</v>
      </c>
      <c r="H160" s="482">
        <f ca="1">COUNT('Well Data-NK'!Sept2014_Spud_to_RR)</f>
        <v>73</v>
      </c>
      <c r="I160" s="476">
        <v>10</v>
      </c>
      <c r="N160" s="261"/>
    </row>
    <row r="161" spans="1:14" x14ac:dyDescent="0.25">
      <c r="A161" s="292" t="s">
        <v>17</v>
      </c>
      <c r="B161" s="292" t="s">
        <v>814</v>
      </c>
      <c r="C161" s="292" t="s">
        <v>14</v>
      </c>
      <c r="D161" s="292" t="s">
        <v>8</v>
      </c>
      <c r="E161" s="292" t="s">
        <v>1052</v>
      </c>
      <c r="F161" s="292" t="s">
        <v>1899</v>
      </c>
      <c r="G161" s="481">
        <f t="array" aca="1" ref="G161" ca="1">AVERAGE(IF('Well Data-NK'!Sept2014_Form={"MA"},IF('Well Data-NK'!Sept2014_Well_Type="NW",'Well Data-NK'!Sept2014_Planned_Spud_to_RR)))</f>
        <v>69</v>
      </c>
      <c r="H161" s="283">
        <f t="array" aca="1" ref="H161" ca="1">COUNT(IF('Well Data-NK'!Sept2014_Form={"MA"},IF('Well Data-NK'!Sept2014_Well_Type="NW",'Well Data-NK'!Sept2014_Planned_Spud_to_RR)))</f>
        <v>14</v>
      </c>
      <c r="I161" s="476">
        <v>11</v>
      </c>
      <c r="N161" s="261"/>
    </row>
    <row r="162" spans="1:14" x14ac:dyDescent="0.25">
      <c r="A162" s="292" t="s">
        <v>29</v>
      </c>
      <c r="B162" s="292" t="s">
        <v>814</v>
      </c>
      <c r="C162" s="292" t="s">
        <v>14</v>
      </c>
      <c r="D162" s="292" t="s">
        <v>8</v>
      </c>
      <c r="E162" s="292" t="s">
        <v>1052</v>
      </c>
      <c r="F162" s="292" t="s">
        <v>1899</v>
      </c>
      <c r="G162" s="481">
        <f t="array" aca="1" ref="G162" ca="1">AVERAGE(IF('Well Data-NK'!Sept2014_Form={"UB"},IF('Well Data-NK'!Sept2014_Well_Type="NW",'Well Data-NK'!Sept2014_Planned_Spud_to_RR)))</f>
        <v>70</v>
      </c>
      <c r="H162" s="283">
        <f t="array" aca="1" ref="H162" ca="1">COUNT(IF('Well Data-NK'!Sept2014_Form={"UB"},IF('Well Data-NK'!Sept2014_Well_Type="NW",'Well Data-NK'!Sept2014_Planned_Spud_to_RR)))</f>
        <v>5</v>
      </c>
      <c r="I162" s="476">
        <v>12</v>
      </c>
      <c r="N162" s="261"/>
    </row>
    <row r="163" spans="1:14" x14ac:dyDescent="0.25">
      <c r="A163" s="292" t="s">
        <v>22</v>
      </c>
      <c r="B163" s="292" t="s">
        <v>814</v>
      </c>
      <c r="C163" s="292" t="s">
        <v>14</v>
      </c>
      <c r="D163" s="292" t="s">
        <v>8</v>
      </c>
      <c r="E163" s="292" t="s">
        <v>1052</v>
      </c>
      <c r="F163" s="292" t="s">
        <v>1899</v>
      </c>
      <c r="G163" s="481">
        <f t="array" aca="1" ref="G163" ca="1">AVERAGE(IF('Well Data-NK'!Sept2014_Form={"LB"},IF('Well Data-NK'!Sept2014_Well_Type="NW",'Well Data-NK'!Sept2014_Planned_Spud_to_RR)))</f>
        <v>70</v>
      </c>
      <c r="H163" s="283">
        <f t="array" aca="1" ref="H163" ca="1">COUNT(IF('Well Data-NK'!Sept2014_Form={"LB"},IF('Well Data-NK'!Sept2014_Well_Type="NW",'Well Data-NK'!Sept2014_Planned_Spud_to_RR)))</f>
        <v>13</v>
      </c>
      <c r="I163" s="476">
        <v>13</v>
      </c>
      <c r="N163" s="261"/>
    </row>
    <row r="164" spans="1:14" x14ac:dyDescent="0.25">
      <c r="A164" s="292" t="s">
        <v>825</v>
      </c>
      <c r="B164" s="292" t="s">
        <v>814</v>
      </c>
      <c r="C164" s="292" t="s">
        <v>14</v>
      </c>
      <c r="D164" s="292" t="s">
        <v>8</v>
      </c>
      <c r="E164" s="292" t="s">
        <v>1052</v>
      </c>
      <c r="F164" s="292" t="s">
        <v>1899</v>
      </c>
      <c r="G164" s="481">
        <f t="array" aca="1" ref="G164" ca="1">AVERAGE(IF('Well Data-NK'!Sept2014_Form={"RT","ZU"},IF('Well Data-NK'!Sept2014_Well_Type="NW",'Well Data-NK'!Sept2014_Planned_Spud_to_RR)))</f>
        <v>98</v>
      </c>
      <c r="H164" s="283">
        <f t="array" aca="1" ref="H164" ca="1">COUNT(IF('Well Data-NK'!Sept2014_Form={"RT","ZU"},IF('Well Data-NK'!Sept2014_Well_Type="NW",'Well Data-NK'!Sept2014_Planned_Spud_to_RR)))</f>
        <v>6</v>
      </c>
      <c r="I164" s="476">
        <v>14</v>
      </c>
      <c r="N164" s="261"/>
    </row>
    <row r="165" spans="1:14" x14ac:dyDescent="0.25">
      <c r="A165" s="292" t="s">
        <v>816</v>
      </c>
      <c r="B165" s="292" t="s">
        <v>814</v>
      </c>
      <c r="C165" s="292" t="s">
        <v>14</v>
      </c>
      <c r="D165" s="292" t="s">
        <v>8</v>
      </c>
      <c r="E165" s="292" t="s">
        <v>1052</v>
      </c>
      <c r="F165" s="292" t="s">
        <v>1899</v>
      </c>
      <c r="G165" s="481">
        <f t="array" aca="1" ref="G165" ca="1">AVERAGE(IF('Well Data-NK'!Sept2014_Form={"RT","ZU","LB","UB","MA"},IF('Well Data-NK'!Sept2014_Well_Type="NW",'Well Data-NK'!Sept2014_Planned_Spud_to_RR)))</f>
        <v>74.05263157894737</v>
      </c>
      <c r="H165" s="283">
        <f t="array" aca="1" ref="H165" ca="1">COUNT(IF('Well Data-NK'!Sept2014_Form={"RT","ZU","LB","UB","MA"},IF('Well Data-NK'!Sept2014_Well_Type="NW",'Well Data-NK'!Sept2014_Planned_Spud_to_RR)))</f>
        <v>38</v>
      </c>
      <c r="I165" s="476">
        <v>15</v>
      </c>
      <c r="N165" s="261"/>
    </row>
    <row r="166" spans="1:14" x14ac:dyDescent="0.25">
      <c r="A166" s="482" t="s">
        <v>17</v>
      </c>
      <c r="B166" s="482" t="s">
        <v>815</v>
      </c>
      <c r="C166" s="482" t="s">
        <v>14</v>
      </c>
      <c r="D166" s="482" t="s">
        <v>8</v>
      </c>
      <c r="E166" s="482" t="s">
        <v>1052</v>
      </c>
      <c r="F166" s="292" t="s">
        <v>1899</v>
      </c>
      <c r="G166" s="485">
        <f t="array" aca="1" ref="G166" ca="1">AVERAGE(IF('Well Data-NK'!Sept2014_Form={"MA"},IF('Well Data-NK'!Sept2014_Well_Type="NW",'Well Data-NK'!Sept2014_Spud_to_RR)))</f>
        <v>60.566964285715322</v>
      </c>
      <c r="H166" s="482">
        <f t="array" aca="1" ref="H166" ca="1">COUNT(IF('Well Data-NK'!Sept2014_Form={"MA"},IF('Well Data-NK'!Sept2014_Well_Type="NW",'Well Data-NK'!Sept2014_Spud_to_RR)))</f>
        <v>14</v>
      </c>
      <c r="I166" s="476">
        <v>16</v>
      </c>
      <c r="N166" s="261"/>
    </row>
    <row r="167" spans="1:14" x14ac:dyDescent="0.25">
      <c r="A167" s="482" t="s">
        <v>29</v>
      </c>
      <c r="B167" s="482" t="s">
        <v>815</v>
      </c>
      <c r="C167" s="482" t="s">
        <v>14</v>
      </c>
      <c r="D167" s="482" t="s">
        <v>8</v>
      </c>
      <c r="E167" s="482" t="s">
        <v>1052</v>
      </c>
      <c r="F167" s="292" t="s">
        <v>1899</v>
      </c>
      <c r="G167" s="485">
        <f t="array" aca="1" ref="G167" ca="1">AVERAGE(IF('Well Data-NK'!Sept2014_Form={"UB"},IF('Well Data-NK'!Sept2014_Well_Type="NW",'Well Data-NK'!Sept2014_Spud_to_RR)))</f>
        <v>57.55416666666715</v>
      </c>
      <c r="H167" s="482">
        <f t="array" aca="1" ref="H167" ca="1">COUNT(IF('Well Data-NK'!Sept2014_Form={"UB"},IF('Well Data-NK'!Sept2014_Well_Type="NW",'Well Data-NK'!Sept2014_Spud_to_RR)))</f>
        <v>5</v>
      </c>
      <c r="I167" s="476">
        <v>17</v>
      </c>
      <c r="N167" s="261"/>
    </row>
    <row r="168" spans="1:14" x14ac:dyDescent="0.25">
      <c r="A168" s="482" t="s">
        <v>22</v>
      </c>
      <c r="B168" s="482" t="s">
        <v>815</v>
      </c>
      <c r="C168" s="482" t="s">
        <v>14</v>
      </c>
      <c r="D168" s="482" t="s">
        <v>8</v>
      </c>
      <c r="E168" s="482" t="s">
        <v>1052</v>
      </c>
      <c r="F168" s="292" t="s">
        <v>1899</v>
      </c>
      <c r="G168" s="485">
        <f t="array" aca="1" ref="G168" ca="1">AVERAGE(IF('Well Data-NK'!Sept2014_Form={"LB"},IF('Well Data-NK'!Sept2014_Well_Type="NW",'Well Data-NK'!Sept2014_Spud_to_RR)))</f>
        <v>65.53525640769287</v>
      </c>
      <c r="H168" s="484">
        <f t="array" aca="1" ref="H168" ca="1">COUNT(IF('Well Data-NK'!Sept2014_Form={"LB"},IF('Well Data-NK'!Sept2014_Well_Type="NW",'Well Data-NK'!Sept2014_Spud_to_RR)))</f>
        <v>13</v>
      </c>
      <c r="I168" s="476">
        <v>18</v>
      </c>
      <c r="N168" s="261"/>
    </row>
    <row r="169" spans="1:14" x14ac:dyDescent="0.25">
      <c r="A169" s="482" t="s">
        <v>825</v>
      </c>
      <c r="B169" s="482" t="s">
        <v>815</v>
      </c>
      <c r="C169" s="482" t="s">
        <v>14</v>
      </c>
      <c r="D169" s="482" t="s">
        <v>8</v>
      </c>
      <c r="E169" s="482" t="s">
        <v>1052</v>
      </c>
      <c r="F169" s="292" t="s">
        <v>1899</v>
      </c>
      <c r="G169" s="485">
        <f t="array" aca="1" ref="G169" ca="1">AVERAGE(IF('Well Data-NK'!Sept2014_Form={"RT","ZU"},IF('Well Data-NK'!Sept2014_Well_Type="NW",'Well Data-NK'!Sept2014_Spud_to_RR)))</f>
        <v>89.017361111110702</v>
      </c>
      <c r="H169" s="482">
        <f t="array" aca="1" ref="H169" ca="1">COUNT(IF('Well Data-NK'!Sept2014_Form={"RT","ZU"},IF('Well Data-NK'!Sept2014_Well_Type="NW",'Well Data-NK'!Sept2014_Spud_to_RR)))</f>
        <v>6</v>
      </c>
      <c r="I169" s="476">
        <v>19</v>
      </c>
      <c r="N169" s="261"/>
    </row>
    <row r="170" spans="1:14" x14ac:dyDescent="0.25">
      <c r="A170" s="482" t="s">
        <v>816</v>
      </c>
      <c r="B170" s="482" t="s">
        <v>815</v>
      </c>
      <c r="C170" s="482" t="s">
        <v>14</v>
      </c>
      <c r="D170" s="482" t="s">
        <v>8</v>
      </c>
      <c r="E170" s="482" t="s">
        <v>1052</v>
      </c>
      <c r="F170" s="292" t="s">
        <v>1899</v>
      </c>
      <c r="G170" s="485">
        <f t="array" aca="1" ref="G170" ca="1">AVERAGE(IF('Well Data-NK'!Sept2014_Form={"RT","ZU","LB","UB","MA"},IF('Well Data-NK'!Sept2014_Well_Type="NW",'Well Data-NK'!Sept2014_Spud_to_RR)))</f>
        <v>66.362390350000581</v>
      </c>
      <c r="H170" s="482">
        <f t="array" aca="1" ref="H170" ca="1">COUNT(IF('Well Data-NK'!Sept2014_Form={"RT","ZU","LB","UB","MA"},IF('Well Data-NK'!Sept2014_Well_Type="NW",'Well Data-NK'!Sept2014_Spud_to_RR)))</f>
        <v>38</v>
      </c>
      <c r="I170" s="476">
        <v>20</v>
      </c>
      <c r="N170" s="261"/>
    </row>
    <row r="171" spans="1:14" x14ac:dyDescent="0.25">
      <c r="A171" s="292" t="s">
        <v>17</v>
      </c>
      <c r="B171" s="292" t="s">
        <v>814</v>
      </c>
      <c r="C171" s="292" t="s">
        <v>18</v>
      </c>
      <c r="D171" s="292" t="s">
        <v>8</v>
      </c>
      <c r="E171" s="292" t="s">
        <v>1052</v>
      </c>
      <c r="F171" s="292" t="s">
        <v>1899</v>
      </c>
      <c r="G171" s="481">
        <f t="array" aca="1" ref="G171" ca="1">AVERAGE(IF('Well Data-NK'!Sept2014_Form={"MA"},IF('Well Data-NK'!Sept2014_Well_Type="ST",'Well Data-NK'!Sept2014_Planned_Spud_to_RR)))</f>
        <v>52.387096774193552</v>
      </c>
      <c r="H171" s="283">
        <f t="array" aca="1" ref="H171" ca="1">COUNT(IF('Well Data-NK'!Sept2014_Form={"MA"},IF('Well Data-NK'!Sept2014_Well_Type="ST",'Well Data-NK'!Sept2014_Planned_Spud_to_RR)))</f>
        <v>31</v>
      </c>
      <c r="I171" s="476">
        <v>21</v>
      </c>
      <c r="N171" s="261"/>
    </row>
    <row r="172" spans="1:14" x14ac:dyDescent="0.25">
      <c r="A172" s="292" t="s">
        <v>29</v>
      </c>
      <c r="B172" s="292" t="s">
        <v>814</v>
      </c>
      <c r="C172" s="292" t="s">
        <v>18</v>
      </c>
      <c r="D172" s="292" t="s">
        <v>8</v>
      </c>
      <c r="E172" s="292" t="s">
        <v>1052</v>
      </c>
      <c r="F172" s="292" t="s">
        <v>1899</v>
      </c>
      <c r="G172" s="481">
        <f t="array" aca="1" ref="G172" ca="1">AVERAGE(IF('Well Data-NK'!Sept2014_Form={"UB"},IF('Well Data-NK'!Sept2014_Well_Type="ST",'Well Data-NK'!Sept2014_Planned_Spud_to_RR)))</f>
        <v>56</v>
      </c>
      <c r="H172" s="283">
        <f t="array" aca="1" ref="H172" ca="1">COUNT(IF('Well Data-NK'!Sept2014_Form={"UB"},IF('Well Data-NK'!Sept2014_Well_Type="ST",'Well Data-NK'!Sept2014_Planned_Spud_to_RR)))</f>
        <v>2</v>
      </c>
      <c r="I172" s="476">
        <v>22</v>
      </c>
      <c r="N172" s="261"/>
    </row>
    <row r="173" spans="1:14" x14ac:dyDescent="0.25">
      <c r="A173" s="292" t="s">
        <v>22</v>
      </c>
      <c r="B173" s="292" t="s">
        <v>814</v>
      </c>
      <c r="C173" s="292" t="s">
        <v>18</v>
      </c>
      <c r="D173" s="292" t="s">
        <v>8</v>
      </c>
      <c r="E173" s="292" t="s">
        <v>1052</v>
      </c>
      <c r="F173" s="292" t="s">
        <v>1899</v>
      </c>
      <c r="G173" s="481" t="e">
        <f t="array" aca="1" ref="G173" ca="1">AVERAGE(IF('Well Data-NK'!Sept2014_Form={"LB"},IF('Well Data-NK'!Sept2014_Well_Type="ST",'Well Data-NK'!Sept2014_Planned_Spud_to_RR)))</f>
        <v>#DIV/0!</v>
      </c>
      <c r="H173" s="283">
        <f t="array" aca="1" ref="H173" ca="1">COUNT(IF('Well Data-NK'!Sept2014_Form={"LB"},IF('Well Data-NK'!Sept2014_Well_Type="ST",'Well Data-NK'!Sept2014_Planned_Spud_to_RR)))</f>
        <v>0</v>
      </c>
      <c r="I173" s="476">
        <v>23</v>
      </c>
      <c r="N173" s="261"/>
    </row>
    <row r="174" spans="1:14" x14ac:dyDescent="0.25">
      <c r="A174" s="292" t="s">
        <v>825</v>
      </c>
      <c r="B174" s="292" t="s">
        <v>814</v>
      </c>
      <c r="C174" s="292" t="s">
        <v>18</v>
      </c>
      <c r="D174" s="292" t="s">
        <v>8</v>
      </c>
      <c r="E174" s="292" t="s">
        <v>1052</v>
      </c>
      <c r="F174" s="292" t="s">
        <v>1899</v>
      </c>
      <c r="G174" s="481">
        <f t="array" aca="1" ref="G174" ca="1">AVERAGE(IF('Well Data-NK'!Sept2014_Form={"RT","ZU"},IF('Well Data-NK'!Sept2014_Well_Type="ST",'Well Data-NK'!Sept2014_Planned_Spud_to_RR)))</f>
        <v>56</v>
      </c>
      <c r="H174" s="283">
        <f t="array" aca="1" ref="H174" ca="1">COUNT(IF('Well Data-NK'!Sept2014_Form={"RT","ZU"},IF('Well Data-NK'!Sept2014_Well_Type="ST",'Well Data-NK'!Sept2014_Planned_Spud_to_RR)))</f>
        <v>1</v>
      </c>
      <c r="I174" s="476">
        <v>24</v>
      </c>
      <c r="N174" s="261"/>
    </row>
    <row r="175" spans="1:14" x14ac:dyDescent="0.25">
      <c r="A175" s="292" t="s">
        <v>816</v>
      </c>
      <c r="B175" s="292" t="s">
        <v>814</v>
      </c>
      <c r="C175" s="292" t="s">
        <v>18</v>
      </c>
      <c r="D175" s="292" t="s">
        <v>8</v>
      </c>
      <c r="E175" s="292" t="s">
        <v>1052</v>
      </c>
      <c r="F175" s="292" t="s">
        <v>1899</v>
      </c>
      <c r="G175" s="481">
        <f t="array" aca="1" ref="G175" ca="1">AVERAGE(IF('Well Data-NK'!Sept2014_Form={"RT","ZU","LB","UB","MA"},IF('Well Data-NK'!Sept2014_Well_Type="ST",'Well Data-NK'!Sept2014_Planned_Spud_to_RR)))</f>
        <v>52.705882352941174</v>
      </c>
      <c r="H175" s="283">
        <f t="array" aca="1" ref="H175" ca="1">COUNT(IF('Well Data-NK'!Sept2014_Form={"RT","ZU","LB","UB","MA"},IF('Well Data-NK'!Sept2014_Well_Type="ST",'Well Data-NK'!Sept2014_Planned_Spud_to_RR)))</f>
        <v>34</v>
      </c>
      <c r="I175" s="476">
        <v>25</v>
      </c>
      <c r="N175" s="261"/>
    </row>
    <row r="176" spans="1:14" x14ac:dyDescent="0.25">
      <c r="A176" s="482" t="s">
        <v>17</v>
      </c>
      <c r="B176" s="482" t="s">
        <v>815</v>
      </c>
      <c r="C176" s="482" t="s">
        <v>18</v>
      </c>
      <c r="D176" s="482" t="s">
        <v>8</v>
      </c>
      <c r="E176" s="482" t="s">
        <v>1052</v>
      </c>
      <c r="F176" s="292" t="s">
        <v>1899</v>
      </c>
      <c r="G176" s="485">
        <f t="array" aca="1" ref="G176" ca="1">AVERAGE(IF('Well Data-NK'!Sept2014_Form={"MA"},IF('Well Data-NK'!Sept2014_Well_Type="ST",'Well Data-NK'!Sept2014_Spud_to_RR)))</f>
        <v>45.245295698924181</v>
      </c>
      <c r="H176" s="482">
        <f t="array" aca="1" ref="H176" ca="1">COUNT(IF('Well Data-NK'!Sept2014_Form={"MA"},IF('Well Data-NK'!Sept2014_Well_Type="ST",'Well Data-NK'!Sept2014_Spud_to_RR)))</f>
        <v>31</v>
      </c>
      <c r="I176" s="476">
        <v>26</v>
      </c>
      <c r="N176" s="261"/>
    </row>
    <row r="177" spans="1:14" x14ac:dyDescent="0.25">
      <c r="A177" s="482" t="s">
        <v>29</v>
      </c>
      <c r="B177" s="482" t="s">
        <v>815</v>
      </c>
      <c r="C177" s="482" t="s">
        <v>18</v>
      </c>
      <c r="D177" s="482" t="s">
        <v>8</v>
      </c>
      <c r="E177" s="482" t="s">
        <v>1052</v>
      </c>
      <c r="F177" s="292" t="s">
        <v>1899</v>
      </c>
      <c r="G177" s="485">
        <f t="array" aca="1" ref="G177" ca="1">AVERAGE(IF('Well Data-NK'!Sept2014_Form={"UB"},IF('Well Data-NK'!Sept2014_Well_Type="ST",'Well Data-NK'!Sept2014_Spud_to_RR)))</f>
        <v>52.635414999999995</v>
      </c>
      <c r="H177" s="482">
        <f t="array" aca="1" ref="H177" ca="1">COUNT(IF('Well Data-NK'!Sept2014_Form={"UB"},IF('Well Data-NK'!Sept2014_Well_Type="ST",'Well Data-NK'!Sept2014_Spud_to_RR)))</f>
        <v>2</v>
      </c>
      <c r="I177" s="476">
        <v>27</v>
      </c>
      <c r="N177" s="261"/>
    </row>
    <row r="178" spans="1:14" x14ac:dyDescent="0.25">
      <c r="A178" s="482" t="s">
        <v>22</v>
      </c>
      <c r="B178" s="482" t="s">
        <v>815</v>
      </c>
      <c r="C178" s="482" t="s">
        <v>18</v>
      </c>
      <c r="D178" s="482" t="s">
        <v>8</v>
      </c>
      <c r="E178" s="482" t="s">
        <v>1052</v>
      </c>
      <c r="F178" s="292" t="s">
        <v>1899</v>
      </c>
      <c r="G178" s="485" t="e">
        <f t="array" aca="1" ref="G178" ca="1">AVERAGE(IF('Well Data-NK'!Sept2014_Form={"LB"},IF('Well Data-NK'!Sept2014_Well_Type="ST",'Well Data-NK'!Sept2014_Spud_to_RR)))</f>
        <v>#DIV/0!</v>
      </c>
      <c r="H178" s="482">
        <f t="array" aca="1" ref="H178" ca="1">COUNT(IF('Well Data-NK'!Sept2014_Form={"LB"},IF('Well Data-NK'!Sept2014_Well_Type="ST",'Well Data-NK'!Sept2014_Spud_to_RR)))</f>
        <v>0</v>
      </c>
      <c r="I178" s="476">
        <v>28</v>
      </c>
      <c r="N178" s="261"/>
    </row>
    <row r="179" spans="1:14" x14ac:dyDescent="0.25">
      <c r="A179" s="482" t="s">
        <v>825</v>
      </c>
      <c r="B179" s="482" t="s">
        <v>815</v>
      </c>
      <c r="C179" s="482" t="s">
        <v>18</v>
      </c>
      <c r="D179" s="482" t="s">
        <v>8</v>
      </c>
      <c r="E179" s="482" t="s">
        <v>1052</v>
      </c>
      <c r="F179" s="292" t="s">
        <v>1899</v>
      </c>
      <c r="G179" s="485">
        <f t="array" aca="1" ref="G179" ca="1">AVERAGE(IF('Well Data-NK'!Sept2014_Form={"RT","ZU"},IF('Well Data-NK'!Sept2014_Well_Type="ST",'Well Data-NK'!Sept2014_Spud_to_RR)))</f>
        <v>52</v>
      </c>
      <c r="H179" s="482">
        <f t="array" aca="1" ref="H179" ca="1">COUNT(IF('Well Data-NK'!Sept2014_Form={"RT","ZU"},IF('Well Data-NK'!Sept2014_Well_Type="ST",'Well Data-NK'!Sept2014_Spud_to_RR)))</f>
        <v>1</v>
      </c>
      <c r="I179" s="476">
        <v>29</v>
      </c>
      <c r="N179" s="261"/>
    </row>
    <row r="180" spans="1:14" x14ac:dyDescent="0.25">
      <c r="A180" s="482" t="s">
        <v>816</v>
      </c>
      <c r="B180" s="482" t="s">
        <v>815</v>
      </c>
      <c r="C180" s="482" t="s">
        <v>18</v>
      </c>
      <c r="D180" s="482" t="s">
        <v>8</v>
      </c>
      <c r="E180" s="482" t="s">
        <v>1052</v>
      </c>
      <c r="F180" s="292" t="s">
        <v>1899</v>
      </c>
      <c r="G180" s="485">
        <f t="array" aca="1" ref="G180" ca="1">AVERAGE(IF('Well Data-NK'!Sept2014_Form={"RT","ZU","LB","UB","MA"},IF('Well Data-NK'!Sept2014_Well_Type="ST",'Well Data-NK'!Sept2014_Spud_to_RR)))</f>
        <v>45.878676372548519</v>
      </c>
      <c r="H180" s="482">
        <f t="array" aca="1" ref="H180" ca="1">COUNT(IF('Well Data-NK'!Sept2014_Form={"RT","ZU","LB","UB","MA"},IF('Well Data-NK'!Sept2014_Well_Type="ST",'Well Data-NK'!Sept2014_Spud_to_RR)))</f>
        <v>34</v>
      </c>
      <c r="I180" s="476">
        <v>30</v>
      </c>
      <c r="N180" s="261"/>
    </row>
    <row r="181" spans="1:14" x14ac:dyDescent="0.25">
      <c r="A181" s="292" t="s">
        <v>17</v>
      </c>
      <c r="B181" s="292" t="s">
        <v>814</v>
      </c>
      <c r="C181" s="292" t="s">
        <v>14</v>
      </c>
      <c r="D181" s="292" t="s">
        <v>298</v>
      </c>
      <c r="E181" s="292" t="s">
        <v>1052</v>
      </c>
      <c r="F181" s="292" t="s">
        <v>1899</v>
      </c>
      <c r="G181" s="481">
        <f t="array" aca="1" ref="G181" ca="1">AVERAGE(IF('Well Data-NK'!Sept2014_Form={"MA"},IF('Well Data-NK'!Sept2014_Well_Type="NW",IF('Well Data-NK'!Sept2014_Prod_Inj="Prod",'Well Data-NK'!Sept2014_Planned_Spud_to_RR))))</f>
        <v>70</v>
      </c>
      <c r="H181" s="292"/>
      <c r="I181" s="476">
        <v>31</v>
      </c>
      <c r="N181" s="261"/>
    </row>
    <row r="182" spans="1:14" x14ac:dyDescent="0.25">
      <c r="A182" s="292" t="s">
        <v>29</v>
      </c>
      <c r="B182" s="292" t="s">
        <v>814</v>
      </c>
      <c r="C182" s="292" t="s">
        <v>14</v>
      </c>
      <c r="D182" s="292" t="s">
        <v>298</v>
      </c>
      <c r="E182" s="292" t="s">
        <v>1052</v>
      </c>
      <c r="F182" s="292" t="s">
        <v>1899</v>
      </c>
      <c r="G182" s="481">
        <f t="array" aca="1" ref="G182" ca="1">AVERAGE(IF('Well Data-NK'!Sept2014_Form={"UB"},IF('Well Data-NK'!Sept2014_Well_Type="NW",IF('Well Data-NK'!Sept2014_Prod_Inj="Prod",'Well Data-NK'!Sept2014_Planned_Spud_to_RR))))</f>
        <v>70</v>
      </c>
      <c r="H182" s="292"/>
      <c r="I182" s="476">
        <v>32</v>
      </c>
      <c r="N182" s="261"/>
    </row>
    <row r="183" spans="1:14" x14ac:dyDescent="0.25">
      <c r="A183" s="292" t="s">
        <v>22</v>
      </c>
      <c r="B183" s="292" t="s">
        <v>814</v>
      </c>
      <c r="C183" s="292" t="s">
        <v>14</v>
      </c>
      <c r="D183" s="292" t="s">
        <v>298</v>
      </c>
      <c r="E183" s="292" t="s">
        <v>1052</v>
      </c>
      <c r="F183" s="292" t="s">
        <v>1899</v>
      </c>
      <c r="G183" s="481">
        <f t="array" aca="1" ref="G183" ca="1">AVERAGE(IF('Well Data-NK'!Sept2014_Form={"LB"},IF('Well Data-NK'!Sept2014_Well_Type="NW",IF('Well Data-NK'!Sept2014_Prod_Inj="Prod",'Well Data-NK'!Sept2014_Planned_Spud_to_RR))))</f>
        <v>70</v>
      </c>
      <c r="H183" s="292"/>
      <c r="I183" s="476">
        <v>33</v>
      </c>
      <c r="N183" s="261"/>
    </row>
    <row r="184" spans="1:14" x14ac:dyDescent="0.25">
      <c r="A184" s="292" t="s">
        <v>825</v>
      </c>
      <c r="B184" s="292" t="s">
        <v>814</v>
      </c>
      <c r="C184" s="292" t="s">
        <v>14</v>
      </c>
      <c r="D184" s="292" t="s">
        <v>298</v>
      </c>
      <c r="E184" s="292" t="s">
        <v>1052</v>
      </c>
      <c r="F184" s="292" t="s">
        <v>1899</v>
      </c>
      <c r="G184" s="481">
        <f t="array" aca="1" ref="G184" ca="1">AVERAGE(IF('Well Data-NK'!Sept2014_Form={"ZU","RT"},IF('Well Data-NK'!Sept2014_Well_Type="NW",IF('Well Data-NK'!Sept2014_Prod_Inj="Prod",'Well Data-NK'!Sept2014_Planned_Spud_to_RR))))</f>
        <v>98</v>
      </c>
      <c r="H184" s="292"/>
      <c r="I184" s="476">
        <v>34</v>
      </c>
      <c r="N184" s="261"/>
    </row>
    <row r="185" spans="1:14" x14ac:dyDescent="0.25">
      <c r="A185" s="292" t="s">
        <v>816</v>
      </c>
      <c r="B185" s="292" t="s">
        <v>814</v>
      </c>
      <c r="C185" s="292" t="s">
        <v>14</v>
      </c>
      <c r="D185" s="292" t="s">
        <v>298</v>
      </c>
      <c r="E185" s="292" t="s">
        <v>1052</v>
      </c>
      <c r="F185" s="292" t="s">
        <v>1899</v>
      </c>
      <c r="G185" s="481">
        <f t="array" aca="1" ref="G185" ca="1">AVERAGE(IF('Well Data-NK'!Sept2014_Form={"ZU","RT","LB","UB","MA"},IF('Well Data-NK'!Sept2014_Well_Type="NW",IF('Well Data-NK'!Sept2014_Prod_Inj="Prod",'Well Data-NK'!Sept2014_Planned_Spud_to_RR))))</f>
        <v>74.666666666666671</v>
      </c>
      <c r="H185" s="292"/>
      <c r="I185" s="476">
        <v>35</v>
      </c>
      <c r="N185" s="261"/>
    </row>
    <row r="186" spans="1:14" x14ac:dyDescent="0.25">
      <c r="A186" s="482" t="s">
        <v>17</v>
      </c>
      <c r="B186" s="482" t="s">
        <v>815</v>
      </c>
      <c r="C186" s="482" t="s">
        <v>14</v>
      </c>
      <c r="D186" s="482" t="s">
        <v>298</v>
      </c>
      <c r="E186" s="482" t="s">
        <v>1052</v>
      </c>
      <c r="F186" s="292" t="s">
        <v>1899</v>
      </c>
      <c r="G186" s="485">
        <f t="array" aca="1" ref="G186" ca="1">AVERAGE(IF('Well Data-NK'!Sept2014_Form={"MA"},IF('Well Data-NK'!Sept2014_Well_Type="NW",IF('Well Data-NK'!Sept2014_Prod_Inj="Prod",'Well Data-NK'!Sept2014_Spud_to_RR))))</f>
        <v>61.421875000000604</v>
      </c>
      <c r="H186" s="484">
        <f t="array" aca="1" ref="H186" ca="1">COUNT(IF('Well Data-NK'!Sept2014_Form={"MA"},IF('Well Data-NK'!Sept2014_Well_Type="NW",IF('Well Data-NK'!Sept2014_Prod_Inj="Prod",'Well Data-NK'!Sept2014_Spud_to_RR))))</f>
        <v>12</v>
      </c>
      <c r="I186" s="476">
        <v>36</v>
      </c>
      <c r="N186" s="261"/>
    </row>
    <row r="187" spans="1:14" x14ac:dyDescent="0.25">
      <c r="A187" s="482" t="s">
        <v>29</v>
      </c>
      <c r="B187" s="482" t="s">
        <v>815</v>
      </c>
      <c r="C187" s="482" t="s">
        <v>14</v>
      </c>
      <c r="D187" s="482" t="s">
        <v>298</v>
      </c>
      <c r="E187" s="482" t="s">
        <v>1052</v>
      </c>
      <c r="F187" s="292" t="s">
        <v>1899</v>
      </c>
      <c r="G187" s="485">
        <f t="array" aca="1" ref="G187" ca="1">AVERAGE(IF('Well Data-NK'!Sept2014_Form={"UB"},IF('Well Data-NK'!Sept2014_Well_Type="NW",IF('Well Data-NK'!Sept2014_Prod_Inj="Prod",'Well Data-NK'!Sept2014_Spud_to_RR))))</f>
        <v>57.55416666666715</v>
      </c>
      <c r="H187" s="482">
        <f t="array" aca="1" ref="H187" ca="1">COUNT(IF('Well Data-NK'!Sept2014_Form={"UB"},IF('Well Data-NK'!Sept2014_Well_Type="NW",IF('Well Data-NK'!Sept2014_Prod_Inj="Prod",'Well Data-NK'!Sept2014_Spud_to_RR))))</f>
        <v>5</v>
      </c>
      <c r="I187" s="476">
        <v>37</v>
      </c>
      <c r="N187" s="261"/>
    </row>
    <row r="188" spans="1:14" x14ac:dyDescent="0.25">
      <c r="A188" s="482" t="s">
        <v>22</v>
      </c>
      <c r="B188" s="482" t="s">
        <v>815</v>
      </c>
      <c r="C188" s="482" t="s">
        <v>14</v>
      </c>
      <c r="D188" s="482" t="s">
        <v>298</v>
      </c>
      <c r="E188" s="482" t="s">
        <v>1052</v>
      </c>
      <c r="F188" s="292" t="s">
        <v>1899</v>
      </c>
      <c r="G188" s="485">
        <f t="array" aca="1" ref="G188" ca="1">AVERAGE(IF('Well Data-NK'!Sept2014_Form={"LB"},IF('Well Data-NK'!Sept2014_Well_Type="NW",IF('Well Data-NK'!Sept2014_Prod_Inj="Prod",'Well Data-NK'!Sept2014_Spud_to_RR))))</f>
        <v>65.53525640769287</v>
      </c>
      <c r="H188" s="482">
        <f t="array" aca="1" ref="H188" ca="1">COUNT(IF('Well Data-NK'!Sept2014_Form={"LB"},IF('Well Data-NK'!Sept2014_Well_Type="NW",IF('Well Data-NK'!Sept2014_Prod_Inj="Prod",'Well Data-NK'!Sept2014_Spud_to_RR))))</f>
        <v>13</v>
      </c>
      <c r="I188" s="476">
        <v>38</v>
      </c>
      <c r="N188" s="261"/>
    </row>
    <row r="189" spans="1:14" x14ac:dyDescent="0.25">
      <c r="A189" s="482" t="s">
        <v>825</v>
      </c>
      <c r="B189" s="482" t="s">
        <v>815</v>
      </c>
      <c r="C189" s="482" t="s">
        <v>14</v>
      </c>
      <c r="D189" s="482" t="s">
        <v>298</v>
      </c>
      <c r="E189" s="482" t="s">
        <v>1052</v>
      </c>
      <c r="F189" s="292" t="s">
        <v>1899</v>
      </c>
      <c r="G189" s="485">
        <f t="array" aca="1" ref="G189" ca="1">AVERAGE(IF('Well Data-NK'!Sept2014_Form={"ZU","RT"},IF('Well Data-NK'!Sept2014_Well_Type="NW",IF('Well Data-NK'!Sept2014_Prod_Inj="Prod",'Well Data-NK'!Sept2014_Spud_to_RR))))</f>
        <v>89.017361111110702</v>
      </c>
      <c r="H189" s="482">
        <f t="array" aca="1" ref="H189" ca="1">COUNT(IF('Well Data-NK'!Sept2014_Form={"ZU","RT"},IF('Well Data-NK'!Sept2014_Well_Type="NW",IF('Well Data-NK'!Sept2014_Prod_Inj="Prod",'Well Data-NK'!Sept2014_Spud_to_RR))))</f>
        <v>6</v>
      </c>
      <c r="I189" s="476">
        <v>39</v>
      </c>
      <c r="N189" s="261"/>
    </row>
    <row r="190" spans="1:14" x14ac:dyDescent="0.25">
      <c r="A190" s="482" t="s">
        <v>816</v>
      </c>
      <c r="B190" s="482" t="s">
        <v>815</v>
      </c>
      <c r="C190" s="482" t="s">
        <v>14</v>
      </c>
      <c r="D190" s="482" t="s">
        <v>298</v>
      </c>
      <c r="E190" s="482" t="s">
        <v>1052</v>
      </c>
      <c r="F190" s="292" t="s">
        <v>1899</v>
      </c>
      <c r="G190" s="485">
        <f t="array" aca="1" ref="G190" ca="1">AVERAGE(IF('Well Data-NK'!Sept2014_Form={"ZU","RT","LB","UB","MA"},IF('Well Data-NK'!Sept2014_Well_Type="NW",IF('Well Data-NK'!Sept2014_Prod_Inj="Prod",'Well Data-NK'!Sept2014_Spud_to_RR))))</f>
        <v>66.969328702778185</v>
      </c>
      <c r="H190" s="482">
        <f t="array" aca="1" ref="H190" ca="1">COUNT(IF('Well Data-NK'!Sept2014_Form={"ZU","RT","LB","UB","MA"},IF('Well Data-NK'!Sept2014_Well_Type="NW",IF('Well Data-NK'!Sept2014_Prod_Inj="Prod",'Well Data-NK'!Sept2014_Spud_to_RR))))</f>
        <v>36</v>
      </c>
      <c r="I190" s="476">
        <v>40</v>
      </c>
      <c r="N190" s="261"/>
    </row>
    <row r="191" spans="1:14" x14ac:dyDescent="0.25">
      <c r="A191" s="292" t="s">
        <v>17</v>
      </c>
      <c r="B191" s="292" t="s">
        <v>814</v>
      </c>
      <c r="C191" s="292" t="s">
        <v>18</v>
      </c>
      <c r="D191" s="292" t="s">
        <v>298</v>
      </c>
      <c r="E191" s="292" t="s">
        <v>1052</v>
      </c>
      <c r="F191" s="292" t="s">
        <v>1899</v>
      </c>
      <c r="G191" s="481">
        <f t="array" aca="1" ref="G191" ca="1">AVERAGE(IF('Well Data-NK'!Sept2014_Form={"MA"},IF('Well Data-NK'!Sept2014_Well_Type="ST",IF('Well Data-NK'!Sept2014_Prod_Inj="Prod",'Well Data-NK'!Sept2014_Planned_Spud_to_RR))))</f>
        <v>56</v>
      </c>
      <c r="H191" s="292"/>
      <c r="I191" s="476">
        <v>41</v>
      </c>
      <c r="N191" s="261"/>
    </row>
    <row r="192" spans="1:14" x14ac:dyDescent="0.25">
      <c r="A192" s="292" t="s">
        <v>29</v>
      </c>
      <c r="B192" s="292" t="s">
        <v>814</v>
      </c>
      <c r="C192" s="292" t="s">
        <v>18</v>
      </c>
      <c r="D192" s="292" t="s">
        <v>298</v>
      </c>
      <c r="E192" s="292" t="s">
        <v>1052</v>
      </c>
      <c r="F192" s="292" t="s">
        <v>1899</v>
      </c>
      <c r="G192" s="481">
        <f t="array" aca="1" ref="G192" ca="1">AVERAGE(IF('Well Data-NK'!Sept2014_Form={"UB"},IF('Well Data-NK'!Sept2014_Well_Type="ST",IF('Well Data-NK'!Sept2014_Prod_Inj="Prod",'Well Data-NK'!Sept2014_Planned_Spud_to_RR))))</f>
        <v>56</v>
      </c>
      <c r="H192" s="292"/>
      <c r="I192" s="476">
        <v>42</v>
      </c>
      <c r="N192" s="261"/>
    </row>
    <row r="193" spans="1:14" x14ac:dyDescent="0.25">
      <c r="A193" s="292" t="s">
        <v>22</v>
      </c>
      <c r="B193" s="292" t="s">
        <v>814</v>
      </c>
      <c r="C193" s="292" t="s">
        <v>18</v>
      </c>
      <c r="D193" s="292" t="s">
        <v>298</v>
      </c>
      <c r="E193" s="292" t="s">
        <v>1052</v>
      </c>
      <c r="F193" s="292" t="s">
        <v>1899</v>
      </c>
      <c r="G193" s="481" t="e">
        <f t="array" aca="1" ref="G193" ca="1">AVERAGE(IF('Well Data-NK'!Sept2014_Form={"LB"},IF('Well Data-NK'!Sept2014_Well_Type="ST",IF('Well Data-NK'!Sept2014_Prod_Inj="Prod",'Well Data-NK'!Sept2014_Planned_Spud_to_RR))))</f>
        <v>#DIV/0!</v>
      </c>
      <c r="H193" s="292"/>
      <c r="I193" s="476">
        <v>43</v>
      </c>
      <c r="N193" s="261"/>
    </row>
    <row r="194" spans="1:14" x14ac:dyDescent="0.25">
      <c r="A194" s="292" t="s">
        <v>825</v>
      </c>
      <c r="B194" s="292" t="s">
        <v>814</v>
      </c>
      <c r="C194" s="292" t="s">
        <v>18</v>
      </c>
      <c r="D194" s="292" t="s">
        <v>298</v>
      </c>
      <c r="E194" s="292" t="s">
        <v>1052</v>
      </c>
      <c r="F194" s="292" t="s">
        <v>1899</v>
      </c>
      <c r="G194" s="481">
        <f t="array" aca="1" ref="G194" ca="1">AVERAGE(IF('Well Data-NK'!Sept2014_Form={"ZU","RT"},IF('Well Data-NK'!Sept2014_Well_Type="ST",IF('Well Data-NK'!Sept2014_Prod_Inj="Prod",'Well Data-NK'!Sept2014_Planned_Spud_to_RR))))</f>
        <v>56</v>
      </c>
      <c r="H194" s="292"/>
      <c r="I194" s="476">
        <v>44</v>
      </c>
      <c r="N194" s="261"/>
    </row>
    <row r="195" spans="1:14" x14ac:dyDescent="0.25">
      <c r="A195" s="292" t="s">
        <v>816</v>
      </c>
      <c r="B195" s="292" t="s">
        <v>814</v>
      </c>
      <c r="C195" s="292" t="s">
        <v>18</v>
      </c>
      <c r="D195" s="292" t="s">
        <v>298</v>
      </c>
      <c r="E195" s="292" t="s">
        <v>1052</v>
      </c>
      <c r="F195" s="292" t="s">
        <v>1899</v>
      </c>
      <c r="G195" s="481">
        <f t="array" aca="1" ref="G195" ca="1">AVERAGE(IF('Well Data-NK'!Sept2014_Form={"ZU","RT","LB","UB","MA"},IF('Well Data-NK'!Sept2014_Well_Type="ST",IF('Well Data-NK'!Sept2014_Prod_Inj="Prod",'Well Data-NK'!Sept2014_Planned_Spud_to_RR))))</f>
        <v>56</v>
      </c>
      <c r="H195" s="292"/>
      <c r="I195" s="476">
        <v>45</v>
      </c>
      <c r="N195" s="261"/>
    </row>
    <row r="196" spans="1:14" x14ac:dyDescent="0.25">
      <c r="A196" s="482" t="s">
        <v>17</v>
      </c>
      <c r="B196" s="482" t="s">
        <v>815</v>
      </c>
      <c r="C196" s="482" t="s">
        <v>18</v>
      </c>
      <c r="D196" s="482" t="s">
        <v>298</v>
      </c>
      <c r="E196" s="482" t="s">
        <v>1052</v>
      </c>
      <c r="F196" s="292" t="s">
        <v>1899</v>
      </c>
      <c r="G196" s="485">
        <f t="array" aca="1" ref="G196" ca="1">AVERAGE(IF('Well Data-NK'!Sept2014_Form={"MA"},IF('Well Data-NK'!Sept2014_Well_Type="ST",IF('Well Data-NK'!Sept2014_Prod_Inj="Prod",'Well Data-NK'!Sept2014_Spud_to_RR))))</f>
        <v>47.811111111110463</v>
      </c>
      <c r="H196" s="482">
        <f t="array" aca="1" ref="H196" ca="1">COUNT(IF('Well Data-NK'!Sept2014_Form={"MA"},IF('Well Data-NK'!Sept2014_Well_Type="ST",IF('Well Data-NK'!Sept2014_Prod_Inj="Prod",'Well Data-NK'!Sept2014_Spud_to_RR))))</f>
        <v>15</v>
      </c>
      <c r="I196" s="476">
        <v>46</v>
      </c>
      <c r="N196" s="261"/>
    </row>
    <row r="197" spans="1:14" x14ac:dyDescent="0.25">
      <c r="A197" s="482" t="s">
        <v>29</v>
      </c>
      <c r="B197" s="482" t="s">
        <v>815</v>
      </c>
      <c r="C197" s="482" t="s">
        <v>18</v>
      </c>
      <c r="D197" s="482" t="s">
        <v>298</v>
      </c>
      <c r="E197" s="482" t="s">
        <v>1052</v>
      </c>
      <c r="F197" s="292" t="s">
        <v>1899</v>
      </c>
      <c r="G197" s="485">
        <f t="array" aca="1" ref="G197" ca="1">AVERAGE(IF('Well Data-NK'!Sept2014_Form={"UB"},IF('Well Data-NK'!Sept2014_Well_Type="ST",IF('Well Data-NK'!Sept2014_Prod_Inj="Prod",'Well Data-NK'!Sept2014_Spud_to_RR))))</f>
        <v>52.635414999999995</v>
      </c>
      <c r="H197" s="482">
        <f t="array" aca="1" ref="H197" ca="1">COUNT(IF('Well Data-NK'!Sept2014_Form={"UB"},IF('Well Data-NK'!Sept2014_Well_Type="ST",IF('Well Data-NK'!Sept2014_Prod_Inj="Prod",'Well Data-NK'!Sept2014_Spud_to_RR))))</f>
        <v>2</v>
      </c>
      <c r="I197" s="476">
        <v>47</v>
      </c>
      <c r="N197" s="261"/>
    </row>
    <row r="198" spans="1:14" x14ac:dyDescent="0.25">
      <c r="A198" s="482" t="s">
        <v>22</v>
      </c>
      <c r="B198" s="482" t="s">
        <v>815</v>
      </c>
      <c r="C198" s="482" t="s">
        <v>18</v>
      </c>
      <c r="D198" s="482" t="s">
        <v>298</v>
      </c>
      <c r="E198" s="482" t="s">
        <v>1052</v>
      </c>
      <c r="F198" s="292" t="s">
        <v>1899</v>
      </c>
      <c r="G198" s="485" t="e">
        <f t="array" aca="1" ref="G198" ca="1">AVERAGE(IF('Well Data-NK'!Sept2014_Form={"LB"},IF('Well Data-NK'!Sept2014_Well_Type="ST",IF('Well Data-NK'!Sept2014_Prod_Inj="Prod",'Well Data-NK'!Sept2014_Spud_to_RR))))</f>
        <v>#DIV/0!</v>
      </c>
      <c r="H198" s="482">
        <f t="array" aca="1" ref="H198" ca="1">COUNT(IF('Well Data-NK'!Sept2014_Form={"LB"},IF('Well Data-NK'!Sept2014_Well_Type="ST",IF('Well Data-NK'!Sept2014_Prod_Inj="Prod",'Well Data-NK'!Sept2014_Spud_to_RR))))</f>
        <v>0</v>
      </c>
      <c r="I198" s="476">
        <v>48</v>
      </c>
      <c r="N198" s="261"/>
    </row>
    <row r="199" spans="1:14" x14ac:dyDescent="0.25">
      <c r="A199" s="482" t="s">
        <v>825</v>
      </c>
      <c r="B199" s="482" t="s">
        <v>815</v>
      </c>
      <c r="C199" s="482" t="s">
        <v>18</v>
      </c>
      <c r="D199" s="482" t="s">
        <v>298</v>
      </c>
      <c r="E199" s="482" t="s">
        <v>1052</v>
      </c>
      <c r="F199" s="292" t="s">
        <v>1899</v>
      </c>
      <c r="G199" s="485">
        <f t="array" aca="1" ref="G199" ca="1">AVERAGE(IF('Well Data-NK'!Sept2014_Form={"ZU","RT"},IF('Well Data-NK'!Sept2014_Well_Type="ST",IF('Well Data-NK'!Sept2014_Prod_Inj="Prod",'Well Data-NK'!Sept2014_Spud_to_RR))))</f>
        <v>52</v>
      </c>
      <c r="H199" s="482">
        <f t="array" aca="1" ref="H199" ca="1">COUNT(IF('Well Data-NK'!Sept2014_Form={"ZU","RT"},IF('Well Data-NK'!Sept2014_Well_Type="ST",IF('Well Data-NK'!Sept2014_Prod_Inj="Prod",'Well Data-NK'!Sept2014_Spud_to_RR))))</f>
        <v>1</v>
      </c>
      <c r="I199" s="476">
        <v>49</v>
      </c>
      <c r="N199" s="261"/>
    </row>
    <row r="200" spans="1:14" x14ac:dyDescent="0.25">
      <c r="A200" s="482" t="s">
        <v>816</v>
      </c>
      <c r="B200" s="482" t="s">
        <v>815</v>
      </c>
      <c r="C200" s="482" t="s">
        <v>18</v>
      </c>
      <c r="D200" s="482" t="s">
        <v>298</v>
      </c>
      <c r="E200" s="482" t="s">
        <v>1052</v>
      </c>
      <c r="F200" s="292" t="s">
        <v>1899</v>
      </c>
      <c r="G200" s="485">
        <f t="array" aca="1" ref="G200" ca="1">AVERAGE(IF('Well Data-NK'!Sept2014_Form={"ZU","RT","LB","UB","MA"},IF('Well Data-NK'!Sept2014_Well_Type="ST",IF('Well Data-NK'!Sept2014_Prod_Inj="Prod",'Well Data-NK'!Sept2014_Spud_to_RR))))</f>
        <v>48.579860925925381</v>
      </c>
      <c r="H200" s="482">
        <f t="array" aca="1" ref="H200" ca="1">COUNT(IF('Well Data-NK'!Sept2014_Form={"ZU","RT","LB","UB","MA"},IF('Well Data-NK'!Sept2014_Well_Type="ST",IF('Well Data-NK'!Sept2014_Prod_Inj="Prod",'Well Data-NK'!Sept2014_Spud_to_RR))))</f>
        <v>18</v>
      </c>
      <c r="I200" s="476">
        <v>50</v>
      </c>
      <c r="N200" s="261"/>
    </row>
    <row r="201" spans="1:14" x14ac:dyDescent="0.25">
      <c r="A201" s="292" t="s">
        <v>17</v>
      </c>
      <c r="B201" s="292" t="s">
        <v>814</v>
      </c>
      <c r="C201" s="292" t="s">
        <v>14</v>
      </c>
      <c r="D201" s="292" t="s">
        <v>34</v>
      </c>
      <c r="E201" s="292" t="s">
        <v>1052</v>
      </c>
      <c r="F201" s="292" t="s">
        <v>1899</v>
      </c>
      <c r="G201" s="481">
        <f t="array" aca="1" ref="G201" ca="1">AVERAGE(IF('Well Data-NK'!Sept2014_Form={"MA"},IF('Well Data-NK'!Sept2014_Well_Type="NW",IF('Well Data-NK'!Sept2014_Prod_Inj="Inj",'Well Data-NK'!Sept2014_Planned_Spud_to_RR))))</f>
        <v>63</v>
      </c>
      <c r="H201" s="292"/>
      <c r="I201" s="476">
        <v>51</v>
      </c>
      <c r="N201" s="261"/>
    </row>
    <row r="202" spans="1:14" x14ac:dyDescent="0.25">
      <c r="A202" s="292" t="s">
        <v>29</v>
      </c>
      <c r="B202" s="292" t="s">
        <v>814</v>
      </c>
      <c r="C202" s="292" t="s">
        <v>14</v>
      </c>
      <c r="D202" s="292" t="s">
        <v>34</v>
      </c>
      <c r="E202" s="292" t="s">
        <v>1052</v>
      </c>
      <c r="F202" s="292" t="s">
        <v>1899</v>
      </c>
      <c r="G202" s="481" t="e">
        <f t="array" aca="1" ref="G202" ca="1">AVERAGE(IF('Well Data-NK'!Sept2014_Form={"UB"},IF('Well Data-NK'!Sept2014_Well_Type="NW",IF('Well Data-NK'!Sept2014_Prod_Inj="Inj",'Well Data-NK'!Sept2014_Planned_Spud_to_RR))))</f>
        <v>#DIV/0!</v>
      </c>
      <c r="H202" s="292"/>
      <c r="I202" s="476">
        <v>52</v>
      </c>
      <c r="N202" s="261"/>
    </row>
    <row r="203" spans="1:14" x14ac:dyDescent="0.25">
      <c r="A203" s="292" t="s">
        <v>22</v>
      </c>
      <c r="B203" s="292" t="s">
        <v>814</v>
      </c>
      <c r="C203" s="292" t="s">
        <v>14</v>
      </c>
      <c r="D203" s="292" t="s">
        <v>34</v>
      </c>
      <c r="E203" s="292" t="s">
        <v>1052</v>
      </c>
      <c r="F203" s="292" t="s">
        <v>1899</v>
      </c>
      <c r="G203" s="481" t="e">
        <f t="array" aca="1" ref="G203" ca="1">AVERAGE(IF('Well Data-NK'!Sept2014_Form={"LB"},IF('Well Data-NK'!Sept2014_Well_Type="NW",IF('Well Data-NK'!Sept2014_Prod_Inj="Inj",'Well Data-NK'!Sept2014_Planned_Spud_to_RR))))</f>
        <v>#DIV/0!</v>
      </c>
      <c r="H203" s="292"/>
      <c r="I203" s="476">
        <v>53</v>
      </c>
      <c r="N203" s="261"/>
    </row>
    <row r="204" spans="1:14" x14ac:dyDescent="0.25">
      <c r="A204" s="292" t="s">
        <v>825</v>
      </c>
      <c r="B204" s="292" t="s">
        <v>814</v>
      </c>
      <c r="C204" s="292" t="s">
        <v>14</v>
      </c>
      <c r="D204" s="292" t="s">
        <v>34</v>
      </c>
      <c r="E204" s="292" t="s">
        <v>1052</v>
      </c>
      <c r="F204" s="292" t="s">
        <v>1899</v>
      </c>
      <c r="G204" s="481" t="e">
        <f t="array" aca="1" ref="G204" ca="1">AVERAGE(IF('Well Data-NK'!Sept2014_Form={"ZU","RT"},IF('Well Data-NK'!Sept2014_Well_Type="NW",IF('Well Data-NK'!Sept2014_Prod_Inj="Inj",'Well Data-NK'!Sept2014_Planned_Spud_to_RR))))</f>
        <v>#DIV/0!</v>
      </c>
      <c r="H204" s="292"/>
      <c r="I204" s="476">
        <v>54</v>
      </c>
      <c r="N204" s="261"/>
    </row>
    <row r="205" spans="1:14" x14ac:dyDescent="0.25">
      <c r="A205" s="292" t="s">
        <v>816</v>
      </c>
      <c r="B205" s="292" t="s">
        <v>814</v>
      </c>
      <c r="C205" s="292" t="s">
        <v>14</v>
      </c>
      <c r="D205" s="292" t="s">
        <v>34</v>
      </c>
      <c r="E205" s="292" t="s">
        <v>1052</v>
      </c>
      <c r="F205" s="292" t="s">
        <v>1899</v>
      </c>
      <c r="G205" s="481">
        <f t="array" aca="1" ref="G205" ca="1">AVERAGE(IF('Well Data-NK'!Sept2014_Form={"ZU","RT","LB","UB","MA"},IF('Well Data-NK'!Sept2014_Well_Type="NW",IF('Well Data-NK'!Sept2014_Prod_Inj="Inj",'Well Data-NK'!Sept2014_Planned_Spud_to_RR))))</f>
        <v>63</v>
      </c>
      <c r="H205" s="292"/>
      <c r="I205" s="476">
        <v>55</v>
      </c>
      <c r="N205" s="261"/>
    </row>
    <row r="206" spans="1:14" x14ac:dyDescent="0.25">
      <c r="A206" s="482" t="s">
        <v>17</v>
      </c>
      <c r="B206" s="482" t="s">
        <v>815</v>
      </c>
      <c r="C206" s="482" t="s">
        <v>14</v>
      </c>
      <c r="D206" s="482" t="s">
        <v>34</v>
      </c>
      <c r="E206" s="482" t="s">
        <v>1052</v>
      </c>
      <c r="F206" s="292" t="s">
        <v>1899</v>
      </c>
      <c r="G206" s="485">
        <f t="array" aca="1" ref="G206" ca="1">AVERAGE(IF('Well Data-NK'!Sept2014_Form={"MA"},IF('Well Data-NK'!Sept2014_Well_Type="NW",IF('Well Data-NK'!Sept2014_Prod_Inj="Inj",'Well Data-NK'!Sept2014_Spud_to_RR))))</f>
        <v>55.437500000003638</v>
      </c>
      <c r="H206" s="482">
        <f t="array" aca="1" ref="H206" ca="1">COUNT(IF('Well Data-NK'!Sept2014_Form={"MA"},IF('Well Data-NK'!Sept2014_Well_Type="NW",IF('Well Data-NK'!Sept2014_Prod_Inj="Inj",'Well Data-NK'!Sept2014_Spud_to_RR))))</f>
        <v>2</v>
      </c>
      <c r="I206" s="476">
        <v>56</v>
      </c>
      <c r="N206" s="261"/>
    </row>
    <row r="207" spans="1:14" x14ac:dyDescent="0.25">
      <c r="A207" s="482" t="s">
        <v>29</v>
      </c>
      <c r="B207" s="482" t="s">
        <v>815</v>
      </c>
      <c r="C207" s="482" t="s">
        <v>14</v>
      </c>
      <c r="D207" s="482" t="s">
        <v>34</v>
      </c>
      <c r="E207" s="482" t="s">
        <v>1052</v>
      </c>
      <c r="F207" s="292" t="s">
        <v>1899</v>
      </c>
      <c r="G207" s="485" t="e">
        <f t="array" aca="1" ref="G207" ca="1">AVERAGE(IF('Well Data-NK'!Sept2014_Form={"UB"},IF('Well Data-NK'!Sept2014_Well_Type="NW",IF('Well Data-NK'!Sept2014_Prod_Inj="Inj",'Well Data-NK'!Sept2014_Spud_to_RR))))</f>
        <v>#DIV/0!</v>
      </c>
      <c r="H207" s="482">
        <f t="array" aca="1" ref="H207" ca="1">COUNT(IF('Well Data-NK'!Sept2014_Form={"UB"},IF('Well Data-NK'!Sept2014_Well_Type="NW",IF('Well Data-NK'!Sept2014_Prod_Inj="Inj",'Well Data-NK'!Sept2014_Spud_to_RR))))</f>
        <v>0</v>
      </c>
      <c r="I207" s="476">
        <v>57</v>
      </c>
      <c r="N207" s="261"/>
    </row>
    <row r="208" spans="1:14" x14ac:dyDescent="0.25">
      <c r="A208" s="482" t="s">
        <v>22</v>
      </c>
      <c r="B208" s="482" t="s">
        <v>815</v>
      </c>
      <c r="C208" s="482" t="s">
        <v>14</v>
      </c>
      <c r="D208" s="482" t="s">
        <v>34</v>
      </c>
      <c r="E208" s="482" t="s">
        <v>1052</v>
      </c>
      <c r="F208" s="292" t="s">
        <v>1899</v>
      </c>
      <c r="G208" s="485" t="e">
        <f t="array" aca="1" ref="G208" ca="1">AVERAGE(IF('Well Data-NK'!Sept2014_Form={"LB"},IF('Well Data-NK'!Sept2014_Well_Type="NW",IF('Well Data-NK'!Sept2014_Prod_Inj="Inj",'Well Data-NK'!Sept2014_Spud_to_RR))))</f>
        <v>#DIV/0!</v>
      </c>
      <c r="H208" s="482">
        <f t="array" aca="1" ref="H208" ca="1">COUNT(IF('Well Data-NK'!Sept2014_Form={"LB"},IF('Well Data-NK'!Sept2014_Well_Type="NW",IF('Well Data-NK'!Sept2014_Prod_Inj="Inj",'Well Data-NK'!Sept2014_Spud_to_RR))))</f>
        <v>0</v>
      </c>
      <c r="I208" s="476">
        <v>58</v>
      </c>
      <c r="N208" s="261"/>
    </row>
    <row r="209" spans="1:14" x14ac:dyDescent="0.25">
      <c r="A209" s="482" t="s">
        <v>825</v>
      </c>
      <c r="B209" s="482" t="s">
        <v>815</v>
      </c>
      <c r="C209" s="482" t="s">
        <v>14</v>
      </c>
      <c r="D209" s="482" t="s">
        <v>34</v>
      </c>
      <c r="E209" s="482" t="s">
        <v>1052</v>
      </c>
      <c r="F209" s="292" t="s">
        <v>1899</v>
      </c>
      <c r="G209" s="485" t="e">
        <f t="array" aca="1" ref="G209" ca="1">AVERAGE(IF('Well Data-NK'!Sept2014_Form={"ZU","RT"},IF('Well Data-NK'!Sept2014_Well_Type="NW",IF('Well Data-NK'!Sept2014_Prod_Inj="Inj",'Well Data-NK'!Sept2014_Spud_to_RR))))</f>
        <v>#DIV/0!</v>
      </c>
      <c r="H209" s="482">
        <f t="array" aca="1" ref="H209" ca="1">COUNT(IF('Well Data-NK'!Sept2014_Form={"ZU","RT"},IF('Well Data-NK'!Sept2014_Well_Type="NW",IF('Well Data-NK'!Sept2014_Prod_Inj="Inj",'Well Data-NK'!Sept2014_Spud_to_RR))))</f>
        <v>0</v>
      </c>
      <c r="I209" s="476">
        <v>59</v>
      </c>
      <c r="N209" s="261"/>
    </row>
    <row r="210" spans="1:14" x14ac:dyDescent="0.25">
      <c r="A210" s="482" t="s">
        <v>816</v>
      </c>
      <c r="B210" s="482" t="s">
        <v>815</v>
      </c>
      <c r="C210" s="482" t="s">
        <v>14</v>
      </c>
      <c r="D210" s="482" t="s">
        <v>34</v>
      </c>
      <c r="E210" s="482" t="s">
        <v>1052</v>
      </c>
      <c r="F210" s="292" t="s">
        <v>1899</v>
      </c>
      <c r="G210" s="485">
        <f t="array" aca="1" ref="G210" ca="1">AVERAGE(IF('Well Data-NK'!Sept2014_Form={"ZU","RT","LB","UB","MA"},IF('Well Data-NK'!Sept2014_Well_Type="NW",IF('Well Data-NK'!Sept2014_Prod_Inj="Inj",'Well Data-NK'!Sept2014_Spud_to_RR))))</f>
        <v>55.437500000003638</v>
      </c>
      <c r="H210" s="482">
        <f t="array" aca="1" ref="H210" ca="1">COUNT(IF('Well Data-NK'!Sept2014_Form={"ZU","RT","LB","UB","MA"},IF('Well Data-NK'!Sept2014_Well_Type="NW",IF('Well Data-NK'!Sept2014_Prod_Inj="Inj",'Well Data-NK'!Sept2014_Spud_to_RR))))</f>
        <v>2</v>
      </c>
      <c r="I210" s="476">
        <v>60</v>
      </c>
      <c r="N210" s="261"/>
    </row>
    <row r="211" spans="1:14" x14ac:dyDescent="0.25">
      <c r="A211" s="292" t="s">
        <v>17</v>
      </c>
      <c r="B211" s="292" t="s">
        <v>814</v>
      </c>
      <c r="C211" s="292" t="s">
        <v>18</v>
      </c>
      <c r="D211" s="292" t="s">
        <v>34</v>
      </c>
      <c r="E211" s="292" t="s">
        <v>1052</v>
      </c>
      <c r="F211" s="292" t="s">
        <v>1899</v>
      </c>
      <c r="G211" s="481">
        <f t="array" aca="1" ref="G211" ca="1">AVERAGE(IF('Well Data-NK'!Sept2014_Form={"MA"},IF('Well Data-NK'!Sept2014_Well_Type="ST",IF('Well Data-NK'!Sept2014_Prod_Inj="Inj",'Well Data-NK'!Sept2014_Planned_Spud_to_RR))))</f>
        <v>49</v>
      </c>
      <c r="H211" s="292"/>
      <c r="I211" s="476">
        <v>61</v>
      </c>
      <c r="N211" s="261"/>
    </row>
    <row r="212" spans="1:14" x14ac:dyDescent="0.25">
      <c r="A212" s="292" t="s">
        <v>29</v>
      </c>
      <c r="B212" s="292" t="s">
        <v>814</v>
      </c>
      <c r="C212" s="292" t="s">
        <v>18</v>
      </c>
      <c r="D212" s="292" t="s">
        <v>34</v>
      </c>
      <c r="E212" s="292" t="s">
        <v>1052</v>
      </c>
      <c r="F212" s="292" t="s">
        <v>1899</v>
      </c>
      <c r="G212" s="481" t="e">
        <f t="array" aca="1" ref="G212" ca="1">AVERAGE(IF('Well Data-NK'!Sept2014_Form={"UB"},IF('Well Data-NK'!Sept2014_Well_Type="ST",IF('Well Data-NK'!Sept2014_Prod_Inj="Inj",'Well Data-NK'!Sept2014_Planned_Spud_to_RR))))</f>
        <v>#DIV/0!</v>
      </c>
      <c r="H212" s="292"/>
      <c r="I212" s="476">
        <v>62</v>
      </c>
      <c r="N212" s="261"/>
    </row>
    <row r="213" spans="1:14" x14ac:dyDescent="0.25">
      <c r="A213" s="292" t="s">
        <v>22</v>
      </c>
      <c r="B213" s="292" t="s">
        <v>814</v>
      </c>
      <c r="C213" s="292" t="s">
        <v>18</v>
      </c>
      <c r="D213" s="292" t="s">
        <v>34</v>
      </c>
      <c r="E213" s="292" t="s">
        <v>1052</v>
      </c>
      <c r="F213" s="292" t="s">
        <v>1899</v>
      </c>
      <c r="G213" s="481" t="e">
        <f t="array" aca="1" ref="G213" ca="1">AVERAGE(IF('Well Data-NK'!Sept2014_Form={"LB"},IF('Well Data-NK'!Sept2014_Well_Type="ST",IF('Well Data-NK'!Sept2014_Prod_Inj="Inj",'Well Data-NK'!Sept2014_Planned_Spud_to_RR))))</f>
        <v>#DIV/0!</v>
      </c>
      <c r="H213" s="292"/>
      <c r="I213" s="476">
        <v>63</v>
      </c>
      <c r="N213" s="261"/>
    </row>
    <row r="214" spans="1:14" x14ac:dyDescent="0.25">
      <c r="A214" s="292" t="s">
        <v>825</v>
      </c>
      <c r="B214" s="292" t="s">
        <v>814</v>
      </c>
      <c r="C214" s="292" t="s">
        <v>18</v>
      </c>
      <c r="D214" s="292" t="s">
        <v>34</v>
      </c>
      <c r="E214" s="292" t="s">
        <v>1052</v>
      </c>
      <c r="F214" s="292" t="s">
        <v>1899</v>
      </c>
      <c r="G214" s="481" t="e">
        <f t="array" aca="1" ref="G214" ca="1">AVERAGE(IF('Well Data-NK'!Sept2014_Form={"ZU","RT"},IF('Well Data-NK'!Sept2014_Well_Type="ST",IF('Well Data-NK'!Sept2014_Prod_Inj="Inj",'Well Data-NK'!Sept2014_Planned_Spud_to_RR))))</f>
        <v>#DIV/0!</v>
      </c>
      <c r="H214" s="292"/>
      <c r="I214" s="476">
        <v>64</v>
      </c>
      <c r="N214" s="261"/>
    </row>
    <row r="215" spans="1:14" x14ac:dyDescent="0.25">
      <c r="A215" s="292" t="s">
        <v>816</v>
      </c>
      <c r="B215" s="292" t="s">
        <v>814</v>
      </c>
      <c r="C215" s="292" t="s">
        <v>18</v>
      </c>
      <c r="D215" s="292" t="s">
        <v>34</v>
      </c>
      <c r="E215" s="292" t="s">
        <v>1052</v>
      </c>
      <c r="F215" s="292" t="s">
        <v>1899</v>
      </c>
      <c r="G215" s="481">
        <f t="array" aca="1" ref="G215" ca="1">AVERAGE(IF('Well Data-NK'!Sept2014_Form={"ZU","RT","LB","UB","MA"},IF('Well Data-NK'!Sept2014_Well_Type="ST",IF('Well Data-NK'!Sept2014_Prod_Inj="Inj",'Well Data-NK'!Sept2014_Planned_Spud_to_RR))))</f>
        <v>49</v>
      </c>
      <c r="H215" s="292"/>
      <c r="I215" s="476">
        <v>65</v>
      </c>
      <c r="N215" s="261"/>
    </row>
    <row r="216" spans="1:14" x14ac:dyDescent="0.25">
      <c r="A216" s="482" t="s">
        <v>17</v>
      </c>
      <c r="B216" s="482" t="s">
        <v>815</v>
      </c>
      <c r="C216" s="482" t="s">
        <v>18</v>
      </c>
      <c r="D216" s="482" t="s">
        <v>34</v>
      </c>
      <c r="E216" s="482" t="s">
        <v>1052</v>
      </c>
      <c r="F216" s="292" t="s">
        <v>1899</v>
      </c>
      <c r="G216" s="485">
        <f t="array" aca="1" ref="G216" ca="1">AVERAGE(IF('Well Data-NK'!Sept2014_Form={"MA"},IF('Well Data-NK'!Sept2014_Well_Type="ST",IF('Well Data-NK'!Sept2014_Prod_Inj="Inj",'Well Data-NK'!Sept2014_Spud_to_RR))))</f>
        <v>42.839843749999545</v>
      </c>
      <c r="H216" s="482">
        <f t="array" aca="1" ref="H216" ca="1">COUNT(IF('Well Data-NK'!Sept2014_Form={"MA"},IF('Well Data-NK'!Sept2014_Well_Type="ST",IF('Well Data-NK'!Sept2014_Prod_Inj="Inj",'Well Data-NK'!Sept2014_Spud_to_RR))))</f>
        <v>16</v>
      </c>
      <c r="I216" s="476">
        <v>66</v>
      </c>
      <c r="N216" s="261"/>
    </row>
    <row r="217" spans="1:14" x14ac:dyDescent="0.25">
      <c r="A217" s="482" t="s">
        <v>29</v>
      </c>
      <c r="B217" s="482" t="s">
        <v>815</v>
      </c>
      <c r="C217" s="482" t="s">
        <v>18</v>
      </c>
      <c r="D217" s="482" t="s">
        <v>34</v>
      </c>
      <c r="E217" s="482" t="s">
        <v>1052</v>
      </c>
      <c r="F217" s="292" t="s">
        <v>1899</v>
      </c>
      <c r="G217" s="485" t="e">
        <f t="array" aca="1" ref="G217" ca="1">AVERAGE(IF('Well Data-NK'!Sept2014_Form={"UB"},IF('Well Data-NK'!Sept2014_Well_Type="ST",IF('Well Data-NK'!Sept2014_Prod_Inj="Inj",'Well Data-NK'!Sept2014_Spud_to_RR))))</f>
        <v>#DIV/0!</v>
      </c>
      <c r="H217" s="482">
        <f t="array" aca="1" ref="H217" ca="1">COUNT(IF('Well Data-NK'!Sept2014_Form={"UB"},IF('Well Data-NK'!Sept2014_Well_Type="ST",IF('Well Data-NK'!Sept2014_Prod_Inj="Inj",'Well Data-NK'!Sept2014_Spud_to_RR))))</f>
        <v>0</v>
      </c>
      <c r="I217" s="476">
        <v>67</v>
      </c>
      <c r="N217" s="261"/>
    </row>
    <row r="218" spans="1:14" x14ac:dyDescent="0.25">
      <c r="A218" s="482" t="s">
        <v>22</v>
      </c>
      <c r="B218" s="482" t="s">
        <v>815</v>
      </c>
      <c r="C218" s="482" t="s">
        <v>18</v>
      </c>
      <c r="D218" s="482" t="s">
        <v>34</v>
      </c>
      <c r="E218" s="482" t="s">
        <v>1052</v>
      </c>
      <c r="F218" s="292" t="s">
        <v>1899</v>
      </c>
      <c r="G218" s="485" t="e">
        <f t="array" aca="1" ref="G218" ca="1">AVERAGE(IF('Well Data-NK'!Sept2014_Form={"LB"},IF('Well Data-NK'!Sept2014_Well_Type="ST",IF('Well Data-NK'!Sept2014_Prod_Inj="Inj",'Well Data-NK'!Sept2014_Spud_to_RR))))</f>
        <v>#DIV/0!</v>
      </c>
      <c r="H218" s="482">
        <f t="array" aca="1" ref="H218" ca="1">COUNT(IF('Well Data-NK'!Sept2014_Form={"LB"},IF('Well Data-NK'!Sept2014_Well_Type="ST",IF('Well Data-NK'!Sept2014_Prod_Inj="Inj",'Well Data-NK'!Sept2014_Spud_to_RR))))</f>
        <v>0</v>
      </c>
      <c r="I218" s="476">
        <v>68</v>
      </c>
      <c r="N218" s="261"/>
    </row>
    <row r="219" spans="1:14" x14ac:dyDescent="0.25">
      <c r="A219" s="482" t="s">
        <v>825</v>
      </c>
      <c r="B219" s="482" t="s">
        <v>815</v>
      </c>
      <c r="C219" s="482" t="s">
        <v>18</v>
      </c>
      <c r="D219" s="482" t="s">
        <v>34</v>
      </c>
      <c r="E219" s="482" t="s">
        <v>1052</v>
      </c>
      <c r="F219" s="292" t="s">
        <v>1899</v>
      </c>
      <c r="G219" s="485" t="e">
        <f t="array" aca="1" ref="G219" ca="1">AVERAGE(IF('Well Data-NK'!Sept2014_Form={"ZU","RT"},IF('Well Data-NK'!Sept2014_Well_Type="ST",IF('Well Data-NK'!Sept2014_Prod_Inj="Inj",'Well Data-NK'!Sept2014_Spud_to_RR))))</f>
        <v>#DIV/0!</v>
      </c>
      <c r="H219" s="482">
        <f t="array" aca="1" ref="H219" ca="1">COUNT(IF('Well Data-NK'!Sept2014_Form={"ZU","RT"},IF('Well Data-NK'!Sept2014_Well_Type="ST",IF('Well Data-NK'!Sept2014_Prod_Inj="Inj",'Well Data-NK'!Sept2014_Spud_to_RR))))</f>
        <v>0</v>
      </c>
      <c r="I219" s="476">
        <v>69</v>
      </c>
      <c r="N219" s="261"/>
    </row>
    <row r="220" spans="1:14" x14ac:dyDescent="0.25">
      <c r="A220" s="482" t="s">
        <v>816</v>
      </c>
      <c r="B220" s="482" t="s">
        <v>815</v>
      </c>
      <c r="C220" s="482" t="s">
        <v>18</v>
      </c>
      <c r="D220" s="482" t="s">
        <v>34</v>
      </c>
      <c r="E220" s="482" t="s">
        <v>1052</v>
      </c>
      <c r="F220" s="292" t="s">
        <v>1899</v>
      </c>
      <c r="G220" s="485">
        <f t="array" aca="1" ref="G220" ca="1">AVERAGE(IF('Well Data-NK'!Sept2014_Form={"ZU","RT","LB","UB","MA"},IF('Well Data-NK'!Sept2014_Well_Type="ST",IF('Well Data-NK'!Sept2014_Prod_Inj="Inj",'Well Data-NK'!Sept2014_Spud_to_RR))))</f>
        <v>42.839843749999545</v>
      </c>
      <c r="H220" s="482">
        <f t="array" aca="1" ref="H220" ca="1">COUNT(IF('Well Data-NK'!Sept2014_Form={"ZU","RT","LB","UB","MA"},IF('Well Data-NK'!Sept2014_Well_Type="ST",IF('Well Data-NK'!Sept2014_Prod_Inj="Inj",'Well Data-NK'!Sept2014_Spud_to_RR))))</f>
        <v>16</v>
      </c>
      <c r="I220" s="476">
        <v>70</v>
      </c>
      <c r="N220" s="261"/>
    </row>
    <row r="221" spans="1:14" x14ac:dyDescent="0.25">
      <c r="A221" s="292" t="s">
        <v>17</v>
      </c>
      <c r="B221" s="292" t="s">
        <v>814</v>
      </c>
      <c r="C221" s="292" t="s">
        <v>1059</v>
      </c>
      <c r="D221" s="292" t="s">
        <v>8</v>
      </c>
      <c r="E221" s="292" t="s">
        <v>1053</v>
      </c>
      <c r="F221" s="292" t="s">
        <v>1899</v>
      </c>
      <c r="G221" s="478"/>
      <c r="H221" s="292"/>
      <c r="I221" s="476">
        <v>71</v>
      </c>
      <c r="N221" s="261"/>
    </row>
    <row r="222" spans="1:14" x14ac:dyDescent="0.25">
      <c r="A222" s="292" t="s">
        <v>29</v>
      </c>
      <c r="B222" s="292" t="s">
        <v>814</v>
      </c>
      <c r="C222" s="292" t="s">
        <v>1059</v>
      </c>
      <c r="D222" s="292" t="s">
        <v>8</v>
      </c>
      <c r="E222" s="292" t="s">
        <v>1053</v>
      </c>
      <c r="F222" s="292" t="s">
        <v>1899</v>
      </c>
      <c r="G222" s="478"/>
      <c r="H222" s="292"/>
      <c r="I222" s="476">
        <v>72</v>
      </c>
      <c r="N222" s="261"/>
    </row>
    <row r="223" spans="1:14" x14ac:dyDescent="0.25">
      <c r="A223" s="292" t="s">
        <v>22</v>
      </c>
      <c r="B223" s="292" t="s">
        <v>814</v>
      </c>
      <c r="C223" s="292" t="s">
        <v>1059</v>
      </c>
      <c r="D223" s="292" t="s">
        <v>8</v>
      </c>
      <c r="E223" s="292" t="s">
        <v>1053</v>
      </c>
      <c r="F223" s="292" t="s">
        <v>1899</v>
      </c>
      <c r="G223" s="478"/>
      <c r="H223" s="292"/>
      <c r="I223" s="476">
        <v>73</v>
      </c>
      <c r="N223" s="261"/>
    </row>
    <row r="224" spans="1:14" x14ac:dyDescent="0.25">
      <c r="A224" s="292" t="s">
        <v>825</v>
      </c>
      <c r="B224" s="292" t="s">
        <v>814</v>
      </c>
      <c r="C224" s="292" t="s">
        <v>1059</v>
      </c>
      <c r="D224" s="292" t="s">
        <v>8</v>
      </c>
      <c r="E224" s="292" t="s">
        <v>1053</v>
      </c>
      <c r="F224" s="292" t="s">
        <v>1899</v>
      </c>
      <c r="G224" s="478"/>
      <c r="H224" s="292"/>
      <c r="I224" s="476">
        <v>74</v>
      </c>
      <c r="N224" s="261"/>
    </row>
    <row r="225" spans="1:14" x14ac:dyDescent="0.25">
      <c r="A225" s="292" t="s">
        <v>816</v>
      </c>
      <c r="B225" s="292" t="s">
        <v>814</v>
      </c>
      <c r="C225" s="292" t="s">
        <v>1059</v>
      </c>
      <c r="D225" s="292" t="s">
        <v>8</v>
      </c>
      <c r="E225" s="292" t="s">
        <v>1053</v>
      </c>
      <c r="F225" s="292" t="s">
        <v>1899</v>
      </c>
      <c r="G225" s="478"/>
      <c r="H225" s="292"/>
      <c r="I225" s="476">
        <v>75</v>
      </c>
      <c r="N225" s="261"/>
    </row>
    <row r="226" spans="1:14" x14ac:dyDescent="0.25">
      <c r="A226" s="482" t="s">
        <v>17</v>
      </c>
      <c r="B226" s="482" t="s">
        <v>815</v>
      </c>
      <c r="C226" s="482" t="s">
        <v>1059</v>
      </c>
      <c r="D226" s="482" t="s">
        <v>8</v>
      </c>
      <c r="E226" s="482" t="s">
        <v>1053</v>
      </c>
      <c r="F226" s="292" t="s">
        <v>1899</v>
      </c>
      <c r="G226" s="485"/>
      <c r="H226" s="482"/>
      <c r="I226" s="476">
        <v>76</v>
      </c>
      <c r="N226" s="261"/>
    </row>
    <row r="227" spans="1:14" x14ac:dyDescent="0.25">
      <c r="A227" s="482" t="s">
        <v>29</v>
      </c>
      <c r="B227" s="482" t="s">
        <v>815</v>
      </c>
      <c r="C227" s="482" t="s">
        <v>1059</v>
      </c>
      <c r="D227" s="482" t="s">
        <v>8</v>
      </c>
      <c r="E227" s="482" t="s">
        <v>1053</v>
      </c>
      <c r="F227" s="292" t="s">
        <v>1899</v>
      </c>
      <c r="G227" s="485"/>
      <c r="H227" s="482"/>
      <c r="I227" s="476">
        <v>77</v>
      </c>
      <c r="N227" s="261"/>
    </row>
    <row r="228" spans="1:14" x14ac:dyDescent="0.25">
      <c r="A228" s="482" t="s">
        <v>22</v>
      </c>
      <c r="B228" s="482" t="s">
        <v>815</v>
      </c>
      <c r="C228" s="482" t="s">
        <v>1059</v>
      </c>
      <c r="D228" s="482" t="s">
        <v>8</v>
      </c>
      <c r="E228" s="482" t="s">
        <v>1053</v>
      </c>
      <c r="F228" s="292" t="s">
        <v>1899</v>
      </c>
      <c r="G228" s="485"/>
      <c r="H228" s="482"/>
      <c r="I228" s="476">
        <v>78</v>
      </c>
      <c r="N228" s="261"/>
    </row>
    <row r="229" spans="1:14" x14ac:dyDescent="0.25">
      <c r="A229" s="482" t="s">
        <v>825</v>
      </c>
      <c r="B229" s="482" t="s">
        <v>815</v>
      </c>
      <c r="C229" s="482" t="s">
        <v>1059</v>
      </c>
      <c r="D229" s="482" t="s">
        <v>8</v>
      </c>
      <c r="E229" s="482" t="s">
        <v>1053</v>
      </c>
      <c r="F229" s="292" t="s">
        <v>1899</v>
      </c>
      <c r="G229" s="485"/>
      <c r="H229" s="482"/>
      <c r="I229" s="476">
        <v>79</v>
      </c>
      <c r="N229" s="261"/>
    </row>
    <row r="230" spans="1:14" x14ac:dyDescent="0.25">
      <c r="A230" s="482" t="s">
        <v>816</v>
      </c>
      <c r="B230" s="482" t="s">
        <v>815</v>
      </c>
      <c r="C230" s="482" t="s">
        <v>1059</v>
      </c>
      <c r="D230" s="482" t="s">
        <v>8</v>
      </c>
      <c r="E230" s="482" t="s">
        <v>1053</v>
      </c>
      <c r="F230" s="292" t="s">
        <v>1899</v>
      </c>
      <c r="G230" s="485"/>
      <c r="H230" s="482"/>
      <c r="I230" s="476">
        <v>80</v>
      </c>
      <c r="N230" s="261"/>
    </row>
    <row r="231" spans="1:14" x14ac:dyDescent="0.25">
      <c r="A231" s="292" t="s">
        <v>17</v>
      </c>
      <c r="B231" s="292" t="s">
        <v>814</v>
      </c>
      <c r="C231" s="292" t="s">
        <v>14</v>
      </c>
      <c r="D231" s="292" t="s">
        <v>8</v>
      </c>
      <c r="E231" s="292" t="s">
        <v>1053</v>
      </c>
      <c r="F231" s="292" t="s">
        <v>1899</v>
      </c>
      <c r="G231" s="478"/>
      <c r="H231" s="292"/>
      <c r="I231" s="476">
        <v>81</v>
      </c>
      <c r="N231" s="261"/>
    </row>
    <row r="232" spans="1:14" x14ac:dyDescent="0.25">
      <c r="A232" s="292" t="s">
        <v>29</v>
      </c>
      <c r="B232" s="292" t="s">
        <v>814</v>
      </c>
      <c r="C232" s="292" t="s">
        <v>14</v>
      </c>
      <c r="D232" s="292" t="s">
        <v>8</v>
      </c>
      <c r="E232" s="292" t="s">
        <v>1053</v>
      </c>
      <c r="F232" s="292" t="s">
        <v>1899</v>
      </c>
      <c r="G232" s="478"/>
      <c r="H232" s="292"/>
      <c r="I232" s="476">
        <v>82</v>
      </c>
      <c r="N232" s="261"/>
    </row>
    <row r="233" spans="1:14" x14ac:dyDescent="0.25">
      <c r="A233" s="292" t="s">
        <v>22</v>
      </c>
      <c r="B233" s="292" t="s">
        <v>814</v>
      </c>
      <c r="C233" s="292" t="s">
        <v>14</v>
      </c>
      <c r="D233" s="292" t="s">
        <v>8</v>
      </c>
      <c r="E233" s="292" t="s">
        <v>1053</v>
      </c>
      <c r="F233" s="292" t="s">
        <v>1899</v>
      </c>
      <c r="G233" s="478"/>
      <c r="H233" s="292"/>
      <c r="I233" s="476">
        <v>83</v>
      </c>
      <c r="N233" s="261"/>
    </row>
    <row r="234" spans="1:14" x14ac:dyDescent="0.25">
      <c r="A234" s="292" t="s">
        <v>825</v>
      </c>
      <c r="B234" s="292" t="s">
        <v>814</v>
      </c>
      <c r="C234" s="292" t="s">
        <v>14</v>
      </c>
      <c r="D234" s="292" t="s">
        <v>8</v>
      </c>
      <c r="E234" s="292" t="s">
        <v>1053</v>
      </c>
      <c r="F234" s="292" t="s">
        <v>1899</v>
      </c>
      <c r="G234" s="478"/>
      <c r="H234" s="292"/>
      <c r="I234" s="476">
        <v>84</v>
      </c>
      <c r="N234" s="261"/>
    </row>
    <row r="235" spans="1:14" x14ac:dyDescent="0.25">
      <c r="A235" s="292" t="s">
        <v>816</v>
      </c>
      <c r="B235" s="292" t="s">
        <v>814</v>
      </c>
      <c r="C235" s="292" t="s">
        <v>14</v>
      </c>
      <c r="D235" s="292" t="s">
        <v>8</v>
      </c>
      <c r="E235" s="292" t="s">
        <v>1053</v>
      </c>
      <c r="F235" s="292" t="s">
        <v>1899</v>
      </c>
      <c r="G235" s="478"/>
      <c r="H235" s="292"/>
      <c r="I235" s="476">
        <v>85</v>
      </c>
      <c r="N235" s="261"/>
    </row>
    <row r="236" spans="1:14" x14ac:dyDescent="0.25">
      <c r="A236" s="482" t="s">
        <v>17</v>
      </c>
      <c r="B236" s="482" t="s">
        <v>815</v>
      </c>
      <c r="C236" s="482" t="s">
        <v>14</v>
      </c>
      <c r="D236" s="482" t="s">
        <v>8</v>
      </c>
      <c r="E236" s="482" t="s">
        <v>1053</v>
      </c>
      <c r="F236" s="292" t="s">
        <v>1899</v>
      </c>
      <c r="G236" s="483">
        <f t="array" aca="1" ref="G236" ca="1">AVERAGE(IF('Well Data-NK'!Sept2014_Form={"MA"},IF('Well Data-NK'!Sept2014_Well_Type="NW",IF('Well Data-NK'!Sept2014_Spud_to_RR&lt;=PERCENTILE(IF('Well Data-NK'!Sept2014_Form={"MA"},IF('Well Data-NK'!Sept2014_Well_Type="NW",'Well Data-NK'!Sept2014_Spud_to_RR)),0.25),'Well Data-NK'!Sept2014_Spud_to_RR))))</f>
        <v>45.963541666667879</v>
      </c>
      <c r="H236" s="484">
        <f t="array" aca="1" ref="H236" ca="1">COUNT(IF('Well Data-NK'!Sept2014_Form={"MA"},IF('Well Data-NK'!Sept2014_Well_Type="NW",IF('Well Data-NK'!Sept2014_Spud_to_RR&lt;=PERCENTILE(IF('Well Data-NK'!Sept2014_Form={"MA"},IF('Well Data-NK'!Sept2014_Well_Type="NW",'Well Data-NK'!Sept2014_Spud_to_RR)),0.25),'Well Data-NK'!Sept2014_Spud_to_RR))))</f>
        <v>4</v>
      </c>
      <c r="I236" s="476">
        <v>86</v>
      </c>
      <c r="N236" s="261"/>
    </row>
    <row r="237" spans="1:14" x14ac:dyDescent="0.25">
      <c r="A237" s="482" t="s">
        <v>29</v>
      </c>
      <c r="B237" s="482" t="s">
        <v>815</v>
      </c>
      <c r="C237" s="482" t="s">
        <v>14</v>
      </c>
      <c r="D237" s="482" t="s">
        <v>8</v>
      </c>
      <c r="E237" s="482" t="s">
        <v>1053</v>
      </c>
      <c r="F237" s="292" t="s">
        <v>1899</v>
      </c>
      <c r="G237" s="483">
        <f t="array" aca="1" ref="G237" ca="1">AVERAGE(IF('Well Data-NK'!Sept2014_Form={"UB"},IF('Well Data-NK'!Sept2014_Well_Type="NW",IF('Well Data-NK'!Sept2014_Spud_to_RR&lt;=PERCENTILE(IF('Well Data-NK'!Sept2014_Form={"UB"},IF('Well Data-NK'!Sept2014_Well_Type="NW",'Well Data-NK'!Sept2014_Spud_to_RR)),0.25),'Well Data-NK'!Sept2014_Spud_to_RR))))</f>
        <v>48.875</v>
      </c>
      <c r="H237" s="484">
        <f t="array" aca="1" ref="H237" ca="1">COUNT(IF('Well Data-NK'!Sept2014_Form={"UB"},IF('Well Data-NK'!Sept2014_Well_Type="NW",IF('Well Data-NK'!Sept2014_Spud_to_RR&lt;=PERCENTILE(IF('Well Data-NK'!Sept2014_Form={"UB"},IF('Well Data-NK'!Sept2014_Well_Type="NW",'Well Data-NK'!Sept2014_Spud_to_RR)),0.25),'Well Data-NK'!Sept2014_Spud_to_RR))))</f>
        <v>2</v>
      </c>
      <c r="I237" s="476">
        <v>87</v>
      </c>
      <c r="N237" s="261"/>
    </row>
    <row r="238" spans="1:14" x14ac:dyDescent="0.25">
      <c r="A238" s="482" t="s">
        <v>22</v>
      </c>
      <c r="B238" s="482" t="s">
        <v>815</v>
      </c>
      <c r="C238" s="482" t="s">
        <v>14</v>
      </c>
      <c r="D238" s="482" t="s">
        <v>8</v>
      </c>
      <c r="E238" s="482" t="s">
        <v>1053</v>
      </c>
      <c r="F238" s="292" t="s">
        <v>1899</v>
      </c>
      <c r="G238" s="483">
        <f t="array" aca="1" ref="G238" ca="1">AVERAGE(IF('Well Data-NK'!Sept2014_Form={"LB"},IF('Well Data-NK'!Sept2014_Well_Type="NW",IF('Well Data-NK'!Sept2014_Spud_to_RR&lt;=PERCENTILE(IF('Well Data-NK'!Sept2014_Form={"LB"},IF('Well Data-NK'!Sept2014_Well_Type="NW",'Well Data-NK'!Sept2014_Spud_to_RR)),0.25),'Well Data-NK'!Sept2014_Spud_to_RR))))</f>
        <v>44.70833333333394</v>
      </c>
      <c r="H238" s="484">
        <f t="array" aca="1" ref="H238" ca="1">COUNT(IF('Well Data-NK'!Sept2014_Form={"LB"},IF('Well Data-NK'!Sept2014_Well_Type="NW",IF('Well Data-NK'!Sept2014_Spud_to_RR&lt;=PERCENTILE(IF('Well Data-NK'!Sept2014_Form={"LB"},IF('Well Data-NK'!Sept2014_Well_Type="NW",'Well Data-NK'!Sept2014_Spud_to_RR)),0.25),'Well Data-NK'!Sept2014_Spud_to_RR))))</f>
        <v>4</v>
      </c>
      <c r="I238" s="476">
        <v>88</v>
      </c>
      <c r="N238" s="261"/>
    </row>
    <row r="239" spans="1:14" x14ac:dyDescent="0.25">
      <c r="A239" s="482" t="s">
        <v>825</v>
      </c>
      <c r="B239" s="482" t="s">
        <v>815</v>
      </c>
      <c r="C239" s="482" t="s">
        <v>14</v>
      </c>
      <c r="D239" s="482" t="s">
        <v>8</v>
      </c>
      <c r="E239" s="482" t="s">
        <v>1053</v>
      </c>
      <c r="F239" s="292" t="s">
        <v>1899</v>
      </c>
      <c r="G239" s="483">
        <f t="array" aca="1" ref="G239" ca="1">AVERAGE(IF('Well Data-NK'!Sept2014_Form={"ZU","RT"},IF('Well Data-NK'!Sept2014_Well_Type="NW",IF('Well Data-NK'!Sept2014_Spud_to_RR&lt;=PERCENTILE(IF('Well Data-NK'!Sept2014_Form={"ZU","RT"},IF('Well Data-NK'!Sept2014_Well_Type="NW",'Well Data-NK'!Sept2014_Spud_to_RR)),0.25),'Well Data-NK'!Sept2014_Spud_to_RR))))</f>
        <v>60.770833333332121</v>
      </c>
      <c r="H239" s="484">
        <f t="array" aca="1" ref="H239" ca="1">COUNT(IF('Well Data-NK'!Sept2014_Form={"ZU","RT"},IF('Well Data-NK'!Sept2014_Well_Type="NW",IF('Well Data-NK'!Sept2014_Spud_to_RR&lt;=PERCENTILE(IF('Well Data-NK'!Sept2014_Form={"ZU","RT"},IF('Well Data-NK'!Sept2014_Well_Type="NW",'Well Data-NK'!Sept2014_Spud_to_RR)),0.25),'Well Data-NK'!Sept2014_Spud_to_RR))))</f>
        <v>2</v>
      </c>
      <c r="I239" s="476">
        <v>89</v>
      </c>
      <c r="N239" s="261"/>
    </row>
    <row r="240" spans="1:14" x14ac:dyDescent="0.25">
      <c r="A240" s="482" t="s">
        <v>816</v>
      </c>
      <c r="B240" s="482" t="s">
        <v>815</v>
      </c>
      <c r="C240" s="482" t="s">
        <v>14</v>
      </c>
      <c r="D240" s="482" t="s">
        <v>8</v>
      </c>
      <c r="E240" s="482" t="s">
        <v>1053</v>
      </c>
      <c r="F240" s="292" t="s">
        <v>1899</v>
      </c>
      <c r="G240" s="483">
        <f t="array" aca="1" ref="G240" ca="1">AVERAGE(IF('Well Data-NK'!Sept2014_Form={"ZU","RT","LB","UB","MA"},IF('Well Data-NK'!Sept2014_Well_Type="NW",IF('Well Data-NK'!Sept2014_Spud_to_RR&lt;=PERCENTILE(IF('Well Data-NK'!Sept2014_Form={"ZU","RT","LB","UB","MA"},IF('Well Data-NK'!Sept2014_Well_Type="NW",'Well Data-NK'!Sept2014_Spud_to_RR)),0.25),'Well Data-NK'!Sept2014_Spud_to_RR))))</f>
        <v>45.843750000000725</v>
      </c>
      <c r="H240" s="482">
        <f t="array" aca="1" ref="H240" ca="1">COUNT(IF('Well Data-NK'!Sept2014_Form={"RT","ZU","LB","UB","MA"},IF('Well Data-NK'!Sept2014_Well_Type="NW",'Well Data-NK'!Sept2014_Spud_to_RR)))</f>
        <v>38</v>
      </c>
      <c r="I240" s="476">
        <v>90</v>
      </c>
      <c r="N240" s="261"/>
    </row>
    <row r="241" spans="1:14" x14ac:dyDescent="0.25">
      <c r="A241" s="292" t="s">
        <v>17</v>
      </c>
      <c r="B241" s="292" t="s">
        <v>814</v>
      </c>
      <c r="C241" s="292" t="s">
        <v>18</v>
      </c>
      <c r="D241" s="292" t="s">
        <v>8</v>
      </c>
      <c r="E241" s="292" t="s">
        <v>1053</v>
      </c>
      <c r="F241" s="292" t="s">
        <v>1899</v>
      </c>
      <c r="G241" s="478"/>
      <c r="H241" s="292"/>
      <c r="I241" s="476">
        <v>91</v>
      </c>
      <c r="N241" s="261"/>
    </row>
    <row r="242" spans="1:14" x14ac:dyDescent="0.25">
      <c r="A242" s="292" t="s">
        <v>29</v>
      </c>
      <c r="B242" s="292" t="s">
        <v>814</v>
      </c>
      <c r="C242" s="292" t="s">
        <v>18</v>
      </c>
      <c r="D242" s="292" t="s">
        <v>8</v>
      </c>
      <c r="E242" s="292" t="s">
        <v>1053</v>
      </c>
      <c r="F242" s="292" t="s">
        <v>1899</v>
      </c>
      <c r="G242" s="478"/>
      <c r="H242" s="292"/>
      <c r="I242" s="476">
        <v>92</v>
      </c>
      <c r="N242" s="261"/>
    </row>
    <row r="243" spans="1:14" x14ac:dyDescent="0.25">
      <c r="A243" s="292" t="s">
        <v>22</v>
      </c>
      <c r="B243" s="292" t="s">
        <v>814</v>
      </c>
      <c r="C243" s="292" t="s">
        <v>18</v>
      </c>
      <c r="D243" s="292" t="s">
        <v>8</v>
      </c>
      <c r="E243" s="292" t="s">
        <v>1053</v>
      </c>
      <c r="F243" s="292" t="s">
        <v>1899</v>
      </c>
      <c r="G243" s="478"/>
      <c r="H243" s="292"/>
      <c r="I243" s="476">
        <v>93</v>
      </c>
      <c r="N243" s="261"/>
    </row>
    <row r="244" spans="1:14" x14ac:dyDescent="0.25">
      <c r="A244" s="292" t="s">
        <v>825</v>
      </c>
      <c r="B244" s="292" t="s">
        <v>814</v>
      </c>
      <c r="C244" s="292" t="s">
        <v>18</v>
      </c>
      <c r="D244" s="292" t="s">
        <v>8</v>
      </c>
      <c r="E244" s="292" t="s">
        <v>1053</v>
      </c>
      <c r="F244" s="292" t="s">
        <v>1899</v>
      </c>
      <c r="G244" s="478"/>
      <c r="H244" s="292"/>
      <c r="I244" s="476">
        <v>94</v>
      </c>
      <c r="N244" s="261"/>
    </row>
    <row r="245" spans="1:14" x14ac:dyDescent="0.25">
      <c r="A245" s="292" t="s">
        <v>816</v>
      </c>
      <c r="B245" s="292" t="s">
        <v>814</v>
      </c>
      <c r="C245" s="292" t="s">
        <v>18</v>
      </c>
      <c r="D245" s="292" t="s">
        <v>8</v>
      </c>
      <c r="E245" s="292" t="s">
        <v>1053</v>
      </c>
      <c r="F245" s="292" t="s">
        <v>1899</v>
      </c>
      <c r="G245" s="478"/>
      <c r="H245" s="292"/>
      <c r="I245" s="476">
        <v>95</v>
      </c>
      <c r="N245" s="261"/>
    </row>
    <row r="246" spans="1:14" x14ac:dyDescent="0.25">
      <c r="A246" s="482" t="s">
        <v>17</v>
      </c>
      <c r="B246" s="482" t="s">
        <v>815</v>
      </c>
      <c r="C246" s="482" t="s">
        <v>18</v>
      </c>
      <c r="D246" s="482" t="s">
        <v>8</v>
      </c>
      <c r="E246" s="482" t="s">
        <v>1053</v>
      </c>
      <c r="F246" s="292" t="s">
        <v>1899</v>
      </c>
      <c r="G246" s="483">
        <f t="array" aca="1" ref="G246" ca="1">AVERAGE(IF('Well Data-NK'!Sept2014_Form={"MA"},IF('Well Data-NK'!Sept2014_Well_Type="ST",IF('Well Data-NK'!Sept2014_Spud_to_RR&lt;=PERCENTILE(IF('Well Data-NK'!Sept2014_Form={"MA"},IF('Well Data-NK'!Sept2014_Well_Type="ST",'Well Data-NK'!Sept2014_Spud_to_RR)),0.25),'Well Data-NK'!Sept2014_Spud_to_RR))))</f>
        <v>29.398437499998174</v>
      </c>
      <c r="H246" s="484">
        <f t="array" aca="1" ref="H246" ca="1">COUNT(IF('Well Data-NK'!Sept2014_Form={"MA"},IF('Well Data-NK'!Sept2014_Well_Type="ST",IF('Well Data-NK'!Sept2014_Spud_to_RR&lt;=PERCENTILE(IF('Well Data-NK'!Sept2014_Form={"MA"},IF('Well Data-NK'!Sept2014_Well_Type="ST",'Well Data-NK'!Sept2014_Spud_to_RR)),0.25),'Well Data-NK'!Sept2014_Spud_to_RR))))</f>
        <v>8</v>
      </c>
      <c r="I246" s="476">
        <v>96</v>
      </c>
      <c r="N246" s="261"/>
    </row>
    <row r="247" spans="1:14" x14ac:dyDescent="0.25">
      <c r="A247" s="482" t="s">
        <v>29</v>
      </c>
      <c r="B247" s="482" t="s">
        <v>815</v>
      </c>
      <c r="C247" s="482" t="s">
        <v>18</v>
      </c>
      <c r="D247" s="482" t="s">
        <v>8</v>
      </c>
      <c r="E247" s="482" t="s">
        <v>1053</v>
      </c>
      <c r="F247" s="292" t="s">
        <v>1899</v>
      </c>
      <c r="G247" s="483">
        <f t="array" aca="1" ref="G247" ca="1">AVERAGE(IF('Well Data-NK'!Sept2014_Form={"UB"},IF('Well Data-NK'!Sept2014_Well_Type="ST",IF('Well Data-NK'!Sept2014_Spud_to_RR&lt;=PERCENTILE(IF('Well Data-NK'!Sept2014_Form={"UB"},IF('Well Data-NK'!Sept2014_Well_Type="ST",'Well Data-NK'!Sept2014_Spud_to_RR)),0.25),'Well Data-NK'!Sept2014_Spud_to_RR))))</f>
        <v>40.770829999999997</v>
      </c>
      <c r="H247" s="484">
        <f t="array" aca="1" ref="H247" ca="1">COUNT(IF('Well Data-NK'!Sept2014_Form={"UB"},IF('Well Data-NK'!Sept2014_Well_Type="ST",IF('Well Data-NK'!Sept2014_Spud_to_RR&lt;=PERCENTILE(IF('Well Data-NK'!Sept2014_Form={"UB"},IF('Well Data-NK'!Sept2014_Well_Type="ST",'Well Data-NK'!Sept2014_Spud_to_RR)),0.25),'Well Data-NK'!Sept2014_Spud_to_RR))))</f>
        <v>1</v>
      </c>
      <c r="I247" s="476">
        <v>97</v>
      </c>
      <c r="N247" s="261"/>
    </row>
    <row r="248" spans="1:14" x14ac:dyDescent="0.25">
      <c r="A248" s="482" t="s">
        <v>22</v>
      </c>
      <c r="B248" s="482" t="s">
        <v>815</v>
      </c>
      <c r="C248" s="482" t="s">
        <v>18</v>
      </c>
      <c r="D248" s="482" t="s">
        <v>8</v>
      </c>
      <c r="E248" s="482" t="s">
        <v>1053</v>
      </c>
      <c r="F248" s="292" t="s">
        <v>1899</v>
      </c>
      <c r="G248" s="483" t="e">
        <f t="array" aca="1" ref="G248" ca="1">AVERAGE(IF('Well Data-NK'!Sept2014_Form={"LB"},IF('Well Data-NK'!Sept2014_Well_Type="ST",IF('Well Data-NK'!Sept2014_Spud_to_RR&lt;=PERCENTILE(IF('Well Data-NK'!Sept2014_Form={"LB"},IF('Well Data-NK'!Sept2014_Well_Type="ST",'Well Data-NK'!Sept2014_Spud_to_RR)),0.25),'Well Data-NK'!Sept2014_Spud_to_RR))))</f>
        <v>#DIV/0!</v>
      </c>
      <c r="H248" s="484">
        <f t="array" aca="1" ref="H248" ca="1">COUNT(IF('Well Data-NK'!Sept2014_Form={"LB"},IF('Well Data-NK'!Sept2014_Well_Type="ST",IF('Well Data-NK'!Sept2014_Spud_to_RR&lt;=PERCENTILE(IF('Well Data-NK'!Sept2014_Form={"LB"},IF('Well Data-NK'!Sept2014_Well_Type="ST",'Well Data-NK'!Sept2014_Spud_to_RR)),0.25),'Well Data-NK'!Sept2014_Spud_to_RR))))</f>
        <v>0</v>
      </c>
      <c r="I248" s="476">
        <v>98</v>
      </c>
      <c r="N248" s="261"/>
    </row>
    <row r="249" spans="1:14" x14ac:dyDescent="0.25">
      <c r="A249" s="482" t="s">
        <v>825</v>
      </c>
      <c r="B249" s="482" t="s">
        <v>815</v>
      </c>
      <c r="C249" s="482" t="s">
        <v>18</v>
      </c>
      <c r="D249" s="482" t="s">
        <v>8</v>
      </c>
      <c r="E249" s="482" t="s">
        <v>1053</v>
      </c>
      <c r="F249" s="292" t="s">
        <v>1899</v>
      </c>
      <c r="G249" s="483">
        <f t="array" aca="1" ref="G249" ca="1">AVERAGE(IF('Well Data-NK'!Sept2014_Form={"ZU","RT"},IF('Well Data-NK'!Sept2014_Well_Type="ST",IF('Well Data-NK'!Sept2014_Spud_to_RR&lt;=PERCENTILE(IF('Well Data-NK'!Sept2014_Form={"ZU","RT"},IF('Well Data-NK'!Sept2014_Well_Type="ST",'Well Data-NK'!Sept2014_Spud_to_RR)),0.25),'Well Data-NK'!Sept2014_Spud_to_RR))))</f>
        <v>52</v>
      </c>
      <c r="H249" s="484">
        <f t="array" aca="1" ref="H249" ca="1">COUNT(IF('Well Data-NK'!Sept2014_Form={"ZU","RT"},IF('Well Data-NK'!Sept2014_Well_Type="ST",IF('Well Data-NK'!Sept2014_Spud_to_RR&lt;=PERCENTILE(IF('Well Data-NK'!Sept2014_Form={"ZU","RT"},IF('Well Data-NK'!Sept2014_Well_Type="ST",'Well Data-NK'!Sept2014_Spud_to_RR)),0.25),'Well Data-NK'!Sept2014_Spud_to_RR))))</f>
        <v>1</v>
      </c>
      <c r="I249" s="476">
        <v>99</v>
      </c>
      <c r="N249" s="261"/>
    </row>
    <row r="250" spans="1:14" x14ac:dyDescent="0.25">
      <c r="A250" s="482" t="s">
        <v>816</v>
      </c>
      <c r="B250" s="482" t="s">
        <v>815</v>
      </c>
      <c r="C250" s="482" t="s">
        <v>18</v>
      </c>
      <c r="D250" s="482" t="s">
        <v>8</v>
      </c>
      <c r="E250" s="482" t="s">
        <v>1053</v>
      </c>
      <c r="F250" s="292" t="s">
        <v>1899</v>
      </c>
      <c r="G250" s="483">
        <f t="array" aca="1" ref="G250" ca="1">AVERAGE(IF('Well Data-NK'!Sept2014_Form={"ZU","RT","LB","UB","MA"},IF('Well Data-NK'!Sept2014_Well_Type="ST",IF('Well Data-NK'!Sept2014_Spud_to_RR&lt;=PERCENTILE(IF('Well Data-NK'!Sept2014_Form={"ZU","RT","LB","UB","MA"},IF('Well Data-NK'!Sept2014_Well_Type="ST",'Well Data-NK'!Sept2014_Spud_to_RR)),0.25),'Well Data-NK'!Sept2014_Spud_to_RR))))</f>
        <v>30.178240740739657</v>
      </c>
      <c r="H250" s="484">
        <f t="array" aca="1" ref="H250" ca="1">COUNT(IF('Well Data-NK'!Sept2014_Form={"ZU","RT","LB","UB","MA"},IF('Well Data-NK'!Sept2014_Well_Type="ST",IF('Well Data-NK'!Sept2014_Spud_to_RR&lt;=PERCENTILE(IF('Well Data-NK'!Sept2014_Form={"ZU","RT","LB","UB","MA"},IF('Well Data-NK'!Sept2014_Well_Type="ST",'Well Data-NK'!Sept2014_Spud_to_RR)),0.25),'Well Data-NK'!Sept2014_Spud_to_RR))))</f>
        <v>9</v>
      </c>
      <c r="I250" s="476">
        <v>100</v>
      </c>
      <c r="N250" s="261"/>
    </row>
    <row r="251" spans="1:14" x14ac:dyDescent="0.25">
      <c r="A251" s="292" t="s">
        <v>17</v>
      </c>
      <c r="B251" s="292" t="s">
        <v>814</v>
      </c>
      <c r="C251" s="292" t="s">
        <v>14</v>
      </c>
      <c r="D251" s="292" t="s">
        <v>298</v>
      </c>
      <c r="E251" s="292" t="s">
        <v>1053</v>
      </c>
      <c r="F251" s="292" t="s">
        <v>1899</v>
      </c>
      <c r="G251" s="478"/>
      <c r="H251" s="292"/>
      <c r="I251" s="476">
        <v>101</v>
      </c>
      <c r="N251" s="261"/>
    </row>
    <row r="252" spans="1:14" x14ac:dyDescent="0.25">
      <c r="A252" s="292" t="s">
        <v>29</v>
      </c>
      <c r="B252" s="292" t="s">
        <v>814</v>
      </c>
      <c r="C252" s="292" t="s">
        <v>14</v>
      </c>
      <c r="D252" s="292" t="s">
        <v>298</v>
      </c>
      <c r="E252" s="292" t="s">
        <v>1053</v>
      </c>
      <c r="F252" s="292" t="s">
        <v>1899</v>
      </c>
      <c r="G252" s="478"/>
      <c r="H252" s="292"/>
      <c r="I252" s="476">
        <v>102</v>
      </c>
      <c r="N252" s="261"/>
    </row>
    <row r="253" spans="1:14" x14ac:dyDescent="0.25">
      <c r="A253" s="292" t="s">
        <v>22</v>
      </c>
      <c r="B253" s="292" t="s">
        <v>814</v>
      </c>
      <c r="C253" s="292" t="s">
        <v>14</v>
      </c>
      <c r="D253" s="292" t="s">
        <v>298</v>
      </c>
      <c r="E253" s="292" t="s">
        <v>1053</v>
      </c>
      <c r="F253" s="292" t="s">
        <v>1899</v>
      </c>
      <c r="G253" s="478"/>
      <c r="H253" s="292"/>
      <c r="I253" s="476">
        <v>103</v>
      </c>
      <c r="N253" s="261"/>
    </row>
    <row r="254" spans="1:14" x14ac:dyDescent="0.25">
      <c r="A254" s="292" t="s">
        <v>825</v>
      </c>
      <c r="B254" s="292" t="s">
        <v>814</v>
      </c>
      <c r="C254" s="292" t="s">
        <v>14</v>
      </c>
      <c r="D254" s="292" t="s">
        <v>298</v>
      </c>
      <c r="E254" s="292" t="s">
        <v>1053</v>
      </c>
      <c r="F254" s="292" t="s">
        <v>1899</v>
      </c>
      <c r="G254" s="478"/>
      <c r="H254" s="292"/>
      <c r="I254" s="476">
        <v>104</v>
      </c>
      <c r="N254" s="261"/>
    </row>
    <row r="255" spans="1:14" x14ac:dyDescent="0.25">
      <c r="A255" s="292" t="s">
        <v>816</v>
      </c>
      <c r="B255" s="292" t="s">
        <v>814</v>
      </c>
      <c r="C255" s="292" t="s">
        <v>14</v>
      </c>
      <c r="D255" s="292" t="s">
        <v>298</v>
      </c>
      <c r="E255" s="292" t="s">
        <v>1053</v>
      </c>
      <c r="F255" s="292" t="s">
        <v>1899</v>
      </c>
      <c r="G255" s="478"/>
      <c r="H255" s="292"/>
      <c r="I255" s="476">
        <v>105</v>
      </c>
      <c r="N255" s="261"/>
    </row>
    <row r="256" spans="1:14" x14ac:dyDescent="0.25">
      <c r="A256" s="482" t="s">
        <v>17</v>
      </c>
      <c r="B256" s="482" t="s">
        <v>815</v>
      </c>
      <c r="C256" s="482" t="s">
        <v>14</v>
      </c>
      <c r="D256" s="482" t="s">
        <v>298</v>
      </c>
      <c r="E256" s="482" t="s">
        <v>1053</v>
      </c>
      <c r="F256" s="292" t="s">
        <v>1899</v>
      </c>
      <c r="G256" s="483">
        <f t="array" aca="1" ref="G256" ca="1">AVERAGE(IF('Well Data-NK'!Sept2014_Form={"MA"},IF('Well Data-NK'!Sept2014_Well_Type="NW",IF('Well Data-NK'!Sept2014_Prod_Inj="Prod",IF('Well Data-NK'!Sept2014_Spud_to_RR&lt;=PERCENTILE(IF('Well Data-NK'!Sept2014_Form={"MA"},IF('Well Data-NK'!Sept2014_Well_Type="NW",IF('Well Data-NK'!Sept2014_Prod_Inj="Prod",'Well Data-NK'!Sept2014_Spud_to_RR))),0.25),'Well Data-NK'!Sept2014_Spud_to_RR)))))</f>
        <v>46.798611111111917</v>
      </c>
      <c r="H256" s="484">
        <f t="array" aca="1" ref="H256" ca="1">COUNT(IF('Well Data-NK'!Sept2014_Form={"MA"},IF('Well Data-NK'!Sept2014_Well_Type="NW",IF('Well Data-NK'!Sept2014_Prod_Inj="Prod",IF('Well Data-NK'!Sept2014_Spud_to_RR&lt;=PERCENTILE(IF('Well Data-NK'!Sept2014_Form={"MA"},IF('Well Data-NK'!Sept2014_Well_Type="NW",IF('Well Data-NK'!Sept2014_Prod_Inj="Prod",'Well Data-NK'!Sept2014_Spud_to_RR))),0.25),'Well Data-NK'!Sept2014_Spud_to_RR)))))</f>
        <v>3</v>
      </c>
      <c r="I256" s="476">
        <v>106</v>
      </c>
      <c r="N256" s="261"/>
    </row>
    <row r="257" spans="1:14" x14ac:dyDescent="0.25">
      <c r="A257" s="482" t="s">
        <v>29</v>
      </c>
      <c r="B257" s="482" t="s">
        <v>815</v>
      </c>
      <c r="C257" s="482" t="s">
        <v>14</v>
      </c>
      <c r="D257" s="482" t="s">
        <v>298</v>
      </c>
      <c r="E257" s="482" t="s">
        <v>1053</v>
      </c>
      <c r="F257" s="292" t="s">
        <v>1899</v>
      </c>
      <c r="G257" s="483">
        <f t="array" aca="1" ref="G257" ca="1">AVERAGE(IF('Well Data-NK'!Sept2014_Form={"UB"},IF('Well Data-NK'!Sept2014_Well_Type="NW",IF('Well Data-NK'!Sept2014_Prod_Inj="Prod",IF('Well Data-NK'!Sept2014_Spud_to_RR&lt;=PERCENTILE(IF('Well Data-NK'!Sept2014_Form={"UB"},IF('Well Data-NK'!Sept2014_Well_Type="NW",IF('Well Data-NK'!Sept2014_Prod_Inj="Prod",'Well Data-NK'!Sept2014_Spud_to_RR))),0.25),'Well Data-NK'!Sept2014_Spud_to_RR)))))</f>
        <v>48.875</v>
      </c>
      <c r="H257" s="484">
        <f t="array" aca="1" ref="H257" ca="1">COUNT(IF('Well Data-NK'!Sept2014_Form={"UB"},IF('Well Data-NK'!Sept2014_Well_Type="NW",IF('Well Data-NK'!Sept2014_Prod_Inj="Prod",IF('Well Data-NK'!Sept2014_Spud_to_RR&lt;=PERCENTILE(IF('Well Data-NK'!Sept2014_Form={"UB"},IF('Well Data-NK'!Sept2014_Well_Type="NW",IF('Well Data-NK'!Sept2014_Prod_Inj="Prod",'Well Data-NK'!Sept2014_Spud_to_RR))),0.25),'Well Data-NK'!Sept2014_Spud_to_RR)))))</f>
        <v>2</v>
      </c>
      <c r="I257" s="476">
        <v>107</v>
      </c>
      <c r="N257" s="261"/>
    </row>
    <row r="258" spans="1:14" x14ac:dyDescent="0.25">
      <c r="A258" s="482" t="s">
        <v>22</v>
      </c>
      <c r="B258" s="482" t="s">
        <v>815</v>
      </c>
      <c r="C258" s="482" t="s">
        <v>14</v>
      </c>
      <c r="D258" s="482" t="s">
        <v>298</v>
      </c>
      <c r="E258" s="482" t="s">
        <v>1053</v>
      </c>
      <c r="F258" s="292" t="s">
        <v>1899</v>
      </c>
      <c r="G258" s="483">
        <f t="array" aca="1" ref="G258" ca="1">AVERAGE(IF('Well Data-NK'!Sept2014_Form={"LB"},IF('Well Data-NK'!Sept2014_Well_Type="NW",IF('Well Data-NK'!Sept2014_Prod_Inj="Prod",IF('Well Data-NK'!Sept2014_Spud_to_RR&lt;=PERCENTILE(IF('Well Data-NK'!Sept2014_Form={"LB"},IF('Well Data-NK'!Sept2014_Well_Type="NW",IF('Well Data-NK'!Sept2014_Prod_Inj="Prod",'Well Data-NK'!Sept2014_Spud_to_RR))),0.25),'Well Data-NK'!Sept2014_Spud_to_RR)))))</f>
        <v>44.70833333333394</v>
      </c>
      <c r="H258" s="484">
        <f t="array" aca="1" ref="H258" ca="1">COUNT(IF('Well Data-NK'!Sept2014_Form={"LB"},IF('Well Data-NK'!Sept2014_Well_Type="NW",IF('Well Data-NK'!Sept2014_Prod_Inj="Prod",IF('Well Data-NK'!Sept2014_Spud_to_RR&lt;=PERCENTILE(IF('Well Data-NK'!Sept2014_Form={"LB"},IF('Well Data-NK'!Sept2014_Well_Type="NW",IF('Well Data-NK'!Sept2014_Prod_Inj="Prod",'Well Data-NK'!Sept2014_Spud_to_RR))),0.25),'Well Data-NK'!Sept2014_Spud_to_RR)))))</f>
        <v>4</v>
      </c>
      <c r="I258" s="476">
        <v>108</v>
      </c>
      <c r="N258" s="261"/>
    </row>
    <row r="259" spans="1:14" x14ac:dyDescent="0.25">
      <c r="A259" s="482" t="s">
        <v>825</v>
      </c>
      <c r="B259" s="482" t="s">
        <v>815</v>
      </c>
      <c r="C259" s="482" t="s">
        <v>14</v>
      </c>
      <c r="D259" s="482" t="s">
        <v>298</v>
      </c>
      <c r="E259" s="482" t="s">
        <v>1053</v>
      </c>
      <c r="F259" s="292" t="s">
        <v>1899</v>
      </c>
      <c r="G259" s="483">
        <f t="array" aca="1" ref="G259" ca="1">AVERAGE(IF('Well Data-NK'!Sept2014_Form={"ZU","RT"},IF('Well Data-NK'!Sept2014_Well_Type="NW",IF('Well Data-NK'!Sept2014_Prod_Inj="Prod",IF('Well Data-NK'!Sept2014_Spud_to_RR&lt;=PERCENTILE(IF('Well Data-NK'!Sept2014_Form={"ZU","RT"},IF('Well Data-NK'!Sept2014_Well_Type="NW",IF('Well Data-NK'!Sept2014_Prod_Inj="Prod",'Well Data-NK'!Sept2014_Spud_to_RR))),0.25),'Well Data-NK'!Sept2014_Spud_to_RR)))))</f>
        <v>60.770833333332121</v>
      </c>
      <c r="H259" s="484">
        <f t="array" aca="1" ref="H259" ca="1">COUNT(IF('Well Data-NK'!Sept2014_Form={"ZU","RT"},IF('Well Data-NK'!Sept2014_Well_Type="NW",IF('Well Data-NK'!Sept2014_Prod_Inj="Prod",IF('Well Data-NK'!Sept2014_Spud_to_RR&lt;=PERCENTILE(IF('Well Data-NK'!Sept2014_Form={"ZU","RT"},IF('Well Data-NK'!Sept2014_Well_Type="NW",IF('Well Data-NK'!Sept2014_Prod_Inj="Prod",'Well Data-NK'!Sept2014_Spud_to_RR))),0.25),'Well Data-NK'!Sept2014_Spud_to_RR)))))</f>
        <v>2</v>
      </c>
      <c r="I259" s="476">
        <v>109</v>
      </c>
      <c r="N259" s="261"/>
    </row>
    <row r="260" spans="1:14" x14ac:dyDescent="0.25">
      <c r="A260" s="482" t="s">
        <v>816</v>
      </c>
      <c r="B260" s="482" t="s">
        <v>815</v>
      </c>
      <c r="C260" s="482" t="s">
        <v>14</v>
      </c>
      <c r="D260" s="482" t="s">
        <v>298</v>
      </c>
      <c r="E260" s="482" t="s">
        <v>1053</v>
      </c>
      <c r="F260" s="292" t="s">
        <v>1899</v>
      </c>
      <c r="G260" s="483">
        <f t="array" aca="1" ref="G260" ca="1">AVERAGE(IF('Well Data-NK'!Sept2014_Form={"ZU","RT","LB","UB","MA"},IF('Well Data-NK'!Sept2014_Well_Type="NW",IF('Well Data-NK'!Sept2014_Prod_Inj="Prod",IF('Well Data-NK'!Sept2014_Spud_to_RR&lt;=PERCENTILE(IF('Well Data-NK'!Sept2014_Form={"ZU","RT","LB","UB","MA"},IF('Well Data-NK'!Sept2014_Well_Type="NW",IF('Well Data-NK'!Sept2014_Prod_Inj="Prod",'Well Data-NK'!Sept2014_Spud_to_RR))),0.25),'Well Data-NK'!Sept2014_Spud_to_RR)))))</f>
        <v>46.108796296296838</v>
      </c>
      <c r="H260" s="484">
        <f t="array" aca="1" ref="H260" ca="1">COUNT(IF('Well Data-NK'!Sept2014_Form={"ZU","RT","LB","UB","MA"},IF('Well Data-NK'!Sept2014_Well_Type="NW",IF('Well Data-NK'!Sept2014_Prod_Inj="Prod",IF('Well Data-NK'!Sept2014_Spud_to_RR&lt;=PERCENTILE(IF('Well Data-NK'!Sept2014_Form={"ZU","RT","LB","UB","MA"},IF('Well Data-NK'!Sept2014_Well_Type="NW",IF('Well Data-NK'!Sept2014_Prod_Inj="Prod",'Well Data-NK'!Sept2014_Spud_to_RR))),0.25),'Well Data-NK'!Sept2014_Spud_to_RR)))))</f>
        <v>9</v>
      </c>
      <c r="I260" s="476">
        <v>110</v>
      </c>
      <c r="N260" s="261"/>
    </row>
    <row r="261" spans="1:14" x14ac:dyDescent="0.25">
      <c r="A261" s="292" t="s">
        <v>17</v>
      </c>
      <c r="B261" s="292" t="s">
        <v>814</v>
      </c>
      <c r="C261" s="292" t="s">
        <v>18</v>
      </c>
      <c r="D261" s="292" t="s">
        <v>298</v>
      </c>
      <c r="E261" s="292" t="s">
        <v>1053</v>
      </c>
      <c r="F261" s="292" t="s">
        <v>1899</v>
      </c>
      <c r="G261" s="478"/>
      <c r="H261" s="292"/>
      <c r="I261" s="476">
        <v>111</v>
      </c>
      <c r="N261" s="261"/>
    </row>
    <row r="262" spans="1:14" x14ac:dyDescent="0.25">
      <c r="A262" s="292" t="s">
        <v>29</v>
      </c>
      <c r="B262" s="292" t="s">
        <v>814</v>
      </c>
      <c r="C262" s="292" t="s">
        <v>18</v>
      </c>
      <c r="D262" s="292" t="s">
        <v>298</v>
      </c>
      <c r="E262" s="292" t="s">
        <v>1053</v>
      </c>
      <c r="F262" s="292" t="s">
        <v>1899</v>
      </c>
      <c r="G262" s="478"/>
      <c r="H262" s="292"/>
      <c r="I262" s="476">
        <v>112</v>
      </c>
      <c r="N262" s="261"/>
    </row>
    <row r="263" spans="1:14" x14ac:dyDescent="0.25">
      <c r="A263" s="292" t="s">
        <v>22</v>
      </c>
      <c r="B263" s="292" t="s">
        <v>814</v>
      </c>
      <c r="C263" s="292" t="s">
        <v>18</v>
      </c>
      <c r="D263" s="292" t="s">
        <v>298</v>
      </c>
      <c r="E263" s="292" t="s">
        <v>1053</v>
      </c>
      <c r="F263" s="292" t="s">
        <v>1899</v>
      </c>
      <c r="G263" s="478"/>
      <c r="H263" s="292"/>
      <c r="I263" s="476">
        <v>113</v>
      </c>
      <c r="N263" s="261"/>
    </row>
    <row r="264" spans="1:14" x14ac:dyDescent="0.25">
      <c r="A264" s="292" t="s">
        <v>825</v>
      </c>
      <c r="B264" s="292" t="s">
        <v>814</v>
      </c>
      <c r="C264" s="292" t="s">
        <v>18</v>
      </c>
      <c r="D264" s="292" t="s">
        <v>298</v>
      </c>
      <c r="E264" s="292" t="s">
        <v>1053</v>
      </c>
      <c r="F264" s="292" t="s">
        <v>1899</v>
      </c>
      <c r="G264" s="478"/>
      <c r="H264" s="292"/>
      <c r="I264" s="476">
        <v>114</v>
      </c>
      <c r="N264" s="261"/>
    </row>
    <row r="265" spans="1:14" x14ac:dyDescent="0.25">
      <c r="A265" s="292" t="s">
        <v>816</v>
      </c>
      <c r="B265" s="292" t="s">
        <v>814</v>
      </c>
      <c r="C265" s="292" t="s">
        <v>18</v>
      </c>
      <c r="D265" s="292" t="s">
        <v>298</v>
      </c>
      <c r="E265" s="292" t="s">
        <v>1053</v>
      </c>
      <c r="F265" s="292" t="s">
        <v>1899</v>
      </c>
      <c r="G265" s="478"/>
      <c r="H265" s="292"/>
      <c r="I265" s="476">
        <v>115</v>
      </c>
      <c r="N265" s="261"/>
    </row>
    <row r="266" spans="1:14" x14ac:dyDescent="0.25">
      <c r="A266" s="482" t="s">
        <v>17</v>
      </c>
      <c r="B266" s="482" t="s">
        <v>815</v>
      </c>
      <c r="C266" s="482" t="s">
        <v>18</v>
      </c>
      <c r="D266" s="482" t="s">
        <v>298</v>
      </c>
      <c r="E266" s="482" t="s">
        <v>1053</v>
      </c>
      <c r="F266" s="292" t="s">
        <v>1899</v>
      </c>
      <c r="G266" s="483">
        <f t="array" aca="1" ref="G266" ca="1">AVERAGE(IF('Well Data-NK'!Sept2014_Form={"MA"},IF('Well Data-NK'!Sept2014_Well_Type="ST",IF('Well Data-NK'!Sept2014_Prod_Inj="Prod",IF('Well Data-NK'!Sept2014_Spud_to_RR&lt;=PERCENTILE(IF('Well Data-NK'!Sept2014_Form={"MA"},IF('Well Data-NK'!Sept2014_Well_Type="ST",IF('Well Data-NK'!Sept2014_Prod_Inj="Prod",'Well Data-NK'!Sept2014_Spud_to_RR))),0.25),'Well Data-NK'!Sept2014_Spud_to_RR)))))</f>
        <v>33.885416666667879</v>
      </c>
      <c r="H266" s="484">
        <f t="array" aca="1" ref="H266" ca="1">COUNT(IF('Well Data-NK'!Sept2014_Form={"MA"},IF('Well Data-NK'!Sept2014_Well_Type="ST",IF('Well Data-NK'!Sept2014_Prod_Inj="Prod",IF('Well Data-NK'!Sept2014_Spud_to_RR&lt;=PERCENTILE(IF('Well Data-NK'!Sept2014_Form={"MA"},IF('Well Data-NK'!Sept2014_Well_Type="ST",IF('Well Data-NK'!Sept2014_Prod_Inj="Prod",'Well Data-NK'!Sept2014_Spud_to_RR))),0.25),'Well Data-NK'!Sept2014_Spud_to_RR)))))</f>
        <v>4</v>
      </c>
      <c r="I266" s="476">
        <v>116</v>
      </c>
      <c r="N266" s="261"/>
    </row>
    <row r="267" spans="1:14" x14ac:dyDescent="0.25">
      <c r="A267" s="482" t="s">
        <v>29</v>
      </c>
      <c r="B267" s="482" t="s">
        <v>815</v>
      </c>
      <c r="C267" s="482" t="s">
        <v>18</v>
      </c>
      <c r="D267" s="482" t="s">
        <v>298</v>
      </c>
      <c r="E267" s="482" t="s">
        <v>1053</v>
      </c>
      <c r="F267" s="292" t="s">
        <v>1899</v>
      </c>
      <c r="G267" s="483">
        <f t="array" aca="1" ref="G267" ca="1">AVERAGE(IF('Well Data-NK'!Sept2014_Form={"UB"},IF('Well Data-NK'!Sept2014_Well_Type="ST",IF('Well Data-NK'!Sept2014_Prod_Inj="Prod",IF('Well Data-NK'!Sept2014_Spud_to_RR&lt;=PERCENTILE(IF('Well Data-NK'!Sept2014_Form={"UB"},IF('Well Data-NK'!Sept2014_Well_Type="ST",IF('Well Data-NK'!Sept2014_Prod_Inj="Prod",'Well Data-NK'!Sept2014_Spud_to_RR))),0.25),'Well Data-NK'!Sept2014_Spud_to_RR)))))</f>
        <v>40.770829999999997</v>
      </c>
      <c r="H267" s="484">
        <f t="array" aca="1" ref="H267" ca="1">COUNT(IF('Well Data-NK'!Sept2014_Form={"UB"},IF('Well Data-NK'!Sept2014_Well_Type="ST",IF('Well Data-NK'!Sept2014_Prod_Inj="Prod",IF('Well Data-NK'!Sept2014_Spud_to_RR&lt;=PERCENTILE(IF('Well Data-NK'!Sept2014_Form={"UB"},IF('Well Data-NK'!Sept2014_Well_Type="ST",IF('Well Data-NK'!Sept2014_Prod_Inj="Prod",'Well Data-NK'!Sept2014_Spud_to_RR))),0.25),'Well Data-NK'!Sept2014_Spud_to_RR)))))</f>
        <v>1</v>
      </c>
      <c r="I267" s="476">
        <v>117</v>
      </c>
      <c r="N267" s="261"/>
    </row>
    <row r="268" spans="1:14" x14ac:dyDescent="0.25">
      <c r="A268" s="482" t="s">
        <v>22</v>
      </c>
      <c r="B268" s="482" t="s">
        <v>815</v>
      </c>
      <c r="C268" s="482" t="s">
        <v>18</v>
      </c>
      <c r="D268" s="482" t="s">
        <v>298</v>
      </c>
      <c r="E268" s="482" t="s">
        <v>1053</v>
      </c>
      <c r="F268" s="292" t="s">
        <v>1899</v>
      </c>
      <c r="G268" s="483" t="e">
        <f t="array" aca="1" ref="G268" ca="1">AVERAGE(IF('Well Data-NK'!Sept2014_Form={"LB"},IF('Well Data-NK'!Sept2014_Well_Type="ST",IF('Well Data-NK'!Sept2014_Prod_Inj="Prod",IF('Well Data-NK'!Sept2014_Spud_to_RR&lt;=PERCENTILE(IF('Well Data-NK'!Sept2014_Form={"LB"},IF('Well Data-NK'!Sept2014_Well_Type="ST",IF('Well Data-NK'!Sept2014_Prod_Inj="Prod",'Well Data-NK'!Sept2014_Spud_to_RR))),0.25),'Well Data-NK'!Sept2014_Spud_to_RR)))))</f>
        <v>#DIV/0!</v>
      </c>
      <c r="H268" s="484">
        <f t="array" aca="1" ref="H268" ca="1">COUNT(IF('Well Data-NK'!Sept2014_Form={"LB"},IF('Well Data-NK'!Sept2014_Well_Type="ST",IF('Well Data-NK'!Sept2014_Prod_Inj="Prod",IF('Well Data-NK'!Sept2014_Spud_to_RR&lt;=PERCENTILE(IF('Well Data-NK'!Sept2014_Form={"LB"},IF('Well Data-NK'!Sept2014_Well_Type="ST",IF('Well Data-NK'!Sept2014_Prod_Inj="Prod",'Well Data-NK'!Sept2014_Spud_to_RR))),0.25),'Well Data-NK'!Sept2014_Spud_to_RR)))))</f>
        <v>0</v>
      </c>
      <c r="I268" s="476">
        <v>118</v>
      </c>
      <c r="N268" s="261"/>
    </row>
    <row r="269" spans="1:14" x14ac:dyDescent="0.25">
      <c r="A269" s="482" t="s">
        <v>825</v>
      </c>
      <c r="B269" s="482" t="s">
        <v>815</v>
      </c>
      <c r="C269" s="482" t="s">
        <v>18</v>
      </c>
      <c r="D269" s="482" t="s">
        <v>298</v>
      </c>
      <c r="E269" s="482" t="s">
        <v>1053</v>
      </c>
      <c r="F269" s="292" t="s">
        <v>1899</v>
      </c>
      <c r="G269" s="483">
        <f t="array" aca="1" ref="G269" ca="1">AVERAGE(IF('Well Data-NK'!Sept2014_Form={"ZU","RT"},IF('Well Data-NK'!Sept2014_Well_Type="ST",IF('Well Data-NK'!Sept2014_Prod_Inj="Prod",IF('Well Data-NK'!Sept2014_Spud_to_RR&lt;=PERCENTILE(IF('Well Data-NK'!Sept2014_Form={"ZU","RT"},IF('Well Data-NK'!Sept2014_Well_Type="ST",IF('Well Data-NK'!Sept2014_Prod_Inj="Prod",'Well Data-NK'!Sept2014_Spud_to_RR))),0.25),'Well Data-NK'!Sept2014_Spud_to_RR)))))</f>
        <v>52</v>
      </c>
      <c r="H269" s="484">
        <f t="array" aca="1" ref="H269" ca="1">COUNT(IF('Well Data-NK'!Sept2014_Form={"ZU","RT"},IF('Well Data-NK'!Sept2014_Well_Type="ST",IF('Well Data-NK'!Sept2014_Prod_Inj="Prod",IF('Well Data-NK'!Sept2014_Spud_to_RR&lt;=PERCENTILE(IF('Well Data-NK'!Sept2014_Form={"ZU","RT"},IF('Well Data-NK'!Sept2014_Well_Type="ST",IF('Well Data-NK'!Sept2014_Prod_Inj="Prod",'Well Data-NK'!Sept2014_Spud_to_RR))),0.25),'Well Data-NK'!Sept2014_Spud_to_RR)))))</f>
        <v>1</v>
      </c>
      <c r="I269" s="476">
        <v>119</v>
      </c>
      <c r="N269" s="261"/>
    </row>
    <row r="270" spans="1:14" x14ac:dyDescent="0.25">
      <c r="A270" s="482" t="s">
        <v>816</v>
      </c>
      <c r="B270" s="482" t="s">
        <v>815</v>
      </c>
      <c r="C270" s="482" t="s">
        <v>18</v>
      </c>
      <c r="D270" s="482" t="s">
        <v>298</v>
      </c>
      <c r="E270" s="482" t="s">
        <v>1053</v>
      </c>
      <c r="F270" s="292" t="s">
        <v>1899</v>
      </c>
      <c r="G270" s="483">
        <f t="array" aca="1" ref="G270" ca="1">AVERAGE(IF('Well Data-NK'!Sept2014_Form={"ZU","RT","LB","UB","MA"},IF('Well Data-NK'!Sept2014_Well_Type="ST",IF('Well Data-NK'!Sept2014_Prod_Inj="Prod",IF('Well Data-NK'!Sept2014_Spud_to_RR&lt;=PERCENTILE(IF('Well Data-NK'!Sept2014_Form={"ZU","RT","LB","UB","MA"},IF('Well Data-NK'!Sept2014_Well_Type="ST",IF('Well Data-NK'!Sept2014_Prod_Inj="Prod",'Well Data-NK'!Sept2014_Spud_to_RR))),0.25),'Well Data-NK'!Sept2014_Spud_to_RR)))))</f>
        <v>35.262499333334304</v>
      </c>
      <c r="H270" s="484">
        <f t="array" aca="1" ref="H270" ca="1">COUNT(IF('Well Data-NK'!Sept2014_Form={"ZU","RT","LB","UB","MA"},IF('Well Data-NK'!Sept2014_Well_Type="ST",IF('Well Data-NK'!Sept2014_Prod_Inj="Prod",IF('Well Data-NK'!Sept2014_Spud_to_RR&lt;=PERCENTILE(IF('Well Data-NK'!Sept2014_Form={"ZU","RT","LB","UB","MA"},IF('Well Data-NK'!Sept2014_Well_Type="ST",IF('Well Data-NK'!Sept2014_Prod_Inj="Prod",'Well Data-NK'!Sept2014_Spud_to_RR))),0.25),'Well Data-NK'!Sept2014_Spud_to_RR)))))</f>
        <v>5</v>
      </c>
      <c r="I270" s="476">
        <v>120</v>
      </c>
      <c r="N270" s="261"/>
    </row>
    <row r="271" spans="1:14" x14ac:dyDescent="0.25">
      <c r="A271" s="292" t="s">
        <v>17</v>
      </c>
      <c r="B271" s="292" t="s">
        <v>814</v>
      </c>
      <c r="C271" s="292" t="s">
        <v>14</v>
      </c>
      <c r="D271" s="292" t="s">
        <v>34</v>
      </c>
      <c r="E271" s="292" t="s">
        <v>1053</v>
      </c>
      <c r="F271" s="292" t="s">
        <v>1899</v>
      </c>
      <c r="G271" s="478"/>
      <c r="H271" s="292"/>
      <c r="I271" s="476">
        <v>121</v>
      </c>
      <c r="N271" s="261"/>
    </row>
    <row r="272" spans="1:14" x14ac:dyDescent="0.25">
      <c r="A272" s="292" t="s">
        <v>29</v>
      </c>
      <c r="B272" s="292" t="s">
        <v>814</v>
      </c>
      <c r="C272" s="292" t="s">
        <v>14</v>
      </c>
      <c r="D272" s="292" t="s">
        <v>34</v>
      </c>
      <c r="E272" s="292" t="s">
        <v>1053</v>
      </c>
      <c r="F272" s="292" t="s">
        <v>1899</v>
      </c>
      <c r="G272" s="478"/>
      <c r="H272" s="292"/>
      <c r="I272" s="476">
        <v>122</v>
      </c>
      <c r="N272" s="261"/>
    </row>
    <row r="273" spans="1:14" x14ac:dyDescent="0.25">
      <c r="A273" s="292" t="s">
        <v>22</v>
      </c>
      <c r="B273" s="292" t="s">
        <v>814</v>
      </c>
      <c r="C273" s="292" t="s">
        <v>14</v>
      </c>
      <c r="D273" s="292" t="s">
        <v>34</v>
      </c>
      <c r="E273" s="292" t="s">
        <v>1053</v>
      </c>
      <c r="F273" s="292" t="s">
        <v>1899</v>
      </c>
      <c r="G273" s="478"/>
      <c r="H273" s="292"/>
      <c r="I273" s="476">
        <v>123</v>
      </c>
      <c r="N273" s="261"/>
    </row>
    <row r="274" spans="1:14" x14ac:dyDescent="0.25">
      <c r="A274" s="292" t="s">
        <v>825</v>
      </c>
      <c r="B274" s="292" t="s">
        <v>814</v>
      </c>
      <c r="C274" s="292" t="s">
        <v>14</v>
      </c>
      <c r="D274" s="292" t="s">
        <v>34</v>
      </c>
      <c r="E274" s="292" t="s">
        <v>1053</v>
      </c>
      <c r="F274" s="292" t="s">
        <v>1899</v>
      </c>
      <c r="G274" s="478"/>
      <c r="H274" s="292"/>
      <c r="I274" s="476">
        <v>124</v>
      </c>
      <c r="N274" s="261"/>
    </row>
    <row r="275" spans="1:14" x14ac:dyDescent="0.25">
      <c r="A275" s="292" t="s">
        <v>816</v>
      </c>
      <c r="B275" s="292" t="s">
        <v>814</v>
      </c>
      <c r="C275" s="292" t="s">
        <v>14</v>
      </c>
      <c r="D275" s="292" t="s">
        <v>34</v>
      </c>
      <c r="E275" s="292" t="s">
        <v>1053</v>
      </c>
      <c r="F275" s="292" t="s">
        <v>1899</v>
      </c>
      <c r="G275" s="478"/>
      <c r="H275" s="292"/>
      <c r="I275" s="476">
        <v>125</v>
      </c>
      <c r="N275" s="261"/>
    </row>
    <row r="276" spans="1:14" x14ac:dyDescent="0.25">
      <c r="A276" s="482" t="s">
        <v>17</v>
      </c>
      <c r="B276" s="482" t="s">
        <v>815</v>
      </c>
      <c r="C276" s="482" t="s">
        <v>14</v>
      </c>
      <c r="D276" s="482" t="s">
        <v>34</v>
      </c>
      <c r="E276" s="482" t="s">
        <v>1053</v>
      </c>
      <c r="F276" s="292" t="s">
        <v>1899</v>
      </c>
      <c r="G276" s="483">
        <f t="array" aca="1" ref="G276" ca="1">AVERAGE(IF('Well Data-NK'!Sept2014_Form={"MA"},IF('Well Data-NK'!Sept2014_Well_Type="NW",IF('Well Data-NK'!Sept2014_Prod_Inj="Inj",IF('Well Data-NK'!Sept2014_Spud_to_RR&lt;=PERCENTILE(IF('Well Data-NK'!Sept2014_Form={"MA"},IF('Well Data-NK'!Sept2014_Well_Type="NW",IF('Well Data-NK'!Sept2014_Prod_Inj="Inj",'Well Data-NK'!Sept2014_Spud_to_RR))),0.25),'Well Data-NK'!Sept2014_Spud_to_RR)))))</f>
        <v>43.458333333335759</v>
      </c>
      <c r="H276" s="484">
        <f t="array" aca="1" ref="H276" ca="1">COUNT(IF('Well Data-NK'!Sept2014_Form={"MA"},IF('Well Data-NK'!Sept2014_Well_Type="NW",IF('Well Data-NK'!Sept2014_Prod_Inj="Inj",IF('Well Data-NK'!Sept2014_Spud_to_RR&lt;=PERCENTILE(IF('Well Data-NK'!Sept2014_Form={"MA"},IF('Well Data-NK'!Sept2014_Well_Type="NW",IF('Well Data-NK'!Sept2014_Prod_Inj="Inj",'Well Data-NK'!Sept2014_Spud_to_RR))),0.25),'Well Data-NK'!Sept2014_Spud_to_RR)))))</f>
        <v>1</v>
      </c>
      <c r="I276" s="476">
        <v>126</v>
      </c>
      <c r="N276" s="261"/>
    </row>
    <row r="277" spans="1:14" x14ac:dyDescent="0.25">
      <c r="A277" s="482" t="s">
        <v>29</v>
      </c>
      <c r="B277" s="482" t="s">
        <v>815</v>
      </c>
      <c r="C277" s="482" t="s">
        <v>14</v>
      </c>
      <c r="D277" s="482" t="s">
        <v>34</v>
      </c>
      <c r="E277" s="482" t="s">
        <v>1053</v>
      </c>
      <c r="F277" s="292" t="s">
        <v>1899</v>
      </c>
      <c r="G277" s="483" t="e">
        <f t="array" aca="1" ref="G277" ca="1">AVERAGE(IF('Well Data-NK'!Sept2014_Form={"UB"},IF('Well Data-NK'!Sept2014_Well_Type="NW",IF('Well Data-NK'!Sept2014_Prod_Inj="Inj",IF('Well Data-NK'!Sept2014_Spud_to_RR&lt;=PERCENTILE(IF('Well Data-NK'!Sept2014_Form={"UB"},IF('Well Data-NK'!Sept2014_Well_Type="NW",IF('Well Data-NK'!Sept2014_Prod_Inj="Inj",'Well Data-NK'!Sept2014_Spud_to_RR))),0.25),'Well Data-NK'!Sept2014_Spud_to_RR)))))</f>
        <v>#DIV/0!</v>
      </c>
      <c r="H277" s="484">
        <f t="array" aca="1" ref="H277" ca="1">COUNT(IF('Well Data-NK'!Sept2014_Form={"UB"},IF('Well Data-NK'!Sept2014_Well_Type="NW",IF('Well Data-NK'!Sept2014_Prod_Inj="Inj",IF('Well Data-NK'!Sept2014_Spud_to_RR&lt;=PERCENTILE(IF('Well Data-NK'!Sept2014_Form={"UB"},IF('Well Data-NK'!Sept2014_Well_Type="NW",IF('Well Data-NK'!Sept2014_Prod_Inj="Inj",'Well Data-NK'!Sept2014_Spud_to_RR))),0.25),'Well Data-NK'!Sept2014_Spud_to_RR)))))</f>
        <v>0</v>
      </c>
      <c r="I277" s="476">
        <v>127</v>
      </c>
      <c r="N277" s="261"/>
    </row>
    <row r="278" spans="1:14" x14ac:dyDescent="0.25">
      <c r="A278" s="482" t="s">
        <v>22</v>
      </c>
      <c r="B278" s="482" t="s">
        <v>815</v>
      </c>
      <c r="C278" s="482" t="s">
        <v>14</v>
      </c>
      <c r="D278" s="482" t="s">
        <v>34</v>
      </c>
      <c r="E278" s="482" t="s">
        <v>1053</v>
      </c>
      <c r="F278" s="292" t="s">
        <v>1899</v>
      </c>
      <c r="G278" s="483" t="e">
        <f t="array" aca="1" ref="G278" ca="1">AVERAGE(IF('Well Data-NK'!Sept2014_Form={"LB"},IF('Well Data-NK'!Sept2014_Well_Type="NW",IF('Well Data-NK'!Sept2014_Prod_Inj="Inj",IF('Well Data-NK'!Sept2014_Spud_to_RR&lt;=PERCENTILE(IF('Well Data-NK'!Sept2014_Form={"LB"},IF('Well Data-NK'!Sept2014_Well_Type="NW",IF('Well Data-NK'!Sept2014_Prod_Inj="Inj",'Well Data-NK'!Sept2014_Spud_to_RR))),0.25),'Well Data-NK'!Sept2014_Spud_to_RR)))))</f>
        <v>#DIV/0!</v>
      </c>
      <c r="H278" s="484">
        <f t="array" aca="1" ref="H278" ca="1">COUNT(IF('Well Data-NK'!Sept2014_Form={"LB"},IF('Well Data-NK'!Sept2014_Well_Type="NW",IF('Well Data-NK'!Sept2014_Prod_Inj="Inj",IF('Well Data-NK'!Sept2014_Spud_to_RR&lt;=PERCENTILE(IF('Well Data-NK'!Sept2014_Form={"LB"},IF('Well Data-NK'!Sept2014_Well_Type="NW",IF('Well Data-NK'!Sept2014_Prod_Inj="Inj",'Well Data-NK'!Sept2014_Spud_to_RR))),0.25),'Well Data-NK'!Sept2014_Spud_to_RR)))))</f>
        <v>0</v>
      </c>
      <c r="I278" s="476">
        <v>128</v>
      </c>
      <c r="N278" s="261"/>
    </row>
    <row r="279" spans="1:14" x14ac:dyDescent="0.25">
      <c r="A279" s="482" t="s">
        <v>825</v>
      </c>
      <c r="B279" s="482" t="s">
        <v>815</v>
      </c>
      <c r="C279" s="482" t="s">
        <v>14</v>
      </c>
      <c r="D279" s="482" t="s">
        <v>34</v>
      </c>
      <c r="E279" s="482" t="s">
        <v>1053</v>
      </c>
      <c r="F279" s="292" t="s">
        <v>1899</v>
      </c>
      <c r="G279" s="483" t="e">
        <f t="array" aca="1" ref="G279" ca="1">AVERAGE(IF('Well Data-NK'!Sept2014_Form={"ZU","RT"},IF('Well Data-NK'!Sept2014_Well_Type="NW",IF('Well Data-NK'!Sept2014_Prod_Inj="Inj",IF('Well Data-NK'!Sept2014_Spud_to_RR&lt;=PERCENTILE(IF('Well Data-NK'!Sept2014_Form={"ZU","RT"},IF('Well Data-NK'!Sept2014_Well_Type="NW",IF('Well Data-NK'!Sept2014_Prod_Inj="Inj",'Well Data-NK'!Sept2014_Spud_to_RR))),0.25),'Well Data-NK'!Sept2014_Spud_to_RR)))))</f>
        <v>#DIV/0!</v>
      </c>
      <c r="H279" s="484">
        <f t="array" aca="1" ref="H279" ca="1">COUNT(IF('Well Data-NK'!Sept2014_Form={"ZU","RT"},IF('Well Data-NK'!Sept2014_Well_Type="NW",IF('Well Data-NK'!Sept2014_Prod_Inj="Inj",IF('Well Data-NK'!Sept2014_Spud_to_RR&lt;=PERCENTILE(IF('Well Data-NK'!Sept2014_Form={"ZU","RT"},IF('Well Data-NK'!Sept2014_Well_Type="NW",IF('Well Data-NK'!Sept2014_Prod_Inj="Inj",'Well Data-NK'!Sept2014_Spud_to_RR))),0.25),'Well Data-NK'!Sept2014_Spud_to_RR)))))</f>
        <v>0</v>
      </c>
      <c r="I279" s="476">
        <v>129</v>
      </c>
      <c r="N279" s="261"/>
    </row>
    <row r="280" spans="1:14" x14ac:dyDescent="0.25">
      <c r="A280" s="482" t="s">
        <v>816</v>
      </c>
      <c r="B280" s="482" t="s">
        <v>815</v>
      </c>
      <c r="C280" s="482" t="s">
        <v>14</v>
      </c>
      <c r="D280" s="482" t="s">
        <v>34</v>
      </c>
      <c r="E280" s="482" t="s">
        <v>1053</v>
      </c>
      <c r="F280" s="292" t="s">
        <v>1899</v>
      </c>
      <c r="G280" s="483">
        <f t="array" aca="1" ref="G280" ca="1">AVERAGE(IF('Well Data-NK'!Sept2014_Form={"ZU","RT","LB","UB","MA"},IF('Well Data-NK'!Sept2014_Well_Type="NW",IF('Well Data-NK'!Sept2014_Prod_Inj="Inj",IF('Well Data-NK'!Sept2014_Spud_to_RR&lt;=PERCENTILE(IF('Well Data-NK'!Sept2014_Form={"ZU","RT","LB","UB","MA"},IF('Well Data-NK'!Sept2014_Well_Type="NW",IF('Well Data-NK'!Sept2014_Prod_Inj="Inj",'Well Data-NK'!Sept2014_Spud_to_RR))),0.25),'Well Data-NK'!Sept2014_Spud_to_RR)))))</f>
        <v>43.458333333335759</v>
      </c>
      <c r="H280" s="484">
        <f t="array" aca="1" ref="H280" ca="1">COUNT(IF('Well Data-NK'!Sept2014_Form={"ZU","RT","LB","UB","MA"},IF('Well Data-NK'!Sept2014_Well_Type="NW",IF('Well Data-NK'!Sept2014_Prod_Inj="Inj",IF('Well Data-NK'!Sept2014_Spud_to_RR&lt;=PERCENTILE(IF('Well Data-NK'!Sept2014_Form={"ZU","RT","LB","UB","MA"},IF('Well Data-NK'!Sept2014_Well_Type="NW",IF('Well Data-NK'!Sept2014_Prod_Inj="Inj",'Well Data-NK'!Sept2014_Spud_to_RR))),0.25),'Well Data-NK'!Sept2014_Spud_to_RR)))))</f>
        <v>1</v>
      </c>
      <c r="I280" s="476">
        <v>130</v>
      </c>
      <c r="N280" s="261"/>
    </row>
    <row r="281" spans="1:14" x14ac:dyDescent="0.25">
      <c r="A281" s="292" t="s">
        <v>17</v>
      </c>
      <c r="B281" s="292" t="s">
        <v>814</v>
      </c>
      <c r="C281" s="292" t="s">
        <v>18</v>
      </c>
      <c r="D281" s="292" t="s">
        <v>34</v>
      </c>
      <c r="E281" s="292" t="s">
        <v>1053</v>
      </c>
      <c r="F281" s="292" t="s">
        <v>1899</v>
      </c>
      <c r="G281" s="478"/>
      <c r="H281" s="292"/>
      <c r="I281" s="476">
        <v>131</v>
      </c>
      <c r="N281" s="261"/>
    </row>
    <row r="282" spans="1:14" x14ac:dyDescent="0.25">
      <c r="A282" s="292" t="s">
        <v>29</v>
      </c>
      <c r="B282" s="292" t="s">
        <v>814</v>
      </c>
      <c r="C282" s="292" t="s">
        <v>18</v>
      </c>
      <c r="D282" s="292" t="s">
        <v>34</v>
      </c>
      <c r="E282" s="292" t="s">
        <v>1053</v>
      </c>
      <c r="F282" s="292" t="s">
        <v>1899</v>
      </c>
      <c r="G282" s="478"/>
      <c r="H282" s="292"/>
      <c r="I282" s="476">
        <v>132</v>
      </c>
      <c r="N282" s="261"/>
    </row>
    <row r="283" spans="1:14" x14ac:dyDescent="0.25">
      <c r="A283" s="292" t="s">
        <v>22</v>
      </c>
      <c r="B283" s="292" t="s">
        <v>814</v>
      </c>
      <c r="C283" s="292" t="s">
        <v>18</v>
      </c>
      <c r="D283" s="292" t="s">
        <v>34</v>
      </c>
      <c r="E283" s="292" t="s">
        <v>1053</v>
      </c>
      <c r="F283" s="292" t="s">
        <v>1899</v>
      </c>
      <c r="G283" s="478"/>
      <c r="H283" s="292"/>
      <c r="I283" s="476">
        <v>133</v>
      </c>
      <c r="N283" s="261"/>
    </row>
    <row r="284" spans="1:14" x14ac:dyDescent="0.25">
      <c r="A284" s="292" t="s">
        <v>825</v>
      </c>
      <c r="B284" s="292" t="s">
        <v>814</v>
      </c>
      <c r="C284" s="292" t="s">
        <v>18</v>
      </c>
      <c r="D284" s="292" t="s">
        <v>34</v>
      </c>
      <c r="E284" s="292" t="s">
        <v>1053</v>
      </c>
      <c r="F284" s="292" t="s">
        <v>1899</v>
      </c>
      <c r="G284" s="478"/>
      <c r="H284" s="292"/>
      <c r="I284" s="476">
        <v>134</v>
      </c>
      <c r="N284" s="261"/>
    </row>
    <row r="285" spans="1:14" x14ac:dyDescent="0.25">
      <c r="A285" s="292" t="s">
        <v>816</v>
      </c>
      <c r="B285" s="292" t="s">
        <v>814</v>
      </c>
      <c r="C285" s="292" t="s">
        <v>18</v>
      </c>
      <c r="D285" s="292" t="s">
        <v>34</v>
      </c>
      <c r="E285" s="292" t="s">
        <v>1053</v>
      </c>
      <c r="F285" s="292" t="s">
        <v>1899</v>
      </c>
      <c r="G285" s="478"/>
      <c r="H285" s="292"/>
      <c r="I285" s="476">
        <v>135</v>
      </c>
      <c r="N285" s="261"/>
    </row>
    <row r="286" spans="1:14" x14ac:dyDescent="0.25">
      <c r="A286" s="482" t="s">
        <v>17</v>
      </c>
      <c r="B286" s="482" t="s">
        <v>815</v>
      </c>
      <c r="C286" s="482" t="s">
        <v>18</v>
      </c>
      <c r="D286" s="482" t="s">
        <v>34</v>
      </c>
      <c r="E286" s="482" t="s">
        <v>1053</v>
      </c>
      <c r="F286" s="292" t="s">
        <v>1899</v>
      </c>
      <c r="G286" s="483">
        <f t="array" aca="1" ref="G286" ca="1">AVERAGE(IF('Well Data-NK'!Sept2014_Form={"MA"},IF('Well Data-NK'!Sept2014_Well_Type="ST",IF('Well Data-NK'!Sept2014_Prod_Inj="Inj",IF('Well Data-NK'!Sept2014_Spud_to_RR&lt;=PERCENTILE(IF('Well Data-NK'!Sept2014_Form={"MA"},IF('Well Data-NK'!Sept2014_Well_Type="ST",IF('Well Data-NK'!Sept2014_Prod_Inj="Inj",'Well Data-NK'!Sept2014_Spud_to_RR))),0.25),'Well Data-NK'!Sept2014_Spud_to_RR)))))</f>
        <v>29.16145833333211</v>
      </c>
      <c r="H286" s="484">
        <f t="array" aca="1" ref="H286" ca="1">COUNT(IF('Well Data-NK'!Sept2014_Form={"MA"},IF('Well Data-NK'!Sept2014_Well_Type="ST",IF('Well Data-NK'!Sept2014_Prod_Inj="Inj",IF('Well Data-NK'!Sept2014_Spud_to_RR&lt;=PERCENTILE(IF('Well Data-NK'!Sept2014_Form={"MA"},IF('Well Data-NK'!Sept2014_Well_Type="ST",IF('Well Data-NK'!Sept2014_Prod_Inj="Inj",'Well Data-NK'!Sept2014_Spud_to_RR))),0.25),'Well Data-NK'!Sept2014_Spud_to_RR)))))</f>
        <v>4</v>
      </c>
      <c r="I286" s="476">
        <v>136</v>
      </c>
      <c r="N286" s="261"/>
    </row>
    <row r="287" spans="1:14" x14ac:dyDescent="0.25">
      <c r="A287" s="482" t="s">
        <v>29</v>
      </c>
      <c r="B287" s="482" t="s">
        <v>815</v>
      </c>
      <c r="C287" s="482" t="s">
        <v>18</v>
      </c>
      <c r="D287" s="482" t="s">
        <v>34</v>
      </c>
      <c r="E287" s="482" t="s">
        <v>1053</v>
      </c>
      <c r="F287" s="292" t="s">
        <v>1899</v>
      </c>
      <c r="G287" s="483" t="e">
        <f t="array" aca="1" ref="G287" ca="1">AVERAGE(IF('Well Data-NK'!Sept2014_Form={"UB"},IF('Well Data-NK'!Sept2014_Well_Type="ST",IF('Well Data-NK'!Sept2014_Prod_Inj="Inj",IF('Well Data-NK'!Sept2014_Spud_to_RR&lt;=PERCENTILE(IF('Well Data-NK'!Sept2014_Form={"UB"},IF('Well Data-NK'!Sept2014_Well_Type="ST",IF('Well Data-NK'!Sept2014_Prod_Inj="Inj",'Well Data-NK'!Sept2014_Spud_to_RR))),0.25),'Well Data-NK'!Sept2014_Spud_to_RR)))))</f>
        <v>#DIV/0!</v>
      </c>
      <c r="H287" s="484">
        <f t="array" aca="1" ref="H287" ca="1">COUNT(IF('Well Data-NK'!Sept2014_Form={"UB"},IF('Well Data-NK'!Sept2014_Well_Type="ST",IF('Well Data-NK'!Sept2014_Prod_Inj="Inj",IF('Well Data-NK'!Sept2014_Spud_to_RR&lt;=PERCENTILE(IF('Well Data-NK'!Sept2014_Form={"UB"},IF('Well Data-NK'!Sept2014_Well_Type="ST",IF('Well Data-NK'!Sept2014_Prod_Inj="Inj",'Well Data-NK'!Sept2014_Spud_to_RR))),0.25),'Well Data-NK'!Sept2014_Spud_to_RR)))))</f>
        <v>0</v>
      </c>
      <c r="I287" s="476">
        <v>137</v>
      </c>
      <c r="N287" s="261"/>
    </row>
    <row r="288" spans="1:14" x14ac:dyDescent="0.25">
      <c r="A288" s="482" t="s">
        <v>22</v>
      </c>
      <c r="B288" s="482" t="s">
        <v>815</v>
      </c>
      <c r="C288" s="482" t="s">
        <v>18</v>
      </c>
      <c r="D288" s="482" t="s">
        <v>34</v>
      </c>
      <c r="E288" s="482" t="s">
        <v>1053</v>
      </c>
      <c r="F288" s="292" t="s">
        <v>1899</v>
      </c>
      <c r="G288" s="483" t="e">
        <f t="array" aca="1" ref="G288" ca="1">AVERAGE(IF('Well Data-NK'!Sept2014_Form={"LB"},IF('Well Data-NK'!Sept2014_Well_Type="ST",IF('Well Data-NK'!Sept2014_Prod_Inj="Inj",IF('Well Data-NK'!Sept2014_Spud_to_RR&lt;=PERCENTILE(IF('Well Data-NK'!Sept2014_Form={"LB"},IF('Well Data-NK'!Sept2014_Well_Type="ST",IF('Well Data-NK'!Sept2014_Prod_Inj="Inj",'Well Data-NK'!Sept2014_Spud_to_RR))),0.25),'Well Data-NK'!Sept2014_Spud_to_RR)))))</f>
        <v>#DIV/0!</v>
      </c>
      <c r="H288" s="484">
        <f t="array" aca="1" ref="H288" ca="1">COUNT(IF('Well Data-NK'!Sept2014_Form={"LB"},IF('Well Data-NK'!Sept2014_Well_Type="ST",IF('Well Data-NK'!Sept2014_Prod_Inj="Inj",IF('Well Data-NK'!Sept2014_Spud_to_RR&lt;=PERCENTILE(IF('Well Data-NK'!Sept2014_Form={"LB"},IF('Well Data-NK'!Sept2014_Well_Type="ST",IF('Well Data-NK'!Sept2014_Prod_Inj="Inj",'Well Data-NK'!Sept2014_Spud_to_RR))),0.25),'Well Data-NK'!Sept2014_Spud_to_RR)))))</f>
        <v>0</v>
      </c>
      <c r="I288" s="476">
        <v>138</v>
      </c>
      <c r="N288" s="261"/>
    </row>
    <row r="289" spans="1:14" x14ac:dyDescent="0.25">
      <c r="A289" s="482" t="s">
        <v>825</v>
      </c>
      <c r="B289" s="482" t="s">
        <v>815</v>
      </c>
      <c r="C289" s="482" t="s">
        <v>18</v>
      </c>
      <c r="D289" s="482" t="s">
        <v>34</v>
      </c>
      <c r="E289" s="482" t="s">
        <v>1053</v>
      </c>
      <c r="F289" s="292" t="s">
        <v>1899</v>
      </c>
      <c r="G289" s="483" t="e">
        <f t="array" aca="1" ref="G289" ca="1">AVERAGE(IF('Well Data-NK'!Sept2014_Form={"ZU","RT"},IF('Well Data-NK'!Sept2014_Well_Type="ST",IF('Well Data-NK'!Sept2014_Prod_Inj="Inj",IF('Well Data-NK'!Sept2014_Spud_to_RR&lt;=PERCENTILE(IF('Well Data-NK'!Sept2014_Form={"ZU","RT"},IF('Well Data-NK'!Sept2014_Well_Type="ST",IF('Well Data-NK'!Sept2014_Prod_Inj="Inj",'Well Data-NK'!Sept2014_Spud_to_RR))),0.25),'Well Data-NK'!Sept2014_Spud_to_RR)))))</f>
        <v>#DIV/0!</v>
      </c>
      <c r="H289" s="484">
        <f t="array" aca="1" ref="H289" ca="1">COUNT(IF('Well Data-NK'!Sept2014_Form={"ZU","RT"},IF('Well Data-NK'!Sept2014_Well_Type="ST",IF('Well Data-NK'!Sept2014_Prod_Inj="Inj",IF('Well Data-NK'!Sept2014_Spud_to_RR&lt;=PERCENTILE(IF('Well Data-NK'!Sept2014_Form={"ZU","RT"},IF('Well Data-NK'!Sept2014_Well_Type="ST",IF('Well Data-NK'!Sept2014_Prod_Inj="Inj",'Well Data-NK'!Sept2014_Spud_to_RR))),0.25),'Well Data-NK'!Sept2014_Spud_to_RR)))))</f>
        <v>0</v>
      </c>
      <c r="I289" s="476">
        <v>139</v>
      </c>
      <c r="N289" s="261"/>
    </row>
    <row r="290" spans="1:14" x14ac:dyDescent="0.25">
      <c r="A290" s="482" t="s">
        <v>816</v>
      </c>
      <c r="B290" s="482" t="s">
        <v>815</v>
      </c>
      <c r="C290" s="482" t="s">
        <v>18</v>
      </c>
      <c r="D290" s="482" t="s">
        <v>34</v>
      </c>
      <c r="E290" s="482" t="s">
        <v>1053</v>
      </c>
      <c r="F290" s="292" t="s">
        <v>1899</v>
      </c>
      <c r="G290" s="483">
        <f t="array" aca="1" ref="G290" ca="1">AVERAGE(IF('Well Data-NK'!Sept2014_Form={"ZU","RT","LB","UB","MA"},IF('Well Data-NK'!Sept2014_Well_Type="ST",IF('Well Data-NK'!Sept2014_Prod_Inj="Inj",IF('Well Data-NK'!Sept2014_Spud_to_RR&lt;=PERCENTILE(IF('Well Data-NK'!Sept2014_Form={"ZU","RT","LB","UB","MA"},IF('Well Data-NK'!Sept2014_Well_Type="ST",IF('Well Data-NK'!Sept2014_Prod_Inj="Inj",'Well Data-NK'!Sept2014_Spud_to_RR))),0.25),'Well Data-NK'!Sept2014_Spud_to_RR)))))</f>
        <v>29.16145833333211</v>
      </c>
      <c r="H290" s="484">
        <f t="array" aca="1" ref="H290" ca="1">COUNT(IF('Well Data-NK'!Sept2014_Form={"ZU","RT","LB","UB","MA"},IF('Well Data-NK'!Sept2014_Well_Type="ST",IF('Well Data-NK'!Sept2014_Prod_Inj="Inj",IF('Well Data-NK'!Sept2014_Spud_to_RR&lt;=PERCENTILE(IF('Well Data-NK'!Sept2014_Form={"ZU","RT","LB","UB","MA"},IF('Well Data-NK'!Sept2014_Well_Type="ST",IF('Well Data-NK'!Sept2014_Prod_Inj="Inj",'Well Data-NK'!Sept2014_Spud_to_RR))),0.25),'Well Data-NK'!Sept2014_Spud_to_RR)))))</f>
        <v>4</v>
      </c>
      <c r="I290" s="476">
        <v>140</v>
      </c>
      <c r="N290" s="261"/>
    </row>
  </sheetData>
  <autoFilter ref="A2:O142"/>
  <sortState ref="A3:I142">
    <sortCondition ref="I3:I142"/>
  </sortState>
  <mergeCells count="2">
    <mergeCell ref="A149:H149"/>
    <mergeCell ref="A1:H1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topLeftCell="B1" workbookViewId="0">
      <selection activeCell="A22" sqref="A22"/>
    </sheetView>
  </sheetViews>
  <sheetFormatPr defaultRowHeight="15" x14ac:dyDescent="0.25"/>
  <cols>
    <col min="1" max="1" width="23.42578125" customWidth="1"/>
  </cols>
  <sheetData>
    <row r="1" spans="1:2" x14ac:dyDescent="0.25">
      <c r="A1" s="2" t="s">
        <v>4</v>
      </c>
      <c r="B1" s="2" t="s">
        <v>58</v>
      </c>
    </row>
    <row r="2" spans="1:2" x14ac:dyDescent="0.25">
      <c r="A2" s="5" t="s">
        <v>38</v>
      </c>
      <c r="B2" s="5" t="s">
        <v>59</v>
      </c>
    </row>
    <row r="3" spans="1:2" x14ac:dyDescent="0.25">
      <c r="A3" s="5" t="s">
        <v>12</v>
      </c>
      <c r="B3" s="5" t="s">
        <v>60</v>
      </c>
    </row>
    <row r="4" spans="1:2" x14ac:dyDescent="0.25">
      <c r="A4" s="5" t="s">
        <v>32</v>
      </c>
      <c r="B4" s="5" t="s">
        <v>60</v>
      </c>
    </row>
    <row r="5" spans="1:2" x14ac:dyDescent="0.25">
      <c r="A5" s="5" t="s">
        <v>26</v>
      </c>
      <c r="B5" s="5" t="s">
        <v>60</v>
      </c>
    </row>
    <row r="6" spans="1:2" x14ac:dyDescent="0.25">
      <c r="A6" s="5" t="s">
        <v>15</v>
      </c>
      <c r="B6" s="40" t="s">
        <v>74</v>
      </c>
    </row>
    <row r="7" spans="1:2" x14ac:dyDescent="0.25">
      <c r="A7" s="5" t="s">
        <v>35</v>
      </c>
      <c r="B7" s="5" t="s">
        <v>74</v>
      </c>
    </row>
    <row r="8" spans="1:2" x14ac:dyDescent="0.25">
      <c r="A8" s="5" t="s">
        <v>46</v>
      </c>
      <c r="B8" s="5" t="s">
        <v>60</v>
      </c>
    </row>
    <row r="9" spans="1:2" x14ac:dyDescent="0.25">
      <c r="A9" s="5" t="s">
        <v>36</v>
      </c>
      <c r="B9" s="5" t="s">
        <v>60</v>
      </c>
    </row>
    <row r="10" spans="1:2" x14ac:dyDescent="0.25">
      <c r="A10" s="5" t="s">
        <v>48</v>
      </c>
      <c r="B10" s="5" t="s">
        <v>59</v>
      </c>
    </row>
    <row r="11" spans="1:2" x14ac:dyDescent="0.25">
      <c r="A11" s="4" t="s">
        <v>25</v>
      </c>
      <c r="B11" s="5" t="s">
        <v>60</v>
      </c>
    </row>
    <row r="12" spans="1:2" x14ac:dyDescent="0.25">
      <c r="A12" s="5" t="s">
        <v>19</v>
      </c>
      <c r="B12" s="5" t="s">
        <v>59</v>
      </c>
    </row>
    <row r="13" spans="1:2" x14ac:dyDescent="0.25">
      <c r="A13" s="5" t="s">
        <v>50</v>
      </c>
      <c r="B13" s="5" t="s">
        <v>61</v>
      </c>
    </row>
    <row r="14" spans="1:2" x14ac:dyDescent="0.25">
      <c r="A14" s="4" t="s">
        <v>23</v>
      </c>
      <c r="B14" s="8" t="s">
        <v>59</v>
      </c>
    </row>
    <row r="15" spans="1:2" x14ac:dyDescent="0.25">
      <c r="A15" s="4" t="s">
        <v>31</v>
      </c>
      <c r="B15" s="8" t="s">
        <v>59</v>
      </c>
    </row>
    <row r="16" spans="1:2" x14ac:dyDescent="0.25">
      <c r="A16" s="4" t="s">
        <v>79</v>
      </c>
      <c r="B16" s="5" t="s">
        <v>61</v>
      </c>
    </row>
    <row r="17" spans="1:2" x14ac:dyDescent="0.25">
      <c r="A17" s="4" t="s">
        <v>37</v>
      </c>
      <c r="B17" s="5" t="s">
        <v>60</v>
      </c>
    </row>
  </sheetData>
  <conditionalFormatting sqref="B2:B17">
    <cfRule type="containsText" dxfId="3" priority="1" operator="containsText" text="Baker">
      <formula>NOT(ISERROR(SEARCH("Baker",B2)))</formula>
    </cfRule>
    <cfRule type="containsText" dxfId="2" priority="2" operator="containsText" text="Baroid">
      <formula>NOT(ISERROR(SEARCH("Baroid",B2)))</formula>
    </cfRule>
    <cfRule type="containsText" dxfId="1" priority="3" operator="containsText" text="MI">
      <formula>NOT(ISERROR(SEARCH("MI",B2)))</formula>
    </cfRule>
    <cfRule type="containsText" dxfId="0" priority="4" operator="containsText" text="EMEC">
      <formula>NOT(ISERROR(SEARCH("EMEC",B2)))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Z410"/>
  <sheetViews>
    <sheetView workbookViewId="0">
      <selection activeCell="C29" sqref="C29"/>
    </sheetView>
  </sheetViews>
  <sheetFormatPr defaultRowHeight="15" x14ac:dyDescent="0.25"/>
  <cols>
    <col min="1" max="1" width="12.85546875" customWidth="1"/>
    <col min="2" max="2" width="9.7109375" bestFit="1" customWidth="1"/>
    <col min="3" max="3" width="10.7109375" bestFit="1" customWidth="1"/>
    <col min="5" max="5" width="27.28515625" customWidth="1"/>
    <col min="6" max="6" width="22.28515625" customWidth="1"/>
    <col min="7" max="7" width="21.28515625" customWidth="1"/>
    <col min="8" max="8" width="19.7109375" customWidth="1"/>
    <col min="9" max="9" width="30.42578125" customWidth="1"/>
    <col min="10" max="10" width="20.140625" customWidth="1"/>
    <col min="11" max="11" width="15.7109375" customWidth="1"/>
    <col min="12" max="12" width="26.7109375" customWidth="1"/>
    <col min="13" max="13" width="14.42578125" customWidth="1"/>
    <col min="14" max="14" width="16.140625" customWidth="1"/>
    <col min="15" max="15" width="13.5703125" customWidth="1"/>
    <col min="16" max="16" width="12.7109375" customWidth="1"/>
    <col min="17" max="17" width="11.85546875" customWidth="1"/>
    <col min="18" max="18" width="23.42578125" customWidth="1"/>
    <col min="19" max="19" width="20.5703125" customWidth="1"/>
    <col min="20" max="20" width="24.85546875" customWidth="1"/>
    <col min="21" max="21" width="18.42578125" customWidth="1"/>
    <col min="22" max="22" width="19.85546875" customWidth="1"/>
    <col min="23" max="23" width="14.140625" customWidth="1"/>
    <col min="24" max="24" width="24.42578125" customWidth="1"/>
    <col min="25" max="25" width="15.7109375" customWidth="1"/>
    <col min="26" max="26" width="16.5703125" customWidth="1"/>
    <col min="27" max="27" width="14.42578125" customWidth="1"/>
    <col min="28" max="28" width="15.85546875" customWidth="1"/>
    <col min="29" max="29" width="10.5703125" customWidth="1"/>
    <col min="30" max="30" width="18.5703125" customWidth="1"/>
    <col min="31" max="31" width="13.28515625" customWidth="1"/>
    <col min="32" max="32" width="16.42578125" customWidth="1"/>
    <col min="33" max="33" width="13.5703125" customWidth="1"/>
    <col min="34" max="34" width="16.28515625" customWidth="1"/>
    <col min="35" max="35" width="13.5703125" customWidth="1"/>
    <col min="36" max="36" width="12.7109375" customWidth="1"/>
    <col min="37" max="37" width="13.85546875" customWidth="1"/>
  </cols>
  <sheetData>
    <row r="1" spans="1:16" x14ac:dyDescent="0.25">
      <c r="A1" t="s">
        <v>516</v>
      </c>
      <c r="B1" t="s">
        <v>575</v>
      </c>
      <c r="C1" t="s">
        <v>576</v>
      </c>
      <c r="F1" s="97"/>
      <c r="G1" s="97"/>
      <c r="H1" s="97"/>
      <c r="J1" s="587"/>
      <c r="K1" s="587"/>
      <c r="L1" s="587"/>
      <c r="N1" s="587"/>
      <c r="O1" s="587"/>
      <c r="P1" s="587"/>
    </row>
    <row r="2" spans="1:16" x14ac:dyDescent="0.25">
      <c r="A2" t="s">
        <v>517</v>
      </c>
      <c r="B2" s="47">
        <v>41640</v>
      </c>
      <c r="C2" s="47">
        <v>41729</v>
      </c>
      <c r="E2" s="81"/>
      <c r="F2" s="84" t="s">
        <v>307</v>
      </c>
      <c r="G2" s="84" t="s">
        <v>466</v>
      </c>
      <c r="H2" s="84" t="s">
        <v>856</v>
      </c>
      <c r="J2" s="100"/>
      <c r="K2" s="100"/>
      <c r="L2" s="100"/>
      <c r="M2" s="101"/>
      <c r="N2" s="100"/>
      <c r="O2" s="100"/>
      <c r="P2" s="100"/>
    </row>
    <row r="3" spans="1:16" x14ac:dyDescent="0.25">
      <c r="A3" t="s">
        <v>518</v>
      </c>
      <c r="B3" s="47">
        <v>41730</v>
      </c>
      <c r="C3" s="47">
        <v>41820</v>
      </c>
      <c r="E3" s="86" t="s">
        <v>872</v>
      </c>
      <c r="F3" s="106">
        <f>SUM('Well Data-NK'!Q109:Q150)</f>
        <v>2003.7951186333212</v>
      </c>
      <c r="G3" s="106">
        <f>SUM('Well Data-NK'!S109:S150)</f>
        <v>2422</v>
      </c>
      <c r="H3" s="81">
        <f>G3-F3</f>
        <v>418.20488136667882</v>
      </c>
      <c r="J3" s="39"/>
      <c r="K3" s="39"/>
      <c r="L3" s="90"/>
      <c r="N3" s="39"/>
      <c r="O3" s="39"/>
      <c r="P3" s="90"/>
    </row>
    <row r="4" spans="1:16" x14ac:dyDescent="0.25">
      <c r="A4" t="s">
        <v>519</v>
      </c>
      <c r="B4" s="47">
        <v>41821</v>
      </c>
      <c r="C4" s="47">
        <v>41912</v>
      </c>
      <c r="E4" s="86" t="s">
        <v>858</v>
      </c>
      <c r="F4" s="106">
        <f>SUM('Well Data-NK'!Q96:Q150)</f>
        <v>2834.1284519666569</v>
      </c>
      <c r="G4" s="106">
        <f>SUM('Well Data-NK'!S96:S150)</f>
        <v>3276</v>
      </c>
      <c r="H4" s="81">
        <f t="shared" ref="H4:H5" si="0">G4-F4</f>
        <v>441.87154803334306</v>
      </c>
    </row>
    <row r="5" spans="1:16" x14ac:dyDescent="0.25">
      <c r="A5" t="s">
        <v>520</v>
      </c>
      <c r="B5" s="47">
        <v>41913</v>
      </c>
      <c r="C5" s="47">
        <v>42004</v>
      </c>
      <c r="E5" s="86" t="s">
        <v>871</v>
      </c>
      <c r="F5" s="106">
        <f>SUM('Well Data-NK'!Q2:Q154)</f>
        <v>8720.7325519667029</v>
      </c>
      <c r="G5" s="106">
        <f>SUM('Well Data-NK'!S2:S154)</f>
        <v>9646</v>
      </c>
      <c r="H5" s="81">
        <f t="shared" si="0"/>
        <v>925.26744803329711</v>
      </c>
    </row>
    <row r="6" spans="1:16" x14ac:dyDescent="0.25">
      <c r="A6" s="79"/>
      <c r="B6" s="82"/>
      <c r="C6" s="82"/>
      <c r="D6" s="79"/>
      <c r="F6" s="39"/>
      <c r="G6" s="39"/>
      <c r="H6" s="90"/>
    </row>
    <row r="7" spans="1:16" x14ac:dyDescent="0.25">
      <c r="A7" s="597" t="s">
        <v>854</v>
      </c>
      <c r="B7" s="597"/>
      <c r="C7" s="597"/>
      <c r="D7" s="597"/>
      <c r="F7" s="601"/>
      <c r="G7" s="601"/>
      <c r="H7" s="601"/>
    </row>
    <row r="8" spans="1:16" x14ac:dyDescent="0.25">
      <c r="A8" s="84" t="s">
        <v>853</v>
      </c>
      <c r="B8" s="84" t="s">
        <v>298</v>
      </c>
      <c r="C8" s="84" t="s">
        <v>864</v>
      </c>
      <c r="D8" s="84" t="s">
        <v>464</v>
      </c>
      <c r="F8" s="103"/>
      <c r="G8" s="103"/>
      <c r="H8" s="103"/>
      <c r="J8" s="90"/>
      <c r="K8" t="s">
        <v>1404</v>
      </c>
      <c r="L8" t="s">
        <v>3</v>
      </c>
    </row>
    <row r="9" spans="1:16" x14ac:dyDescent="0.25">
      <c r="A9" s="85" t="s">
        <v>844</v>
      </c>
      <c r="B9" s="83" t="e">
        <f ca="1">SUMPRODUCT(('Well Data-NK'!Field="RA")*('Well Data-NK'!Form="MA")*('Well Data-NK'!Prod_inj="Prod")*((YEAR('Well Data-NK'!Rig_Release_Date)=2014)+(YEAR('Well Data-NK'!Spud_Date)=2014)&gt;0))</f>
        <v>#VALUE!</v>
      </c>
      <c r="C9" s="83" t="e">
        <f ca="1">SUMPRODUCT(('Well Data-NK'!Field="RA")*('Well Data-NK'!Form="MA")*('Well Data-NK'!Prod_inj="inj")*((YEAR('Well Data-NK'!Rig_Release_Date)=2014)+(YEAR('Well Data-NK'!Spud_Date)=2014)&gt;0))</f>
        <v>#VALUE!</v>
      </c>
      <c r="D9" s="81" t="e">
        <f ca="1">SUM(B9:C9)</f>
        <v>#VALUE!</v>
      </c>
      <c r="F9" s="104"/>
      <c r="G9" s="104"/>
      <c r="H9" s="54"/>
      <c r="K9" t="s">
        <v>1405</v>
      </c>
      <c r="L9" t="s">
        <v>1407</v>
      </c>
    </row>
    <row r="10" spans="1:16" x14ac:dyDescent="0.25">
      <c r="A10" s="85" t="s">
        <v>845</v>
      </c>
      <c r="B10" s="83" t="e">
        <f>SUMPRODUCT(('Well Data-NK'!F2:F165="RA")*('Well Data-NK'!G2:G165="UB")*('Well Data-NK'!J2:J165="Prod")*((YEAR('Well Data-NK'!P2:P165)=2014)+(YEAR('Well Data-NK'!O2:O165)=2014)&gt;0))</f>
        <v>#VALUE!</v>
      </c>
      <c r="C10" s="83" t="e">
        <f ca="1">SUMPRODUCT(('Well Data-NK'!Field="RA")*('Well Data-NK'!Form="UB")*('Well Data-NK'!Prod_inj="inj")*((YEAR('Well Data-NK'!Rig_Release_Date)=2014)+(YEAR('Well Data-NK'!Spud_Date)=2014)&gt;0))</f>
        <v>#VALUE!</v>
      </c>
      <c r="D10" s="81" t="e">
        <f t="shared" ref="D10:D17" si="1">SUM(B10:C10)</f>
        <v>#VALUE!</v>
      </c>
      <c r="F10" s="54"/>
      <c r="G10" s="54"/>
      <c r="H10" s="54"/>
      <c r="K10" t="s">
        <v>1406</v>
      </c>
      <c r="L10" t="s">
        <v>1408</v>
      </c>
    </row>
    <row r="11" spans="1:16" x14ac:dyDescent="0.25">
      <c r="A11" s="85" t="s">
        <v>846</v>
      </c>
      <c r="B11" s="83" t="e">
        <f>SUMPRODUCT(('Well Data-NK'!F2:F165="RA")*('Well Data-NK'!G2:G165="LB")*('Well Data-NK'!J2:J165="Prod")*((YEAR('Well Data-NK'!P2:P165)=2014)+(YEAR('Well Data-NK'!O2:O165)=2014)&gt;0))</f>
        <v>#VALUE!</v>
      </c>
      <c r="C11" s="83" t="e">
        <f ca="1">SUMPRODUCT(('Well Data-NK'!Field="RA")*('Well Data-NK'!Form="LB")*('Well Data-NK'!Prod_inj="inj")*((YEAR('Well Data-NK'!Rig_Release_Date)=2014)+(YEAR('Well Data-NK'!Spud_Date)=2014)&gt;0))</f>
        <v>#VALUE!</v>
      </c>
      <c r="D11" s="81" t="e">
        <f t="shared" si="1"/>
        <v>#VALUE!</v>
      </c>
      <c r="F11" s="54"/>
      <c r="G11" s="54"/>
      <c r="H11" s="54"/>
      <c r="K11" t="s">
        <v>1378</v>
      </c>
      <c r="L11" t="s">
        <v>6</v>
      </c>
    </row>
    <row r="12" spans="1:16" x14ac:dyDescent="0.25">
      <c r="A12" s="85" t="s">
        <v>847</v>
      </c>
      <c r="B12" s="83" t="e">
        <f>SUMPRODUCT(('Well Data-NK'!F2:F165="RA")*('Well Data-NK'!G2:G165="ZU")*('Well Data-NK'!J2:J165="Prod")*((YEAR('Well Data-NK'!P2:P165)=2014)+(YEAR('Well Data-NK'!O2:O165)=2014)&gt;0))</f>
        <v>#VALUE!</v>
      </c>
      <c r="C12" s="83" t="e">
        <f ca="1">SUMPRODUCT(('Well Data-NK'!Field="RA")*('Well Data-NK'!Form="ZU")*('Well Data-NK'!Prod_inj="inj")*((YEAR('Well Data-NK'!Rig_Release_Date)=2014)+(YEAR('Well Data-NK'!Spud_Date)=2014)&gt;0))</f>
        <v>#VALUE!</v>
      </c>
      <c r="D12" s="81" t="e">
        <f t="shared" si="1"/>
        <v>#VALUE!</v>
      </c>
      <c r="F12" s="54"/>
      <c r="G12" s="54"/>
      <c r="H12" s="275" t="s">
        <v>72</v>
      </c>
      <c r="I12" s="275" t="s">
        <v>1379</v>
      </c>
    </row>
    <row r="13" spans="1:16" x14ac:dyDescent="0.25">
      <c r="A13" s="85" t="s">
        <v>848</v>
      </c>
      <c r="B13" s="83" t="e">
        <f>SUMPRODUCT(('Well Data-NK'!F2:F165="SA")*('Well Data-NK'!G2:G165="MA")*('Well Data-NK'!J2:J165="Prod")*((YEAR('Well Data-NK'!P2:P165)=2014)+(YEAR('Well Data-NK'!O2:O165)=2014)&gt;0))</f>
        <v>#VALUE!</v>
      </c>
      <c r="C13" s="83" t="e">
        <f ca="1">SUMPRODUCT(('Well Data-NK'!Field="SA")*('Well Data-NK'!Form="MA")*('Well Data-NK'!Prod_inj="inj")*((YEAR('Well Data-NK'!Rig_Release_Date)=2014)+(YEAR('Well Data-NK'!Spud_Date)=2014)&gt;0))</f>
        <v>#VALUE!</v>
      </c>
      <c r="D13" s="81" t="e">
        <f t="shared" si="1"/>
        <v>#VALUE!</v>
      </c>
      <c r="F13" s="105"/>
      <c r="G13" s="105"/>
      <c r="H13" s="275" t="s">
        <v>747</v>
      </c>
      <c r="I13" s="275" t="s">
        <v>1380</v>
      </c>
    </row>
    <row r="14" spans="1:16" x14ac:dyDescent="0.25">
      <c r="A14" s="85" t="s">
        <v>849</v>
      </c>
      <c r="B14" s="83" t="e">
        <f>SUMPRODUCT(('Well Data-NK'!F2:F165="SA")*('Well Data-NK'!G2:G165="UB")*('Well Data-NK'!J2:J165="Prod")*((YEAR('Well Data-NK'!P2:P165)=2014)+(YEAR('Well Data-NK'!O2:O165)=2014)&gt;0))</f>
        <v>#VALUE!</v>
      </c>
      <c r="C14" s="83" t="e">
        <f ca="1">SUMPRODUCT(('Well Data-NK'!Field="SA")*('Well Data-NK'!Form="UB")*('Well Data-NK'!Prod_inj="inj")*((YEAR('Well Data-NK'!Rig_Release_Date)=2014)+(YEAR('Well Data-NK'!Spud_Date)=2014)&gt;0))</f>
        <v>#VALUE!</v>
      </c>
      <c r="D14" s="81" t="e">
        <f t="shared" si="1"/>
        <v>#VALUE!</v>
      </c>
      <c r="F14" s="103"/>
      <c r="G14" s="103"/>
      <c r="H14" s="275" t="s">
        <v>1378</v>
      </c>
      <c r="I14" s="275" t="s">
        <v>1381</v>
      </c>
    </row>
    <row r="15" spans="1:16" x14ac:dyDescent="0.25">
      <c r="A15" s="85" t="s">
        <v>850</v>
      </c>
      <c r="B15" s="83" t="e">
        <f>SUMPRODUCT(('Well Data-NK'!F2:F165="SA")*('Well Data-NK'!G2:G165="LB")*('Well Data-NK'!J2:J165="Prod")*((YEAR('Well Data-NK'!P2:P165)=2014)+(YEAR('Well Data-NK'!O2:O165)=2014)&gt;0))</f>
        <v>#VALUE!</v>
      </c>
      <c r="C15" s="83" t="e">
        <f ca="1">SUMPRODUCT(('Well Data-NK'!Field="SA")*('Well Data-NK'!Form="LB")*('Well Data-NK'!Prod_inj="inj")*((YEAR('Well Data-NK'!Rig_Release_Date)=2014)+(YEAR('Well Data-NK'!Spud_Date)=2014)&gt;0))</f>
        <v>#VALUE!</v>
      </c>
      <c r="D15" s="81" t="e">
        <f t="shared" si="1"/>
        <v>#VALUE!</v>
      </c>
      <c r="F15" s="104"/>
      <c r="G15" s="104"/>
      <c r="H15" s="275" t="s">
        <v>596</v>
      </c>
      <c r="I15" s="275" t="s">
        <v>1382</v>
      </c>
    </row>
    <row r="16" spans="1:16" x14ac:dyDescent="0.25">
      <c r="A16" s="85" t="s">
        <v>851</v>
      </c>
      <c r="B16" s="83" t="e">
        <f>SUMPRODUCT(('Well Data-NK'!F2:F165="SA")*('Well Data-NK'!G2:G165="ZU")*('Well Data-NK'!J2:J165="Prod")*((YEAR('Well Data-NK'!P2:P165)=2014)+(YEAR('Well Data-NK'!O2:O165)=2014)&gt;0))</f>
        <v>#VALUE!</v>
      </c>
      <c r="C16" s="83" t="e">
        <f ca="1">SUMPRODUCT(('Well Data-NK'!Field="SA")*('Well Data-NK'!Form="ZU")*('Well Data-NK'!Prod_inj="inj")*((YEAR('Well Data-NK'!Rig_Release_Date)=2014)+(YEAR('Well Data-NK'!Spud_Date)=2014)&gt;0))</f>
        <v>#VALUE!</v>
      </c>
      <c r="D16" s="81" t="e">
        <f t="shared" si="1"/>
        <v>#VALUE!</v>
      </c>
      <c r="H16" s="275" t="s">
        <v>743</v>
      </c>
      <c r="I16" s="278" t="s">
        <v>1383</v>
      </c>
    </row>
    <row r="17" spans="1:37" x14ac:dyDescent="0.25">
      <c r="A17" s="85" t="s">
        <v>852</v>
      </c>
      <c r="B17" s="83" t="e">
        <f>SUMPRODUCT(('Well Data-NK'!F2:F165="SA")*('Well Data-NK'!G2:G165="RT")*('Well Data-NK'!J2:J165="Prod")*((YEAR('Well Data-NK'!P2:P165)=2014)+(YEAR('Well Data-NK'!O2:O165)=2014)&gt;0))</f>
        <v>#VALUE!</v>
      </c>
      <c r="C17" s="83" t="e">
        <f ca="1">SUMPRODUCT(('Well Data-NK'!Field="SA")*('Well Data-NK'!Form="RT")*('Well Data-NK'!Prod_inj="inj")*((YEAR('Well Data-NK'!Rig_Release_Date)=2014)+(YEAR('Well Data-NK'!Spud_Date)=2014)&gt;0))</f>
        <v>#VALUE!</v>
      </c>
      <c r="D17" s="81" t="e">
        <f t="shared" si="1"/>
        <v>#VALUE!</v>
      </c>
    </row>
    <row r="18" spans="1:37" ht="15.75" thickBot="1" x14ac:dyDescent="0.3">
      <c r="A18" s="86" t="s">
        <v>464</v>
      </c>
      <c r="B18" s="80" t="e">
        <f ca="1">SUM(B9:B17)</f>
        <v>#VALUE!</v>
      </c>
      <c r="C18" s="80" t="e">
        <f ca="1">SUM(C9:C17)</f>
        <v>#VALUE!</v>
      </c>
      <c r="D18" s="80" t="e">
        <f ca="1">SUM(B18,C18)</f>
        <v>#VALUE!</v>
      </c>
    </row>
    <row r="19" spans="1:37" ht="15.75" thickBot="1" x14ac:dyDescent="0.3">
      <c r="D19" s="78"/>
      <c r="F19" s="594">
        <v>2014</v>
      </c>
      <c r="G19" s="595"/>
      <c r="H19" s="595"/>
      <c r="I19" s="595"/>
      <c r="J19" s="595"/>
      <c r="K19" s="595"/>
      <c r="L19" s="595"/>
      <c r="M19" s="595"/>
      <c r="N19" s="595"/>
      <c r="O19" s="595"/>
      <c r="P19" s="595"/>
      <c r="Q19" s="595"/>
      <c r="R19" s="595"/>
      <c r="S19" s="595"/>
      <c r="T19" s="595"/>
      <c r="U19" s="596"/>
    </row>
    <row r="20" spans="1:37" ht="15.75" thickBot="1" x14ac:dyDescent="0.3">
      <c r="F20" s="97"/>
      <c r="G20" s="97"/>
      <c r="H20" s="98"/>
      <c r="I20" s="602" t="s">
        <v>866</v>
      </c>
      <c r="J20" s="603"/>
      <c r="K20" s="603"/>
      <c r="L20" s="603"/>
      <c r="M20" s="603"/>
      <c r="N20" s="603"/>
      <c r="O20" s="603"/>
      <c r="P20" s="603"/>
      <c r="Q20" s="603"/>
      <c r="R20" s="603"/>
      <c r="S20" s="603"/>
      <c r="T20" s="603"/>
      <c r="U20" s="604"/>
    </row>
    <row r="21" spans="1:37" ht="15.75" thickBot="1" x14ac:dyDescent="0.3">
      <c r="F21" s="79"/>
      <c r="G21" s="79"/>
      <c r="H21" s="79"/>
      <c r="I21" s="594" t="s">
        <v>870</v>
      </c>
      <c r="J21" s="595"/>
      <c r="K21" s="595"/>
      <c r="L21" s="595"/>
      <c r="M21" s="595"/>
      <c r="N21" s="595"/>
      <c r="O21" s="596"/>
      <c r="P21" s="594" t="s">
        <v>868</v>
      </c>
      <c r="Q21" s="595"/>
      <c r="R21" s="595"/>
      <c r="S21" s="595"/>
      <c r="T21" s="595"/>
      <c r="U21" s="596"/>
    </row>
    <row r="22" spans="1:37" ht="15.75" thickBot="1" x14ac:dyDescent="0.3">
      <c r="F22" s="43"/>
      <c r="G22" s="27"/>
      <c r="H22" s="93" t="s">
        <v>307</v>
      </c>
      <c r="I22" s="93" t="s">
        <v>865</v>
      </c>
      <c r="J22" s="598" t="s">
        <v>867</v>
      </c>
      <c r="K22" s="599"/>
      <c r="L22" s="600" t="s">
        <v>869</v>
      </c>
      <c r="M22" s="600"/>
      <c r="N22" s="600"/>
      <c r="O22" s="599"/>
      <c r="P22" s="598" t="s">
        <v>867</v>
      </c>
      <c r="Q22" s="599"/>
      <c r="R22" s="600" t="s">
        <v>869</v>
      </c>
      <c r="S22" s="600"/>
      <c r="T22" s="600"/>
      <c r="U22" s="599"/>
    </row>
    <row r="23" spans="1:37" x14ac:dyDescent="0.25">
      <c r="F23" s="92" t="s">
        <v>840</v>
      </c>
      <c r="G23" s="92" t="s">
        <v>603</v>
      </c>
      <c r="H23" s="94" t="s">
        <v>814</v>
      </c>
      <c r="I23" s="94" t="s">
        <v>815</v>
      </c>
      <c r="J23" s="95" t="s">
        <v>14</v>
      </c>
      <c r="K23" s="95" t="s">
        <v>18</v>
      </c>
      <c r="L23" s="96" t="s">
        <v>862</v>
      </c>
      <c r="M23" s="96" t="s">
        <v>863</v>
      </c>
      <c r="N23" s="96" t="s">
        <v>860</v>
      </c>
      <c r="O23" s="96" t="s">
        <v>861</v>
      </c>
      <c r="P23" s="94" t="s">
        <v>14</v>
      </c>
      <c r="Q23" s="96" t="s">
        <v>18</v>
      </c>
      <c r="R23" s="96" t="s">
        <v>862</v>
      </c>
      <c r="S23" s="96" t="s">
        <v>863</v>
      </c>
      <c r="T23" s="96" t="s">
        <v>860</v>
      </c>
      <c r="U23" s="96" t="s">
        <v>861</v>
      </c>
    </row>
    <row r="24" spans="1:37" x14ac:dyDescent="0.25">
      <c r="F24" s="81" t="s">
        <v>17</v>
      </c>
      <c r="G24" s="81">
        <f ca="1">COUNTIF('Well Data-NK'!Sept2014_Form,"MA")</f>
        <v>45</v>
      </c>
      <c r="H24" s="81">
        <f ca="1">AVERAGEIF('Well Data-NK'!Sept2014_Form,"MA",'Well Data-NK'!Sept2014_Planned_Spud_to_RR)</f>
        <v>57.555555555555557</v>
      </c>
      <c r="I24" s="81">
        <f ca="1">AVERAGEIF('Well Data-NK'!Sept2014_Form,"MA",'Well Data-NK'!Sept2014_Spud_to_RR)</f>
        <v>50.012037037036983</v>
      </c>
      <c r="J24" s="276">
        <f t="array" aca="1" ref="J24" ca="1">AVERAGE(IF('Well Data-NK'!Sept2014_Form={"MA"},IF('Well Data-NK'!Sept2014_Well_Type="NW",'Well Data-NK'!Sept2014_Spud_to_RR)))</f>
        <v>60.566964285715322</v>
      </c>
      <c r="K24" s="276">
        <f t="array" aca="1" ref="K24" ca="1">AVERAGE(IF('Well Data-NK'!Sept2014_Form={"MA"},IF('Well Data-NK'!Sept2014_Well_Type="ST",'Well Data-NK'!Sept2014_Spud_to_RR)))</f>
        <v>45.245295698924181</v>
      </c>
      <c r="L24" s="80">
        <f t="array" aca="1" ref="L24" ca="1">AVERAGE(IF('Well Data-NK'!Sept2014_Form={"MA"},IF('Well Data-NK'!Sept2014_Well_Type="NW",IF('Well Data-NK'!Sept2014_Prod_Inj="Prod",'Well Data-NK'!Sept2014_Spud_to_RR))))</f>
        <v>61.421875000000604</v>
      </c>
      <c r="M24" s="80">
        <f t="array" aca="1" ref="M24" ca="1">AVERAGE(IF('Well Data-NK'!Sept2014_Form={"MA"},IF('Well Data-NK'!Sept2014_Well_Type="NW",IF('Well Data-NK'!Sept2014_Prod_Inj="Inj",'Well Data-NK'!Sept2014_Spud_to_RR))))</f>
        <v>55.437500000003638</v>
      </c>
      <c r="N24" s="80">
        <f t="array" aca="1" ref="N24" ca="1">AVERAGE(IF('Well Data-NK'!Sept2014_Form={"MA"},IF('Well Data-NK'!Sept2014_Well_Type="ST",IF('Well Data-NK'!Sept2014_Prod_Inj="Prod",'Well Data-NK'!Sept2014_Spud_to_RR))))</f>
        <v>47.811111111110463</v>
      </c>
      <c r="O24" s="80">
        <f t="array" aca="1" ref="O24" ca="1">AVERAGE(IF('Well Data-NK'!Sept2014_Form={"MA"},IF('Well Data-NK'!Sept2014_Well_Type="ST",IF('Well Data-NK'!Sept2014_Prod_Inj="Inj",'Well Data-NK'!Sept2014_Spud_to_RR))))</f>
        <v>42.839843749999545</v>
      </c>
      <c r="P24" s="80">
        <f t="array" aca="1" ref="P24" ca="1">AVERAGE(IF('Well Data-NK'!Sept2014_Form={"MA"},IF('Well Data-NK'!Sept2014_Well_Type="NW",IF('Well Data-NK'!Sept2014_Spud_to_RR&lt;=PERCENTILE(IF('Well Data-NK'!Sept2014_Form={"MA"},IF('Well Data-NK'!Sept2014_Well_Type="NW",'Well Data-NK'!Sept2014_Spud_to_RR)),0.25),'Well Data-NK'!Sept2014_Spud_to_RR))))</f>
        <v>45.963541666667879</v>
      </c>
      <c r="Q24" s="80">
        <f t="array" aca="1" ref="Q24" ca="1">AVERAGE(IF('Well Data-NK'!Sept2014_Form={"MA"},IF('Well Data-NK'!Sept2014_Well_Type="ST",IF('Well Data-NK'!Sept2014_Spud_to_RR&lt;=PERCENTILE(IF('Well Data-NK'!Sept2014_Form={"MA"},IF('Well Data-NK'!Sept2014_Well_Type="ST",'Well Data-NK'!Sept2014_Spud_to_RR)),0.25),'Well Data-NK'!Sept2014_Spud_to_RR))))</f>
        <v>29.398437499998174</v>
      </c>
      <c r="R24" s="99">
        <f t="array" aca="1" ref="R24" ca="1">AVERAGE(IF('Well Data-NK'!Sept2014_Form={"MA"},IF('Well Data-NK'!Sept2014_Well_Type="NW",IF('Well Data-NK'!Sept2014_Prod_Inj="Prod",IF('Well Data-NK'!Sept2014_Spud_to_RR&lt;=PERCENTILE(IF('Well Data-NK'!Sept2014_Form={"MA"},IF('Well Data-NK'!Sept2014_Well_Type="NW",IF('Well Data-NK'!Sept2014_Prod_Inj="Prod",'Well Data-NK'!Sept2014_Spud_to_RR))),0.25),'Well Data-NK'!Sept2014_Spud_to_RR)))))</f>
        <v>46.798611111111917</v>
      </c>
      <c r="S24" s="99">
        <f t="array" aca="1" ref="S24" ca="1">AVERAGE(IF('Well Data-NK'!Sept2014_Form={"MA"},IF('Well Data-NK'!Sept2014_Well_Type="NW",IF('Well Data-NK'!Sept2014_Prod_Inj="Inj",IF('Well Data-NK'!Sept2014_Spud_to_RR&lt;=PERCENTILE(IF('Well Data-NK'!Sept2014_Form={"MA"},IF('Well Data-NK'!Sept2014_Well_Type="NW",IF('Well Data-NK'!Sept2014_Prod_Inj="Inj",'Well Data-NK'!Sept2014_Spud_to_RR))),0.25),'Well Data-NK'!Sept2014_Spud_to_RR)))))</f>
        <v>43.458333333335759</v>
      </c>
      <c r="T24" s="99">
        <f t="array" aca="1" ref="T24" ca="1">AVERAGE(IF('Well Data-NK'!Sept2014_Form={"MA"},IF('Well Data-NK'!Sept2014_Well_Type="ST",IF('Well Data-NK'!Sept2014_Prod_Inj="Prod",IF('Well Data-NK'!Sept2014_Spud_to_RR&lt;=PERCENTILE(IF('Well Data-NK'!Sept2014_Form={"MA"},IF('Well Data-NK'!Sept2014_Well_Type="ST",IF('Well Data-NK'!Sept2014_Prod_Inj="Prod",'Well Data-NK'!Sept2014_Spud_to_RR))),0.25),'Well Data-NK'!Sept2014_Spud_to_RR)))))</f>
        <v>33.885416666667879</v>
      </c>
      <c r="U24" s="99">
        <f t="array" aca="1" ref="U24" ca="1">AVERAGE(IF('Well Data-NK'!Sept2014_Form={"MA"},IF('Well Data-NK'!Sept2014_Well_Type="ST",IF('Well Data-NK'!Sept2014_Prod_Inj="Inj",IF('Well Data-NK'!Sept2014_Spud_to_RR&lt;=PERCENTILE(IF('Well Data-NK'!Sept2014_Form={"MA"},IF('Well Data-NK'!Sept2014_Well_Type="ST",IF('Well Data-NK'!Sept2014_Prod_Inj="Inj",'Well Data-NK'!Sept2014_Spud_to_RR))),0.25),'Well Data-NK'!Sept2014_Spud_to_RR)))))</f>
        <v>29.16145833333211</v>
      </c>
    </row>
    <row r="25" spans="1:37" x14ac:dyDescent="0.25">
      <c r="F25" s="81" t="s">
        <v>29</v>
      </c>
      <c r="G25" s="81">
        <f ca="1">COUNTIF('Well Data-NK'!Sept2014_Form,"UB")</f>
        <v>7</v>
      </c>
      <c r="H25" s="81">
        <f ca="1">AVERAGEIF('Well Data-NK'!Sept2014_Form,"UB",'Well Data-NK'!Sept2014_Planned_Spud_to_RR)</f>
        <v>66</v>
      </c>
      <c r="I25" s="81">
        <f ca="1">AVERAGEIF('Well Data-NK'!Sept2014_Form,"UB",'Well Data-NK'!Sept2014_Spud_to_RR)</f>
        <v>56.148809047619395</v>
      </c>
      <c r="J25" s="276">
        <f t="array" aca="1" ref="J25" ca="1">AVERAGE(IF('Well Data-NK'!Sept2014_Form={"UB"},IF('Well Data-NK'!Sept2014_Well_Type="NW",'Well Data-NK'!Sept2014_Spud_to_RR)))</f>
        <v>57.55416666666715</v>
      </c>
      <c r="K25" s="276">
        <f t="array" aca="1" ref="K25" ca="1">AVERAGE(IF('Well Data-NK'!Sept2014_Form={"UB"},IF('Well Data-NK'!Sept2014_Well_Type="ST",'Well Data-NK'!Sept2014_Spud_to_RR)))</f>
        <v>52.635414999999995</v>
      </c>
      <c r="L25" s="80">
        <f t="array" aca="1" ref="L25" ca="1">AVERAGE(IF('Well Data-NK'!Sept2014_Form={"UB"},IF('Well Data-NK'!Sept2014_Well_Type="NW",IF('Well Data-NK'!Sept2014_Prod_Inj="Prod",'Well Data-NK'!Sept2014_Spud_to_RR))))</f>
        <v>57.55416666666715</v>
      </c>
      <c r="M25" s="80" t="e">
        <f t="array" aca="1" ref="M25" ca="1">AVERAGE(IF('Well Data-NK'!Sept2014_Form={"UB"},IF('Well Data-NK'!Sept2014_Well_Type="NW",IF('Well Data-NK'!Sept2014_Prod_Inj="Inj",'Well Data-NK'!Sept2014_Spud_to_RR))))</f>
        <v>#DIV/0!</v>
      </c>
      <c r="N25" s="80">
        <f t="array" aca="1" ref="N25" ca="1">AVERAGE(IF('Well Data-NK'!Sept2014_Form={"UB"},IF('Well Data-NK'!Sept2014_Well_Type="ST",IF('Well Data-NK'!Sept2014_Prod_Inj="Prod",'Well Data-NK'!Sept2014_Spud_to_RR))))</f>
        <v>52.635414999999995</v>
      </c>
      <c r="O25" s="80" t="e">
        <f t="array" aca="1" ref="O25" ca="1">AVERAGE(IF('Well Data-NK'!Sept2014_Form={"UB"},IF('Well Data-NK'!Sept2014_Well_Type="ST",IF('Well Data-NK'!Sept2014_Prod_Inj="Inj",'Well Data-NK'!Sept2014_Spud_to_RR))))</f>
        <v>#DIV/0!</v>
      </c>
      <c r="P25" s="80">
        <f t="array" aca="1" ref="P25" ca="1">AVERAGE(IF('Well Data-NK'!Sept2014_Form={"UB"},IF('Well Data-NK'!Sept2014_Well_Type="NW",IF('Well Data-NK'!Sept2014_Spud_to_RR&lt;=PERCENTILE(IF('Well Data-NK'!Sept2014_Form={"UB"},IF('Well Data-NK'!Sept2014_Well_Type="NW",'Well Data-NK'!Sept2014_Spud_to_RR)),0.25),'Well Data-NK'!Sept2014_Spud_to_RR))))</f>
        <v>48.875</v>
      </c>
      <c r="Q25" s="80">
        <f t="array" aca="1" ref="Q25" ca="1">AVERAGE(IF('Well Data-NK'!Sept2014_Form={"UB"},IF('Well Data-NK'!Sept2014_Well_Type="ST",IF('Well Data-NK'!Sept2014_Spud_to_RR&lt;=PERCENTILE(IF('Well Data-NK'!Sept2014_Form={"UB"},IF('Well Data-NK'!Sept2014_Well_Type="ST",'Well Data-NK'!Sept2014_Spud_to_RR)),0.25),'Well Data-NK'!Sept2014_Spud_to_RR))))</f>
        <v>40.770829999999997</v>
      </c>
      <c r="R25" s="99">
        <f t="array" aca="1" ref="R25" ca="1">AVERAGE(IF('Well Data-NK'!Sept2014_Form={"UB"},IF('Well Data-NK'!Sept2014_Well_Type="NW",IF('Well Data-NK'!Sept2014_Prod_Inj="Prod",IF('Well Data-NK'!Sept2014_Spud_to_RR&lt;=PERCENTILE(IF('Well Data-NK'!Sept2014_Form={"UB"},IF('Well Data-NK'!Sept2014_Well_Type="NW",IF('Well Data-NK'!Sept2014_Prod_Inj="Prod",'Well Data-NK'!Sept2014_Spud_to_RR))),0.25),'Well Data-NK'!Sept2014_Spud_to_RR)))))</f>
        <v>48.875</v>
      </c>
      <c r="S25" s="99" t="e">
        <f t="array" aca="1" ref="S25" ca="1">AVERAGE(IF('Well Data-NK'!Sept2014_Form={"UB"},IF('Well Data-NK'!Sept2014_Well_Type="NW",IF('Well Data-NK'!Sept2014_Prod_Inj="Inj",IF('Well Data-NK'!Sept2014_Spud_to_RR&lt;=PERCENTILE(IF('Well Data-NK'!Sept2014_Form={"UB"},IF('Well Data-NK'!Sept2014_Well_Type="NW",IF('Well Data-NK'!Sept2014_Prod_Inj="Inj",'Well Data-NK'!Sept2014_Spud_to_RR))),0.25),'Well Data-NK'!Sept2014_Spud_to_RR)))))</f>
        <v>#DIV/0!</v>
      </c>
      <c r="T25" s="99">
        <f t="array" aca="1" ref="T25" ca="1">AVERAGE(IF('Well Data-NK'!Sept2014_Form={"UB"},IF('Well Data-NK'!Sept2014_Well_Type="ST",IF('Well Data-NK'!Sept2014_Prod_Inj="Prod",IF('Well Data-NK'!Sept2014_Spud_to_RR&lt;=PERCENTILE(IF('Well Data-NK'!Sept2014_Form={"UB"},IF('Well Data-NK'!Sept2014_Well_Type="ST",IF('Well Data-NK'!Sept2014_Prod_Inj="Prod",'Well Data-NK'!Sept2014_Spud_to_RR))),0.25),'Well Data-NK'!Sept2014_Spud_to_RR)))))</f>
        <v>40.770829999999997</v>
      </c>
      <c r="U25" s="99" t="e">
        <f t="array" aca="1" ref="U25" ca="1">AVERAGE(IF('Well Data-NK'!Sept2014_Form={"UB"},IF('Well Data-NK'!Sept2014_Well_Type="ST",IF('Well Data-NK'!Sept2014_Prod_Inj="Inj",IF('Well Data-NK'!Sept2014_Spud_to_RR&lt;=PERCENTILE(IF('Well Data-NK'!Sept2014_Form={"UB"},IF('Well Data-NK'!Sept2014_Well_Type="ST",IF('Well Data-NK'!Sept2014_Prod_Inj="Inj",'Well Data-NK'!Sept2014_Spud_to_RR))),0.25),'Well Data-NK'!Sept2014_Spud_to_RR)))))</f>
        <v>#DIV/0!</v>
      </c>
    </row>
    <row r="26" spans="1:37" x14ac:dyDescent="0.25">
      <c r="F26" s="81" t="s">
        <v>22</v>
      </c>
      <c r="G26" s="81">
        <f ca="1">COUNTIF('Well Data-NK'!Sept2014_Form,"LB")</f>
        <v>13</v>
      </c>
      <c r="H26" s="81">
        <f ca="1">AVERAGEIF('Well Data-NK'!Sept2014_Form,"LB",'Well Data-NK'!Sept2014_Planned_Spud_to_RR)</f>
        <v>70</v>
      </c>
      <c r="I26" s="81">
        <f ca="1">AVERAGEIF('Well Data-NK'!Sept2014_Form,"LB",'Well Data-NK'!Sept2014_Spud_to_RR)</f>
        <v>65.53525640769287</v>
      </c>
      <c r="J26" s="276">
        <f t="array" aca="1" ref="J26" ca="1">AVERAGE(IF('Well Data-NK'!Sept2014_Form={"LB"},IF('Well Data-NK'!Sept2014_Well_Type="NW",'Well Data-NK'!Sept2014_Spud_to_RR)))</f>
        <v>65.53525640769287</v>
      </c>
      <c r="K26" s="276" t="e">
        <f t="array" aca="1" ref="K26" ca="1">AVERAGE(IF('Well Data-NK'!Sept2014_Form={"LB"},IF('Well Data-NK'!Sept2014_Well_Type="ST",'Well Data-NK'!Sept2014_Spud_to_RR)))</f>
        <v>#DIV/0!</v>
      </c>
      <c r="L26" s="80">
        <f t="array" aca="1" ref="L26" ca="1">AVERAGE(IF('Well Data-NK'!Sept2014_Form={"LB"},IF('Well Data-NK'!Sept2014_Well_Type="NW",IF('Well Data-NK'!Sept2014_Prod_Inj="Prod",'Well Data-NK'!Sept2014_Spud_to_RR))))</f>
        <v>65.53525640769287</v>
      </c>
      <c r="M26" s="80" t="e">
        <f t="array" aca="1" ref="M26" ca="1">AVERAGE(IF('Well Data-NK'!Sept2014_Form={"LB"},IF('Well Data-NK'!Sept2014_Well_Type="NW",IF('Well Data-NK'!Sept2014_Prod_Inj="Inj",'Well Data-NK'!Sept2014_Spud_to_RR))))</f>
        <v>#DIV/0!</v>
      </c>
      <c r="N26" s="80" t="e">
        <f t="array" aca="1" ref="N26" ca="1">AVERAGE(IF('Well Data-NK'!Sept2014_Form={"LB"},IF('Well Data-NK'!Sept2014_Well_Type="ST",IF('Well Data-NK'!Sept2014_Prod_Inj="Prod",'Well Data-NK'!Sept2014_Spud_to_RR))))</f>
        <v>#DIV/0!</v>
      </c>
      <c r="O26" s="80" t="e">
        <f t="array" aca="1" ref="O26" ca="1">AVERAGE(IF('Well Data-NK'!Sept2014_Form={"LB"},IF('Well Data-NK'!Sept2014_Well_Type="ST",IF('Well Data-NK'!Sept2014_Prod_Inj="Inj",'Well Data-NK'!Sept2014_Spud_to_RR))))</f>
        <v>#DIV/0!</v>
      </c>
      <c r="P26" s="80">
        <f t="array" aca="1" ref="P26" ca="1">AVERAGE(IF('Well Data-NK'!Sept2014_Form={"LB"},IF('Well Data-NK'!Sept2014_Well_Type="NW",IF('Well Data-NK'!Sept2014_Spud_to_RR&lt;=PERCENTILE(IF('Well Data-NK'!Sept2014_Form={"LB"},IF('Well Data-NK'!Sept2014_Well_Type="NW",'Well Data-NK'!Sept2014_Spud_to_RR)),0.25),'Well Data-NK'!Sept2014_Spud_to_RR))))</f>
        <v>44.70833333333394</v>
      </c>
      <c r="Q26" s="80" t="e">
        <f t="array" aca="1" ref="Q26" ca="1">AVERAGE(IF('Well Data-NK'!Sept2014_Form={"LB"},IF('Well Data-NK'!Sept2014_Well_Type="ST",IF('Well Data-NK'!Sept2014_Spud_to_RR&lt;=PERCENTILE(IF('Well Data-NK'!Sept2014_Form={"LB"},IF('Well Data-NK'!Sept2014_Well_Type="ST",'Well Data-NK'!Sept2014_Spud_to_RR)),0.25),'Well Data-NK'!Sept2014_Spud_to_RR,))))</f>
        <v>#DIV/0!</v>
      </c>
      <c r="R26" s="99">
        <f t="array" aca="1" ref="R26" ca="1">AVERAGE(IF('Well Data-NK'!Sept2014_Form={"LB"},IF('Well Data-NK'!Sept2014_Well_Type="NW",IF('Well Data-NK'!Sept2014_Prod_Inj="Prod",IF('Well Data-NK'!Sept2014_Spud_to_RR&lt;=PERCENTILE(IF('Well Data-NK'!Sept2014_Form={"LB"},IF('Well Data-NK'!Sept2014_Well_Type="NW",IF('Well Data-NK'!Sept2014_Prod_Inj="Prod",'Well Data-NK'!Sept2014_Spud_to_RR))),0.25),'Well Data-NK'!Sept2014_Spud_to_RR)))))</f>
        <v>44.70833333333394</v>
      </c>
      <c r="S26" s="99" t="e">
        <f t="array" aca="1" ref="S26" ca="1">AVERAGE(IF('Well Data-NK'!Sept2014_Form={"LB"},IF('Well Data-NK'!Sept2014_Well_Type="NW",IF('Well Data-NK'!Sept2014_Prod_Inj="Inj",IF('Well Data-NK'!Sept2014_Spud_to_RR&lt;=PERCENTILE(IF('Well Data-NK'!Sept2014_Form={"LB"},IF('Well Data-NK'!Sept2014_Well_Type="NW",IF('Well Data-NK'!Sept2014_Prod_Inj="Inj",'Well Data-NK'!Sept2014_Spud_to_RR))),0.25),'Well Data-NK'!Sept2014_Spud_to_RR)))))</f>
        <v>#DIV/0!</v>
      </c>
      <c r="T26" s="99" t="e">
        <f t="array" aca="1" ref="T26" ca="1">AVERAGE(IF('Well Data-NK'!Sept2014_Form={"LB"},IF('Well Data-NK'!Sept2014_Well_Type="ST",IF('Well Data-NK'!Sept2014_Prod_Inj="Prod",IF('Well Data-NK'!Sept2014_Spud_to_RR&lt;=PERCENTILE(IF('Well Data-NK'!Sept2014_Form={"LB"},IF('Well Data-NK'!Sept2014_Well_Type="ST",IF('Well Data-NK'!Sept2014_Prod_Inj="Prod",'Well Data-NK'!Sept2014_Spud_to_RR))),0.25),'Well Data-NK'!Sept2014_Spud_to_RR)))))</f>
        <v>#DIV/0!</v>
      </c>
      <c r="U26" s="99" t="e">
        <f t="array" aca="1" ref="U26" ca="1">AVERAGE(IF('Well Data-NK'!Sept2014_Form={"LB"},IF('Well Data-NK'!Sept2014_Well_Type="ST",IF('Well Data-NK'!Sept2014_Prod_Inj="Inj",IF('Well Data-NK'!Sept2014_Spud_to_RR&lt;=PERCENTILE(IF('Well Data-NK'!Sept2014_Form={"LB"},IF('Well Data-NK'!Sept2014_Well_Type="ST",IF('Well Data-NK'!Sept2014_Prod_Inj="Inj",'Well Data-NK'!Sept2014_Spud_to_RR))),0.25),'Well Data-NK'!Sept2014_Spud_to_RR)))))</f>
        <v>#DIV/0!</v>
      </c>
    </row>
    <row r="27" spans="1:37" x14ac:dyDescent="0.25">
      <c r="F27" s="81" t="s">
        <v>825</v>
      </c>
      <c r="G27" s="81">
        <f ca="1">COUNTIFS('Well Data-NK'!Sept2014_Form,"ZU")+COUNTIFS('Well Data-NK'!Sept2014_Form,"RT")</f>
        <v>7</v>
      </c>
      <c r="H27" s="81">
        <f ca="1">SUM(SUMIF('Well Data-NK'!Sept2014_Form,{"ZU","RT"},'Well Data-NK'!Sept2014_Planned_Spud_to_RR))/SUM(COUNTIF('Well Data-NK'!Sept2014_Form,{"ZU","RT"}))</f>
        <v>92</v>
      </c>
      <c r="I27" s="81">
        <f ca="1">SUM(SUMIF('Well Data-NK'!Sept2014_Form,{"ZU","RT"},'Well Data-NK'!Sept2014_Spud_to_RR))/SUM(COUNTIF('Well Data-NK'!Sept2014_Form,{"ZU","RT"}))</f>
        <v>83.729166666666316</v>
      </c>
      <c r="J27" s="80">
        <f t="array" aca="1" ref="J27" ca="1">AVERAGE(IF('Well Data-NK'!Sept2014_Form={"RT","ZU"},IF('Well Data-NK'!Sept2014_Well_Type="NW",'Well Data-NK'!Sept2014_Spud_to_RR)))</f>
        <v>89.017361111110702</v>
      </c>
      <c r="K27" s="80">
        <f t="array" aca="1" ref="K27" ca="1">AVERAGE(IF('Well Data-NK'!Sept2014_Form={"RT","ZU"},IF('Well Data-NK'!Sept2014_Well_Type="ST",'Well Data-NK'!Sept2014_Spud_to_RR)))</f>
        <v>52</v>
      </c>
      <c r="L27" s="80">
        <f t="array" aca="1" ref="L27" ca="1">AVERAGE(IF('Well Data-NK'!Sept2014_Form={"ZU","RT"},IF('Well Data-NK'!Sept2014_Well_Type="NW",IF('Well Data-NK'!Sept2014_Prod_Inj="Prod",'Well Data-NK'!Sept2014_Spud_to_RR))))</f>
        <v>89.017361111110702</v>
      </c>
      <c r="M27" s="80" t="e">
        <f t="array" aca="1" ref="M27" ca="1">AVERAGE(IF('Well Data-NK'!Sept2014_Form={"ZU","RT"},IF('Well Data-NK'!Sept2014_Well_Type="NW",IF('Well Data-NK'!Sept2014_Prod_Inj="Inj",'Well Data-NK'!Sept2014_Spud_to_RR))))</f>
        <v>#DIV/0!</v>
      </c>
      <c r="N27" s="80">
        <f t="array" aca="1" ref="N27" ca="1">AVERAGE(IF('Well Data-NK'!Sept2014_Form={"ZU","RT"},IF('Well Data-NK'!Sept2014_Well_Type="ST",IF('Well Data-NK'!Sept2014_Prod_Inj="Prod",'Well Data-NK'!Sept2014_Spud_to_RR))))</f>
        <v>52</v>
      </c>
      <c r="O27" s="80" t="e">
        <f t="array" aca="1" ref="O27" ca="1">AVERAGE(IF('Well Data-NK'!Sept2014_Form={"ZU","RT"},IF('Well Data-NK'!Sept2014_Well_Type="ST",IF('Well Data-NK'!Sept2014_Prod_Inj="Inj",'Well Data-NK'!Sept2014_Spud_to_RR))))</f>
        <v>#DIV/0!</v>
      </c>
      <c r="P27" s="80">
        <f t="array" aca="1" ref="P27" ca="1">AVERAGE(IF('Well Data-NK'!Sept2014_Form={"ZU","RT"},IF('Well Data-NK'!Sept2014_Well_Type="NW",IF('Well Data-NK'!Sept2014_Spud_to_RR&lt;=PERCENTILE(IF('Well Data-NK'!Sept2014_Form={"ZU","RT"},IF('Well Data-NK'!Sept2014_Well_Type="NW",'Well Data-NK'!Sept2014_Spud_to_RR)),0.25),'Well Data-NK'!Sept2014_Spud_to_RR))))</f>
        <v>60.770833333332121</v>
      </c>
      <c r="Q27" s="80">
        <f t="array" aca="1" ref="Q27" ca="1">AVERAGE(IF('Well Data-NK'!Sept2014_Form={"ZU","RT"},IF('Well Data-NK'!Sept2014_Well_Type="ST",IF('Well Data-NK'!Sept2014_Spud_to_RR&lt;=PERCENTILE(IF('Well Data-NK'!Sept2014_Form={"ZU","RT"},IF('Well Data-NK'!Sept2014_Well_Type="ST",'Well Data-NK'!Sept2014_Spud_to_RR)),0.25),'Well Data-NK'!Sept2014_Spud_to_RR))))</f>
        <v>52</v>
      </c>
      <c r="R27" s="99">
        <f t="array" aca="1" ref="R27" ca="1">AVERAGE(IF('Well Data-NK'!Sept2014_Form={"ZU","RT"},IF('Well Data-NK'!Sept2014_Well_Type="NW",IF('Well Data-NK'!Sept2014_Prod_Inj="Prod",IF('Well Data-NK'!Sept2014_Spud_to_RR&lt;=PERCENTILE(IF('Well Data-NK'!Sept2014_Form={"ZU","RT"},IF('Well Data-NK'!Sept2014_Well_Type="NW",IF('Well Data-NK'!Sept2014_Prod_Inj="Prod",'Well Data-NK'!Sept2014_Spud_to_RR))),0.25),'Well Data-NK'!Sept2014_Spud_to_RR)))))</f>
        <v>60.770833333332121</v>
      </c>
      <c r="S27" s="99" t="e">
        <f t="array" aca="1" ref="S27" ca="1">AVERAGE(IF('Well Data-NK'!Sept2014_Form={"ZU","RT"},IF('Well Data-NK'!Sept2014_Well_Type="NW",IF('Well Data-NK'!Sept2014_Prod_Inj="Inj",IF('Well Data-NK'!Sept2014_Spud_to_RR&lt;=PERCENTILE(IF('Well Data-NK'!Sept2014_Form={"ZU","RT"},IF('Well Data-NK'!Sept2014_Well_Type="NW",IF('Well Data-NK'!Sept2014_Prod_Inj="Inj",'Well Data-NK'!Sept2014_Spud_to_RR))),0.25),'Well Data-NK'!Sept2014_Spud_to_RR)))))</f>
        <v>#DIV/0!</v>
      </c>
      <c r="T27" s="99">
        <f t="array" aca="1" ref="T27" ca="1">AVERAGE(IF('Well Data-NK'!Sept2014_Form={"ZU","RT"},IF('Well Data-NK'!Sept2014_Well_Type="ST",IF('Well Data-NK'!Sept2014_Prod_Inj="Prod",IF('Well Data-NK'!Sept2014_Spud_to_RR&lt;=PERCENTILE(IF('Well Data-NK'!Sept2014_Form={"ZU","RT"},IF('Well Data-NK'!Sept2014_Well_Type="ST",IF('Well Data-NK'!Sept2014_Prod_Inj="Prod",'Well Data-NK'!Sept2014_Spud_to_RR))),0.25),'Well Data-NK'!Sept2014_Spud_to_RR)))))</f>
        <v>52</v>
      </c>
      <c r="U27" s="99" t="e">
        <f t="array" aca="1" ref="U27" ca="1">AVERAGE(IF('Well Data-NK'!Sept2014_Form={"ZU","RT"},IF('Well Data-NK'!Sept2014_Well_Type="ST",IF('Well Data-NK'!Sept2014_Prod_Inj="Inj",IF('Well Data-NK'!Sept2014_Spud_to_RR&lt;=PERCENTILE(IF('Well Data-NK'!Sept2014_Form={"ZU","RT"},IF('Well Data-NK'!Sept2014_Well_Type="ST",IF('Well Data-NK'!Sept2014_Prod_Inj="Inj",'Well Data-NK'!Sept2014_Spud_to_RR))),0.25),'Well Data-NK'!Sept2014_Spud_to_RR)))))</f>
        <v>#DIV/0!</v>
      </c>
    </row>
    <row r="28" spans="1:37" x14ac:dyDescent="0.25">
      <c r="F28" s="81" t="s">
        <v>816</v>
      </c>
      <c r="G28" s="81">
        <f ca="1">COUNT('Well Data-NK'!Sept2014_Planned_Spud_to_RR)</f>
        <v>72</v>
      </c>
      <c r="H28" s="81">
        <f ca="1">AVERAGE('Well Data-NK'!Sept2014_Planned_Spud_to_RR)</f>
        <v>63.972222222222221</v>
      </c>
      <c r="I28" s="81">
        <f ca="1">AVERAGE('Well Data-NK'!Sept2014_Spud_to_RR)</f>
        <v>56.419805889954411</v>
      </c>
      <c r="J28" s="80">
        <f t="array" aca="1" ref="J28" ca="1">AVERAGE(IF('Well Data-NK'!Sept2014_Form={"RT","ZU","LB","UB","MA"},IF('Well Data-NK'!Sept2014_Well_Type="NW",'Well Data-NK'!Sept2014_Spud_to_RR)))</f>
        <v>66.362390350000581</v>
      </c>
      <c r="K28" s="80">
        <f t="array" aca="1" ref="K28" ca="1">AVERAGE(IF('Well Data-NK'!Sept2014_Form={"RT","ZU","LB","UB","MA"},IF('Well Data-NK'!Sept2014_Well_Type="ST",'Well Data-NK'!Sept2014_Spud_to_RR)))</f>
        <v>45.878676372548519</v>
      </c>
      <c r="L28" s="80">
        <f t="array" aca="1" ref="L28" ca="1">AVERAGE(IF('Well Data-NK'!Sept2014_Form={"ZU","RT","LB","UB","MA"},IF('Well Data-NK'!Sept2014_Well_Type="NW",IF('Well Data-NK'!Sept2014_Prod_Inj="Prod",'Well Data-NK'!Sept2014_Spud_to_RR))))</f>
        <v>66.969328702778185</v>
      </c>
      <c r="M28" s="80">
        <f t="array" aca="1" ref="M28" ca="1">AVERAGE(IF('Well Data-NK'!Sept2014_Form={"ZU","RT","LB","UB","MA"},IF('Well Data-NK'!Sept2014_Well_Type="NW",IF('Well Data-NK'!Sept2014_Prod_Inj="Inj",'Well Data-NK'!Sept2014_Spud_to_RR))))</f>
        <v>55.437500000003638</v>
      </c>
      <c r="N28" s="80">
        <f t="array" aca="1" ref="N28" ca="1">AVERAGE(IF('Well Data-NK'!Sept2014_Form={"ZU","RT","LB","UB","MA"},IF('Well Data-NK'!Sept2014_Well_Type="ST",IF('Well Data-NK'!Sept2014_Prod_Inj="Prod",'Well Data-NK'!Sept2014_Spud_to_RR))))</f>
        <v>48.579860925925381</v>
      </c>
      <c r="O28" s="80">
        <f t="array" aca="1" ref="O28" ca="1">AVERAGE(IF('Well Data-NK'!Sept2014_Form={"ZU","RT","LB","UB","MA"},IF('Well Data-NK'!Sept2014_Well_Type="ST",IF('Well Data-NK'!Sept2014_Prod_Inj="Inj",'Well Data-NK'!Sept2014_Spud_to_RR))))</f>
        <v>42.839843749999545</v>
      </c>
      <c r="P28" s="80">
        <f t="array" aca="1" ref="P28" ca="1">AVERAGE(IF('Well Data-NK'!Sept2014_Form={"ZU","RT","LB","UB","MA"},IF('Well Data-NK'!Sept2014_Well_Type="NW",IF('Well Data-NK'!Sept2014_Spud_to_RR&lt;=PERCENTILE(IF('Well Data-NK'!Sept2014_Form={"ZU","RT","LB","UB","MA"},IF('Well Data-NK'!Sept2014_Well_Type="NW",'Well Data-NK'!Sept2014_Spud_to_RR)),0.25),'Well Data-NK'!Sept2014_Spud_to_RR))))</f>
        <v>45.843750000000725</v>
      </c>
      <c r="Q28" s="80">
        <f t="array" aca="1" ref="Q28" ca="1">AVERAGE(IF('Well Data-NK'!Sept2014_Form={"ZU","RT","LB","UB","MA"},IF('Well Data-NK'!Sept2014_Well_Type="ST",IF('Well Data-NK'!Sept2014_Spud_to_RR&lt;=PERCENTILE(IF('Well Data-NK'!Sept2014_Form={"ZU","RT","LB","UB","MA"},IF('Well Data-NK'!Sept2014_Well_Type="ST",'Well Data-NK'!Sept2014_Spud_to_RR)),0.25),'Well Data-NK'!Sept2014_Spud_to_RR))))</f>
        <v>30.178240740739657</v>
      </c>
      <c r="R28" s="99">
        <f t="array" aca="1" ref="R28" ca="1">AVERAGE(IF('Well Data-NK'!Sept2014_Form={"ZU","RT","LB","UB","MA"},IF('Well Data-NK'!Sept2014_Well_Type="NW",IF('Well Data-NK'!Sept2014_Prod_Inj="Prod",IF('Well Data-NK'!Sept2014_Spud_to_RR&lt;=PERCENTILE(IF('Well Data-NK'!Sept2014_Form={"ZU","RT","LB","UB","MA"},IF('Well Data-NK'!Sept2014_Well_Type="NW",IF('Well Data-NK'!Sept2014_Prod_Inj="Prod",'Well Data-NK'!Sept2014_Spud_to_RR))),0.25),'Well Data-NK'!Sept2014_Spud_to_RR)))))</f>
        <v>46.108796296296838</v>
      </c>
      <c r="S28" s="99">
        <f t="array" aca="1" ref="S28" ca="1">AVERAGE(IF('Well Data-NK'!Sept2014_Form={"ZU","RT","LB","UB","MA"},IF('Well Data-NK'!Sept2014_Well_Type="NW",IF('Well Data-NK'!Sept2014_Prod_Inj="Inj",IF('Well Data-NK'!Sept2014_Spud_to_RR&lt;=PERCENTILE(IF('Well Data-NK'!Sept2014_Form={"ZU","RT","LB","UB","MA"},IF('Well Data-NK'!Sept2014_Well_Type="NW",IF('Well Data-NK'!Sept2014_Prod_Inj="Inj",'Well Data-NK'!Sept2014_Spud_to_RR))),0.25),'Well Data-NK'!Sept2014_Spud_to_RR)))))</f>
        <v>43.458333333335759</v>
      </c>
      <c r="T28" s="99">
        <f t="array" aca="1" ref="T28" ca="1">AVERAGE(IF('Well Data-NK'!Sept2014_Form={"ZU","RT","LB","UB","MA"},IF('Well Data-NK'!Sept2014_Well_Type="ST",IF('Well Data-NK'!Sept2014_Prod_Inj="Prod",IF('Well Data-NK'!Sept2014_Spud_to_RR&lt;=PERCENTILE(IF('Well Data-NK'!Sept2014_Form={"ZU","RT","LB","UB","MA"},IF('Well Data-NK'!Sept2014_Well_Type="ST",IF('Well Data-NK'!Sept2014_Prod_Inj="Prod",'Well Data-NK'!Sept2014_Spud_to_RR))),0.25),'Well Data-NK'!Sept2014_Spud_to_RR)))))</f>
        <v>35.262499333334304</v>
      </c>
      <c r="U28" s="99">
        <f t="array" aca="1" ref="U28" ca="1">AVERAGE(IF('Well Data-NK'!Sept2014_Form={"ZU","RT","LB","UB","MA"},IF('Well Data-NK'!Sept2014_Well_Type="ST",IF('Well Data-NK'!Sept2014_Prod_Inj="Inj",IF('Well Data-NK'!Sept2014_Spud_to_RR&lt;=PERCENTILE(IF('Well Data-NK'!Sept2014_Form={"ZU","RT","LB","UB","MA"},IF('Well Data-NK'!Sept2014_Well_Type="ST",IF('Well Data-NK'!Sept2014_Prod_Inj="Inj",'Well Data-NK'!Sept2014_Spud_to_RR))),0.25),'Well Data-NK'!Sept2014_Spud_to_RR)))))</f>
        <v>29.16145833333211</v>
      </c>
    </row>
    <row r="29" spans="1:37" x14ac:dyDescent="0.25">
      <c r="F29" s="79"/>
      <c r="G29" s="79"/>
      <c r="H29" s="43"/>
      <c r="I29" s="43"/>
      <c r="J29" s="79"/>
      <c r="K29" s="79"/>
    </row>
    <row r="30" spans="1:37" x14ac:dyDescent="0.25">
      <c r="L30" s="91"/>
    </row>
    <row r="31" spans="1:37" x14ac:dyDescent="0.25"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</row>
    <row r="32" spans="1:37" x14ac:dyDescent="0.25"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</row>
    <row r="33" spans="6:37" ht="15.75" thickBot="1" x14ac:dyDescent="0.3">
      <c r="F33" s="111"/>
      <c r="G33" s="111"/>
      <c r="H33" s="111"/>
      <c r="I33" s="111"/>
      <c r="J33" s="111"/>
      <c r="K33" s="111"/>
      <c r="L33" s="111"/>
      <c r="M33" s="111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</row>
    <row r="34" spans="6:37" ht="15.75" thickBot="1" x14ac:dyDescent="0.3">
      <c r="F34" s="116" t="s">
        <v>858</v>
      </c>
      <c r="G34" s="43"/>
      <c r="H34" s="27" t="s">
        <v>865</v>
      </c>
      <c r="I34" s="43"/>
      <c r="J34" s="43"/>
      <c r="K34" s="43"/>
      <c r="L34" s="43"/>
      <c r="M34" s="43"/>
      <c r="N34" s="607"/>
      <c r="O34" s="607"/>
      <c r="P34" s="607"/>
      <c r="Q34" s="607"/>
      <c r="R34" s="607"/>
      <c r="S34" s="607"/>
      <c r="T34" s="607"/>
      <c r="U34" s="607"/>
      <c r="V34" s="607"/>
      <c r="W34" s="607"/>
      <c r="X34" s="607"/>
      <c r="Y34" s="607"/>
      <c r="Z34" s="607"/>
      <c r="AA34" s="607"/>
      <c r="AB34" s="607"/>
      <c r="AC34" s="607"/>
      <c r="AD34" s="607"/>
      <c r="AE34" s="607"/>
      <c r="AF34" s="607"/>
      <c r="AG34" s="607"/>
      <c r="AH34" s="607"/>
      <c r="AI34" s="607"/>
      <c r="AJ34" s="607"/>
      <c r="AK34" s="607"/>
    </row>
    <row r="35" spans="6:37" x14ac:dyDescent="0.25">
      <c r="F35" s="43"/>
      <c r="G35" s="605" t="s">
        <v>307</v>
      </c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8"/>
      <c r="S35" s="608"/>
      <c r="T35" s="608"/>
      <c r="U35" s="608"/>
      <c r="V35" s="608"/>
      <c r="W35" s="608"/>
      <c r="X35" s="608"/>
      <c r="Y35" s="608"/>
      <c r="Z35" s="608"/>
      <c r="AA35" s="608"/>
      <c r="AB35" s="608"/>
      <c r="AC35" s="608"/>
      <c r="AD35" s="608"/>
      <c r="AE35" s="608"/>
      <c r="AF35" s="608"/>
      <c r="AG35" s="608"/>
      <c r="AH35" s="608"/>
      <c r="AI35" s="608"/>
      <c r="AJ35" s="608"/>
      <c r="AK35" s="608"/>
    </row>
    <row r="36" spans="6:37" x14ac:dyDescent="0.25">
      <c r="F36" s="92" t="s">
        <v>840</v>
      </c>
      <c r="G36" s="92" t="s">
        <v>603</v>
      </c>
      <c r="H36" s="92" t="s">
        <v>884</v>
      </c>
      <c r="I36" s="92" t="s">
        <v>814</v>
      </c>
      <c r="J36" s="92" t="s">
        <v>879</v>
      </c>
      <c r="K36" s="92" t="s">
        <v>880</v>
      </c>
      <c r="L36" s="92" t="s">
        <v>881</v>
      </c>
      <c r="M36" s="92" t="s">
        <v>882</v>
      </c>
      <c r="N36" s="75" t="s">
        <v>1045</v>
      </c>
      <c r="O36" s="75" t="s">
        <v>1046</v>
      </c>
      <c r="P36" s="75" t="s">
        <v>1047</v>
      </c>
      <c r="Q36" s="75" t="s">
        <v>1048</v>
      </c>
      <c r="R36" s="102"/>
      <c r="S36" s="102"/>
      <c r="T36" s="102"/>
      <c r="U36" s="102"/>
      <c r="V36" s="102"/>
      <c r="W36" s="102"/>
      <c r="X36" s="102"/>
      <c r="Y36" s="102"/>
      <c r="Z36" s="102"/>
      <c r="AA36" s="27"/>
      <c r="AB36" s="27"/>
      <c r="AC36" s="102"/>
      <c r="AD36" s="102"/>
      <c r="AE36" s="102"/>
      <c r="AF36" s="102"/>
      <c r="AG36" s="102"/>
      <c r="AH36" s="102"/>
      <c r="AI36" s="102"/>
      <c r="AJ36" s="102"/>
      <c r="AK36" s="102"/>
    </row>
    <row r="37" spans="6:37" x14ac:dyDescent="0.25">
      <c r="F37" s="81" t="s">
        <v>17</v>
      </c>
      <c r="G37" s="81">
        <f ca="1">COUNTIF('Well Data-NK'!Sept2014_Form,"MA")</f>
        <v>45</v>
      </c>
      <c r="H37" s="80">
        <f t="array" aca="1" ref="H37" ca="1">AVERAGE(IF('Well Data-NK'!Sept2014_Form={"MA"},'Well Data-NK'!Sept2014_Spud_to_RR))</f>
        <v>50.012037037036983</v>
      </c>
      <c r="I37" s="80">
        <f t="array" aca="1" ref="I37" ca="1">AVERAGE(IF('Well Data-NK'!Sept2014_Form={"MA"},'Well Data-NK'!Sept2014_Planned_Spud_to_RR))</f>
        <v>57.555555555555557</v>
      </c>
      <c r="J37" s="80">
        <f t="array" aca="1" ref="J37" ca="1">COUNT(IF('Well Data-NK'!Sept2014_Form={"MA"},IF('Well Data-NK'!Sept2014_Well_Type="NW",'Well Data-NK'!Sept2014_Planned_Spud_to_RR)))</f>
        <v>14</v>
      </c>
      <c r="K37" s="80">
        <f t="array" aca="1" ref="K37" ca="1">AVERAGE(IF('Well Data-NK'!Sept2014_Form={"MA"},IF('Well Data-NK'!Sept2014_Well_Type="NW",'Well Data-NK'!Sept2014_Planned_Spud_to_RR)))</f>
        <v>69</v>
      </c>
      <c r="L37" s="80">
        <f t="array" aca="1" ref="L37" ca="1">COUNT(IF('Well Data-NK'!Sept2014_Form={"MA"},IF('Well Data-NK'!Sept2014_Well_Type="ST",'Well Data-NK'!Sept2014_Planned_Spud_to_RR)))</f>
        <v>31</v>
      </c>
      <c r="M37" s="80">
        <f t="array" aca="1" ref="M37" ca="1">AVERAGE(IF('Well Data-NK'!Sept2014_Form={"MA"},IF('Well Data-NK'!Sept2014_Well_Type="ST",'Well Data-NK'!Sept2014_Planned_Spud_to_RR)))</f>
        <v>52.387096774193552</v>
      </c>
      <c r="N37" s="80">
        <f t="array" aca="1" ref="N37" ca="1">AVERAGE(IF('Well Data-NK'!Sept2014_Form={"MA"},IF('Well Data-NK'!Sept2014_Well_Type="NW",IF('Well Data-NK'!Sept2014_Prod_Inj="Prod",'Well Data-NK'!Sept2014_Planned_Spud_to_RR))))</f>
        <v>70</v>
      </c>
      <c r="O37" s="80">
        <f t="array" aca="1" ref="O37" ca="1">AVERAGE(IF('Well Data-NK'!Sept2014_Form={"MA"},IF('Well Data-NK'!Sept2014_Well_Type="NW",IF('Well Data-NK'!Sept2014_Prod_Inj="Inj",'Well Data-NK'!Sept2014_Planned_Spud_to_RR))))</f>
        <v>63</v>
      </c>
      <c r="P37" s="80">
        <f t="array" aca="1" ref="P37" ca="1">AVERAGE(IF('Well Data-NK'!Sept2014_Form={"MA"},IF('Well Data-NK'!Sept2014_Well_Type="ST",IF('Well Data-NK'!Sept2014_Prod_Inj="Prod",'Well Data-NK'!Sept2014_Planned_Spud_to_RR))))</f>
        <v>56</v>
      </c>
      <c r="Q37" s="80">
        <f t="array" aca="1" ref="Q37" ca="1">AVERAGE(IF('Well Data-NK'!Sept2014_Form={"MA"},IF('Well Data-NK'!Sept2014_Well_Type="ST",IF('Well Data-NK'!Sept2014_Prod_Inj="Inj",'Well Data-NK'!Sept2014_Planned_Spud_to_RR))))</f>
        <v>49</v>
      </c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10"/>
      <c r="AE37" s="110"/>
      <c r="AF37" s="110"/>
      <c r="AG37" s="110"/>
      <c r="AH37" s="110"/>
      <c r="AI37" s="110"/>
      <c r="AJ37" s="110"/>
      <c r="AK37" s="110"/>
    </row>
    <row r="38" spans="6:37" x14ac:dyDescent="0.25">
      <c r="F38" s="81" t="s">
        <v>29</v>
      </c>
      <c r="G38" s="81">
        <f ca="1">COUNTIF('Well Data-NK'!Sept2014_Form,"UB")</f>
        <v>7</v>
      </c>
      <c r="H38" s="80">
        <f t="array" aca="1" ref="H38" ca="1">AVERAGE(IF('Well Data-NK'!Sept2014_Form={"UB"},'Well Data-NK'!Sept2014_Spud_to_RR))</f>
        <v>56.148809047619395</v>
      </c>
      <c r="I38" s="80">
        <f t="array" aca="1" ref="I38" ca="1">AVERAGE(IF('Well Data-NK'!Sept2014_Form={"UB"},'Well Data-NK'!Sept2014_Planned_Spud_to_RR))</f>
        <v>66</v>
      </c>
      <c r="J38" s="80">
        <f t="array" aca="1" ref="J38" ca="1">COUNT(IF('Well Data-NK'!Sept2014_Form={"UB"},IF('Well Data-NK'!Sept2014_Well_Type="NW",'Well Data-NK'!Sept2014_Planned_Spud_to_RR)))</f>
        <v>5</v>
      </c>
      <c r="K38" s="80">
        <f t="array" aca="1" ref="K38" ca="1">AVERAGE(IF('Well Data-NK'!Sept2014_Form={"UB"},IF('Well Data-NK'!Sept2014_Well_Type="NW",'Well Data-NK'!Sept2014_Planned_Spud_to_RR)))</f>
        <v>70</v>
      </c>
      <c r="L38" s="80">
        <f t="array" aca="1" ref="L38" ca="1">COUNT(IF('Well Data-NK'!Sept2014_Form={"UB"},IF('Well Data-NK'!Sept2014_Well_Type="ST",'Well Data-NK'!Sept2014_Planned_Spud_to_RR)))</f>
        <v>2</v>
      </c>
      <c r="M38" s="80">
        <f t="array" aca="1" ref="M38" ca="1">AVERAGE(IF('Well Data-NK'!Sept2014_Form={"UB"},IF('Well Data-NK'!Sept2014_Well_Type="ST",'Well Data-NK'!Sept2014_Planned_Spud_to_RR)))</f>
        <v>56</v>
      </c>
      <c r="N38" s="80">
        <f t="array" aca="1" ref="N38" ca="1">AVERAGE(IF('Well Data-NK'!Sept2014_Form={"UB"},IF('Well Data-NK'!Sept2014_Well_Type="NW",IF('Well Data-NK'!Sept2014_Prod_Inj="Prod",'Well Data-NK'!Sept2014_Planned_Spud_to_RR))))</f>
        <v>70</v>
      </c>
      <c r="O38" s="80" t="e">
        <f t="array" aca="1" ref="O38" ca="1">AVERAGE(IF('Well Data-NK'!Sept2014_Form={"UB"},IF('Well Data-NK'!Sept2014_Well_Type="NW",IF('Well Data-NK'!Sept2014_Prod_Inj="Inj",'Well Data-NK'!Sept2014_Planned_Spud_to_RR))))</f>
        <v>#DIV/0!</v>
      </c>
      <c r="P38" s="80">
        <f t="array" aca="1" ref="P38" ca="1">AVERAGE(IF('Well Data-NK'!Sept2014_Form={"UB"},IF('Well Data-NK'!Sept2014_Well_Type="ST",IF('Well Data-NK'!Sept2014_Prod_Inj="Prod",'Well Data-NK'!Sept2014_Planned_Spud_to_RR))))</f>
        <v>56</v>
      </c>
      <c r="Q38" s="80" t="e">
        <f t="array" aca="1" ref="Q38" ca="1">AVERAGE(IF('Well Data-NK'!Sept2014_Form={"UB"},IF('Well Data-NK'!Sept2014_Well_Type="ST",IF('Well Data-NK'!Sept2014_Prod_Inj="Inj",'Well Data-NK'!Sept2014_Planned_Spud_to_RR))))</f>
        <v>#DIV/0!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10"/>
      <c r="AE38" s="110"/>
      <c r="AF38" s="110"/>
      <c r="AG38" s="110"/>
      <c r="AH38" s="110"/>
      <c r="AI38" s="110"/>
      <c r="AJ38" s="110"/>
      <c r="AK38" s="110"/>
    </row>
    <row r="39" spans="6:37" x14ac:dyDescent="0.25">
      <c r="F39" s="81" t="s">
        <v>22</v>
      </c>
      <c r="G39" s="81">
        <f ca="1">COUNTIF('Well Data-NK'!Sept2014_Form,"LB")</f>
        <v>13</v>
      </c>
      <c r="H39" s="80">
        <f t="array" aca="1" ref="H39" ca="1">AVERAGE(IF('Well Data-NK'!Sept2014_Form={"LB"},'Well Data-NK'!Sept2014_Spud_to_RR))</f>
        <v>65.53525640769287</v>
      </c>
      <c r="I39" s="80">
        <f t="array" aca="1" ref="I39" ca="1">AVERAGE(IF('Well Data-NK'!Sept2014_Form={"LB"},'Well Data-NK'!Sept2014_Planned_Spud_to_RR))</f>
        <v>70</v>
      </c>
      <c r="J39" s="80">
        <f t="array" aca="1" ref="J39" ca="1">COUNT(IF('Well Data-NK'!Sept2014_Form={"LB"},IF('Well Data-NK'!Sept2014_Well_Type="NW",'Well Data-NK'!Sept2014_Planned_Spud_to_RR)))</f>
        <v>13</v>
      </c>
      <c r="K39" s="80">
        <f t="array" aca="1" ref="K39" ca="1">AVERAGE(IF('Well Data-NK'!Sept2014_Form={"LB"},IF('Well Data-NK'!Sept2014_Well_Type="NW",'Well Data-NK'!Sept2014_Planned_Spud_to_RR)))</f>
        <v>70</v>
      </c>
      <c r="L39" s="80">
        <f t="array" aca="1" ref="L39" ca="1">COUNT(IF('Well Data-NK'!Sept2014_Form={"LB"},IF('Well Data-NK'!Sept2014_Well_Type="ST",'Well Data-NK'!Sept2014_Planned_Spud_to_RR)))</f>
        <v>0</v>
      </c>
      <c r="M39" s="80" t="e">
        <f t="array" aca="1" ref="M39" ca="1">AVERAGE(IF('Well Data-NK'!Sept2014_Form={"LB"},IF('Well Data-NK'!Sept2014_Well_Type="ST",'Well Data-NK'!Sept2014_Planned_Spud_to_RR)))</f>
        <v>#DIV/0!</v>
      </c>
      <c r="N39" s="80">
        <f t="array" aca="1" ref="N39" ca="1">AVERAGE(IF('Well Data-NK'!Sept2014_Form={"LB"},IF('Well Data-NK'!Sept2014_Well_Type="NW",IF('Well Data-NK'!Sept2014_Prod_Inj="Prod",'Well Data-NK'!Sept2014_Planned_Spud_to_RR))))</f>
        <v>70</v>
      </c>
      <c r="O39" s="80" t="e">
        <f t="array" aca="1" ref="O39" ca="1">AVERAGE(IF('Well Data-NK'!Sept2014_Form={"LB"},IF('Well Data-NK'!Sept2014_Well_Type="NW",IF('Well Data-NK'!Sept2014_Prod_Inj="Inj",'Well Data-NK'!Sept2014_Planned_Spud_to_RR))))</f>
        <v>#DIV/0!</v>
      </c>
      <c r="P39" s="80" t="e">
        <f t="array" aca="1" ref="P39" ca="1">AVERAGE(IF('Well Data-NK'!Sept2014_Form={"LB"},IF('Well Data-NK'!Sept2014_Well_Type="ST",IF('Well Data-NK'!Sept2014_Prod_Inj="Prod",'Well Data-NK'!Sept2014_Planned_Spud_to_RR))))</f>
        <v>#DIV/0!</v>
      </c>
      <c r="Q39" s="80" t="e">
        <f t="array" aca="1" ref="Q39" ca="1">AVERAGE(IF('Well Data-NK'!Sept2014_Form={"LB"},IF('Well Data-NK'!Sept2014_Well_Type="ST",IF('Well Data-NK'!Sept2014_Prod_Inj="Inj",'Well Data-NK'!Sept2014_Planned_Spud_to_RR))))</f>
        <v>#DIV/0!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10"/>
      <c r="AE39" s="110"/>
      <c r="AF39" s="110"/>
      <c r="AG39" s="110"/>
      <c r="AH39" s="110"/>
      <c r="AI39" s="110"/>
      <c r="AJ39" s="110"/>
      <c r="AK39" s="110"/>
    </row>
    <row r="40" spans="6:37" x14ac:dyDescent="0.25">
      <c r="F40" s="81" t="s">
        <v>825</v>
      </c>
      <c r="G40" s="81">
        <f ca="1">COUNTIFS('Well Data-NK'!Sept2014_Form,"ZU")+COUNTIFS('Well Data-NK'!Sept2014_Form,"RT")</f>
        <v>7</v>
      </c>
      <c r="H40" s="80">
        <f t="array" aca="1" ref="H40" ca="1">AVERAGE(IF('Well Data-NK'!Sept2014_Form={"ZU","RT"},'Well Data-NK'!Sept2014_Spud_to_RR))</f>
        <v>83.729166666666316</v>
      </c>
      <c r="I40" s="80">
        <f t="array" aca="1" ref="I40" ca="1">AVERAGE(IF('Well Data-NK'!Sept2014_Form={"ZU","RT"},'Well Data-NK'!Sept2014_Planned_Spud_to_RR))</f>
        <v>92</v>
      </c>
      <c r="J40" s="80">
        <f t="array" aca="1" ref="J40" ca="1">COUNT(IF('Well Data-NK'!Sept2014_Form={"RT","ZU"},IF('Well Data-NK'!Sept2014_Well_Type="NW",'Well Data-NK'!Sept2014_Planned_Spud_to_RR)))</f>
        <v>6</v>
      </c>
      <c r="K40" s="80">
        <f t="array" aca="1" ref="K40" ca="1">AVERAGE(IF('Well Data-NK'!Sept2014_Form={"RT","ZU"},IF('Well Data-NK'!Sept2014_Well_Type="NW",'Well Data-NK'!Sept2014_Planned_Spud_to_RR)))</f>
        <v>98</v>
      </c>
      <c r="L40" s="80">
        <f t="array" aca="1" ref="L40" ca="1">COUNT(IF('Well Data-NK'!Sept2014_Form={"RT","ZU"},IF('Well Data-NK'!Sept2014_Well_Type="ST",'Well Data-NK'!Sept2014_Planned_Spud_to_RR)))</f>
        <v>1</v>
      </c>
      <c r="M40" s="80">
        <f t="array" aca="1" ref="M40" ca="1">AVERAGE(IF('Well Data-NK'!Sept2014_Form={"RT","ZU"},IF('Well Data-NK'!Sept2014_Well_Type="ST",'Well Data-NK'!Sept2014_Planned_Spud_to_RR)))</f>
        <v>56</v>
      </c>
      <c r="N40" s="80">
        <f t="array" aca="1" ref="N40" ca="1">AVERAGE(IF('Well Data-NK'!Sept2014_Form={"ZU","RT"},IF('Well Data-NK'!Sept2014_Well_Type="NW",IF('Well Data-NK'!Sept2014_Prod_Inj="Prod",'Well Data-NK'!Sept2014_Planned_Spud_to_RR))))</f>
        <v>98</v>
      </c>
      <c r="O40" s="80" t="e">
        <f t="array" aca="1" ref="O40" ca="1">AVERAGE(IF('Well Data-NK'!Sept2014_Form={"ZU","RT"},IF('Well Data-NK'!Sept2014_Well_Type="NW",IF('Well Data-NK'!Sept2014_Prod_Inj="Inj",'Well Data-NK'!Sept2014_Planned_Spud_to_RR))))</f>
        <v>#DIV/0!</v>
      </c>
      <c r="P40" s="80">
        <f t="array" aca="1" ref="P40" ca="1">AVERAGE(IF('Well Data-NK'!Sept2014_Form={"ZU","RT"},IF('Well Data-NK'!Sept2014_Well_Type="ST",IF('Well Data-NK'!Sept2014_Prod_Inj="Prod",'Well Data-NK'!Sept2014_Planned_Spud_to_RR))))</f>
        <v>56</v>
      </c>
      <c r="Q40" s="80" t="e">
        <f t="array" aca="1" ref="Q40" ca="1">AVERAGE(IF('Well Data-NK'!Sept2014_Form={"ZU","RT"},IF('Well Data-NK'!Sept2014_Well_Type="ST",IF('Well Data-NK'!Sept2014_Prod_Inj="Inj",'Well Data-NK'!Sept2014_Planned_Spud_to_RR))))</f>
        <v>#DIV/0!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10"/>
      <c r="AE40" s="110"/>
      <c r="AF40" s="110"/>
      <c r="AG40" s="110"/>
      <c r="AH40" s="110"/>
      <c r="AI40" s="110"/>
      <c r="AJ40" s="110"/>
      <c r="AK40" s="110"/>
    </row>
    <row r="41" spans="6:37" x14ac:dyDescent="0.25">
      <c r="F41" s="81" t="s">
        <v>816</v>
      </c>
      <c r="G41" s="81">
        <f>COUNT('Well Data-NK'!R96:R150)</f>
        <v>52</v>
      </c>
      <c r="H41" s="80">
        <f t="array" aca="1" ref="H41" ca="1">AVERAGE(IF('Well Data-NK'!Sept2014_Form={"ZU","RT","LB","UB","MA"},'Well Data-NK'!Sept2014_Spud_to_RR))</f>
        <v>56.689525416203772</v>
      </c>
      <c r="I41" s="80">
        <f t="array" aca="1" ref="I41" ca="1">AVERAGE(IF('Well Data-NK'!Sept2014_Form={"ZU","RT","LB","UB","MA"},'Well Data-NK'!Sept2014_Planned_Spud_to_RR))</f>
        <v>63.972222222222221</v>
      </c>
      <c r="J41" s="80">
        <f t="array" aca="1" ref="J41" ca="1">COUNT(IF('Well Data-NK'!Sept2014_Form={"RT","ZU","LB","UB","MA"},IF('Well Data-NK'!Sept2014_Well_Type="NW",'Well Data-NK'!Sept2014_Planned_Spud_to_RR)))</f>
        <v>38</v>
      </c>
      <c r="K41" s="80">
        <f t="array" aca="1" ref="K41" ca="1">AVERAGE(IF('Well Data-NK'!Sept2014_Form={"RT","ZU","LB","UB","MA"},IF('Well Data-NK'!Sept2014_Well_Type="NW",'Well Data-NK'!Sept2014_Planned_Spud_to_RR)))</f>
        <v>74.05263157894737</v>
      </c>
      <c r="L41" s="80">
        <f t="array" aca="1" ref="L41" ca="1">COUNT(IF('Well Data-NK'!Sept2014_Form={"RT","ZU","LB","UB","MA"},IF('Well Data-NK'!Sept2014_Well_Type="ST",'Well Data-NK'!Sept2014_Planned_Spud_to_RR)))</f>
        <v>34</v>
      </c>
      <c r="M41" s="80">
        <f t="array" aca="1" ref="M41" ca="1">AVERAGE(IF('Well Data-NK'!Sept2014_Form={"RT","ZU","LB","UB","MA"},IF('Well Data-NK'!Sept2014_Well_Type="ST",'Well Data-NK'!Sept2014_Planned_Spud_to_RR)))</f>
        <v>52.705882352941174</v>
      </c>
      <c r="N41" s="80">
        <f t="array" aca="1" ref="N41" ca="1">AVERAGE(IF('Well Data-NK'!Sept2014_Form={"ZU","RT","LB","UB","MA"},IF('Well Data-NK'!Sept2014_Well_Type="NW",IF('Well Data-NK'!Sept2014_Prod_Inj="Prod",'Well Data-NK'!Sept2014_Planned_Spud_to_RR))))</f>
        <v>74.666666666666671</v>
      </c>
      <c r="O41" s="80">
        <f t="array" aca="1" ref="O41" ca="1">AVERAGE(IF('Well Data-NK'!Sept2014_Form={"ZU","RT","LB","UB","MA"},IF('Well Data-NK'!Sept2014_Well_Type="NW",IF('Well Data-NK'!Sept2014_Prod_Inj="Inj",'Well Data-NK'!Sept2014_Planned_Spud_to_RR))))</f>
        <v>63</v>
      </c>
      <c r="P41" s="80">
        <f t="array" aca="1" ref="P41" ca="1">AVERAGE(IF('Well Data-NK'!Sept2014_Form={"ZU","RT","LB","UB","MA"},IF('Well Data-NK'!Sept2014_Well_Type="ST",IF('Well Data-NK'!Sept2014_Prod_Inj="Prod",'Well Data-NK'!Sept2014_Planned_Spud_to_RR))))</f>
        <v>56</v>
      </c>
      <c r="Q41" s="80">
        <f t="array" aca="1" ref="Q41" ca="1">AVERAGE(IF('Well Data-NK'!Sept2014_Form={"ZU","RT","LB","UB","MA"},IF('Well Data-NK'!Sept2014_Well_Type="ST",IF('Well Data-NK'!Sept2014_Prod_Inj="Inj",'Well Data-NK'!Sept2014_Planned_Spud_to_RR))))</f>
        <v>49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10"/>
      <c r="AE41" s="110"/>
      <c r="AF41" s="110"/>
      <c r="AG41" s="110"/>
      <c r="AH41" s="110"/>
      <c r="AI41" s="110"/>
      <c r="AJ41" s="110"/>
      <c r="AK41" s="110"/>
    </row>
    <row r="42" spans="6:37" ht="15.75" thickBot="1" x14ac:dyDescent="0.3">
      <c r="F42" s="593" t="s">
        <v>866</v>
      </c>
      <c r="G42" s="593"/>
      <c r="H42" s="593"/>
      <c r="I42" s="593"/>
      <c r="J42" s="593"/>
      <c r="K42" s="593"/>
      <c r="L42" s="593"/>
      <c r="M42" s="593"/>
      <c r="N42" s="593"/>
      <c r="O42" s="593"/>
      <c r="P42" s="593"/>
      <c r="Q42" s="593"/>
      <c r="R42" s="593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0"/>
      <c r="AE42" s="110"/>
      <c r="AF42" s="110"/>
      <c r="AG42" s="110"/>
      <c r="AH42" s="110"/>
      <c r="AI42" s="110"/>
      <c r="AJ42" s="110"/>
      <c r="AK42" s="110"/>
    </row>
    <row r="43" spans="6:37" ht="15.75" thickBot="1" x14ac:dyDescent="0.3">
      <c r="F43" s="113" t="s">
        <v>1042</v>
      </c>
      <c r="G43" s="594" t="s">
        <v>870</v>
      </c>
      <c r="H43" s="595"/>
      <c r="I43" s="595"/>
      <c r="J43" s="595"/>
      <c r="K43" s="595"/>
      <c r="L43" s="595"/>
      <c r="M43" s="595"/>
      <c r="N43" s="595"/>
      <c r="O43" s="595"/>
      <c r="P43" s="595"/>
      <c r="Q43" s="595"/>
      <c r="R43" s="596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</row>
    <row r="44" spans="6:37" x14ac:dyDescent="0.25">
      <c r="F44" s="43"/>
      <c r="G44" s="609" t="s">
        <v>867</v>
      </c>
      <c r="H44" s="610"/>
      <c r="I44" s="610"/>
      <c r="J44" s="611"/>
      <c r="K44" s="609" t="s">
        <v>869</v>
      </c>
      <c r="L44" s="610"/>
      <c r="M44" s="610"/>
      <c r="N44" s="610"/>
      <c r="O44" s="610"/>
      <c r="P44" s="610"/>
      <c r="Q44" s="610"/>
      <c r="R44" s="611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</row>
    <row r="45" spans="6:37" x14ac:dyDescent="0.25">
      <c r="F45" s="92" t="s">
        <v>840</v>
      </c>
      <c r="G45" s="92" t="s">
        <v>878</v>
      </c>
      <c r="H45" s="75" t="s">
        <v>14</v>
      </c>
      <c r="I45" s="75" t="s">
        <v>877</v>
      </c>
      <c r="J45" s="75" t="s">
        <v>18</v>
      </c>
      <c r="K45" s="75" t="s">
        <v>876</v>
      </c>
      <c r="L45" s="75" t="s">
        <v>862</v>
      </c>
      <c r="M45" s="75" t="s">
        <v>875</v>
      </c>
      <c r="N45" s="75" t="s">
        <v>863</v>
      </c>
      <c r="O45" s="75" t="s">
        <v>874</v>
      </c>
      <c r="P45" s="75" t="s">
        <v>860</v>
      </c>
      <c r="Q45" s="75" t="s">
        <v>873</v>
      </c>
      <c r="R45" s="75" t="s">
        <v>861</v>
      </c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</row>
    <row r="46" spans="6:37" x14ac:dyDescent="0.25">
      <c r="F46" s="81" t="s">
        <v>17</v>
      </c>
      <c r="G46" s="80">
        <f t="array" aca="1" ref="G46" ca="1">COUNT(IF('Well Data-NK'!Sept2014_Form={"MA"},IF('Well Data-NK'!Sept2014_Well_Type="NW",'Well Data-NK'!Sept2014_Spud_to_RR)))</f>
        <v>14</v>
      </c>
      <c r="H46" s="80">
        <f t="array" aca="1" ref="H46" ca="1">AVERAGE(IF('Well Data-NK'!Sept2014_Form={"MA"},IF('Well Data-NK'!Sept2014_Well_Type="NW",'Well Data-NK'!Sept2014_Spud_to_RR)))</f>
        <v>60.566964285715322</v>
      </c>
      <c r="I46" s="80">
        <f t="array" aca="1" ref="I46" ca="1">COUNT(IF('Well Data-NK'!Sept2014_Form={"MA"},IF('Well Data-NK'!Sept2014_Well_Type="ST",'Well Data-NK'!Sept2014_Spud_to_RR)))</f>
        <v>31</v>
      </c>
      <c r="J46" s="80">
        <f t="array" aca="1" ref="J46" ca="1">AVERAGE(IF('Well Data-NK'!Sept2014_Form={"MA"},IF('Well Data-NK'!Sept2014_Well_Type="ST",'Well Data-NK'!Sept2014_Spud_to_RR)))</f>
        <v>45.245295698924181</v>
      </c>
      <c r="K46" s="80">
        <f t="array" aca="1" ref="K46" ca="1">COUNT(IF('Well Data-NK'!Sept2014_Form={"MA"},IF('Well Data-NK'!Sept2014_Well_Type="NW",IF('Well Data-NK'!Sept2014_Prod_Inj="Prod",'Well Data-NK'!Sept2014_Spud_to_RR))))</f>
        <v>12</v>
      </c>
      <c r="L46" s="80">
        <f t="array" aca="1" ref="L46" ca="1">AVERAGE(IF('Well Data-NK'!Sept2014_Form={"MA"},IF('Well Data-NK'!Sept2014_Well_Type="NW",IF('Well Data-NK'!Sept2014_Prod_Inj="Prod",'Well Data-NK'!Sept2014_Spud_to_RR))))</f>
        <v>61.421875000000604</v>
      </c>
      <c r="M46" s="80">
        <f t="array" aca="1" ref="M46" ca="1">COUNT(IF('Well Data-NK'!Sept2014_Form={"MA"},IF('Well Data-NK'!Sept2014_Well_Type="NW",IF('Well Data-NK'!Sept2014_Prod_Inj="Inj",'Well Data-NK'!Sept2014_Spud_to_RR))))</f>
        <v>2</v>
      </c>
      <c r="N46" s="80">
        <f t="array" aca="1" ref="N46" ca="1">AVERAGE(IF('Well Data-NK'!Sept2014_Form={"MA"},IF('Well Data-NK'!Sept2014_Well_Type="NW",IF('Well Data-NK'!Sept2014_Prod_Inj="Inj",'Well Data-NK'!Sept2014_Spud_to_RR))))</f>
        <v>55.437500000003638</v>
      </c>
      <c r="O46" s="80">
        <f t="array" aca="1" ref="O46" ca="1">COUNT(IF('Well Data-NK'!Sept2014_Form={"MA"},IF('Well Data-NK'!Sept2014_Well_Type="ST",IF('Well Data-NK'!Sept2014_Prod_Inj="Prod",'Well Data-NK'!Sept2014_Spud_to_RR))))</f>
        <v>15</v>
      </c>
      <c r="P46" s="80">
        <f t="array" aca="1" ref="P46" ca="1">AVERAGE(IF('Well Data-NK'!Sept2014_Form={"MA"},IF('Well Data-NK'!Sept2014_Well_Type="ST",IF('Well Data-NK'!Sept2014_Prod_Inj="Prod",'Well Data-NK'!Sept2014_Spud_to_RR))))</f>
        <v>47.811111111110463</v>
      </c>
      <c r="Q46" s="80">
        <f t="array" aca="1" ref="Q46" ca="1">COUNT(IF('Well Data-NK'!Sept2014_Form={"MA"},IF('Well Data-NK'!Sept2014_Well_Type="ST",IF('Well Data-NK'!Sept2014_Prod_Inj="Inj",'Well Data-NK'!Sept2014_Spud_to_RR))))</f>
        <v>16</v>
      </c>
      <c r="R46" s="80">
        <f t="array" aca="1" ref="R46" ca="1">AVERAGE(IF('Well Data-NK'!Sept2014_Form={"MA"},IF('Well Data-NK'!Sept2014_Well_Type="ST",IF('Well Data-NK'!Sept2014_Prod_Inj="Inj",'Well Data-NK'!Sept2014_Spud_to_RR))))</f>
        <v>42.839843749999545</v>
      </c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</row>
    <row r="47" spans="6:37" x14ac:dyDescent="0.25">
      <c r="F47" s="81" t="s">
        <v>29</v>
      </c>
      <c r="G47" s="80">
        <f t="array" aca="1" ref="G47" ca="1">COUNT(IF('Well Data-NK'!Sept2014_Form={"UB"},IF('Well Data-NK'!Sept2014_Well_Type="NW",'Well Data-NK'!Sept2014_Spud_to_RR)))</f>
        <v>5</v>
      </c>
      <c r="H47" s="80">
        <f t="array" aca="1" ref="H47" ca="1">AVERAGE(IF('Well Data-NK'!Sept2014_Form={"UB"},IF('Well Data-NK'!Sept2014_Well_Type="NW",'Well Data-NK'!Sept2014_Spud_to_RR)))</f>
        <v>57.55416666666715</v>
      </c>
      <c r="I47" s="80">
        <f t="array" aca="1" ref="I47" ca="1">COUNT(IF('Well Data-NK'!Sept2014_Form={"UB"},IF('Well Data-NK'!Sept2014_Well_Type="ST",'Well Data-NK'!Sept2014_Spud_to_RR)))</f>
        <v>2</v>
      </c>
      <c r="J47" s="80">
        <f t="array" aca="1" ref="J47" ca="1">AVERAGE(IF('Well Data-NK'!Sept2014_Form={"UB"},IF('Well Data-NK'!Sept2014_Well_Type="ST",'Well Data-NK'!Sept2014_Spud_to_RR)))</f>
        <v>52.635414999999995</v>
      </c>
      <c r="K47" s="80">
        <f t="array" aca="1" ref="K47" ca="1">COUNT(IF('Well Data-NK'!Sept2014_Form={"UB"},IF('Well Data-NK'!Sept2014_Well_Type="NW",IF('Well Data-NK'!Sept2014_Prod_Inj="Prod",'Well Data-NK'!Sept2014_Spud_to_RR))))</f>
        <v>5</v>
      </c>
      <c r="L47" s="80">
        <f t="array" aca="1" ref="L47" ca="1">AVERAGE(IF('Well Data-NK'!Sept2014_Form={"UB"},IF('Well Data-NK'!Sept2014_Well_Type="NW",IF('Well Data-NK'!Sept2014_Prod_Inj="Prod",'Well Data-NK'!Sept2014_Spud_to_RR))))</f>
        <v>57.55416666666715</v>
      </c>
      <c r="M47" s="80">
        <f t="array" aca="1" ref="M47" ca="1">COUNT(IF('Well Data-NK'!Sept2014_Form={"UB"},IF('Well Data-NK'!Sept2014_Well_Type="NW",IF('Well Data-NK'!Sept2014_Prod_Inj="Inj",'Well Data-NK'!Sept2014_Spud_to_RR))))</f>
        <v>0</v>
      </c>
      <c r="N47" s="80" t="e">
        <f t="array" aca="1" ref="N47" ca="1">AVERAGE(IF('Well Data-NK'!Sept2014_Form={"UB"},IF('Well Data-NK'!Sept2014_Well_Type="NW",IF('Well Data-NK'!Sept2014_Prod_Inj="Inj",'Well Data-NK'!Sept2014_Spud_to_RR))))</f>
        <v>#DIV/0!</v>
      </c>
      <c r="O47" s="80">
        <f t="array" aca="1" ref="O47" ca="1">COUNT(IF('Well Data-NK'!Sept2014_Form={"UB"},IF('Well Data-NK'!Sept2014_Well_Type="ST",IF('Well Data-NK'!Sept2014_Prod_Inj="Prod",'Well Data-NK'!Sept2014_Spud_to_RR))))</f>
        <v>2</v>
      </c>
      <c r="P47" s="80">
        <f t="array" aca="1" ref="P47" ca="1">AVERAGE(IF('Well Data-NK'!Sept2014_Form={"UB"},IF('Well Data-NK'!Sept2014_Well_Type="ST",IF('Well Data-NK'!Sept2014_Prod_Inj="Prod",'Well Data-NK'!Sept2014_Spud_to_RR))))</f>
        <v>52.635414999999995</v>
      </c>
      <c r="Q47" s="80">
        <f t="array" aca="1" ref="Q47" ca="1">COUNT(IF('Well Data-NK'!Sept2014_Form={"UB"},IF('Well Data-NK'!Sept2014_Well_Type="ST",IF('Well Data-NK'!Sept2014_Prod_Inj="Inj",'Well Data-NK'!Sept2014_Spud_to_RR))))</f>
        <v>0</v>
      </c>
      <c r="R47" s="80" t="e">
        <f t="array" aca="1" ref="R47" ca="1">AVERAGE(IF('Well Data-NK'!Sept2014_Form={"UB"},IF('Well Data-NK'!Sept2014_Well_Type="ST",IF('Well Data-NK'!Sept2014_Prod_Inj="Inj",'Well Data-NK'!Sept2014_Spud_to_RR))))</f>
        <v>#DIV/0!</v>
      </c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</row>
    <row r="48" spans="6:37" x14ac:dyDescent="0.25">
      <c r="F48" s="81" t="s">
        <v>22</v>
      </c>
      <c r="G48" s="80">
        <f t="array" aca="1" ref="G48" ca="1">COUNT(IF('Well Data-NK'!Sept2014_Form={"LB"},IF('Well Data-NK'!Sept2014_Well_Type="NW",'Well Data-NK'!Sept2014_Spud_to_RR)))</f>
        <v>13</v>
      </c>
      <c r="H48" s="80">
        <f t="array" aca="1" ref="H48" ca="1">AVERAGE(IF('Well Data-NK'!Sept2014_Form={"LB"},IF('Well Data-NK'!Sept2014_Well_Type="NW",'Well Data-NK'!Sept2014_Spud_to_RR)))</f>
        <v>65.53525640769287</v>
      </c>
      <c r="I48" s="80">
        <f t="array" aca="1" ref="I48" ca="1">COUNT(IF('Well Data-NK'!Sept2014_Form={"LB"},IF('Well Data-NK'!Sept2014_Well_Type="ST",'Well Data-NK'!Sept2014_Spud_to_RR)))</f>
        <v>0</v>
      </c>
      <c r="J48" s="80" t="e">
        <f t="array" aca="1" ref="J48" ca="1">AVERAGE(IF('Well Data-NK'!Sept2014_Form={"LB"},IF('Well Data-NK'!Sept2014_Well_Type="ST",'Well Data-NK'!Sept2014_Spud_to_RR)))</f>
        <v>#DIV/0!</v>
      </c>
      <c r="K48" s="80">
        <f t="array" aca="1" ref="K48" ca="1">COUNT(IF('Well Data-NK'!Sept2014_Form={"LB"},IF('Well Data-NK'!Sept2014_Well_Type="NW",IF('Well Data-NK'!Sept2014_Prod_Inj="Prod",'Well Data-NK'!Sept2014_Spud_to_RR))))</f>
        <v>13</v>
      </c>
      <c r="L48" s="80">
        <f t="array" aca="1" ref="L48" ca="1">AVERAGE(IF('Well Data-NK'!Sept2014_Form={"LB"},IF('Well Data-NK'!Sept2014_Well_Type="NW",IF('Well Data-NK'!Sept2014_Prod_Inj="Prod",'Well Data-NK'!Sept2014_Spud_to_RR))))</f>
        <v>65.53525640769287</v>
      </c>
      <c r="M48" s="80">
        <f t="array" aca="1" ref="M48" ca="1">COUNT(IF('Well Data-NK'!Sept2014_Form={"LB"},IF('Well Data-NK'!Sept2014_Well_Type="NW",IF('Well Data-NK'!Sept2014_Prod_Inj="Inj",'Well Data-NK'!Sept2014_Spud_to_RR))))</f>
        <v>0</v>
      </c>
      <c r="N48" s="80" t="e">
        <f t="array" aca="1" ref="N48" ca="1">AVERAGE(IF('Well Data-NK'!Sept2014_Form={"LB"},IF('Well Data-NK'!Sept2014_Well_Type="NW",IF('Well Data-NK'!Sept2014_Prod_Inj="Inj",'Well Data-NK'!Sept2014_Spud_to_RR))))</f>
        <v>#DIV/0!</v>
      </c>
      <c r="O48" s="80">
        <f t="array" aca="1" ref="O48" ca="1">COUNT(IF('Well Data-NK'!Sept2014_Form={"LB"},IF('Well Data-NK'!Sept2014_Well_Type="ST",IF('Well Data-NK'!Sept2014_Prod_Inj="Prod",'Well Data-NK'!Sept2014_Spud_to_RR))))</f>
        <v>0</v>
      </c>
      <c r="P48" s="80" t="e">
        <f t="array" aca="1" ref="P48" ca="1">AVERAGE(IF('Well Data-NK'!Sept2014_Form={"LB"},IF('Well Data-NK'!Sept2014_Well_Type="ST",IF('Well Data-NK'!Sept2014_Prod_Inj="Prod",'Well Data-NK'!Sept2014_Spud_to_RR))))</f>
        <v>#DIV/0!</v>
      </c>
      <c r="Q48" s="80">
        <f t="array" aca="1" ref="Q48" ca="1">COUNT(IF('Well Data-NK'!Sept2014_Form={"LB"},IF('Well Data-NK'!Sept2014_Well_Type="ST",IF('Well Data-NK'!Sept2014_Prod_Inj="Inj",'Well Data-NK'!Sept2014_Spud_to_RR))))</f>
        <v>0</v>
      </c>
      <c r="R48" s="80" t="e">
        <f t="array" aca="1" ref="R48" ca="1">AVERAGE(IF('Well Data-NK'!Sept2014_Form={"LB"},IF('Well Data-NK'!Sept2014_Well_Type="ST",IF('Well Data-NK'!Sept2014_Prod_Inj="Inj",'Well Data-NK'!Sept2014_Spud_to_RR))))</f>
        <v>#DIV/0!</v>
      </c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</row>
    <row r="49" spans="6:37" x14ac:dyDescent="0.25">
      <c r="F49" s="81" t="s">
        <v>825</v>
      </c>
      <c r="G49" s="80">
        <f t="array" aca="1" ref="G49" ca="1">COUNT(IF('Well Data-NK'!Sept2014_Form={"RT","ZU"},IF('Well Data-NK'!Sept2014_Well_Type="NW",'Well Data-NK'!Sept2014_Spud_to_RR)))</f>
        <v>6</v>
      </c>
      <c r="H49" s="80">
        <f t="array" aca="1" ref="H49" ca="1">AVERAGE(IF('Well Data-NK'!Sept2014_Form={"RT","ZU"},IF('Well Data-NK'!Sept2014_Well_Type="NW",'Well Data-NK'!Sept2014_Spud_to_RR)))</f>
        <v>89.017361111110702</v>
      </c>
      <c r="I49" s="80">
        <f t="array" aca="1" ref="I49" ca="1">COUNT(IF('Well Data-NK'!Sept2014_Form={"RT","ZU"},IF('Well Data-NK'!Sept2014_Well_Type="ST",'Well Data-NK'!Sept2014_Spud_to_RR)))</f>
        <v>1</v>
      </c>
      <c r="J49" s="80">
        <f t="array" aca="1" ref="J49" ca="1">AVERAGE(IF('Well Data-NK'!Sept2014_Form={"RT","ZU"},IF('Well Data-NK'!Sept2014_Well_Type="ST",'Well Data-NK'!Sept2014_Spud_to_RR)))</f>
        <v>52</v>
      </c>
      <c r="K49" s="80">
        <f t="array" aca="1" ref="K49" ca="1">COUNT(IF('Well Data-NK'!Sept2014_Form={"ZU","RT"},IF('Well Data-NK'!Sept2014_Well_Type="NW",IF('Well Data-NK'!Sept2014_Prod_Inj="Prod",'Well Data-NK'!Sept2014_Spud_to_RR))))</f>
        <v>6</v>
      </c>
      <c r="L49" s="80">
        <f t="array" aca="1" ref="L49" ca="1">AVERAGE(IF('Well Data-NK'!Sept2014_Form={"ZU","RT"},IF('Well Data-NK'!Sept2014_Well_Type="NW",IF('Well Data-NK'!Sept2014_Prod_Inj="Prod",'Well Data-NK'!Sept2014_Spud_to_RR))))</f>
        <v>89.017361111110702</v>
      </c>
      <c r="M49" s="80">
        <f t="array" aca="1" ref="M49" ca="1">COUNT(IF('Well Data-NK'!Sept2014_Form={"ZU","RT"},IF('Well Data-NK'!Sept2014_Well_Type="NW",IF('Well Data-NK'!Sept2014_Prod_Inj="Inj",'Well Data-NK'!Sept2014_Spud_to_RR))))</f>
        <v>0</v>
      </c>
      <c r="N49" s="80" t="e">
        <f t="array" aca="1" ref="N49" ca="1">AVERAGE(IF('Well Data-NK'!Sept2014_Form={"ZU","RT"},IF('Well Data-NK'!Sept2014_Well_Type="NW",IF('Well Data-NK'!Sept2014_Prod_Inj="Inj",'Well Data-NK'!Sept2014_Spud_to_RR))))</f>
        <v>#DIV/0!</v>
      </c>
      <c r="O49" s="80">
        <f t="array" aca="1" ref="O49" ca="1">COUNT(IF('Well Data-NK'!Sept2014_Form={"ZU","RT"},IF('Well Data-NK'!Sept2014_Well_Type="ST",IF('Well Data-NK'!Sept2014_Prod_Inj="Prod",'Well Data-NK'!Sept2014_Spud_to_RR))))</f>
        <v>1</v>
      </c>
      <c r="P49" s="80">
        <f t="array" aca="1" ref="P49" ca="1">AVERAGE(IF('Well Data-NK'!Sept2014_Form={"ZU","RT"},IF('Well Data-NK'!Sept2014_Well_Type="ST",IF('Well Data-NK'!Sept2014_Prod_Inj="Prod",'Well Data-NK'!Sept2014_Spud_to_RR))))</f>
        <v>52</v>
      </c>
      <c r="Q49" s="80">
        <f t="array" aca="1" ref="Q49" ca="1">COUNT(IF('Well Data-NK'!Sept2014_Form={"ZU","RT"},IF('Well Data-NK'!Sept2014_Well_Type="ST",IF('Well Data-NK'!Sept2014_Prod_Inj="Inj",'Well Data-NK'!Sept2014_Spud_to_RR))))</f>
        <v>0</v>
      </c>
      <c r="R49" s="80" t="e">
        <f t="array" aca="1" ref="R49" ca="1">AVERAGE(IF('Well Data-NK'!Sept2014_Form={"ZU","RT"},IF('Well Data-NK'!Sept2014_Well_Type="ST",IF('Well Data-NK'!Sept2014_Prod_Inj="Inj",'Well Data-NK'!Sept2014_Spud_to_RR))))</f>
        <v>#DIV/0!</v>
      </c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</row>
    <row r="50" spans="6:37" x14ac:dyDescent="0.25">
      <c r="F50" s="81" t="s">
        <v>816</v>
      </c>
      <c r="G50" s="80">
        <f t="array" aca="1" ref="G50" ca="1">COUNT(IF('Well Data-NK'!Sept2014_Form={"RT","ZU","LB","UB","MA"},IF('Well Data-NK'!Sept2014_Well_Type="NW",'Well Data-NK'!Sept2014_Spud_to_RR)))</f>
        <v>38</v>
      </c>
      <c r="H50" s="80">
        <f t="array" aca="1" ref="H50" ca="1">AVERAGE(IF('Well Data-NK'!Sept2014_Form={"RT","ZU","LB","UB","MA"},IF('Well Data-NK'!Sept2014_Well_Type="NW",'Well Data-NK'!Sept2014_Spud_to_RR)))</f>
        <v>66.362390350000581</v>
      </c>
      <c r="I50" s="80">
        <f t="array" aca="1" ref="I50" ca="1">COUNT(IF('Well Data-NK'!Sept2014_Form={"RT","ZU","LB","UB","MA"},IF('Well Data-NK'!Sept2014_Well_Type="ST",'Well Data-NK'!Sept2014_Spud_to_RR)))</f>
        <v>34</v>
      </c>
      <c r="J50" s="80">
        <f t="array" aca="1" ref="J50" ca="1">AVERAGE(IF('Well Data-NK'!Sept2014_Form={"RT","ZU","LB","UB","MA"},IF('Well Data-NK'!Sept2014_Well_Type="ST",'Well Data-NK'!Sept2014_Spud_to_RR)))</f>
        <v>45.878676372548519</v>
      </c>
      <c r="K50" s="80">
        <f t="array" aca="1" ref="K50" ca="1">COUNT(IF('Well Data-NK'!Sept2014_Form={"ZU","RT","LB","UB","MA"},IF('Well Data-NK'!Sept2014_Well_Type="NW",IF('Well Data-NK'!Sept2014_Prod_Inj="Prod",'Well Data-NK'!Sept2014_Spud_to_RR))))</f>
        <v>36</v>
      </c>
      <c r="L50" s="80">
        <f t="array" aca="1" ref="L50" ca="1">AVERAGE(IF('Well Data-NK'!Sept2014_Form={"ZU","RT","LB","UB","MA"},IF('Well Data-NK'!Sept2014_Well_Type="NW",IF('Well Data-NK'!Sept2014_Prod_Inj="Prod",'Well Data-NK'!Sept2014_Spud_to_RR))))</f>
        <v>66.969328702778185</v>
      </c>
      <c r="M50" s="80">
        <f t="array" aca="1" ref="M50" ca="1">COUNT(IF('Well Data-NK'!Sept2014_Form={"ZU","RT","LB","UB","MA"},IF('Well Data-NK'!Sept2014_Well_Type="NW",IF('Well Data-NK'!Sept2014_Prod_Inj="Inj",'Well Data-NK'!Sept2014_Spud_to_RR))))</f>
        <v>2</v>
      </c>
      <c r="N50" s="80">
        <f t="array" aca="1" ref="N50" ca="1">AVERAGE(IF('Well Data-NK'!Sept2014_Form={"ZU","RT","LB","UB","MA"},IF('Well Data-NK'!Sept2014_Well_Type="NW",IF('Well Data-NK'!Sept2014_Prod_Inj="Inj",'Well Data-NK'!Sept2014_Spud_to_RR))))</f>
        <v>55.437500000003638</v>
      </c>
      <c r="O50" s="80">
        <f t="array" aca="1" ref="O50" ca="1">COUNT(IF('Well Data-NK'!Sept2014_Form={"ZU","RT","LB","UB","MA"},IF('Well Data-NK'!Sept2014_Well_Type="ST",IF('Well Data-NK'!Sept2014_Prod_Inj="Prod",'Well Data-NK'!Sept2014_Spud_to_RR))))</f>
        <v>18</v>
      </c>
      <c r="P50" s="80">
        <f t="array" aca="1" ref="P50" ca="1">AVERAGE(IF('Well Data-NK'!Sept2014_Form={"ZU","RT","LB","UB","MA"},IF('Well Data-NK'!Sept2014_Well_Type="ST",IF('Well Data-NK'!Sept2014_Prod_Inj="Prod",'Well Data-NK'!Sept2014_Spud_to_RR))))</f>
        <v>48.579860925925381</v>
      </c>
      <c r="Q50" s="80">
        <f t="array" aca="1" ref="Q50" ca="1">COUNT(IF('Well Data-NK'!Sept2014_Form={"ZU","RT","LB","UB","MA"},IF('Well Data-NK'!Sept2014_Well_Type="ST",IF('Well Data-NK'!Sept2014_Prod_Inj="Inj",'Well Data-NK'!Sept2014_Spud_to_RR))))</f>
        <v>16</v>
      </c>
      <c r="R50" s="80">
        <f t="array" aca="1" ref="R50" ca="1">AVERAGE(IF('Well Data-NK'!Sept2014_Form={"ZU","RT","LB","UB","MA"},IF('Well Data-NK'!Sept2014_Well_Type="ST",IF('Well Data-NK'!Sept2014_Prod_Inj="Inj",'Well Data-NK'!Sept2014_Spud_to_RR))))</f>
        <v>42.839843749999545</v>
      </c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</row>
    <row r="51" spans="6:37" ht="15.75" thickBot="1" x14ac:dyDescent="0.3">
      <c r="F51" s="114" t="s">
        <v>1043</v>
      </c>
      <c r="G51" s="602" t="s">
        <v>868</v>
      </c>
      <c r="H51" s="603"/>
      <c r="I51" s="603"/>
      <c r="J51" s="603"/>
      <c r="K51" s="603"/>
      <c r="L51" s="603"/>
      <c r="M51" s="603"/>
      <c r="N51" s="603"/>
      <c r="O51" s="603"/>
      <c r="P51" s="603"/>
      <c r="Q51" s="603"/>
      <c r="R51" s="604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</row>
    <row r="52" spans="6:37" x14ac:dyDescent="0.25">
      <c r="F52" s="43"/>
      <c r="G52" s="609" t="s">
        <v>867</v>
      </c>
      <c r="H52" s="610"/>
      <c r="I52" s="610"/>
      <c r="J52" s="611"/>
      <c r="K52" s="609" t="s">
        <v>869</v>
      </c>
      <c r="L52" s="610"/>
      <c r="M52" s="610"/>
      <c r="N52" s="610"/>
      <c r="O52" s="610"/>
      <c r="P52" s="610"/>
      <c r="Q52" s="610"/>
      <c r="R52" s="611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</row>
    <row r="53" spans="6:37" x14ac:dyDescent="0.25">
      <c r="F53" s="92" t="s">
        <v>840</v>
      </c>
      <c r="G53" s="75" t="s">
        <v>878</v>
      </c>
      <c r="H53" s="92" t="s">
        <v>14</v>
      </c>
      <c r="I53" s="92" t="s">
        <v>877</v>
      </c>
      <c r="J53" s="75" t="s">
        <v>18</v>
      </c>
      <c r="K53" s="75" t="s">
        <v>876</v>
      </c>
      <c r="L53" s="75" t="s">
        <v>862</v>
      </c>
      <c r="M53" s="75" t="s">
        <v>875</v>
      </c>
      <c r="N53" s="75" t="s">
        <v>863</v>
      </c>
      <c r="O53" s="75" t="s">
        <v>874</v>
      </c>
      <c r="P53" s="75" t="s">
        <v>860</v>
      </c>
      <c r="Q53" s="75" t="s">
        <v>873</v>
      </c>
      <c r="R53" s="75" t="s">
        <v>861</v>
      </c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6:37" x14ac:dyDescent="0.25">
      <c r="F54" s="81" t="s">
        <v>17</v>
      </c>
      <c r="G54" s="80">
        <f t="array" aca="1" ref="G54" ca="1">COUNT(IF('Well Data-NK'!Sept2014_Form={"MA"},IF('Well Data-NK'!Sept2014_Well_Type="NW",IF('Well Data-NK'!Sept2014_Spud_to_RR&lt;=PERCENTILE(IF('Well Data-NK'!Sept2014_Form={"MA"},IF('Well Data-NK'!Sept2014_Well_Type="NW",'Well Data-NK'!Sept2014_Spud_to_RR)),0.25),'Well Data-NK'!Sept2014_Spud_to_RR))))</f>
        <v>4</v>
      </c>
      <c r="H54" s="80">
        <f t="array" aca="1" ref="H54" ca="1">AVERAGE(IF('Well Data-NK'!Sept2014_Form={"MA"},IF('Well Data-NK'!Sept2014_Well_Type="NW",IF('Well Data-NK'!Sept2014_Spud_to_RR&lt;=PERCENTILE(IF('Well Data-NK'!Sept2014_Form={"MA"},IF('Well Data-NK'!Sept2014_Well_Type="NW",'Well Data-NK'!Sept2014_Spud_to_RR)),0.25),'Well Data-NK'!Sept2014_Spud_to_RR))))</f>
        <v>45.963541666667879</v>
      </c>
      <c r="I54" s="80">
        <f t="array" aca="1" ref="I54" ca="1">COUNT(IF('Well Data-NK'!Sept2014_Form={"MA"},IF('Well Data-NK'!Sept2014_Well_Type="ST",IF('Well Data-NK'!Sept2014_Spud_to_RR&lt;=PERCENTILE(IF('Well Data-NK'!Sept2014_Form={"MA"},IF('Well Data-NK'!Sept2014_Well_Type="ST",'Well Data-NK'!Sept2014_Spud_to_RR)),0.25),'Well Data-NK'!Sept2014_Spud_to_RR))))</f>
        <v>8</v>
      </c>
      <c r="J54" s="80">
        <f t="array" aca="1" ref="J54" ca="1">AVERAGE(IF('Well Data-NK'!Sept2014_Form={"MA"},IF('Well Data-NK'!Sept2014_Well_Type="ST",IF('Well Data-NK'!Sept2014_Spud_to_RR&lt;=PERCENTILE(IF('Well Data-NK'!Sept2014_Form={"MA"},IF('Well Data-NK'!Sept2014_Well_Type="ST",'Well Data-NK'!Sept2014_Spud_to_RR)),0.25),'Well Data-NK'!Sept2014_Spud_to_RR))))</f>
        <v>29.398437499998174</v>
      </c>
      <c r="K54" s="99">
        <f t="array" aca="1" ref="K54" ca="1">COUNT(IF('Well Data-NK'!Sept2014_Form={"MA"},IF('Well Data-NK'!Sept2014_Well_Type="NW",IF('Well Data-NK'!Sept2014_Prod_Inj="Prod",IF('Well Data-NK'!Sept2014_Spud_to_RR&lt;=PERCENTILE(IF('Well Data-NK'!Sept2014_Form={"MA"},IF('Well Data-NK'!Sept2014_Well_Type="NW",IF('Well Data-NK'!Sept2014_Prod_Inj="Prod",'Well Data-NK'!Sept2014_Spud_to_RR))),0.25),'Well Data-NK'!Sept2014_Spud_to_RR)))))</f>
        <v>3</v>
      </c>
      <c r="L54" s="99">
        <f t="array" aca="1" ref="L54" ca="1">AVERAGE(IF('Well Data-NK'!Sept2014_Form={"MA"},IF('Well Data-NK'!Sept2014_Well_Type="NW",IF('Well Data-NK'!Sept2014_Prod_Inj="Prod",IF('Well Data-NK'!Sept2014_Spud_to_RR&lt;=PERCENTILE(IF('Well Data-NK'!Sept2014_Form={"MA"},IF('Well Data-NK'!Sept2014_Well_Type="NW",IF('Well Data-NK'!Sept2014_Prod_Inj="Prod",'Well Data-NK'!Sept2014_Spud_to_RR))),0.25),'Well Data-NK'!Sept2014_Spud_to_RR)))))</f>
        <v>46.798611111111917</v>
      </c>
      <c r="M54" s="99">
        <f t="array" aca="1" ref="M54" ca="1">COUNT(IF('Well Data-NK'!Sept2014_Form={"MA"},IF('Well Data-NK'!Sept2014_Well_Type="NW",IF('Well Data-NK'!Sept2014_Prod_Inj="Inj",IF('Well Data-NK'!Sept2014_Spud_to_RR&lt;=PERCENTILE(IF('Well Data-NK'!Sept2014_Form={"MA"},IF('Well Data-NK'!Sept2014_Well_Type="NW",IF('Well Data-NK'!Sept2014_Prod_Inj="Inj",'Well Data-NK'!Sept2014_Spud_to_RR))),0.25),'Well Data-NK'!Sept2014_Spud_to_RR)))))</f>
        <v>1</v>
      </c>
      <c r="N54" s="99">
        <f t="array" aca="1" ref="N54" ca="1">AVERAGE(IF('Well Data-NK'!Sept2014_Form={"MA"},IF('Well Data-NK'!Sept2014_Well_Type="NW",IF('Well Data-NK'!Sept2014_Prod_Inj="Inj",IF('Well Data-NK'!Sept2014_Spud_to_RR&lt;=PERCENTILE(IF('Well Data-NK'!Sept2014_Form={"MA"},IF('Well Data-NK'!Sept2014_Well_Type="NW",IF('Well Data-NK'!Sept2014_Prod_Inj="Inj",'Well Data-NK'!Sept2014_Spud_to_RR))),0.25),'Well Data-NK'!Sept2014_Spud_to_RR)))))</f>
        <v>43.458333333335759</v>
      </c>
      <c r="O54" s="99">
        <f t="array" aca="1" ref="O54" ca="1">COUNT(IF('Well Data-NK'!Sept2014_Form={"MA"},IF('Well Data-NK'!Sept2014_Well_Type="ST",IF('Well Data-NK'!Sept2014_Prod_Inj="Prod",IF('Well Data-NK'!Sept2014_Spud_to_RR&lt;=PERCENTILE(IF('Well Data-NK'!Sept2014_Form={"MA"},IF('Well Data-NK'!Sept2014_Well_Type="ST",IF('Well Data-NK'!Sept2014_Prod_Inj="Prod",'Well Data-NK'!Sept2014_Spud_to_RR))),0.25),'Well Data-NK'!Sept2014_Spud_to_RR)))))</f>
        <v>4</v>
      </c>
      <c r="P54" s="99">
        <f t="array" aca="1" ref="P54" ca="1">AVERAGE(IF('Well Data-NK'!Sept2014_Form={"MA"},IF('Well Data-NK'!Sept2014_Well_Type="ST",IF('Well Data-NK'!Sept2014_Prod_Inj="Prod",IF('Well Data-NK'!Sept2014_Spud_to_RR&lt;=PERCENTILE(IF('Well Data-NK'!Sept2014_Form={"MA"},IF('Well Data-NK'!Sept2014_Well_Type="ST",IF('Well Data-NK'!Sept2014_Prod_Inj="Prod",'Well Data-NK'!Sept2014_Spud_to_RR))),0.25),'Well Data-NK'!Sept2014_Spud_to_RR)))))</f>
        <v>33.885416666667879</v>
      </c>
      <c r="Q54" s="99">
        <f t="array" aca="1" ref="Q54" ca="1">COUNT(IF('Well Data-NK'!Sept2014_Form={"MA"},IF('Well Data-NK'!Sept2014_Well_Type="ST",IF('Well Data-NK'!Sept2014_Prod_Inj="Inj",IF('Well Data-NK'!Sept2014_Spud_to_RR&lt;=PERCENTILE(IF('Well Data-NK'!Sept2014_Form={"MA"},IF('Well Data-NK'!Sept2014_Well_Type="ST",IF('Well Data-NK'!Sept2014_Prod_Inj="Inj",'Well Data-NK'!Sept2014_Spud_to_RR))),0.25),'Well Data-NK'!Sept2014_Spud_to_RR)))))</f>
        <v>4</v>
      </c>
      <c r="R54" s="99">
        <f t="array" aca="1" ref="R54" ca="1">AVERAGE(IF('Well Data-NK'!Sept2014_Form={"MA"},IF('Well Data-NK'!Sept2014_Well_Type="ST",IF('Well Data-NK'!Sept2014_Prod_Inj="Inj",IF('Well Data-NK'!Sept2014_Spud_to_RR&lt;=PERCENTILE(IF('Well Data-NK'!Sept2014_Form={"MA"},IF('Well Data-NK'!Sept2014_Well_Type="ST",IF('Well Data-NK'!Sept2014_Prod_Inj="Inj",'Well Data-NK'!Sept2014_Spud_to_RR))),0.25),'Well Data-NK'!Sept2014_Spud_to_RR)))))</f>
        <v>29.16145833333211</v>
      </c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6:37" x14ac:dyDescent="0.25">
      <c r="F55" s="81" t="s">
        <v>29</v>
      </c>
      <c r="G55" s="80">
        <f t="array" aca="1" ref="G55" ca="1">COUNT(IF('Well Data-NK'!Sept2014_Form={"UB"},IF('Well Data-NK'!Sept2014_Well_Type="NW",IF('Well Data-NK'!Sept2014_Spud_to_RR&lt;=PERCENTILE(IF('Well Data-NK'!Sept2014_Form={"UB"},IF('Well Data-NK'!Sept2014_Well_Type="NW",'Well Data-NK'!Sept2014_Spud_to_RR)),0.25),'Well Data-NK'!Sept2014_Spud_to_RR))))</f>
        <v>2</v>
      </c>
      <c r="H55" s="80">
        <f t="array" aca="1" ref="H55" ca="1">AVERAGE(IF('Well Data-NK'!Sept2014_Form={"UB"},IF('Well Data-NK'!Sept2014_Well_Type="NW",IF('Well Data-NK'!Sept2014_Spud_to_RR&lt;=PERCENTILE(IF('Well Data-NK'!Sept2014_Form={"UB"},IF('Well Data-NK'!Sept2014_Well_Type="NW",'Well Data-NK'!Sept2014_Spud_to_RR)),0.25),'Well Data-NK'!Sept2014_Spud_to_RR))))</f>
        <v>48.875</v>
      </c>
      <c r="I55" s="80">
        <f t="array" aca="1" ref="I55" ca="1">COUNT(IF('Well Data-NK'!Sept2014_Form={"UB"},IF('Well Data-NK'!Sept2014_Well_Type="ST",IF('Well Data-NK'!Sept2014_Spud_to_RR&lt;=PERCENTILE(IF('Well Data-NK'!Sept2014_Form={"UB"},IF('Well Data-NK'!Sept2014_Well_Type="ST",'Well Data-NK'!Sept2014_Spud_to_RR)),0.25),'Well Data-NK'!Sept2014_Spud_to_RR))))</f>
        <v>1</v>
      </c>
      <c r="J55" s="80">
        <f t="array" aca="1" ref="J55" ca="1">AVERAGE(IF('Well Data-NK'!Sept2014_Form={"UB"},IF('Well Data-NK'!Sept2014_Well_Type="ST",IF('Well Data-NK'!Sept2014_Spud_to_RR&lt;=PERCENTILE(IF('Well Data-NK'!Sept2014_Form={"UB"},IF('Well Data-NK'!Sept2014_Well_Type="ST",'Well Data-NK'!Sept2014_Spud_to_RR)),0.25),'Well Data-NK'!Sept2014_Spud_to_RR))))</f>
        <v>40.770829999999997</v>
      </c>
      <c r="K55" s="99">
        <f t="array" aca="1" ref="K55" ca="1">COUNT(IF('Well Data-NK'!Sept2014_Form={"UB"},IF('Well Data-NK'!Sept2014_Well_Type="NW",IF('Well Data-NK'!Sept2014_Prod_Inj="Prod",IF('Well Data-NK'!Sept2014_Spud_to_RR&lt;=PERCENTILE(IF('Well Data-NK'!Sept2014_Form={"UB"},IF('Well Data-NK'!Sept2014_Well_Type="NW",IF('Well Data-NK'!Sept2014_Prod_Inj="Prod",'Well Data-NK'!Sept2014_Spud_to_RR))),0.25),'Well Data-NK'!Sept2014_Spud_to_RR)))))</f>
        <v>2</v>
      </c>
      <c r="L55" s="99">
        <f t="array" aca="1" ref="L55" ca="1">AVERAGE(IF('Well Data-NK'!Sept2014_Form={"UB"},IF('Well Data-NK'!Sept2014_Well_Type="NW",IF('Well Data-NK'!Sept2014_Prod_Inj="Prod",IF('Well Data-NK'!Sept2014_Spud_to_RR&lt;=PERCENTILE(IF('Well Data-NK'!Sept2014_Form={"UB"},IF('Well Data-NK'!Sept2014_Well_Type="NW",IF('Well Data-NK'!Sept2014_Prod_Inj="Prod",'Well Data-NK'!Sept2014_Spud_to_RR))),0.25),'Well Data-NK'!Sept2014_Spud_to_RR)))))</f>
        <v>48.875</v>
      </c>
      <c r="M55" s="99">
        <f t="array" aca="1" ref="M55" ca="1">COUNT(IF('Well Data-NK'!Sept2014_Form={"UB"},IF('Well Data-NK'!Sept2014_Well_Type="NW",IF('Well Data-NK'!Sept2014_Prod_Inj="Inj",IF('Well Data-NK'!Sept2014_Spud_to_RR&lt;=PERCENTILE(IF('Well Data-NK'!Sept2014_Form={"UB"},IF('Well Data-NK'!Sept2014_Well_Type="NW",IF('Well Data-NK'!Sept2014_Prod_Inj="Inj",'Well Data-NK'!Sept2014_Spud_to_RR))),0.25),'Well Data-NK'!Sept2014_Spud_to_RR)))))</f>
        <v>0</v>
      </c>
      <c r="N55" s="99" t="e">
        <f t="array" aca="1" ref="N55" ca="1">AVERAGE(IF('Well Data-NK'!Sept2014_Form={"UB"},IF('Well Data-NK'!Sept2014_Well_Type="NW",IF('Well Data-NK'!Sept2014_Prod_Inj="Inj",IF('Well Data-NK'!Sept2014_Spud_to_RR&lt;=PERCENTILE(IF('Well Data-NK'!Sept2014_Form={"UB"},IF('Well Data-NK'!Sept2014_Well_Type="NW",IF('Well Data-NK'!Sept2014_Prod_Inj="Inj",'Well Data-NK'!Sept2014_Spud_to_RR))),0.25),'Well Data-NK'!Sept2014_Spud_to_RR)))))</f>
        <v>#DIV/0!</v>
      </c>
      <c r="O55" s="99">
        <f t="array" aca="1" ref="O55" ca="1">COUNT(IF('Well Data-NK'!Sept2014_Form={"UB"},IF('Well Data-NK'!Sept2014_Well_Type="ST",IF('Well Data-NK'!Sept2014_Prod_Inj="Prod",IF('Well Data-NK'!Sept2014_Spud_to_RR&lt;=PERCENTILE(IF('Well Data-NK'!Sept2014_Form={"UB"},IF('Well Data-NK'!Sept2014_Well_Type="ST",IF('Well Data-NK'!Sept2014_Prod_Inj="Prod",'Well Data-NK'!Sept2014_Spud_to_RR))),0.25),'Well Data-NK'!Sept2014_Spud_to_RR)))))</f>
        <v>1</v>
      </c>
      <c r="P55" s="99">
        <f t="array" aca="1" ref="P55" ca="1">AVERAGE(IF('Well Data-NK'!Sept2014_Form={"UB"},IF('Well Data-NK'!Sept2014_Well_Type="ST",IF('Well Data-NK'!Sept2014_Prod_Inj="Prod",IF('Well Data-NK'!Sept2014_Spud_to_RR&lt;=PERCENTILE(IF('Well Data-NK'!Sept2014_Form={"UB"},IF('Well Data-NK'!Sept2014_Well_Type="ST",IF('Well Data-NK'!Sept2014_Prod_Inj="Prod",'Well Data-NK'!Sept2014_Spud_to_RR))),0.25),'Well Data-NK'!Sept2014_Spud_to_RR)))))</f>
        <v>40.770829999999997</v>
      </c>
      <c r="Q55" s="99">
        <f t="array" aca="1" ref="Q55" ca="1">COUNT(IF('Well Data-NK'!Sept2014_Form={"UB"},IF('Well Data-NK'!Sept2014_Well_Type="ST",IF('Well Data-NK'!Sept2014_Prod_Inj="Inj",IF('Well Data-NK'!Sept2014_Spud_to_RR&lt;=PERCENTILE(IF('Well Data-NK'!Sept2014_Form={"UB"},IF('Well Data-NK'!Sept2014_Well_Type="ST",IF('Well Data-NK'!Sept2014_Prod_Inj="Inj",'Well Data-NK'!Sept2014_Spud_to_RR))),0.25),'Well Data-NK'!Sept2014_Spud_to_RR)))))</f>
        <v>0</v>
      </c>
      <c r="R55" s="99" t="e">
        <f t="array" aca="1" ref="R55" ca="1">AVERAGE(IF('Well Data-NK'!Sept2014_Form={"UB"},IF('Well Data-NK'!Sept2014_Well_Type="ST",IF('Well Data-NK'!Sept2014_Prod_Inj="Inj",IF('Well Data-NK'!Sept2014_Spud_to_RR&lt;=PERCENTILE(IF('Well Data-NK'!Sept2014_Form={"UB"},IF('Well Data-NK'!Sept2014_Well_Type="ST",IF('Well Data-NK'!Sept2014_Prod_Inj="Inj",'Well Data-NK'!Sept2014_Spud_to_RR))),0.25),'Well Data-NK'!Sept2014_Spud_to_RR)))))</f>
        <v>#DIV/0!</v>
      </c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6:37" x14ac:dyDescent="0.25">
      <c r="F56" s="81" t="s">
        <v>22</v>
      </c>
      <c r="G56" s="80">
        <f t="array" aca="1" ref="G56" ca="1">COUNT(IF('Well Data-NK'!Sept2014_Form={"LB"},IF('Well Data-NK'!Sept2014_Well_Type="NW",IF('Well Data-NK'!Sept2014_Spud_to_RR&lt;=PERCENTILE(IF('Well Data-NK'!Sept2014_Form={"LB"},IF('Well Data-NK'!Sept2014_Well_Type="NW",'Well Data-NK'!Sept2014_Spud_to_RR)),0.25),'Well Data-NK'!Sept2014_Spud_to_RR))))</f>
        <v>4</v>
      </c>
      <c r="H56" s="80">
        <f t="array" aca="1" ref="H56" ca="1">AVERAGE(IF('Well Data-NK'!Sept2014_Form={"LB"},IF('Well Data-NK'!Sept2014_Well_Type="NW",IF('Well Data-NK'!Sept2014_Spud_to_RR&lt;=PERCENTILE(IF('Well Data-NK'!Sept2014_Form={"LB"},IF('Well Data-NK'!Sept2014_Well_Type="NW",'Well Data-NK'!Sept2014_Spud_to_RR)),0.25),'Well Data-NK'!Sept2014_Spud_to_RR))))</f>
        <v>44.70833333333394</v>
      </c>
      <c r="I56" s="80">
        <f t="array" aca="1" ref="I56" ca="1">COUNT(IF('Well Data-NK'!Sept2014_Form={"LB"},IF('Well Data-NK'!Sept2014_Well_Type="ST",IF('Well Data-NK'!Sept2014_Spud_to_RR&lt;=PERCENTILE(IF('Well Data-NK'!Sept2014_Form={"LB"},IF('Well Data-NK'!Sept2014_Well_Type="ST",'Well Data-NK'!Sept2014_Spud_to_RR)),0.25),'Well Data-NK'!Sept2014_Spud_to_RR,))))</f>
        <v>0</v>
      </c>
      <c r="J56" s="80" t="e">
        <f t="array" aca="1" ref="J56" ca="1">AVERAGE(IF('Well Data-NK'!Sept2014_Form={"LB"},IF('Well Data-NK'!Sept2014_Well_Type="ST",IF('Well Data-NK'!Sept2014_Spud_to_RR&lt;=PERCENTILE(IF('Well Data-NK'!Sept2014_Form={"LB"},IF('Well Data-NK'!Sept2014_Well_Type="ST",'Well Data-NK'!Sept2014_Spud_to_RR)),0.25),'Well Data-NK'!Sept2014_Spud_to_RR,))))</f>
        <v>#DIV/0!</v>
      </c>
      <c r="K56" s="99">
        <f t="array" aca="1" ref="K56" ca="1">COUNT(IF('Well Data-NK'!Sept2014_Form={"LB"},IF('Well Data-NK'!Sept2014_Well_Type="NW",IF('Well Data-NK'!Sept2014_Prod_Inj="Prod",IF('Well Data-NK'!Sept2014_Spud_to_RR&lt;=PERCENTILE(IF('Well Data-NK'!Sept2014_Form={"LB"},IF('Well Data-NK'!Sept2014_Well_Type="NW",IF('Well Data-NK'!Sept2014_Prod_Inj="Prod",'Well Data-NK'!Sept2014_Spud_to_RR))),0.25),'Well Data-NK'!Sept2014_Spud_to_RR)))))</f>
        <v>4</v>
      </c>
      <c r="L56" s="99">
        <f t="array" aca="1" ref="L56" ca="1">AVERAGE(IF('Well Data-NK'!Sept2014_Form={"LB"},IF('Well Data-NK'!Sept2014_Well_Type="NW",IF('Well Data-NK'!Sept2014_Prod_Inj="Prod",IF('Well Data-NK'!Sept2014_Spud_to_RR&lt;=PERCENTILE(IF('Well Data-NK'!Sept2014_Form={"LB"},IF('Well Data-NK'!Sept2014_Well_Type="NW",IF('Well Data-NK'!Sept2014_Prod_Inj="Prod",'Well Data-NK'!Sept2014_Spud_to_RR))),0.25),'Well Data-NK'!Sept2014_Spud_to_RR)))))</f>
        <v>44.70833333333394</v>
      </c>
      <c r="M56" s="99">
        <f t="array" aca="1" ref="M56" ca="1">COUNT(IF('Well Data-NK'!Sept2014_Form={"LB"},IF('Well Data-NK'!Sept2014_Well_Type="NW",IF('Well Data-NK'!Sept2014_Prod_Inj="Inj",IF('Well Data-NK'!Sept2014_Spud_to_RR&lt;=PERCENTILE(IF('Well Data-NK'!Sept2014_Form={"LB"},IF('Well Data-NK'!Sept2014_Well_Type="NW",IF('Well Data-NK'!Sept2014_Prod_Inj="Inj",'Well Data-NK'!Sept2014_Spud_to_RR))),0.25),'Well Data-NK'!Sept2014_Spud_to_RR)))))</f>
        <v>0</v>
      </c>
      <c r="N56" s="99" t="e">
        <f t="array" aca="1" ref="N56" ca="1">AVERAGE(IF('Well Data-NK'!Sept2014_Form={"LB"},IF('Well Data-NK'!Sept2014_Well_Type="NW",IF('Well Data-NK'!Sept2014_Prod_Inj="Inj",IF('Well Data-NK'!Sept2014_Spud_to_RR&lt;=PERCENTILE(IF('Well Data-NK'!Sept2014_Form={"LB"},IF('Well Data-NK'!Sept2014_Well_Type="NW",IF('Well Data-NK'!Sept2014_Prod_Inj="Inj",'Well Data-NK'!Sept2014_Spud_to_RR))),0.25),'Well Data-NK'!Sept2014_Spud_to_RR)))))</f>
        <v>#DIV/0!</v>
      </c>
      <c r="O56" s="99">
        <f t="array" aca="1" ref="O56" ca="1">COUNT(IF('Well Data-NK'!Sept2014_Form={"LB"},IF('Well Data-NK'!Sept2014_Well_Type="ST",IF('Well Data-NK'!Sept2014_Prod_Inj="Prod",IF('Well Data-NK'!Sept2014_Spud_to_RR&lt;=PERCENTILE(IF('Well Data-NK'!Sept2014_Form={"LB"},IF('Well Data-NK'!Sept2014_Well_Type="ST",IF('Well Data-NK'!Sept2014_Prod_Inj="Prod",'Well Data-NK'!Sept2014_Spud_to_RR))),0.25),'Well Data-NK'!Sept2014_Spud_to_RR)))))</f>
        <v>0</v>
      </c>
      <c r="P56" s="99" t="e">
        <f t="array" aca="1" ref="P56" ca="1">AVERAGE(IF('Well Data-NK'!Sept2014_Form={"LB"},IF('Well Data-NK'!Sept2014_Well_Type="ST",IF('Well Data-NK'!Sept2014_Prod_Inj="Prod",IF('Well Data-NK'!Sept2014_Spud_to_RR&lt;=PERCENTILE(IF('Well Data-NK'!Sept2014_Form={"LB"},IF('Well Data-NK'!Sept2014_Well_Type="ST",IF('Well Data-NK'!Sept2014_Prod_Inj="Prod",'Well Data-NK'!Sept2014_Spud_to_RR))),0.25),'Well Data-NK'!Sept2014_Spud_to_RR)))))</f>
        <v>#DIV/0!</v>
      </c>
      <c r="Q56" s="99">
        <f t="array" aca="1" ref="Q56" ca="1">COUNT(IF('Well Data-NK'!Sept2014_Form={"LB"},IF('Well Data-NK'!Sept2014_Well_Type="ST",IF('Well Data-NK'!Sept2014_Prod_Inj="Inj",IF('Well Data-NK'!Sept2014_Spud_to_RR&lt;=PERCENTILE(IF('Well Data-NK'!Sept2014_Form={"LB"},IF('Well Data-NK'!Sept2014_Well_Type="ST",IF('Well Data-NK'!Sept2014_Prod_Inj="Inj",'Well Data-NK'!Sept2014_Spud_to_RR))),0.25),'Well Data-NK'!Sept2014_Spud_to_RR)))))</f>
        <v>0</v>
      </c>
      <c r="R56" s="99" t="e">
        <f t="array" aca="1" ref="R56" ca="1">AVERAGE(IF('Well Data-NK'!Sept2014_Form={"LB"},IF('Well Data-NK'!Sept2014_Well_Type="ST",IF('Well Data-NK'!Sept2014_Prod_Inj="Inj",IF('Well Data-NK'!Sept2014_Spud_to_RR&lt;=PERCENTILE(IF('Well Data-NK'!Sept2014_Form={"LB"},IF('Well Data-NK'!Sept2014_Well_Type="ST",IF('Well Data-NK'!Sept2014_Prod_Inj="Inj",'Well Data-NK'!Sept2014_Spud_to_RR))),0.25),'Well Data-NK'!Sept2014_Spud_to_RR)))))</f>
        <v>#DIV/0!</v>
      </c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6:37" x14ac:dyDescent="0.25">
      <c r="F57" s="81" t="s">
        <v>825</v>
      </c>
      <c r="G57" s="80">
        <f t="array" aca="1" ref="G57" ca="1">COUNT(IF('Well Data-NK'!Sept2014_Form={"ZU","RT"},IF('Well Data-NK'!Sept2014_Well_Type="NW",IF('Well Data-NK'!Sept2014_Spud_to_RR&lt;=PERCENTILE(IF('Well Data-NK'!Sept2014_Form={"ZU","RT"},IF('Well Data-NK'!Sept2014_Well_Type="NW",'Well Data-NK'!Sept2014_Spud_to_RR)),0.25),'Well Data-NK'!Sept2014_Spud_to_RR))))</f>
        <v>2</v>
      </c>
      <c r="H57" s="80">
        <f t="array" aca="1" ref="H57" ca="1">AVERAGE(IF('Well Data-NK'!Sept2014_Form={"ZU","RT"},IF('Well Data-NK'!Sept2014_Well_Type="NW",IF('Well Data-NK'!Sept2014_Spud_to_RR&lt;=PERCENTILE(IF('Well Data-NK'!Sept2014_Form={"ZU","RT"},IF('Well Data-NK'!Sept2014_Well_Type="NW",'Well Data-NK'!Sept2014_Spud_to_RR)),0.25),'Well Data-NK'!Sept2014_Spud_to_RR))))</f>
        <v>60.770833333332121</v>
      </c>
      <c r="I57" s="80">
        <f t="array" aca="1" ref="I57" ca="1">COUNT(IF('Well Data-NK'!Sept2014_Form={"ZU","RT"},IF('Well Data-NK'!Sept2014_Well_Type="ST",IF('Well Data-NK'!Sept2014_Spud_to_RR&lt;=PERCENTILE(IF('Well Data-NK'!Sept2014_Form={"ZU","RT"},IF('Well Data-NK'!Sept2014_Well_Type="ST",'Well Data-NK'!Sept2014_Spud_to_RR)),0.25),'Well Data-NK'!Sept2014_Spud_to_RR))))</f>
        <v>1</v>
      </c>
      <c r="J57" s="80">
        <f t="array" aca="1" ref="J57" ca="1">AVERAGE(IF('Well Data-NK'!Sept2014_Form={"ZU","RT"},IF('Well Data-NK'!Sept2014_Well_Type="ST",IF('Well Data-NK'!Sept2014_Spud_to_RR&lt;=PERCENTILE(IF('Well Data-NK'!Sept2014_Form={"ZU","RT"},IF('Well Data-NK'!Sept2014_Well_Type="ST",'Well Data-NK'!Sept2014_Spud_to_RR)),0.25),'Well Data-NK'!Sept2014_Spud_to_RR))))</f>
        <v>52</v>
      </c>
      <c r="K57" s="99">
        <f t="array" aca="1" ref="K57" ca="1">COUNT(IF('Well Data-NK'!Sept2014_Form={"ZU","RT"},IF('Well Data-NK'!Sept2014_Well_Type="NW",IF('Well Data-NK'!Sept2014_Prod_Inj="Prod",IF('Well Data-NK'!Sept2014_Spud_to_RR&lt;=PERCENTILE(IF('Well Data-NK'!Sept2014_Form={"ZU","RT"},IF('Well Data-NK'!Sept2014_Well_Type="NW",IF('Well Data-NK'!Sept2014_Prod_Inj="Prod",'Well Data-NK'!Sept2014_Spud_to_RR))),0.25),'Well Data-NK'!Sept2014_Spud_to_RR)))))</f>
        <v>2</v>
      </c>
      <c r="L57" s="99">
        <f t="array" aca="1" ref="L57" ca="1">AVERAGE(IF('Well Data-NK'!Sept2014_Form={"ZU","RT"},IF('Well Data-NK'!Sept2014_Well_Type="NW",IF('Well Data-NK'!Sept2014_Prod_Inj="Prod",IF('Well Data-NK'!Sept2014_Spud_to_RR&lt;=PERCENTILE(IF('Well Data-NK'!Sept2014_Form={"ZU","RT"},IF('Well Data-NK'!Sept2014_Well_Type="NW",IF('Well Data-NK'!Sept2014_Prod_Inj="Prod",'Well Data-NK'!Sept2014_Spud_to_RR))),0.25),'Well Data-NK'!Sept2014_Spud_to_RR)))))</f>
        <v>60.770833333332121</v>
      </c>
      <c r="M57" s="99">
        <f t="array" aca="1" ref="M57" ca="1">COUNT(IF('Well Data-NK'!Sept2014_Form={"ZU","RT"},IF('Well Data-NK'!Sept2014_Well_Type="NW",IF('Well Data-NK'!Sept2014_Prod_Inj="Inj",IF('Well Data-NK'!Sept2014_Spud_to_RR&lt;=PERCENTILE(IF('Well Data-NK'!Sept2014_Form={"ZU","RT"},IF('Well Data-NK'!Sept2014_Well_Type="NW",IF('Well Data-NK'!Sept2014_Prod_Inj="Inj",'Well Data-NK'!Sept2014_Spud_to_RR))),0.25),'Well Data-NK'!Sept2014_Spud_to_RR)))))</f>
        <v>0</v>
      </c>
      <c r="N57" s="99" t="e">
        <f t="array" aca="1" ref="N57" ca="1">AVERAGE(IF('Well Data-NK'!Sept2014_Form={"ZU","RT"},IF('Well Data-NK'!Sept2014_Well_Type="NW",IF('Well Data-NK'!Sept2014_Prod_Inj="Inj",IF('Well Data-NK'!Sept2014_Spud_to_RR&lt;=PERCENTILE(IF('Well Data-NK'!Sept2014_Form={"ZU","RT"},IF('Well Data-NK'!Sept2014_Well_Type="NW",IF('Well Data-NK'!Sept2014_Prod_Inj="Inj",'Well Data-NK'!Sept2014_Spud_to_RR))),0.25),'Well Data-NK'!Sept2014_Spud_to_RR)))))</f>
        <v>#DIV/0!</v>
      </c>
      <c r="O57" s="99">
        <f t="array" aca="1" ref="O57" ca="1">COUNT(IF('Well Data-NK'!Sept2014_Form={"ZU","RT"},IF('Well Data-NK'!Sept2014_Well_Type="ST",IF('Well Data-NK'!Sept2014_Prod_Inj="Prod",IF('Well Data-NK'!Sept2014_Spud_to_RR&lt;=PERCENTILE(IF('Well Data-NK'!Sept2014_Form={"ZU","RT"},IF('Well Data-NK'!Sept2014_Well_Type="ST",IF('Well Data-NK'!Sept2014_Prod_Inj="Prod",'Well Data-NK'!Sept2014_Spud_to_RR))),0.25),'Well Data-NK'!Sept2014_Spud_to_RR)))))</f>
        <v>1</v>
      </c>
      <c r="P57" s="99">
        <f t="array" aca="1" ref="P57" ca="1">AVERAGE(IF('Well Data-NK'!Sept2014_Form={"ZU","RT"},IF('Well Data-NK'!Sept2014_Well_Type="ST",IF('Well Data-NK'!Sept2014_Prod_Inj="Prod",IF('Well Data-NK'!Sept2014_Spud_to_RR&lt;=PERCENTILE(IF('Well Data-NK'!Sept2014_Form={"ZU","RT"},IF('Well Data-NK'!Sept2014_Well_Type="ST",IF('Well Data-NK'!Sept2014_Prod_Inj="Prod",'Well Data-NK'!Sept2014_Spud_to_RR))),0.25),'Well Data-NK'!Sept2014_Spud_to_RR)))))</f>
        <v>52</v>
      </c>
      <c r="Q57" s="99">
        <f t="array" aca="1" ref="Q57" ca="1">COUNT(IF('Well Data-NK'!Sept2014_Form={"ZU","RT"},IF('Well Data-NK'!Sept2014_Well_Type="ST",IF('Well Data-NK'!Sept2014_Prod_Inj="Inj",IF('Well Data-NK'!Sept2014_Spud_to_RR&lt;=PERCENTILE(IF('Well Data-NK'!Sept2014_Form={"ZU","RT"},IF('Well Data-NK'!Sept2014_Well_Type="ST",IF('Well Data-NK'!Sept2014_Prod_Inj="Inj",'Well Data-NK'!Sept2014_Spud_to_RR))),0.25),'Well Data-NK'!Sept2014_Spud_to_RR)))))</f>
        <v>0</v>
      </c>
      <c r="R57" s="99" t="e">
        <f t="array" aca="1" ref="R57" ca="1">AVERAGE(IF('Well Data-NK'!Sept2014_Form={"ZU","RT"},IF('Well Data-NK'!Sept2014_Well_Type="ST",IF('Well Data-NK'!Sept2014_Prod_Inj="Inj",IF('Well Data-NK'!Sept2014_Spud_to_RR&lt;=PERCENTILE(IF('Well Data-NK'!Sept2014_Form={"ZU","RT"},IF('Well Data-NK'!Sept2014_Well_Type="ST",IF('Well Data-NK'!Sept2014_Prod_Inj="Inj",'Well Data-NK'!Sept2014_Spud_to_RR))),0.25),'Well Data-NK'!Sept2014_Spud_to_RR)))))</f>
        <v>#DIV/0!</v>
      </c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6:37" x14ac:dyDescent="0.25">
      <c r="F58" s="81" t="s">
        <v>816</v>
      </c>
      <c r="G58" s="80">
        <f t="array" aca="1" ref="G58" ca="1">COUNT(IF('Well Data-NK'!Sept2014_Form={"ZU","RT","LB","UB","MA"},IF('Well Data-NK'!Sept2014_Well_Type="NW",IF('Well Data-NK'!Sept2014_Spud_to_RR&lt;=PERCENTILE(IF('Well Data-NK'!Sept2014_Form={"ZU","RT","LB","UB","MA"},IF('Well Data-NK'!Sept2014_Well_Type="NW",'Well Data-NK'!Sept2014_Spud_to_RR)),0.25),'Well Data-NK'!Sept2014_Spud_to_RR))))</f>
        <v>10</v>
      </c>
      <c r="H58" s="80">
        <f t="array" aca="1" ref="H58" ca="1">AVERAGE(IF('Well Data-NK'!Sept2014_Form={"ZU","RT","LB","UB","MA"},IF('Well Data-NK'!Sept2014_Well_Type="NW",IF('Well Data-NK'!Sept2014_Spud_to_RR&lt;=PERCENTILE(IF('Well Data-NK'!Sept2014_Form={"ZU","RT","LB","UB","MA"},IF('Well Data-NK'!Sept2014_Well_Type="NW",'Well Data-NK'!Sept2014_Spud_to_RR)),0.25),'Well Data-NK'!Sept2014_Spud_to_RR))))</f>
        <v>45.843750000000725</v>
      </c>
      <c r="I58" s="80">
        <f t="array" aca="1" ref="I58" ca="1">COUNT(IF('Well Data-NK'!Sept2014_Form={"ZU","RT","LB","UB","MA"},IF('Well Data-NK'!Sept2014_Well_Type="ST",IF('Well Data-NK'!Sept2014_Spud_to_RR&lt;=PERCENTILE(IF('Well Data-NK'!Sept2014_Form={"ZU","RT","LB","UB","MA"},IF('Well Data-NK'!Sept2014_Well_Type="ST",'Well Data-NK'!Sept2014_Spud_to_RR)),0.25),'Well Data-NK'!Sept2014_Spud_to_RR))))</f>
        <v>9</v>
      </c>
      <c r="J58" s="80">
        <f t="array" aca="1" ref="J58" ca="1">AVERAGE(IF('Well Data-NK'!Sept2014_Form={"ZU","RT","LB","UB","MA"},IF('Well Data-NK'!Sept2014_Well_Type="ST",IF('Well Data-NK'!Sept2014_Spud_to_RR&lt;=PERCENTILE(IF('Well Data-NK'!Sept2014_Form={"ZU","RT","LB","UB","MA"},IF('Well Data-NK'!Sept2014_Well_Type="ST",'Well Data-NK'!Sept2014_Spud_to_RR)),0.25),'Well Data-NK'!Sept2014_Spud_to_RR))))</f>
        <v>30.178240740739657</v>
      </c>
      <c r="K58" s="99">
        <f t="array" aca="1" ref="K58" ca="1">COUNT(IF('Well Data-NK'!Sept2014_Form={"ZU","RT","LB","UB","MA"},IF('Well Data-NK'!Sept2014_Well_Type="NW",IF('Well Data-NK'!Sept2014_Prod_Inj="Prod",IF('Well Data-NK'!Sept2014_Spud_to_RR&lt;=PERCENTILE(IF('Well Data-NK'!Sept2014_Form={"ZU","RT","LB","UB","MA"},IF('Well Data-NK'!Sept2014_Well_Type="NW",IF('Well Data-NK'!Sept2014_Prod_Inj="Prod",'Well Data-NK'!Sept2014_Spud_to_RR))),0.25),'Well Data-NK'!Sept2014_Spud_to_RR)))))</f>
        <v>9</v>
      </c>
      <c r="L58" s="99">
        <f t="array" aca="1" ref="L58" ca="1">AVERAGE(IF('Well Data-NK'!Sept2014_Form={"ZU","RT","LB","UB","MA"},IF('Well Data-NK'!Sept2014_Well_Type="NW",IF('Well Data-NK'!Sept2014_Prod_Inj="Prod",IF('Well Data-NK'!Sept2014_Spud_to_RR&lt;=PERCENTILE(IF('Well Data-NK'!Sept2014_Form={"ZU","RT","LB","UB","MA"},IF('Well Data-NK'!Sept2014_Well_Type="NW",IF('Well Data-NK'!Sept2014_Prod_Inj="Prod",'Well Data-NK'!Sept2014_Spud_to_RR))),0.25),'Well Data-NK'!Sept2014_Spud_to_RR)))))</f>
        <v>46.108796296296838</v>
      </c>
      <c r="M58" s="99">
        <f t="array" aca="1" ref="M58" ca="1">COUNT(IF('Well Data-NK'!Sept2014_Form={"ZU","RT","LB","UB","MA"},IF('Well Data-NK'!Sept2014_Well_Type="NW",IF('Well Data-NK'!Sept2014_Prod_Inj="Inj",IF('Well Data-NK'!Sept2014_Spud_to_RR&lt;=PERCENTILE(IF('Well Data-NK'!Sept2014_Form={"ZU","RT","LB","UB","MA"},IF('Well Data-NK'!Sept2014_Well_Type="NW",IF('Well Data-NK'!Sept2014_Prod_Inj="Inj",'Well Data-NK'!Sept2014_Spud_to_RR))),0.25),'Well Data-NK'!Sept2014_Spud_to_RR)))))</f>
        <v>1</v>
      </c>
      <c r="N58" s="99">
        <f t="array" aca="1" ref="N58" ca="1">AVERAGE(IF('Well Data-NK'!Sept2014_Form={"ZU","RT","LB","UB","MA"},IF('Well Data-NK'!Sept2014_Well_Type="NW",IF('Well Data-NK'!Sept2014_Prod_Inj="Inj",IF('Well Data-NK'!Sept2014_Spud_to_RR&lt;=PERCENTILE(IF('Well Data-NK'!Sept2014_Form={"ZU","RT","LB","UB","MA"},IF('Well Data-NK'!Sept2014_Well_Type="NW",IF('Well Data-NK'!Sept2014_Prod_Inj="Inj",'Well Data-NK'!Sept2014_Spud_to_RR))),0.25),'Well Data-NK'!Sept2014_Spud_to_RR)))))</f>
        <v>43.458333333335759</v>
      </c>
      <c r="O58" s="99">
        <f t="array" aca="1" ref="O58" ca="1">COUNT(IF('Well Data-NK'!Sept2014_Form={"ZU","RT","LB","UB","MA"},IF('Well Data-NK'!Sept2014_Well_Type="ST",IF('Well Data-NK'!Sept2014_Prod_Inj="Prod",IF('Well Data-NK'!Sept2014_Spud_to_RR&lt;=PERCENTILE(IF('Well Data-NK'!Sept2014_Form={"ZU","RT","LB","UB","MA"},IF('Well Data-NK'!Sept2014_Well_Type="ST",IF('Well Data-NK'!Sept2014_Prod_Inj="Prod",'Well Data-NK'!Sept2014_Spud_to_RR))),0.25),'Well Data-NK'!Sept2014_Spud_to_RR)))))</f>
        <v>5</v>
      </c>
      <c r="P58" s="99">
        <f t="array" aca="1" ref="P58" ca="1">AVERAGE(IF('Well Data-NK'!Sept2014_Form={"ZU","RT","LB","UB","MA"},IF('Well Data-NK'!Sept2014_Well_Type="ST",IF('Well Data-NK'!Sept2014_Prod_Inj="Prod",IF('Well Data-NK'!Sept2014_Spud_to_RR&lt;=PERCENTILE(IF('Well Data-NK'!Sept2014_Form={"ZU","RT","LB","UB","MA"},IF('Well Data-NK'!Sept2014_Well_Type="ST",IF('Well Data-NK'!Sept2014_Prod_Inj="Prod",'Well Data-NK'!Sept2014_Spud_to_RR))),0.25),'Well Data-NK'!Sept2014_Spud_to_RR)))))</f>
        <v>35.262499333334304</v>
      </c>
      <c r="Q58" s="99">
        <f t="array" aca="1" ref="Q58" ca="1">COUNT(IF('Well Data-NK'!Sept2014_Form={"ZU","RT","LB","UB","MA"},IF('Well Data-NK'!Sept2014_Well_Type="ST",IF('Well Data-NK'!Sept2014_Prod_Inj="Inj",IF('Well Data-NK'!Sept2014_Spud_to_RR&lt;=PERCENTILE(IF('Well Data-NK'!Sept2014_Form={"ZU","RT","LB","UB","MA"},IF('Well Data-NK'!Sept2014_Well_Type="ST",IF('Well Data-NK'!Sept2014_Prod_Inj="Inj",'Well Data-NK'!Sept2014_Spud_to_RR))),0.25),'Well Data-NK'!Sept2014_Spud_to_RR)))))</f>
        <v>4</v>
      </c>
      <c r="R58" s="99">
        <f t="array" aca="1" ref="R58" ca="1">AVERAGE(IF('Well Data-NK'!Sept2014_Form={"ZU","RT","LB","UB","MA"},IF('Well Data-NK'!Sept2014_Well_Type="ST",IF('Well Data-NK'!Sept2014_Prod_Inj="Inj",IF('Well Data-NK'!Sept2014_Spud_to_RR&lt;=PERCENTILE(IF('Well Data-NK'!Sept2014_Form={"ZU","RT","LB","UB","MA"},IF('Well Data-NK'!Sept2014_Well_Type="ST",IF('Well Data-NK'!Sept2014_Prod_Inj="Inj",'Well Data-NK'!Sept2014_Spud_to_RR))),0.25),'Well Data-NK'!Sept2014_Spud_to_RR)))))</f>
        <v>29.16145833333211</v>
      </c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6:37" x14ac:dyDescent="0.25"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</row>
    <row r="60" spans="6:37" x14ac:dyDescent="0.25"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</row>
    <row r="61" spans="6:37" x14ac:dyDescent="0.25"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</row>
    <row r="64" spans="6:37" ht="15.75" thickBot="1" x14ac:dyDescent="0.3">
      <c r="F64" s="108"/>
      <c r="G64" s="90"/>
      <c r="H64" s="90"/>
      <c r="I64" s="90"/>
      <c r="J64" s="90"/>
      <c r="K64" s="90"/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0"/>
      <c r="Y64" s="90"/>
    </row>
    <row r="65" spans="5:37" ht="15.75" thickBot="1" x14ac:dyDescent="0.3">
      <c r="F65" s="116" t="s">
        <v>1044</v>
      </c>
      <c r="G65" s="43"/>
      <c r="H65" s="27" t="s">
        <v>865</v>
      </c>
      <c r="I65" s="43"/>
      <c r="J65" s="43"/>
      <c r="K65" s="43"/>
      <c r="L65" s="43"/>
      <c r="M65" s="43"/>
      <c r="N65" s="607"/>
      <c r="O65" s="607"/>
      <c r="P65" s="607"/>
      <c r="Q65" s="607"/>
      <c r="R65" s="607"/>
      <c r="S65" s="607"/>
      <c r="T65" s="607"/>
      <c r="U65" s="607"/>
      <c r="V65" s="607"/>
      <c r="W65" s="607"/>
      <c r="X65" s="607"/>
      <c r="Y65" s="607"/>
    </row>
    <row r="66" spans="5:37" x14ac:dyDescent="0.25">
      <c r="F66" s="43"/>
      <c r="G66" s="605" t="s">
        <v>307</v>
      </c>
      <c r="H66" s="606"/>
      <c r="I66" s="606"/>
      <c r="J66" s="606"/>
      <c r="K66" s="606"/>
      <c r="L66" s="606"/>
      <c r="M66" s="606"/>
      <c r="N66" s="606"/>
      <c r="O66" s="606"/>
      <c r="P66" s="606"/>
      <c r="Q66" s="606"/>
      <c r="R66" s="608"/>
      <c r="S66" s="608"/>
      <c r="T66" s="608"/>
      <c r="U66" s="608"/>
      <c r="V66" s="608"/>
      <c r="W66" s="608"/>
      <c r="X66" s="608"/>
      <c r="Y66" s="608"/>
    </row>
    <row r="67" spans="5:37" x14ac:dyDescent="0.25">
      <c r="F67" s="92" t="s">
        <v>840</v>
      </c>
      <c r="G67" s="92" t="s">
        <v>603</v>
      </c>
      <c r="H67" s="92" t="s">
        <v>884</v>
      </c>
      <c r="I67" s="92" t="s">
        <v>814</v>
      </c>
      <c r="J67" s="92" t="s">
        <v>879</v>
      </c>
      <c r="K67" s="92" t="s">
        <v>880</v>
      </c>
      <c r="L67" s="92" t="s">
        <v>881</v>
      </c>
      <c r="M67" s="92" t="s">
        <v>882</v>
      </c>
      <c r="N67" s="75" t="s">
        <v>1045</v>
      </c>
      <c r="O67" s="75" t="s">
        <v>1046</v>
      </c>
      <c r="P67" s="75" t="s">
        <v>1047</v>
      </c>
      <c r="Q67" s="75" t="s">
        <v>1048</v>
      </c>
      <c r="R67" s="102"/>
      <c r="S67" s="102"/>
      <c r="T67" s="102"/>
      <c r="U67" s="102"/>
      <c r="V67" s="102"/>
      <c r="W67" s="102"/>
      <c r="X67" s="102"/>
      <c r="Y67" s="102"/>
    </row>
    <row r="68" spans="5:37" x14ac:dyDescent="0.25">
      <c r="F68" s="81" t="s">
        <v>17</v>
      </c>
      <c r="G68" s="81">
        <f>COUNTIF('Well Data-NK'!G109:G154,"MA")</f>
        <v>29</v>
      </c>
      <c r="H68" s="80">
        <f t="array" ref="H68">AVERAGE(IF('Well Data-NK'!G109:G154={"MA"},'Well Data-NK'!Q109:Q154))</f>
        <v>40.008764091953431</v>
      </c>
      <c r="I68" s="80">
        <f t="array" ref="I68">AVERAGE(IF('Well Data-NK'!G109:G154={"MA"},'Well Data-NK'!S109:S154))</f>
        <v>52.137931034482762</v>
      </c>
      <c r="J68" s="80">
        <f t="array" ref="J68">COUNT(IF('Well Data-NK'!G109:G154={"MA"},IF('Well Data-NK'!K109:K154="NW",'Well Data-NK'!S109:S154)))</f>
        <v>2</v>
      </c>
      <c r="K68" s="80">
        <f t="array" ref="K68">AVERAGE(IF('Well Data-NK'!G109:G154={"MA"},IF('Well Data-NK'!K109:K154="NW",'Well Data-NK'!S109:S154)))</f>
        <v>70</v>
      </c>
      <c r="L68" s="80">
        <f t="array" ref="L68">COUNT(IF('Well Data-NK'!G109:G154={"MA"},IF('Well Data-NK'!K109:K154="ST",'Well Data-NK'!S109:S154)))</f>
        <v>27</v>
      </c>
      <c r="M68" s="80">
        <f t="array" ref="M68">AVERAGE(IF('Well Data-NK'!G109:G154={"MA"},IF('Well Data-NK'!K109:K154="ST",'Well Data-NK'!S109:S154)))</f>
        <v>50.814814814814817</v>
      </c>
      <c r="N68" s="80">
        <f t="array" ref="N68">AVERAGE(IF('Well Data-NK'!G109:G154={"MA"},IF('Well Data-NK'!K109:K154="NW",IF('Well Data-NK'!J109:J154="Prod",'Well Data-NK'!S109:S154))))</f>
        <v>70</v>
      </c>
      <c r="O68" s="80" t="e">
        <f t="array" ref="O68">AVERAGE(IF('Well Data-NK'!G109:G154={"MA"},IF('Well Data-NK'!K109:K154="NW",IF('Well Data-NK'!J109:J154="Inj",'Well Data-NK'!S109:S154))))</f>
        <v>#DIV/0!</v>
      </c>
      <c r="P68" s="80">
        <f t="array" ref="P68">AVERAGE(IF('Well Data-NK'!G109:G154={"MA"},IF('Well Data-NK'!K109:K154="ST",IF('Well Data-NK'!J109:J154="Prod",'Well Data-NK'!S109:S154))))</f>
        <v>56</v>
      </c>
      <c r="Q68" s="80">
        <f t="array" ref="Q68">AVERAGE(IF('Well Data-NK'!G109:G154={"MA"},IF('Well Data-NK'!K109:K154="ST",IF('Well Data-NK'!J109:J154="Inj",'Well Data-NK'!S109:S154))))</f>
        <v>49</v>
      </c>
      <c r="R68" s="108"/>
      <c r="S68" s="108"/>
      <c r="T68" s="108"/>
      <c r="U68" s="108"/>
      <c r="V68" s="108"/>
      <c r="W68" s="108"/>
      <c r="X68" s="108"/>
      <c r="Y68" s="108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</row>
    <row r="69" spans="5:37" x14ac:dyDescent="0.25">
      <c r="F69" s="81" t="s">
        <v>29</v>
      </c>
      <c r="G69" s="81">
        <f>COUNTIF('Well Data-NK'!G109:G154,"UB")</f>
        <v>4</v>
      </c>
      <c r="H69" s="80">
        <f t="array" ref="H69">AVERAGE(IF('Well Data-NK'!G109:G154={"UB"},'Well Data-NK'!Q109:Q154))</f>
        <v>53.119789999999995</v>
      </c>
      <c r="I69" s="80">
        <f t="array" ref="I69">AVERAGE(IF('Well Data-NK'!G109:G154={"UB"},'Well Data-NK'!S109:S154))</f>
        <v>63</v>
      </c>
      <c r="J69" s="80">
        <f t="array" ref="J69">COUNT(IF('Well Data-NK'!G109:G154={"UB"},IF('Well Data-NK'!K109:K154="NW",'Well Data-NK'!S109:S154)))</f>
        <v>2</v>
      </c>
      <c r="K69" s="80">
        <f t="array" ref="K69">AVERAGE(IF('Well Data-NK'!G109:G154={"UB"},IF('Well Data-NK'!K109:K154="NW",'Well Data-NK'!S109:S154)))</f>
        <v>70</v>
      </c>
      <c r="L69" s="80">
        <f t="array" ref="L69">COUNT(IF('Well Data-NK'!G109:G154={"UB"},IF('Well Data-NK'!K109:K154="ST",'Well Data-NK'!S109:S154)))</f>
        <v>2</v>
      </c>
      <c r="M69" s="80">
        <f t="array" ref="M69">AVERAGE(IF('Well Data-NK'!G109:G154={"UB"},IF('Well Data-NK'!K109:K154="ST",'Well Data-NK'!S109:S154)))</f>
        <v>56</v>
      </c>
      <c r="N69" s="80">
        <f t="array" ref="N69">AVERAGE(IF('Well Data-NK'!G109:G154={"UB"},IF('Well Data-NK'!K109:K154="NW",IF('Well Data-NK'!J109:J154="Prod",'Well Data-NK'!S109:S154))))</f>
        <v>70</v>
      </c>
      <c r="O69" s="80" t="e">
        <f t="array" ref="O69">AVERAGE(IF('Well Data-NK'!G109:G154={"UB"},IF('Well Data-NK'!K109:K154="NW",IF('Well Data-NK'!J109:J154="Inj",'Well Data-NK'!S109:S154))))</f>
        <v>#DIV/0!</v>
      </c>
      <c r="P69" s="80">
        <f t="array" ref="P69">AVERAGE(IF('Well Data-NK'!G109:G154={"UB"},IF('Well Data-NK'!K109:K154="ST",IF('Well Data-NK'!J109:J154="Prod",'Well Data-NK'!S109:S154))))</f>
        <v>56</v>
      </c>
      <c r="Q69" s="80" t="e">
        <f t="array" ref="Q69">AVERAGE(IF('Well Data-NK'!G109:G154={"UB"},IF('Well Data-NK'!K109:K154="ST",IF('Well Data-NK'!J109:J154="Inj",'Well Data-NK'!S109:S154))))</f>
        <v>#DIV/0!</v>
      </c>
      <c r="R69" s="108"/>
      <c r="S69" s="108"/>
      <c r="T69" s="108"/>
      <c r="U69" s="108"/>
      <c r="V69" s="108"/>
      <c r="W69" s="108"/>
      <c r="X69" s="108"/>
      <c r="Y69" s="108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</row>
    <row r="70" spans="5:37" x14ac:dyDescent="0.25">
      <c r="F70" s="81" t="s">
        <v>22</v>
      </c>
      <c r="G70" s="81">
        <f>COUNTIF('Well Data-NK'!G109:G154,"LB")</f>
        <v>7</v>
      </c>
      <c r="H70" s="80">
        <f t="array" ref="H70">AVERAGE(IF('Well Data-NK'!G109:G154={"LB"},'Well Data-NK'!Q109:Q154))</f>
        <v>55.81537142381022</v>
      </c>
      <c r="I70" s="80">
        <f t="array" ref="I70">AVERAGE(IF('Well Data-NK'!G109:G154={"LB"},'Well Data-NK'!S109:S154))</f>
        <v>70</v>
      </c>
      <c r="J70" s="80">
        <f t="array" ref="J70">COUNT(IF('Well Data-NK'!G109:G154={"LB"},IF('Well Data-NK'!K109:K154="NW",'Well Data-NK'!S109:S154)))</f>
        <v>7</v>
      </c>
      <c r="K70" s="80">
        <f t="array" ref="K70">AVERAGE(IF('Well Data-NK'!G109:G154={"LB"},IF('Well Data-NK'!K109:K154="NW",'Well Data-NK'!S109:S154)))</f>
        <v>70</v>
      </c>
      <c r="L70" s="80">
        <f t="array" ref="L70">COUNT(IF('Well Data-NK'!G109:G154={"LB"},IF('Well Data-NK'!K109:K154="ST",'Well Data-NK'!S109:S154)))</f>
        <v>0</v>
      </c>
      <c r="M70" s="80" t="e">
        <f t="array" ref="M70">AVERAGE(IF('Well Data-NK'!G109:G154={"LB"},IF('Well Data-NK'!K109:K154="ST",'Well Data-NK'!S109:S154)))</f>
        <v>#DIV/0!</v>
      </c>
      <c r="N70" s="80">
        <f t="array" ref="N70">AVERAGE(IF('Well Data-NK'!G109:G154={"LB"},IF('Well Data-NK'!K109:K154="NW",IF('Well Data-NK'!J109:J154="Prod",'Well Data-NK'!S109:S154))))</f>
        <v>70</v>
      </c>
      <c r="O70" s="80" t="e">
        <f t="array" ref="O70">AVERAGE(IF('Well Data-NK'!G109:G154={"LB"},IF('Well Data-NK'!K109:K154="NW",IF('Well Data-NK'!J109:J154="Inj",'Well Data-NK'!S109:S154))))</f>
        <v>#DIV/0!</v>
      </c>
      <c r="P70" s="80" t="e">
        <f t="array" ref="P70">AVERAGE(IF('Well Data-NK'!G109:G154={"LB"},IF('Well Data-NK'!K109:K154="ST",IF('Well Data-NK'!J109:J154="Prod",'Well Data-NK'!S109:S154))))</f>
        <v>#DIV/0!</v>
      </c>
      <c r="Q70" s="80" t="e">
        <f t="array" ref="Q70">AVERAGE(IF('Well Data-NK'!G109:G154={"LB"},IF('Well Data-NK'!K109:K154="ST",IF('Well Data-NK'!J109:J154="Inj",'Well Data-NK'!S109:S154))))</f>
        <v>#DIV/0!</v>
      </c>
      <c r="R70" s="108"/>
      <c r="S70" s="108"/>
      <c r="T70" s="108"/>
      <c r="U70" s="108"/>
      <c r="V70" s="108"/>
      <c r="W70" s="108"/>
      <c r="X70" s="108"/>
      <c r="Y70" s="108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</row>
    <row r="71" spans="5:37" x14ac:dyDescent="0.25">
      <c r="F71" s="81" t="s">
        <v>825</v>
      </c>
      <c r="G71" s="81">
        <f>COUNTIFS('Well Data-NK'!G109:G154,"ZU")+COUNTIFS('Well Data-NK'!G109:G154,"RT")</f>
        <v>6</v>
      </c>
      <c r="H71" s="80">
        <f t="array" ref="H71">AVERAGE(IF('Well Data-NK'!G109:G154={"ZU","RT"},'Well Data-NK'!Q109:Q154))</f>
        <v>80.725700000000003</v>
      </c>
      <c r="I71" s="80">
        <f t="array" ref="I71">AVERAGE(IF('Well Data-NK'!G109:G154={"ZU","RT"},'Well Data-NK'!S109:S154))</f>
        <v>89.6</v>
      </c>
      <c r="J71" s="80">
        <f t="array" ref="J71">COUNT(IF('Well Data-NK'!G109:G154={"RT","ZU"},IF('Well Data-NK'!K109:K154="NW",'Well Data-NK'!S109:S154)))</f>
        <v>4</v>
      </c>
      <c r="K71" s="80">
        <f t="array" ref="K71">AVERAGE(IF('Well Data-NK'!G109:G154={"RT","ZU"},IF('Well Data-NK'!K109:K154="NW",'Well Data-NK'!S109:S154)))</f>
        <v>98</v>
      </c>
      <c r="L71" s="80">
        <f t="array" ref="L71">COUNT(IF('Well Data-NK'!G109:G154={"RT","ZU"},IF('Well Data-NK'!K109:K154="ST",'Well Data-NK'!S109:S154)))</f>
        <v>1</v>
      </c>
      <c r="M71" s="80">
        <f t="array" ref="M71">AVERAGE(IF('Well Data-NK'!G109:G154={"RT","ZU"},IF('Well Data-NK'!K109:K154="ST",'Well Data-NK'!S109:S154)))</f>
        <v>56</v>
      </c>
      <c r="N71" s="80">
        <f t="array" ref="N71">AVERAGE(IF('Well Data-NK'!G109:G154={"ZU","RT"},IF('Well Data-NK'!K109:K154="NW",IF('Well Data-NK'!J109:J154="Prod",'Well Data-NK'!S109:S154))))</f>
        <v>98</v>
      </c>
      <c r="O71" s="80" t="e">
        <f t="array" ref="O71">AVERAGE(IF('Well Data-NK'!G109:G154={"ZU","RT"},IF('Well Data-NK'!K109:K154="NW",IF('Well Data-NK'!J109:J154="Inj",'Well Data-NK'!S109:S154))))</f>
        <v>#DIV/0!</v>
      </c>
      <c r="P71" s="80">
        <f t="array" ref="P71">AVERAGE(IF('Well Data-NK'!G109:G154={"ZU","RT"},IF('Well Data-NK'!K109:K154="ST",IF('Well Data-NK'!J109:J154="Prod",'Well Data-NK'!S109:S154))))</f>
        <v>56</v>
      </c>
      <c r="Q71" s="80" t="e">
        <f t="array" ref="Q71">AVERAGE(IF('Well Data-NK'!G109:G154={"ZU","RT"},IF('Well Data-NK'!K109:K154="ST",IF('Well Data-NK'!J109:J154="Inj",'Well Data-NK'!S109:S154))))</f>
        <v>#DIV/0!</v>
      </c>
      <c r="R71" s="108"/>
      <c r="S71" s="108"/>
      <c r="T71" s="108"/>
      <c r="U71" s="108"/>
      <c r="V71" s="108"/>
      <c r="W71" s="108"/>
      <c r="X71" s="108"/>
      <c r="Y71" s="108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</row>
    <row r="72" spans="5:37" ht="15.75" thickBot="1" x14ac:dyDescent="0.3">
      <c r="F72" s="81" t="s">
        <v>816</v>
      </c>
      <c r="G72" s="81">
        <f>COUNT('Well Data-NK'!R109:R154)</f>
        <v>45</v>
      </c>
      <c r="H72" s="80">
        <f t="array" ref="H72">AVERAGE(IF('Well Data-NK'!G109:G154={"ZU","RT","LB","UB","MA"},'Well Data-NK'!Q109:Q154))</f>
        <v>48.865111274637414</v>
      </c>
      <c r="I72" s="80">
        <f t="array" ref="I72">AVERAGE(IF('Well Data-NK'!G109:G154={"ZU","RT","LB","UB","MA"},'Well Data-NK'!S109:S154))</f>
        <v>60.044444444444444</v>
      </c>
      <c r="J72" s="80">
        <f t="array" ref="J72">COUNT(IF('Well Data-NK'!G109:G154={"RT","ZU","LB","UB","MA"},IF('Well Data-NK'!K109:K154="NW",'Well Data-NK'!S109:S154)))</f>
        <v>15</v>
      </c>
      <c r="K72" s="80">
        <f t="array" ref="K72">AVERAGE(IF('Well Data-NK'!G109:G154={"RT","ZU","LB","UB","MA"},IF('Well Data-NK'!K109:K154="NW",'Well Data-NK'!S109:S154)))</f>
        <v>77.466666666666669</v>
      </c>
      <c r="L72" s="80">
        <f t="array" ref="L72">COUNT(IF('Well Data-NK'!G109:G154={"RT","ZU","LB","UB","MA"},IF('Well Data-NK'!K109:K154="ST",'Well Data-NK'!S109:S154)))</f>
        <v>30</v>
      </c>
      <c r="M72" s="80">
        <f t="array" ref="M72">AVERAGE(IF('Well Data-NK'!G109:G154={"RT","ZU","LB","UB","MA"},IF('Well Data-NK'!K109:K154="ST",'Well Data-NK'!S109:S154)))</f>
        <v>51.333333333333336</v>
      </c>
      <c r="N72" s="80">
        <f t="array" ref="N72">AVERAGE(IF('Well Data-NK'!G109:G154={"ZU","RT","LB","UB","MA"},IF('Well Data-NK'!K109:K154="NW",IF('Well Data-NK'!J109:J154="Prod",'Well Data-NK'!S109:S154))))</f>
        <v>77.466666666666669</v>
      </c>
      <c r="O72" s="80" t="e">
        <f t="array" ref="O72">AVERAGE(IF('Well Data-NK'!G109:G154={"ZU","RT","LB","UB","MA"},IF('Well Data-NK'!K109:K154="NW",IF('Well Data-NK'!J109:J154="Inj",'Well Data-NK'!S109:S154))))</f>
        <v>#DIV/0!</v>
      </c>
      <c r="P72" s="80">
        <f t="array" ref="P72">AVERAGE(IF('Well Data-NK'!G109:G154={"ZU","RT","LB","UB","MA"},IF('Well Data-NK'!K109:K154="ST",IF('Well Data-NK'!J109:J154="Prod",'Well Data-NK'!S109:S154))))</f>
        <v>56</v>
      </c>
      <c r="Q72" s="80">
        <f t="array" ref="Q72">AVERAGE(IF('Well Data-NK'!G109:G154={"ZU","RT","LB","UB","MA"},IF('Well Data-NK'!K109:K154="ST",IF('Well Data-NK'!J109:J154="Inj",'Well Data-NK'!S109:S154))))</f>
        <v>49</v>
      </c>
      <c r="R72" s="108"/>
      <c r="S72" s="108"/>
      <c r="T72" s="108"/>
      <c r="U72" s="108"/>
      <c r="V72" s="108"/>
      <c r="W72" s="108"/>
      <c r="X72" s="108"/>
      <c r="Y72" s="108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</row>
    <row r="73" spans="5:37" ht="15.75" thickBot="1" x14ac:dyDescent="0.3">
      <c r="F73" s="612" t="s">
        <v>866</v>
      </c>
      <c r="G73" s="613"/>
      <c r="H73" s="613"/>
      <c r="I73" s="613"/>
      <c r="J73" s="613"/>
      <c r="K73" s="613"/>
      <c r="L73" s="613"/>
      <c r="M73" s="613"/>
      <c r="N73" s="614"/>
      <c r="O73" s="614"/>
      <c r="P73" s="614"/>
      <c r="Q73" s="614"/>
      <c r="R73" s="615"/>
      <c r="S73" s="112"/>
      <c r="T73" s="112"/>
      <c r="U73" s="112"/>
      <c r="V73" s="112"/>
      <c r="W73" s="112"/>
      <c r="X73" s="112"/>
      <c r="Y73" s="112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</row>
    <row r="74" spans="5:37" ht="15.75" thickBot="1" x14ac:dyDescent="0.3">
      <c r="F74" s="113" t="s">
        <v>1042</v>
      </c>
      <c r="G74" s="602" t="s">
        <v>870</v>
      </c>
      <c r="H74" s="603"/>
      <c r="I74" s="603"/>
      <c r="J74" s="603"/>
      <c r="K74" s="603"/>
      <c r="L74" s="603"/>
      <c r="M74" s="603"/>
      <c r="N74" s="603"/>
      <c r="O74" s="603"/>
      <c r="P74" s="603"/>
      <c r="Q74" s="603"/>
      <c r="R74" s="604"/>
      <c r="S74" s="43"/>
      <c r="T74" s="43"/>
      <c r="U74" s="43"/>
      <c r="V74" s="43"/>
      <c r="W74" s="43"/>
      <c r="X74" s="43"/>
      <c r="Y74" s="43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</row>
    <row r="75" spans="5:37" x14ac:dyDescent="0.25">
      <c r="F75" s="43"/>
      <c r="G75" s="608" t="s">
        <v>867</v>
      </c>
      <c r="H75" s="608"/>
      <c r="I75" s="608"/>
      <c r="J75" s="608"/>
      <c r="K75" s="608" t="s">
        <v>869</v>
      </c>
      <c r="L75" s="608"/>
      <c r="M75" s="608"/>
      <c r="N75" s="608"/>
      <c r="O75" s="608"/>
      <c r="P75" s="608"/>
      <c r="Q75" s="608"/>
      <c r="R75" s="608"/>
      <c r="S75" s="43"/>
      <c r="T75" s="43"/>
      <c r="U75" s="43"/>
      <c r="V75" s="43"/>
      <c r="W75" s="43"/>
      <c r="X75" s="43"/>
      <c r="Y75" s="43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</row>
    <row r="76" spans="5:37" x14ac:dyDescent="0.25">
      <c r="F76" s="92" t="s">
        <v>840</v>
      </c>
      <c r="G76" s="92" t="s">
        <v>878</v>
      </c>
      <c r="H76" s="75" t="s">
        <v>14</v>
      </c>
      <c r="I76" s="75" t="s">
        <v>877</v>
      </c>
      <c r="J76" s="75" t="s">
        <v>18</v>
      </c>
      <c r="K76" s="75" t="s">
        <v>876</v>
      </c>
      <c r="L76" s="75" t="s">
        <v>862</v>
      </c>
      <c r="M76" s="75" t="s">
        <v>875</v>
      </c>
      <c r="N76" s="75" t="s">
        <v>863</v>
      </c>
      <c r="O76" s="75" t="s">
        <v>874</v>
      </c>
      <c r="P76" s="75" t="s">
        <v>860</v>
      </c>
      <c r="Q76" s="75" t="s">
        <v>873</v>
      </c>
      <c r="R76" s="75" t="s">
        <v>861</v>
      </c>
      <c r="S76" s="43"/>
      <c r="T76" s="43"/>
      <c r="U76" s="43"/>
      <c r="V76" s="43"/>
      <c r="W76" s="43"/>
      <c r="X76" s="43"/>
      <c r="Y76" s="43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</row>
    <row r="77" spans="5:37" x14ac:dyDescent="0.25">
      <c r="F77" s="81" t="s">
        <v>17</v>
      </c>
      <c r="G77" s="80">
        <f t="array" ref="G77">COUNT(IF('Well Data-NK'!G109:G154={"MA"},IF('Well Data-NK'!K109:K154="NW",'Well Data-NK'!Q109:Q154)))</f>
        <v>2</v>
      </c>
      <c r="H77" s="80">
        <f t="array" ref="H77">AVERAGE(IF('Well Data-NK'!G109:G154={"MA"},IF('Well Data-NK'!K109:K154="NW",'Well Data-NK'!Q109:Q154)))</f>
        <v>57.083333333332121</v>
      </c>
      <c r="I77" s="80">
        <f t="array" ref="I77">COUNT(IF('Well Data-NK'!G109:G154={"MA"},IF('Well Data-NK'!K109:K154="ST",'Well Data-NK'!Q109:Q154)))</f>
        <v>27</v>
      </c>
      <c r="J77" s="80">
        <f t="array" ref="J77">AVERAGE(IF('Well Data-NK'!G109:G154={"MA"},IF('Well Data-NK'!K109:K154="ST",'Well Data-NK'!Q109:Q154)))</f>
        <v>38.743981185184644</v>
      </c>
      <c r="K77" s="80">
        <f t="array" ref="K77">COUNT(IF('Well Data-NK'!G109:G154={"MA"},IF('Well Data-NK'!K109:K154="NW",IF('Well Data-NK'!J109:J154="Prod",'Well Data-NK'!Q109:Q154))))</f>
        <v>2</v>
      </c>
      <c r="L77" s="80">
        <f t="array" ref="L77">AVERAGE(IF('Well Data-NK'!G109:G154={"MA"},IF('Well Data-NK'!K109:K154="NW",IF('Well Data-NK'!J109:J154="Prod",'Well Data-NK'!Q109:Q154))))</f>
        <v>57.083333333332121</v>
      </c>
      <c r="M77" s="80">
        <f t="array" ref="M77">COUNT(IF('Well Data-NK'!G109:G154={"MA"},IF('Well Data-NK'!K109:K154="NW",IF('Well Data-NK'!J109:J154="Inj",'Well Data-NK'!Q109:Q154))))</f>
        <v>0</v>
      </c>
      <c r="N77" s="80" t="e">
        <f t="array" ref="N77">AVERAGE(IF('Well Data-NK'!G109:G154={"MA"},IF('Well Data-NK'!K109:K154="NW",IF('Well Data-NK'!J109:J154="Inj",'Well Data-NK'!Q109:Q154))))</f>
        <v>#DIV/0!</v>
      </c>
      <c r="O77" s="80">
        <f t="array" ref="O77">COUNT(IF('Well Data-NK'!G109:G154={"MA"},IF('Well Data-NK'!K109:K154="ST",IF('Well Data-NK'!J109:J154="Prod",'Well Data-NK'!Q109:Q154))))</f>
        <v>7</v>
      </c>
      <c r="P77" s="80">
        <f t="array" ref="P77">AVERAGE(IF('Well Data-NK'!G109:G154={"MA"},IF('Well Data-NK'!K109:K154="ST",IF('Well Data-NK'!J109:J154="Prod",'Well Data-NK'!Q109:Q154))))</f>
        <v>47.881547142856107</v>
      </c>
      <c r="Q77" s="80">
        <f t="array" ref="Q77">COUNT(IF('Well Data-NK'!G109:G154={"MA"},IF('Well Data-NK'!K109:K154="ST",IF('Well Data-NK'!J109:J154="Inj",'Well Data-NK'!Q109:Q154))))</f>
        <v>20</v>
      </c>
      <c r="R77" s="80">
        <f t="array" ref="R77">AVERAGE(IF('Well Data-NK'!G109:G154={"MA"},IF('Well Data-NK'!K109:K154="ST",IF('Well Data-NK'!J109:J154="Inj",'Well Data-NK'!Q109:Q154))))</f>
        <v>35.545833099999626</v>
      </c>
      <c r="S77" s="43"/>
      <c r="T77" s="43"/>
      <c r="U77" s="43"/>
      <c r="V77" s="43"/>
      <c r="W77" s="43"/>
      <c r="X77" s="43"/>
      <c r="Y77" s="43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</row>
    <row r="78" spans="5:37" x14ac:dyDescent="0.25">
      <c r="F78" s="81" t="s">
        <v>29</v>
      </c>
      <c r="G78" s="80">
        <f t="array" ref="G78">COUNT(IF('Well Data-NK'!G109:G154={"UB"},IF('Well Data-NK'!K109:K154="NW",'Well Data-NK'!Q109:Q154)))</f>
        <v>2</v>
      </c>
      <c r="H78" s="80">
        <f t="array" ref="H78">AVERAGE(IF('Well Data-NK'!G109:G154={"UB"},IF('Well Data-NK'!K109:K154="NW",'Well Data-NK'!Q109:Q154)))</f>
        <v>53.604164999999995</v>
      </c>
      <c r="I78" s="80">
        <f t="array" ref="I78">COUNT(IF('Well Data-NK'!G109:G154={"UB"},IF('Well Data-NK'!K109:K154="ST",'Well Data-NK'!Q109:Q154)))</f>
        <v>2</v>
      </c>
      <c r="J78" s="80">
        <f t="array" ref="J78">AVERAGE(IF('Well Data-NK'!G109:G154={"UB"},IF('Well Data-NK'!K109:K154="ST",'Well Data-NK'!Q109:Q154)))</f>
        <v>52.635414999999995</v>
      </c>
      <c r="K78" s="80">
        <f t="array" ref="K78">COUNT(IF('Well Data-NK'!G109:G154={"UB"},IF('Well Data-NK'!K109:K154="NW",IF('Well Data-NK'!J109:J154="Prod",'Well Data-NK'!Q109:Q154))))</f>
        <v>2</v>
      </c>
      <c r="L78" s="80">
        <f t="array" ref="L78">AVERAGE(IF('Well Data-NK'!G109:G154={"UB"},IF('Well Data-NK'!K109:K154="NW",IF('Well Data-NK'!J109:J154="Prod",'Well Data-NK'!Q109:Q154))))</f>
        <v>53.604164999999995</v>
      </c>
      <c r="M78" s="80">
        <f t="array" ref="M78">COUNT(IF('Well Data-NK'!G109:G154={"UB"},IF('Well Data-NK'!K109:K154="NW",IF('Well Data-NK'!J109:J154="Inj",'Well Data-NK'!Q109:Q154))))</f>
        <v>0</v>
      </c>
      <c r="N78" s="80" t="e">
        <f t="array" ref="N78">AVERAGE(IF('Well Data-NK'!G109:G154={"UB"},IF('Well Data-NK'!K109:K154="NW",IF('Well Data-NK'!J109:J154="Inj",'Well Data-NK'!Q109:Q154))))</f>
        <v>#DIV/0!</v>
      </c>
      <c r="O78" s="80">
        <f t="array" ref="O78">COUNT(IF('Well Data-NK'!G109:G154={"UB"},IF('Well Data-NK'!K109:K154="ST",IF('Well Data-NK'!J109:J154="Prod",'Well Data-NK'!Q109:Q154))))</f>
        <v>2</v>
      </c>
      <c r="P78" s="80">
        <f t="array" ref="P78">AVERAGE(IF('Well Data-NK'!G109:G154={"UB"},IF('Well Data-NK'!K109:K154="ST",IF('Well Data-NK'!J109:J154="Prod",'Well Data-NK'!Q109:Q154))))</f>
        <v>52.635414999999995</v>
      </c>
      <c r="Q78" s="80">
        <f t="array" ref="Q78">COUNT(IF('Well Data-NK'!G109:G154={"UB"},IF('Well Data-NK'!K109:K154="ST",IF('Well Data-NK'!J109:J154="Inj",'Well Data-NK'!Q109:Q154))))</f>
        <v>0</v>
      </c>
      <c r="R78" s="80" t="e">
        <f t="array" ref="R78">AVERAGE(IF('Well Data-NK'!G109:G154={"UB"},IF('Well Data-NK'!K109:K154="ST",IF('Well Data-NK'!J109:J154="Inj",'Well Data-NK'!Q109:Q154))))</f>
        <v>#DIV/0!</v>
      </c>
      <c r="S78" s="43"/>
      <c r="T78" s="43"/>
      <c r="U78" s="43"/>
      <c r="V78" s="43"/>
      <c r="W78" s="43"/>
      <c r="X78" s="43"/>
      <c r="Y78" s="43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</row>
    <row r="79" spans="5:37" s="90" customFormat="1" x14ac:dyDescent="0.25">
      <c r="F79" s="81" t="s">
        <v>22</v>
      </c>
      <c r="G79" s="80">
        <f t="array" ref="G79">COUNT(IF('Well Data-NK'!G109:G154={"LB"},IF('Well Data-NK'!K109:K154="NW",'Well Data-NK'!Q109:Q154)))</f>
        <v>7</v>
      </c>
      <c r="H79" s="80">
        <f t="array" ref="H79">AVERAGE(IF('Well Data-NK'!G109:G154={"LB"},IF('Well Data-NK'!K109:K154="NW",'Well Data-NK'!Q109:Q154)))</f>
        <v>55.81537142381022</v>
      </c>
      <c r="I79" s="80">
        <f t="array" ref="I79">COUNT(IF('Well Data-NK'!G109:G154={"LB"},IF('Well Data-NK'!K109:K154="ST",'Well Data-NK'!Q109:Q154)))</f>
        <v>0</v>
      </c>
      <c r="J79" s="80" t="e">
        <f t="array" ref="J79">AVERAGE(IF('Well Data-NK'!G109:G154={"LB"},IF('Well Data-NK'!K109:K154="ST",'Well Data-NK'!Q109:Q154)))</f>
        <v>#DIV/0!</v>
      </c>
      <c r="K79" s="80">
        <f t="array" ref="K79">COUNT(IF('Well Data-NK'!G109:G154={"LB"},IF('Well Data-NK'!K109:K154="NW",IF('Well Data-NK'!J109:J154="Prod",'Well Data-NK'!Q109:Q154))))</f>
        <v>7</v>
      </c>
      <c r="L79" s="80">
        <f t="array" ref="L79">AVERAGE(IF('Well Data-NK'!G109:G154={"LB"},IF('Well Data-NK'!K109:K154="NW",IF('Well Data-NK'!J109:J154="Prod",'Well Data-NK'!Q109:Q154))))</f>
        <v>55.81537142381022</v>
      </c>
      <c r="M79" s="80">
        <f t="array" ref="M79">COUNT(IF('Well Data-NK'!G109:G154={"LB"},IF('Well Data-NK'!K109:K154="NW",IF('Well Data-NK'!J109:J154="Inj",'Well Data-NK'!Q109:Q154))))</f>
        <v>0</v>
      </c>
      <c r="N79" s="80" t="e">
        <f t="array" ref="N79">AVERAGE(IF('Well Data-NK'!G109:G154={"LB"},IF('Well Data-NK'!K109:K154="NW",IF('Well Data-NK'!J109:J154="Inj",'Well Data-NK'!Q109:Q154))))</f>
        <v>#DIV/0!</v>
      </c>
      <c r="O79" s="80">
        <f t="array" ref="O79">COUNT(IF('Well Data-NK'!G109:G154={"LB"},IF('Well Data-NK'!K109:K154="ST",IF('Well Data-NK'!J109:J154="Prod",'Well Data-NK'!Q109:Q154))))</f>
        <v>0</v>
      </c>
      <c r="P79" s="80" t="e">
        <f t="array" ref="P79">AVERAGE(IF('Well Data-NK'!G109:G154={"LB"},IF('Well Data-NK'!K109:K154="ST",IF('Well Data-NK'!J109:J154="Prod",'Well Data-NK'!Q109:Q154))))</f>
        <v>#DIV/0!</v>
      </c>
      <c r="Q79" s="80">
        <f t="array" ref="Q79">COUNT(IF('Well Data-NK'!G109:G154={"LB"},IF('Well Data-NK'!K109:K154="ST",IF('Well Data-NK'!J109:J154="Inj",'Well Data-NK'!Q109:Q154))))</f>
        <v>0</v>
      </c>
      <c r="R79" s="80" t="e">
        <f t="array" ref="R79">AVERAGE(IF('Well Data-NK'!G109:G154={"LB"},IF('Well Data-NK'!K109:K154="ST",IF('Well Data-NK'!J109:J154="Inj",'Well Data-NK'!Q109:Q154))))</f>
        <v>#DIV/0!</v>
      </c>
      <c r="S79" s="43"/>
      <c r="T79" s="43"/>
      <c r="U79" s="43"/>
      <c r="V79" s="43"/>
      <c r="W79" s="43"/>
      <c r="X79" s="43"/>
      <c r="Y79" s="43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</row>
    <row r="80" spans="5:37" x14ac:dyDescent="0.25">
      <c r="E80" s="90"/>
      <c r="F80" s="81" t="s">
        <v>825</v>
      </c>
      <c r="G80" s="80">
        <f t="array" ref="G80">COUNT(IF('Well Data-NK'!G109:G154={"RT","ZU"},IF('Well Data-NK'!K109:K154="NW",'Well Data-NK'!Q109:Q154)))</f>
        <v>4</v>
      </c>
      <c r="H80" s="80">
        <f t="array" ref="H80">AVERAGE(IF('Well Data-NK'!G109:G154={"RT","ZU"},IF('Well Data-NK'!K109:K154="NW",'Well Data-NK'!Q109:Q154)))</f>
        <v>99.088549999999998</v>
      </c>
      <c r="I80" s="80">
        <f t="array" ref="I80">COUNT(IF('Well Data-NK'!G109:G154={"RT","ZU"},IF('Well Data-NK'!K109:K154="ST",'Well Data-NK'!Q109:Q154)))</f>
        <v>2</v>
      </c>
      <c r="J80" s="80">
        <f t="array" ref="J80">AVERAGE(IF('Well Data-NK'!G109:G154={"RT","ZU"},IF('Well Data-NK'!K109:K154="ST",'Well Data-NK'!Q109:Q154)))</f>
        <v>44</v>
      </c>
      <c r="K80" s="80">
        <f t="array" ref="K80">COUNT(IF('Well Data-NK'!G109:G154={"ZU","RT"},IF('Well Data-NK'!K109:K154="NW",IF('Well Data-NK'!J109:J154="Prod",'Well Data-NK'!Q109:Q154))))</f>
        <v>4</v>
      </c>
      <c r="L80" s="80">
        <f t="array" ref="L80">AVERAGE(IF('Well Data-NK'!G109:G154={"ZU","RT"},IF('Well Data-NK'!K109:K154="NW",IF('Well Data-NK'!J109:J154="Prod",'Well Data-NK'!Q109:Q154))))</f>
        <v>99.088549999999998</v>
      </c>
      <c r="M80" s="80">
        <f t="array" ref="M80">COUNT(IF('Well Data-NK'!G109:G154={"ZU","RT"},IF('Well Data-NK'!K109:K154="NW",IF('Well Data-NK'!J109:J154="Inj",'Well Data-NK'!Q109:Q154))))</f>
        <v>0</v>
      </c>
      <c r="N80" s="80" t="e">
        <f t="array" ref="N80">AVERAGE(IF('Well Data-NK'!G109:G154={"ZU","RT"},IF('Well Data-NK'!K109:K154="NW",IF('Well Data-NK'!J109:J154="Inj",'Well Data-NK'!Q109:Q154))))</f>
        <v>#DIV/0!</v>
      </c>
      <c r="O80" s="80">
        <f t="array" ref="O80">COUNT(IF('Well Data-NK'!G109:G154={"ZU","RT"},IF('Well Data-NK'!K109:K154="ST",IF('Well Data-NK'!J109:J154="Prod",'Well Data-NK'!Q109:Q154))))</f>
        <v>1</v>
      </c>
      <c r="P80" s="80">
        <f t="array" ref="P80">AVERAGE(IF('Well Data-NK'!G109:G154={"ZU","RT"},IF('Well Data-NK'!K109:K154="ST",IF('Well Data-NK'!J109:J154="Prod",'Well Data-NK'!Q109:Q154))))</f>
        <v>52</v>
      </c>
      <c r="Q80" s="80">
        <f t="array" ref="Q80">COUNT(IF('Well Data-NK'!G109:G154={"ZU","RT"},IF('Well Data-NK'!K109:K154="ST",IF('Well Data-NK'!J109:J154="Inj",'Well Data-NK'!Q109:Q154))))</f>
        <v>1</v>
      </c>
      <c r="R80" s="80">
        <f t="array" ref="R80">AVERAGE(IF('Well Data-NK'!G109:G154={"ZU","RT"},IF('Well Data-NK'!K109:K154="ST",IF('Well Data-NK'!J109:J154="Inj",'Well Data-NK'!Q109:Q154))))</f>
        <v>36</v>
      </c>
      <c r="S80" s="43"/>
      <c r="T80" s="43"/>
      <c r="U80" s="43"/>
      <c r="V80" s="43"/>
      <c r="W80" s="43"/>
      <c r="X80" s="43"/>
      <c r="Y80" s="43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</row>
    <row r="81" spans="5:37" ht="15.75" thickBot="1" x14ac:dyDescent="0.3">
      <c r="E81" s="90"/>
      <c r="F81" s="81" t="s">
        <v>816</v>
      </c>
      <c r="G81" s="115">
        <f t="array" ref="G81">COUNT(IF('Well Data-NK'!G109:G154={"RT","ZU","LB","UB","MA"},IF('Well Data-NK'!K109:K154="NW",'Well Data-NK'!Q109:Q154)))</f>
        <v>15</v>
      </c>
      <c r="H81" s="115">
        <f t="array" ref="H81">AVERAGE(IF('Well Data-NK'!G109:G154={"RT","ZU","LB","UB","MA"},IF('Well Data-NK'!K109:K154="NW",'Well Data-NK'!Q109:Q154)))</f>
        <v>67.229119775555716</v>
      </c>
      <c r="I81" s="115">
        <f t="array" ref="I81">COUNT(IF('Well Data-NK'!G109:G154={"RT","ZU","LB","UB","MA"},IF('Well Data-NK'!K109:K154="ST",'Well Data-NK'!Q109:Q154)))</f>
        <v>31</v>
      </c>
      <c r="J81" s="115">
        <f t="array" ref="J81">AVERAGE(IF('Well Data-NK'!G109:G154={"RT","ZU","LB","UB","MA"},IF('Well Data-NK'!K109:K154="ST",'Well Data-NK'!Q109:Q154)))</f>
        <v>39.979300709676949</v>
      </c>
      <c r="K81" s="115">
        <f t="array" ref="K81">COUNT(IF('Well Data-NK'!G109:G154={"ZU","RT","LB","UB","MA"},IF('Well Data-NK'!K109:K154="NW",IF('Well Data-NK'!J109:J154="Prod",'Well Data-NK'!Q109:Q154))))</f>
        <v>15</v>
      </c>
      <c r="L81" s="115">
        <f t="array" ref="L81">AVERAGE(IF('Well Data-NK'!G109:G154={"ZU","RT","LB","UB","MA"},IF('Well Data-NK'!K109:K154="NW",IF('Well Data-NK'!J109:J154="Prod",'Well Data-NK'!Q109:Q154))))</f>
        <v>67.229119775555716</v>
      </c>
      <c r="M81" s="115">
        <f t="array" ref="M81">COUNT(IF('Well Data-NK'!G109:G154={"ZU","RT","LB","UB","MA"},IF('Well Data-NK'!K109:K154="NW",IF('Well Data-NK'!J109:J154="Inj",'Well Data-NK'!Q109:Q154))))</f>
        <v>0</v>
      </c>
      <c r="N81" s="115" t="e">
        <f t="array" ref="N81">AVERAGE(IF('Well Data-NK'!G109:G154={"ZU","RT","LB","UB","MA"},IF('Well Data-NK'!K109:K154="NW",IF('Well Data-NK'!J109:J154="Inj",'Well Data-NK'!Q109:Q154))))</f>
        <v>#DIV/0!</v>
      </c>
      <c r="O81" s="115">
        <f t="array" ref="O81">COUNT(IF('Well Data-NK'!G109:G154={"ZU","RT","LB","UB","MA"},IF('Well Data-NK'!K109:K154="ST",IF('Well Data-NK'!J109:J154="Prod",'Well Data-NK'!Q109:Q154))))</f>
        <v>10</v>
      </c>
      <c r="P81" s="115">
        <f t="array" ref="P81">AVERAGE(IF('Well Data-NK'!G109:G154={"ZU","RT","LB","UB","MA"},IF('Well Data-NK'!K109:K154="ST",IF('Well Data-NK'!J109:J154="Prod",'Well Data-NK'!Q109:Q154))))</f>
        <v>49.244165999999268</v>
      </c>
      <c r="Q81" s="115">
        <f t="array" ref="Q81">COUNT(IF('Well Data-NK'!G109:G154={"ZU","RT","LB","UB","MA"},IF('Well Data-NK'!K109:K154="ST",IF('Well Data-NK'!J109:J154="Inj",'Well Data-NK'!Q109:Q154))))</f>
        <v>21</v>
      </c>
      <c r="R81" s="115">
        <f t="array" ref="R81">AVERAGE(IF('Well Data-NK'!G109:G154={"ZU","RT","LB","UB","MA"},IF('Well Data-NK'!K109:K154="ST",IF('Well Data-NK'!J109:J154="Inj",'Well Data-NK'!Q109:Q154))))</f>
        <v>35.567460095237742</v>
      </c>
      <c r="S81" s="43"/>
      <c r="T81" s="43"/>
      <c r="U81" s="43"/>
      <c r="V81" s="43"/>
      <c r="W81" s="43"/>
      <c r="X81" s="43"/>
      <c r="Y81" s="43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</row>
    <row r="82" spans="5:37" ht="15.75" thickBot="1" x14ac:dyDescent="0.3">
      <c r="E82" s="90"/>
      <c r="F82" s="114" t="s">
        <v>1043</v>
      </c>
      <c r="G82" s="594" t="s">
        <v>868</v>
      </c>
      <c r="H82" s="595"/>
      <c r="I82" s="595"/>
      <c r="J82" s="595"/>
      <c r="K82" s="595"/>
      <c r="L82" s="595"/>
      <c r="M82" s="595"/>
      <c r="N82" s="595"/>
      <c r="O82" s="595"/>
      <c r="P82" s="595"/>
      <c r="Q82" s="595"/>
      <c r="R82" s="596"/>
      <c r="S82" s="43"/>
      <c r="T82" s="43"/>
      <c r="U82" s="43"/>
      <c r="V82" s="43"/>
      <c r="W82" s="43"/>
      <c r="X82" s="43"/>
      <c r="Y82" s="43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</row>
    <row r="83" spans="5:37" x14ac:dyDescent="0.25">
      <c r="E83" s="90"/>
      <c r="F83" s="43"/>
      <c r="G83" s="609" t="s">
        <v>867</v>
      </c>
      <c r="H83" s="610"/>
      <c r="I83" s="610"/>
      <c r="J83" s="611"/>
      <c r="K83" s="609" t="s">
        <v>869</v>
      </c>
      <c r="L83" s="610"/>
      <c r="M83" s="610"/>
      <c r="N83" s="610"/>
      <c r="O83" s="610"/>
      <c r="P83" s="610"/>
      <c r="Q83" s="610"/>
      <c r="R83" s="611"/>
      <c r="S83" s="43"/>
      <c r="T83" s="43"/>
      <c r="U83" s="43"/>
      <c r="V83" s="43"/>
      <c r="W83" s="43"/>
      <c r="X83" s="43"/>
      <c r="Y83" s="43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</row>
    <row r="84" spans="5:37" x14ac:dyDescent="0.25">
      <c r="E84" s="90"/>
      <c r="F84" s="92" t="s">
        <v>840</v>
      </c>
      <c r="G84" s="75" t="s">
        <v>878</v>
      </c>
      <c r="H84" s="92" t="s">
        <v>14</v>
      </c>
      <c r="I84" s="92" t="s">
        <v>877</v>
      </c>
      <c r="J84" s="75" t="s">
        <v>18</v>
      </c>
      <c r="K84" s="75" t="s">
        <v>876</v>
      </c>
      <c r="L84" s="75" t="s">
        <v>862</v>
      </c>
      <c r="M84" s="75" t="s">
        <v>875</v>
      </c>
      <c r="N84" s="75" t="s">
        <v>863</v>
      </c>
      <c r="O84" s="75" t="s">
        <v>874</v>
      </c>
      <c r="P84" s="75" t="s">
        <v>860</v>
      </c>
      <c r="Q84" s="75" t="s">
        <v>873</v>
      </c>
      <c r="R84" s="75" t="s">
        <v>861</v>
      </c>
      <c r="S84" s="43"/>
      <c r="T84" s="43"/>
      <c r="U84" s="43"/>
      <c r="V84" s="43"/>
      <c r="W84" s="43"/>
      <c r="X84" s="43"/>
      <c r="Y84" s="43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</row>
    <row r="85" spans="5:37" x14ac:dyDescent="0.25">
      <c r="E85" s="90"/>
      <c r="F85" s="81" t="s">
        <v>17</v>
      </c>
      <c r="G85" s="80">
        <f t="array" ref="G85">COUNT(IF('Well Data-NK'!G109:G154={"MA"},IF('Well Data-NK'!K109:K154="NW",IF('Well Data-NK'!Q109:Q154&lt;=PERCENTILE(IF('Well Data-NK'!G109:G154={"MA"},IF('Well Data-NK'!K109:K154="NW",'Well Data-NK'!Q109:Q154)),0.25),'Well Data-NK'!Q109:Q154))))</f>
        <v>1</v>
      </c>
      <c r="H85" s="80">
        <f t="array" ref="H85">AVERAGE(IF('Well Data-NK'!G109:G154={"MA"},IF('Well Data-NK'!K109:K154="NW",IF('Well Data-NK'!Q109:Q154&lt;=PERCENTILE(IF('Well Data-NK'!G109:G154={"MA"},IF('Well Data-NK'!K109:K154="NW",'Well Data-NK'!Q109:Q154)),0.25),'Well Data-NK'!Q109:Q154))))</f>
        <v>47.791666666664241</v>
      </c>
      <c r="I85" s="80">
        <f t="array" ref="I85">COUNT(IF('Well Data-NK'!G109:G154={"MA"},IF('Well Data-NK'!K109:K154="ST",IF('Well Data-NK'!Q109:Q154&lt;=PERCENTILE(IF('Well Data-NK'!G109:G154={"MA"},IF('Well Data-NK'!K109:K154="ST",'Well Data-NK'!Q109:Q154)),0.25),'Well Data-NK'!Q109:Q154))))</f>
        <v>7</v>
      </c>
      <c r="J85" s="80">
        <f t="array" ref="J85">AVERAGE(IF('Well Data-NK'!G109:G154={"MA"},IF('Well Data-NK'!K109:K154="ST",IF('Well Data-NK'!Q109:Q154&lt;=PERCENTILE(IF('Well Data-NK'!G109:G154={"MA"},IF('Well Data-NK'!K109:K154="ST",'Well Data-NK'!Q109:Q154)),0.25),'Well Data-NK'!Q109:Q154))))</f>
        <v>27.321428476189777</v>
      </c>
      <c r="K85" s="99">
        <f t="array" ref="K85">COUNT(IF('Well Data-NK'!G109:G154={"MA"},IF('Well Data-NK'!K109:K154="NW",IF('Well Data-NK'!J109:J154="Prod",IF('Well Data-NK'!Q109:Q154&lt;=PERCENTILE(IF('Well Data-NK'!G109:G154={"MA"},IF('Well Data-NK'!K109:K154="NW",IF('Well Data-NK'!J109:J154="Prod",'Well Data-NK'!Q109:Q154))),0.25),'Well Data-NK'!Q109:Q154)))))</f>
        <v>1</v>
      </c>
      <c r="L85" s="99">
        <f t="array" ref="L85">AVERAGE(IF('Well Data-NK'!G109:G154={"MA"},IF('Well Data-NK'!K109:K154="NW",IF('Well Data-NK'!J109:J154="Prod",IF('Well Data-NK'!Q109:Q154&lt;=PERCENTILE(IF('Well Data-NK'!G109:G154={"MA"},IF('Well Data-NK'!K109:K154="NW",IF('Well Data-NK'!J109:J154="Prod",'Well Data-NK'!Q109:Q154))),0.25),'Well Data-NK'!Q109:Q154)))))</f>
        <v>47.791666666664241</v>
      </c>
      <c r="M85" s="99">
        <f t="array" ref="M85">COUNT(IF('Well Data-NK'!G109:G154={"MA"},IF('Well Data-NK'!K109:K154="NW",IF('Well Data-NK'!J109:J154="Inj",IF('Well Data-NK'!Q109:Q154&lt;=PERCENTILE(IF('Well Data-NK'!G109:G154={"MA"},IF('Well Data-NK'!K109:K154="NW",IF('Well Data-NK'!J109:J154="Inj",'Well Data-NK'!Q109:Q154))),0.25),'Well Data-NK'!Q109:Q154)))))</f>
        <v>0</v>
      </c>
      <c r="N85" s="99" t="e">
        <f t="array" ref="N85">AVERAGE(IF('Well Data-NK'!G109:G154={"MA"},IF('Well Data-NK'!K109:K154="NW",IF('Well Data-NK'!J109:J154="Inj",IF('Well Data-NK'!Q109:Q154&lt;=PERCENTILE(IF('Well Data-NK'!G109:G154={"MA"},IF('Well Data-NK'!K109:K154="NW",IF('Well Data-NK'!J109:J154="Inj",'Well Data-NK'!Q109:Q154))),0.25),'Well Data-NK'!Q109:Q154)))))</f>
        <v>#DIV/0!</v>
      </c>
      <c r="O85" s="99">
        <f t="array" ref="O85">COUNT(IF('Well Data-NK'!G109:G154={"MA"},IF('Well Data-NK'!K109:K154="ST",IF('Well Data-NK'!J109:J154="Prod",IF('Well Data-NK'!Q109:Q154&lt;=PERCENTILE(IF('Well Data-NK'!G109:G154={"MA"},IF('Well Data-NK'!K109:K154="ST",IF('Well Data-NK'!J109:J154="Prod",'Well Data-NK'!Q109:Q154))),0.25),'Well Data-NK'!Q109:Q154)))))</f>
        <v>2</v>
      </c>
      <c r="P85" s="99">
        <f t="array" ref="P85">AVERAGE(IF('Well Data-NK'!G109:G154={"MA"},IF('Well Data-NK'!K109:K154="ST",IF('Well Data-NK'!J109:J154="Prod",IF('Well Data-NK'!Q109:Q154&lt;=PERCENTILE(IF('Well Data-NK'!G109:G154={"MA"},IF('Well Data-NK'!K109:K154="ST",IF('Well Data-NK'!J109:J154="Prod",'Well Data-NK'!Q109:Q154))),0.25),'Well Data-NK'!Q109:Q154)))))</f>
        <v>41.770833333332121</v>
      </c>
      <c r="Q85" s="99">
        <f t="array" ref="Q85">COUNT(IF('Well Data-NK'!G109:G154={"MA"},IF('Well Data-NK'!K109:K154="ST",IF('Well Data-NK'!J109:J154="Inj",IF('Well Data-NK'!Q109:Q154&lt;=PERCENTILE(IF('Well Data-NK'!G109:G154={"MA"},IF('Well Data-NK'!K109:K154="ST",IF('Well Data-NK'!J109:J154="Inj",'Well Data-NK'!Q109:Q154))),0.25),'Well Data-NK'!Q109:Q154)))))</f>
        <v>5</v>
      </c>
      <c r="R85" s="99">
        <f t="array" ref="R85">AVERAGE(IF('Well Data-NK'!G109:G154={"MA"},IF('Well Data-NK'!K109:K154="ST",IF('Well Data-NK'!J109:J154="Inj",IF('Well Data-NK'!Q109:Q154&lt;=PERCENTILE(IF('Well Data-NK'!G109:G154={"MA"},IF('Well Data-NK'!K109:K154="ST",IF('Well Data-NK'!J109:J154="Inj",'Well Data-NK'!Q109:Q154))),0.25),'Well Data-NK'!Q109:Q154)))))</f>
        <v>26.054166533332847</v>
      </c>
      <c r="S85" s="43"/>
      <c r="T85" s="43"/>
      <c r="U85" s="43"/>
      <c r="V85" s="43"/>
      <c r="W85" s="43"/>
      <c r="X85" s="43"/>
      <c r="Y85" s="43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</row>
    <row r="86" spans="5:37" x14ac:dyDescent="0.25">
      <c r="E86" s="90"/>
      <c r="F86" s="81" t="s">
        <v>29</v>
      </c>
      <c r="G86" s="80">
        <f t="array" ref="G86">COUNT(IF('Well Data-NK'!G109:G154={"UB"},IF('Well Data-NK'!K109:K154="NW",IF('Well Data-NK'!Q109:Q154&lt;=PERCENTILE(IF('Well Data-NK'!G109:G154={"UB"},IF('Well Data-NK'!K109:K154="NW",'Well Data-NK'!Q109:Q154)),0.25),'Well Data-NK'!Q109:Q154))))</f>
        <v>1</v>
      </c>
      <c r="H86" s="80">
        <f t="array" ref="H86">AVERAGE(IF('Well Data-NK'!G109:G154={"UB"},IF('Well Data-NK'!K109:K154="NW",IF('Well Data-NK'!Q109:Q154&lt;=PERCENTILE(IF('Well Data-NK'!G109:G154={"UB"},IF('Well Data-NK'!K109:K154="NW",'Well Data-NK'!Q109:Q154)),0.25),'Well Data-NK'!Q109:Q154))))</f>
        <v>48</v>
      </c>
      <c r="I86" s="80">
        <f t="array" ref="I86">COUNT(IF('Well Data-NK'!G109:G154={"UB"},IF('Well Data-NK'!K109:K154="ST",IF('Well Data-NK'!Q109:Q154&lt;=PERCENTILE(IF('Well Data-NK'!G109:G154={"UB"},IF('Well Data-NK'!K109:K154="ST",'Well Data-NK'!Q109:Q154)),0.25),'Well Data-NK'!Q109:Q154))))</f>
        <v>1</v>
      </c>
      <c r="J86" s="80">
        <f t="array" ref="J86">AVERAGE(IF('Well Data-NK'!G109:G154={"UB"},IF('Well Data-NK'!K109:K154="ST",IF('Well Data-NK'!Q109:Q154&lt;=PERCENTILE(IF('Well Data-NK'!G109:G154={"UB"},IF('Well Data-NK'!K109:K154="ST",'Well Data-NK'!Q109:Q154)),0.25),'Well Data-NK'!Q109:Q154))))</f>
        <v>40.770829999999997</v>
      </c>
      <c r="K86" s="99">
        <f t="array" ref="K86">COUNT(IF('Well Data-NK'!G109:G154={"UB"},IF('Well Data-NK'!K109:K154="NW",IF('Well Data-NK'!J109:J154="Prod",IF('Well Data-NK'!Q109:Q154&lt;=PERCENTILE(IF('Well Data-NK'!G109:G154={"UB"},IF('Well Data-NK'!K109:K154="NW",IF('Well Data-NK'!J109:J154="Prod",'Well Data-NK'!Q109:Q154))),0.25),'Well Data-NK'!Q109:Q154)))))</f>
        <v>1</v>
      </c>
      <c r="L86" s="99">
        <f t="array" ref="L86">AVERAGE(IF('Well Data-NK'!G109:G154={"UB"},IF('Well Data-NK'!K109:K154="NW",IF('Well Data-NK'!J109:J154="Prod",IF('Well Data-NK'!Q109:Q154&lt;=PERCENTILE(IF('Well Data-NK'!G109:G154={"UB"},IF('Well Data-NK'!K109:K154="NW",IF('Well Data-NK'!J109:J154="Prod",'Well Data-NK'!Q109:Q154))),0.25),'Well Data-NK'!Q109:Q154)))))</f>
        <v>48</v>
      </c>
      <c r="M86" s="99">
        <f t="array" ref="M86">COUNT(IF('Well Data-NK'!G109:G154={"UB"},IF('Well Data-NK'!K109:K154="NW",IF('Well Data-NK'!J109:J154="Inj",IF('Well Data-NK'!Q109:Q154&lt;=PERCENTILE(IF('Well Data-NK'!G109:G154={"UB"},IF('Well Data-NK'!K109:K154="NW",IF('Well Data-NK'!J109:J154="Inj",'Well Data-NK'!Q109:Q154))),0.25),'Well Data-NK'!Q109:Q154)))))</f>
        <v>0</v>
      </c>
      <c r="N86" s="99" t="e">
        <f t="array" ref="N86">AVERAGE(IF('Well Data-NK'!G109:G154={"UB"},IF('Well Data-NK'!K109:K154="NW",IF('Well Data-NK'!J109:J154="Inj",IF('Well Data-NK'!Q109:Q154&lt;=PERCENTILE(IF('Well Data-NK'!G109:G154={"UB"},IF('Well Data-NK'!K109:K154="NW",IF('Well Data-NK'!J109:J154="Inj",'Well Data-NK'!Q109:Q154))),0.25),'Well Data-NK'!Q109:Q154)))))</f>
        <v>#DIV/0!</v>
      </c>
      <c r="O86" s="99">
        <f t="array" ref="O86">COUNT(IF('Well Data-NK'!G109:G154={"UB"},IF('Well Data-NK'!K109:K154="ST",IF('Well Data-NK'!J109:J154="Prod",IF('Well Data-NK'!Q109:Q154&lt;=PERCENTILE(IF('Well Data-NK'!G109:G154={"UB"},IF('Well Data-NK'!K109:K154="ST",IF('Well Data-NK'!J109:J154="Prod",'Well Data-NK'!Q109:Q154))),0.25),'Well Data-NK'!Q109:Q154)))))</f>
        <v>1</v>
      </c>
      <c r="P86" s="99">
        <f t="array" ref="P86">AVERAGE(IF('Well Data-NK'!G109:G154={"UB"},IF('Well Data-NK'!K109:K154="ST",IF('Well Data-NK'!J109:J154="Prod",IF('Well Data-NK'!Q109:Q154&lt;=PERCENTILE(IF('Well Data-NK'!G109:G154={"UB"},IF('Well Data-NK'!K109:K154="ST",IF('Well Data-NK'!J109:J154="Prod",'Well Data-NK'!Q109:Q154))),0.25),'Well Data-NK'!Q109:Q154)))))</f>
        <v>40.770829999999997</v>
      </c>
      <c r="Q86" s="99">
        <f t="array" ref="Q86">COUNT(IF('Well Data-NK'!G109:G154={"UB"},IF('Well Data-NK'!K109:K154="ST",IF('Well Data-NK'!J109:J154="Inj",IF('Well Data-NK'!Q109:Q154&lt;=PERCENTILE(IF('Well Data-NK'!G109:G154={"UB"},IF('Well Data-NK'!K109:K154="ST",IF('Well Data-NK'!J109:J154="Inj",'Well Data-NK'!Q109:Q154))),0.25),'Well Data-NK'!Q109:Q154)))))</f>
        <v>0</v>
      </c>
      <c r="R86" s="99" t="e">
        <f t="array" ref="R86">AVERAGE(IF('Well Data-NK'!G109:G154={"UB"},IF('Well Data-NK'!K109:K154="ST",IF('Well Data-NK'!J109:J154="Inj",IF('Well Data-NK'!Q109:Q154&lt;=PERCENTILE(IF('Well Data-NK'!G109:G154={"UB"},IF('Well Data-NK'!K109:K154="ST",IF('Well Data-NK'!J109:J154="Inj",'Well Data-NK'!Q109:Q154))),0.25),'Well Data-NK'!Q109:Q154)))))</f>
        <v>#DIV/0!</v>
      </c>
      <c r="S86" s="43"/>
      <c r="T86" s="43"/>
      <c r="U86" s="43"/>
      <c r="V86" s="43"/>
      <c r="W86" s="43"/>
      <c r="X86" s="43"/>
      <c r="Y86" s="43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</row>
    <row r="87" spans="5:37" x14ac:dyDescent="0.25">
      <c r="E87" s="90"/>
      <c r="F87" s="81" t="s">
        <v>22</v>
      </c>
      <c r="G87" s="80">
        <f t="array" ref="G87">COUNT(IF('Well Data-NK'!G109:G154={"LB"},IF('Well Data-NK'!K109:K154="NW",IF('Well Data-NK'!Q109:Q154&lt;=PERCENTILE(IF('Well Data-NK'!G109:G154={"LB"},IF('Well Data-NK'!K109:K154="NW",'Well Data-NK'!Q109:Q154)),0.25),'Well Data-NK'!Q109:Q154))))</f>
        <v>2</v>
      </c>
      <c r="H87" s="80">
        <f t="array" ref="H87">AVERAGE(IF('Well Data-NK'!G109:G154={"LB"},IF('Well Data-NK'!K109:K154="NW",IF('Well Data-NK'!Q109:Q154&lt;=PERCENTILE(IF('Well Data-NK'!G109:G154={"LB"},IF('Well Data-NK'!K109:K154="NW",'Well Data-NK'!Q109:Q154)),0.25),'Well Data-NK'!Q109:Q154))))</f>
        <v>45.207999999999998</v>
      </c>
      <c r="I87" s="80">
        <f t="array" ref="I87">COUNT(IF('Well Data-NK'!G109:G154={"LB"},IF('Well Data-NK'!K109:K154="ST",IF('Well Data-NK'!Q109:Q154&lt;=PERCENTILE(IF('Well Data-NK'!G109:G154={"LB"},IF('Well Data-NK'!K109:K154="ST",'Well Data-NK'!Q109:Q154)),0.25),'Well Data-NK'!Q109:Q154,))))</f>
        <v>0</v>
      </c>
      <c r="J87" s="80" t="e">
        <f t="array" ref="J87">AVERAGE(IF('Well Data-NK'!G109:G154={"LB"},IF('Well Data-NK'!K109:K154="ST",IF('Well Data-NK'!Q109:Q154&lt;=PERCENTILE(IF('Well Data-NK'!G109:G154={"LB"},IF('Well Data-NK'!K109:K154="ST",'Well Data-NK'!Q109:Q154)),0.25),'Well Data-NK'!Q109:Q154,))))</f>
        <v>#DIV/0!</v>
      </c>
      <c r="K87" s="99">
        <f t="array" ref="K87">COUNT(IF('Well Data-NK'!G109:G154={"LB"},IF('Well Data-NK'!K109:K154="NW",IF('Well Data-NK'!J109:J154="Prod",IF('Well Data-NK'!Q109:Q154&lt;=PERCENTILE(IF('Well Data-NK'!G109:G154={"LB"},IF('Well Data-NK'!K109:K154="NW",IF('Well Data-NK'!J109:J154="Prod",'Well Data-NK'!Q109:Q154))),0.25),'Well Data-NK'!Q109:Q154)))))</f>
        <v>2</v>
      </c>
      <c r="L87" s="99">
        <f t="array" ref="L87">AVERAGE(IF('Well Data-NK'!G109:G154={"LB"},IF('Well Data-NK'!K109:K154="NW",IF('Well Data-NK'!J109:J154="Prod",IF('Well Data-NK'!Q109:Q154&lt;=PERCENTILE(IF('Well Data-NK'!G109:G154={"LB"},IF('Well Data-NK'!K109:K154="NW",IF('Well Data-NK'!J109:J154="Prod",'Well Data-NK'!Q109:Q154))),0.25),'Well Data-NK'!Q109:Q154)))))</f>
        <v>45.207999999999998</v>
      </c>
      <c r="M87" s="99">
        <f t="array" ref="M87">COUNT(IF('Well Data-NK'!G109:G154={"LB"},IF('Well Data-NK'!K109:K154="NW",IF('Well Data-NK'!J109:J154="Inj",IF('Well Data-NK'!Q109:Q154&lt;=PERCENTILE(IF('Well Data-NK'!G109:G154={"LB"},IF('Well Data-NK'!K109:K154="NW",IF('Well Data-NK'!J109:J154="Inj",'Well Data-NK'!Q109:Q154))),0.25),'Well Data-NK'!Q109:Q154)))))</f>
        <v>0</v>
      </c>
      <c r="N87" s="99" t="e">
        <f t="array" ref="N87">AVERAGE(IF('Well Data-NK'!G109:G154={"LB"},IF('Well Data-NK'!K109:K154="NW",IF('Well Data-NK'!J109:J154="Inj",IF('Well Data-NK'!Q109:Q154&lt;=PERCENTILE(IF('Well Data-NK'!G109:G154={"LB"},IF('Well Data-NK'!K109:K154="NW",IF('Well Data-NK'!J109:J154="Inj",'Well Data-NK'!Q109:Q154))),0.25),'Well Data-NK'!Q109:Q154)))))</f>
        <v>#DIV/0!</v>
      </c>
      <c r="O87" s="99">
        <f t="array" ref="O87">COUNT(IF('Well Data-NK'!G109:G154={"LB"},IF('Well Data-NK'!K109:K154="ST",IF('Well Data-NK'!J109:J154="Prod",IF('Well Data-NK'!Q109:Q154&lt;=PERCENTILE(IF('Well Data-NK'!G109:G154={"LB"},IF('Well Data-NK'!K109:K154="ST",IF('Well Data-NK'!J109:J154="Prod",'Well Data-NK'!Q109:Q154))),0.25),'Well Data-NK'!Q109:Q154)))))</f>
        <v>0</v>
      </c>
      <c r="P87" s="99" t="e">
        <f t="array" ref="P87">AVERAGE(IF('Well Data-NK'!G109:G154={"LB"},IF('Well Data-NK'!K109:K154="ST",IF('Well Data-NK'!J109:J154="Prod",IF('Well Data-NK'!Q109:Q154&lt;=PERCENTILE(IF('Well Data-NK'!G109:G154={"LB"},IF('Well Data-NK'!K109:K154="ST",IF('Well Data-NK'!J109:J154="Prod",'Well Data-NK'!Q109:Q154))),0.25),'Well Data-NK'!Q109:Q154)))))</f>
        <v>#DIV/0!</v>
      </c>
      <c r="Q87" s="99">
        <f t="array" ref="Q87">COUNT(IF('Well Data-NK'!G109:G154={"LB"},IF('Well Data-NK'!K109:K154="ST",IF('Well Data-NK'!J109:J154="Inj",IF('Well Data-NK'!Q109:Q154&lt;=PERCENTILE(IF('Well Data-NK'!G109:G154={"LB"},IF('Well Data-NK'!K109:K154="ST",IF('Well Data-NK'!J109:J154="Inj",'Well Data-NK'!Q109:Q154))),0.25),'Well Data-NK'!Q109:Q154)))))</f>
        <v>0</v>
      </c>
      <c r="R87" s="99" t="e">
        <f t="array" ref="R87">AVERAGE(IF('Well Data-NK'!G109:G154={"LB"},IF('Well Data-NK'!K109:K154="ST",IF('Well Data-NK'!J109:J154="Inj",IF('Well Data-NK'!Q109:Q154&lt;=PERCENTILE(IF('Well Data-NK'!G109:G154={"LB"},IF('Well Data-NK'!K109:K154="ST",IF('Well Data-NK'!J109:J154="Inj",'Well Data-NK'!Q109:Q154))),0.25),'Well Data-NK'!Q109:Q154)))))</f>
        <v>#DIV/0!</v>
      </c>
      <c r="S87" s="43"/>
      <c r="T87" s="43"/>
      <c r="U87" s="43"/>
      <c r="V87" s="43"/>
      <c r="W87" s="43"/>
      <c r="X87" s="43"/>
      <c r="Y87" s="43"/>
      <c r="Z87" s="111"/>
      <c r="AA87" s="111"/>
      <c r="AB87" s="111"/>
      <c r="AC87" s="111"/>
      <c r="AD87" s="111"/>
      <c r="AE87" s="111"/>
      <c r="AF87" s="111"/>
      <c r="AG87" s="111"/>
      <c r="AH87" s="111"/>
      <c r="AI87" s="111"/>
      <c r="AJ87" s="111"/>
      <c r="AK87" s="111"/>
    </row>
    <row r="88" spans="5:37" x14ac:dyDescent="0.25">
      <c r="E88" s="90"/>
      <c r="F88" s="81" t="s">
        <v>825</v>
      </c>
      <c r="G88" s="80">
        <f t="array" ref="G88">COUNT(IF('Well Data-NK'!G109:G154={"ZU","RT"},IF('Well Data-NK'!K109:K154="NW",IF('Well Data-NK'!Q109:Q154&lt;=PERCENTILE(IF('Well Data-NK'!G109:G154={"ZU","RT"},IF('Well Data-NK'!K109:K154="NW",'Well Data-NK'!Q109:Q154)),0.25),'Well Data-NK'!Q109:Q154))))</f>
        <v>1</v>
      </c>
      <c r="H88" s="80">
        <f t="array" ref="H88">AVERAGE(IF('Well Data-NK'!G109:G154={"ZU","RT"},IF('Well Data-NK'!K109:K154="NW",IF('Well Data-NK'!Q109:Q154&lt;=PERCENTILE(IF('Well Data-NK'!G109:G154={"ZU","RT"},IF('Well Data-NK'!K109:K154="NW",'Well Data-NK'!Q109:Q154)),0.25),'Well Data-NK'!Q109:Q154))))</f>
        <v>53.375</v>
      </c>
      <c r="I88" s="80">
        <f t="array" ref="I88">COUNT(IF('Well Data-NK'!G109:G154={"ZU","RT"},IF('Well Data-NK'!K109:K154="ST",IF('Well Data-NK'!Q109:Q154&lt;=PERCENTILE(IF('Well Data-NK'!G109:G154={"ZU","RT"},IF('Well Data-NK'!K109:K154="ST",'Well Data-NK'!Q109:Q154)),0.25),'Well Data-NK'!Q109:Q154))))</f>
        <v>1</v>
      </c>
      <c r="J88" s="80">
        <f t="array" ref="J88">AVERAGE(IF('Well Data-NK'!G109:G154={"ZU","RT"},IF('Well Data-NK'!K109:K154="ST",IF('Well Data-NK'!Q109:Q154&lt;=PERCENTILE(IF('Well Data-NK'!G109:G154={"ZU","RT"},IF('Well Data-NK'!K109:K154="ST",'Well Data-NK'!Q109:Q154)),0.25),'Well Data-NK'!Q109:Q154))))</f>
        <v>36</v>
      </c>
      <c r="K88" s="99">
        <f t="array" ref="K88">COUNT(IF('Well Data-NK'!G109:G154={"ZU","RT"},IF('Well Data-NK'!K109:K154="NW",IF('Well Data-NK'!J109:J154="Prod",IF('Well Data-NK'!Q109:Q154&lt;=PERCENTILE(IF('Well Data-NK'!G109:G154={"ZU","RT"},IF('Well Data-NK'!K109:K154="NW",IF('Well Data-NK'!J109:J154="Prod",'Well Data-NK'!Q109:Q154))),0.25),'Well Data-NK'!Q109:Q154)))))</f>
        <v>1</v>
      </c>
      <c r="L88" s="99">
        <f t="array" ref="L88">AVERAGE(IF('Well Data-NK'!G109:G154={"ZU","RT"},IF('Well Data-NK'!K109:K154="NW",IF('Well Data-NK'!J109:J154="Prod",IF('Well Data-NK'!Q109:Q154&lt;=PERCENTILE(IF('Well Data-NK'!G109:G154={"ZU","RT"},IF('Well Data-NK'!K109:K154="NW",IF('Well Data-NK'!J109:J154="Prod",'Well Data-NK'!Q109:Q154))),0.25),'Well Data-NK'!Q109:Q154)))))</f>
        <v>53.375</v>
      </c>
      <c r="M88" s="99">
        <f t="array" ref="M88">COUNT(IF('Well Data-NK'!G109:G154={"ZU","RT"},IF('Well Data-NK'!K109:K154="NW",IF('Well Data-NK'!J109:J154="Inj",IF('Well Data-NK'!Q109:Q154&lt;=PERCENTILE(IF('Well Data-NK'!G109:G154={"ZU","RT"},IF('Well Data-NK'!K109:K154="NW",IF('Well Data-NK'!J109:J154="Inj",'Well Data-NK'!Q109:Q154))),0.25),'Well Data-NK'!Q109:Q154)))))</f>
        <v>0</v>
      </c>
      <c r="N88" s="99" t="e">
        <f t="array" ref="N88">AVERAGE(IF('Well Data-NK'!G109:G154={"ZU","RT"},IF('Well Data-NK'!K109:K154="NW",IF('Well Data-NK'!J109:J154="Inj",IF('Well Data-NK'!Q109:Q154&lt;=PERCENTILE(IF('Well Data-NK'!G109:G154={"ZU","RT"},IF('Well Data-NK'!K109:K154="NW",IF('Well Data-NK'!J109:J154="Inj",'Well Data-NK'!Q109:Q154))),0.25),'Well Data-NK'!Q109:Q154)))))</f>
        <v>#DIV/0!</v>
      </c>
      <c r="O88" s="99">
        <f t="array" ref="O88">COUNT(IF('Well Data-NK'!G109:G154={"ZU","RT"},IF('Well Data-NK'!K109:K154="ST",IF('Well Data-NK'!J109:J154="Prod",IF('Well Data-NK'!Q109:Q154&lt;=PERCENTILE(IF('Well Data-NK'!G109:G154={"ZU","RT"},IF('Well Data-NK'!K109:K154="ST",IF('Well Data-NK'!J109:J154="Prod",'Well Data-NK'!Q109:Q154))),0.25),'Well Data-NK'!Q109:Q154)))))</f>
        <v>1</v>
      </c>
      <c r="P88" s="99">
        <f t="array" ref="P88">AVERAGE(IF('Well Data-NK'!G109:G154={"ZU","RT"},IF('Well Data-NK'!K109:K154="ST",IF('Well Data-NK'!J109:J154="Prod",IF('Well Data-NK'!Q109:Q154&lt;=PERCENTILE(IF('Well Data-NK'!G109:G154={"ZU","RT"},IF('Well Data-NK'!K109:K154="ST",IF('Well Data-NK'!J109:J154="Prod",'Well Data-NK'!Q109:Q154))),0.25),'Well Data-NK'!Q109:Q154)))))</f>
        <v>52</v>
      </c>
      <c r="Q88" s="99">
        <f t="array" ref="Q88">COUNT(IF('Well Data-NK'!G109:G154={"ZU","RT"},IF('Well Data-NK'!K109:K154="ST",IF('Well Data-NK'!J109:J154="Inj",IF('Well Data-NK'!Q109:Q154&lt;=PERCENTILE(IF('Well Data-NK'!G109:G154={"ZU","RT"},IF('Well Data-NK'!K109:K154="ST",IF('Well Data-NK'!J109:J154="Inj",'Well Data-NK'!Q109:Q154))),0.25),'Well Data-NK'!Q109:Q154)))))</f>
        <v>1</v>
      </c>
      <c r="R88" s="99">
        <f t="array" ref="R88">AVERAGE(IF('Well Data-NK'!G109:G154={"ZU","RT"},IF('Well Data-NK'!K109:K154="ST",IF('Well Data-NK'!J109:J154="Inj",IF('Well Data-NK'!Q109:Q154&lt;=PERCENTILE(IF('Well Data-NK'!G109:G154={"ZU","RT"},IF('Well Data-NK'!K109:K154="ST",IF('Well Data-NK'!J109:J154="Inj",'Well Data-NK'!Q109:Q154))),0.25),'Well Data-NK'!Q109:Q154)))))</f>
        <v>36</v>
      </c>
      <c r="S88" s="43"/>
      <c r="T88" s="43"/>
      <c r="U88" s="43"/>
      <c r="V88" s="43"/>
      <c r="W88" s="43"/>
      <c r="X88" s="43"/>
      <c r="Y88" s="43"/>
      <c r="Z88" s="111"/>
      <c r="AA88" s="111"/>
      <c r="AB88" s="111"/>
      <c r="AC88" s="111"/>
      <c r="AD88" s="111"/>
      <c r="AE88" s="111"/>
      <c r="AF88" s="111"/>
      <c r="AG88" s="111"/>
      <c r="AH88" s="111"/>
      <c r="AI88" s="111"/>
      <c r="AJ88" s="111"/>
      <c r="AK88" s="111"/>
    </row>
    <row r="89" spans="5:37" x14ac:dyDescent="0.25">
      <c r="E89" s="90"/>
      <c r="F89" s="81" t="s">
        <v>816</v>
      </c>
      <c r="G89" s="80">
        <f t="array" ref="G89">COUNT(IF('Well Data-NK'!G109:G154={"ZU","RT","LB","UB","MA"},IF('Well Data-NK'!K109:K154="NW",IF('Well Data-NK'!Q109:Q154&lt;=PERCENTILE(IF('Well Data-NK'!G109:G154={"ZU","RT","LB","UB","MA"},IF('Well Data-NK'!K109:K154="NW",'Well Data-NK'!Q109:Q154)),0.25),'Well Data-NK'!Q109:Q154))))</f>
        <v>4</v>
      </c>
      <c r="H89" s="80">
        <f t="array" ref="H89">AVERAGE(IF('Well Data-NK'!G109:G154={"ZU","RT","LB","UB","MA"},IF('Well Data-NK'!K109:K154="NW",IF('Well Data-NK'!Q109:Q154&lt;=PERCENTILE(IF('Well Data-NK'!G109:G154={"ZU","RT","LB","UB","MA"},IF('Well Data-NK'!K109:K154="NW",'Well Data-NK'!Q109:Q154)),0.25),'Well Data-NK'!Q109:Q154))))</f>
        <v>46.55191666666606</v>
      </c>
      <c r="I89" s="80">
        <f t="array" ref="I89">COUNT(IF('Well Data-NK'!G109:G154={"ZU","RT","LB","UB","MA"},IF('Well Data-NK'!K109:K154="ST",IF('Well Data-NK'!Q109:Q154&lt;=PERCENTILE(IF('Well Data-NK'!G109:G154={"ZU","RT","LB","UB","MA"},IF('Well Data-NK'!K109:K154="ST",'Well Data-NK'!Q109:Q154)),0.25),'Well Data-NK'!Q109:Q154))))</f>
        <v>8</v>
      </c>
      <c r="J89" s="80">
        <f t="array" ref="J89">AVERAGE(IF('Well Data-NK'!G109:G154={"ZU","RT","LB","UB","MA"},IF('Well Data-NK'!K109:K154="ST",IF('Well Data-NK'!Q109:Q154&lt;=PERCENTILE(IF('Well Data-NK'!G109:G154={"ZU","RT","LB","UB","MA"},IF('Well Data-NK'!K109:K154="ST",'Well Data-NK'!Q109:Q154)),0.25),'Well Data-NK'!Q109:Q154))))</f>
        <v>27.796874916666056</v>
      </c>
      <c r="K89" s="99">
        <f t="array" ref="K89">COUNT(IF('Well Data-NK'!G109:G154={"ZU","RT","LB","UB","MA"},IF('Well Data-NK'!K109:K154="NW",IF('Well Data-NK'!J109:J154="Prod",IF('Well Data-NK'!Q109:Q154&lt;=PERCENTILE(IF('Well Data-NK'!G109:G154={"ZU","RT","LB","UB","MA"},IF('Well Data-NK'!K109:K154="NW",IF('Well Data-NK'!J109:J154="Prod",'Well Data-NK'!Q109:Q154))),0.25),'Well Data-NK'!Q109:Q154)))))</f>
        <v>4</v>
      </c>
      <c r="L89" s="99">
        <f t="array" ref="L89">AVERAGE(IF('Well Data-NK'!G109:G154={"ZU","RT","LB","UB","MA"},IF('Well Data-NK'!K109:K154="NW",IF('Well Data-NK'!J109:J154="Prod",IF('Well Data-NK'!Q109:Q154&lt;=PERCENTILE(IF('Well Data-NK'!G109:G154={"ZU","RT","LB","UB","MA"},IF('Well Data-NK'!K109:K154="NW",IF('Well Data-NK'!J109:J154="Prod",'Well Data-NK'!Q109:Q154))),0.25),'Well Data-NK'!Q109:Q154)))))</f>
        <v>46.55191666666606</v>
      </c>
      <c r="M89" s="99">
        <f t="array" ref="M89">COUNT(IF('Well Data-NK'!G109:G154={"ZU","RT","LB","UB","MA"},IF('Well Data-NK'!K109:K154="NW",IF('Well Data-NK'!J109:J154="Inj",IF('Well Data-NK'!Q109:Q154&lt;=PERCENTILE(IF('Well Data-NK'!G109:G154={"ZU","RT","LB","UB","MA"},IF('Well Data-NK'!K109:K154="NW",IF('Well Data-NK'!J109:J154="Inj",'Well Data-NK'!Q109:Q154))),0.25),'Well Data-NK'!Q109:Q154)))))</f>
        <v>0</v>
      </c>
      <c r="N89" s="99" t="e">
        <f t="array" ref="N89">AVERAGE(IF('Well Data-NK'!G109:G154={"ZU","RT","LB","UB","MA"},IF('Well Data-NK'!K109:K154="NW",IF('Well Data-NK'!J109:J154="Inj",IF('Well Data-NK'!Q109:Q154&lt;=PERCENTILE(IF('Well Data-NK'!G109:G154={"ZU","RT","LB","UB","MA"},IF('Well Data-NK'!K109:K154="NW",IF('Well Data-NK'!J109:J154="Inj",'Well Data-NK'!Q109:Q154))),0.25),'Well Data-NK'!Q109:Q154)))))</f>
        <v>#DIV/0!</v>
      </c>
      <c r="O89" s="99">
        <f t="array" ref="O89">COUNT(IF('Well Data-NK'!G109:G154={"ZU","RT","LB","UB","MA"},IF('Well Data-NK'!K109:K154="ST",IF('Well Data-NK'!J109:J154="Prod",IF('Well Data-NK'!Q109:Q154&lt;=PERCENTILE(IF('Well Data-NK'!G109:G154={"ZU","RT","LB","UB","MA"},IF('Well Data-NK'!K109:K154="ST",IF('Well Data-NK'!J109:J154="Prod",'Well Data-NK'!Q109:Q154))),0.25),'Well Data-NK'!Q109:Q154)))))</f>
        <v>3</v>
      </c>
      <c r="P89" s="99">
        <f t="array" ref="P89">AVERAGE(IF('Well Data-NK'!G109:G154={"ZU","RT","LB","UB","MA"},IF('Well Data-NK'!K109:K154="ST",IF('Well Data-NK'!J109:J154="Prod",IF('Well Data-NK'!Q109:Q154&lt;=PERCENTILE(IF('Well Data-NK'!G109:G154={"ZU","RT","LB","UB","MA"},IF('Well Data-NK'!K109:K154="ST",IF('Well Data-NK'!J109:J154="Prod",'Well Data-NK'!Q109:Q154))),0.25),'Well Data-NK'!Q109:Q154)))))</f>
        <v>41.437498888888079</v>
      </c>
      <c r="Q89" s="99">
        <f t="array" ref="Q89">COUNT(IF('Well Data-NK'!G109:G154={"ZU","RT","LB","UB","MA"},IF('Well Data-NK'!K109:K154="ST",IF('Well Data-NK'!J109:J154="Inj",IF('Well Data-NK'!Q109:Q154&lt;=PERCENTILE(IF('Well Data-NK'!G109:G154={"ZU","RT","LB","UB","MA"},IF('Well Data-NK'!K109:K154="ST",IF('Well Data-NK'!J109:J154="Inj",'Well Data-NK'!Q109:Q154))),0.25),'Well Data-NK'!Q109:Q154)))))</f>
        <v>6</v>
      </c>
      <c r="R89" s="99">
        <f t="array" ref="R89">AVERAGE(IF('Well Data-NK'!G109:G154={"ZU","RT","LB","UB","MA"},IF('Well Data-NK'!K109:K154="ST",IF('Well Data-NK'!J109:J154="Inj",IF('Well Data-NK'!Q109:Q154&lt;=PERCENTILE(IF('Well Data-NK'!G109:G154={"ZU","RT","LB","UB","MA"},IF('Well Data-NK'!K109:K154="ST",IF('Well Data-NK'!J109:J154="Inj",'Well Data-NK'!Q109:Q154))),0.25),'Well Data-NK'!Q109:Q154)))))</f>
        <v>26.743055444444039</v>
      </c>
      <c r="S89" s="43"/>
      <c r="T89" s="43"/>
      <c r="U89" s="43"/>
      <c r="V89" s="43"/>
      <c r="W89" s="43"/>
      <c r="X89" s="43"/>
      <c r="Y89" s="43"/>
      <c r="Z89" s="111"/>
      <c r="AA89" s="111"/>
      <c r="AB89" s="111"/>
      <c r="AC89" s="111"/>
      <c r="AD89" s="111"/>
      <c r="AE89" s="111"/>
      <c r="AF89" s="111"/>
      <c r="AG89" s="111"/>
      <c r="AH89" s="111"/>
      <c r="AI89" s="111"/>
      <c r="AJ89" s="111"/>
      <c r="AK89" s="111"/>
    </row>
    <row r="90" spans="5:37" x14ac:dyDescent="0.25">
      <c r="E90" s="90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111"/>
      <c r="AB90" s="111"/>
      <c r="AC90" s="111"/>
      <c r="AD90" s="111"/>
      <c r="AE90" s="111"/>
      <c r="AF90" s="111"/>
      <c r="AG90" s="111"/>
      <c r="AH90" s="111"/>
      <c r="AI90" s="111"/>
      <c r="AJ90" s="111"/>
      <c r="AK90" s="111"/>
    </row>
    <row r="91" spans="5:37" x14ac:dyDescent="0.25">
      <c r="E91" s="90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111"/>
      <c r="AB91" s="111"/>
      <c r="AC91" s="111"/>
      <c r="AD91" s="111"/>
      <c r="AE91" s="111"/>
      <c r="AF91" s="111"/>
      <c r="AG91" s="111"/>
      <c r="AH91" s="111"/>
      <c r="AI91" s="111"/>
      <c r="AJ91" s="111"/>
      <c r="AK91" s="111"/>
    </row>
    <row r="92" spans="5:37" x14ac:dyDescent="0.25">
      <c r="E92" s="90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111"/>
      <c r="AB92" s="111"/>
      <c r="AC92" s="111"/>
      <c r="AD92" s="111"/>
      <c r="AE92" s="111"/>
      <c r="AF92" s="111"/>
      <c r="AG92" s="111"/>
      <c r="AH92" s="111"/>
      <c r="AI92" s="111"/>
      <c r="AJ92" s="111"/>
      <c r="AK92" s="111"/>
    </row>
    <row r="93" spans="5:37" x14ac:dyDescent="0.25">
      <c r="E93" s="90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111"/>
      <c r="AB93" s="111"/>
      <c r="AC93" s="111"/>
      <c r="AD93" s="111"/>
      <c r="AE93" s="111"/>
      <c r="AF93" s="111"/>
      <c r="AG93" s="111"/>
      <c r="AH93" s="111"/>
      <c r="AI93" s="111"/>
      <c r="AJ93" s="111"/>
      <c r="AK93" s="111"/>
    </row>
    <row r="94" spans="5:37" x14ac:dyDescent="0.25">
      <c r="E94" s="90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</row>
    <row r="95" spans="5:37" x14ac:dyDescent="0.25">
      <c r="E95" s="90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111"/>
      <c r="AB95" s="111"/>
      <c r="AC95" s="111"/>
      <c r="AD95" s="111"/>
      <c r="AE95" s="111"/>
      <c r="AF95" s="111"/>
      <c r="AG95" s="111"/>
      <c r="AH95" s="111"/>
      <c r="AI95" s="111"/>
      <c r="AJ95" s="111"/>
      <c r="AK95" s="111"/>
    </row>
    <row r="124" spans="6:25" x14ac:dyDescent="0.25">
      <c r="F124" t="s">
        <v>1041</v>
      </c>
    </row>
    <row r="125" spans="6:25" x14ac:dyDescent="0.25">
      <c r="F125" s="43"/>
      <c r="G125" s="43"/>
      <c r="H125" s="27" t="s">
        <v>865</v>
      </c>
      <c r="I125" s="43"/>
      <c r="J125" s="43"/>
      <c r="K125" s="43"/>
      <c r="L125" s="43"/>
      <c r="M125" s="43"/>
      <c r="N125" s="607"/>
      <c r="O125" s="607"/>
      <c r="P125" s="607"/>
      <c r="Q125" s="607"/>
      <c r="R125" s="607"/>
      <c r="S125" s="607"/>
      <c r="T125" s="607"/>
      <c r="U125" s="607"/>
      <c r="V125" s="607"/>
      <c r="W125" s="607"/>
      <c r="X125" s="607"/>
      <c r="Y125" s="607"/>
    </row>
    <row r="126" spans="6:25" x14ac:dyDescent="0.25">
      <c r="F126" s="43"/>
      <c r="G126" s="607" t="s">
        <v>307</v>
      </c>
      <c r="H126" s="607"/>
      <c r="I126" s="607"/>
      <c r="J126" s="607"/>
      <c r="K126" s="607"/>
      <c r="L126" s="607"/>
      <c r="M126" s="607"/>
      <c r="N126" s="608"/>
      <c r="O126" s="608"/>
      <c r="P126" s="608"/>
      <c r="Q126" s="608"/>
      <c r="R126" s="608"/>
      <c r="S126" s="608"/>
      <c r="T126" s="608"/>
      <c r="U126" s="608"/>
      <c r="V126" s="608"/>
      <c r="W126" s="608"/>
      <c r="X126" s="608"/>
      <c r="Y126" s="608"/>
    </row>
    <row r="127" spans="6:25" x14ac:dyDescent="0.25">
      <c r="F127" s="27" t="s">
        <v>840</v>
      </c>
      <c r="G127" s="27" t="s">
        <v>603</v>
      </c>
      <c r="H127" s="27" t="s">
        <v>884</v>
      </c>
      <c r="I127" s="27" t="s">
        <v>814</v>
      </c>
      <c r="J127" s="27" t="s">
        <v>879</v>
      </c>
      <c r="K127" s="27" t="s">
        <v>880</v>
      </c>
      <c r="L127" s="27" t="s">
        <v>881</v>
      </c>
      <c r="M127" s="27" t="s">
        <v>882</v>
      </c>
      <c r="N127" s="27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</row>
    <row r="128" spans="6:25" x14ac:dyDescent="0.25">
      <c r="F128" s="43" t="s">
        <v>17</v>
      </c>
      <c r="G128" s="43" t="s">
        <v>885</v>
      </c>
      <c r="H128" s="108" t="s">
        <v>890</v>
      </c>
      <c r="I128" s="108" t="s">
        <v>895</v>
      </c>
      <c r="J128" s="108" t="s">
        <v>900</v>
      </c>
      <c r="K128" s="108" t="s">
        <v>905</v>
      </c>
      <c r="L128" s="108" t="s">
        <v>910</v>
      </c>
      <c r="M128" s="108" t="s">
        <v>915</v>
      </c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</row>
    <row r="129" spans="6:25" x14ac:dyDescent="0.25">
      <c r="F129" s="43" t="s">
        <v>29</v>
      </c>
      <c r="G129" s="43" t="s">
        <v>886</v>
      </c>
      <c r="H129" s="108" t="s">
        <v>891</v>
      </c>
      <c r="I129" s="108" t="s">
        <v>896</v>
      </c>
      <c r="J129" s="108" t="s">
        <v>901</v>
      </c>
      <c r="K129" s="108" t="s">
        <v>906</v>
      </c>
      <c r="L129" s="108" t="s">
        <v>911</v>
      </c>
      <c r="M129" s="108" t="s">
        <v>916</v>
      </c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</row>
    <row r="130" spans="6:25" x14ac:dyDescent="0.25">
      <c r="F130" s="43" t="s">
        <v>22</v>
      </c>
      <c r="G130" s="43" t="s">
        <v>887</v>
      </c>
      <c r="H130" s="108" t="s">
        <v>892</v>
      </c>
      <c r="I130" s="108" t="s">
        <v>897</v>
      </c>
      <c r="J130" s="108" t="s">
        <v>902</v>
      </c>
      <c r="K130" s="108" t="s">
        <v>907</v>
      </c>
      <c r="L130" s="108" t="s">
        <v>912</v>
      </c>
      <c r="M130" s="108" t="s">
        <v>917</v>
      </c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</row>
    <row r="131" spans="6:25" x14ac:dyDescent="0.25">
      <c r="F131" s="43" t="s">
        <v>825</v>
      </c>
      <c r="G131" s="43" t="s">
        <v>888</v>
      </c>
      <c r="H131" s="108" t="s">
        <v>893</v>
      </c>
      <c r="I131" s="108" t="s">
        <v>898</v>
      </c>
      <c r="J131" s="108" t="s">
        <v>903</v>
      </c>
      <c r="K131" s="108" t="s">
        <v>908</v>
      </c>
      <c r="L131" s="108" t="s">
        <v>913</v>
      </c>
      <c r="M131" s="108" t="s">
        <v>918</v>
      </c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</row>
    <row r="132" spans="6:25" x14ac:dyDescent="0.25">
      <c r="F132" s="43" t="s">
        <v>816</v>
      </c>
      <c r="G132" s="43" t="s">
        <v>889</v>
      </c>
      <c r="H132" s="108" t="s">
        <v>894</v>
      </c>
      <c r="I132" s="108" t="s">
        <v>899</v>
      </c>
      <c r="J132" s="108" t="s">
        <v>904</v>
      </c>
      <c r="K132" s="108" t="s">
        <v>909</v>
      </c>
      <c r="L132" s="108" t="s">
        <v>914</v>
      </c>
      <c r="M132" s="108" t="s">
        <v>919</v>
      </c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</row>
    <row r="133" spans="6:25" x14ac:dyDescent="0.25">
      <c r="F133" s="593" t="s">
        <v>866</v>
      </c>
      <c r="G133" s="593"/>
      <c r="H133" s="593"/>
      <c r="I133" s="593"/>
      <c r="J133" s="593"/>
      <c r="K133" s="593"/>
      <c r="L133" s="593"/>
      <c r="M133" s="593"/>
      <c r="N133" s="593"/>
      <c r="O133" s="593"/>
      <c r="P133" s="593"/>
      <c r="Q133" s="593"/>
      <c r="R133" s="593"/>
      <c r="S133" s="112"/>
      <c r="T133" s="112"/>
      <c r="U133" s="112"/>
      <c r="V133" s="112"/>
      <c r="W133" s="112"/>
      <c r="X133" s="112"/>
      <c r="Y133" s="112"/>
    </row>
    <row r="134" spans="6:25" x14ac:dyDescent="0.25">
      <c r="F134" s="43"/>
      <c r="G134" s="607" t="s">
        <v>870</v>
      </c>
      <c r="H134" s="607"/>
      <c r="I134" s="607"/>
      <c r="J134" s="607"/>
      <c r="K134" s="607"/>
      <c r="L134" s="607"/>
      <c r="M134" s="607"/>
      <c r="N134" s="607"/>
      <c r="O134" s="607"/>
      <c r="P134" s="607"/>
      <c r="Q134" s="607"/>
      <c r="R134" s="607"/>
      <c r="S134" s="43"/>
      <c r="T134" s="43"/>
      <c r="U134" s="43"/>
      <c r="V134" s="43"/>
      <c r="W134" s="43"/>
      <c r="X134" s="43"/>
      <c r="Y134" s="43"/>
    </row>
    <row r="135" spans="6:25" x14ac:dyDescent="0.25">
      <c r="F135" s="43"/>
      <c r="G135" s="608" t="s">
        <v>867</v>
      </c>
      <c r="H135" s="608"/>
      <c r="I135" s="608"/>
      <c r="J135" s="608"/>
      <c r="K135" s="608" t="s">
        <v>869</v>
      </c>
      <c r="L135" s="608"/>
      <c r="M135" s="608"/>
      <c r="N135" s="608"/>
      <c r="O135" s="608"/>
      <c r="P135" s="608"/>
      <c r="Q135" s="608"/>
      <c r="R135" s="608"/>
      <c r="S135" s="43"/>
      <c r="T135" s="43"/>
      <c r="U135" s="43"/>
      <c r="V135" s="43"/>
      <c r="W135" s="43"/>
      <c r="X135" s="43"/>
      <c r="Y135" s="43"/>
    </row>
    <row r="136" spans="6:25" x14ac:dyDescent="0.25">
      <c r="F136" s="27" t="s">
        <v>840</v>
      </c>
      <c r="G136" s="27" t="s">
        <v>878</v>
      </c>
      <c r="H136" s="102" t="s">
        <v>14</v>
      </c>
      <c r="I136" s="102" t="s">
        <v>877</v>
      </c>
      <c r="J136" s="102" t="s">
        <v>18</v>
      </c>
      <c r="K136" s="102" t="s">
        <v>883</v>
      </c>
      <c r="L136" s="102" t="s">
        <v>862</v>
      </c>
      <c r="M136" s="102" t="s">
        <v>875</v>
      </c>
      <c r="N136" s="102" t="s">
        <v>863</v>
      </c>
      <c r="O136" s="102" t="s">
        <v>874</v>
      </c>
      <c r="P136" s="102" t="s">
        <v>860</v>
      </c>
      <c r="Q136" s="102" t="s">
        <v>873</v>
      </c>
      <c r="R136" s="102" t="s">
        <v>861</v>
      </c>
      <c r="S136" s="43"/>
      <c r="T136" s="43"/>
      <c r="U136" s="43"/>
      <c r="V136" s="43"/>
      <c r="W136" s="43"/>
      <c r="X136" s="43"/>
      <c r="Y136" s="43"/>
    </row>
    <row r="137" spans="6:25" x14ac:dyDescent="0.25">
      <c r="F137" s="43" t="s">
        <v>17</v>
      </c>
      <c r="G137" s="108" t="s">
        <v>920</v>
      </c>
      <c r="H137" s="108" t="s">
        <v>925</v>
      </c>
      <c r="I137" s="108" t="s">
        <v>930</v>
      </c>
      <c r="J137" s="108" t="s">
        <v>935</v>
      </c>
      <c r="K137" s="108" t="s">
        <v>940</v>
      </c>
      <c r="L137" s="108" t="s">
        <v>945</v>
      </c>
      <c r="M137" s="108" t="s">
        <v>950</v>
      </c>
      <c r="N137" s="108" t="s">
        <v>955</v>
      </c>
      <c r="O137" s="108" t="s">
        <v>960</v>
      </c>
      <c r="P137" s="108" t="s">
        <v>965</v>
      </c>
      <c r="Q137" s="108" t="s">
        <v>970</v>
      </c>
      <c r="R137" s="108" t="s">
        <v>975</v>
      </c>
      <c r="S137" s="43"/>
      <c r="T137" s="43"/>
      <c r="U137" s="43"/>
      <c r="V137" s="43"/>
      <c r="W137" s="43"/>
      <c r="X137" s="43"/>
      <c r="Y137" s="43"/>
    </row>
    <row r="138" spans="6:25" x14ac:dyDescent="0.25">
      <c r="F138" s="43" t="s">
        <v>29</v>
      </c>
      <c r="G138" s="108" t="s">
        <v>921</v>
      </c>
      <c r="H138" s="108" t="s">
        <v>926</v>
      </c>
      <c r="I138" s="108" t="s">
        <v>931</v>
      </c>
      <c r="J138" s="108" t="s">
        <v>936</v>
      </c>
      <c r="K138" s="108" t="s">
        <v>941</v>
      </c>
      <c r="L138" s="108" t="s">
        <v>946</v>
      </c>
      <c r="M138" s="108" t="s">
        <v>951</v>
      </c>
      <c r="N138" s="108" t="s">
        <v>956</v>
      </c>
      <c r="O138" s="108" t="s">
        <v>961</v>
      </c>
      <c r="P138" s="108" t="s">
        <v>966</v>
      </c>
      <c r="Q138" s="108" t="s">
        <v>971</v>
      </c>
      <c r="R138" s="108" t="s">
        <v>976</v>
      </c>
      <c r="S138" s="43"/>
      <c r="T138" s="43"/>
      <c r="U138" s="43"/>
      <c r="V138" s="43"/>
      <c r="W138" s="43"/>
      <c r="X138" s="43"/>
      <c r="Y138" s="43"/>
    </row>
    <row r="139" spans="6:25" x14ac:dyDescent="0.25">
      <c r="F139" s="43" t="s">
        <v>22</v>
      </c>
      <c r="G139" s="108" t="s">
        <v>922</v>
      </c>
      <c r="H139" s="108" t="s">
        <v>927</v>
      </c>
      <c r="I139" s="108" t="s">
        <v>932</v>
      </c>
      <c r="J139" s="108" t="s">
        <v>937</v>
      </c>
      <c r="K139" s="108" t="s">
        <v>942</v>
      </c>
      <c r="L139" s="108" t="s">
        <v>947</v>
      </c>
      <c r="M139" s="108" t="s">
        <v>952</v>
      </c>
      <c r="N139" s="108" t="s">
        <v>957</v>
      </c>
      <c r="O139" s="108" t="s">
        <v>962</v>
      </c>
      <c r="P139" s="108" t="s">
        <v>967</v>
      </c>
      <c r="Q139" s="108" t="s">
        <v>972</v>
      </c>
      <c r="R139" s="108" t="s">
        <v>977</v>
      </c>
      <c r="S139" s="43"/>
      <c r="T139" s="43"/>
      <c r="U139" s="43"/>
      <c r="V139" s="43"/>
      <c r="W139" s="43"/>
      <c r="X139" s="43"/>
      <c r="Y139" s="43"/>
    </row>
    <row r="140" spans="6:25" x14ac:dyDescent="0.25">
      <c r="F140" s="43" t="s">
        <v>825</v>
      </c>
      <c r="G140" s="108" t="s">
        <v>923</v>
      </c>
      <c r="H140" s="108" t="s">
        <v>928</v>
      </c>
      <c r="I140" s="108" t="s">
        <v>933</v>
      </c>
      <c r="J140" s="108" t="s">
        <v>938</v>
      </c>
      <c r="K140" s="108" t="s">
        <v>943</v>
      </c>
      <c r="L140" s="108" t="s">
        <v>948</v>
      </c>
      <c r="M140" s="108" t="s">
        <v>953</v>
      </c>
      <c r="N140" s="108" t="s">
        <v>958</v>
      </c>
      <c r="O140" s="108" t="s">
        <v>963</v>
      </c>
      <c r="P140" s="108" t="s">
        <v>968</v>
      </c>
      <c r="Q140" s="108" t="s">
        <v>973</v>
      </c>
      <c r="R140" s="108" t="s">
        <v>978</v>
      </c>
      <c r="S140" s="43"/>
      <c r="T140" s="43"/>
      <c r="U140" s="43"/>
      <c r="V140" s="43"/>
      <c r="W140" s="43"/>
      <c r="X140" s="43"/>
      <c r="Y140" s="43"/>
    </row>
    <row r="141" spans="6:25" x14ac:dyDescent="0.25">
      <c r="F141" s="43" t="s">
        <v>816</v>
      </c>
      <c r="G141" s="108" t="s">
        <v>924</v>
      </c>
      <c r="H141" s="108" t="s">
        <v>929</v>
      </c>
      <c r="I141" s="108" t="s">
        <v>934</v>
      </c>
      <c r="J141" s="108" t="s">
        <v>939</v>
      </c>
      <c r="K141" s="108" t="s">
        <v>944</v>
      </c>
      <c r="L141" s="108" t="s">
        <v>949</v>
      </c>
      <c r="M141" s="108" t="s">
        <v>954</v>
      </c>
      <c r="N141" s="108" t="s">
        <v>959</v>
      </c>
      <c r="O141" s="108" t="s">
        <v>964</v>
      </c>
      <c r="P141" s="108" t="s">
        <v>969</v>
      </c>
      <c r="Q141" s="108" t="s">
        <v>974</v>
      </c>
      <c r="R141" s="108" t="s">
        <v>979</v>
      </c>
      <c r="S141" s="43"/>
      <c r="T141" s="43"/>
      <c r="U141" s="43"/>
      <c r="V141" s="43"/>
      <c r="W141" s="43"/>
      <c r="X141" s="43"/>
      <c r="Y141" s="43"/>
    </row>
    <row r="142" spans="6:25" x14ac:dyDescent="0.25">
      <c r="F142" s="43"/>
      <c r="G142" s="607" t="s">
        <v>868</v>
      </c>
      <c r="H142" s="607"/>
      <c r="I142" s="607"/>
      <c r="J142" s="607"/>
      <c r="K142" s="607"/>
      <c r="L142" s="607"/>
      <c r="M142" s="607"/>
      <c r="N142" s="607"/>
      <c r="O142" s="607"/>
      <c r="P142" s="607"/>
      <c r="Q142" s="607"/>
      <c r="R142" s="607"/>
      <c r="S142" s="43"/>
      <c r="T142" s="43"/>
      <c r="U142" s="43"/>
      <c r="V142" s="43"/>
      <c r="W142" s="43"/>
      <c r="X142" s="43"/>
      <c r="Y142" s="43"/>
    </row>
    <row r="143" spans="6:25" x14ac:dyDescent="0.25">
      <c r="F143" s="43"/>
      <c r="G143" s="608" t="s">
        <v>867</v>
      </c>
      <c r="H143" s="608"/>
      <c r="I143" s="608"/>
      <c r="J143" s="608"/>
      <c r="K143" s="608" t="s">
        <v>869</v>
      </c>
      <c r="L143" s="608"/>
      <c r="M143" s="608"/>
      <c r="N143" s="608"/>
      <c r="O143" s="608"/>
      <c r="P143" s="608"/>
      <c r="Q143" s="608"/>
      <c r="R143" s="608"/>
      <c r="S143" s="43"/>
      <c r="T143" s="43"/>
      <c r="U143" s="43"/>
      <c r="V143" s="43"/>
      <c r="W143" s="43"/>
      <c r="X143" s="43"/>
      <c r="Y143" s="43"/>
    </row>
    <row r="144" spans="6:25" x14ac:dyDescent="0.25">
      <c r="F144" s="27" t="s">
        <v>840</v>
      </c>
      <c r="G144" s="102" t="s">
        <v>878</v>
      </c>
      <c r="H144" s="27" t="s">
        <v>14</v>
      </c>
      <c r="I144" s="27" t="s">
        <v>877</v>
      </c>
      <c r="J144" s="102" t="s">
        <v>18</v>
      </c>
      <c r="K144" s="102" t="s">
        <v>876</v>
      </c>
      <c r="L144" s="102" t="s">
        <v>862</v>
      </c>
      <c r="M144" s="102" t="s">
        <v>875</v>
      </c>
      <c r="N144" s="102" t="s">
        <v>863</v>
      </c>
      <c r="O144" s="102" t="s">
        <v>874</v>
      </c>
      <c r="P144" s="102" t="s">
        <v>860</v>
      </c>
      <c r="Q144" s="102" t="s">
        <v>873</v>
      </c>
      <c r="R144" s="102" t="s">
        <v>861</v>
      </c>
      <c r="S144" s="43"/>
      <c r="T144" s="43"/>
      <c r="U144" s="43"/>
      <c r="V144" s="43"/>
      <c r="W144" s="43"/>
      <c r="X144" s="43"/>
      <c r="Y144" s="43"/>
    </row>
    <row r="145" spans="6:37" x14ac:dyDescent="0.25">
      <c r="F145" s="43" t="s">
        <v>17</v>
      </c>
      <c r="G145" s="108" t="s">
        <v>980</v>
      </c>
      <c r="H145" s="108" t="s">
        <v>985</v>
      </c>
      <c r="I145" s="108" t="s">
        <v>990</v>
      </c>
      <c r="J145" s="108" t="s">
        <v>995</v>
      </c>
      <c r="K145" s="110" t="s">
        <v>1000</v>
      </c>
      <c r="L145" s="110" t="s">
        <v>1005</v>
      </c>
      <c r="M145" s="110" t="s">
        <v>1010</v>
      </c>
      <c r="N145" s="110" t="s">
        <v>1015</v>
      </c>
      <c r="O145" s="110" t="s">
        <v>1020</v>
      </c>
      <c r="P145" s="110" t="s">
        <v>1025</v>
      </c>
      <c r="Q145" s="110" t="s">
        <v>1030</v>
      </c>
      <c r="R145" s="110" t="s">
        <v>1035</v>
      </c>
      <c r="S145" s="43"/>
      <c r="T145" s="43"/>
      <c r="U145" s="43"/>
      <c r="V145" s="43"/>
      <c r="W145" s="43"/>
      <c r="X145" s="43"/>
      <c r="Y145" s="43"/>
    </row>
    <row r="146" spans="6:37" x14ac:dyDescent="0.25">
      <c r="F146" s="43" t="s">
        <v>29</v>
      </c>
      <c r="G146" s="108" t="s">
        <v>981</v>
      </c>
      <c r="H146" s="108" t="s">
        <v>986</v>
      </c>
      <c r="I146" s="108" t="s">
        <v>991</v>
      </c>
      <c r="J146" s="108" t="s">
        <v>996</v>
      </c>
      <c r="K146" s="110" t="s">
        <v>1001</v>
      </c>
      <c r="L146" s="110" t="s">
        <v>1006</v>
      </c>
      <c r="M146" s="110" t="s">
        <v>1011</v>
      </c>
      <c r="N146" s="110" t="s">
        <v>1016</v>
      </c>
      <c r="O146" s="110" t="s">
        <v>1021</v>
      </c>
      <c r="P146" s="110" t="s">
        <v>1026</v>
      </c>
      <c r="Q146" s="110" t="s">
        <v>1031</v>
      </c>
      <c r="R146" s="110" t="s">
        <v>1036</v>
      </c>
      <c r="S146" s="43"/>
      <c r="T146" s="43"/>
      <c r="U146" s="43"/>
      <c r="V146" s="43"/>
      <c r="W146" s="43"/>
      <c r="X146" s="43"/>
      <c r="Y146" s="43"/>
    </row>
    <row r="147" spans="6:37" x14ac:dyDescent="0.25">
      <c r="F147" s="43" t="s">
        <v>22</v>
      </c>
      <c r="G147" s="108" t="s">
        <v>982</v>
      </c>
      <c r="H147" s="108" t="s">
        <v>987</v>
      </c>
      <c r="I147" s="108" t="s">
        <v>992</v>
      </c>
      <c r="J147" s="108" t="s">
        <v>997</v>
      </c>
      <c r="K147" s="110" t="s">
        <v>1002</v>
      </c>
      <c r="L147" s="110" t="s">
        <v>1007</v>
      </c>
      <c r="M147" s="110" t="s">
        <v>1012</v>
      </c>
      <c r="N147" s="110" t="s">
        <v>1017</v>
      </c>
      <c r="O147" s="110" t="s">
        <v>1022</v>
      </c>
      <c r="P147" s="110" t="s">
        <v>1027</v>
      </c>
      <c r="Q147" s="110" t="s">
        <v>1032</v>
      </c>
      <c r="R147" s="110" t="s">
        <v>1037</v>
      </c>
      <c r="S147" s="43"/>
      <c r="T147" s="43"/>
      <c r="U147" s="43"/>
      <c r="V147" s="43"/>
      <c r="W147" s="43"/>
      <c r="X147" s="43"/>
      <c r="Y147" s="43"/>
    </row>
    <row r="148" spans="6:37" x14ac:dyDescent="0.25">
      <c r="F148" s="43" t="s">
        <v>825</v>
      </c>
      <c r="G148" s="108" t="s">
        <v>983</v>
      </c>
      <c r="H148" s="108" t="s">
        <v>988</v>
      </c>
      <c r="I148" s="108" t="s">
        <v>993</v>
      </c>
      <c r="J148" s="108" t="s">
        <v>998</v>
      </c>
      <c r="K148" s="110" t="s">
        <v>1003</v>
      </c>
      <c r="L148" s="110" t="s">
        <v>1008</v>
      </c>
      <c r="M148" s="110" t="s">
        <v>1013</v>
      </c>
      <c r="N148" s="110" t="s">
        <v>1018</v>
      </c>
      <c r="O148" s="110" t="s">
        <v>1023</v>
      </c>
      <c r="P148" s="110" t="s">
        <v>1028</v>
      </c>
      <c r="Q148" s="110" t="s">
        <v>1033</v>
      </c>
      <c r="R148" s="110" t="s">
        <v>1038</v>
      </c>
      <c r="S148" s="43"/>
      <c r="T148" s="43"/>
      <c r="U148" s="43"/>
      <c r="V148" s="43"/>
      <c r="W148" s="43"/>
      <c r="X148" s="43"/>
      <c r="Y148" s="43"/>
    </row>
    <row r="149" spans="6:37" x14ac:dyDescent="0.25">
      <c r="F149" s="43" t="s">
        <v>816</v>
      </c>
      <c r="G149" s="108" t="s">
        <v>984</v>
      </c>
      <c r="H149" s="108" t="s">
        <v>989</v>
      </c>
      <c r="I149" s="108" t="s">
        <v>994</v>
      </c>
      <c r="J149" s="108" t="s">
        <v>999</v>
      </c>
      <c r="K149" s="110" t="s">
        <v>1004</v>
      </c>
      <c r="L149" s="110" t="s">
        <v>1009</v>
      </c>
      <c r="M149" s="110" t="s">
        <v>1014</v>
      </c>
      <c r="N149" s="110" t="s">
        <v>1019</v>
      </c>
      <c r="O149" s="110" t="s">
        <v>1024</v>
      </c>
      <c r="P149" s="110" t="s">
        <v>1029</v>
      </c>
      <c r="Q149" s="110" t="s">
        <v>1034</v>
      </c>
      <c r="R149" s="110" t="s">
        <v>1039</v>
      </c>
      <c r="S149" s="43"/>
      <c r="T149" s="43"/>
      <c r="U149" s="43"/>
      <c r="V149" s="43"/>
      <c r="W149" s="43"/>
      <c r="X149" s="43"/>
      <c r="Y149" s="43"/>
    </row>
    <row r="150" spans="6:37" x14ac:dyDescent="0.25"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</row>
    <row r="151" spans="6:37" x14ac:dyDescent="0.25"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</row>
    <row r="152" spans="6:37" x14ac:dyDescent="0.25"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</row>
    <row r="153" spans="6:37" x14ac:dyDescent="0.25"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</row>
    <row r="154" spans="6:37" x14ac:dyDescent="0.25"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</row>
    <row r="155" spans="6:37" ht="15.75" thickBot="1" x14ac:dyDescent="0.3">
      <c r="F155" s="90" t="s">
        <v>1040</v>
      </c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</row>
    <row r="156" spans="6:37" ht="15.75" thickBot="1" x14ac:dyDescent="0.3">
      <c r="F156" s="594">
        <v>2014</v>
      </c>
      <c r="G156" s="595"/>
      <c r="H156" s="595"/>
      <c r="I156" s="595"/>
      <c r="J156" s="595"/>
      <c r="K156" s="595"/>
      <c r="L156" s="595"/>
      <c r="M156" s="595"/>
      <c r="N156" s="595"/>
      <c r="O156" s="595"/>
      <c r="P156" s="595"/>
      <c r="Q156" s="595"/>
      <c r="R156" s="595"/>
      <c r="S156" s="595"/>
      <c r="T156" s="595"/>
      <c r="U156" s="595"/>
      <c r="V156" s="595"/>
      <c r="W156" s="595"/>
      <c r="X156" s="595"/>
      <c r="Y156" s="595"/>
      <c r="Z156" s="595"/>
      <c r="AA156" s="595"/>
      <c r="AB156" s="595"/>
      <c r="AC156" s="595"/>
      <c r="AD156" s="595"/>
      <c r="AE156" s="595"/>
      <c r="AF156" s="595"/>
      <c r="AG156" s="595"/>
      <c r="AH156" s="595"/>
      <c r="AI156" s="595"/>
      <c r="AJ156" s="595"/>
      <c r="AK156" s="596"/>
    </row>
    <row r="157" spans="6:37" ht="15.75" thickBot="1" x14ac:dyDescent="0.3">
      <c r="F157" s="97"/>
      <c r="G157" s="97"/>
      <c r="H157" s="97"/>
      <c r="I157" s="97"/>
      <c r="J157" s="97"/>
      <c r="K157" s="97"/>
      <c r="L157" s="97"/>
      <c r="M157" s="98"/>
      <c r="N157" s="594" t="s">
        <v>866</v>
      </c>
      <c r="O157" s="595"/>
      <c r="P157" s="595"/>
      <c r="Q157" s="595"/>
      <c r="R157" s="595"/>
      <c r="S157" s="595"/>
      <c r="T157" s="595"/>
      <c r="U157" s="595"/>
      <c r="V157" s="595"/>
      <c r="W157" s="595"/>
      <c r="X157" s="595"/>
      <c r="Y157" s="595"/>
      <c r="Z157" s="595"/>
      <c r="AA157" s="595"/>
      <c r="AB157" s="595"/>
      <c r="AC157" s="595"/>
      <c r="AD157" s="595"/>
      <c r="AE157" s="595"/>
      <c r="AF157" s="595"/>
      <c r="AG157" s="595"/>
      <c r="AH157" s="595"/>
      <c r="AI157" s="595"/>
      <c r="AJ157" s="595"/>
      <c r="AK157" s="596"/>
    </row>
    <row r="158" spans="6:37" ht="15.75" thickBot="1" x14ac:dyDescent="0.3">
      <c r="F158" s="90"/>
      <c r="G158" s="90"/>
      <c r="H158" s="109" t="s">
        <v>865</v>
      </c>
      <c r="I158" s="90"/>
      <c r="J158" s="90"/>
      <c r="K158" s="90"/>
      <c r="L158" s="90"/>
      <c r="M158" s="90"/>
      <c r="N158" s="602" t="s">
        <v>870</v>
      </c>
      <c r="O158" s="603"/>
      <c r="P158" s="603"/>
      <c r="Q158" s="603"/>
      <c r="R158" s="603"/>
      <c r="S158" s="603"/>
      <c r="T158" s="603"/>
      <c r="U158" s="603"/>
      <c r="V158" s="603"/>
      <c r="W158" s="603"/>
      <c r="X158" s="603"/>
      <c r="Y158" s="604"/>
      <c r="Z158" s="594" t="s">
        <v>868</v>
      </c>
      <c r="AA158" s="595"/>
      <c r="AB158" s="595"/>
      <c r="AC158" s="595"/>
      <c r="AD158" s="595"/>
      <c r="AE158" s="595"/>
      <c r="AF158" s="595"/>
      <c r="AG158" s="595"/>
      <c r="AH158" s="595"/>
      <c r="AI158" s="595"/>
      <c r="AJ158" s="595"/>
      <c r="AK158" s="596"/>
    </row>
    <row r="159" spans="6:37" ht="15.75" thickBot="1" x14ac:dyDescent="0.3">
      <c r="F159" s="43"/>
      <c r="G159" s="594" t="s">
        <v>307</v>
      </c>
      <c r="H159" s="595"/>
      <c r="I159" s="595"/>
      <c r="J159" s="595"/>
      <c r="K159" s="595"/>
      <c r="L159" s="595"/>
      <c r="M159" s="596"/>
      <c r="N159" s="598" t="s">
        <v>867</v>
      </c>
      <c r="O159" s="600"/>
      <c r="P159" s="600"/>
      <c r="Q159" s="599"/>
      <c r="R159" s="598" t="s">
        <v>869</v>
      </c>
      <c r="S159" s="600"/>
      <c r="T159" s="600"/>
      <c r="U159" s="600"/>
      <c r="V159" s="600"/>
      <c r="W159" s="600"/>
      <c r="X159" s="600"/>
      <c r="Y159" s="599"/>
      <c r="Z159" s="598" t="s">
        <v>867</v>
      </c>
      <c r="AA159" s="600"/>
      <c r="AB159" s="600"/>
      <c r="AC159" s="599"/>
      <c r="AD159" s="598" t="s">
        <v>869</v>
      </c>
      <c r="AE159" s="600"/>
      <c r="AF159" s="600"/>
      <c r="AG159" s="600"/>
      <c r="AH159" s="600"/>
      <c r="AI159" s="600"/>
      <c r="AJ159" s="600"/>
      <c r="AK159" s="599"/>
    </row>
    <row r="160" spans="6:37" x14ac:dyDescent="0.25">
      <c r="F160" s="92" t="s">
        <v>840</v>
      </c>
      <c r="G160" s="94" t="s">
        <v>603</v>
      </c>
      <c r="H160" s="94" t="s">
        <v>884</v>
      </c>
      <c r="I160" s="94" t="s">
        <v>814</v>
      </c>
      <c r="J160" s="94" t="s">
        <v>879</v>
      </c>
      <c r="K160" s="94" t="s">
        <v>880</v>
      </c>
      <c r="L160" s="94" t="s">
        <v>881</v>
      </c>
      <c r="M160" s="94" t="s">
        <v>882</v>
      </c>
      <c r="N160" s="107" t="s">
        <v>878</v>
      </c>
      <c r="O160" s="95" t="s">
        <v>14</v>
      </c>
      <c r="P160" s="95" t="s">
        <v>877</v>
      </c>
      <c r="Q160" s="95" t="s">
        <v>18</v>
      </c>
      <c r="R160" s="95" t="s">
        <v>883</v>
      </c>
      <c r="S160" s="96" t="s">
        <v>862</v>
      </c>
      <c r="T160" s="96" t="s">
        <v>875</v>
      </c>
      <c r="U160" s="96" t="s">
        <v>863</v>
      </c>
      <c r="V160" s="96" t="s">
        <v>874</v>
      </c>
      <c r="W160" s="96" t="s">
        <v>860</v>
      </c>
      <c r="X160" s="96" t="s">
        <v>873</v>
      </c>
      <c r="Y160" s="96" t="s">
        <v>861</v>
      </c>
      <c r="Z160" s="96" t="s">
        <v>878</v>
      </c>
      <c r="AA160" s="94" t="s">
        <v>14</v>
      </c>
      <c r="AB160" s="94" t="s">
        <v>877</v>
      </c>
      <c r="AC160" s="96" t="s">
        <v>18</v>
      </c>
      <c r="AD160" s="96" t="s">
        <v>876</v>
      </c>
      <c r="AE160" s="96" t="s">
        <v>862</v>
      </c>
      <c r="AF160" s="96" t="s">
        <v>875</v>
      </c>
      <c r="AG160" s="96" t="s">
        <v>863</v>
      </c>
      <c r="AH160" s="96" t="s">
        <v>874</v>
      </c>
      <c r="AI160" s="96" t="s">
        <v>860</v>
      </c>
      <c r="AJ160" s="96" t="s">
        <v>873</v>
      </c>
      <c r="AK160" s="96" t="s">
        <v>861</v>
      </c>
    </row>
    <row r="161" spans="6:37" x14ac:dyDescent="0.25">
      <c r="F161" s="81" t="s">
        <v>17</v>
      </c>
      <c r="G161" s="81" t="s">
        <v>885</v>
      </c>
      <c r="H161" s="80" t="s">
        <v>890</v>
      </c>
      <c r="I161" s="80" t="s">
        <v>895</v>
      </c>
      <c r="J161" s="80" t="s">
        <v>900</v>
      </c>
      <c r="K161" s="80" t="s">
        <v>905</v>
      </c>
      <c r="L161" s="80" t="s">
        <v>910</v>
      </c>
      <c r="M161" s="80" t="s">
        <v>915</v>
      </c>
      <c r="N161" s="80" t="s">
        <v>920</v>
      </c>
      <c r="O161" s="80" t="s">
        <v>925</v>
      </c>
      <c r="P161" s="80" t="s">
        <v>930</v>
      </c>
      <c r="Q161" s="80" t="s">
        <v>935</v>
      </c>
      <c r="R161" s="80" t="s">
        <v>940</v>
      </c>
      <c r="S161" s="80" t="s">
        <v>945</v>
      </c>
      <c r="T161" s="80" t="s">
        <v>950</v>
      </c>
      <c r="U161" s="80" t="s">
        <v>955</v>
      </c>
      <c r="V161" s="80" t="s">
        <v>960</v>
      </c>
      <c r="W161" s="80" t="s">
        <v>965</v>
      </c>
      <c r="X161" s="80" t="s">
        <v>970</v>
      </c>
      <c r="Y161" s="80" t="s">
        <v>975</v>
      </c>
      <c r="Z161" s="80" t="s">
        <v>980</v>
      </c>
      <c r="AA161" s="80" t="s">
        <v>985</v>
      </c>
      <c r="AB161" s="80" t="s">
        <v>990</v>
      </c>
      <c r="AC161" s="80" t="s">
        <v>995</v>
      </c>
      <c r="AD161" s="99" t="s">
        <v>1000</v>
      </c>
      <c r="AE161" s="99" t="s">
        <v>1005</v>
      </c>
      <c r="AF161" s="99" t="s">
        <v>1010</v>
      </c>
      <c r="AG161" s="99" t="s">
        <v>1015</v>
      </c>
      <c r="AH161" s="99" t="s">
        <v>1020</v>
      </c>
      <c r="AI161" s="99" t="s">
        <v>1025</v>
      </c>
      <c r="AJ161" s="99" t="s">
        <v>1030</v>
      </c>
      <c r="AK161" s="99" t="s">
        <v>1035</v>
      </c>
    </row>
    <row r="162" spans="6:37" x14ac:dyDescent="0.25">
      <c r="F162" s="81" t="s">
        <v>29</v>
      </c>
      <c r="G162" s="81" t="s">
        <v>886</v>
      </c>
      <c r="H162" s="80" t="s">
        <v>891</v>
      </c>
      <c r="I162" s="80" t="s">
        <v>896</v>
      </c>
      <c r="J162" s="80" t="s">
        <v>901</v>
      </c>
      <c r="K162" s="80" t="s">
        <v>906</v>
      </c>
      <c r="L162" s="80" t="s">
        <v>911</v>
      </c>
      <c r="M162" s="80" t="s">
        <v>916</v>
      </c>
      <c r="N162" s="80" t="s">
        <v>921</v>
      </c>
      <c r="O162" s="80" t="s">
        <v>926</v>
      </c>
      <c r="P162" s="80" t="s">
        <v>931</v>
      </c>
      <c r="Q162" s="80" t="s">
        <v>936</v>
      </c>
      <c r="R162" s="80" t="s">
        <v>941</v>
      </c>
      <c r="S162" s="80" t="s">
        <v>946</v>
      </c>
      <c r="T162" s="80" t="s">
        <v>951</v>
      </c>
      <c r="U162" s="80" t="s">
        <v>956</v>
      </c>
      <c r="V162" s="80" t="s">
        <v>961</v>
      </c>
      <c r="W162" s="80" t="s">
        <v>966</v>
      </c>
      <c r="X162" s="80" t="s">
        <v>971</v>
      </c>
      <c r="Y162" s="80" t="s">
        <v>976</v>
      </c>
      <c r="Z162" s="80" t="s">
        <v>981</v>
      </c>
      <c r="AA162" s="80" t="s">
        <v>986</v>
      </c>
      <c r="AB162" s="80" t="s">
        <v>991</v>
      </c>
      <c r="AC162" s="80" t="s">
        <v>996</v>
      </c>
      <c r="AD162" s="99" t="s">
        <v>1001</v>
      </c>
      <c r="AE162" s="99" t="s">
        <v>1006</v>
      </c>
      <c r="AF162" s="99" t="s">
        <v>1011</v>
      </c>
      <c r="AG162" s="99" t="s">
        <v>1016</v>
      </c>
      <c r="AH162" s="99" t="s">
        <v>1021</v>
      </c>
      <c r="AI162" s="99" t="s">
        <v>1026</v>
      </c>
      <c r="AJ162" s="99" t="s">
        <v>1031</v>
      </c>
      <c r="AK162" s="99" t="s">
        <v>1036</v>
      </c>
    </row>
    <row r="163" spans="6:37" x14ac:dyDescent="0.25">
      <c r="F163" s="81" t="s">
        <v>22</v>
      </c>
      <c r="G163" s="81" t="s">
        <v>887</v>
      </c>
      <c r="H163" s="80" t="s">
        <v>892</v>
      </c>
      <c r="I163" s="80" t="s">
        <v>897</v>
      </c>
      <c r="J163" s="80" t="s">
        <v>902</v>
      </c>
      <c r="K163" s="80" t="s">
        <v>907</v>
      </c>
      <c r="L163" s="80" t="s">
        <v>912</v>
      </c>
      <c r="M163" s="80" t="s">
        <v>917</v>
      </c>
      <c r="N163" s="80" t="s">
        <v>922</v>
      </c>
      <c r="O163" s="80" t="s">
        <v>927</v>
      </c>
      <c r="P163" s="80" t="s">
        <v>932</v>
      </c>
      <c r="Q163" s="80" t="s">
        <v>937</v>
      </c>
      <c r="R163" s="80" t="s">
        <v>942</v>
      </c>
      <c r="S163" s="80" t="s">
        <v>947</v>
      </c>
      <c r="T163" s="80" t="s">
        <v>952</v>
      </c>
      <c r="U163" s="80" t="s">
        <v>957</v>
      </c>
      <c r="V163" s="80" t="s">
        <v>962</v>
      </c>
      <c r="W163" s="80" t="s">
        <v>967</v>
      </c>
      <c r="X163" s="80" t="s">
        <v>972</v>
      </c>
      <c r="Y163" s="80" t="s">
        <v>977</v>
      </c>
      <c r="Z163" s="80" t="s">
        <v>982</v>
      </c>
      <c r="AA163" s="80" t="s">
        <v>987</v>
      </c>
      <c r="AB163" s="80" t="s">
        <v>992</v>
      </c>
      <c r="AC163" s="80" t="s">
        <v>997</v>
      </c>
      <c r="AD163" s="99" t="s">
        <v>1002</v>
      </c>
      <c r="AE163" s="99" t="s">
        <v>1007</v>
      </c>
      <c r="AF163" s="99" t="s">
        <v>1012</v>
      </c>
      <c r="AG163" s="99" t="s">
        <v>1017</v>
      </c>
      <c r="AH163" s="99" t="s">
        <v>1022</v>
      </c>
      <c r="AI163" s="99" t="s">
        <v>1027</v>
      </c>
      <c r="AJ163" s="99" t="s">
        <v>1032</v>
      </c>
      <c r="AK163" s="99" t="s">
        <v>1037</v>
      </c>
    </row>
    <row r="164" spans="6:37" x14ac:dyDescent="0.25">
      <c r="F164" s="81" t="s">
        <v>825</v>
      </c>
      <c r="G164" s="81" t="s">
        <v>888</v>
      </c>
      <c r="H164" s="80" t="s">
        <v>893</v>
      </c>
      <c r="I164" s="80" t="s">
        <v>898</v>
      </c>
      <c r="J164" s="80" t="s">
        <v>903</v>
      </c>
      <c r="K164" s="80" t="s">
        <v>908</v>
      </c>
      <c r="L164" s="80" t="s">
        <v>913</v>
      </c>
      <c r="M164" s="80" t="s">
        <v>918</v>
      </c>
      <c r="N164" s="80" t="s">
        <v>923</v>
      </c>
      <c r="O164" s="80" t="s">
        <v>928</v>
      </c>
      <c r="P164" s="80" t="s">
        <v>933</v>
      </c>
      <c r="Q164" s="80" t="s">
        <v>938</v>
      </c>
      <c r="R164" s="80" t="s">
        <v>943</v>
      </c>
      <c r="S164" s="80" t="s">
        <v>948</v>
      </c>
      <c r="T164" s="80" t="s">
        <v>953</v>
      </c>
      <c r="U164" s="80" t="s">
        <v>958</v>
      </c>
      <c r="V164" s="80" t="s">
        <v>963</v>
      </c>
      <c r="W164" s="80" t="s">
        <v>968</v>
      </c>
      <c r="X164" s="80" t="s">
        <v>973</v>
      </c>
      <c r="Y164" s="80" t="s">
        <v>978</v>
      </c>
      <c r="Z164" s="80" t="s">
        <v>983</v>
      </c>
      <c r="AA164" s="80" t="s">
        <v>988</v>
      </c>
      <c r="AB164" s="80" t="s">
        <v>993</v>
      </c>
      <c r="AC164" s="80" t="s">
        <v>998</v>
      </c>
      <c r="AD164" s="99" t="s">
        <v>1003</v>
      </c>
      <c r="AE164" s="99" t="s">
        <v>1008</v>
      </c>
      <c r="AF164" s="99" t="s">
        <v>1013</v>
      </c>
      <c r="AG164" s="99" t="s">
        <v>1018</v>
      </c>
      <c r="AH164" s="99" t="s">
        <v>1023</v>
      </c>
      <c r="AI164" s="99" t="s">
        <v>1028</v>
      </c>
      <c r="AJ164" s="99" t="s">
        <v>1033</v>
      </c>
      <c r="AK164" s="99" t="s">
        <v>1038</v>
      </c>
    </row>
    <row r="165" spans="6:37" x14ac:dyDescent="0.25">
      <c r="F165" s="81" t="s">
        <v>816</v>
      </c>
      <c r="G165" s="81" t="s">
        <v>889</v>
      </c>
      <c r="H165" s="80" t="s">
        <v>894</v>
      </c>
      <c r="I165" s="80" t="s">
        <v>899</v>
      </c>
      <c r="J165" s="80" t="s">
        <v>904</v>
      </c>
      <c r="K165" s="80" t="s">
        <v>909</v>
      </c>
      <c r="L165" s="80" t="s">
        <v>914</v>
      </c>
      <c r="M165" s="80" t="s">
        <v>919</v>
      </c>
      <c r="N165" s="80" t="s">
        <v>924</v>
      </c>
      <c r="O165" s="80" t="s">
        <v>929</v>
      </c>
      <c r="P165" s="80" t="s">
        <v>934</v>
      </c>
      <c r="Q165" s="80" t="s">
        <v>939</v>
      </c>
      <c r="R165" s="80" t="s">
        <v>944</v>
      </c>
      <c r="S165" s="80" t="s">
        <v>949</v>
      </c>
      <c r="T165" s="80" t="s">
        <v>954</v>
      </c>
      <c r="U165" s="80" t="s">
        <v>959</v>
      </c>
      <c r="V165" s="80" t="s">
        <v>964</v>
      </c>
      <c r="W165" s="80" t="s">
        <v>969</v>
      </c>
      <c r="X165" s="80" t="s">
        <v>974</v>
      </c>
      <c r="Y165" s="80" t="s">
        <v>979</v>
      </c>
      <c r="Z165" s="80" t="s">
        <v>984</v>
      </c>
      <c r="AA165" s="80" t="s">
        <v>989</v>
      </c>
      <c r="AB165" s="80" t="s">
        <v>994</v>
      </c>
      <c r="AC165" s="80" t="s">
        <v>999</v>
      </c>
      <c r="AD165" s="99" t="s">
        <v>1004</v>
      </c>
      <c r="AE165" s="99" t="s">
        <v>1009</v>
      </c>
      <c r="AF165" s="99" t="s">
        <v>1014</v>
      </c>
      <c r="AG165" s="99" t="s">
        <v>1019</v>
      </c>
      <c r="AH165" s="99" t="s">
        <v>1024</v>
      </c>
      <c r="AI165" s="99" t="s">
        <v>1029</v>
      </c>
      <c r="AJ165" s="99" t="s">
        <v>1034</v>
      </c>
      <c r="AK165" s="99" t="s">
        <v>1039</v>
      </c>
    </row>
    <row r="224" spans="6:51" x14ac:dyDescent="0.25">
      <c r="F224" s="90" t="s">
        <v>1041</v>
      </c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</row>
    <row r="225" spans="6:51" x14ac:dyDescent="0.25">
      <c r="F225" s="43"/>
      <c r="G225" s="43"/>
      <c r="H225" s="27" t="s">
        <v>865</v>
      </c>
      <c r="I225" s="43"/>
      <c r="J225" s="43"/>
      <c r="K225" s="43"/>
      <c r="L225" s="43"/>
      <c r="M225" s="43"/>
      <c r="N225" s="607"/>
      <c r="O225" s="607"/>
      <c r="P225" s="607"/>
      <c r="Q225" s="607"/>
      <c r="R225" s="607"/>
      <c r="S225" s="607"/>
      <c r="T225" s="607"/>
      <c r="U225" s="607"/>
      <c r="V225" s="607"/>
      <c r="W225" s="607"/>
      <c r="X225" s="607"/>
      <c r="Y225" s="607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</row>
    <row r="226" spans="6:51" x14ac:dyDescent="0.25">
      <c r="F226" s="43"/>
      <c r="G226" s="607" t="s">
        <v>307</v>
      </c>
      <c r="H226" s="607"/>
      <c r="I226" s="607"/>
      <c r="J226" s="607"/>
      <c r="K226" s="607"/>
      <c r="L226" s="607"/>
      <c r="M226" s="607"/>
      <c r="N226" s="608"/>
      <c r="O226" s="608"/>
      <c r="P226" s="608"/>
      <c r="Q226" s="608"/>
      <c r="R226" s="608"/>
      <c r="S226" s="608"/>
      <c r="T226" s="608"/>
      <c r="U226" s="608"/>
      <c r="V226" s="608"/>
      <c r="W226" s="608"/>
      <c r="X226" s="608"/>
      <c r="Y226" s="608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</row>
    <row r="227" spans="6:51" x14ac:dyDescent="0.25">
      <c r="F227" s="27" t="s">
        <v>840</v>
      </c>
      <c r="G227" s="27" t="s">
        <v>603</v>
      </c>
      <c r="H227" s="27" t="s">
        <v>884</v>
      </c>
      <c r="I227" s="27" t="s">
        <v>814</v>
      </c>
      <c r="J227" s="27" t="s">
        <v>879</v>
      </c>
      <c r="K227" s="27" t="s">
        <v>880</v>
      </c>
      <c r="L227" s="27" t="s">
        <v>881</v>
      </c>
      <c r="M227" s="27" t="s">
        <v>882</v>
      </c>
      <c r="N227" s="27"/>
      <c r="O227" s="102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</row>
    <row r="228" spans="6:51" x14ac:dyDescent="0.25">
      <c r="F228" s="43" t="s">
        <v>17</v>
      </c>
      <c r="G228" s="43" t="s">
        <v>885</v>
      </c>
      <c r="H228" s="108" t="s">
        <v>890</v>
      </c>
      <c r="I228" s="108" t="s">
        <v>895</v>
      </c>
      <c r="J228" s="108" t="s">
        <v>900</v>
      </c>
      <c r="K228" s="108" t="s">
        <v>905</v>
      </c>
      <c r="L228" s="108" t="s">
        <v>910</v>
      </c>
      <c r="M228" s="108" t="s">
        <v>915</v>
      </c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</row>
    <row r="229" spans="6:51" x14ac:dyDescent="0.25">
      <c r="F229" s="43" t="s">
        <v>29</v>
      </c>
      <c r="G229" s="43" t="s">
        <v>886</v>
      </c>
      <c r="H229" s="108" t="s">
        <v>891</v>
      </c>
      <c r="I229" s="108" t="s">
        <v>896</v>
      </c>
      <c r="J229" s="108" t="s">
        <v>901</v>
      </c>
      <c r="K229" s="108" t="s">
        <v>906</v>
      </c>
      <c r="L229" s="108" t="s">
        <v>911</v>
      </c>
      <c r="M229" s="108" t="s">
        <v>916</v>
      </c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</row>
    <row r="230" spans="6:51" x14ac:dyDescent="0.25">
      <c r="F230" s="43" t="s">
        <v>22</v>
      </c>
      <c r="G230" s="43" t="s">
        <v>887</v>
      </c>
      <c r="H230" s="108" t="s">
        <v>892</v>
      </c>
      <c r="I230" s="108" t="s">
        <v>897</v>
      </c>
      <c r="J230" s="108" t="s">
        <v>902</v>
      </c>
      <c r="K230" s="108" t="s">
        <v>907</v>
      </c>
      <c r="L230" s="108" t="s">
        <v>912</v>
      </c>
      <c r="M230" s="108" t="s">
        <v>917</v>
      </c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</row>
    <row r="231" spans="6:51" x14ac:dyDescent="0.25">
      <c r="F231" s="43" t="s">
        <v>825</v>
      </c>
      <c r="G231" s="43" t="s">
        <v>888</v>
      </c>
      <c r="H231" s="108" t="s">
        <v>893</v>
      </c>
      <c r="I231" s="108" t="s">
        <v>898</v>
      </c>
      <c r="J231" s="108" t="s">
        <v>903</v>
      </c>
      <c r="K231" s="108" t="s">
        <v>908</v>
      </c>
      <c r="L231" s="108" t="s">
        <v>913</v>
      </c>
      <c r="M231" s="108" t="s">
        <v>918</v>
      </c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</row>
    <row r="232" spans="6:51" x14ac:dyDescent="0.25">
      <c r="F232" s="43" t="s">
        <v>816</v>
      </c>
      <c r="G232" s="43" t="s">
        <v>889</v>
      </c>
      <c r="H232" s="108" t="s">
        <v>894</v>
      </c>
      <c r="I232" s="108" t="s">
        <v>899</v>
      </c>
      <c r="J232" s="108" t="s">
        <v>904</v>
      </c>
      <c r="K232" s="108" t="s">
        <v>909</v>
      </c>
      <c r="L232" s="108" t="s">
        <v>914</v>
      </c>
      <c r="M232" s="108" t="s">
        <v>919</v>
      </c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</row>
    <row r="233" spans="6:51" x14ac:dyDescent="0.25">
      <c r="F233" s="593" t="s">
        <v>866</v>
      </c>
      <c r="G233" s="593"/>
      <c r="H233" s="593"/>
      <c r="I233" s="593"/>
      <c r="J233" s="593"/>
      <c r="K233" s="593"/>
      <c r="L233" s="593"/>
      <c r="M233" s="593"/>
      <c r="N233" s="593"/>
      <c r="O233" s="593"/>
      <c r="P233" s="593"/>
      <c r="Q233" s="593"/>
      <c r="R233" s="593"/>
      <c r="S233" s="112"/>
      <c r="T233" s="112"/>
      <c r="U233" s="112"/>
      <c r="V233" s="112"/>
      <c r="W233" s="112"/>
      <c r="X233" s="112"/>
      <c r="Y233" s="112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</row>
    <row r="234" spans="6:51" x14ac:dyDescent="0.25">
      <c r="F234" s="43"/>
      <c r="G234" s="607" t="s">
        <v>870</v>
      </c>
      <c r="H234" s="607"/>
      <c r="I234" s="607"/>
      <c r="J234" s="607"/>
      <c r="K234" s="607"/>
      <c r="L234" s="607"/>
      <c r="M234" s="607"/>
      <c r="N234" s="607"/>
      <c r="O234" s="607"/>
      <c r="P234" s="607"/>
      <c r="Q234" s="607"/>
      <c r="R234" s="607"/>
      <c r="S234" s="43"/>
      <c r="T234" s="43"/>
      <c r="U234" s="43"/>
      <c r="V234" s="43"/>
      <c r="W234" s="43"/>
      <c r="X234" s="43"/>
      <c r="Y234" s="43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</row>
    <row r="235" spans="6:51" x14ac:dyDescent="0.25">
      <c r="F235" s="43"/>
      <c r="G235" s="608" t="s">
        <v>867</v>
      </c>
      <c r="H235" s="608"/>
      <c r="I235" s="608"/>
      <c r="J235" s="608"/>
      <c r="K235" s="608" t="s">
        <v>869</v>
      </c>
      <c r="L235" s="608"/>
      <c r="M235" s="608"/>
      <c r="N235" s="608"/>
      <c r="O235" s="608"/>
      <c r="P235" s="608"/>
      <c r="Q235" s="608"/>
      <c r="R235" s="608"/>
      <c r="S235" s="43"/>
      <c r="T235" s="43"/>
      <c r="U235" s="43"/>
      <c r="V235" s="43"/>
      <c r="W235" s="43"/>
      <c r="X235" s="43"/>
      <c r="Y235" s="43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</row>
    <row r="236" spans="6:51" x14ac:dyDescent="0.25">
      <c r="F236" s="27" t="s">
        <v>840</v>
      </c>
      <c r="G236" s="27" t="s">
        <v>878</v>
      </c>
      <c r="H236" s="102" t="s">
        <v>14</v>
      </c>
      <c r="I236" s="102" t="s">
        <v>877</v>
      </c>
      <c r="J236" s="102" t="s">
        <v>18</v>
      </c>
      <c r="K236" s="102" t="s">
        <v>883</v>
      </c>
      <c r="L236" s="102" t="s">
        <v>862</v>
      </c>
      <c r="M236" s="102" t="s">
        <v>875</v>
      </c>
      <c r="N236" s="102" t="s">
        <v>863</v>
      </c>
      <c r="O236" s="102" t="s">
        <v>874</v>
      </c>
      <c r="P236" s="102" t="s">
        <v>860</v>
      </c>
      <c r="Q236" s="102" t="s">
        <v>873</v>
      </c>
      <c r="R236" s="102" t="s">
        <v>861</v>
      </c>
      <c r="S236" s="43"/>
      <c r="T236" s="43"/>
      <c r="U236" s="43"/>
      <c r="V236" s="43"/>
      <c r="W236" s="43"/>
      <c r="X236" s="43"/>
      <c r="Y236" s="43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</row>
    <row r="237" spans="6:51" x14ac:dyDescent="0.25">
      <c r="F237" s="43" t="s">
        <v>17</v>
      </c>
      <c r="G237" s="108" t="s">
        <v>920</v>
      </c>
      <c r="H237" s="108" t="s">
        <v>925</v>
      </c>
      <c r="I237" s="108" t="s">
        <v>930</v>
      </c>
      <c r="J237" s="108" t="s">
        <v>935</v>
      </c>
      <c r="K237" s="108" t="s">
        <v>940</v>
      </c>
      <c r="L237" s="108" t="s">
        <v>945</v>
      </c>
      <c r="M237" s="108" t="s">
        <v>950</v>
      </c>
      <c r="N237" s="108" t="s">
        <v>955</v>
      </c>
      <c r="O237" s="108" t="s">
        <v>960</v>
      </c>
      <c r="P237" s="108" t="s">
        <v>965</v>
      </c>
      <c r="Q237" s="108" t="s">
        <v>970</v>
      </c>
      <c r="R237" s="108" t="s">
        <v>975</v>
      </c>
      <c r="S237" s="43"/>
      <c r="T237" s="43"/>
      <c r="U237" s="43"/>
      <c r="V237" s="43"/>
      <c r="W237" s="43"/>
      <c r="X237" s="43"/>
      <c r="Y237" s="43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</row>
    <row r="238" spans="6:51" x14ac:dyDescent="0.25">
      <c r="F238" s="43" t="s">
        <v>29</v>
      </c>
      <c r="G238" s="108" t="s">
        <v>921</v>
      </c>
      <c r="H238" s="108" t="s">
        <v>926</v>
      </c>
      <c r="I238" s="108" t="s">
        <v>931</v>
      </c>
      <c r="J238" s="108" t="s">
        <v>936</v>
      </c>
      <c r="K238" s="108" t="s">
        <v>941</v>
      </c>
      <c r="L238" s="108" t="s">
        <v>946</v>
      </c>
      <c r="M238" s="108" t="s">
        <v>951</v>
      </c>
      <c r="N238" s="108" t="s">
        <v>956</v>
      </c>
      <c r="O238" s="108" t="s">
        <v>961</v>
      </c>
      <c r="P238" s="108" t="s">
        <v>966</v>
      </c>
      <c r="Q238" s="108" t="s">
        <v>971</v>
      </c>
      <c r="R238" s="108" t="s">
        <v>976</v>
      </c>
      <c r="S238" s="43"/>
      <c r="T238" s="43"/>
      <c r="U238" s="43"/>
      <c r="V238" s="43"/>
      <c r="W238" s="43"/>
      <c r="X238" s="43"/>
      <c r="Y238" s="43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</row>
    <row r="239" spans="6:51" x14ac:dyDescent="0.25">
      <c r="F239" s="43" t="s">
        <v>22</v>
      </c>
      <c r="G239" s="108" t="s">
        <v>922</v>
      </c>
      <c r="H239" s="108" t="s">
        <v>927</v>
      </c>
      <c r="I239" s="108" t="s">
        <v>932</v>
      </c>
      <c r="J239" s="108" t="s">
        <v>937</v>
      </c>
      <c r="K239" s="108" t="s">
        <v>942</v>
      </c>
      <c r="L239" s="108" t="s">
        <v>947</v>
      </c>
      <c r="M239" s="108" t="s">
        <v>952</v>
      </c>
      <c r="N239" s="108" t="s">
        <v>957</v>
      </c>
      <c r="O239" s="108" t="s">
        <v>962</v>
      </c>
      <c r="P239" s="108" t="s">
        <v>967</v>
      </c>
      <c r="Q239" s="108" t="s">
        <v>972</v>
      </c>
      <c r="R239" s="108" t="s">
        <v>977</v>
      </c>
      <c r="S239" s="43"/>
      <c r="T239" s="43"/>
      <c r="U239" s="43"/>
      <c r="V239" s="43"/>
      <c r="W239" s="43"/>
      <c r="X239" s="43"/>
      <c r="Y239" s="43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</row>
    <row r="240" spans="6:51" x14ac:dyDescent="0.25">
      <c r="F240" s="43" t="s">
        <v>825</v>
      </c>
      <c r="G240" s="108" t="s">
        <v>923</v>
      </c>
      <c r="H240" s="108" t="s">
        <v>928</v>
      </c>
      <c r="I240" s="108" t="s">
        <v>933</v>
      </c>
      <c r="J240" s="108" t="s">
        <v>938</v>
      </c>
      <c r="K240" s="108" t="s">
        <v>943</v>
      </c>
      <c r="L240" s="108" t="s">
        <v>948</v>
      </c>
      <c r="M240" s="108" t="s">
        <v>953</v>
      </c>
      <c r="N240" s="108" t="s">
        <v>958</v>
      </c>
      <c r="O240" s="108" t="s">
        <v>963</v>
      </c>
      <c r="P240" s="108" t="s">
        <v>968</v>
      </c>
      <c r="Q240" s="108" t="s">
        <v>973</v>
      </c>
      <c r="R240" s="108" t="s">
        <v>978</v>
      </c>
      <c r="S240" s="43"/>
      <c r="T240" s="43"/>
      <c r="U240" s="43"/>
      <c r="V240" s="43"/>
      <c r="W240" s="43"/>
      <c r="X240" s="43"/>
      <c r="Y240" s="43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</row>
    <row r="241" spans="6:51" x14ac:dyDescent="0.25">
      <c r="F241" s="43" t="s">
        <v>816</v>
      </c>
      <c r="G241" s="108" t="s">
        <v>924</v>
      </c>
      <c r="H241" s="108" t="s">
        <v>929</v>
      </c>
      <c r="I241" s="108" t="s">
        <v>934</v>
      </c>
      <c r="J241" s="108" t="s">
        <v>939</v>
      </c>
      <c r="K241" s="108" t="s">
        <v>944</v>
      </c>
      <c r="L241" s="108" t="s">
        <v>949</v>
      </c>
      <c r="M241" s="108" t="s">
        <v>954</v>
      </c>
      <c r="N241" s="108" t="s">
        <v>959</v>
      </c>
      <c r="O241" s="108" t="s">
        <v>964</v>
      </c>
      <c r="P241" s="108" t="s">
        <v>969</v>
      </c>
      <c r="Q241" s="108" t="s">
        <v>974</v>
      </c>
      <c r="R241" s="108" t="s">
        <v>979</v>
      </c>
      <c r="S241" s="43"/>
      <c r="T241" s="43"/>
      <c r="U241" s="43"/>
      <c r="V241" s="43"/>
      <c r="W241" s="43"/>
      <c r="X241" s="43"/>
      <c r="Y241" s="43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</row>
    <row r="242" spans="6:51" x14ac:dyDescent="0.25">
      <c r="F242" s="43"/>
      <c r="G242" s="607" t="s">
        <v>868</v>
      </c>
      <c r="H242" s="607"/>
      <c r="I242" s="607"/>
      <c r="J242" s="607"/>
      <c r="K242" s="607"/>
      <c r="L242" s="607"/>
      <c r="M242" s="607"/>
      <c r="N242" s="607"/>
      <c r="O242" s="607"/>
      <c r="P242" s="607"/>
      <c r="Q242" s="607"/>
      <c r="R242" s="607"/>
      <c r="S242" s="43"/>
      <c r="T242" s="43"/>
      <c r="U242" s="43"/>
      <c r="V242" s="43"/>
      <c r="W242" s="43"/>
      <c r="X242" s="43"/>
      <c r="Y242" s="43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</row>
    <row r="243" spans="6:51" x14ac:dyDescent="0.25">
      <c r="F243" s="43"/>
      <c r="G243" s="608" t="s">
        <v>867</v>
      </c>
      <c r="H243" s="608"/>
      <c r="I243" s="608"/>
      <c r="J243" s="608"/>
      <c r="K243" s="608" t="s">
        <v>869</v>
      </c>
      <c r="L243" s="608"/>
      <c r="M243" s="608"/>
      <c r="N243" s="608"/>
      <c r="O243" s="608"/>
      <c r="P243" s="608"/>
      <c r="Q243" s="608"/>
      <c r="R243" s="608"/>
      <c r="S243" s="43"/>
      <c r="T243" s="43"/>
      <c r="U243" s="43"/>
      <c r="V243" s="43"/>
      <c r="W243" s="43"/>
      <c r="X243" s="43"/>
      <c r="Y243" s="43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</row>
    <row r="244" spans="6:51" x14ac:dyDescent="0.25">
      <c r="F244" s="27" t="s">
        <v>840</v>
      </c>
      <c r="G244" s="102" t="s">
        <v>878</v>
      </c>
      <c r="H244" s="27" t="s">
        <v>14</v>
      </c>
      <c r="I244" s="27" t="s">
        <v>877</v>
      </c>
      <c r="J244" s="102" t="s">
        <v>18</v>
      </c>
      <c r="K244" s="102" t="s">
        <v>876</v>
      </c>
      <c r="L244" s="102" t="s">
        <v>862</v>
      </c>
      <c r="M244" s="102" t="s">
        <v>875</v>
      </c>
      <c r="N244" s="102" t="s">
        <v>863</v>
      </c>
      <c r="O244" s="102" t="s">
        <v>874</v>
      </c>
      <c r="P244" s="102" t="s">
        <v>860</v>
      </c>
      <c r="Q244" s="102" t="s">
        <v>873</v>
      </c>
      <c r="R244" s="102" t="s">
        <v>861</v>
      </c>
      <c r="S244" s="43"/>
      <c r="T244" s="43"/>
      <c r="U244" s="43"/>
      <c r="V244" s="43"/>
      <c r="W244" s="43"/>
      <c r="X244" s="43"/>
      <c r="Y244" s="43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</row>
    <row r="245" spans="6:51" x14ac:dyDescent="0.25">
      <c r="F245" s="43" t="s">
        <v>17</v>
      </c>
      <c r="G245" s="108" t="s">
        <v>980</v>
      </c>
      <c r="H245" s="108" t="s">
        <v>985</v>
      </c>
      <c r="I245" s="108" t="s">
        <v>990</v>
      </c>
      <c r="J245" s="108" t="s">
        <v>995</v>
      </c>
      <c r="K245" s="110" t="s">
        <v>1000</v>
      </c>
      <c r="L245" s="110" t="s">
        <v>1005</v>
      </c>
      <c r="M245" s="110" t="s">
        <v>1010</v>
      </c>
      <c r="N245" s="110" t="s">
        <v>1015</v>
      </c>
      <c r="O245" s="110" t="s">
        <v>1020</v>
      </c>
      <c r="P245" s="110" t="s">
        <v>1025</v>
      </c>
      <c r="Q245" s="110" t="s">
        <v>1030</v>
      </c>
      <c r="R245" s="110" t="s">
        <v>1035</v>
      </c>
      <c r="S245" s="43"/>
      <c r="T245" s="43"/>
      <c r="U245" s="43"/>
      <c r="V245" s="43"/>
      <c r="W245" s="43"/>
      <c r="X245" s="43"/>
      <c r="Y245" s="43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</row>
    <row r="246" spans="6:51" x14ac:dyDescent="0.25">
      <c r="F246" s="43" t="s">
        <v>29</v>
      </c>
      <c r="G246" s="108" t="s">
        <v>981</v>
      </c>
      <c r="H246" s="108" t="s">
        <v>986</v>
      </c>
      <c r="I246" s="108" t="s">
        <v>991</v>
      </c>
      <c r="J246" s="108" t="s">
        <v>996</v>
      </c>
      <c r="K246" s="110" t="s">
        <v>1001</v>
      </c>
      <c r="L246" s="110" t="s">
        <v>1006</v>
      </c>
      <c r="M246" s="110" t="s">
        <v>1011</v>
      </c>
      <c r="N246" s="110" t="s">
        <v>1016</v>
      </c>
      <c r="O246" s="110" t="s">
        <v>1021</v>
      </c>
      <c r="P246" s="110" t="s">
        <v>1026</v>
      </c>
      <c r="Q246" s="110" t="s">
        <v>1031</v>
      </c>
      <c r="R246" s="110" t="s">
        <v>1036</v>
      </c>
      <c r="S246" s="43"/>
      <c r="T246" s="43"/>
      <c r="U246" s="43"/>
      <c r="V246" s="43"/>
      <c r="W246" s="43"/>
      <c r="X246" s="43"/>
      <c r="Y246" s="43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</row>
    <row r="247" spans="6:51" x14ac:dyDescent="0.25">
      <c r="F247" s="43" t="s">
        <v>22</v>
      </c>
      <c r="G247" s="108" t="s">
        <v>982</v>
      </c>
      <c r="H247" s="108" t="s">
        <v>987</v>
      </c>
      <c r="I247" s="108" t="s">
        <v>992</v>
      </c>
      <c r="J247" s="108" t="s">
        <v>997</v>
      </c>
      <c r="K247" s="110" t="s">
        <v>1002</v>
      </c>
      <c r="L247" s="110" t="s">
        <v>1007</v>
      </c>
      <c r="M247" s="110" t="s">
        <v>1012</v>
      </c>
      <c r="N247" s="110" t="s">
        <v>1017</v>
      </c>
      <c r="O247" s="110" t="s">
        <v>1022</v>
      </c>
      <c r="P247" s="110" t="s">
        <v>1027</v>
      </c>
      <c r="Q247" s="110" t="s">
        <v>1032</v>
      </c>
      <c r="R247" s="110" t="s">
        <v>1037</v>
      </c>
      <c r="S247" s="43"/>
      <c r="T247" s="43"/>
      <c r="U247" s="43"/>
      <c r="V247" s="43"/>
      <c r="W247" s="43"/>
      <c r="X247" s="43"/>
      <c r="Y247" s="43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</row>
    <row r="248" spans="6:51" x14ac:dyDescent="0.25">
      <c r="F248" s="43" t="s">
        <v>825</v>
      </c>
      <c r="G248" s="108" t="s">
        <v>983</v>
      </c>
      <c r="H248" s="108" t="s">
        <v>988</v>
      </c>
      <c r="I248" s="108" t="s">
        <v>993</v>
      </c>
      <c r="J248" s="108" t="s">
        <v>998</v>
      </c>
      <c r="K248" s="110" t="s">
        <v>1003</v>
      </c>
      <c r="L248" s="110" t="s">
        <v>1008</v>
      </c>
      <c r="M248" s="110" t="s">
        <v>1013</v>
      </c>
      <c r="N248" s="110" t="s">
        <v>1018</v>
      </c>
      <c r="O248" s="110" t="s">
        <v>1023</v>
      </c>
      <c r="P248" s="110" t="s">
        <v>1028</v>
      </c>
      <c r="Q248" s="110" t="s">
        <v>1033</v>
      </c>
      <c r="R248" s="110" t="s">
        <v>1038</v>
      </c>
      <c r="S248" s="43"/>
      <c r="T248" s="43"/>
      <c r="U248" s="43"/>
      <c r="V248" s="43"/>
      <c r="W248" s="43"/>
      <c r="X248" s="43"/>
      <c r="Y248" s="43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</row>
    <row r="249" spans="6:51" x14ac:dyDescent="0.25">
      <c r="F249" s="43" t="s">
        <v>816</v>
      </c>
      <c r="G249" s="108" t="s">
        <v>984</v>
      </c>
      <c r="H249" s="108" t="s">
        <v>989</v>
      </c>
      <c r="I249" s="108" t="s">
        <v>994</v>
      </c>
      <c r="J249" s="108" t="s">
        <v>999</v>
      </c>
      <c r="K249" s="110" t="s">
        <v>1004</v>
      </c>
      <c r="L249" s="110" t="s">
        <v>1009</v>
      </c>
      <c r="M249" s="110" t="s">
        <v>1014</v>
      </c>
      <c r="N249" s="110" t="s">
        <v>1019</v>
      </c>
      <c r="O249" s="110" t="s">
        <v>1024</v>
      </c>
      <c r="P249" s="110" t="s">
        <v>1029</v>
      </c>
      <c r="Q249" s="110" t="s">
        <v>1034</v>
      </c>
      <c r="R249" s="110" t="s">
        <v>1039</v>
      </c>
      <c r="S249" s="43"/>
      <c r="T249" s="43"/>
      <c r="U249" s="43"/>
      <c r="V249" s="43"/>
      <c r="W249" s="43"/>
      <c r="X249" s="43"/>
      <c r="Y249" s="43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</row>
    <row r="250" spans="6:51" x14ac:dyDescent="0.25"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</row>
    <row r="251" spans="6:51" x14ac:dyDescent="0.25"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</row>
    <row r="252" spans="6:51" x14ac:dyDescent="0.25"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</row>
    <row r="253" spans="6:51" x14ac:dyDescent="0.25"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</row>
    <row r="254" spans="6:51" x14ac:dyDescent="0.25"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</row>
    <row r="255" spans="6:51" ht="15.75" thickBot="1" x14ac:dyDescent="0.3">
      <c r="F255" s="90" t="s">
        <v>1040</v>
      </c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</row>
    <row r="256" spans="6:51" ht="15.75" thickBot="1" x14ac:dyDescent="0.3">
      <c r="F256" s="594">
        <v>2014</v>
      </c>
      <c r="G256" s="595"/>
      <c r="H256" s="595"/>
      <c r="I256" s="595"/>
      <c r="J256" s="595"/>
      <c r="K256" s="595"/>
      <c r="L256" s="595"/>
      <c r="M256" s="595"/>
      <c r="N256" s="595"/>
      <c r="O256" s="595"/>
      <c r="P256" s="595"/>
      <c r="Q256" s="595"/>
      <c r="R256" s="595"/>
      <c r="S256" s="595"/>
      <c r="T256" s="595"/>
      <c r="U256" s="595"/>
      <c r="V256" s="595"/>
      <c r="W256" s="595"/>
      <c r="X256" s="595"/>
      <c r="Y256" s="595"/>
      <c r="Z256" s="595"/>
      <c r="AA256" s="595"/>
      <c r="AB256" s="595"/>
      <c r="AC256" s="595"/>
      <c r="AD256" s="595"/>
      <c r="AE256" s="595"/>
      <c r="AF256" s="595"/>
      <c r="AG256" s="595"/>
      <c r="AH256" s="595"/>
      <c r="AI256" s="595"/>
      <c r="AJ256" s="595"/>
      <c r="AK256" s="596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</row>
    <row r="257" spans="1:52" ht="15.75" thickBot="1" x14ac:dyDescent="0.3">
      <c r="F257" s="97"/>
      <c r="G257" s="97"/>
      <c r="H257" s="97"/>
      <c r="I257" s="97"/>
      <c r="J257" s="97"/>
      <c r="K257" s="97"/>
      <c r="L257" s="97"/>
      <c r="M257" s="98"/>
      <c r="N257" s="594" t="s">
        <v>866</v>
      </c>
      <c r="O257" s="595"/>
      <c r="P257" s="595"/>
      <c r="Q257" s="595"/>
      <c r="R257" s="595"/>
      <c r="S257" s="595"/>
      <c r="T257" s="595"/>
      <c r="U257" s="595"/>
      <c r="V257" s="595"/>
      <c r="W257" s="595"/>
      <c r="X257" s="595"/>
      <c r="Y257" s="595"/>
      <c r="Z257" s="595"/>
      <c r="AA257" s="595"/>
      <c r="AB257" s="595"/>
      <c r="AC257" s="595"/>
      <c r="AD257" s="595"/>
      <c r="AE257" s="595"/>
      <c r="AF257" s="595"/>
      <c r="AG257" s="595"/>
      <c r="AH257" s="595"/>
      <c r="AI257" s="595"/>
      <c r="AJ257" s="595"/>
      <c r="AK257" s="596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</row>
    <row r="258" spans="1:52" ht="15.75" thickBot="1" x14ac:dyDescent="0.3">
      <c r="F258" s="90"/>
      <c r="G258" s="90"/>
      <c r="H258" s="109" t="s">
        <v>865</v>
      </c>
      <c r="I258" s="90"/>
      <c r="J258" s="90"/>
      <c r="K258" s="90"/>
      <c r="L258" s="90"/>
      <c r="M258" s="90"/>
      <c r="N258" s="602" t="s">
        <v>870</v>
      </c>
      <c r="O258" s="603"/>
      <c r="P258" s="603"/>
      <c r="Q258" s="603"/>
      <c r="R258" s="603"/>
      <c r="S258" s="603"/>
      <c r="T258" s="603"/>
      <c r="U258" s="603"/>
      <c r="V258" s="603"/>
      <c r="W258" s="603"/>
      <c r="X258" s="603"/>
      <c r="Y258" s="604"/>
      <c r="Z258" s="594" t="s">
        <v>868</v>
      </c>
      <c r="AA258" s="595"/>
      <c r="AB258" s="595"/>
      <c r="AC258" s="595"/>
      <c r="AD258" s="595"/>
      <c r="AE258" s="595"/>
      <c r="AF258" s="595"/>
      <c r="AG258" s="595"/>
      <c r="AH258" s="595"/>
      <c r="AI258" s="595"/>
      <c r="AJ258" s="595"/>
      <c r="AK258" s="596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</row>
    <row r="259" spans="1:52" ht="15.75" thickBot="1" x14ac:dyDescent="0.3">
      <c r="F259" s="43"/>
      <c r="G259" s="594" t="s">
        <v>307</v>
      </c>
      <c r="H259" s="595"/>
      <c r="I259" s="595"/>
      <c r="J259" s="595"/>
      <c r="K259" s="595"/>
      <c r="L259" s="595"/>
      <c r="M259" s="596"/>
      <c r="N259" s="598" t="s">
        <v>867</v>
      </c>
      <c r="O259" s="600"/>
      <c r="P259" s="600"/>
      <c r="Q259" s="599"/>
      <c r="R259" s="598" t="s">
        <v>869</v>
      </c>
      <c r="S259" s="600"/>
      <c r="T259" s="600"/>
      <c r="U259" s="600"/>
      <c r="V259" s="600"/>
      <c r="W259" s="600"/>
      <c r="X259" s="600"/>
      <c r="Y259" s="599"/>
      <c r="Z259" s="598" t="s">
        <v>867</v>
      </c>
      <c r="AA259" s="600"/>
      <c r="AB259" s="600"/>
      <c r="AC259" s="599"/>
      <c r="AD259" s="598" t="s">
        <v>869</v>
      </c>
      <c r="AE259" s="600"/>
      <c r="AF259" s="600"/>
      <c r="AG259" s="600"/>
      <c r="AH259" s="600"/>
      <c r="AI259" s="600"/>
      <c r="AJ259" s="600"/>
      <c r="AK259" s="599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</row>
    <row r="260" spans="1:52" x14ac:dyDescent="0.25">
      <c r="F260" s="92" t="s">
        <v>840</v>
      </c>
      <c r="G260" s="94" t="s">
        <v>603</v>
      </c>
      <c r="H260" s="94" t="s">
        <v>884</v>
      </c>
      <c r="I260" s="94" t="s">
        <v>814</v>
      </c>
      <c r="J260" s="94" t="s">
        <v>879</v>
      </c>
      <c r="K260" s="94" t="s">
        <v>880</v>
      </c>
      <c r="L260" s="94" t="s">
        <v>881</v>
      </c>
      <c r="M260" s="94" t="s">
        <v>882</v>
      </c>
      <c r="N260" s="107" t="s">
        <v>878</v>
      </c>
      <c r="O260" s="95" t="s">
        <v>14</v>
      </c>
      <c r="P260" s="95" t="s">
        <v>877</v>
      </c>
      <c r="Q260" s="95" t="s">
        <v>18</v>
      </c>
      <c r="R260" s="95" t="s">
        <v>883</v>
      </c>
      <c r="S260" s="96" t="s">
        <v>862</v>
      </c>
      <c r="T260" s="96" t="s">
        <v>875</v>
      </c>
      <c r="U260" s="96" t="s">
        <v>863</v>
      </c>
      <c r="V260" s="96" t="s">
        <v>874</v>
      </c>
      <c r="W260" s="96" t="s">
        <v>860</v>
      </c>
      <c r="X260" s="96" t="s">
        <v>873</v>
      </c>
      <c r="Y260" s="96" t="s">
        <v>861</v>
      </c>
      <c r="Z260" s="96" t="s">
        <v>878</v>
      </c>
      <c r="AA260" s="94" t="s">
        <v>14</v>
      </c>
      <c r="AB260" s="94" t="s">
        <v>877</v>
      </c>
      <c r="AC260" s="96" t="s">
        <v>18</v>
      </c>
      <c r="AD260" s="96" t="s">
        <v>876</v>
      </c>
      <c r="AE260" s="96" t="s">
        <v>862</v>
      </c>
      <c r="AF260" s="96" t="s">
        <v>875</v>
      </c>
      <c r="AG260" s="96" t="s">
        <v>863</v>
      </c>
      <c r="AH260" s="96" t="s">
        <v>874</v>
      </c>
      <c r="AI260" s="96" t="s">
        <v>860</v>
      </c>
      <c r="AJ260" s="96" t="s">
        <v>873</v>
      </c>
      <c r="AK260" s="96" t="s">
        <v>861</v>
      </c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</row>
    <row r="261" spans="1:52" x14ac:dyDescent="0.25">
      <c r="F261" s="81" t="s">
        <v>17</v>
      </c>
      <c r="G261" s="81" t="s">
        <v>885</v>
      </c>
      <c r="H261" s="80" t="s">
        <v>890</v>
      </c>
      <c r="I261" s="80" t="s">
        <v>895</v>
      </c>
      <c r="J261" s="80" t="s">
        <v>900</v>
      </c>
      <c r="K261" s="80" t="s">
        <v>905</v>
      </c>
      <c r="L261" s="80" t="s">
        <v>910</v>
      </c>
      <c r="M261" s="80" t="s">
        <v>915</v>
      </c>
      <c r="N261" s="80" t="s">
        <v>920</v>
      </c>
      <c r="O261" s="80" t="s">
        <v>925</v>
      </c>
      <c r="P261" s="80" t="s">
        <v>930</v>
      </c>
      <c r="Q261" s="80" t="s">
        <v>935</v>
      </c>
      <c r="R261" s="80" t="s">
        <v>940</v>
      </c>
      <c r="S261" s="80" t="s">
        <v>945</v>
      </c>
      <c r="T261" s="80" t="s">
        <v>950</v>
      </c>
      <c r="U261" s="80" t="s">
        <v>955</v>
      </c>
      <c r="V261" s="80" t="s">
        <v>960</v>
      </c>
      <c r="W261" s="80" t="s">
        <v>965</v>
      </c>
      <c r="X261" s="80" t="s">
        <v>970</v>
      </c>
      <c r="Y261" s="80" t="s">
        <v>975</v>
      </c>
      <c r="Z261" s="80" t="s">
        <v>980</v>
      </c>
      <c r="AA261" s="80" t="s">
        <v>985</v>
      </c>
      <c r="AB261" s="80" t="s">
        <v>990</v>
      </c>
      <c r="AC261" s="80" t="s">
        <v>995</v>
      </c>
      <c r="AD261" s="99" t="s">
        <v>1000</v>
      </c>
      <c r="AE261" s="99" t="s">
        <v>1005</v>
      </c>
      <c r="AF261" s="99" t="s">
        <v>1010</v>
      </c>
      <c r="AG261" s="99" t="s">
        <v>1015</v>
      </c>
      <c r="AH261" s="99" t="s">
        <v>1020</v>
      </c>
      <c r="AI261" s="99" t="s">
        <v>1025</v>
      </c>
      <c r="AJ261" s="99" t="s">
        <v>1030</v>
      </c>
      <c r="AK261" s="99" t="s">
        <v>1035</v>
      </c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</row>
    <row r="262" spans="1:52" x14ac:dyDescent="0.25">
      <c r="F262" s="81" t="s">
        <v>29</v>
      </c>
      <c r="G262" s="81" t="s">
        <v>886</v>
      </c>
      <c r="H262" s="80" t="s">
        <v>891</v>
      </c>
      <c r="I262" s="80" t="s">
        <v>896</v>
      </c>
      <c r="J262" s="80" t="s">
        <v>901</v>
      </c>
      <c r="K262" s="80" t="s">
        <v>906</v>
      </c>
      <c r="L262" s="80" t="s">
        <v>911</v>
      </c>
      <c r="M262" s="80" t="s">
        <v>916</v>
      </c>
      <c r="N262" s="80" t="s">
        <v>921</v>
      </c>
      <c r="O262" s="80" t="s">
        <v>926</v>
      </c>
      <c r="P262" s="80" t="s">
        <v>931</v>
      </c>
      <c r="Q262" s="80" t="s">
        <v>936</v>
      </c>
      <c r="R262" s="80" t="s">
        <v>941</v>
      </c>
      <c r="S262" s="80" t="s">
        <v>946</v>
      </c>
      <c r="T262" s="80" t="s">
        <v>951</v>
      </c>
      <c r="U262" s="80" t="s">
        <v>956</v>
      </c>
      <c r="V262" s="80" t="s">
        <v>961</v>
      </c>
      <c r="W262" s="80" t="s">
        <v>966</v>
      </c>
      <c r="X262" s="80" t="s">
        <v>971</v>
      </c>
      <c r="Y262" s="80" t="s">
        <v>976</v>
      </c>
      <c r="Z262" s="80" t="s">
        <v>981</v>
      </c>
      <c r="AA262" s="80" t="s">
        <v>986</v>
      </c>
      <c r="AB262" s="80" t="s">
        <v>991</v>
      </c>
      <c r="AC262" s="80" t="s">
        <v>996</v>
      </c>
      <c r="AD262" s="99" t="s">
        <v>1001</v>
      </c>
      <c r="AE262" s="99" t="s">
        <v>1006</v>
      </c>
      <c r="AF262" s="99" t="s">
        <v>1011</v>
      </c>
      <c r="AG262" s="99" t="s">
        <v>1016</v>
      </c>
      <c r="AH262" s="99" t="s">
        <v>1021</v>
      </c>
      <c r="AI262" s="99" t="s">
        <v>1026</v>
      </c>
      <c r="AJ262" s="99" t="s">
        <v>1031</v>
      </c>
      <c r="AK262" s="99" t="s">
        <v>1036</v>
      </c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</row>
    <row r="263" spans="1:52" x14ac:dyDescent="0.25">
      <c r="F263" s="81" t="s">
        <v>22</v>
      </c>
      <c r="G263" s="81" t="s">
        <v>887</v>
      </c>
      <c r="H263" s="80" t="s">
        <v>892</v>
      </c>
      <c r="I263" s="80" t="s">
        <v>897</v>
      </c>
      <c r="J263" s="80" t="s">
        <v>902</v>
      </c>
      <c r="K263" s="80" t="s">
        <v>907</v>
      </c>
      <c r="L263" s="80" t="s">
        <v>912</v>
      </c>
      <c r="M263" s="80" t="s">
        <v>917</v>
      </c>
      <c r="N263" s="80" t="s">
        <v>922</v>
      </c>
      <c r="O263" s="80" t="s">
        <v>927</v>
      </c>
      <c r="P263" s="80" t="s">
        <v>932</v>
      </c>
      <c r="Q263" s="80" t="s">
        <v>937</v>
      </c>
      <c r="R263" s="80" t="s">
        <v>942</v>
      </c>
      <c r="S263" s="80" t="s">
        <v>947</v>
      </c>
      <c r="T263" s="80" t="s">
        <v>952</v>
      </c>
      <c r="U263" s="80" t="s">
        <v>957</v>
      </c>
      <c r="V263" s="80" t="s">
        <v>962</v>
      </c>
      <c r="W263" s="80" t="s">
        <v>967</v>
      </c>
      <c r="X263" s="80" t="s">
        <v>972</v>
      </c>
      <c r="Y263" s="80" t="s">
        <v>977</v>
      </c>
      <c r="Z263" s="80" t="s">
        <v>982</v>
      </c>
      <c r="AA263" s="80" t="s">
        <v>987</v>
      </c>
      <c r="AB263" s="80" t="s">
        <v>992</v>
      </c>
      <c r="AC263" s="80" t="s">
        <v>997</v>
      </c>
      <c r="AD263" s="99" t="s">
        <v>1002</v>
      </c>
      <c r="AE263" s="99" t="s">
        <v>1007</v>
      </c>
      <c r="AF263" s="99" t="s">
        <v>1012</v>
      </c>
      <c r="AG263" s="99" t="s">
        <v>1017</v>
      </c>
      <c r="AH263" s="99" t="s">
        <v>1022</v>
      </c>
      <c r="AI263" s="99" t="s">
        <v>1027</v>
      </c>
      <c r="AJ263" s="99" t="s">
        <v>1032</v>
      </c>
      <c r="AK263" s="99" t="s">
        <v>1037</v>
      </c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</row>
    <row r="264" spans="1:52" x14ac:dyDescent="0.25">
      <c r="F264" s="81" t="s">
        <v>825</v>
      </c>
      <c r="G264" s="81" t="s">
        <v>888</v>
      </c>
      <c r="H264" s="80" t="s">
        <v>893</v>
      </c>
      <c r="I264" s="80" t="s">
        <v>898</v>
      </c>
      <c r="J264" s="80" t="s">
        <v>903</v>
      </c>
      <c r="K264" s="80" t="s">
        <v>908</v>
      </c>
      <c r="L264" s="80" t="s">
        <v>913</v>
      </c>
      <c r="M264" s="80" t="s">
        <v>918</v>
      </c>
      <c r="N264" s="80" t="s">
        <v>923</v>
      </c>
      <c r="O264" s="80" t="s">
        <v>928</v>
      </c>
      <c r="P264" s="80" t="s">
        <v>933</v>
      </c>
      <c r="Q264" s="80" t="s">
        <v>938</v>
      </c>
      <c r="R264" s="80" t="s">
        <v>943</v>
      </c>
      <c r="S264" s="80" t="s">
        <v>948</v>
      </c>
      <c r="T264" s="80" t="s">
        <v>953</v>
      </c>
      <c r="U264" s="80" t="s">
        <v>958</v>
      </c>
      <c r="V264" s="80" t="s">
        <v>963</v>
      </c>
      <c r="W264" s="80" t="s">
        <v>968</v>
      </c>
      <c r="X264" s="80" t="s">
        <v>973</v>
      </c>
      <c r="Y264" s="80" t="s">
        <v>978</v>
      </c>
      <c r="Z264" s="80" t="s">
        <v>983</v>
      </c>
      <c r="AA264" s="80" t="s">
        <v>988</v>
      </c>
      <c r="AB264" s="80" t="s">
        <v>993</v>
      </c>
      <c r="AC264" s="80" t="s">
        <v>998</v>
      </c>
      <c r="AD264" s="99" t="s">
        <v>1003</v>
      </c>
      <c r="AE264" s="99" t="s">
        <v>1008</v>
      </c>
      <c r="AF264" s="99" t="s">
        <v>1013</v>
      </c>
      <c r="AG264" s="99" t="s">
        <v>1018</v>
      </c>
      <c r="AH264" s="99" t="s">
        <v>1023</v>
      </c>
      <c r="AI264" s="99" t="s">
        <v>1028</v>
      </c>
      <c r="AJ264" s="99" t="s">
        <v>1033</v>
      </c>
      <c r="AK264" s="99" t="s">
        <v>1038</v>
      </c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</row>
    <row r="265" spans="1:52" x14ac:dyDescent="0.25">
      <c r="F265" s="81" t="s">
        <v>816</v>
      </c>
      <c r="G265" s="81" t="s">
        <v>889</v>
      </c>
      <c r="H265" s="80" t="s">
        <v>894</v>
      </c>
      <c r="I265" s="80" t="s">
        <v>899</v>
      </c>
      <c r="J265" s="80" t="s">
        <v>904</v>
      </c>
      <c r="K265" s="80" t="s">
        <v>909</v>
      </c>
      <c r="L265" s="80" t="s">
        <v>914</v>
      </c>
      <c r="M265" s="80" t="s">
        <v>919</v>
      </c>
      <c r="N265" s="80" t="s">
        <v>924</v>
      </c>
      <c r="O265" s="80" t="s">
        <v>929</v>
      </c>
      <c r="P265" s="80" t="s">
        <v>934</v>
      </c>
      <c r="Q265" s="80" t="s">
        <v>939</v>
      </c>
      <c r="R265" s="80" t="s">
        <v>944</v>
      </c>
      <c r="S265" s="80" t="s">
        <v>949</v>
      </c>
      <c r="T265" s="80" t="s">
        <v>954</v>
      </c>
      <c r="U265" s="80" t="s">
        <v>959</v>
      </c>
      <c r="V265" s="80" t="s">
        <v>964</v>
      </c>
      <c r="W265" s="80" t="s">
        <v>969</v>
      </c>
      <c r="X265" s="80" t="s">
        <v>974</v>
      </c>
      <c r="Y265" s="80" t="s">
        <v>979</v>
      </c>
      <c r="Z265" s="80" t="s">
        <v>984</v>
      </c>
      <c r="AA265" s="80" t="s">
        <v>989</v>
      </c>
      <c r="AB265" s="80" t="s">
        <v>994</v>
      </c>
      <c r="AC265" s="80" t="s">
        <v>999</v>
      </c>
      <c r="AD265" s="99" t="s">
        <v>1004</v>
      </c>
      <c r="AE265" s="99" t="s">
        <v>1009</v>
      </c>
      <c r="AF265" s="99" t="s">
        <v>1014</v>
      </c>
      <c r="AG265" s="99" t="s">
        <v>1019</v>
      </c>
      <c r="AH265" s="99" t="s">
        <v>1024</v>
      </c>
      <c r="AI265" s="99" t="s">
        <v>1029</v>
      </c>
      <c r="AJ265" s="99" t="s">
        <v>1034</v>
      </c>
      <c r="AK265" s="99" t="s">
        <v>1039</v>
      </c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</row>
    <row r="266" spans="1:52" x14ac:dyDescent="0.25"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</row>
    <row r="267" spans="1:52" x14ac:dyDescent="0.25"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</row>
    <row r="268" spans="1:52" x14ac:dyDescent="0.25"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</row>
    <row r="269" spans="1:52" x14ac:dyDescent="0.25"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</row>
    <row r="270" spans="1:52" x14ac:dyDescent="0.25">
      <c r="A270" s="92" t="s">
        <v>840</v>
      </c>
      <c r="B270" s="92" t="s">
        <v>1049</v>
      </c>
      <c r="C270" s="81" t="s">
        <v>7</v>
      </c>
      <c r="D270" s="81" t="s">
        <v>8</v>
      </c>
      <c r="E270" s="81" t="s">
        <v>1050</v>
      </c>
      <c r="F270" s="81" t="s">
        <v>1055</v>
      </c>
      <c r="G270" s="81" t="s">
        <v>1054</v>
      </c>
      <c r="H270" s="81" t="s">
        <v>603</v>
      </c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</row>
    <row r="271" spans="1:52" x14ac:dyDescent="0.25">
      <c r="A271" s="81" t="s">
        <v>17</v>
      </c>
      <c r="B271" s="81" t="s">
        <v>814</v>
      </c>
      <c r="C271" s="81" t="s">
        <v>1051</v>
      </c>
      <c r="D271" s="81" t="s">
        <v>1051</v>
      </c>
      <c r="E271" s="81" t="s">
        <v>1052</v>
      </c>
      <c r="F271" s="81" t="s">
        <v>858</v>
      </c>
      <c r="G271" s="118">
        <f t="array" ref="G271">AVERAGE(IF('Well Data-NK'!G96:G150={"MA"},'Well Data-NK'!S96:S150))</f>
        <v>51.851851851851855</v>
      </c>
      <c r="H271" s="81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</row>
    <row r="272" spans="1:52" x14ac:dyDescent="0.25">
      <c r="A272" s="81" t="s">
        <v>29</v>
      </c>
      <c r="B272" s="81" t="s">
        <v>814</v>
      </c>
      <c r="C272" s="81" t="s">
        <v>1051</v>
      </c>
      <c r="D272" s="81" t="s">
        <v>1051</v>
      </c>
      <c r="E272" s="81" t="s">
        <v>1052</v>
      </c>
      <c r="F272" s="81" t="s">
        <v>858</v>
      </c>
      <c r="G272" s="118">
        <f t="array" ref="G272">AVERAGE(IF('Well Data-NK'!G96:G150={"UB"},'Well Data-NK'!S96:S150))</f>
        <v>64.400000000000006</v>
      </c>
      <c r="H272" s="81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</row>
    <row r="273" spans="1:9" x14ac:dyDescent="0.25">
      <c r="A273" s="81" t="s">
        <v>22</v>
      </c>
      <c r="B273" s="81" t="s">
        <v>814</v>
      </c>
      <c r="C273" s="81" t="s">
        <v>1051</v>
      </c>
      <c r="D273" s="81" t="s">
        <v>1051</v>
      </c>
      <c r="E273" s="81" t="s">
        <v>1052</v>
      </c>
      <c r="F273" s="81" t="s">
        <v>858</v>
      </c>
      <c r="G273" s="118">
        <f t="array" ref="G273">AVERAGE(IF('Well Data-NK'!G96:G150={"LB"},'Well Data-NK'!S96:S150))</f>
        <v>70</v>
      </c>
      <c r="H273" s="81"/>
    </row>
    <row r="274" spans="1:9" x14ac:dyDescent="0.25">
      <c r="A274" s="81" t="s">
        <v>825</v>
      </c>
      <c r="B274" s="81" t="s">
        <v>814</v>
      </c>
      <c r="C274" s="81" t="s">
        <v>1051</v>
      </c>
      <c r="D274" s="81" t="s">
        <v>1051</v>
      </c>
      <c r="E274" s="81" t="s">
        <v>1052</v>
      </c>
      <c r="F274" s="81" t="s">
        <v>858</v>
      </c>
      <c r="G274" s="118">
        <f t="array" ref="G274">AVERAGE(IF('Well Data-NK'!G96:G150={"ZU","RT"},'Well Data-NK'!S96:S150))</f>
        <v>92</v>
      </c>
      <c r="H274" s="81"/>
    </row>
    <row r="275" spans="1:9" x14ac:dyDescent="0.25">
      <c r="A275" s="81" t="s">
        <v>816</v>
      </c>
      <c r="B275" s="81" t="s">
        <v>814</v>
      </c>
      <c r="C275" s="81" t="s">
        <v>1051</v>
      </c>
      <c r="D275" s="81" t="s">
        <v>1051</v>
      </c>
      <c r="E275" s="81" t="s">
        <v>1052</v>
      </c>
      <c r="F275" s="81" t="s">
        <v>858</v>
      </c>
      <c r="G275" s="118">
        <f t="array" ref="G275">AVERAGE(IF('Well Data-NK'!G96:G150={"ZU","RT","LB","UB","MA"},'Well Data-NK'!S96:S150))</f>
        <v>63</v>
      </c>
      <c r="H275" s="81"/>
    </row>
    <row r="276" spans="1:9" x14ac:dyDescent="0.25">
      <c r="A276" s="81" t="s">
        <v>17</v>
      </c>
      <c r="B276" s="81" t="s">
        <v>815</v>
      </c>
      <c r="C276" s="81" t="s">
        <v>1051</v>
      </c>
      <c r="D276" s="81" t="s">
        <v>1051</v>
      </c>
      <c r="E276" s="81" t="s">
        <v>1052</v>
      </c>
      <c r="F276" s="81" t="s">
        <v>858</v>
      </c>
      <c r="G276" s="118">
        <f t="array" ref="G276">AVERAGE(IF('Well Data-NK'!G96:G150={"MA"},'Well Data-NK'!Q96:Q150))</f>
        <v>39.268672543209242</v>
      </c>
      <c r="H276" s="81" t="s">
        <v>885</v>
      </c>
      <c r="I276" s="117"/>
    </row>
    <row r="277" spans="1:9" x14ac:dyDescent="0.25">
      <c r="A277" s="81" t="s">
        <v>29</v>
      </c>
      <c r="B277" s="81" t="s">
        <v>815</v>
      </c>
      <c r="C277" s="81" t="s">
        <v>1051</v>
      </c>
      <c r="D277" s="81" t="s">
        <v>1051</v>
      </c>
      <c r="E277" s="81" t="s">
        <v>1052</v>
      </c>
      <c r="F277" s="81" t="s">
        <v>858</v>
      </c>
      <c r="G277" s="118">
        <f t="array" ref="G277">AVERAGE(IF('Well Data-NK'!G96:G150={"UB"},'Well Data-NK'!Q96:Q150))</f>
        <v>51.574998666667149</v>
      </c>
      <c r="H277" s="81" t="s">
        <v>886</v>
      </c>
      <c r="I277" s="117"/>
    </row>
    <row r="278" spans="1:9" x14ac:dyDescent="0.25">
      <c r="A278" s="81" t="s">
        <v>22</v>
      </c>
      <c r="B278" s="81" t="s">
        <v>815</v>
      </c>
      <c r="C278" s="81" t="s">
        <v>1051</v>
      </c>
      <c r="D278" s="81" t="s">
        <v>1051</v>
      </c>
      <c r="E278" s="81" t="s">
        <v>1052</v>
      </c>
      <c r="F278" s="81" t="s">
        <v>858</v>
      </c>
      <c r="G278" s="118">
        <f t="array" ref="G278">AVERAGE(IF('Well Data-NK'!G96:G150={"LB"},'Well Data-NK'!Q96:Q150))</f>
        <v>57.190648715385173</v>
      </c>
      <c r="H278" s="81" t="s">
        <v>887</v>
      </c>
      <c r="I278" s="117"/>
    </row>
    <row r="279" spans="1:9" x14ac:dyDescent="0.25">
      <c r="A279" s="81" t="s">
        <v>825</v>
      </c>
      <c r="B279" s="81" t="s">
        <v>815</v>
      </c>
      <c r="C279" s="81" t="s">
        <v>1051</v>
      </c>
      <c r="D279" s="81" t="s">
        <v>1051</v>
      </c>
      <c r="E279" s="81" t="s">
        <v>1052</v>
      </c>
      <c r="F279" s="81" t="s">
        <v>858</v>
      </c>
      <c r="G279" s="118">
        <f t="array" ref="G279">AVERAGE(IF('Well Data-NK'!G96:G150={"ZU","RT"},'Well Data-NK'!Q96:Q150))</f>
        <v>77.252086666666429</v>
      </c>
      <c r="H279" s="81" t="s">
        <v>888</v>
      </c>
      <c r="I279" s="117"/>
    </row>
    <row r="280" spans="1:9" x14ac:dyDescent="0.25">
      <c r="A280" s="81" t="s">
        <v>816</v>
      </c>
      <c r="B280" s="81" t="s">
        <v>815</v>
      </c>
      <c r="C280" s="81" t="s">
        <v>1051</v>
      </c>
      <c r="D280" s="81" t="s">
        <v>1051</v>
      </c>
      <c r="E280" s="81" t="s">
        <v>1052</v>
      </c>
      <c r="F280" s="81" t="s">
        <v>858</v>
      </c>
      <c r="G280" s="118">
        <f t="array" ref="G280">AVERAGE(IF('Well Data-NK'!G96:G150={"ZU","RT","LB","UB","MA"},'Well Data-NK'!Q96:Q150))</f>
        <v>51.529608217575579</v>
      </c>
      <c r="H280" s="81" t="s">
        <v>889</v>
      </c>
      <c r="I280" s="117"/>
    </row>
    <row r="281" spans="1:9" x14ac:dyDescent="0.25">
      <c r="A281" s="81" t="s">
        <v>17</v>
      </c>
      <c r="B281" s="81" t="s">
        <v>814</v>
      </c>
      <c r="C281" s="81" t="s">
        <v>14</v>
      </c>
      <c r="D281" s="81" t="s">
        <v>1051</v>
      </c>
      <c r="E281" s="81" t="s">
        <v>1052</v>
      </c>
      <c r="F281" s="81" t="s">
        <v>858</v>
      </c>
      <c r="G281" s="118">
        <f t="array" ref="G281">AVERAGE(IF('Well Data-NK'!G96:G150={"MA"},IF('Well Data-NK'!K96:K150="NW",'Well Data-NK'!S96:S150)))</f>
        <v>70</v>
      </c>
      <c r="H281" s="118" t="s">
        <v>900</v>
      </c>
      <c r="I281" s="117"/>
    </row>
    <row r="282" spans="1:9" x14ac:dyDescent="0.25">
      <c r="A282" s="81" t="s">
        <v>29</v>
      </c>
      <c r="B282" s="81" t="s">
        <v>814</v>
      </c>
      <c r="C282" s="81" t="s">
        <v>14</v>
      </c>
      <c r="D282" s="81" t="s">
        <v>1051</v>
      </c>
      <c r="E282" s="81" t="s">
        <v>1052</v>
      </c>
      <c r="F282" s="81" t="s">
        <v>858</v>
      </c>
      <c r="G282" s="118">
        <f t="array" ref="G282">AVERAGE(IF('Well Data-NK'!G96:G150={"UB"},IF('Well Data-NK'!K96:K150="NW",'Well Data-NK'!S96:S150)))</f>
        <v>70</v>
      </c>
      <c r="H282" s="118" t="s">
        <v>901</v>
      </c>
      <c r="I282" s="117"/>
    </row>
    <row r="283" spans="1:9" x14ac:dyDescent="0.25">
      <c r="A283" s="81" t="s">
        <v>22</v>
      </c>
      <c r="B283" s="81" t="s">
        <v>814</v>
      </c>
      <c r="C283" s="81" t="s">
        <v>14</v>
      </c>
      <c r="D283" s="81" t="s">
        <v>1051</v>
      </c>
      <c r="E283" s="81" t="s">
        <v>1052</v>
      </c>
      <c r="F283" s="81" t="s">
        <v>858</v>
      </c>
      <c r="G283" s="118">
        <f t="array" ref="G283">AVERAGE(IF('Well Data-NK'!G96:G150={"LB"},IF('Well Data-NK'!K96:K150="NW",'Well Data-NK'!S96:S150)))</f>
        <v>70</v>
      </c>
      <c r="H283" s="118" t="s">
        <v>902</v>
      </c>
      <c r="I283" s="117"/>
    </row>
    <row r="284" spans="1:9" x14ac:dyDescent="0.25">
      <c r="A284" s="81" t="s">
        <v>825</v>
      </c>
      <c r="B284" s="81" t="s">
        <v>814</v>
      </c>
      <c r="C284" s="81" t="s">
        <v>14</v>
      </c>
      <c r="D284" s="81" t="s">
        <v>1051</v>
      </c>
      <c r="E284" s="81" t="s">
        <v>1052</v>
      </c>
      <c r="F284" s="81" t="s">
        <v>858</v>
      </c>
      <c r="G284" s="118">
        <f t="array" ref="G284">AVERAGE(IF('Well Data-NK'!G96:G150={"RT","ZU"},IF('Well Data-NK'!K96:K150="NW",'Well Data-NK'!S96:S150)))</f>
        <v>98</v>
      </c>
      <c r="H284" s="118" t="s">
        <v>903</v>
      </c>
      <c r="I284" s="117"/>
    </row>
    <row r="285" spans="1:9" x14ac:dyDescent="0.25">
      <c r="A285" s="81" t="s">
        <v>816</v>
      </c>
      <c r="B285" s="81" t="s">
        <v>814</v>
      </c>
      <c r="C285" s="81" t="s">
        <v>14</v>
      </c>
      <c r="D285" s="81" t="s">
        <v>1051</v>
      </c>
      <c r="E285" s="81" t="s">
        <v>1052</v>
      </c>
      <c r="F285" s="81" t="s">
        <v>858</v>
      </c>
      <c r="G285" s="118">
        <f t="array" ref="G285">AVERAGE(IF('Well Data-NK'!G96:G150={"RT","ZU","LB","UB","MA"},IF('Well Data-NK'!K96:K150="NW",'Well Data-NK'!S96:S150)))</f>
        <v>77</v>
      </c>
      <c r="H285" s="118" t="s">
        <v>904</v>
      </c>
      <c r="I285" s="117"/>
    </row>
    <row r="286" spans="1:9" x14ac:dyDescent="0.25">
      <c r="A286" s="81" t="s">
        <v>17</v>
      </c>
      <c r="B286" s="81" t="s">
        <v>815</v>
      </c>
      <c r="C286" s="81" t="s">
        <v>14</v>
      </c>
      <c r="D286" s="81" t="s">
        <v>1051</v>
      </c>
      <c r="E286" s="81" t="s">
        <v>1052</v>
      </c>
      <c r="F286" s="81" t="s">
        <v>858</v>
      </c>
      <c r="G286" s="118">
        <f t="array" ref="G286">AVERAGE(IF('Well Data-NK'!G96:G150={"MA"},IF('Well Data-NK'!K96:K150="NW",'Well Data-NK'!Q96:Q150)))</f>
        <v>57.083333333332121</v>
      </c>
      <c r="H286" s="118" t="s">
        <v>920</v>
      </c>
      <c r="I286" s="117"/>
    </row>
    <row r="287" spans="1:9" x14ac:dyDescent="0.25">
      <c r="A287" s="81" t="s">
        <v>29</v>
      </c>
      <c r="B287" s="81" t="s">
        <v>815</v>
      </c>
      <c r="C287" s="81" t="s">
        <v>14</v>
      </c>
      <c r="D287" s="81" t="s">
        <v>1051</v>
      </c>
      <c r="E287" s="81" t="s">
        <v>1052</v>
      </c>
      <c r="F287" s="81" t="s">
        <v>858</v>
      </c>
      <c r="G287" s="118">
        <f t="array" ref="G287">AVERAGE(IF('Well Data-NK'!G96:G150={"UB"},IF('Well Data-NK'!K96:K150="NW",'Well Data-NK'!Q96:Q150)))</f>
        <v>50.868054444445249</v>
      </c>
      <c r="H287" s="118" t="s">
        <v>921</v>
      </c>
      <c r="I287" s="117"/>
    </row>
    <row r="288" spans="1:9" x14ac:dyDescent="0.25">
      <c r="A288" s="81" t="s">
        <v>22</v>
      </c>
      <c r="B288" s="81" t="s">
        <v>815</v>
      </c>
      <c r="C288" s="81" t="s">
        <v>14</v>
      </c>
      <c r="D288" s="81" t="s">
        <v>1051</v>
      </c>
      <c r="E288" s="81" t="s">
        <v>1052</v>
      </c>
      <c r="F288" s="81" t="s">
        <v>858</v>
      </c>
      <c r="G288" s="118">
        <f t="array" ref="G288">AVERAGE(IF('Well Data-NK'!G96:G150={"LB"},IF('Well Data-NK'!K96:K150="NW",'Well Data-NK'!Q96:Q150)))</f>
        <v>57.190648715385173</v>
      </c>
      <c r="H288" s="118" t="s">
        <v>922</v>
      </c>
      <c r="I288" s="117"/>
    </row>
    <row r="289" spans="1:9" x14ac:dyDescent="0.25">
      <c r="A289" s="81" t="s">
        <v>825</v>
      </c>
      <c r="B289" s="81" t="s">
        <v>815</v>
      </c>
      <c r="C289" s="81" t="s">
        <v>14</v>
      </c>
      <c r="D289" s="81" t="s">
        <v>1051</v>
      </c>
      <c r="E289" s="81" t="s">
        <v>1052</v>
      </c>
      <c r="F289" s="81" t="s">
        <v>858</v>
      </c>
      <c r="G289" s="118">
        <f t="array" ref="G289">AVERAGE(IF('Well Data-NK'!G96:G150={"RT","ZU"},IF('Well Data-NK'!K96:K150="NW",'Well Data-NK'!Q96:Q150)))</f>
        <v>100.84028333333333</v>
      </c>
      <c r="H289" s="118" t="s">
        <v>923</v>
      </c>
      <c r="I289" s="117"/>
    </row>
    <row r="290" spans="1:9" x14ac:dyDescent="0.25">
      <c r="A290" s="81" t="s">
        <v>816</v>
      </c>
      <c r="B290" s="81" t="s">
        <v>815</v>
      </c>
      <c r="C290" s="81" t="s">
        <v>14</v>
      </c>
      <c r="D290" s="81" t="s">
        <v>1051</v>
      </c>
      <c r="E290" s="81" t="s">
        <v>1052</v>
      </c>
      <c r="F290" s="81" t="s">
        <v>858</v>
      </c>
      <c r="G290" s="118">
        <f t="array" ref="G290">AVERAGE(IF('Well Data-NK'!G96:G150={"RT","ZU","LB","UB","MA"},IF('Well Data-NK'!K96:K150="NW",'Well Data-NK'!Q96:Q150)))</f>
        <v>67.3037901375003</v>
      </c>
      <c r="H290" s="118" t="s">
        <v>924</v>
      </c>
      <c r="I290" s="117"/>
    </row>
    <row r="291" spans="1:9" x14ac:dyDescent="0.25">
      <c r="A291" s="81" t="s">
        <v>17</v>
      </c>
      <c r="B291" s="81" t="s">
        <v>814</v>
      </c>
      <c r="C291" s="81" t="s">
        <v>18</v>
      </c>
      <c r="D291" s="81" t="s">
        <v>1051</v>
      </c>
      <c r="E291" s="81" t="s">
        <v>1052</v>
      </c>
      <c r="F291" s="81" t="s">
        <v>858</v>
      </c>
      <c r="G291" s="118">
        <f t="array" ref="G291">AVERAGE(IF('Well Data-NK'!G96:G150={"MA"},IF('Well Data-NK'!K96:K150="ST",'Well Data-NK'!S96:S150)))</f>
        <v>50.4</v>
      </c>
      <c r="H291" s="118" t="s">
        <v>910</v>
      </c>
      <c r="I291" s="117"/>
    </row>
    <row r="292" spans="1:9" x14ac:dyDescent="0.25">
      <c r="A292" s="81" t="s">
        <v>29</v>
      </c>
      <c r="B292" s="81" t="s">
        <v>814</v>
      </c>
      <c r="C292" s="81" t="s">
        <v>18</v>
      </c>
      <c r="D292" s="81" t="s">
        <v>1051</v>
      </c>
      <c r="E292" s="81" t="s">
        <v>1052</v>
      </c>
      <c r="F292" s="81" t="s">
        <v>858</v>
      </c>
      <c r="G292" s="118">
        <f t="array" ref="G292">AVERAGE(IF('Well Data-NK'!G96:G150={"UB"},IF('Well Data-NK'!K96:K150="ST",'Well Data-NK'!S96:S150)))</f>
        <v>56</v>
      </c>
      <c r="H292" s="118" t="s">
        <v>911</v>
      </c>
      <c r="I292" s="117"/>
    </row>
    <row r="293" spans="1:9" x14ac:dyDescent="0.25">
      <c r="A293" s="81" t="s">
        <v>22</v>
      </c>
      <c r="B293" s="81" t="s">
        <v>814</v>
      </c>
      <c r="C293" s="81" t="s">
        <v>18</v>
      </c>
      <c r="D293" s="81" t="s">
        <v>1051</v>
      </c>
      <c r="E293" s="81" t="s">
        <v>1052</v>
      </c>
      <c r="F293" s="81" t="s">
        <v>858</v>
      </c>
      <c r="G293" s="118" t="e">
        <f t="array" ref="G293">AVERAGE(IF('Well Data-NK'!G96:G150={"LB"},IF('Well Data-NK'!K96:K150="ST",'Well Data-NK'!S96:S150)))</f>
        <v>#DIV/0!</v>
      </c>
      <c r="H293" s="118" t="s">
        <v>912</v>
      </c>
      <c r="I293" s="117"/>
    </row>
    <row r="294" spans="1:9" x14ac:dyDescent="0.25">
      <c r="A294" s="81" t="s">
        <v>825</v>
      </c>
      <c r="B294" s="81" t="s">
        <v>814</v>
      </c>
      <c r="C294" s="81" t="s">
        <v>18</v>
      </c>
      <c r="D294" s="81" t="s">
        <v>1051</v>
      </c>
      <c r="E294" s="81" t="s">
        <v>1052</v>
      </c>
      <c r="F294" s="81" t="s">
        <v>858</v>
      </c>
      <c r="G294" s="118">
        <f t="array" ref="G294">AVERAGE(IF('Well Data-NK'!G96:G150={"RT","ZU"},IF('Well Data-NK'!K96:K150="ST",'Well Data-NK'!S96:S150)))</f>
        <v>56</v>
      </c>
      <c r="H294" s="118" t="s">
        <v>913</v>
      </c>
      <c r="I294" s="117"/>
    </row>
    <row r="295" spans="1:9" x14ac:dyDescent="0.25">
      <c r="A295" s="81" t="s">
        <v>816</v>
      </c>
      <c r="B295" s="81" t="s">
        <v>814</v>
      </c>
      <c r="C295" s="81" t="s">
        <v>18</v>
      </c>
      <c r="D295" s="81" t="s">
        <v>1051</v>
      </c>
      <c r="E295" s="81" t="s">
        <v>1052</v>
      </c>
      <c r="F295" s="81" t="s">
        <v>858</v>
      </c>
      <c r="G295" s="118">
        <f t="array" ref="G295">AVERAGE(IF('Well Data-NK'!G96:G150={"RT","ZU","LB","UB","MA"},IF('Well Data-NK'!K96:K150="ST",'Well Data-NK'!S96:S150)))</f>
        <v>51</v>
      </c>
      <c r="H295" s="118" t="s">
        <v>914</v>
      </c>
      <c r="I295" s="117"/>
    </row>
    <row r="296" spans="1:9" x14ac:dyDescent="0.25">
      <c r="A296" s="81" t="s">
        <v>17</v>
      </c>
      <c r="B296" s="81" t="s">
        <v>815</v>
      </c>
      <c r="C296" s="81" t="s">
        <v>18</v>
      </c>
      <c r="D296" s="81" t="s">
        <v>1051</v>
      </c>
      <c r="E296" s="81" t="s">
        <v>1052</v>
      </c>
      <c r="F296" s="81" t="s">
        <v>858</v>
      </c>
      <c r="G296" s="118">
        <f t="array" ref="G296">AVERAGE(IF('Well Data-NK'!G96:G150={"MA"},IF('Well Data-NK'!K96:K150="ST",'Well Data-NK'!Q96:Q150)))</f>
        <v>37.843499679999411</v>
      </c>
      <c r="H296" s="118" t="s">
        <v>930</v>
      </c>
      <c r="I296" s="117"/>
    </row>
    <row r="297" spans="1:9" x14ac:dyDescent="0.25">
      <c r="A297" s="81" t="s">
        <v>29</v>
      </c>
      <c r="B297" s="81" t="s">
        <v>815</v>
      </c>
      <c r="C297" s="81" t="s">
        <v>18</v>
      </c>
      <c r="D297" s="81" t="s">
        <v>1051</v>
      </c>
      <c r="E297" s="81" t="s">
        <v>1052</v>
      </c>
      <c r="F297" s="81" t="s">
        <v>858</v>
      </c>
      <c r="G297" s="118">
        <f t="array" ref="G297">AVERAGE(IF('Well Data-NK'!G96:G150={"UB"},IF('Well Data-NK'!K96:K150="ST",'Well Data-NK'!Q96:Q150)))</f>
        <v>52.635414999999995</v>
      </c>
      <c r="H297" s="118" t="s">
        <v>931</v>
      </c>
      <c r="I297" s="117"/>
    </row>
    <row r="298" spans="1:9" x14ac:dyDescent="0.25">
      <c r="A298" s="81" t="s">
        <v>22</v>
      </c>
      <c r="B298" s="81" t="s">
        <v>815</v>
      </c>
      <c r="C298" s="81" t="s">
        <v>18</v>
      </c>
      <c r="D298" s="81" t="s">
        <v>1051</v>
      </c>
      <c r="E298" s="81" t="s">
        <v>1052</v>
      </c>
      <c r="F298" s="81" t="s">
        <v>858</v>
      </c>
      <c r="G298" s="118" t="e">
        <f t="array" ref="G298">AVERAGE(IF('Well Data-NK'!G96:G150={"LB"},IF('Well Data-NK'!K96:K150="ST",'Well Data-NK'!Q96:Q150)))</f>
        <v>#DIV/0!</v>
      </c>
      <c r="H298" s="118" t="s">
        <v>932</v>
      </c>
      <c r="I298" s="117"/>
    </row>
    <row r="299" spans="1:9" x14ac:dyDescent="0.25">
      <c r="A299" s="81" t="s">
        <v>825</v>
      </c>
      <c r="B299" s="81" t="s">
        <v>815</v>
      </c>
      <c r="C299" s="81" t="s">
        <v>18</v>
      </c>
      <c r="D299" s="81" t="s">
        <v>1051</v>
      </c>
      <c r="E299" s="81" t="s">
        <v>1052</v>
      </c>
      <c r="F299" s="81" t="s">
        <v>858</v>
      </c>
      <c r="G299" s="118">
        <f t="array" ref="G299">AVERAGE(IF('Well Data-NK'!G96:G150={"RT","ZU"},IF('Well Data-NK'!K96:K150="ST",'Well Data-NK'!Q96:Q150)))</f>
        <v>41.86979166666606</v>
      </c>
      <c r="H299" s="118" t="s">
        <v>933</v>
      </c>
      <c r="I299" s="117"/>
    </row>
    <row r="300" spans="1:9" x14ac:dyDescent="0.25">
      <c r="A300" s="81" t="s">
        <v>816</v>
      </c>
      <c r="B300" s="81" t="s">
        <v>815</v>
      </c>
      <c r="C300" s="81" t="s">
        <v>18</v>
      </c>
      <c r="D300" s="81" t="s">
        <v>1051</v>
      </c>
      <c r="E300" s="81" t="s">
        <v>1052</v>
      </c>
      <c r="F300" s="81" t="s">
        <v>858</v>
      </c>
      <c r="G300" s="118">
        <f t="array" ref="G300">AVERAGE(IF('Well Data-NK'!G96:G150={"RT","ZU","LB","UB","MA"},IF('Well Data-NK'!K96:K150="ST",'Well Data-NK'!Q96:Q150)))</f>
        <v>39.317338344085478</v>
      </c>
      <c r="H300" s="118" t="s">
        <v>934</v>
      </c>
      <c r="I300" s="117"/>
    </row>
    <row r="301" spans="1:9" x14ac:dyDescent="0.25">
      <c r="A301" s="81" t="s">
        <v>17</v>
      </c>
      <c r="B301" s="81" t="s">
        <v>814</v>
      </c>
      <c r="C301" s="81" t="s">
        <v>14</v>
      </c>
      <c r="D301" s="81" t="s">
        <v>298</v>
      </c>
      <c r="E301" s="81" t="s">
        <v>1052</v>
      </c>
      <c r="F301" s="81" t="s">
        <v>858</v>
      </c>
      <c r="G301" s="118">
        <f t="array" ref="G301">AVERAGE(IF('Well Data-NK'!G96:G150={"MA"},IF('Well Data-NK'!K96:K150="NW",IF('Well Data-NK'!J96:J150="Prod",'Well Data-NK'!S96:S150))))</f>
        <v>70</v>
      </c>
      <c r="H301" s="81"/>
    </row>
    <row r="302" spans="1:9" x14ac:dyDescent="0.25">
      <c r="A302" s="81" t="s">
        <v>29</v>
      </c>
      <c r="B302" s="81" t="s">
        <v>814</v>
      </c>
      <c r="C302" s="81" t="s">
        <v>14</v>
      </c>
      <c r="D302" s="81" t="s">
        <v>298</v>
      </c>
      <c r="E302" s="81" t="s">
        <v>1052</v>
      </c>
      <c r="F302" s="81" t="s">
        <v>858</v>
      </c>
      <c r="G302" s="118">
        <f t="array" ref="G302">AVERAGE(IF('Well Data-NK'!G96:G150={"UB"},IF('Well Data-NK'!K96:K150="NW",IF('Well Data-NK'!J96:J150="Prod",'Well Data-NK'!S96:S150))))</f>
        <v>70</v>
      </c>
      <c r="H302" s="81"/>
    </row>
    <row r="303" spans="1:9" x14ac:dyDescent="0.25">
      <c r="A303" s="81" t="s">
        <v>22</v>
      </c>
      <c r="B303" s="81" t="s">
        <v>814</v>
      </c>
      <c r="C303" s="81" t="s">
        <v>14</v>
      </c>
      <c r="D303" s="81" t="s">
        <v>298</v>
      </c>
      <c r="E303" s="81" t="s">
        <v>1052</v>
      </c>
      <c r="F303" s="81" t="s">
        <v>858</v>
      </c>
      <c r="G303" s="118">
        <f t="array" ref="G303">AVERAGE(IF('Well Data-NK'!G96:G150={"LB"},IF('Well Data-NK'!K96:K150="NW",IF('Well Data-NK'!J96:J150="Prod",'Well Data-NK'!S96:S150))))</f>
        <v>70</v>
      </c>
      <c r="H303" s="81"/>
    </row>
    <row r="304" spans="1:9" x14ac:dyDescent="0.25">
      <c r="A304" s="81" t="s">
        <v>825</v>
      </c>
      <c r="B304" s="81" t="s">
        <v>814</v>
      </c>
      <c r="C304" s="81" t="s">
        <v>14</v>
      </c>
      <c r="D304" s="81" t="s">
        <v>298</v>
      </c>
      <c r="E304" s="81" t="s">
        <v>1052</v>
      </c>
      <c r="F304" s="81" t="s">
        <v>858</v>
      </c>
      <c r="G304" s="118">
        <f t="array" ref="G304">AVERAGE(IF('Well Data-NK'!G96:G150={"ZU","RT"},IF('Well Data-NK'!K96:K150="NW",IF('Well Data-NK'!J96:J150="Prod",'Well Data-NK'!S96:S150))))</f>
        <v>98</v>
      </c>
      <c r="H304" s="81"/>
    </row>
    <row r="305" spans="1:8" x14ac:dyDescent="0.25">
      <c r="A305" s="81" t="s">
        <v>816</v>
      </c>
      <c r="B305" s="81" t="s">
        <v>814</v>
      </c>
      <c r="C305" s="81" t="s">
        <v>14</v>
      </c>
      <c r="D305" s="81" t="s">
        <v>298</v>
      </c>
      <c r="E305" s="81" t="s">
        <v>1052</v>
      </c>
      <c r="F305" s="81" t="s">
        <v>858</v>
      </c>
      <c r="G305" s="118">
        <f t="array" ref="G305">AVERAGE(IF('Well Data-NK'!G96:G150={"ZU","RT","LB","UB","MA"},IF('Well Data-NK'!K96:K150="NW",IF('Well Data-NK'!J96:J150="Prod",'Well Data-NK'!S96:S150))))</f>
        <v>77</v>
      </c>
      <c r="H305" s="81"/>
    </row>
    <row r="306" spans="1:8" x14ac:dyDescent="0.25">
      <c r="A306" s="81" t="s">
        <v>17</v>
      </c>
      <c r="B306" s="81" t="s">
        <v>815</v>
      </c>
      <c r="C306" s="81" t="s">
        <v>14</v>
      </c>
      <c r="D306" s="81" t="s">
        <v>298</v>
      </c>
      <c r="E306" s="81" t="s">
        <v>1052</v>
      </c>
      <c r="F306" s="81" t="s">
        <v>858</v>
      </c>
      <c r="G306" s="118">
        <f t="array" ref="G306">AVERAGE(IF('Well Data-NK'!G96:G150={"MA"},IF('Well Data-NK'!K96:K150="NW",IF('Well Data-NK'!J96:J150="Prod",'Well Data-NK'!Q96:Q150))))</f>
        <v>57.083333333332121</v>
      </c>
      <c r="H306" s="118" t="s">
        <v>940</v>
      </c>
    </row>
    <row r="307" spans="1:8" x14ac:dyDescent="0.25">
      <c r="A307" s="81" t="s">
        <v>29</v>
      </c>
      <c r="B307" s="81" t="s">
        <v>815</v>
      </c>
      <c r="C307" s="81" t="s">
        <v>14</v>
      </c>
      <c r="D307" s="81" t="s">
        <v>298</v>
      </c>
      <c r="E307" s="81" t="s">
        <v>1052</v>
      </c>
      <c r="F307" s="81" t="s">
        <v>858</v>
      </c>
      <c r="G307" s="118">
        <f t="array" ref="G307">AVERAGE(IF('Well Data-NK'!G96:G150={"UB"},IF('Well Data-NK'!K96:K150="NW",IF('Well Data-NK'!J96:J150="Prod",'Well Data-NK'!Q96:Q150))))</f>
        <v>50.868054444445249</v>
      </c>
      <c r="H307" s="118" t="s">
        <v>941</v>
      </c>
    </row>
    <row r="308" spans="1:8" x14ac:dyDescent="0.25">
      <c r="A308" s="81" t="s">
        <v>22</v>
      </c>
      <c r="B308" s="81" t="s">
        <v>815</v>
      </c>
      <c r="C308" s="81" t="s">
        <v>14</v>
      </c>
      <c r="D308" s="81" t="s">
        <v>298</v>
      </c>
      <c r="E308" s="81" t="s">
        <v>1052</v>
      </c>
      <c r="F308" s="81" t="s">
        <v>858</v>
      </c>
      <c r="G308" s="118">
        <f t="array" ref="G308">AVERAGE(IF('Well Data-NK'!G96:G150={"LB"},IF('Well Data-NK'!K96:K150="NW",IF('Well Data-NK'!J96:J150="Prod",'Well Data-NK'!Q96:Q150))))</f>
        <v>57.190648715385173</v>
      </c>
      <c r="H308" s="118" t="s">
        <v>942</v>
      </c>
    </row>
    <row r="309" spans="1:8" x14ac:dyDescent="0.25">
      <c r="A309" s="81" t="s">
        <v>825</v>
      </c>
      <c r="B309" s="81" t="s">
        <v>815</v>
      </c>
      <c r="C309" s="81" t="s">
        <v>14</v>
      </c>
      <c r="D309" s="81" t="s">
        <v>298</v>
      </c>
      <c r="E309" s="81" t="s">
        <v>1052</v>
      </c>
      <c r="F309" s="81" t="s">
        <v>858</v>
      </c>
      <c r="G309" s="118">
        <f t="array" ref="G309">AVERAGE(IF('Well Data-NK'!G96:G150={"ZU","RT"},IF('Well Data-NK'!K96:K150="NW",IF('Well Data-NK'!J96:J150="Prod",'Well Data-NK'!Q96:Q150))))</f>
        <v>100.84028333333333</v>
      </c>
      <c r="H309" s="118" t="s">
        <v>943</v>
      </c>
    </row>
    <row r="310" spans="1:8" x14ac:dyDescent="0.25">
      <c r="A310" s="81" t="s">
        <v>816</v>
      </c>
      <c r="B310" s="81" t="s">
        <v>815</v>
      </c>
      <c r="C310" s="81" t="s">
        <v>14</v>
      </c>
      <c r="D310" s="81" t="s">
        <v>298</v>
      </c>
      <c r="E310" s="81" t="s">
        <v>1052</v>
      </c>
      <c r="F310" s="81" t="s">
        <v>858</v>
      </c>
      <c r="G310" s="118">
        <f t="array" ref="G310">AVERAGE(IF('Well Data-NK'!G96:G150={"ZU","RT","LB","UB","MA"},IF('Well Data-NK'!K96:K150="NW",IF('Well Data-NK'!J96:J150="Prod",'Well Data-NK'!Q96:Q150))))</f>
        <v>67.3037901375003</v>
      </c>
      <c r="H310" s="118" t="s">
        <v>944</v>
      </c>
    </row>
    <row r="311" spans="1:8" x14ac:dyDescent="0.25">
      <c r="A311" s="81" t="s">
        <v>17</v>
      </c>
      <c r="B311" s="81" t="s">
        <v>814</v>
      </c>
      <c r="C311" s="81" t="s">
        <v>18</v>
      </c>
      <c r="D311" s="81" t="s">
        <v>298</v>
      </c>
      <c r="E311" s="81" t="s">
        <v>1052</v>
      </c>
      <c r="F311" s="81" t="s">
        <v>858</v>
      </c>
      <c r="G311" s="118">
        <f t="array" ref="G311">AVERAGE(IF('Well Data-NK'!G96:G150={"MA"},IF('Well Data-NK'!K96:K150="ST",IF('Well Data-NK'!J96:J150="Prod",'Well Data-NK'!S96:S150))))</f>
        <v>56</v>
      </c>
      <c r="H311" s="81"/>
    </row>
    <row r="312" spans="1:8" x14ac:dyDescent="0.25">
      <c r="A312" s="81" t="s">
        <v>29</v>
      </c>
      <c r="B312" s="81" t="s">
        <v>814</v>
      </c>
      <c r="C312" s="81" t="s">
        <v>18</v>
      </c>
      <c r="D312" s="81" t="s">
        <v>298</v>
      </c>
      <c r="E312" s="81" t="s">
        <v>1052</v>
      </c>
      <c r="F312" s="81" t="s">
        <v>858</v>
      </c>
      <c r="G312" s="118">
        <f t="array" ref="G312">AVERAGE(IF('Well Data-NK'!G96:G150={"UB"},IF('Well Data-NK'!K96:K150="ST",IF('Well Data-NK'!J96:J150="Prod",'Well Data-NK'!S96:S150))))</f>
        <v>56</v>
      </c>
      <c r="H312" s="81"/>
    </row>
    <row r="313" spans="1:8" x14ac:dyDescent="0.25">
      <c r="A313" s="81" t="s">
        <v>22</v>
      </c>
      <c r="B313" s="81" t="s">
        <v>814</v>
      </c>
      <c r="C313" s="81" t="s">
        <v>18</v>
      </c>
      <c r="D313" s="81" t="s">
        <v>298</v>
      </c>
      <c r="E313" s="81" t="s">
        <v>1052</v>
      </c>
      <c r="F313" s="81" t="s">
        <v>858</v>
      </c>
      <c r="G313" s="118" t="e">
        <f t="array" ref="G313">AVERAGE(IF('Well Data-NK'!G96:G150={"LB"},IF('Well Data-NK'!K96:K150="ST",IF('Well Data-NK'!J96:J150="Prod",'Well Data-NK'!S96:S150))))</f>
        <v>#DIV/0!</v>
      </c>
      <c r="H313" s="81"/>
    </row>
    <row r="314" spans="1:8" x14ac:dyDescent="0.25">
      <c r="A314" s="81" t="s">
        <v>825</v>
      </c>
      <c r="B314" s="81" t="s">
        <v>814</v>
      </c>
      <c r="C314" s="81" t="s">
        <v>18</v>
      </c>
      <c r="D314" s="81" t="s">
        <v>298</v>
      </c>
      <c r="E314" s="81" t="s">
        <v>1052</v>
      </c>
      <c r="F314" s="81" t="s">
        <v>858</v>
      </c>
      <c r="G314" s="118">
        <f t="array" ref="G314">AVERAGE(IF('Well Data-NK'!G96:G150={"ZU","RT"},IF('Well Data-NK'!K96:K150="ST",IF('Well Data-NK'!J96:J150="Prod",'Well Data-NK'!S96:S150))))</f>
        <v>56</v>
      </c>
      <c r="H314" s="81"/>
    </row>
    <row r="315" spans="1:8" x14ac:dyDescent="0.25">
      <c r="A315" s="81" t="s">
        <v>816</v>
      </c>
      <c r="B315" s="81" t="s">
        <v>814</v>
      </c>
      <c r="C315" s="81" t="s">
        <v>18</v>
      </c>
      <c r="D315" s="81" t="s">
        <v>298</v>
      </c>
      <c r="E315" s="81" t="s">
        <v>1052</v>
      </c>
      <c r="F315" s="81" t="s">
        <v>858</v>
      </c>
      <c r="G315" s="118">
        <f t="array" ref="G315">AVERAGE(IF('Well Data-NK'!G96:G150={"ZU","RT","LB","UB","MA"},IF('Well Data-NK'!K96:K150="ST",IF('Well Data-NK'!J96:J150="Prod",'Well Data-NK'!S96:S150))))</f>
        <v>56</v>
      </c>
      <c r="H315" s="81"/>
    </row>
    <row r="316" spans="1:8" x14ac:dyDescent="0.25">
      <c r="A316" s="81" t="s">
        <v>17</v>
      </c>
      <c r="B316" s="81" t="s">
        <v>815</v>
      </c>
      <c r="C316" s="81" t="s">
        <v>18</v>
      </c>
      <c r="D316" s="81" t="s">
        <v>298</v>
      </c>
      <c r="E316" s="81" t="s">
        <v>1052</v>
      </c>
      <c r="F316" s="81" t="s">
        <v>858</v>
      </c>
      <c r="G316" s="118">
        <f t="array" ref="G316">AVERAGE(IF('Well Data-NK'!G96:G150={"MA"},IF('Well Data-NK'!K96:K150="ST",IF('Well Data-NK'!J96:J150="Prod",'Well Data-NK'!Q96:Q150))))</f>
        <v>47.034165999998542</v>
      </c>
      <c r="H316" s="118" t="s">
        <v>960</v>
      </c>
    </row>
    <row r="317" spans="1:8" x14ac:dyDescent="0.25">
      <c r="A317" s="81" t="s">
        <v>29</v>
      </c>
      <c r="B317" s="81" t="s">
        <v>815</v>
      </c>
      <c r="C317" s="81" t="s">
        <v>18</v>
      </c>
      <c r="D317" s="81" t="s">
        <v>298</v>
      </c>
      <c r="E317" s="81" t="s">
        <v>1052</v>
      </c>
      <c r="F317" s="81" t="s">
        <v>858</v>
      </c>
      <c r="G317" s="118">
        <f t="array" ref="G317">AVERAGE(IF('Well Data-NK'!G96:G150={"UB"},IF('Well Data-NK'!K96:K150="ST",IF('Well Data-NK'!J96:J150="Prod",'Well Data-NK'!Q96:Q150))))</f>
        <v>52.635414999999995</v>
      </c>
      <c r="H317" s="118" t="s">
        <v>961</v>
      </c>
    </row>
    <row r="318" spans="1:8" x14ac:dyDescent="0.25">
      <c r="A318" s="81" t="s">
        <v>22</v>
      </c>
      <c r="B318" s="81" t="s">
        <v>815</v>
      </c>
      <c r="C318" s="81" t="s">
        <v>18</v>
      </c>
      <c r="D318" s="81" t="s">
        <v>298</v>
      </c>
      <c r="E318" s="81" t="s">
        <v>1052</v>
      </c>
      <c r="F318" s="81" t="s">
        <v>858</v>
      </c>
      <c r="G318" s="118" t="e">
        <f t="array" ref="G318">AVERAGE(IF('Well Data-NK'!G96:G150={"LB"},IF('Well Data-NK'!K96:K150="ST",IF('Well Data-NK'!J96:J150="Prod",'Well Data-NK'!Q96:Q150))))</f>
        <v>#DIV/0!</v>
      </c>
      <c r="H318" s="118" t="s">
        <v>962</v>
      </c>
    </row>
    <row r="319" spans="1:8" x14ac:dyDescent="0.25">
      <c r="A319" s="81" t="s">
        <v>825</v>
      </c>
      <c r="B319" s="81" t="s">
        <v>815</v>
      </c>
      <c r="C319" s="81" t="s">
        <v>18</v>
      </c>
      <c r="D319" s="81" t="s">
        <v>298</v>
      </c>
      <c r="E319" s="81" t="s">
        <v>1052</v>
      </c>
      <c r="F319" s="81" t="s">
        <v>858</v>
      </c>
      <c r="G319" s="118">
        <f t="array" ref="G319">AVERAGE(IF('Well Data-NK'!G96:G150={"ZU","RT"},IF('Well Data-NK'!K96:K150="ST",IF('Well Data-NK'!J96:J150="Prod",'Well Data-NK'!Q96:Q150))))</f>
        <v>43.826388888888083</v>
      </c>
      <c r="H319" s="118" t="s">
        <v>963</v>
      </c>
    </row>
    <row r="320" spans="1:8" x14ac:dyDescent="0.25">
      <c r="A320" s="81" t="s">
        <v>816</v>
      </c>
      <c r="B320" s="81" t="s">
        <v>815</v>
      </c>
      <c r="C320" s="81" t="s">
        <v>18</v>
      </c>
      <c r="D320" s="81" t="s">
        <v>298</v>
      </c>
      <c r="E320" s="81" t="s">
        <v>1052</v>
      </c>
      <c r="F320" s="81" t="s">
        <v>858</v>
      </c>
      <c r="G320" s="118">
        <f t="array" ref="G320">AVERAGE(IF('Well Data-NK'!G96:G150={"ZU","RT","LB","UB","MA"},IF('Well Data-NK'!K96:K150="ST",IF('Well Data-NK'!J96:J150="Prod",'Well Data-NK'!Q96:Q150))))</f>
        <v>47.192082666665691</v>
      </c>
      <c r="H320" s="118" t="s">
        <v>964</v>
      </c>
    </row>
    <row r="321" spans="1:8" x14ac:dyDescent="0.25">
      <c r="A321" s="81" t="s">
        <v>17</v>
      </c>
      <c r="B321" s="81" t="s">
        <v>814</v>
      </c>
      <c r="C321" s="81" t="s">
        <v>14</v>
      </c>
      <c r="D321" s="81" t="s">
        <v>34</v>
      </c>
      <c r="E321" s="81" t="s">
        <v>1052</v>
      </c>
      <c r="F321" s="81" t="s">
        <v>858</v>
      </c>
      <c r="G321" s="118" t="e">
        <f t="array" ref="G321">AVERAGE(IF('Well Data-NK'!G96:G150={"MA"},IF('Well Data-NK'!K96:K150="NW",IF('Well Data-NK'!J96:J150="Inj",'Well Data-NK'!S96:S150))))</f>
        <v>#DIV/0!</v>
      </c>
      <c r="H321" s="81"/>
    </row>
    <row r="322" spans="1:8" x14ac:dyDescent="0.25">
      <c r="A322" s="81" t="s">
        <v>29</v>
      </c>
      <c r="B322" s="81" t="s">
        <v>814</v>
      </c>
      <c r="C322" s="81" t="s">
        <v>14</v>
      </c>
      <c r="D322" s="81" t="s">
        <v>34</v>
      </c>
      <c r="E322" s="81" t="s">
        <v>1052</v>
      </c>
      <c r="F322" s="81" t="s">
        <v>858</v>
      </c>
      <c r="G322" s="118" t="e">
        <f t="array" ref="G322">AVERAGE(IF('Well Data-NK'!G96:G150={"UB"},IF('Well Data-NK'!K96:K150="NW",IF('Well Data-NK'!J96:J150="Inj",'Well Data-NK'!S96:S150))))</f>
        <v>#DIV/0!</v>
      </c>
      <c r="H322" s="81"/>
    </row>
    <row r="323" spans="1:8" x14ac:dyDescent="0.25">
      <c r="A323" s="81" t="s">
        <v>22</v>
      </c>
      <c r="B323" s="81" t="s">
        <v>814</v>
      </c>
      <c r="C323" s="81" t="s">
        <v>14</v>
      </c>
      <c r="D323" s="81" t="s">
        <v>34</v>
      </c>
      <c r="E323" s="81" t="s">
        <v>1052</v>
      </c>
      <c r="F323" s="81" t="s">
        <v>858</v>
      </c>
      <c r="G323" s="118" t="e">
        <f t="array" ref="G323">AVERAGE(IF('Well Data-NK'!G96:G150={"LB"},IF('Well Data-NK'!K96:K150="NW",IF('Well Data-NK'!J96:J150="Inj",'Well Data-NK'!S96:S150))))</f>
        <v>#DIV/0!</v>
      </c>
      <c r="H323" s="81"/>
    </row>
    <row r="324" spans="1:8" x14ac:dyDescent="0.25">
      <c r="A324" s="81" t="s">
        <v>825</v>
      </c>
      <c r="B324" s="81" t="s">
        <v>814</v>
      </c>
      <c r="C324" s="81" t="s">
        <v>14</v>
      </c>
      <c r="D324" s="81" t="s">
        <v>34</v>
      </c>
      <c r="E324" s="81" t="s">
        <v>1052</v>
      </c>
      <c r="F324" s="81" t="s">
        <v>858</v>
      </c>
      <c r="G324" s="118" t="e">
        <f t="array" ref="G324">AVERAGE(IF('Well Data-NK'!G96:G150={"ZU","RT"},IF('Well Data-NK'!K96:K150="NW",IF('Well Data-NK'!J96:J150="Inj",'Well Data-NK'!S96:S150))))</f>
        <v>#DIV/0!</v>
      </c>
      <c r="H324" s="81"/>
    </row>
    <row r="325" spans="1:8" x14ac:dyDescent="0.25">
      <c r="A325" s="81" t="s">
        <v>816</v>
      </c>
      <c r="B325" s="81" t="s">
        <v>814</v>
      </c>
      <c r="C325" s="81" t="s">
        <v>14</v>
      </c>
      <c r="D325" s="81" t="s">
        <v>34</v>
      </c>
      <c r="E325" s="81" t="s">
        <v>1052</v>
      </c>
      <c r="F325" s="81" t="s">
        <v>858</v>
      </c>
      <c r="G325" s="118" t="e">
        <f t="array" ref="G325">AVERAGE(IF('Well Data-NK'!G96:G150={"ZU","RT","LB","UB","MA"},IF('Well Data-NK'!K96:K150="NW",IF('Well Data-NK'!J96:J150="Inj",'Well Data-NK'!S96:S150))))</f>
        <v>#DIV/0!</v>
      </c>
      <c r="H325" s="81"/>
    </row>
    <row r="326" spans="1:8" x14ac:dyDescent="0.25">
      <c r="A326" s="81" t="s">
        <v>17</v>
      </c>
      <c r="B326" s="81" t="s">
        <v>815</v>
      </c>
      <c r="C326" s="81" t="s">
        <v>14</v>
      </c>
      <c r="D326" s="81" t="s">
        <v>34</v>
      </c>
      <c r="E326" s="81" t="s">
        <v>1052</v>
      </c>
      <c r="F326" s="81" t="s">
        <v>858</v>
      </c>
      <c r="G326" s="118" t="e">
        <f t="array" ref="G326">AVERAGE(IF('Well Data-NK'!G96:G150={"MA"},IF('Well Data-NK'!K96:K150="NW",IF('Well Data-NK'!J96:J150="Inj",'Well Data-NK'!Q96:Q150))))</f>
        <v>#DIV/0!</v>
      </c>
      <c r="H326" s="118" t="s">
        <v>950</v>
      </c>
    </row>
    <row r="327" spans="1:8" x14ac:dyDescent="0.25">
      <c r="A327" s="81" t="s">
        <v>29</v>
      </c>
      <c r="B327" s="81" t="s">
        <v>815</v>
      </c>
      <c r="C327" s="81" t="s">
        <v>14</v>
      </c>
      <c r="D327" s="81" t="s">
        <v>34</v>
      </c>
      <c r="E327" s="81" t="s">
        <v>1052</v>
      </c>
      <c r="F327" s="81" t="s">
        <v>858</v>
      </c>
      <c r="G327" s="118" t="e">
        <f t="array" ref="G327">AVERAGE(IF('Well Data-NK'!G96:G150={"UB"},IF('Well Data-NK'!K96:K150="NW",IF('Well Data-NK'!J96:J150="Inj",'Well Data-NK'!Q96:Q150))))</f>
        <v>#DIV/0!</v>
      </c>
      <c r="H327" s="118" t="s">
        <v>951</v>
      </c>
    </row>
    <row r="328" spans="1:8" x14ac:dyDescent="0.25">
      <c r="A328" s="81" t="s">
        <v>22</v>
      </c>
      <c r="B328" s="81" t="s">
        <v>815</v>
      </c>
      <c r="C328" s="81" t="s">
        <v>14</v>
      </c>
      <c r="D328" s="81" t="s">
        <v>34</v>
      </c>
      <c r="E328" s="81" t="s">
        <v>1052</v>
      </c>
      <c r="F328" s="81" t="s">
        <v>858</v>
      </c>
      <c r="G328" s="118" t="e">
        <f t="array" ref="G328">AVERAGE(IF('Well Data-NK'!G96:G150={"LB"},IF('Well Data-NK'!K96:K150="NW",IF('Well Data-NK'!J96:J150="Inj",'Well Data-NK'!Q96:Q150))))</f>
        <v>#DIV/0!</v>
      </c>
      <c r="H328" s="118" t="s">
        <v>952</v>
      </c>
    </row>
    <row r="329" spans="1:8" x14ac:dyDescent="0.25">
      <c r="A329" s="81" t="s">
        <v>825</v>
      </c>
      <c r="B329" s="81" t="s">
        <v>815</v>
      </c>
      <c r="C329" s="81" t="s">
        <v>14</v>
      </c>
      <c r="D329" s="81" t="s">
        <v>34</v>
      </c>
      <c r="E329" s="81" t="s">
        <v>1052</v>
      </c>
      <c r="F329" s="81" t="s">
        <v>858</v>
      </c>
      <c r="G329" s="118" t="e">
        <f t="array" ref="G329">AVERAGE(IF('Well Data-NK'!G96:G150={"ZU","RT"},IF('Well Data-NK'!K96:K150="NW",IF('Well Data-NK'!J96:J150="Inj",'Well Data-NK'!Q96:Q150))))</f>
        <v>#DIV/0!</v>
      </c>
      <c r="H329" s="118" t="s">
        <v>953</v>
      </c>
    </row>
    <row r="330" spans="1:8" x14ac:dyDescent="0.25">
      <c r="A330" s="81" t="s">
        <v>816</v>
      </c>
      <c r="B330" s="81" t="s">
        <v>815</v>
      </c>
      <c r="C330" s="81" t="s">
        <v>14</v>
      </c>
      <c r="D330" s="81" t="s">
        <v>34</v>
      </c>
      <c r="E330" s="81" t="s">
        <v>1052</v>
      </c>
      <c r="F330" s="81" t="s">
        <v>858</v>
      </c>
      <c r="G330" s="118" t="e">
        <f t="array" ref="G330">AVERAGE(IF('Well Data-NK'!G96:G150={"ZU","RT","LB","UB","MA"},IF('Well Data-NK'!K96:K150="NW",IF('Well Data-NK'!J96:J150="Inj",'Well Data-NK'!Q96:Q150))))</f>
        <v>#DIV/0!</v>
      </c>
      <c r="H330" s="118" t="s">
        <v>954</v>
      </c>
    </row>
    <row r="331" spans="1:8" x14ac:dyDescent="0.25">
      <c r="A331" s="81" t="s">
        <v>17</v>
      </c>
      <c r="B331" s="81" t="s">
        <v>814</v>
      </c>
      <c r="C331" s="81" t="s">
        <v>18</v>
      </c>
      <c r="D331" s="81" t="s">
        <v>34</v>
      </c>
      <c r="E331" s="81" t="s">
        <v>1052</v>
      </c>
      <c r="F331" s="81" t="s">
        <v>858</v>
      </c>
      <c r="G331" s="118">
        <f t="array" ref="G331">AVERAGE(IF('Well Data-NK'!G96:G150={"MA"},IF('Well Data-NK'!K96:K150="ST",IF('Well Data-NK'!J96:J150="Inj",'Well Data-NK'!S96:S150))))</f>
        <v>49</v>
      </c>
      <c r="H331" s="81"/>
    </row>
    <row r="332" spans="1:8" x14ac:dyDescent="0.25">
      <c r="A332" s="81" t="s">
        <v>29</v>
      </c>
      <c r="B332" s="81" t="s">
        <v>814</v>
      </c>
      <c r="C332" s="81" t="s">
        <v>18</v>
      </c>
      <c r="D332" s="81" t="s">
        <v>34</v>
      </c>
      <c r="E332" s="81" t="s">
        <v>1052</v>
      </c>
      <c r="F332" s="81" t="s">
        <v>858</v>
      </c>
      <c r="G332" s="118" t="e">
        <f t="array" ref="G332">AVERAGE(IF('Well Data-NK'!G96:G150={"UB"},IF('Well Data-NK'!K96:K150="ST",IF('Well Data-NK'!J96:J150="Inj",'Well Data-NK'!S96:S150))))</f>
        <v>#DIV/0!</v>
      </c>
      <c r="H332" s="81"/>
    </row>
    <row r="333" spans="1:8" x14ac:dyDescent="0.25">
      <c r="A333" s="81" t="s">
        <v>22</v>
      </c>
      <c r="B333" s="81" t="s">
        <v>814</v>
      </c>
      <c r="C333" s="81" t="s">
        <v>18</v>
      </c>
      <c r="D333" s="81" t="s">
        <v>34</v>
      </c>
      <c r="E333" s="81" t="s">
        <v>1052</v>
      </c>
      <c r="F333" s="81" t="s">
        <v>858</v>
      </c>
      <c r="G333" s="118" t="e">
        <f t="array" ref="G333">AVERAGE(IF('Well Data-NK'!G96:G150={"LB"},IF('Well Data-NK'!K96:K150="ST",IF('Well Data-NK'!J96:J150="Inj",'Well Data-NK'!S96:S150))))</f>
        <v>#DIV/0!</v>
      </c>
      <c r="H333" s="81"/>
    </row>
    <row r="334" spans="1:8" x14ac:dyDescent="0.25">
      <c r="A334" s="81" t="s">
        <v>825</v>
      </c>
      <c r="B334" s="81" t="s">
        <v>814</v>
      </c>
      <c r="C334" s="81" t="s">
        <v>18</v>
      </c>
      <c r="D334" s="81" t="s">
        <v>34</v>
      </c>
      <c r="E334" s="81" t="s">
        <v>1052</v>
      </c>
      <c r="F334" s="81" t="s">
        <v>858</v>
      </c>
      <c r="G334" s="118" t="e">
        <f t="array" ref="G334">AVERAGE(IF('Well Data-NK'!G96:G150={"ZU","RT"},IF('Well Data-NK'!K96:K150="ST",IF('Well Data-NK'!J96:J150="Inj",'Well Data-NK'!S96:S150))))</f>
        <v>#DIV/0!</v>
      </c>
      <c r="H334" s="81"/>
    </row>
    <row r="335" spans="1:8" x14ac:dyDescent="0.25">
      <c r="A335" s="81" t="s">
        <v>816</v>
      </c>
      <c r="B335" s="81" t="s">
        <v>814</v>
      </c>
      <c r="C335" s="81" t="s">
        <v>18</v>
      </c>
      <c r="D335" s="81" t="s">
        <v>34</v>
      </c>
      <c r="E335" s="81" t="s">
        <v>1052</v>
      </c>
      <c r="F335" s="81" t="s">
        <v>858</v>
      </c>
      <c r="G335" s="118">
        <f t="array" ref="G335">AVERAGE(IF('Well Data-NK'!G96:G150={"ZU","RT","LB","UB","MA"},IF('Well Data-NK'!K96:K150="ST",IF('Well Data-NK'!J96:J150="Inj",'Well Data-NK'!S96:S150))))</f>
        <v>49</v>
      </c>
      <c r="H335" s="81"/>
    </row>
    <row r="336" spans="1:8" x14ac:dyDescent="0.25">
      <c r="A336" s="81" t="s">
        <v>17</v>
      </c>
      <c r="B336" s="81" t="s">
        <v>815</v>
      </c>
      <c r="C336" s="81" t="s">
        <v>18</v>
      </c>
      <c r="D336" s="81" t="s">
        <v>34</v>
      </c>
      <c r="E336" s="81" t="s">
        <v>1052</v>
      </c>
      <c r="F336" s="81" t="s">
        <v>858</v>
      </c>
      <c r="G336" s="118">
        <f t="array" ref="G336">AVERAGE(IF('Well Data-NK'!G96:G150={"MA"},IF('Well Data-NK'!K96:K150="ST",IF('Well Data-NK'!J96:J150="Inj",'Well Data-NK'!Q96:Q150))))</f>
        <v>35.545833099999626</v>
      </c>
      <c r="H336" s="118" t="s">
        <v>970</v>
      </c>
    </row>
    <row r="337" spans="1:8" x14ac:dyDescent="0.25">
      <c r="A337" s="81" t="s">
        <v>29</v>
      </c>
      <c r="B337" s="81" t="s">
        <v>815</v>
      </c>
      <c r="C337" s="81" t="s">
        <v>18</v>
      </c>
      <c r="D337" s="81" t="s">
        <v>34</v>
      </c>
      <c r="E337" s="81" t="s">
        <v>1052</v>
      </c>
      <c r="F337" s="81" t="s">
        <v>858</v>
      </c>
      <c r="G337" s="118" t="e">
        <f t="array" ref="G337">AVERAGE(IF('Well Data-NK'!G96:G150={"UB"},IF('Well Data-NK'!K96:K150="ST",IF('Well Data-NK'!J96:J150="Inj",'Well Data-NK'!Q96:Q150))))</f>
        <v>#DIV/0!</v>
      </c>
      <c r="H337" s="118" t="s">
        <v>971</v>
      </c>
    </row>
    <row r="338" spans="1:8" x14ac:dyDescent="0.25">
      <c r="A338" s="81" t="s">
        <v>22</v>
      </c>
      <c r="B338" s="81" t="s">
        <v>815</v>
      </c>
      <c r="C338" s="81" t="s">
        <v>18</v>
      </c>
      <c r="D338" s="81" t="s">
        <v>34</v>
      </c>
      <c r="E338" s="81" t="s">
        <v>1052</v>
      </c>
      <c r="F338" s="81" t="s">
        <v>858</v>
      </c>
      <c r="G338" s="118" t="e">
        <f t="array" ref="G338">AVERAGE(IF('Well Data-NK'!G96:G150={"LB"},IF('Well Data-NK'!K96:K150="ST",IF('Well Data-NK'!J96:J150="Inj",'Well Data-NK'!Q96:Q150))))</f>
        <v>#DIV/0!</v>
      </c>
      <c r="H338" s="118" t="s">
        <v>972</v>
      </c>
    </row>
    <row r="339" spans="1:8" x14ac:dyDescent="0.25">
      <c r="A339" s="81" t="s">
        <v>825</v>
      </c>
      <c r="B339" s="81" t="s">
        <v>815</v>
      </c>
      <c r="C339" s="81" t="s">
        <v>18</v>
      </c>
      <c r="D339" s="81" t="s">
        <v>34</v>
      </c>
      <c r="E339" s="81" t="s">
        <v>1052</v>
      </c>
      <c r="F339" s="81" t="s">
        <v>858</v>
      </c>
      <c r="G339" s="118">
        <f t="array" ref="G339">AVERAGE(IF('Well Data-NK'!G96:G150={"ZU","RT"},IF('Well Data-NK'!K96:K150="ST",IF('Well Data-NK'!J96:J150="Inj",'Well Data-NK'!Q96:Q150))))</f>
        <v>36</v>
      </c>
      <c r="H339" s="118" t="s">
        <v>973</v>
      </c>
    </row>
    <row r="340" spans="1:8" x14ac:dyDescent="0.25">
      <c r="A340" s="81" t="s">
        <v>816</v>
      </c>
      <c r="B340" s="81" t="s">
        <v>815</v>
      </c>
      <c r="C340" s="81" t="s">
        <v>18</v>
      </c>
      <c r="D340" s="81" t="s">
        <v>34</v>
      </c>
      <c r="E340" s="81" t="s">
        <v>1052</v>
      </c>
      <c r="F340" s="81" t="s">
        <v>858</v>
      </c>
      <c r="G340" s="118">
        <f t="array" ref="G340">AVERAGE(IF('Well Data-NK'!G96:G150={"ZU","RT","LB","UB","MA"},IF('Well Data-NK'!K96:K150="ST",IF('Well Data-NK'!J96:J150="Inj",'Well Data-NK'!Q96:Q150))))</f>
        <v>35.567460095237742</v>
      </c>
      <c r="H340" s="118" t="s">
        <v>974</v>
      </c>
    </row>
    <row r="341" spans="1:8" x14ac:dyDescent="0.25">
      <c r="A341" s="81" t="s">
        <v>17</v>
      </c>
      <c r="B341" s="81" t="s">
        <v>814</v>
      </c>
      <c r="C341" s="81" t="s">
        <v>1051</v>
      </c>
      <c r="D341" s="81" t="s">
        <v>1051</v>
      </c>
      <c r="E341" s="81" t="s">
        <v>1053</v>
      </c>
      <c r="F341" s="81" t="s">
        <v>858</v>
      </c>
      <c r="G341" s="81"/>
      <c r="H341" s="81"/>
    </row>
    <row r="342" spans="1:8" x14ac:dyDescent="0.25">
      <c r="A342" s="81" t="s">
        <v>29</v>
      </c>
      <c r="B342" s="81" t="s">
        <v>814</v>
      </c>
      <c r="C342" s="81" t="s">
        <v>1051</v>
      </c>
      <c r="D342" s="81" t="s">
        <v>1051</v>
      </c>
      <c r="E342" s="81" t="s">
        <v>1053</v>
      </c>
      <c r="F342" s="81" t="s">
        <v>858</v>
      </c>
      <c r="G342" s="81"/>
      <c r="H342" s="81"/>
    </row>
    <row r="343" spans="1:8" x14ac:dyDescent="0.25">
      <c r="A343" s="81" t="s">
        <v>22</v>
      </c>
      <c r="B343" s="81" t="s">
        <v>814</v>
      </c>
      <c r="C343" s="81" t="s">
        <v>1051</v>
      </c>
      <c r="D343" s="81" t="s">
        <v>1051</v>
      </c>
      <c r="E343" s="81" t="s">
        <v>1053</v>
      </c>
      <c r="F343" s="81" t="s">
        <v>858</v>
      </c>
      <c r="G343" s="81"/>
      <c r="H343" s="81"/>
    </row>
    <row r="344" spans="1:8" x14ac:dyDescent="0.25">
      <c r="A344" s="81" t="s">
        <v>825</v>
      </c>
      <c r="B344" s="81" t="s">
        <v>814</v>
      </c>
      <c r="C344" s="81" t="s">
        <v>1051</v>
      </c>
      <c r="D344" s="81" t="s">
        <v>1051</v>
      </c>
      <c r="E344" s="81" t="s">
        <v>1053</v>
      </c>
      <c r="F344" s="81" t="s">
        <v>858</v>
      </c>
      <c r="G344" s="81"/>
      <c r="H344" s="81"/>
    </row>
    <row r="345" spans="1:8" x14ac:dyDescent="0.25">
      <c r="A345" s="81" t="s">
        <v>816</v>
      </c>
      <c r="B345" s="81" t="s">
        <v>814</v>
      </c>
      <c r="C345" s="81" t="s">
        <v>1051</v>
      </c>
      <c r="D345" s="81" t="s">
        <v>1051</v>
      </c>
      <c r="E345" s="81" t="s">
        <v>1053</v>
      </c>
      <c r="F345" s="81" t="s">
        <v>858</v>
      </c>
      <c r="G345" s="81"/>
      <c r="H345" s="81"/>
    </row>
    <row r="346" spans="1:8" x14ac:dyDescent="0.25">
      <c r="A346" s="81" t="s">
        <v>17</v>
      </c>
      <c r="B346" s="81" t="s">
        <v>815</v>
      </c>
      <c r="C346" s="81" t="s">
        <v>1051</v>
      </c>
      <c r="D346" s="81" t="s">
        <v>1051</v>
      </c>
      <c r="E346" s="81" t="s">
        <v>1053</v>
      </c>
      <c r="F346" s="81" t="s">
        <v>858</v>
      </c>
      <c r="G346" s="118"/>
      <c r="H346" s="81"/>
    </row>
    <row r="347" spans="1:8" x14ac:dyDescent="0.25">
      <c r="A347" s="81" t="s">
        <v>29</v>
      </c>
      <c r="B347" s="81" t="s">
        <v>815</v>
      </c>
      <c r="C347" s="81" t="s">
        <v>1051</v>
      </c>
      <c r="D347" s="81" t="s">
        <v>1051</v>
      </c>
      <c r="E347" s="81" t="s">
        <v>1053</v>
      </c>
      <c r="F347" s="81" t="s">
        <v>858</v>
      </c>
      <c r="G347" s="118"/>
      <c r="H347" s="81"/>
    </row>
    <row r="348" spans="1:8" x14ac:dyDescent="0.25">
      <c r="A348" s="81" t="s">
        <v>22</v>
      </c>
      <c r="B348" s="81" t="s">
        <v>815</v>
      </c>
      <c r="C348" s="81" t="s">
        <v>1051</v>
      </c>
      <c r="D348" s="81" t="s">
        <v>1051</v>
      </c>
      <c r="E348" s="81" t="s">
        <v>1053</v>
      </c>
      <c r="F348" s="81" t="s">
        <v>858</v>
      </c>
      <c r="G348" s="118"/>
      <c r="H348" s="81"/>
    </row>
    <row r="349" spans="1:8" x14ac:dyDescent="0.25">
      <c r="A349" s="81" t="s">
        <v>825</v>
      </c>
      <c r="B349" s="81" t="s">
        <v>815</v>
      </c>
      <c r="C349" s="81" t="s">
        <v>1051</v>
      </c>
      <c r="D349" s="81" t="s">
        <v>1051</v>
      </c>
      <c r="E349" s="81" t="s">
        <v>1053</v>
      </c>
      <c r="F349" s="81" t="s">
        <v>858</v>
      </c>
      <c r="G349" s="118"/>
      <c r="H349" s="81"/>
    </row>
    <row r="350" spans="1:8" x14ac:dyDescent="0.25">
      <c r="A350" s="81" t="s">
        <v>816</v>
      </c>
      <c r="B350" s="81" t="s">
        <v>815</v>
      </c>
      <c r="C350" s="81" t="s">
        <v>1051</v>
      </c>
      <c r="D350" s="81" t="s">
        <v>1051</v>
      </c>
      <c r="E350" s="81" t="s">
        <v>1053</v>
      </c>
      <c r="F350" s="81" t="s">
        <v>858</v>
      </c>
      <c r="G350" s="118"/>
      <c r="H350" s="81"/>
    </row>
    <row r="351" spans="1:8" x14ac:dyDescent="0.25">
      <c r="A351" s="81" t="s">
        <v>17</v>
      </c>
      <c r="B351" s="81" t="s">
        <v>814</v>
      </c>
      <c r="C351" s="81" t="s">
        <v>14</v>
      </c>
      <c r="D351" s="81" t="s">
        <v>1051</v>
      </c>
      <c r="E351" s="81" t="s">
        <v>1053</v>
      </c>
      <c r="F351" s="81" t="s">
        <v>858</v>
      </c>
      <c r="G351" s="81"/>
      <c r="H351" s="81"/>
    </row>
    <row r="352" spans="1:8" x14ac:dyDescent="0.25">
      <c r="A352" s="81" t="s">
        <v>29</v>
      </c>
      <c r="B352" s="81" t="s">
        <v>814</v>
      </c>
      <c r="C352" s="81" t="s">
        <v>14</v>
      </c>
      <c r="D352" s="81" t="s">
        <v>1051</v>
      </c>
      <c r="E352" s="81" t="s">
        <v>1053</v>
      </c>
      <c r="F352" s="81" t="s">
        <v>858</v>
      </c>
      <c r="G352" s="81"/>
      <c r="H352" s="81"/>
    </row>
    <row r="353" spans="1:8" x14ac:dyDescent="0.25">
      <c r="A353" s="81" t="s">
        <v>22</v>
      </c>
      <c r="B353" s="81" t="s">
        <v>814</v>
      </c>
      <c r="C353" s="81" t="s">
        <v>14</v>
      </c>
      <c r="D353" s="81" t="s">
        <v>1051</v>
      </c>
      <c r="E353" s="81" t="s">
        <v>1053</v>
      </c>
      <c r="F353" s="81" t="s">
        <v>858</v>
      </c>
      <c r="G353" s="81"/>
      <c r="H353" s="81"/>
    </row>
    <row r="354" spans="1:8" x14ac:dyDescent="0.25">
      <c r="A354" s="81" t="s">
        <v>825</v>
      </c>
      <c r="B354" s="81" t="s">
        <v>814</v>
      </c>
      <c r="C354" s="81" t="s">
        <v>14</v>
      </c>
      <c r="D354" s="81" t="s">
        <v>1051</v>
      </c>
      <c r="E354" s="81" t="s">
        <v>1053</v>
      </c>
      <c r="F354" s="81" t="s">
        <v>858</v>
      </c>
      <c r="G354" s="81"/>
      <c r="H354" s="81"/>
    </row>
    <row r="355" spans="1:8" x14ac:dyDescent="0.25">
      <c r="A355" s="81" t="s">
        <v>816</v>
      </c>
      <c r="B355" s="81" t="s">
        <v>814</v>
      </c>
      <c r="C355" s="81" t="s">
        <v>14</v>
      </c>
      <c r="D355" s="81" t="s">
        <v>1051</v>
      </c>
      <c r="E355" s="81" t="s">
        <v>1053</v>
      </c>
      <c r="F355" s="81" t="s">
        <v>858</v>
      </c>
      <c r="G355" s="81"/>
      <c r="H355" s="81"/>
    </row>
    <row r="356" spans="1:8" x14ac:dyDescent="0.25">
      <c r="A356" s="81" t="s">
        <v>17</v>
      </c>
      <c r="B356" s="81" t="s">
        <v>815</v>
      </c>
      <c r="C356" s="81" t="s">
        <v>14</v>
      </c>
      <c r="D356" s="81" t="s">
        <v>1051</v>
      </c>
      <c r="E356" s="81" t="s">
        <v>1053</v>
      </c>
      <c r="F356" s="81" t="s">
        <v>858</v>
      </c>
      <c r="G356" s="118">
        <f t="array" ref="G356">AVERAGE(IF('Well Data-NK'!G96:G150={"MA"},IF('Well Data-NK'!K96:K150="NW",IF('Well Data-NK'!Q96:Q150&lt;=PERCENTILE(IF('Well Data-NK'!G96:G150={"MA"},IF('Well Data-NK'!K96:K150="NW",'Well Data-NK'!Q96:Q150)),0.25),'Well Data-NK'!Q96:Q150))))</f>
        <v>47.791666666664241</v>
      </c>
      <c r="H356" s="118" t="s">
        <v>980</v>
      </c>
    </row>
    <row r="357" spans="1:8" x14ac:dyDescent="0.25">
      <c r="A357" s="81" t="s">
        <v>29</v>
      </c>
      <c r="B357" s="81" t="s">
        <v>815</v>
      </c>
      <c r="C357" s="81" t="s">
        <v>14</v>
      </c>
      <c r="D357" s="81" t="s">
        <v>1051</v>
      </c>
      <c r="E357" s="81" t="s">
        <v>1053</v>
      </c>
      <c r="F357" s="81" t="s">
        <v>858</v>
      </c>
      <c r="G357" s="118">
        <f t="array" ref="G357">AVERAGE(IF('Well Data-NK'!G96:G150={"UB"},IF('Well Data-NK'!K96:K150="NW",IF('Well Data-NK'!Q96:Q150&lt;=PERCENTILE(IF('Well Data-NK'!G96:G150={"UB"},IF('Well Data-NK'!K96:K150="NW",'Well Data-NK'!Q96:Q150)),0.25),'Well Data-NK'!Q96:Q150))))</f>
        <v>45.395833333335759</v>
      </c>
      <c r="H357" s="118" t="s">
        <v>981</v>
      </c>
    </row>
    <row r="358" spans="1:8" x14ac:dyDescent="0.25">
      <c r="A358" s="81" t="s">
        <v>22</v>
      </c>
      <c r="B358" s="81" t="s">
        <v>815</v>
      </c>
      <c r="C358" s="81" t="s">
        <v>14</v>
      </c>
      <c r="D358" s="81" t="s">
        <v>1051</v>
      </c>
      <c r="E358" s="81" t="s">
        <v>1053</v>
      </c>
      <c r="F358" s="81" t="s">
        <v>858</v>
      </c>
      <c r="G358" s="118">
        <f t="array" ref="G358">AVERAGE(IF('Well Data-NK'!G96:G150={"LB"},IF('Well Data-NK'!K96:K150="NW",IF('Well Data-NK'!Q96:Q150&lt;=PERCENTILE(IF('Well Data-NK'!G96:G150={"LB"},IF('Well Data-NK'!K96:K150="NW",'Well Data-NK'!Q96:Q150)),0.25),'Well Data-NK'!Q96:Q150))))</f>
        <v>41.536291666667879</v>
      </c>
      <c r="H358" s="118" t="s">
        <v>982</v>
      </c>
    </row>
    <row r="359" spans="1:8" x14ac:dyDescent="0.25">
      <c r="A359" s="81" t="s">
        <v>825</v>
      </c>
      <c r="B359" s="81" t="s">
        <v>815</v>
      </c>
      <c r="C359" s="81" t="s">
        <v>14</v>
      </c>
      <c r="D359" s="81" t="s">
        <v>1051</v>
      </c>
      <c r="E359" s="81" t="s">
        <v>1053</v>
      </c>
      <c r="F359" s="81" t="s">
        <v>858</v>
      </c>
      <c r="G359" s="118">
        <f t="array" ref="G359">AVERAGE(IF('Well Data-NK'!G96:G150={"ZU","RT"},IF('Well Data-NK'!K96:K150="NW",IF('Well Data-NK'!Q96:Q150&lt;=PERCENTILE(IF('Well Data-NK'!G96:G150={"ZU","RT"},IF('Well Data-NK'!K96:K150="NW",'Well Data-NK'!Q96:Q150)),0.25),'Well Data-NK'!Q96:Q150))))</f>
        <v>62.6875</v>
      </c>
      <c r="H359" s="118" t="s">
        <v>983</v>
      </c>
    </row>
    <row r="360" spans="1:8" x14ac:dyDescent="0.25">
      <c r="A360" s="81" t="s">
        <v>816</v>
      </c>
      <c r="B360" s="81" t="s">
        <v>815</v>
      </c>
      <c r="C360" s="81" t="s">
        <v>14</v>
      </c>
      <c r="D360" s="81" t="s">
        <v>1051</v>
      </c>
      <c r="E360" s="81" t="s">
        <v>1053</v>
      </c>
      <c r="F360" s="81" t="s">
        <v>858</v>
      </c>
      <c r="G360" s="118">
        <f t="array" ref="G360">AVERAGE(IF('Well Data-NK'!G96:G150={"ZU","RT","LB","UB","MA"},IF('Well Data-NK'!K96:K150="NW",IF('Well Data-NK'!Q96:Q150&lt;=PERCENTILE(IF('Well Data-NK'!G96:G150={"ZU","RT","LB","UB","MA"},IF('Well Data-NK'!K96:K150="NW",'Well Data-NK'!Q96:Q150)),0.25),'Well Data-NK'!Q96:Q150))))</f>
        <v>43.124888888890503</v>
      </c>
      <c r="H360" s="118">
        <v>0</v>
      </c>
    </row>
    <row r="361" spans="1:8" x14ac:dyDescent="0.25">
      <c r="A361" s="81" t="s">
        <v>17</v>
      </c>
      <c r="B361" s="81" t="s">
        <v>814</v>
      </c>
      <c r="C361" s="81" t="s">
        <v>18</v>
      </c>
      <c r="D361" s="81" t="s">
        <v>1051</v>
      </c>
      <c r="E361" s="81" t="s">
        <v>1053</v>
      </c>
      <c r="F361" s="81" t="s">
        <v>858</v>
      </c>
      <c r="G361" s="81"/>
      <c r="H361" s="81"/>
    </row>
    <row r="362" spans="1:8" x14ac:dyDescent="0.25">
      <c r="A362" s="81" t="s">
        <v>29</v>
      </c>
      <c r="B362" s="81" t="s">
        <v>814</v>
      </c>
      <c r="C362" s="81" t="s">
        <v>18</v>
      </c>
      <c r="D362" s="81" t="s">
        <v>1051</v>
      </c>
      <c r="E362" s="81" t="s">
        <v>1053</v>
      </c>
      <c r="F362" s="81" t="s">
        <v>858</v>
      </c>
      <c r="G362" s="81"/>
      <c r="H362" s="81"/>
    </row>
    <row r="363" spans="1:8" x14ac:dyDescent="0.25">
      <c r="A363" s="81" t="s">
        <v>22</v>
      </c>
      <c r="B363" s="81" t="s">
        <v>814</v>
      </c>
      <c r="C363" s="81" t="s">
        <v>18</v>
      </c>
      <c r="D363" s="81" t="s">
        <v>1051</v>
      </c>
      <c r="E363" s="81" t="s">
        <v>1053</v>
      </c>
      <c r="F363" s="81" t="s">
        <v>858</v>
      </c>
      <c r="G363" s="81"/>
      <c r="H363" s="81"/>
    </row>
    <row r="364" spans="1:8" x14ac:dyDescent="0.25">
      <c r="A364" s="81" t="s">
        <v>825</v>
      </c>
      <c r="B364" s="81" t="s">
        <v>814</v>
      </c>
      <c r="C364" s="81" t="s">
        <v>18</v>
      </c>
      <c r="D364" s="81" t="s">
        <v>1051</v>
      </c>
      <c r="E364" s="81" t="s">
        <v>1053</v>
      </c>
      <c r="F364" s="81" t="s">
        <v>858</v>
      </c>
      <c r="G364" s="81"/>
      <c r="H364" s="81"/>
    </row>
    <row r="365" spans="1:8" x14ac:dyDescent="0.25">
      <c r="A365" s="81" t="s">
        <v>816</v>
      </c>
      <c r="B365" s="81" t="s">
        <v>814</v>
      </c>
      <c r="C365" s="81" t="s">
        <v>18</v>
      </c>
      <c r="D365" s="81" t="s">
        <v>1051</v>
      </c>
      <c r="E365" s="81" t="s">
        <v>1053</v>
      </c>
      <c r="F365" s="81" t="s">
        <v>858</v>
      </c>
      <c r="G365" s="81"/>
      <c r="H365" s="81"/>
    </row>
    <row r="366" spans="1:8" x14ac:dyDescent="0.25">
      <c r="A366" s="81" t="s">
        <v>17</v>
      </c>
      <c r="B366" s="81" t="s">
        <v>815</v>
      </c>
      <c r="C366" s="81" t="s">
        <v>18</v>
      </c>
      <c r="D366" s="81" t="s">
        <v>1051</v>
      </c>
      <c r="E366" s="81" t="s">
        <v>1053</v>
      </c>
      <c r="F366" s="81" t="s">
        <v>858</v>
      </c>
      <c r="G366" s="118">
        <f t="array" ref="G366">AVERAGE(IF('Well Data-NK'!G96:G150={"MA"},IF('Well Data-NK'!K96:K150="ST",IF('Well Data-NK'!Q96:Q150&lt;=PERCENTILE(IF('Well Data-NK'!G96:G150={"MA"},IF('Well Data-NK'!K96:K150="ST",'Well Data-NK'!Q96:Q150)),0.25),'Well Data-NK'!Q96:Q150))))</f>
        <v>27.321428476189777</v>
      </c>
      <c r="H366" s="118" t="s">
        <v>990</v>
      </c>
    </row>
    <row r="367" spans="1:8" x14ac:dyDescent="0.25">
      <c r="A367" s="81" t="s">
        <v>29</v>
      </c>
      <c r="B367" s="81" t="s">
        <v>815</v>
      </c>
      <c r="C367" s="81" t="s">
        <v>18</v>
      </c>
      <c r="D367" s="81" t="s">
        <v>1051</v>
      </c>
      <c r="E367" s="81" t="s">
        <v>1053</v>
      </c>
      <c r="F367" s="81" t="s">
        <v>858</v>
      </c>
      <c r="G367" s="118">
        <f t="array" ref="G367">AVERAGE(IF('Well Data-NK'!G96:G150={"UB"},IF('Well Data-NK'!K96:K150="ST",IF('Well Data-NK'!Q96:Q150&lt;=PERCENTILE(IF('Well Data-NK'!G96:G150={"UB"},IF('Well Data-NK'!K96:K150="ST",'Well Data-NK'!Q96:Q150)),0.25),'Well Data-NK'!Q96:Q150))))</f>
        <v>40.770829999999997</v>
      </c>
      <c r="H367" s="118" t="s">
        <v>991</v>
      </c>
    </row>
    <row r="368" spans="1:8" x14ac:dyDescent="0.25">
      <c r="A368" s="81" t="s">
        <v>22</v>
      </c>
      <c r="B368" s="81" t="s">
        <v>815</v>
      </c>
      <c r="C368" s="81" t="s">
        <v>18</v>
      </c>
      <c r="D368" s="81" t="s">
        <v>1051</v>
      </c>
      <c r="E368" s="81" t="s">
        <v>1053</v>
      </c>
      <c r="F368" s="81" t="s">
        <v>858</v>
      </c>
      <c r="G368" s="118" t="e">
        <f t="array" ref="G368">AVERAGE(IF('Well Data-NK'!G96:G150={"LB"},IF('Well Data-NK'!K96:K150="ST",IF('Well Data-NK'!Q96:Q150&lt;=PERCENTILE(IF('Well Data-NK'!G96:G150={"LB"},IF('Well Data-NK'!K96:K150="ST",'Well Data-NK'!Q96:Q150)),0.25),'Well Data-NK'!Q96:Q150,))))</f>
        <v>#DIV/0!</v>
      </c>
      <c r="H368" s="118" t="s">
        <v>992</v>
      </c>
    </row>
    <row r="369" spans="1:8" x14ac:dyDescent="0.25">
      <c r="A369" s="81" t="s">
        <v>825</v>
      </c>
      <c r="B369" s="81" t="s">
        <v>815</v>
      </c>
      <c r="C369" s="81" t="s">
        <v>18</v>
      </c>
      <c r="D369" s="81" t="s">
        <v>1051</v>
      </c>
      <c r="E369" s="81" t="s">
        <v>1053</v>
      </c>
      <c r="F369" s="81" t="s">
        <v>858</v>
      </c>
      <c r="G369" s="118">
        <f t="array" ref="G369">AVERAGE(IF('Well Data-NK'!G96:G150={"ZU","RT"},IF('Well Data-NK'!K96:K150="ST",IF('Well Data-NK'!Q96:Q150&lt;=PERCENTILE(IF('Well Data-NK'!G96:G150={"ZU","RT"},IF('Well Data-NK'!K96:K150="ST",'Well Data-NK'!Q96:Q150)),0.25),'Well Data-NK'!Q96:Q150))))</f>
        <v>36</v>
      </c>
      <c r="H369" s="118" t="s">
        <v>993</v>
      </c>
    </row>
    <row r="370" spans="1:8" x14ac:dyDescent="0.25">
      <c r="A370" s="81" t="s">
        <v>816</v>
      </c>
      <c r="B370" s="81" t="s">
        <v>815</v>
      </c>
      <c r="C370" s="81" t="s">
        <v>18</v>
      </c>
      <c r="D370" s="81" t="s">
        <v>1051</v>
      </c>
      <c r="E370" s="81" t="s">
        <v>1053</v>
      </c>
      <c r="F370" s="81" t="s">
        <v>858</v>
      </c>
      <c r="G370" s="118">
        <f t="array" ref="G370">AVERAGE(IF('Well Data-NK'!G96:G150={"ZU","RT","LB","UB","MA"},IF('Well Data-NK'!K96:K150="ST",IF('Well Data-NK'!Q96:Q150&lt;=PERCENTILE(IF('Well Data-NK'!G96:G150={"ZU","RT","LB","UB","MA"},IF('Well Data-NK'!K96:K150="ST",'Well Data-NK'!Q96:Q150)),0.25),'Well Data-NK'!Q96:Q150))))</f>
        <v>27.796874916666056</v>
      </c>
      <c r="H370" s="118" t="s">
        <v>994</v>
      </c>
    </row>
    <row r="371" spans="1:8" x14ac:dyDescent="0.25">
      <c r="A371" s="81" t="s">
        <v>17</v>
      </c>
      <c r="B371" s="81" t="s">
        <v>814</v>
      </c>
      <c r="C371" s="81" t="s">
        <v>14</v>
      </c>
      <c r="D371" s="81" t="s">
        <v>298</v>
      </c>
      <c r="E371" s="81" t="s">
        <v>1053</v>
      </c>
      <c r="F371" s="81" t="s">
        <v>858</v>
      </c>
      <c r="G371" s="81"/>
      <c r="H371" s="81"/>
    </row>
    <row r="372" spans="1:8" x14ac:dyDescent="0.25">
      <c r="A372" s="81" t="s">
        <v>29</v>
      </c>
      <c r="B372" s="81" t="s">
        <v>814</v>
      </c>
      <c r="C372" s="81" t="s">
        <v>14</v>
      </c>
      <c r="D372" s="81" t="s">
        <v>298</v>
      </c>
      <c r="E372" s="81" t="s">
        <v>1053</v>
      </c>
      <c r="F372" s="81" t="s">
        <v>858</v>
      </c>
      <c r="G372" s="81"/>
      <c r="H372" s="81"/>
    </row>
    <row r="373" spans="1:8" x14ac:dyDescent="0.25">
      <c r="A373" s="81" t="s">
        <v>22</v>
      </c>
      <c r="B373" s="81" t="s">
        <v>814</v>
      </c>
      <c r="C373" s="81" t="s">
        <v>14</v>
      </c>
      <c r="D373" s="81" t="s">
        <v>298</v>
      </c>
      <c r="E373" s="81" t="s">
        <v>1053</v>
      </c>
      <c r="F373" s="81" t="s">
        <v>858</v>
      </c>
      <c r="G373" s="81"/>
      <c r="H373" s="81"/>
    </row>
    <row r="374" spans="1:8" x14ac:dyDescent="0.25">
      <c r="A374" s="81" t="s">
        <v>825</v>
      </c>
      <c r="B374" s="81" t="s">
        <v>814</v>
      </c>
      <c r="C374" s="81" t="s">
        <v>14</v>
      </c>
      <c r="D374" s="81" t="s">
        <v>298</v>
      </c>
      <c r="E374" s="81" t="s">
        <v>1053</v>
      </c>
      <c r="F374" s="81" t="s">
        <v>858</v>
      </c>
      <c r="G374" s="81"/>
      <c r="H374" s="81"/>
    </row>
    <row r="375" spans="1:8" x14ac:dyDescent="0.25">
      <c r="A375" s="81" t="s">
        <v>816</v>
      </c>
      <c r="B375" s="81" t="s">
        <v>814</v>
      </c>
      <c r="C375" s="81" t="s">
        <v>14</v>
      </c>
      <c r="D375" s="81" t="s">
        <v>298</v>
      </c>
      <c r="E375" s="81" t="s">
        <v>1053</v>
      </c>
      <c r="F375" s="81" t="s">
        <v>858</v>
      </c>
      <c r="G375" s="81"/>
      <c r="H375" s="81"/>
    </row>
    <row r="376" spans="1:8" x14ac:dyDescent="0.25">
      <c r="A376" s="81" t="s">
        <v>17</v>
      </c>
      <c r="B376" s="81" t="s">
        <v>815</v>
      </c>
      <c r="C376" s="81" t="s">
        <v>14</v>
      </c>
      <c r="D376" s="81" t="s">
        <v>298</v>
      </c>
      <c r="E376" s="81" t="s">
        <v>1053</v>
      </c>
      <c r="F376" s="81" t="s">
        <v>858</v>
      </c>
      <c r="G376" s="99">
        <f t="array" ref="G376">AVERAGE(IF('Well Data-NK'!G96:G150={"MA"},IF('Well Data-NK'!K96:K150="NW",IF('Well Data-NK'!J96:J150="Prod",IF('Well Data-NK'!Q96:Q150&lt;=PERCENTILE(IF('Well Data-NK'!G96:G150={"MA"},IF('Well Data-NK'!K96:K150="NW",IF('Well Data-NK'!J96:J150="Prod",'Well Data-NK'!Q96:Q150))),0.25),'Well Data-NK'!Q96:Q150)))))</f>
        <v>47.791666666664241</v>
      </c>
      <c r="H376" s="99" t="s">
        <v>1000</v>
      </c>
    </row>
    <row r="377" spans="1:8" x14ac:dyDescent="0.25">
      <c r="A377" s="81" t="s">
        <v>29</v>
      </c>
      <c r="B377" s="81" t="s">
        <v>815</v>
      </c>
      <c r="C377" s="81" t="s">
        <v>14</v>
      </c>
      <c r="D377" s="81" t="s">
        <v>298</v>
      </c>
      <c r="E377" s="81" t="s">
        <v>1053</v>
      </c>
      <c r="F377" s="81" t="s">
        <v>858</v>
      </c>
      <c r="G377" s="99">
        <f t="array" ref="G377">AVERAGE(IF('Well Data-NK'!G96:G150={"UB"},IF('Well Data-NK'!K96:K150="NW",IF('Well Data-NK'!J96:J150="Prod",IF('Well Data-NK'!Q96:Q150&lt;=PERCENTILE(IF('Well Data-NK'!G96:G150={"UB"},IF('Well Data-NK'!K96:K150="NW",IF('Well Data-NK'!J96:J150="Prod",'Well Data-NK'!Q96:Q150))),0.25),'Well Data-NK'!Q96:Q150)))))</f>
        <v>45.395833333335759</v>
      </c>
      <c r="H377" s="99" t="s">
        <v>1001</v>
      </c>
    </row>
    <row r="378" spans="1:8" x14ac:dyDescent="0.25">
      <c r="A378" s="81" t="s">
        <v>22</v>
      </c>
      <c r="B378" s="81" t="s">
        <v>815</v>
      </c>
      <c r="C378" s="81" t="s">
        <v>14</v>
      </c>
      <c r="D378" s="81" t="s">
        <v>298</v>
      </c>
      <c r="E378" s="81" t="s">
        <v>1053</v>
      </c>
      <c r="F378" s="81" t="s">
        <v>858</v>
      </c>
      <c r="G378" s="99">
        <f t="array" ref="G378">AVERAGE(IF('Well Data-NK'!G96:G150={"LB"},IF('Well Data-NK'!K96:K150="NW",IF('Well Data-NK'!J96:J150="Prod",IF('Well Data-NK'!Q96:Q150&lt;=PERCENTILE(IF('Well Data-NK'!G96:G150={"LB"},IF('Well Data-NK'!K96:K150="NW",IF('Well Data-NK'!J96:J150="Prod",'Well Data-NK'!Q96:Q150))),0.25),'Well Data-NK'!Q96:Q150)))))</f>
        <v>41.536291666667879</v>
      </c>
      <c r="H378" s="99" t="s">
        <v>1002</v>
      </c>
    </row>
    <row r="379" spans="1:8" x14ac:dyDescent="0.25">
      <c r="A379" s="81" t="s">
        <v>825</v>
      </c>
      <c r="B379" s="81" t="s">
        <v>815</v>
      </c>
      <c r="C379" s="81" t="s">
        <v>14</v>
      </c>
      <c r="D379" s="81" t="s">
        <v>298</v>
      </c>
      <c r="E379" s="81" t="s">
        <v>1053</v>
      </c>
      <c r="F379" s="81" t="s">
        <v>858</v>
      </c>
      <c r="G379" s="99">
        <f t="array" ref="G379">AVERAGE(IF('Well Data-NK'!G96:G150={"ZU","RT"},IF('Well Data-NK'!K96:K150="NW",IF('Well Data-NK'!J96:J150="Prod",IF('Well Data-NK'!Q96:Q150&lt;=PERCENTILE(IF('Well Data-NK'!G96:G150={"ZU","RT"},IF('Well Data-NK'!K96:K150="NW",IF('Well Data-NK'!J96:J150="Prod",'Well Data-NK'!Q96:Q150))),0.25),'Well Data-NK'!Q96:Q150)))))</f>
        <v>62.6875</v>
      </c>
      <c r="H379" s="99" t="s">
        <v>1003</v>
      </c>
    </row>
    <row r="380" spans="1:8" x14ac:dyDescent="0.25">
      <c r="A380" s="81" t="s">
        <v>816</v>
      </c>
      <c r="B380" s="81" t="s">
        <v>815</v>
      </c>
      <c r="C380" s="81" t="s">
        <v>14</v>
      </c>
      <c r="D380" s="81" t="s">
        <v>298</v>
      </c>
      <c r="E380" s="81" t="s">
        <v>1053</v>
      </c>
      <c r="F380" s="81" t="s">
        <v>858</v>
      </c>
      <c r="G380" s="99">
        <f t="array" ref="G380">AVERAGE(IF('Well Data-NK'!G96:G150={"ZU","RT","LB","UB","MA"},IF('Well Data-NK'!K96:K150="NW",IF('Well Data-NK'!J96:J150="Prod",IF('Well Data-NK'!Q96:Q150&lt;=PERCENTILE(IF('Well Data-NK'!G96:G150={"ZU","RT","LB","UB","MA"},IF('Well Data-NK'!K96:K150="NW",IF('Well Data-NK'!J96:J150="Prod",'Well Data-NK'!Q96:Q150))),0.25),'Well Data-NK'!Q96:Q150)))))</f>
        <v>43.124888888890503</v>
      </c>
      <c r="H380" s="99" t="s">
        <v>1004</v>
      </c>
    </row>
    <row r="381" spans="1:8" x14ac:dyDescent="0.25">
      <c r="A381" s="81" t="s">
        <v>17</v>
      </c>
      <c r="B381" s="81" t="s">
        <v>814</v>
      </c>
      <c r="C381" s="81" t="s">
        <v>18</v>
      </c>
      <c r="D381" s="81" t="s">
        <v>298</v>
      </c>
      <c r="E381" s="81" t="s">
        <v>1053</v>
      </c>
      <c r="F381" s="81" t="s">
        <v>858</v>
      </c>
      <c r="G381" s="81"/>
      <c r="H381" s="81"/>
    </row>
    <row r="382" spans="1:8" x14ac:dyDescent="0.25">
      <c r="A382" s="81" t="s">
        <v>29</v>
      </c>
      <c r="B382" s="81" t="s">
        <v>814</v>
      </c>
      <c r="C382" s="81" t="s">
        <v>18</v>
      </c>
      <c r="D382" s="81" t="s">
        <v>298</v>
      </c>
      <c r="E382" s="81" t="s">
        <v>1053</v>
      </c>
      <c r="F382" s="81" t="s">
        <v>858</v>
      </c>
      <c r="G382" s="81"/>
      <c r="H382" s="81"/>
    </row>
    <row r="383" spans="1:8" x14ac:dyDescent="0.25">
      <c r="A383" s="81" t="s">
        <v>22</v>
      </c>
      <c r="B383" s="81" t="s">
        <v>814</v>
      </c>
      <c r="C383" s="81" t="s">
        <v>18</v>
      </c>
      <c r="D383" s="81" t="s">
        <v>298</v>
      </c>
      <c r="E383" s="81" t="s">
        <v>1053</v>
      </c>
      <c r="F383" s="81" t="s">
        <v>858</v>
      </c>
      <c r="G383" s="81"/>
      <c r="H383" s="81"/>
    </row>
    <row r="384" spans="1:8" x14ac:dyDescent="0.25">
      <c r="A384" s="81" t="s">
        <v>825</v>
      </c>
      <c r="B384" s="81" t="s">
        <v>814</v>
      </c>
      <c r="C384" s="81" t="s">
        <v>18</v>
      </c>
      <c r="D384" s="81" t="s">
        <v>298</v>
      </c>
      <c r="E384" s="81" t="s">
        <v>1053</v>
      </c>
      <c r="F384" s="81" t="s">
        <v>858</v>
      </c>
      <c r="G384" s="81"/>
      <c r="H384" s="81"/>
    </row>
    <row r="385" spans="1:8" x14ac:dyDescent="0.25">
      <c r="A385" s="81" t="s">
        <v>816</v>
      </c>
      <c r="B385" s="81" t="s">
        <v>814</v>
      </c>
      <c r="C385" s="81" t="s">
        <v>18</v>
      </c>
      <c r="D385" s="81" t="s">
        <v>298</v>
      </c>
      <c r="E385" s="81" t="s">
        <v>1053</v>
      </c>
      <c r="F385" s="81" t="s">
        <v>858</v>
      </c>
      <c r="G385" s="81"/>
      <c r="H385" s="81"/>
    </row>
    <row r="386" spans="1:8" x14ac:dyDescent="0.25">
      <c r="A386" s="81" t="s">
        <v>17</v>
      </c>
      <c r="B386" s="81" t="s">
        <v>815</v>
      </c>
      <c r="C386" s="81" t="s">
        <v>18</v>
      </c>
      <c r="D386" s="81" t="s">
        <v>298</v>
      </c>
      <c r="E386" s="81" t="s">
        <v>1053</v>
      </c>
      <c r="F386" s="81" t="s">
        <v>858</v>
      </c>
      <c r="G386" s="99">
        <f t="array" ref="G386">AVERAGE(IF('Well Data-NK'!G96:G150={"MA"},IF('Well Data-NK'!K96:K150="ST",IF('Well Data-NK'!J96:J150="Prod",IF('Well Data-NK'!Q96:Q150&lt;=PERCENTILE(IF('Well Data-NK'!G96:G150={"MA"},IF('Well Data-NK'!K96:K150="ST",IF('Well Data-NK'!J96:J150="Prod",'Well Data-NK'!Q96:Q150))),0.25),'Well Data-NK'!Q96:Q150)))))</f>
        <v>41.770833333332121</v>
      </c>
      <c r="H386" s="99" t="s">
        <v>1020</v>
      </c>
    </row>
    <row r="387" spans="1:8" x14ac:dyDescent="0.25">
      <c r="A387" s="81" t="s">
        <v>29</v>
      </c>
      <c r="B387" s="81" t="s">
        <v>815</v>
      </c>
      <c r="C387" s="81" t="s">
        <v>18</v>
      </c>
      <c r="D387" s="81" t="s">
        <v>298</v>
      </c>
      <c r="E387" s="81" t="s">
        <v>1053</v>
      </c>
      <c r="F387" s="81" t="s">
        <v>858</v>
      </c>
      <c r="G387" s="99">
        <f t="array" ref="G387">AVERAGE(IF('Well Data-NK'!G96:G150={"UB"},IF('Well Data-NK'!K96:K150="ST",IF('Well Data-NK'!J96:J150="Prod",IF('Well Data-NK'!Q96:Q150&lt;=PERCENTILE(IF('Well Data-NK'!G96:G150={"UB"},IF('Well Data-NK'!K96:K150="ST",IF('Well Data-NK'!J96:J150="Prod",'Well Data-NK'!Q96:Q150))),0.25),'Well Data-NK'!Q96:Q150)))))</f>
        <v>40.770829999999997</v>
      </c>
      <c r="H387" s="99" t="s">
        <v>1021</v>
      </c>
    </row>
    <row r="388" spans="1:8" x14ac:dyDescent="0.25">
      <c r="A388" s="81" t="s">
        <v>22</v>
      </c>
      <c r="B388" s="81" t="s">
        <v>815</v>
      </c>
      <c r="C388" s="81" t="s">
        <v>18</v>
      </c>
      <c r="D388" s="81" t="s">
        <v>298</v>
      </c>
      <c r="E388" s="81" t="s">
        <v>1053</v>
      </c>
      <c r="F388" s="81" t="s">
        <v>858</v>
      </c>
      <c r="G388" s="99" t="e">
        <f t="array" ref="G388">AVERAGE(IF('Well Data-NK'!G96:G150={"LB"},IF('Well Data-NK'!K96:K150="ST",IF('Well Data-NK'!J96:J150="Prod",IF('Well Data-NK'!Q96:Q150&lt;=PERCENTILE(IF('Well Data-NK'!G96:G150={"LB"},IF('Well Data-NK'!K96:K150="ST",IF('Well Data-NK'!J96:J150="Prod",'Well Data-NK'!Q96:Q150))),0.25),'Well Data-NK'!Q96:Q150)))))</f>
        <v>#DIV/0!</v>
      </c>
      <c r="H388" s="99" t="s">
        <v>1022</v>
      </c>
    </row>
    <row r="389" spans="1:8" x14ac:dyDescent="0.25">
      <c r="A389" s="81" t="s">
        <v>825</v>
      </c>
      <c r="B389" s="81" t="s">
        <v>815</v>
      </c>
      <c r="C389" s="81" t="s">
        <v>18</v>
      </c>
      <c r="D389" s="81" t="s">
        <v>298</v>
      </c>
      <c r="E389" s="81" t="s">
        <v>1053</v>
      </c>
      <c r="F389" s="81" t="s">
        <v>858</v>
      </c>
      <c r="G389" s="99">
        <f t="array" ref="G389">AVERAGE(IF('Well Data-NK'!G96:G150={"ZU","RT"},IF('Well Data-NK'!K96:K150="ST",IF('Well Data-NK'!J96:J150="Prod",IF('Well Data-NK'!Q96:Q150&lt;=PERCENTILE(IF('Well Data-NK'!G96:G150={"ZU","RT"},IF('Well Data-NK'!K96:K150="ST",IF('Well Data-NK'!J96:J150="Prod",'Well Data-NK'!Q96:Q150))),0.25),'Well Data-NK'!Q96:Q150)))))</f>
        <v>36.875</v>
      </c>
      <c r="H389" s="99" t="s">
        <v>1023</v>
      </c>
    </row>
    <row r="390" spans="1:8" x14ac:dyDescent="0.25">
      <c r="A390" s="81" t="s">
        <v>816</v>
      </c>
      <c r="B390" s="81" t="s">
        <v>815</v>
      </c>
      <c r="C390" s="81" t="s">
        <v>18</v>
      </c>
      <c r="D390" s="81" t="s">
        <v>298</v>
      </c>
      <c r="E390" s="81" t="s">
        <v>1053</v>
      </c>
      <c r="F390" s="81" t="s">
        <v>858</v>
      </c>
      <c r="G390" s="99">
        <f t="array" ref="G390">AVERAGE(IF('Well Data-NK'!G96:G150={"ZU","RT","LB","UB","MA"},IF('Well Data-NK'!K96:K150="ST",IF('Well Data-NK'!J96:J150="Prod",IF('Well Data-NK'!Q96:Q150&lt;=PERCENTILE(IF('Well Data-NK'!G96:G150={"ZU","RT","LB","UB","MA"},IF('Well Data-NK'!K96:K150="ST",IF('Well Data-NK'!J96:J150="Prod",'Well Data-NK'!Q96:Q150))),0.25),'Well Data-NK'!Q96:Q150)))))</f>
        <v>39.493054444445249</v>
      </c>
      <c r="H390" s="99" t="s">
        <v>1024</v>
      </c>
    </row>
    <row r="391" spans="1:8" x14ac:dyDescent="0.25">
      <c r="A391" s="81" t="s">
        <v>17</v>
      </c>
      <c r="B391" s="81" t="s">
        <v>814</v>
      </c>
      <c r="C391" s="81" t="s">
        <v>14</v>
      </c>
      <c r="D391" s="81" t="s">
        <v>34</v>
      </c>
      <c r="E391" s="81" t="s">
        <v>1053</v>
      </c>
      <c r="F391" s="81" t="s">
        <v>858</v>
      </c>
      <c r="G391" s="81"/>
      <c r="H391" s="81"/>
    </row>
    <row r="392" spans="1:8" x14ac:dyDescent="0.25">
      <c r="A392" s="81" t="s">
        <v>29</v>
      </c>
      <c r="B392" s="81" t="s">
        <v>814</v>
      </c>
      <c r="C392" s="81" t="s">
        <v>14</v>
      </c>
      <c r="D392" s="81" t="s">
        <v>34</v>
      </c>
      <c r="E392" s="81" t="s">
        <v>1053</v>
      </c>
      <c r="F392" s="81" t="s">
        <v>858</v>
      </c>
      <c r="G392" s="81"/>
      <c r="H392" s="81"/>
    </row>
    <row r="393" spans="1:8" x14ac:dyDescent="0.25">
      <c r="A393" s="81" t="s">
        <v>22</v>
      </c>
      <c r="B393" s="81" t="s">
        <v>814</v>
      </c>
      <c r="C393" s="81" t="s">
        <v>14</v>
      </c>
      <c r="D393" s="81" t="s">
        <v>34</v>
      </c>
      <c r="E393" s="81" t="s">
        <v>1053</v>
      </c>
      <c r="F393" s="81" t="s">
        <v>858</v>
      </c>
      <c r="G393" s="81"/>
      <c r="H393" s="81"/>
    </row>
    <row r="394" spans="1:8" x14ac:dyDescent="0.25">
      <c r="A394" s="81" t="s">
        <v>825</v>
      </c>
      <c r="B394" s="81" t="s">
        <v>814</v>
      </c>
      <c r="C394" s="81" t="s">
        <v>14</v>
      </c>
      <c r="D394" s="81" t="s">
        <v>34</v>
      </c>
      <c r="E394" s="81" t="s">
        <v>1053</v>
      </c>
      <c r="F394" s="81" t="s">
        <v>858</v>
      </c>
      <c r="G394" s="81"/>
      <c r="H394" s="81"/>
    </row>
    <row r="395" spans="1:8" x14ac:dyDescent="0.25">
      <c r="A395" s="81" t="s">
        <v>816</v>
      </c>
      <c r="B395" s="81" t="s">
        <v>814</v>
      </c>
      <c r="C395" s="81" t="s">
        <v>14</v>
      </c>
      <c r="D395" s="81" t="s">
        <v>34</v>
      </c>
      <c r="E395" s="81" t="s">
        <v>1053</v>
      </c>
      <c r="F395" s="81" t="s">
        <v>858</v>
      </c>
      <c r="G395" s="81"/>
      <c r="H395" s="81"/>
    </row>
    <row r="396" spans="1:8" x14ac:dyDescent="0.25">
      <c r="A396" s="81" t="s">
        <v>17</v>
      </c>
      <c r="B396" s="81" t="s">
        <v>815</v>
      </c>
      <c r="C396" s="81" t="s">
        <v>14</v>
      </c>
      <c r="D396" s="81" t="s">
        <v>34</v>
      </c>
      <c r="E396" s="81" t="s">
        <v>1053</v>
      </c>
      <c r="F396" s="81" t="s">
        <v>858</v>
      </c>
      <c r="G396" s="99" t="e">
        <f t="array" ref="G396">AVERAGE(IF('Well Data-NK'!G96:G150={"MA"},IF('Well Data-NK'!K96:K150="NW",IF('Well Data-NK'!J96:J150="Inj",IF('Well Data-NK'!Q96:Q150&lt;=PERCENTILE(IF('Well Data-NK'!G96:G150={"MA"},IF('Well Data-NK'!K96:K150="NW",IF('Well Data-NK'!J96:J150="Inj",'Well Data-NK'!Q96:Q150))),0.25),'Well Data-NK'!Q96:Q150)))))</f>
        <v>#DIV/0!</v>
      </c>
      <c r="H396" s="99" t="s">
        <v>1010</v>
      </c>
    </row>
    <row r="397" spans="1:8" x14ac:dyDescent="0.25">
      <c r="A397" s="81" t="s">
        <v>29</v>
      </c>
      <c r="B397" s="81" t="s">
        <v>815</v>
      </c>
      <c r="C397" s="81" t="s">
        <v>14</v>
      </c>
      <c r="D397" s="81" t="s">
        <v>34</v>
      </c>
      <c r="E397" s="81" t="s">
        <v>1053</v>
      </c>
      <c r="F397" s="81" t="s">
        <v>858</v>
      </c>
      <c r="G397" s="99" t="e">
        <f t="array" ref="G397">AVERAGE(IF('Well Data-NK'!G96:G150={"UB"},IF('Well Data-NK'!K96:K150="NW",IF('Well Data-NK'!J96:J150="Inj",IF('Well Data-NK'!Q96:Q150&lt;=PERCENTILE(IF('Well Data-NK'!G96:G150={"UB"},IF('Well Data-NK'!K96:K150="NW",IF('Well Data-NK'!J96:J150="Inj",'Well Data-NK'!Q96:Q150))),0.25),'Well Data-NK'!Q96:Q150)))))</f>
        <v>#DIV/0!</v>
      </c>
      <c r="H397" s="99" t="s">
        <v>1011</v>
      </c>
    </row>
    <row r="398" spans="1:8" x14ac:dyDescent="0.25">
      <c r="A398" s="81" t="s">
        <v>22</v>
      </c>
      <c r="B398" s="81" t="s">
        <v>815</v>
      </c>
      <c r="C398" s="81" t="s">
        <v>14</v>
      </c>
      <c r="D398" s="81" t="s">
        <v>34</v>
      </c>
      <c r="E398" s="81" t="s">
        <v>1053</v>
      </c>
      <c r="F398" s="81" t="s">
        <v>858</v>
      </c>
      <c r="G398" s="99" t="e">
        <f t="array" ref="G398">AVERAGE(IF('Well Data-NK'!G96:G150={"LB"},IF('Well Data-NK'!K96:K150="NW",IF('Well Data-NK'!J96:J150="Inj",IF('Well Data-NK'!Q96:Q150&lt;=PERCENTILE(IF('Well Data-NK'!G96:G150={"LB"},IF('Well Data-NK'!K96:K150="NW",IF('Well Data-NK'!J96:J150="Inj",'Well Data-NK'!Q96:Q150))),0.25),'Well Data-NK'!Q96:Q150)))))</f>
        <v>#DIV/0!</v>
      </c>
      <c r="H398" s="99" t="s">
        <v>1012</v>
      </c>
    </row>
    <row r="399" spans="1:8" x14ac:dyDescent="0.25">
      <c r="A399" s="81" t="s">
        <v>825</v>
      </c>
      <c r="B399" s="81" t="s">
        <v>815</v>
      </c>
      <c r="C399" s="81" t="s">
        <v>14</v>
      </c>
      <c r="D399" s="81" t="s">
        <v>34</v>
      </c>
      <c r="E399" s="81" t="s">
        <v>1053</v>
      </c>
      <c r="F399" s="81" t="s">
        <v>858</v>
      </c>
      <c r="G399" s="99" t="e">
        <f t="array" ref="G399">AVERAGE(IF('Well Data-NK'!G96:G150={"ZU","RT"},IF('Well Data-NK'!K96:K150="NW",IF('Well Data-NK'!J96:J150="Inj",IF('Well Data-NK'!Q96:Q150&lt;=PERCENTILE(IF('Well Data-NK'!G96:G150={"ZU","RT"},IF('Well Data-NK'!K96:K150="NW",IF('Well Data-NK'!J96:J150="Inj",'Well Data-NK'!Q96:Q150))),0.25),'Well Data-NK'!Q96:Q150)))))</f>
        <v>#DIV/0!</v>
      </c>
      <c r="H399" s="99" t="s">
        <v>1013</v>
      </c>
    </row>
    <row r="400" spans="1:8" x14ac:dyDescent="0.25">
      <c r="A400" s="81" t="s">
        <v>816</v>
      </c>
      <c r="B400" s="81" t="s">
        <v>815</v>
      </c>
      <c r="C400" s="81" t="s">
        <v>14</v>
      </c>
      <c r="D400" s="81" t="s">
        <v>34</v>
      </c>
      <c r="E400" s="81" t="s">
        <v>1053</v>
      </c>
      <c r="F400" s="81" t="s">
        <v>858</v>
      </c>
      <c r="G400" s="99" t="e">
        <f t="array" ref="G400">AVERAGE(IF('Well Data-NK'!G96:G150={"ZU","RT","LB","UB","MA"},IF('Well Data-NK'!K96:K150="NW",IF('Well Data-NK'!J96:J150="Inj",IF('Well Data-NK'!Q96:Q150&lt;=PERCENTILE(IF('Well Data-NK'!G96:G150={"ZU","RT","LB","UB","MA"},IF('Well Data-NK'!K96:K150="NW",IF('Well Data-NK'!J96:J150="Inj",'Well Data-NK'!Q96:Q150))),0.25),'Well Data-NK'!Q96:Q150)))))</f>
        <v>#DIV/0!</v>
      </c>
      <c r="H400" s="99" t="s">
        <v>1014</v>
      </c>
    </row>
    <row r="401" spans="1:8" x14ac:dyDescent="0.25">
      <c r="A401" s="81" t="s">
        <v>17</v>
      </c>
      <c r="B401" s="81" t="s">
        <v>814</v>
      </c>
      <c r="C401" s="81" t="s">
        <v>18</v>
      </c>
      <c r="D401" s="81" t="s">
        <v>34</v>
      </c>
      <c r="E401" s="81" t="s">
        <v>1053</v>
      </c>
      <c r="F401" s="81" t="s">
        <v>858</v>
      </c>
      <c r="G401" s="81"/>
      <c r="H401" s="81"/>
    </row>
    <row r="402" spans="1:8" x14ac:dyDescent="0.25">
      <c r="A402" s="81" t="s">
        <v>29</v>
      </c>
      <c r="B402" s="81" t="s">
        <v>814</v>
      </c>
      <c r="C402" s="81" t="s">
        <v>18</v>
      </c>
      <c r="D402" s="81" t="s">
        <v>34</v>
      </c>
      <c r="E402" s="81" t="s">
        <v>1053</v>
      </c>
      <c r="F402" s="81" t="s">
        <v>858</v>
      </c>
      <c r="G402" s="81"/>
      <c r="H402" s="81"/>
    </row>
    <row r="403" spans="1:8" x14ac:dyDescent="0.25">
      <c r="A403" s="81" t="s">
        <v>22</v>
      </c>
      <c r="B403" s="81" t="s">
        <v>814</v>
      </c>
      <c r="C403" s="81" t="s">
        <v>18</v>
      </c>
      <c r="D403" s="81" t="s">
        <v>34</v>
      </c>
      <c r="E403" s="81" t="s">
        <v>1053</v>
      </c>
      <c r="F403" s="81" t="s">
        <v>858</v>
      </c>
      <c r="G403" s="81"/>
      <c r="H403" s="81"/>
    </row>
    <row r="404" spans="1:8" x14ac:dyDescent="0.25">
      <c r="A404" s="81" t="s">
        <v>825</v>
      </c>
      <c r="B404" s="81" t="s">
        <v>814</v>
      </c>
      <c r="C404" s="81" t="s">
        <v>18</v>
      </c>
      <c r="D404" s="81" t="s">
        <v>34</v>
      </c>
      <c r="E404" s="81" t="s">
        <v>1053</v>
      </c>
      <c r="F404" s="81" t="s">
        <v>858</v>
      </c>
      <c r="G404" s="81"/>
      <c r="H404" s="81"/>
    </row>
    <row r="405" spans="1:8" x14ac:dyDescent="0.25">
      <c r="A405" s="81" t="s">
        <v>816</v>
      </c>
      <c r="B405" s="81" t="s">
        <v>814</v>
      </c>
      <c r="C405" s="81" t="s">
        <v>18</v>
      </c>
      <c r="D405" s="81" t="s">
        <v>34</v>
      </c>
      <c r="E405" s="81" t="s">
        <v>1053</v>
      </c>
      <c r="F405" s="81" t="s">
        <v>858</v>
      </c>
      <c r="G405" s="81"/>
      <c r="H405" s="81"/>
    </row>
    <row r="406" spans="1:8" x14ac:dyDescent="0.25">
      <c r="A406" s="81" t="s">
        <v>17</v>
      </c>
      <c r="B406" s="81" t="s">
        <v>815</v>
      </c>
      <c r="C406" s="81" t="s">
        <v>18</v>
      </c>
      <c r="D406" s="81" t="s">
        <v>34</v>
      </c>
      <c r="E406" s="81" t="s">
        <v>1053</v>
      </c>
      <c r="F406" s="81" t="s">
        <v>858</v>
      </c>
      <c r="G406" s="99">
        <f t="array" ref="G406">AVERAGE(IF('Well Data-NK'!G96:G150={"MA"},IF('Well Data-NK'!K96:K150="ST",IF('Well Data-NK'!J96:J150="Inj",IF('Well Data-NK'!Q96:Q150&lt;=PERCENTILE(IF('Well Data-NK'!G96:G150={"MA"},IF('Well Data-NK'!K96:K150="ST",IF('Well Data-NK'!J96:J150="Inj",'Well Data-NK'!Q96:Q150))),0.25),'Well Data-NK'!Q96:Q150)))))</f>
        <v>26.054166533332847</v>
      </c>
      <c r="H406" s="99" t="s">
        <v>1030</v>
      </c>
    </row>
    <row r="407" spans="1:8" x14ac:dyDescent="0.25">
      <c r="A407" s="81" t="s">
        <v>29</v>
      </c>
      <c r="B407" s="81" t="s">
        <v>815</v>
      </c>
      <c r="C407" s="81" t="s">
        <v>18</v>
      </c>
      <c r="D407" s="81" t="s">
        <v>34</v>
      </c>
      <c r="E407" s="81" t="s">
        <v>1053</v>
      </c>
      <c r="F407" s="81" t="s">
        <v>858</v>
      </c>
      <c r="G407" s="99" t="e">
        <f t="array" ref="G407">AVERAGE(IF('Well Data-NK'!G96:G150={"UB"},IF('Well Data-NK'!K96:K150="ST",IF('Well Data-NK'!J96:J150="Inj",IF('Well Data-NK'!Q96:Q150&lt;=PERCENTILE(IF('Well Data-NK'!G96:G150={"UB"},IF('Well Data-NK'!K96:K150="ST",IF('Well Data-NK'!J96:J150="Inj",'Well Data-NK'!Q96:Q150))),0.25),'Well Data-NK'!Q96:Q150)))))</f>
        <v>#DIV/0!</v>
      </c>
      <c r="H407" s="99" t="s">
        <v>1031</v>
      </c>
    </row>
    <row r="408" spans="1:8" x14ac:dyDescent="0.25">
      <c r="A408" s="81" t="s">
        <v>22</v>
      </c>
      <c r="B408" s="81" t="s">
        <v>815</v>
      </c>
      <c r="C408" s="81" t="s">
        <v>18</v>
      </c>
      <c r="D408" s="81" t="s">
        <v>34</v>
      </c>
      <c r="E408" s="81" t="s">
        <v>1053</v>
      </c>
      <c r="F408" s="81" t="s">
        <v>858</v>
      </c>
      <c r="G408" s="99" t="e">
        <f t="array" ref="G408">AVERAGE(IF('Well Data-NK'!G96:G150={"LB"},IF('Well Data-NK'!K96:K150="ST",IF('Well Data-NK'!J96:J150="Inj",IF('Well Data-NK'!Q96:Q150&lt;=PERCENTILE(IF('Well Data-NK'!G96:G150={"LB"},IF('Well Data-NK'!K96:K150="ST",IF('Well Data-NK'!J96:J150="Inj",'Well Data-NK'!Q96:Q150))),0.25),'Well Data-NK'!Q96:Q150)))))</f>
        <v>#DIV/0!</v>
      </c>
      <c r="H408" s="99" t="s">
        <v>1032</v>
      </c>
    </row>
    <row r="409" spans="1:8" x14ac:dyDescent="0.25">
      <c r="A409" s="81" t="s">
        <v>825</v>
      </c>
      <c r="B409" s="81" t="s">
        <v>815</v>
      </c>
      <c r="C409" s="81" t="s">
        <v>18</v>
      </c>
      <c r="D409" s="81" t="s">
        <v>34</v>
      </c>
      <c r="E409" s="81" t="s">
        <v>1053</v>
      </c>
      <c r="F409" s="81" t="s">
        <v>858</v>
      </c>
      <c r="G409" s="99">
        <f t="array" ref="G409">AVERAGE(IF('Well Data-NK'!G96:G150={"ZU","RT"},IF('Well Data-NK'!K96:K150="ST",IF('Well Data-NK'!J96:J150="Inj",IF('Well Data-NK'!Q96:Q150&lt;=PERCENTILE(IF('Well Data-NK'!G96:G150={"ZU","RT"},IF('Well Data-NK'!K96:K150="ST",IF('Well Data-NK'!J96:J150="Inj",'Well Data-NK'!Q96:Q150))),0.25),'Well Data-NK'!Q96:Q150)))))</f>
        <v>36</v>
      </c>
      <c r="H409" s="99" t="s">
        <v>1033</v>
      </c>
    </row>
    <row r="410" spans="1:8" x14ac:dyDescent="0.25">
      <c r="A410" s="81" t="s">
        <v>816</v>
      </c>
      <c r="B410" s="81" t="s">
        <v>815</v>
      </c>
      <c r="C410" s="81" t="s">
        <v>18</v>
      </c>
      <c r="D410" s="81" t="s">
        <v>34</v>
      </c>
      <c r="E410" s="81" t="s">
        <v>1053</v>
      </c>
      <c r="F410" s="81" t="s">
        <v>858</v>
      </c>
      <c r="G410" s="99">
        <f t="array" ref="G410">AVERAGE(IF('Well Data-NK'!G96:G150={"ZU","RT","LB","UB","MA"},IF('Well Data-NK'!K96:K150="ST",IF('Well Data-NK'!J96:J150="Inj",IF('Well Data-NK'!Q96:Q150&lt;=PERCENTILE(IF('Well Data-NK'!G96:G150={"ZU","RT","LB","UB","MA"},IF('Well Data-NK'!K96:K150="ST",IF('Well Data-NK'!J96:J150="Inj",'Well Data-NK'!Q96:Q150))),0.25),'Well Data-NK'!Q96:Q150)))))</f>
        <v>26.743055444444039</v>
      </c>
      <c r="H410" s="99" t="s">
        <v>1034</v>
      </c>
    </row>
  </sheetData>
  <autoFilter ref="A270:H270"/>
  <mergeCells count="75">
    <mergeCell ref="N65:Y65"/>
    <mergeCell ref="R66:Y66"/>
    <mergeCell ref="F73:R73"/>
    <mergeCell ref="G66:Q66"/>
    <mergeCell ref="F256:AK256"/>
    <mergeCell ref="G234:R234"/>
    <mergeCell ref="G235:J235"/>
    <mergeCell ref="K235:R235"/>
    <mergeCell ref="G242:R242"/>
    <mergeCell ref="G243:J243"/>
    <mergeCell ref="K243:R243"/>
    <mergeCell ref="N225:Y225"/>
    <mergeCell ref="G226:M226"/>
    <mergeCell ref="N226:Q226"/>
    <mergeCell ref="R226:Y226"/>
    <mergeCell ref="F233:R233"/>
    <mergeCell ref="N257:AK257"/>
    <mergeCell ref="N258:Y258"/>
    <mergeCell ref="Z258:AK258"/>
    <mergeCell ref="G259:M259"/>
    <mergeCell ref="N259:Q259"/>
    <mergeCell ref="R259:Y259"/>
    <mergeCell ref="Z259:AC259"/>
    <mergeCell ref="AD259:AK259"/>
    <mergeCell ref="G44:J44"/>
    <mergeCell ref="K44:R44"/>
    <mergeCell ref="G51:R51"/>
    <mergeCell ref="G52:J52"/>
    <mergeCell ref="K52:R52"/>
    <mergeCell ref="F156:AK156"/>
    <mergeCell ref="N157:AK157"/>
    <mergeCell ref="N158:Y158"/>
    <mergeCell ref="Z158:AK158"/>
    <mergeCell ref="G159:M159"/>
    <mergeCell ref="N159:Q159"/>
    <mergeCell ref="R159:Y159"/>
    <mergeCell ref="Z159:AC159"/>
    <mergeCell ref="AD159:AK159"/>
    <mergeCell ref="G134:R134"/>
    <mergeCell ref="G135:J135"/>
    <mergeCell ref="K135:R135"/>
    <mergeCell ref="G142:R142"/>
    <mergeCell ref="G143:J143"/>
    <mergeCell ref="K143:R143"/>
    <mergeCell ref="N125:Y125"/>
    <mergeCell ref="G126:M126"/>
    <mergeCell ref="N126:Q126"/>
    <mergeCell ref="R126:Y126"/>
    <mergeCell ref="F133:R133"/>
    <mergeCell ref="G74:R74"/>
    <mergeCell ref="G75:J75"/>
    <mergeCell ref="K75:R75"/>
    <mergeCell ref="G82:R82"/>
    <mergeCell ref="G83:J83"/>
    <mergeCell ref="K83:R83"/>
    <mergeCell ref="J1:L1"/>
    <mergeCell ref="N1:P1"/>
    <mergeCell ref="N34:Y34"/>
    <mergeCell ref="Z34:AK34"/>
    <mergeCell ref="R35:Y35"/>
    <mergeCell ref="Z35:AC35"/>
    <mergeCell ref="AD35:AK35"/>
    <mergeCell ref="F42:R42"/>
    <mergeCell ref="G43:R43"/>
    <mergeCell ref="A7:D7"/>
    <mergeCell ref="J22:K22"/>
    <mergeCell ref="P22:Q22"/>
    <mergeCell ref="P21:U21"/>
    <mergeCell ref="R22:U22"/>
    <mergeCell ref="F7:H7"/>
    <mergeCell ref="L22:O22"/>
    <mergeCell ref="I21:O21"/>
    <mergeCell ref="I20:U20"/>
    <mergeCell ref="F19:U19"/>
    <mergeCell ref="G35:Q35"/>
  </mergeCells>
  <pageMargins left="0.7" right="0.7" top="0.75" bottom="0.75" header="0.3" footer="0.3"/>
  <pageSetup paperSize="119" orientation="portrait" horizontalDpi="4294967294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11"/>
  <sheetViews>
    <sheetView zoomScale="60" zoomScaleNormal="60" workbookViewId="0">
      <selection activeCell="D21" sqref="D21"/>
    </sheetView>
  </sheetViews>
  <sheetFormatPr defaultColWidth="8.85546875" defaultRowHeight="15" x14ac:dyDescent="0.25"/>
  <cols>
    <col min="1" max="3" width="22.7109375" style="7" customWidth="1"/>
    <col min="4" max="4" width="13" style="7" customWidth="1"/>
    <col min="5" max="5" width="13.42578125" style="7" customWidth="1"/>
    <col min="6" max="6" width="19" style="7" customWidth="1"/>
    <col min="7" max="7" width="11.85546875" style="7" customWidth="1"/>
    <col min="8" max="8" width="15.28515625" style="7" customWidth="1"/>
    <col min="9" max="9" width="17.140625" style="7" customWidth="1"/>
    <col min="10" max="10" width="18.7109375" style="6" customWidth="1"/>
    <col min="11" max="11" width="15" style="6" customWidth="1"/>
    <col min="12" max="12" width="23.28515625" style="7" customWidth="1"/>
    <col min="13" max="13" width="14.42578125" bestFit="1" customWidth="1"/>
    <col min="15" max="15" width="14.85546875" bestFit="1" customWidth="1"/>
    <col min="16" max="16" width="24.140625" bestFit="1" customWidth="1"/>
    <col min="17" max="17" width="19.42578125" bestFit="1" customWidth="1"/>
    <col min="18" max="18" width="21.42578125" customWidth="1"/>
    <col min="19" max="19" width="14.42578125" bestFit="1" customWidth="1"/>
    <col min="20" max="20" width="20.42578125" bestFit="1" customWidth="1"/>
    <col min="21" max="21" width="20.140625" customWidth="1"/>
  </cols>
  <sheetData>
    <row r="1" spans="1:21" s="1" customFormat="1" ht="54.75" customHeight="1" x14ac:dyDescent="0.25">
      <c r="A1" s="2" t="s">
        <v>0</v>
      </c>
      <c r="B1" s="2" t="s">
        <v>1</v>
      </c>
      <c r="C1" s="2" t="s">
        <v>2</v>
      </c>
      <c r="D1" s="2" t="s">
        <v>81</v>
      </c>
      <c r="E1" s="2" t="s">
        <v>3</v>
      </c>
      <c r="F1" s="2" t="s">
        <v>4</v>
      </c>
      <c r="G1" s="2" t="s">
        <v>5</v>
      </c>
      <c r="H1" s="2" t="s">
        <v>6</v>
      </c>
      <c r="I1" s="3" t="s">
        <v>7</v>
      </c>
      <c r="J1" s="3" t="s">
        <v>8</v>
      </c>
      <c r="K1" s="2" t="s">
        <v>58</v>
      </c>
      <c r="L1" s="3" t="s">
        <v>89</v>
      </c>
      <c r="M1" s="3" t="s">
        <v>90</v>
      </c>
      <c r="N1" s="11" t="s">
        <v>93</v>
      </c>
      <c r="O1" s="11" t="s">
        <v>280</v>
      </c>
      <c r="P1" s="11" t="s">
        <v>279</v>
      </c>
      <c r="Q1" s="11" t="s">
        <v>278</v>
      </c>
      <c r="R1" s="11" t="s">
        <v>269</v>
      </c>
      <c r="S1" s="11" t="s">
        <v>273</v>
      </c>
      <c r="T1" s="11" t="s">
        <v>274</v>
      </c>
      <c r="U1" s="12" t="s">
        <v>275</v>
      </c>
    </row>
    <row r="2" spans="1:21" x14ac:dyDescent="0.25">
      <c r="A2" s="7" t="s">
        <v>62</v>
      </c>
      <c r="B2" s="7">
        <v>3</v>
      </c>
      <c r="C2" s="7" t="s">
        <v>9</v>
      </c>
      <c r="D2" s="7" t="s">
        <v>80</v>
      </c>
      <c r="E2" s="7" t="s">
        <v>76</v>
      </c>
      <c r="F2" s="7" t="s">
        <v>73</v>
      </c>
      <c r="G2" s="7" t="s">
        <v>24</v>
      </c>
      <c r="H2" s="7" t="s">
        <v>75</v>
      </c>
      <c r="I2" s="7" t="s">
        <v>14</v>
      </c>
      <c r="J2" s="6" t="s">
        <v>72</v>
      </c>
      <c r="K2" s="6" t="s">
        <v>74</v>
      </c>
      <c r="L2" s="7">
        <v>1</v>
      </c>
      <c r="M2" s="7" t="s">
        <v>10</v>
      </c>
      <c r="N2" s="9">
        <v>0.9</v>
      </c>
      <c r="O2" s="9" t="s">
        <v>281</v>
      </c>
      <c r="P2" s="9" t="s">
        <v>281</v>
      </c>
      <c r="Q2" s="9" t="s">
        <v>271</v>
      </c>
      <c r="R2" t="s">
        <v>277</v>
      </c>
      <c r="S2" s="9" t="s">
        <v>10</v>
      </c>
      <c r="T2" s="9">
        <v>8.5</v>
      </c>
      <c r="U2" s="9" t="s">
        <v>276</v>
      </c>
    </row>
    <row r="3" spans="1:21" x14ac:dyDescent="0.25">
      <c r="A3" s="7" t="s">
        <v>63</v>
      </c>
      <c r="B3" s="7">
        <v>3</v>
      </c>
      <c r="C3" s="7" t="s">
        <v>9</v>
      </c>
      <c r="D3" s="7" t="s">
        <v>80</v>
      </c>
      <c r="E3" s="7" t="s">
        <v>76</v>
      </c>
      <c r="F3" s="7" t="s">
        <v>73</v>
      </c>
      <c r="G3" s="7" t="s">
        <v>20</v>
      </c>
      <c r="H3" s="7" t="s">
        <v>75</v>
      </c>
      <c r="I3" s="7" t="s">
        <v>14</v>
      </c>
      <c r="J3" s="6" t="s">
        <v>72</v>
      </c>
      <c r="K3" s="6" t="s">
        <v>74</v>
      </c>
      <c r="L3" s="7">
        <v>1</v>
      </c>
      <c r="M3" s="7" t="s">
        <v>10</v>
      </c>
      <c r="N3" s="9">
        <v>0.9</v>
      </c>
      <c r="O3" s="9" t="s">
        <v>281</v>
      </c>
      <c r="P3" s="9" t="s">
        <v>270</v>
      </c>
      <c r="Q3" s="9" t="s">
        <v>270</v>
      </c>
      <c r="R3" t="s">
        <v>270</v>
      </c>
      <c r="S3" s="9" t="s">
        <v>10</v>
      </c>
      <c r="T3" s="9">
        <v>8.5</v>
      </c>
      <c r="U3" s="9" t="s">
        <v>276</v>
      </c>
    </row>
    <row r="4" spans="1:21" x14ac:dyDescent="0.25">
      <c r="A4" s="7" t="s">
        <v>64</v>
      </c>
      <c r="B4" s="7">
        <v>3</v>
      </c>
      <c r="C4" s="7" t="s">
        <v>9</v>
      </c>
      <c r="D4" s="7" t="s">
        <v>80</v>
      </c>
      <c r="E4" s="7" t="s">
        <v>76</v>
      </c>
      <c r="F4" s="7" t="s">
        <v>73</v>
      </c>
      <c r="G4" s="7" t="s">
        <v>24</v>
      </c>
      <c r="H4" s="7" t="s">
        <v>75</v>
      </c>
      <c r="I4" s="7" t="s">
        <v>14</v>
      </c>
      <c r="J4" s="6" t="s">
        <v>72</v>
      </c>
      <c r="K4" s="6" t="s">
        <v>74</v>
      </c>
      <c r="L4" s="7">
        <v>1</v>
      </c>
      <c r="M4" s="7" t="s">
        <v>10</v>
      </c>
      <c r="N4" s="9">
        <v>0.9</v>
      </c>
      <c r="O4" s="9" t="s">
        <v>282</v>
      </c>
      <c r="P4" s="9" t="s">
        <v>91</v>
      </c>
      <c r="Q4" s="9" t="s">
        <v>271</v>
      </c>
      <c r="R4" t="s">
        <v>271</v>
      </c>
      <c r="S4" s="9" t="s">
        <v>33</v>
      </c>
      <c r="T4" s="9" t="s">
        <v>91</v>
      </c>
      <c r="U4" s="9" t="s">
        <v>91</v>
      </c>
    </row>
    <row r="5" spans="1:21" x14ac:dyDescent="0.25">
      <c r="A5" s="7" t="s">
        <v>65</v>
      </c>
      <c r="B5" s="7">
        <v>3</v>
      </c>
      <c r="C5" s="7" t="s">
        <v>9</v>
      </c>
      <c r="D5" s="7" t="s">
        <v>80</v>
      </c>
      <c r="E5" s="7" t="s">
        <v>76</v>
      </c>
      <c r="F5" s="7" t="s">
        <v>79</v>
      </c>
      <c r="G5" s="7" t="s">
        <v>20</v>
      </c>
      <c r="H5" s="7" t="s">
        <v>75</v>
      </c>
      <c r="I5" s="7" t="s">
        <v>14</v>
      </c>
      <c r="J5" s="6" t="s">
        <v>72</v>
      </c>
      <c r="K5" s="6" t="s">
        <v>78</v>
      </c>
      <c r="L5" s="7">
        <v>1</v>
      </c>
      <c r="M5" s="7" t="s">
        <v>10</v>
      </c>
      <c r="N5" s="9">
        <v>0.9</v>
      </c>
      <c r="O5" s="9" t="s">
        <v>282</v>
      </c>
      <c r="P5" s="9" t="s">
        <v>91</v>
      </c>
      <c r="Q5" s="9" t="s">
        <v>270</v>
      </c>
      <c r="R5" t="s">
        <v>270</v>
      </c>
      <c r="S5" s="9" t="s">
        <v>33</v>
      </c>
      <c r="T5" s="9" t="s">
        <v>91</v>
      </c>
      <c r="U5" s="9" t="s">
        <v>91</v>
      </c>
    </row>
    <row r="6" spans="1:21" x14ac:dyDescent="0.25">
      <c r="A6" s="7" t="s">
        <v>66</v>
      </c>
      <c r="B6" s="7">
        <v>3</v>
      </c>
      <c r="C6" s="7" t="s">
        <v>9</v>
      </c>
      <c r="D6" s="7" t="s">
        <v>80</v>
      </c>
      <c r="E6" s="7" t="s">
        <v>76</v>
      </c>
      <c r="F6" s="7" t="s">
        <v>15</v>
      </c>
      <c r="G6" s="7" t="s">
        <v>24</v>
      </c>
      <c r="H6" s="7" t="s">
        <v>75</v>
      </c>
      <c r="I6" s="7" t="s">
        <v>14</v>
      </c>
      <c r="J6" s="6" t="s">
        <v>72</v>
      </c>
      <c r="K6" s="6" t="s">
        <v>74</v>
      </c>
      <c r="L6" s="7">
        <v>1</v>
      </c>
      <c r="M6" s="7" t="s">
        <v>10</v>
      </c>
      <c r="N6" s="9">
        <v>0.9</v>
      </c>
      <c r="O6" s="9" t="s">
        <v>282</v>
      </c>
      <c r="P6" s="9" t="s">
        <v>91</v>
      </c>
      <c r="Q6" s="9" t="s">
        <v>271</v>
      </c>
      <c r="R6" t="s">
        <v>271</v>
      </c>
      <c r="S6" s="9" t="s">
        <v>33</v>
      </c>
      <c r="T6" s="9" t="s">
        <v>91</v>
      </c>
      <c r="U6" s="9" t="s">
        <v>91</v>
      </c>
    </row>
    <row r="7" spans="1:21" x14ac:dyDescent="0.25">
      <c r="A7" s="7" t="s">
        <v>67</v>
      </c>
      <c r="B7" s="7">
        <v>3</v>
      </c>
      <c r="C7" s="7" t="s">
        <v>9</v>
      </c>
      <c r="D7" s="7" t="s">
        <v>80</v>
      </c>
      <c r="E7" s="7" t="s">
        <v>77</v>
      </c>
      <c r="F7" s="7" t="s">
        <v>79</v>
      </c>
      <c r="G7" s="7" t="s">
        <v>16</v>
      </c>
      <c r="H7" s="7" t="s">
        <v>75</v>
      </c>
      <c r="I7" s="7" t="s">
        <v>14</v>
      </c>
      <c r="J7" s="6" t="s">
        <v>72</v>
      </c>
      <c r="K7" s="6" t="s">
        <v>78</v>
      </c>
      <c r="L7" s="7">
        <v>1</v>
      </c>
      <c r="M7" s="7" t="s">
        <v>10</v>
      </c>
      <c r="N7" s="9">
        <v>0.9</v>
      </c>
      <c r="O7" s="9" t="s">
        <v>282</v>
      </c>
      <c r="P7" s="9" t="s">
        <v>272</v>
      </c>
      <c r="Q7" s="9" t="s">
        <v>272</v>
      </c>
      <c r="R7" t="s">
        <v>272</v>
      </c>
      <c r="S7" s="9" t="s">
        <v>10</v>
      </c>
      <c r="T7" s="9">
        <v>8.5</v>
      </c>
      <c r="U7" s="9" t="s">
        <v>276</v>
      </c>
    </row>
    <row r="8" spans="1:21" x14ac:dyDescent="0.25">
      <c r="A8" s="7" t="s">
        <v>68</v>
      </c>
      <c r="B8" s="7">
        <v>3</v>
      </c>
      <c r="C8" s="7" t="s">
        <v>9</v>
      </c>
      <c r="D8" s="7" t="s">
        <v>80</v>
      </c>
      <c r="E8" s="7" t="s">
        <v>77</v>
      </c>
      <c r="F8" s="7" t="s">
        <v>37</v>
      </c>
      <c r="G8" s="7" t="s">
        <v>20</v>
      </c>
      <c r="H8" s="7" t="s">
        <v>75</v>
      </c>
      <c r="I8" s="7" t="s">
        <v>14</v>
      </c>
      <c r="J8" s="6" t="s">
        <v>72</v>
      </c>
      <c r="K8" s="6" t="s">
        <v>78</v>
      </c>
      <c r="L8" s="7">
        <v>1</v>
      </c>
      <c r="M8" s="7" t="s">
        <v>10</v>
      </c>
      <c r="N8" s="9">
        <v>0.9</v>
      </c>
      <c r="O8" s="9" t="s">
        <v>282</v>
      </c>
      <c r="P8" s="9" t="s">
        <v>91</v>
      </c>
      <c r="Q8" s="9" t="s">
        <v>270</v>
      </c>
      <c r="R8" t="s">
        <v>270</v>
      </c>
      <c r="S8" s="9" t="s">
        <v>33</v>
      </c>
      <c r="T8" s="9" t="s">
        <v>91</v>
      </c>
      <c r="U8" s="9" t="s">
        <v>91</v>
      </c>
    </row>
    <row r="9" spans="1:21" x14ac:dyDescent="0.25">
      <c r="A9" s="7" t="s">
        <v>69</v>
      </c>
      <c r="B9" s="7">
        <v>3</v>
      </c>
      <c r="C9" s="7" t="s">
        <v>9</v>
      </c>
      <c r="D9" s="7" t="s">
        <v>80</v>
      </c>
      <c r="E9" s="7" t="s">
        <v>77</v>
      </c>
      <c r="F9" s="7" t="s">
        <v>15</v>
      </c>
      <c r="G9" s="7" t="s">
        <v>24</v>
      </c>
      <c r="H9" s="7" t="s">
        <v>75</v>
      </c>
      <c r="I9" s="7" t="s">
        <v>14</v>
      </c>
      <c r="J9" s="6" t="s">
        <v>72</v>
      </c>
      <c r="K9" s="6" t="s">
        <v>74</v>
      </c>
      <c r="L9" s="7">
        <v>1</v>
      </c>
      <c r="M9" s="7" t="s">
        <v>10</v>
      </c>
      <c r="N9" s="9">
        <v>0.9</v>
      </c>
      <c r="O9" s="9" t="s">
        <v>282</v>
      </c>
      <c r="P9" s="9" t="s">
        <v>91</v>
      </c>
      <c r="Q9" s="9" t="s">
        <v>271</v>
      </c>
      <c r="R9" t="s">
        <v>271</v>
      </c>
      <c r="S9" s="9" t="s">
        <v>33</v>
      </c>
      <c r="T9" s="9" t="s">
        <v>91</v>
      </c>
      <c r="U9" s="9" t="s">
        <v>91</v>
      </c>
    </row>
    <row r="10" spans="1:21" x14ac:dyDescent="0.25">
      <c r="A10" s="7" t="s">
        <v>70</v>
      </c>
      <c r="B10" s="7">
        <v>3</v>
      </c>
      <c r="C10" s="7" t="s">
        <v>9</v>
      </c>
      <c r="D10" s="7" t="s">
        <v>80</v>
      </c>
      <c r="E10" s="7" t="s">
        <v>77</v>
      </c>
      <c r="F10" s="7" t="s">
        <v>73</v>
      </c>
      <c r="G10" s="7" t="s">
        <v>24</v>
      </c>
      <c r="H10" s="7" t="s">
        <v>75</v>
      </c>
      <c r="I10" s="7" t="s">
        <v>14</v>
      </c>
      <c r="J10" s="6" t="s">
        <v>72</v>
      </c>
      <c r="K10" s="6" t="s">
        <v>74</v>
      </c>
      <c r="L10" s="7">
        <v>1</v>
      </c>
      <c r="M10" s="7" t="s">
        <v>10</v>
      </c>
      <c r="N10" s="9">
        <v>0.9</v>
      </c>
      <c r="O10" s="9" t="s">
        <v>282</v>
      </c>
      <c r="P10" s="9" t="s">
        <v>91</v>
      </c>
      <c r="Q10" s="9" t="s">
        <v>283</v>
      </c>
      <c r="R10" t="s">
        <v>271</v>
      </c>
      <c r="S10" s="9" t="s">
        <v>33</v>
      </c>
      <c r="T10" s="9" t="s">
        <v>91</v>
      </c>
      <c r="U10" s="9" t="s">
        <v>91</v>
      </c>
    </row>
    <row r="11" spans="1:21" x14ac:dyDescent="0.25">
      <c r="A11" s="7" t="s">
        <v>71</v>
      </c>
      <c r="B11" s="7">
        <v>3</v>
      </c>
      <c r="C11" s="7" t="s">
        <v>9</v>
      </c>
      <c r="D11" s="7" t="s">
        <v>80</v>
      </c>
      <c r="E11" s="7" t="s">
        <v>77</v>
      </c>
      <c r="F11" s="7" t="s">
        <v>79</v>
      </c>
      <c r="G11" s="7" t="s">
        <v>20</v>
      </c>
      <c r="H11" s="7" t="s">
        <v>75</v>
      </c>
      <c r="I11" s="7" t="s">
        <v>14</v>
      </c>
      <c r="J11" s="6" t="s">
        <v>72</v>
      </c>
      <c r="K11" s="6" t="s">
        <v>78</v>
      </c>
      <c r="L11" s="7">
        <v>1</v>
      </c>
      <c r="M11" s="7" t="s">
        <v>10</v>
      </c>
      <c r="N11" s="9">
        <v>0.9</v>
      </c>
      <c r="O11" s="9" t="s">
        <v>282</v>
      </c>
      <c r="P11" s="9" t="s">
        <v>91</v>
      </c>
      <c r="Q11" s="9" t="s">
        <v>270</v>
      </c>
      <c r="R11" t="s">
        <v>270</v>
      </c>
      <c r="S11" s="9" t="s">
        <v>33</v>
      </c>
      <c r="T11" s="9" t="s">
        <v>91</v>
      </c>
      <c r="U11" s="9" t="s">
        <v>91</v>
      </c>
    </row>
  </sheetData>
  <pageMargins left="0.7" right="0.7" top="0.75" bottom="0.75" header="0.3" footer="0.3"/>
  <pageSetup scale="1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Q78"/>
  <sheetViews>
    <sheetView workbookViewId="0">
      <selection activeCell="A3" sqref="A3"/>
    </sheetView>
  </sheetViews>
  <sheetFormatPr defaultColWidth="9.140625" defaultRowHeight="15" x14ac:dyDescent="0.25"/>
  <cols>
    <col min="1" max="1" width="7.5703125" style="28" bestFit="1" customWidth="1"/>
    <col min="2" max="2" width="6.42578125" style="28" customWidth="1"/>
    <col min="3" max="3" width="7" style="28" customWidth="1"/>
    <col min="4" max="4" width="4.42578125" style="28" customWidth="1"/>
    <col min="5" max="5" width="4.5703125" style="28" customWidth="1"/>
    <col min="6" max="6" width="5.140625" style="28" bestFit="1" customWidth="1"/>
    <col min="7" max="7" width="3.7109375" style="28" customWidth="1"/>
    <col min="8" max="8" width="4" style="28" customWidth="1"/>
    <col min="9" max="9" width="3.5703125" style="28" customWidth="1"/>
    <col min="10" max="10" width="6.42578125" style="28" customWidth="1"/>
    <col min="11" max="11" width="5.5703125" style="28" customWidth="1"/>
    <col min="12" max="12" width="11.5703125" style="28" customWidth="1"/>
    <col min="13" max="14" width="11.42578125" style="28" customWidth="1"/>
    <col min="15" max="15" width="6" style="28" customWidth="1"/>
    <col min="16" max="16" width="7.5703125" style="28" customWidth="1"/>
    <col min="17" max="17" width="15.42578125" style="28" customWidth="1"/>
    <col min="18" max="18" width="10.5703125" style="28" bestFit="1" customWidth="1"/>
    <col min="19" max="19" width="12.140625" style="28" customWidth="1"/>
    <col min="20" max="20" width="9.140625" style="28" customWidth="1"/>
    <col min="21" max="385" width="12.7109375" style="28" customWidth="1"/>
    <col min="386" max="410" width="9.140625" style="28"/>
    <col min="411" max="411" width="9.85546875" style="28" customWidth="1"/>
    <col min="412" max="440" width="9.140625" style="28"/>
    <col min="441" max="441" width="10.140625" style="28" customWidth="1"/>
    <col min="442" max="504" width="9.140625" style="28"/>
    <col min="505" max="505" width="10.5703125" style="28" bestFit="1" customWidth="1"/>
    <col min="506" max="559" width="9.140625" style="28"/>
    <col min="560" max="560" width="9.7109375" style="28" bestFit="1" customWidth="1"/>
    <col min="561" max="561" width="9.140625" style="28"/>
    <col min="562" max="562" width="9.7109375" style="28" bestFit="1" customWidth="1"/>
    <col min="563" max="614" width="9.140625" style="28"/>
    <col min="615" max="615" width="10" style="28" bestFit="1" customWidth="1"/>
    <col min="616" max="16384" width="9.140625" style="28"/>
  </cols>
  <sheetData>
    <row r="1" spans="1:615" x14ac:dyDescent="0.25">
      <c r="M1" s="49">
        <v>41730</v>
      </c>
      <c r="N1" s="49">
        <v>42094</v>
      </c>
      <c r="U1" s="28" t="s">
        <v>577</v>
      </c>
    </row>
    <row r="2" spans="1:615" x14ac:dyDescent="0.25">
      <c r="A2" s="28" t="s">
        <v>578</v>
      </c>
      <c r="B2" s="28" t="s">
        <v>579</v>
      </c>
      <c r="C2" s="28" t="s">
        <v>580</v>
      </c>
      <c r="D2" s="28" t="s">
        <v>581</v>
      </c>
      <c r="E2" s="28" t="s">
        <v>582</v>
      </c>
      <c r="F2" s="28" t="s">
        <v>583</v>
      </c>
      <c r="G2" s="28" t="s">
        <v>584</v>
      </c>
      <c r="H2" s="28" t="s">
        <v>585</v>
      </c>
      <c r="I2" s="28" t="s">
        <v>586</v>
      </c>
      <c r="J2" s="28" t="s">
        <v>587</v>
      </c>
      <c r="K2" s="28" t="s">
        <v>588</v>
      </c>
      <c r="L2" s="28" t="s">
        <v>589</v>
      </c>
      <c r="M2" s="28" t="s">
        <v>590</v>
      </c>
      <c r="N2" s="28" t="s">
        <v>591</v>
      </c>
      <c r="O2" s="28" t="s">
        <v>592</v>
      </c>
      <c r="P2" s="28" t="s">
        <v>593</v>
      </c>
      <c r="Q2" s="28" t="s">
        <v>594</v>
      </c>
      <c r="R2" s="28" t="s">
        <v>595</v>
      </c>
      <c r="U2" s="49">
        <f>M1</f>
        <v>41730</v>
      </c>
      <c r="V2" s="49">
        <f>U2+1</f>
        <v>41731</v>
      </c>
      <c r="W2" s="49">
        <f>V2+1</f>
        <v>41732</v>
      </c>
      <c r="X2" s="49">
        <f t="shared" ref="X2:CI2" si="0">W2+1</f>
        <v>41733</v>
      </c>
      <c r="Y2" s="49">
        <f t="shared" si="0"/>
        <v>41734</v>
      </c>
      <c r="Z2" s="49">
        <f t="shared" si="0"/>
        <v>41735</v>
      </c>
      <c r="AA2" s="49">
        <f t="shared" si="0"/>
        <v>41736</v>
      </c>
      <c r="AB2" s="49">
        <f t="shared" si="0"/>
        <v>41737</v>
      </c>
      <c r="AC2" s="49">
        <f t="shared" si="0"/>
        <v>41738</v>
      </c>
      <c r="AD2" s="49">
        <f t="shared" si="0"/>
        <v>41739</v>
      </c>
      <c r="AE2" s="49">
        <f t="shared" si="0"/>
        <v>41740</v>
      </c>
      <c r="AF2" s="49">
        <f t="shared" si="0"/>
        <v>41741</v>
      </c>
      <c r="AG2" s="49">
        <f t="shared" si="0"/>
        <v>41742</v>
      </c>
      <c r="AH2" s="49">
        <f t="shared" si="0"/>
        <v>41743</v>
      </c>
      <c r="AI2" s="49">
        <f t="shared" si="0"/>
        <v>41744</v>
      </c>
      <c r="AJ2" s="49">
        <f t="shared" si="0"/>
        <v>41745</v>
      </c>
      <c r="AK2" s="49">
        <f t="shared" si="0"/>
        <v>41746</v>
      </c>
      <c r="AL2" s="49">
        <f t="shared" si="0"/>
        <v>41747</v>
      </c>
      <c r="AM2" s="49">
        <f t="shared" si="0"/>
        <v>41748</v>
      </c>
      <c r="AN2" s="49">
        <f t="shared" si="0"/>
        <v>41749</v>
      </c>
      <c r="AO2" s="49">
        <f t="shared" si="0"/>
        <v>41750</v>
      </c>
      <c r="AP2" s="49">
        <f t="shared" si="0"/>
        <v>41751</v>
      </c>
      <c r="AQ2" s="49">
        <f t="shared" si="0"/>
        <v>41752</v>
      </c>
      <c r="AR2" s="49">
        <f t="shared" si="0"/>
        <v>41753</v>
      </c>
      <c r="AS2" s="49">
        <f t="shared" si="0"/>
        <v>41754</v>
      </c>
      <c r="AT2" s="49">
        <f t="shared" si="0"/>
        <v>41755</v>
      </c>
      <c r="AU2" s="49">
        <f t="shared" si="0"/>
        <v>41756</v>
      </c>
      <c r="AV2" s="49">
        <f t="shared" si="0"/>
        <v>41757</v>
      </c>
      <c r="AW2" s="49">
        <f t="shared" si="0"/>
        <v>41758</v>
      </c>
      <c r="AX2" s="49">
        <f t="shared" si="0"/>
        <v>41759</v>
      </c>
      <c r="AY2" s="49">
        <f t="shared" si="0"/>
        <v>41760</v>
      </c>
      <c r="AZ2" s="49">
        <f t="shared" si="0"/>
        <v>41761</v>
      </c>
      <c r="BA2" s="49">
        <f t="shared" si="0"/>
        <v>41762</v>
      </c>
      <c r="BB2" s="49">
        <f t="shared" si="0"/>
        <v>41763</v>
      </c>
      <c r="BC2" s="49">
        <f t="shared" si="0"/>
        <v>41764</v>
      </c>
      <c r="BD2" s="49">
        <f t="shared" si="0"/>
        <v>41765</v>
      </c>
      <c r="BE2" s="49">
        <f t="shared" si="0"/>
        <v>41766</v>
      </c>
      <c r="BF2" s="49">
        <f t="shared" si="0"/>
        <v>41767</v>
      </c>
      <c r="BG2" s="49">
        <f t="shared" si="0"/>
        <v>41768</v>
      </c>
      <c r="BH2" s="49">
        <f t="shared" si="0"/>
        <v>41769</v>
      </c>
      <c r="BI2" s="49">
        <f t="shared" si="0"/>
        <v>41770</v>
      </c>
      <c r="BJ2" s="49">
        <f t="shared" si="0"/>
        <v>41771</v>
      </c>
      <c r="BK2" s="49">
        <f t="shared" si="0"/>
        <v>41772</v>
      </c>
      <c r="BL2" s="49">
        <f t="shared" si="0"/>
        <v>41773</v>
      </c>
      <c r="BM2" s="49">
        <f t="shared" si="0"/>
        <v>41774</v>
      </c>
      <c r="BN2" s="49">
        <f t="shared" si="0"/>
        <v>41775</v>
      </c>
      <c r="BO2" s="49">
        <f t="shared" si="0"/>
        <v>41776</v>
      </c>
      <c r="BP2" s="49">
        <f t="shared" si="0"/>
        <v>41777</v>
      </c>
      <c r="BQ2" s="49">
        <f t="shared" si="0"/>
        <v>41778</v>
      </c>
      <c r="BR2" s="49">
        <f t="shared" si="0"/>
        <v>41779</v>
      </c>
      <c r="BS2" s="49">
        <f t="shared" si="0"/>
        <v>41780</v>
      </c>
      <c r="BT2" s="49">
        <f t="shared" si="0"/>
        <v>41781</v>
      </c>
      <c r="BU2" s="49">
        <f t="shared" si="0"/>
        <v>41782</v>
      </c>
      <c r="BV2" s="49">
        <f t="shared" si="0"/>
        <v>41783</v>
      </c>
      <c r="BW2" s="49">
        <f t="shared" si="0"/>
        <v>41784</v>
      </c>
      <c r="BX2" s="49">
        <f t="shared" si="0"/>
        <v>41785</v>
      </c>
      <c r="BY2" s="49">
        <f t="shared" si="0"/>
        <v>41786</v>
      </c>
      <c r="BZ2" s="49">
        <f t="shared" si="0"/>
        <v>41787</v>
      </c>
      <c r="CA2" s="49">
        <f t="shared" si="0"/>
        <v>41788</v>
      </c>
      <c r="CB2" s="49">
        <f t="shared" si="0"/>
        <v>41789</v>
      </c>
      <c r="CC2" s="49">
        <f t="shared" si="0"/>
        <v>41790</v>
      </c>
      <c r="CD2" s="49">
        <f t="shared" si="0"/>
        <v>41791</v>
      </c>
      <c r="CE2" s="49">
        <f t="shared" si="0"/>
        <v>41792</v>
      </c>
      <c r="CF2" s="49">
        <f t="shared" si="0"/>
        <v>41793</v>
      </c>
      <c r="CG2" s="49">
        <f t="shared" si="0"/>
        <v>41794</v>
      </c>
      <c r="CH2" s="49">
        <f t="shared" si="0"/>
        <v>41795</v>
      </c>
      <c r="CI2" s="49">
        <f t="shared" si="0"/>
        <v>41796</v>
      </c>
      <c r="CJ2" s="49">
        <f t="shared" ref="CJ2:EU2" si="1">CI2+1</f>
        <v>41797</v>
      </c>
      <c r="CK2" s="49">
        <f t="shared" si="1"/>
        <v>41798</v>
      </c>
      <c r="CL2" s="49">
        <f t="shared" si="1"/>
        <v>41799</v>
      </c>
      <c r="CM2" s="49">
        <f t="shared" si="1"/>
        <v>41800</v>
      </c>
      <c r="CN2" s="49">
        <f t="shared" si="1"/>
        <v>41801</v>
      </c>
      <c r="CO2" s="49">
        <f t="shared" si="1"/>
        <v>41802</v>
      </c>
      <c r="CP2" s="49">
        <f t="shared" si="1"/>
        <v>41803</v>
      </c>
      <c r="CQ2" s="49">
        <f t="shared" si="1"/>
        <v>41804</v>
      </c>
      <c r="CR2" s="49">
        <f t="shared" si="1"/>
        <v>41805</v>
      </c>
      <c r="CS2" s="49">
        <f t="shared" si="1"/>
        <v>41806</v>
      </c>
      <c r="CT2" s="49">
        <f t="shared" si="1"/>
        <v>41807</v>
      </c>
      <c r="CU2" s="49">
        <f t="shared" si="1"/>
        <v>41808</v>
      </c>
      <c r="CV2" s="49">
        <f t="shared" si="1"/>
        <v>41809</v>
      </c>
      <c r="CW2" s="49">
        <f t="shared" si="1"/>
        <v>41810</v>
      </c>
      <c r="CX2" s="49">
        <f t="shared" si="1"/>
        <v>41811</v>
      </c>
      <c r="CY2" s="49">
        <f t="shared" si="1"/>
        <v>41812</v>
      </c>
      <c r="CZ2" s="49">
        <f t="shared" si="1"/>
        <v>41813</v>
      </c>
      <c r="DA2" s="49">
        <f t="shared" si="1"/>
        <v>41814</v>
      </c>
      <c r="DB2" s="49">
        <f t="shared" si="1"/>
        <v>41815</v>
      </c>
      <c r="DC2" s="49">
        <f t="shared" si="1"/>
        <v>41816</v>
      </c>
      <c r="DD2" s="49">
        <f t="shared" si="1"/>
        <v>41817</v>
      </c>
      <c r="DE2" s="49">
        <f t="shared" si="1"/>
        <v>41818</v>
      </c>
      <c r="DF2" s="49">
        <f t="shared" si="1"/>
        <v>41819</v>
      </c>
      <c r="DG2" s="49">
        <f t="shared" si="1"/>
        <v>41820</v>
      </c>
      <c r="DH2" s="49">
        <f t="shared" si="1"/>
        <v>41821</v>
      </c>
      <c r="DI2" s="49">
        <f t="shared" si="1"/>
        <v>41822</v>
      </c>
      <c r="DJ2" s="49">
        <f t="shared" si="1"/>
        <v>41823</v>
      </c>
      <c r="DK2" s="49">
        <f t="shared" si="1"/>
        <v>41824</v>
      </c>
      <c r="DL2" s="49">
        <f t="shared" si="1"/>
        <v>41825</v>
      </c>
      <c r="DM2" s="49">
        <f t="shared" si="1"/>
        <v>41826</v>
      </c>
      <c r="DN2" s="49">
        <f t="shared" si="1"/>
        <v>41827</v>
      </c>
      <c r="DO2" s="49">
        <f t="shared" si="1"/>
        <v>41828</v>
      </c>
      <c r="DP2" s="49">
        <f t="shared" si="1"/>
        <v>41829</v>
      </c>
      <c r="DQ2" s="49">
        <f t="shared" si="1"/>
        <v>41830</v>
      </c>
      <c r="DR2" s="49">
        <f t="shared" si="1"/>
        <v>41831</v>
      </c>
      <c r="DS2" s="49">
        <f t="shared" si="1"/>
        <v>41832</v>
      </c>
      <c r="DT2" s="49">
        <f t="shared" si="1"/>
        <v>41833</v>
      </c>
      <c r="DU2" s="49">
        <f t="shared" si="1"/>
        <v>41834</v>
      </c>
      <c r="DV2" s="49">
        <f t="shared" si="1"/>
        <v>41835</v>
      </c>
      <c r="DW2" s="49">
        <f t="shared" si="1"/>
        <v>41836</v>
      </c>
      <c r="DX2" s="49">
        <f t="shared" si="1"/>
        <v>41837</v>
      </c>
      <c r="DY2" s="49">
        <f t="shared" si="1"/>
        <v>41838</v>
      </c>
      <c r="DZ2" s="49">
        <f t="shared" si="1"/>
        <v>41839</v>
      </c>
      <c r="EA2" s="49">
        <f t="shared" si="1"/>
        <v>41840</v>
      </c>
      <c r="EB2" s="49">
        <f t="shared" si="1"/>
        <v>41841</v>
      </c>
      <c r="EC2" s="49">
        <f t="shared" si="1"/>
        <v>41842</v>
      </c>
      <c r="ED2" s="49">
        <f t="shared" si="1"/>
        <v>41843</v>
      </c>
      <c r="EE2" s="49">
        <f t="shared" si="1"/>
        <v>41844</v>
      </c>
      <c r="EF2" s="49">
        <f t="shared" si="1"/>
        <v>41845</v>
      </c>
      <c r="EG2" s="49">
        <f t="shared" si="1"/>
        <v>41846</v>
      </c>
      <c r="EH2" s="49">
        <f t="shared" si="1"/>
        <v>41847</v>
      </c>
      <c r="EI2" s="49">
        <f t="shared" si="1"/>
        <v>41848</v>
      </c>
      <c r="EJ2" s="49">
        <f t="shared" si="1"/>
        <v>41849</v>
      </c>
      <c r="EK2" s="49">
        <f t="shared" si="1"/>
        <v>41850</v>
      </c>
      <c r="EL2" s="49">
        <f t="shared" si="1"/>
        <v>41851</v>
      </c>
      <c r="EM2" s="49">
        <f t="shared" si="1"/>
        <v>41852</v>
      </c>
      <c r="EN2" s="49">
        <f t="shared" si="1"/>
        <v>41853</v>
      </c>
      <c r="EO2" s="49">
        <f t="shared" si="1"/>
        <v>41854</v>
      </c>
      <c r="EP2" s="49">
        <f t="shared" si="1"/>
        <v>41855</v>
      </c>
      <c r="EQ2" s="49">
        <f t="shared" si="1"/>
        <v>41856</v>
      </c>
      <c r="ER2" s="49">
        <f t="shared" si="1"/>
        <v>41857</v>
      </c>
      <c r="ES2" s="49">
        <f t="shared" si="1"/>
        <v>41858</v>
      </c>
      <c r="ET2" s="49">
        <f t="shared" si="1"/>
        <v>41859</v>
      </c>
      <c r="EU2" s="49">
        <f t="shared" si="1"/>
        <v>41860</v>
      </c>
      <c r="EV2" s="49">
        <f t="shared" ref="EV2:HG2" si="2">EU2+1</f>
        <v>41861</v>
      </c>
      <c r="EW2" s="49">
        <f t="shared" si="2"/>
        <v>41862</v>
      </c>
      <c r="EX2" s="49">
        <f t="shared" si="2"/>
        <v>41863</v>
      </c>
      <c r="EY2" s="49">
        <f t="shared" si="2"/>
        <v>41864</v>
      </c>
      <c r="EZ2" s="49">
        <f t="shared" si="2"/>
        <v>41865</v>
      </c>
      <c r="FA2" s="49">
        <f t="shared" si="2"/>
        <v>41866</v>
      </c>
      <c r="FB2" s="49">
        <f t="shared" si="2"/>
        <v>41867</v>
      </c>
      <c r="FC2" s="49">
        <f t="shared" si="2"/>
        <v>41868</v>
      </c>
      <c r="FD2" s="49">
        <f t="shared" si="2"/>
        <v>41869</v>
      </c>
      <c r="FE2" s="49">
        <f t="shared" si="2"/>
        <v>41870</v>
      </c>
      <c r="FF2" s="49">
        <f t="shared" si="2"/>
        <v>41871</v>
      </c>
      <c r="FG2" s="49">
        <f t="shared" si="2"/>
        <v>41872</v>
      </c>
      <c r="FH2" s="49">
        <f t="shared" si="2"/>
        <v>41873</v>
      </c>
      <c r="FI2" s="49">
        <f t="shared" si="2"/>
        <v>41874</v>
      </c>
      <c r="FJ2" s="49">
        <f t="shared" si="2"/>
        <v>41875</v>
      </c>
      <c r="FK2" s="49">
        <f t="shared" si="2"/>
        <v>41876</v>
      </c>
      <c r="FL2" s="49">
        <f t="shared" si="2"/>
        <v>41877</v>
      </c>
      <c r="FM2" s="49">
        <f t="shared" si="2"/>
        <v>41878</v>
      </c>
      <c r="FN2" s="49">
        <f t="shared" si="2"/>
        <v>41879</v>
      </c>
      <c r="FO2" s="49">
        <f t="shared" si="2"/>
        <v>41880</v>
      </c>
      <c r="FP2" s="49">
        <f t="shared" si="2"/>
        <v>41881</v>
      </c>
      <c r="FQ2" s="49">
        <f t="shared" si="2"/>
        <v>41882</v>
      </c>
      <c r="FR2" s="49">
        <f t="shared" si="2"/>
        <v>41883</v>
      </c>
      <c r="FS2" s="49">
        <f t="shared" si="2"/>
        <v>41884</v>
      </c>
      <c r="FT2" s="49">
        <f t="shared" si="2"/>
        <v>41885</v>
      </c>
      <c r="FU2" s="49">
        <f t="shared" si="2"/>
        <v>41886</v>
      </c>
      <c r="FV2" s="49">
        <f t="shared" si="2"/>
        <v>41887</v>
      </c>
      <c r="FW2" s="49">
        <f t="shared" si="2"/>
        <v>41888</v>
      </c>
      <c r="FX2" s="49">
        <f t="shared" si="2"/>
        <v>41889</v>
      </c>
      <c r="FY2" s="49">
        <f t="shared" si="2"/>
        <v>41890</v>
      </c>
      <c r="FZ2" s="49">
        <f t="shared" si="2"/>
        <v>41891</v>
      </c>
      <c r="GA2" s="49">
        <f t="shared" si="2"/>
        <v>41892</v>
      </c>
      <c r="GB2" s="49">
        <f t="shared" si="2"/>
        <v>41893</v>
      </c>
      <c r="GC2" s="49">
        <f t="shared" si="2"/>
        <v>41894</v>
      </c>
      <c r="GD2" s="49">
        <f t="shared" si="2"/>
        <v>41895</v>
      </c>
      <c r="GE2" s="49">
        <f t="shared" si="2"/>
        <v>41896</v>
      </c>
      <c r="GF2" s="49">
        <f t="shared" si="2"/>
        <v>41897</v>
      </c>
      <c r="GG2" s="49">
        <f t="shared" si="2"/>
        <v>41898</v>
      </c>
      <c r="GH2" s="49">
        <f t="shared" si="2"/>
        <v>41899</v>
      </c>
      <c r="GI2" s="49">
        <f t="shared" si="2"/>
        <v>41900</v>
      </c>
      <c r="GJ2" s="49">
        <f t="shared" si="2"/>
        <v>41901</v>
      </c>
      <c r="GK2" s="49">
        <f t="shared" si="2"/>
        <v>41902</v>
      </c>
      <c r="GL2" s="49">
        <f t="shared" si="2"/>
        <v>41903</v>
      </c>
      <c r="GM2" s="49">
        <f t="shared" si="2"/>
        <v>41904</v>
      </c>
      <c r="GN2" s="49">
        <f t="shared" si="2"/>
        <v>41905</v>
      </c>
      <c r="GO2" s="49">
        <f t="shared" si="2"/>
        <v>41906</v>
      </c>
      <c r="GP2" s="49">
        <f t="shared" si="2"/>
        <v>41907</v>
      </c>
      <c r="GQ2" s="49">
        <f t="shared" si="2"/>
        <v>41908</v>
      </c>
      <c r="GR2" s="49">
        <f t="shared" si="2"/>
        <v>41909</v>
      </c>
      <c r="GS2" s="49">
        <f t="shared" si="2"/>
        <v>41910</v>
      </c>
      <c r="GT2" s="49">
        <f t="shared" si="2"/>
        <v>41911</v>
      </c>
      <c r="GU2" s="49">
        <f t="shared" si="2"/>
        <v>41912</v>
      </c>
      <c r="GV2" s="49">
        <f t="shared" si="2"/>
        <v>41913</v>
      </c>
      <c r="GW2" s="49">
        <f t="shared" si="2"/>
        <v>41914</v>
      </c>
      <c r="GX2" s="49">
        <f t="shared" si="2"/>
        <v>41915</v>
      </c>
      <c r="GY2" s="49">
        <f t="shared" si="2"/>
        <v>41916</v>
      </c>
      <c r="GZ2" s="49">
        <f t="shared" si="2"/>
        <v>41917</v>
      </c>
      <c r="HA2" s="49">
        <f t="shared" si="2"/>
        <v>41918</v>
      </c>
      <c r="HB2" s="49">
        <f t="shared" si="2"/>
        <v>41919</v>
      </c>
      <c r="HC2" s="49">
        <f t="shared" si="2"/>
        <v>41920</v>
      </c>
      <c r="HD2" s="49">
        <f t="shared" si="2"/>
        <v>41921</v>
      </c>
      <c r="HE2" s="49">
        <f t="shared" si="2"/>
        <v>41922</v>
      </c>
      <c r="HF2" s="49">
        <f t="shared" si="2"/>
        <v>41923</v>
      </c>
      <c r="HG2" s="49">
        <f t="shared" si="2"/>
        <v>41924</v>
      </c>
      <c r="HH2" s="49">
        <f t="shared" ref="HH2:JS2" si="3">HG2+1</f>
        <v>41925</v>
      </c>
      <c r="HI2" s="49">
        <f t="shared" si="3"/>
        <v>41926</v>
      </c>
      <c r="HJ2" s="49">
        <f t="shared" si="3"/>
        <v>41927</v>
      </c>
      <c r="HK2" s="49">
        <f t="shared" si="3"/>
        <v>41928</v>
      </c>
      <c r="HL2" s="49">
        <f t="shared" si="3"/>
        <v>41929</v>
      </c>
      <c r="HM2" s="49">
        <f t="shared" si="3"/>
        <v>41930</v>
      </c>
      <c r="HN2" s="49">
        <f t="shared" si="3"/>
        <v>41931</v>
      </c>
      <c r="HO2" s="49">
        <f t="shared" si="3"/>
        <v>41932</v>
      </c>
      <c r="HP2" s="49">
        <f t="shared" si="3"/>
        <v>41933</v>
      </c>
      <c r="HQ2" s="49">
        <f t="shared" si="3"/>
        <v>41934</v>
      </c>
      <c r="HR2" s="49">
        <f t="shared" si="3"/>
        <v>41935</v>
      </c>
      <c r="HS2" s="49">
        <f t="shared" si="3"/>
        <v>41936</v>
      </c>
      <c r="HT2" s="49">
        <f t="shared" si="3"/>
        <v>41937</v>
      </c>
      <c r="HU2" s="49">
        <f t="shared" si="3"/>
        <v>41938</v>
      </c>
      <c r="HV2" s="49">
        <f t="shared" si="3"/>
        <v>41939</v>
      </c>
      <c r="HW2" s="49">
        <f t="shared" si="3"/>
        <v>41940</v>
      </c>
      <c r="HX2" s="49">
        <f t="shared" si="3"/>
        <v>41941</v>
      </c>
      <c r="HY2" s="49">
        <f t="shared" si="3"/>
        <v>41942</v>
      </c>
      <c r="HZ2" s="49">
        <f t="shared" si="3"/>
        <v>41943</v>
      </c>
      <c r="IA2" s="49">
        <f t="shared" si="3"/>
        <v>41944</v>
      </c>
      <c r="IB2" s="49">
        <f t="shared" si="3"/>
        <v>41945</v>
      </c>
      <c r="IC2" s="49">
        <f t="shared" si="3"/>
        <v>41946</v>
      </c>
      <c r="ID2" s="49">
        <f t="shared" si="3"/>
        <v>41947</v>
      </c>
      <c r="IE2" s="49">
        <f t="shared" si="3"/>
        <v>41948</v>
      </c>
      <c r="IF2" s="49">
        <f t="shared" si="3"/>
        <v>41949</v>
      </c>
      <c r="IG2" s="49">
        <f t="shared" si="3"/>
        <v>41950</v>
      </c>
      <c r="IH2" s="49">
        <f t="shared" si="3"/>
        <v>41951</v>
      </c>
      <c r="II2" s="49">
        <f t="shared" si="3"/>
        <v>41952</v>
      </c>
      <c r="IJ2" s="49">
        <f t="shared" si="3"/>
        <v>41953</v>
      </c>
      <c r="IK2" s="49">
        <f t="shared" si="3"/>
        <v>41954</v>
      </c>
      <c r="IL2" s="49">
        <f t="shared" si="3"/>
        <v>41955</v>
      </c>
      <c r="IM2" s="49">
        <f t="shared" si="3"/>
        <v>41956</v>
      </c>
      <c r="IN2" s="49">
        <f t="shared" si="3"/>
        <v>41957</v>
      </c>
      <c r="IO2" s="49">
        <f t="shared" si="3"/>
        <v>41958</v>
      </c>
      <c r="IP2" s="49">
        <f t="shared" si="3"/>
        <v>41959</v>
      </c>
      <c r="IQ2" s="49">
        <f t="shared" si="3"/>
        <v>41960</v>
      </c>
      <c r="IR2" s="49">
        <f t="shared" si="3"/>
        <v>41961</v>
      </c>
      <c r="IS2" s="49">
        <f t="shared" si="3"/>
        <v>41962</v>
      </c>
      <c r="IT2" s="49">
        <f t="shared" si="3"/>
        <v>41963</v>
      </c>
      <c r="IU2" s="49">
        <f t="shared" si="3"/>
        <v>41964</v>
      </c>
      <c r="IV2" s="49">
        <f t="shared" si="3"/>
        <v>41965</v>
      </c>
      <c r="IW2" s="49">
        <f t="shared" si="3"/>
        <v>41966</v>
      </c>
      <c r="IX2" s="49">
        <f t="shared" si="3"/>
        <v>41967</v>
      </c>
      <c r="IY2" s="49">
        <f t="shared" si="3"/>
        <v>41968</v>
      </c>
      <c r="IZ2" s="49">
        <f t="shared" si="3"/>
        <v>41969</v>
      </c>
      <c r="JA2" s="49">
        <f t="shared" si="3"/>
        <v>41970</v>
      </c>
      <c r="JB2" s="49">
        <f t="shared" si="3"/>
        <v>41971</v>
      </c>
      <c r="JC2" s="49">
        <f t="shared" si="3"/>
        <v>41972</v>
      </c>
      <c r="JD2" s="49">
        <f t="shared" si="3"/>
        <v>41973</v>
      </c>
      <c r="JE2" s="49">
        <f t="shared" si="3"/>
        <v>41974</v>
      </c>
      <c r="JF2" s="49">
        <f t="shared" si="3"/>
        <v>41975</v>
      </c>
      <c r="JG2" s="49">
        <f t="shared" si="3"/>
        <v>41976</v>
      </c>
      <c r="JH2" s="49">
        <f t="shared" si="3"/>
        <v>41977</v>
      </c>
      <c r="JI2" s="49">
        <f t="shared" si="3"/>
        <v>41978</v>
      </c>
      <c r="JJ2" s="49">
        <f t="shared" si="3"/>
        <v>41979</v>
      </c>
      <c r="JK2" s="49">
        <f t="shared" si="3"/>
        <v>41980</v>
      </c>
      <c r="JL2" s="49">
        <f t="shared" si="3"/>
        <v>41981</v>
      </c>
      <c r="JM2" s="49">
        <f t="shared" si="3"/>
        <v>41982</v>
      </c>
      <c r="JN2" s="49">
        <f t="shared" si="3"/>
        <v>41983</v>
      </c>
      <c r="JO2" s="49">
        <f t="shared" si="3"/>
        <v>41984</v>
      </c>
      <c r="JP2" s="49">
        <f t="shared" si="3"/>
        <v>41985</v>
      </c>
      <c r="JQ2" s="49">
        <f t="shared" si="3"/>
        <v>41986</v>
      </c>
      <c r="JR2" s="49">
        <f t="shared" si="3"/>
        <v>41987</v>
      </c>
      <c r="JS2" s="49">
        <f t="shared" si="3"/>
        <v>41988</v>
      </c>
      <c r="JT2" s="49">
        <f t="shared" ref="JT2:ME2" si="4">JS2+1</f>
        <v>41989</v>
      </c>
      <c r="JU2" s="49">
        <f t="shared" si="4"/>
        <v>41990</v>
      </c>
      <c r="JV2" s="49">
        <f t="shared" si="4"/>
        <v>41991</v>
      </c>
      <c r="JW2" s="49">
        <f t="shared" si="4"/>
        <v>41992</v>
      </c>
      <c r="JX2" s="49">
        <f t="shared" si="4"/>
        <v>41993</v>
      </c>
      <c r="JY2" s="49">
        <f t="shared" si="4"/>
        <v>41994</v>
      </c>
      <c r="JZ2" s="49">
        <f t="shared" si="4"/>
        <v>41995</v>
      </c>
      <c r="KA2" s="49">
        <f t="shared" si="4"/>
        <v>41996</v>
      </c>
      <c r="KB2" s="49">
        <f t="shared" si="4"/>
        <v>41997</v>
      </c>
      <c r="KC2" s="49">
        <f t="shared" si="4"/>
        <v>41998</v>
      </c>
      <c r="KD2" s="49">
        <f t="shared" si="4"/>
        <v>41999</v>
      </c>
      <c r="KE2" s="49">
        <f t="shared" si="4"/>
        <v>42000</v>
      </c>
      <c r="KF2" s="49">
        <f t="shared" si="4"/>
        <v>42001</v>
      </c>
      <c r="KG2" s="49">
        <f t="shared" si="4"/>
        <v>42002</v>
      </c>
      <c r="KH2" s="49">
        <f t="shared" si="4"/>
        <v>42003</v>
      </c>
      <c r="KI2" s="49">
        <f t="shared" si="4"/>
        <v>42004</v>
      </c>
      <c r="KJ2" s="49">
        <f t="shared" si="4"/>
        <v>42005</v>
      </c>
      <c r="KK2" s="49">
        <f t="shared" si="4"/>
        <v>42006</v>
      </c>
      <c r="KL2" s="49">
        <f t="shared" si="4"/>
        <v>42007</v>
      </c>
      <c r="KM2" s="49">
        <f t="shared" si="4"/>
        <v>42008</v>
      </c>
      <c r="KN2" s="49">
        <f t="shared" si="4"/>
        <v>42009</v>
      </c>
      <c r="KO2" s="49">
        <f t="shared" si="4"/>
        <v>42010</v>
      </c>
      <c r="KP2" s="49">
        <f t="shared" si="4"/>
        <v>42011</v>
      </c>
      <c r="KQ2" s="49">
        <f t="shared" si="4"/>
        <v>42012</v>
      </c>
      <c r="KR2" s="49">
        <f t="shared" si="4"/>
        <v>42013</v>
      </c>
      <c r="KS2" s="49">
        <f t="shared" si="4"/>
        <v>42014</v>
      </c>
      <c r="KT2" s="49">
        <f t="shared" si="4"/>
        <v>42015</v>
      </c>
      <c r="KU2" s="49">
        <f t="shared" si="4"/>
        <v>42016</v>
      </c>
      <c r="KV2" s="49">
        <f t="shared" si="4"/>
        <v>42017</v>
      </c>
      <c r="KW2" s="49">
        <f t="shared" si="4"/>
        <v>42018</v>
      </c>
      <c r="KX2" s="49">
        <f t="shared" si="4"/>
        <v>42019</v>
      </c>
      <c r="KY2" s="49">
        <f t="shared" si="4"/>
        <v>42020</v>
      </c>
      <c r="KZ2" s="49">
        <f t="shared" si="4"/>
        <v>42021</v>
      </c>
      <c r="LA2" s="49">
        <f t="shared" si="4"/>
        <v>42022</v>
      </c>
      <c r="LB2" s="49">
        <f t="shared" si="4"/>
        <v>42023</v>
      </c>
      <c r="LC2" s="49">
        <f t="shared" si="4"/>
        <v>42024</v>
      </c>
      <c r="LD2" s="49">
        <f t="shared" si="4"/>
        <v>42025</v>
      </c>
      <c r="LE2" s="49">
        <f t="shared" si="4"/>
        <v>42026</v>
      </c>
      <c r="LF2" s="49">
        <f t="shared" si="4"/>
        <v>42027</v>
      </c>
      <c r="LG2" s="49">
        <f t="shared" si="4"/>
        <v>42028</v>
      </c>
      <c r="LH2" s="49">
        <f t="shared" si="4"/>
        <v>42029</v>
      </c>
      <c r="LI2" s="49">
        <f t="shared" si="4"/>
        <v>42030</v>
      </c>
      <c r="LJ2" s="49">
        <f t="shared" si="4"/>
        <v>42031</v>
      </c>
      <c r="LK2" s="49">
        <f t="shared" si="4"/>
        <v>42032</v>
      </c>
      <c r="LL2" s="49">
        <f t="shared" si="4"/>
        <v>42033</v>
      </c>
      <c r="LM2" s="49">
        <f t="shared" si="4"/>
        <v>42034</v>
      </c>
      <c r="LN2" s="49">
        <f t="shared" si="4"/>
        <v>42035</v>
      </c>
      <c r="LO2" s="49">
        <f t="shared" si="4"/>
        <v>42036</v>
      </c>
      <c r="LP2" s="49">
        <f t="shared" si="4"/>
        <v>42037</v>
      </c>
      <c r="LQ2" s="49">
        <f t="shared" si="4"/>
        <v>42038</v>
      </c>
      <c r="LR2" s="49">
        <f t="shared" si="4"/>
        <v>42039</v>
      </c>
      <c r="LS2" s="49">
        <f t="shared" si="4"/>
        <v>42040</v>
      </c>
      <c r="LT2" s="49">
        <f t="shared" si="4"/>
        <v>42041</v>
      </c>
      <c r="LU2" s="49">
        <f t="shared" si="4"/>
        <v>42042</v>
      </c>
      <c r="LV2" s="49">
        <f t="shared" si="4"/>
        <v>42043</v>
      </c>
      <c r="LW2" s="49">
        <f t="shared" si="4"/>
        <v>42044</v>
      </c>
      <c r="LX2" s="49">
        <f t="shared" si="4"/>
        <v>42045</v>
      </c>
      <c r="LY2" s="49">
        <f t="shared" si="4"/>
        <v>42046</v>
      </c>
      <c r="LZ2" s="49">
        <f t="shared" si="4"/>
        <v>42047</v>
      </c>
      <c r="MA2" s="49">
        <f t="shared" si="4"/>
        <v>42048</v>
      </c>
      <c r="MB2" s="49">
        <f t="shared" si="4"/>
        <v>42049</v>
      </c>
      <c r="MC2" s="49">
        <f t="shared" si="4"/>
        <v>42050</v>
      </c>
      <c r="MD2" s="49">
        <f t="shared" si="4"/>
        <v>42051</v>
      </c>
      <c r="ME2" s="49">
        <f t="shared" si="4"/>
        <v>42052</v>
      </c>
      <c r="MF2" s="49">
        <f t="shared" ref="MF2:NU2" si="5">ME2+1</f>
        <v>42053</v>
      </c>
      <c r="MG2" s="49">
        <f t="shared" si="5"/>
        <v>42054</v>
      </c>
      <c r="MH2" s="49">
        <f t="shared" si="5"/>
        <v>42055</v>
      </c>
      <c r="MI2" s="49">
        <f t="shared" si="5"/>
        <v>42056</v>
      </c>
      <c r="MJ2" s="49">
        <f t="shared" si="5"/>
        <v>42057</v>
      </c>
      <c r="MK2" s="49">
        <f t="shared" si="5"/>
        <v>42058</v>
      </c>
      <c r="ML2" s="49">
        <f t="shared" si="5"/>
        <v>42059</v>
      </c>
      <c r="MM2" s="49">
        <f t="shared" si="5"/>
        <v>42060</v>
      </c>
      <c r="MN2" s="49">
        <f t="shared" si="5"/>
        <v>42061</v>
      </c>
      <c r="MO2" s="49">
        <f t="shared" si="5"/>
        <v>42062</v>
      </c>
      <c r="MP2" s="49">
        <f t="shared" si="5"/>
        <v>42063</v>
      </c>
      <c r="MQ2" s="49">
        <f t="shared" si="5"/>
        <v>42064</v>
      </c>
      <c r="MR2" s="49">
        <f t="shared" si="5"/>
        <v>42065</v>
      </c>
      <c r="MS2" s="49">
        <f t="shared" si="5"/>
        <v>42066</v>
      </c>
      <c r="MT2" s="49">
        <f t="shared" si="5"/>
        <v>42067</v>
      </c>
      <c r="MU2" s="49">
        <f t="shared" si="5"/>
        <v>42068</v>
      </c>
      <c r="MV2" s="49">
        <f t="shared" si="5"/>
        <v>42069</v>
      </c>
      <c r="MW2" s="49">
        <f t="shared" si="5"/>
        <v>42070</v>
      </c>
      <c r="MX2" s="49">
        <f t="shared" si="5"/>
        <v>42071</v>
      </c>
      <c r="MY2" s="49">
        <f t="shared" si="5"/>
        <v>42072</v>
      </c>
      <c r="MZ2" s="49">
        <f t="shared" si="5"/>
        <v>42073</v>
      </c>
      <c r="NA2" s="49">
        <f t="shared" si="5"/>
        <v>42074</v>
      </c>
      <c r="NB2" s="49">
        <f t="shared" si="5"/>
        <v>42075</v>
      </c>
      <c r="NC2" s="49">
        <f t="shared" si="5"/>
        <v>42076</v>
      </c>
      <c r="ND2" s="49">
        <f t="shared" si="5"/>
        <v>42077</v>
      </c>
      <c r="NE2" s="49">
        <f t="shared" si="5"/>
        <v>42078</v>
      </c>
      <c r="NF2" s="49">
        <f t="shared" si="5"/>
        <v>42079</v>
      </c>
      <c r="NG2" s="49">
        <f t="shared" si="5"/>
        <v>42080</v>
      </c>
      <c r="NH2" s="49">
        <f t="shared" si="5"/>
        <v>42081</v>
      </c>
      <c r="NI2" s="49">
        <f t="shared" si="5"/>
        <v>42082</v>
      </c>
      <c r="NJ2" s="49">
        <f t="shared" si="5"/>
        <v>42083</v>
      </c>
      <c r="NK2" s="49">
        <f t="shared" si="5"/>
        <v>42084</v>
      </c>
      <c r="NL2" s="49">
        <f t="shared" si="5"/>
        <v>42085</v>
      </c>
      <c r="NM2" s="49">
        <f t="shared" si="5"/>
        <v>42086</v>
      </c>
      <c r="NN2" s="49">
        <f t="shared" si="5"/>
        <v>42087</v>
      </c>
      <c r="NO2" s="49">
        <f t="shared" si="5"/>
        <v>42088</v>
      </c>
      <c r="NP2" s="49">
        <f t="shared" si="5"/>
        <v>42089</v>
      </c>
      <c r="NQ2" s="49">
        <f t="shared" si="5"/>
        <v>42090</v>
      </c>
      <c r="NR2" s="49">
        <f t="shared" si="5"/>
        <v>42091</v>
      </c>
      <c r="NS2" s="49">
        <f t="shared" si="5"/>
        <v>42092</v>
      </c>
      <c r="NT2" s="49">
        <f t="shared" si="5"/>
        <v>42093</v>
      </c>
      <c r="NU2" s="49">
        <f t="shared" si="5"/>
        <v>42094</v>
      </c>
      <c r="NV2" s="49"/>
      <c r="NW2" s="49"/>
      <c r="NX2" s="49"/>
      <c r="NY2" s="49"/>
      <c r="NZ2" s="49"/>
      <c r="OA2" s="49"/>
      <c r="OB2" s="49"/>
      <c r="OC2" s="49"/>
      <c r="OD2" s="49"/>
      <c r="OE2" s="49"/>
      <c r="OF2" s="49"/>
      <c r="OG2" s="49"/>
      <c r="OH2" s="49"/>
      <c r="OI2" s="49"/>
      <c r="OJ2" s="49"/>
      <c r="OK2" s="49"/>
      <c r="OL2" s="49"/>
      <c r="OM2" s="49"/>
      <c r="ON2" s="49"/>
      <c r="OO2" s="49"/>
      <c r="OP2" s="49"/>
      <c r="OQ2" s="49"/>
      <c r="OR2" s="49"/>
      <c r="OS2" s="49"/>
      <c r="OT2" s="49"/>
      <c r="OU2" s="49"/>
      <c r="OV2" s="49"/>
      <c r="OW2" s="49"/>
      <c r="OX2" s="49"/>
      <c r="OY2" s="49"/>
      <c r="OZ2" s="49"/>
      <c r="PA2" s="49"/>
      <c r="PB2" s="49"/>
      <c r="PC2" s="49"/>
      <c r="PD2" s="49"/>
      <c r="PE2" s="49"/>
      <c r="PF2" s="49"/>
      <c r="PG2" s="49"/>
      <c r="PH2" s="49"/>
      <c r="PI2" s="49"/>
      <c r="PJ2" s="49"/>
      <c r="PK2" s="49"/>
      <c r="PL2" s="49"/>
      <c r="PM2" s="49"/>
      <c r="PN2" s="49"/>
      <c r="PO2" s="49"/>
      <c r="PP2" s="49"/>
      <c r="PQ2" s="49"/>
      <c r="PR2" s="49"/>
      <c r="PS2" s="49"/>
      <c r="PT2" s="49"/>
      <c r="PU2" s="49"/>
      <c r="PV2" s="49"/>
      <c r="PW2" s="49"/>
      <c r="PX2" s="49"/>
      <c r="PY2" s="49"/>
      <c r="PZ2" s="49"/>
      <c r="QA2" s="49"/>
      <c r="QB2" s="49"/>
      <c r="QC2" s="49"/>
      <c r="QD2" s="49"/>
      <c r="QE2" s="49"/>
      <c r="QF2" s="49"/>
      <c r="QG2" s="49"/>
      <c r="QH2" s="49"/>
      <c r="QI2" s="49"/>
      <c r="QJ2" s="49"/>
      <c r="QK2" s="49"/>
      <c r="QL2" s="49"/>
      <c r="QM2" s="49"/>
      <c r="QN2" s="49"/>
      <c r="QO2" s="49"/>
      <c r="QP2" s="49"/>
      <c r="QQ2" s="49"/>
      <c r="QR2" s="49"/>
      <c r="QS2" s="49"/>
      <c r="QT2" s="49"/>
      <c r="QU2" s="49"/>
      <c r="QV2" s="49"/>
      <c r="QW2" s="49"/>
      <c r="QX2" s="49"/>
      <c r="QY2" s="49"/>
      <c r="QZ2" s="49"/>
      <c r="RA2" s="49"/>
      <c r="RB2" s="49"/>
      <c r="RC2" s="49"/>
      <c r="RD2" s="49"/>
      <c r="RE2" s="49"/>
      <c r="RF2" s="49"/>
      <c r="RG2" s="49"/>
      <c r="RH2" s="49"/>
      <c r="RI2" s="49"/>
      <c r="RJ2" s="49"/>
      <c r="RK2" s="49"/>
      <c r="RL2" s="49"/>
      <c r="RM2" s="49"/>
      <c r="RN2" s="49"/>
      <c r="RO2" s="49"/>
      <c r="RP2" s="49"/>
      <c r="RQ2" s="49"/>
      <c r="RR2" s="49"/>
      <c r="RS2" s="49"/>
      <c r="RT2" s="49"/>
      <c r="RU2" s="49"/>
      <c r="RV2" s="49"/>
      <c r="RW2" s="49"/>
      <c r="RX2" s="49"/>
      <c r="RY2" s="49"/>
      <c r="RZ2" s="49"/>
      <c r="SA2" s="49"/>
      <c r="SB2" s="49"/>
      <c r="SC2" s="49"/>
      <c r="SD2" s="49"/>
      <c r="SE2" s="49"/>
      <c r="SF2" s="49"/>
      <c r="SG2" s="49"/>
      <c r="SH2" s="49"/>
      <c r="SI2" s="49"/>
      <c r="SJ2" s="49"/>
      <c r="SK2" s="49"/>
      <c r="SL2" s="49"/>
      <c r="SM2" s="49"/>
      <c r="SN2" s="49"/>
      <c r="SO2" s="49"/>
      <c r="SP2" s="49"/>
      <c r="SQ2" s="49"/>
      <c r="SR2" s="49"/>
      <c r="SS2" s="49"/>
      <c r="ST2" s="49"/>
      <c r="SU2" s="49"/>
      <c r="SV2" s="49"/>
      <c r="SW2" s="49"/>
      <c r="SX2" s="49"/>
      <c r="SY2" s="49"/>
      <c r="SZ2" s="49"/>
      <c r="TA2" s="49"/>
      <c r="TB2" s="49"/>
      <c r="TC2" s="49"/>
      <c r="TD2" s="49"/>
      <c r="TE2" s="49"/>
      <c r="TF2" s="49"/>
      <c r="TG2" s="49"/>
      <c r="TH2" s="49"/>
      <c r="TI2" s="49"/>
      <c r="TJ2" s="49"/>
      <c r="TK2" s="49"/>
      <c r="TL2" s="49"/>
      <c r="TM2" s="49"/>
      <c r="TN2" s="49"/>
      <c r="TO2" s="49"/>
      <c r="TP2" s="49"/>
      <c r="TQ2" s="49"/>
      <c r="TR2" s="49"/>
      <c r="TS2" s="49"/>
      <c r="TT2" s="49"/>
      <c r="TU2" s="49"/>
      <c r="TV2" s="49"/>
      <c r="TW2" s="49"/>
      <c r="TX2" s="49"/>
      <c r="TY2" s="49"/>
      <c r="TZ2" s="49"/>
      <c r="UA2" s="49"/>
      <c r="UB2" s="49"/>
      <c r="UC2" s="49"/>
      <c r="UD2" s="49"/>
      <c r="UE2" s="49"/>
      <c r="UF2" s="49"/>
      <c r="UG2" s="49"/>
      <c r="UH2" s="49"/>
      <c r="UI2" s="49"/>
      <c r="UJ2" s="49"/>
      <c r="UK2" s="49"/>
      <c r="UL2" s="49"/>
      <c r="UM2" s="49"/>
      <c r="UN2" s="49"/>
      <c r="UO2" s="49"/>
      <c r="UP2" s="49"/>
      <c r="UQ2" s="49"/>
      <c r="UR2" s="49"/>
      <c r="US2" s="49"/>
      <c r="UT2" s="49"/>
      <c r="UU2" s="49"/>
      <c r="UV2" s="49"/>
      <c r="UW2" s="49"/>
      <c r="UX2" s="49"/>
      <c r="UY2" s="49"/>
      <c r="UZ2" s="49"/>
      <c r="VA2" s="49"/>
      <c r="VB2" s="49"/>
      <c r="VC2" s="49"/>
      <c r="VD2" s="49"/>
      <c r="VE2" s="49"/>
      <c r="VF2" s="49"/>
      <c r="VG2" s="49"/>
      <c r="VH2" s="49"/>
      <c r="VI2" s="49"/>
      <c r="VJ2" s="49"/>
      <c r="VK2" s="49"/>
      <c r="VL2" s="49"/>
      <c r="VM2" s="49"/>
      <c r="VN2" s="49"/>
      <c r="VO2" s="49"/>
      <c r="VP2" s="49"/>
      <c r="VQ2" s="49"/>
      <c r="VR2" s="49"/>
      <c r="VS2" s="49"/>
      <c r="VT2" s="49"/>
      <c r="VU2" s="49"/>
      <c r="VV2" s="49"/>
      <c r="VW2" s="49"/>
      <c r="VX2" s="49"/>
      <c r="VY2" s="49"/>
      <c r="VZ2" s="49"/>
      <c r="WA2" s="49"/>
      <c r="WB2" s="49"/>
      <c r="WC2" s="49"/>
      <c r="WD2" s="49"/>
      <c r="WE2" s="49"/>
      <c r="WF2" s="49"/>
      <c r="WG2" s="49"/>
      <c r="WH2" s="49"/>
      <c r="WI2" s="49"/>
      <c r="WJ2" s="49"/>
      <c r="WK2" s="49"/>
      <c r="WL2" s="49"/>
      <c r="WM2" s="49"/>
      <c r="WN2" s="49"/>
      <c r="WO2" s="49"/>
      <c r="WP2" s="49"/>
      <c r="WQ2" s="49"/>
    </row>
    <row r="3" spans="1:615" x14ac:dyDescent="0.25">
      <c r="A3" s="28">
        <v>1</v>
      </c>
      <c r="B3" s="28" t="s">
        <v>42</v>
      </c>
      <c r="C3" s="28" t="s">
        <v>44</v>
      </c>
      <c r="D3" s="28" t="s">
        <v>596</v>
      </c>
      <c r="E3" s="28">
        <v>1</v>
      </c>
      <c r="F3" s="28">
        <v>100</v>
      </c>
      <c r="G3" s="28">
        <v>5</v>
      </c>
      <c r="H3" s="50">
        <f t="shared" ref="H3:H66" si="6">F3+G3</f>
        <v>105</v>
      </c>
      <c r="I3" s="28">
        <v>14</v>
      </c>
      <c r="J3" s="28">
        <v>105</v>
      </c>
      <c r="K3" s="28">
        <f>J3+I3</f>
        <v>119</v>
      </c>
      <c r="L3" s="49">
        <f t="shared" ref="L3:L66" si="7">$M$1+K3</f>
        <v>41849</v>
      </c>
      <c r="M3" s="51">
        <f t="shared" ref="M3:M66" si="8">$N$1-L3</f>
        <v>245</v>
      </c>
      <c r="N3" s="51">
        <v>3000</v>
      </c>
      <c r="O3" s="28">
        <v>13.8</v>
      </c>
      <c r="P3" s="28">
        <f>N3*(1-O3/100)</f>
        <v>2586</v>
      </c>
      <c r="S3" s="28">
        <f>(N3-P3)/365</f>
        <v>1.1342465753424658</v>
      </c>
      <c r="EJ3" s="51">
        <f>N3</f>
        <v>3000</v>
      </c>
      <c r="EK3" s="51">
        <f>EJ3-$S3</f>
        <v>2998.8657534246577</v>
      </c>
      <c r="EL3" s="51">
        <f t="shared" ref="EL3:FA8" si="9">EK3-$S3</f>
        <v>2997.7315068493153</v>
      </c>
      <c r="EM3" s="51">
        <f t="shared" si="9"/>
        <v>2996.597260273973</v>
      </c>
      <c r="EN3" s="51">
        <f t="shared" si="9"/>
        <v>2995.4630136986307</v>
      </c>
      <c r="EO3" s="51">
        <f t="shared" si="9"/>
        <v>2994.3287671232883</v>
      </c>
      <c r="EP3" s="51">
        <f t="shared" si="9"/>
        <v>2993.194520547946</v>
      </c>
      <c r="EQ3" s="51">
        <f t="shared" si="9"/>
        <v>2992.0602739726037</v>
      </c>
      <c r="ER3" s="51">
        <f t="shared" si="9"/>
        <v>2990.9260273972614</v>
      </c>
      <c r="ES3" s="51">
        <f t="shared" si="9"/>
        <v>2989.791780821919</v>
      </c>
      <c r="ET3" s="51">
        <f>ES3-$S3</f>
        <v>2988.6575342465767</v>
      </c>
      <c r="EU3" s="51">
        <f t="shared" ref="EU3:HF6" si="10">ET3-$S3</f>
        <v>2987.5232876712344</v>
      </c>
      <c r="EV3" s="51">
        <f t="shared" si="10"/>
        <v>2986.389041095892</v>
      </c>
      <c r="EW3" s="51">
        <f t="shared" si="10"/>
        <v>2985.2547945205497</v>
      </c>
      <c r="EX3" s="51">
        <f t="shared" si="10"/>
        <v>2984.1205479452074</v>
      </c>
      <c r="EY3" s="51">
        <f t="shared" si="10"/>
        <v>2982.986301369865</v>
      </c>
      <c r="EZ3" s="51">
        <f t="shared" si="10"/>
        <v>2981.8520547945227</v>
      </c>
      <c r="FA3" s="51">
        <f t="shared" si="10"/>
        <v>2980.7178082191804</v>
      </c>
      <c r="FB3" s="51">
        <f t="shared" si="10"/>
        <v>2979.583561643838</v>
      </c>
      <c r="FC3" s="51">
        <f t="shared" si="10"/>
        <v>2978.4493150684957</v>
      </c>
      <c r="FD3" s="51">
        <f t="shared" si="10"/>
        <v>2977.3150684931534</v>
      </c>
      <c r="FE3" s="51">
        <f t="shared" si="10"/>
        <v>2976.180821917811</v>
      </c>
      <c r="FF3" s="51">
        <f t="shared" si="10"/>
        <v>2975.0465753424687</v>
      </c>
      <c r="FG3" s="51">
        <f t="shared" si="10"/>
        <v>2973.9123287671264</v>
      </c>
      <c r="FH3" s="51">
        <f t="shared" si="10"/>
        <v>2972.7780821917841</v>
      </c>
      <c r="FI3" s="51">
        <f t="shared" si="10"/>
        <v>2971.6438356164417</v>
      </c>
      <c r="FJ3" s="51">
        <f t="shared" si="10"/>
        <v>2970.5095890410994</v>
      </c>
      <c r="FK3" s="51">
        <f t="shared" si="10"/>
        <v>2969.3753424657571</v>
      </c>
      <c r="FL3" s="51">
        <f t="shared" si="10"/>
        <v>2968.2410958904147</v>
      </c>
      <c r="FM3" s="51">
        <f t="shared" si="10"/>
        <v>2967.1068493150724</v>
      </c>
      <c r="FN3" s="51">
        <f t="shared" si="10"/>
        <v>2965.9726027397301</v>
      </c>
      <c r="FO3" s="51">
        <f t="shared" si="10"/>
        <v>2964.8383561643877</v>
      </c>
      <c r="FP3" s="51">
        <f t="shared" si="10"/>
        <v>2963.7041095890454</v>
      </c>
      <c r="FQ3" s="51">
        <f t="shared" si="10"/>
        <v>2962.5698630137031</v>
      </c>
      <c r="FR3" s="51">
        <f t="shared" si="10"/>
        <v>2961.4356164383607</v>
      </c>
      <c r="FS3" s="51">
        <f t="shared" si="10"/>
        <v>2960.3013698630184</v>
      </c>
      <c r="FT3" s="51">
        <f t="shared" si="10"/>
        <v>2959.1671232876761</v>
      </c>
      <c r="FU3" s="51">
        <f t="shared" si="10"/>
        <v>2958.0328767123337</v>
      </c>
      <c r="FV3" s="51">
        <f t="shared" si="10"/>
        <v>2956.8986301369914</v>
      </c>
      <c r="FW3" s="51">
        <f t="shared" si="10"/>
        <v>2955.7643835616491</v>
      </c>
      <c r="FX3" s="51">
        <f t="shared" si="10"/>
        <v>2954.6301369863068</v>
      </c>
      <c r="FY3" s="51">
        <f t="shared" si="10"/>
        <v>2953.4958904109644</v>
      </c>
      <c r="FZ3" s="51">
        <f t="shared" si="10"/>
        <v>2952.3616438356221</v>
      </c>
      <c r="GA3" s="51">
        <f t="shared" si="10"/>
        <v>2951.2273972602798</v>
      </c>
      <c r="GB3" s="51">
        <f t="shared" si="10"/>
        <v>2950.0931506849374</v>
      </c>
      <c r="GC3" s="51">
        <f t="shared" si="10"/>
        <v>2948.9589041095951</v>
      </c>
      <c r="GD3" s="51">
        <f t="shared" si="10"/>
        <v>2947.8246575342528</v>
      </c>
      <c r="GE3" s="51">
        <f t="shared" si="10"/>
        <v>2946.6904109589104</v>
      </c>
      <c r="GF3" s="51">
        <f t="shared" si="10"/>
        <v>2945.5561643835681</v>
      </c>
      <c r="GG3" s="51">
        <f t="shared" si="10"/>
        <v>2944.4219178082258</v>
      </c>
      <c r="GH3" s="51">
        <f t="shared" si="10"/>
        <v>2943.2876712328834</v>
      </c>
      <c r="GI3" s="51">
        <f t="shared" si="10"/>
        <v>2942.1534246575411</v>
      </c>
      <c r="GJ3" s="51">
        <f t="shared" si="10"/>
        <v>2941.0191780821988</v>
      </c>
      <c r="GK3" s="51">
        <f t="shared" si="10"/>
        <v>2939.8849315068564</v>
      </c>
      <c r="GL3" s="51">
        <f t="shared" si="10"/>
        <v>2938.7506849315141</v>
      </c>
      <c r="GM3" s="51">
        <f t="shared" si="10"/>
        <v>2937.6164383561718</v>
      </c>
      <c r="GN3" s="51">
        <f t="shared" si="10"/>
        <v>2936.4821917808295</v>
      </c>
      <c r="GO3" s="51">
        <f t="shared" si="10"/>
        <v>2935.3479452054871</v>
      </c>
      <c r="GP3" s="51">
        <f t="shared" si="10"/>
        <v>2934.2136986301448</v>
      </c>
      <c r="GQ3" s="51">
        <f t="shared" si="10"/>
        <v>2933.0794520548025</v>
      </c>
      <c r="GR3" s="51">
        <f t="shared" si="10"/>
        <v>2931.9452054794601</v>
      </c>
      <c r="GS3" s="51">
        <f t="shared" si="10"/>
        <v>2930.8109589041178</v>
      </c>
      <c r="GT3" s="51">
        <f t="shared" si="10"/>
        <v>2929.6767123287755</v>
      </c>
      <c r="GU3" s="51">
        <f t="shared" si="10"/>
        <v>2928.5424657534331</v>
      </c>
      <c r="GV3" s="51">
        <f t="shared" si="10"/>
        <v>2927.4082191780908</v>
      </c>
      <c r="GW3" s="51">
        <f t="shared" si="10"/>
        <v>2926.2739726027485</v>
      </c>
      <c r="GX3" s="51">
        <f t="shared" si="10"/>
        <v>2925.1397260274061</v>
      </c>
      <c r="GY3" s="51">
        <f t="shared" si="10"/>
        <v>2924.0054794520638</v>
      </c>
      <c r="GZ3" s="51">
        <f t="shared" si="10"/>
        <v>2922.8712328767215</v>
      </c>
      <c r="HA3" s="51">
        <f t="shared" si="10"/>
        <v>2921.7369863013791</v>
      </c>
      <c r="HB3" s="51">
        <f t="shared" si="10"/>
        <v>2920.6027397260368</v>
      </c>
      <c r="HC3" s="51">
        <f t="shared" si="10"/>
        <v>2919.4684931506945</v>
      </c>
      <c r="HD3" s="51">
        <f t="shared" si="10"/>
        <v>2918.3342465753522</v>
      </c>
      <c r="HE3" s="51">
        <f t="shared" si="10"/>
        <v>2917.2000000000098</v>
      </c>
      <c r="HF3" s="51">
        <f t="shared" si="10"/>
        <v>2916.0657534246675</v>
      </c>
      <c r="HG3" s="51">
        <f t="shared" ref="HG3:JR8" si="11">HF3-$S3</f>
        <v>2914.9315068493252</v>
      </c>
      <c r="HH3" s="51">
        <f t="shared" si="11"/>
        <v>2913.7972602739828</v>
      </c>
      <c r="HI3" s="51">
        <f t="shared" si="11"/>
        <v>2912.6630136986405</v>
      </c>
      <c r="HJ3" s="51">
        <f t="shared" si="11"/>
        <v>2911.5287671232982</v>
      </c>
      <c r="HK3" s="51">
        <f t="shared" si="11"/>
        <v>2910.3945205479558</v>
      </c>
      <c r="HL3" s="51">
        <f t="shared" si="11"/>
        <v>2909.2602739726135</v>
      </c>
      <c r="HM3" s="51">
        <f t="shared" si="11"/>
        <v>2908.1260273972712</v>
      </c>
      <c r="HN3" s="51">
        <f t="shared" si="11"/>
        <v>2906.9917808219288</v>
      </c>
      <c r="HO3" s="51">
        <f t="shared" si="11"/>
        <v>2905.8575342465865</v>
      </c>
      <c r="HP3" s="51">
        <f t="shared" si="11"/>
        <v>2904.7232876712442</v>
      </c>
      <c r="HQ3" s="51">
        <f t="shared" si="11"/>
        <v>2903.5890410959018</v>
      </c>
      <c r="HR3" s="51">
        <f t="shared" si="11"/>
        <v>2902.4547945205595</v>
      </c>
      <c r="HS3" s="51">
        <f t="shared" si="11"/>
        <v>2901.3205479452172</v>
      </c>
      <c r="HT3" s="51">
        <f t="shared" si="11"/>
        <v>2900.1863013698749</v>
      </c>
      <c r="HU3" s="51">
        <f t="shared" si="11"/>
        <v>2899.0520547945325</v>
      </c>
      <c r="HV3" s="51">
        <f t="shared" si="11"/>
        <v>2897.9178082191902</v>
      </c>
      <c r="HW3" s="51">
        <f t="shared" si="11"/>
        <v>2896.7835616438479</v>
      </c>
      <c r="HX3" s="51">
        <f t="shared" si="11"/>
        <v>2895.6493150685055</v>
      </c>
      <c r="HY3" s="51">
        <f t="shared" si="11"/>
        <v>2894.5150684931632</v>
      </c>
      <c r="HZ3" s="51">
        <f t="shared" si="11"/>
        <v>2893.3808219178209</v>
      </c>
      <c r="IA3" s="51">
        <f t="shared" si="11"/>
        <v>2892.2465753424785</v>
      </c>
      <c r="IB3" s="51">
        <f t="shared" si="11"/>
        <v>2891.1123287671362</v>
      </c>
      <c r="IC3" s="51">
        <f t="shared" si="11"/>
        <v>2889.9780821917939</v>
      </c>
      <c r="ID3" s="51">
        <f t="shared" si="11"/>
        <v>2888.8438356164515</v>
      </c>
      <c r="IE3" s="51">
        <f t="shared" si="11"/>
        <v>2887.7095890411092</v>
      </c>
      <c r="IF3" s="51">
        <f t="shared" si="11"/>
        <v>2886.5753424657669</v>
      </c>
      <c r="IG3" s="51">
        <f t="shared" si="11"/>
        <v>2885.4410958904245</v>
      </c>
      <c r="IH3" s="51">
        <f t="shared" si="11"/>
        <v>2884.3068493150822</v>
      </c>
      <c r="II3" s="51">
        <f t="shared" si="11"/>
        <v>2883.1726027397399</v>
      </c>
      <c r="IJ3" s="51">
        <f t="shared" si="11"/>
        <v>2882.0383561643976</v>
      </c>
      <c r="IK3" s="51">
        <f t="shared" si="11"/>
        <v>2880.9041095890552</v>
      </c>
      <c r="IL3" s="51">
        <f t="shared" si="11"/>
        <v>2879.7698630137129</v>
      </c>
      <c r="IM3" s="51">
        <f t="shared" si="11"/>
        <v>2878.6356164383706</v>
      </c>
      <c r="IN3" s="51">
        <f t="shared" si="11"/>
        <v>2877.5013698630282</v>
      </c>
      <c r="IO3" s="51">
        <f t="shared" si="11"/>
        <v>2876.3671232876859</v>
      </c>
      <c r="IP3" s="51">
        <f t="shared" si="11"/>
        <v>2875.2328767123436</v>
      </c>
      <c r="IQ3" s="51">
        <f t="shared" si="11"/>
        <v>2874.0986301370012</v>
      </c>
      <c r="IR3" s="51">
        <f t="shared" si="11"/>
        <v>2872.9643835616589</v>
      </c>
      <c r="IS3" s="51">
        <f t="shared" si="11"/>
        <v>2871.8301369863166</v>
      </c>
      <c r="IT3" s="51">
        <f t="shared" si="11"/>
        <v>2870.6958904109742</v>
      </c>
      <c r="IU3" s="51">
        <f t="shared" si="11"/>
        <v>2869.5616438356319</v>
      </c>
      <c r="IV3" s="51">
        <f t="shared" si="11"/>
        <v>2868.4273972602896</v>
      </c>
      <c r="IW3" s="51">
        <f t="shared" si="11"/>
        <v>2867.2931506849472</v>
      </c>
      <c r="IX3" s="51">
        <f t="shared" si="11"/>
        <v>2866.1589041096049</v>
      </c>
      <c r="IY3" s="51">
        <f t="shared" si="11"/>
        <v>2865.0246575342626</v>
      </c>
      <c r="IZ3" s="51">
        <f t="shared" si="11"/>
        <v>2863.8904109589203</v>
      </c>
      <c r="JA3" s="51">
        <f t="shared" si="11"/>
        <v>2862.7561643835779</v>
      </c>
      <c r="JB3" s="51">
        <f t="shared" si="11"/>
        <v>2861.6219178082356</v>
      </c>
      <c r="JC3" s="51">
        <f t="shared" si="11"/>
        <v>2860.4876712328933</v>
      </c>
      <c r="JD3" s="51">
        <f t="shared" si="11"/>
        <v>2859.3534246575509</v>
      </c>
      <c r="JE3" s="51">
        <f t="shared" si="11"/>
        <v>2858.2191780822086</v>
      </c>
      <c r="JF3" s="51">
        <f t="shared" si="11"/>
        <v>2857.0849315068663</v>
      </c>
      <c r="JG3" s="51">
        <f t="shared" si="11"/>
        <v>2855.9506849315239</v>
      </c>
      <c r="JH3" s="51">
        <f t="shared" si="11"/>
        <v>2854.8164383561816</v>
      </c>
      <c r="JI3" s="51">
        <f t="shared" si="11"/>
        <v>2853.6821917808393</v>
      </c>
      <c r="JJ3" s="51">
        <f t="shared" si="11"/>
        <v>2852.5479452054969</v>
      </c>
      <c r="JK3" s="51">
        <f t="shared" si="11"/>
        <v>2851.4136986301546</v>
      </c>
      <c r="JL3" s="51">
        <f t="shared" si="11"/>
        <v>2850.2794520548123</v>
      </c>
      <c r="JM3" s="51">
        <f t="shared" si="11"/>
        <v>2849.14520547947</v>
      </c>
      <c r="JN3" s="51">
        <f t="shared" si="11"/>
        <v>2848.0109589041276</v>
      </c>
      <c r="JO3" s="51">
        <f t="shared" si="11"/>
        <v>2846.8767123287853</v>
      </c>
      <c r="JP3" s="51">
        <f t="shared" si="11"/>
        <v>2845.742465753443</v>
      </c>
      <c r="JQ3" s="51">
        <f t="shared" si="11"/>
        <v>2844.6082191781006</v>
      </c>
      <c r="JR3" s="51">
        <f t="shared" si="11"/>
        <v>2843.4739726027583</v>
      </c>
      <c r="JS3" s="51">
        <f t="shared" ref="JS3:MD6" si="12">JR3-$S3</f>
        <v>2842.339726027416</v>
      </c>
      <c r="JT3" s="51">
        <f t="shared" si="12"/>
        <v>2841.2054794520736</v>
      </c>
      <c r="JU3" s="51">
        <f t="shared" si="12"/>
        <v>2840.0712328767313</v>
      </c>
      <c r="JV3" s="51">
        <f t="shared" si="12"/>
        <v>2838.936986301389</v>
      </c>
      <c r="JW3" s="51">
        <f t="shared" si="12"/>
        <v>2837.8027397260466</v>
      </c>
      <c r="JX3" s="51">
        <f t="shared" si="12"/>
        <v>2836.6684931507043</v>
      </c>
      <c r="JY3" s="51">
        <f t="shared" si="12"/>
        <v>2835.534246575362</v>
      </c>
      <c r="JZ3" s="51">
        <f t="shared" si="12"/>
        <v>2834.4000000000196</v>
      </c>
      <c r="KA3" s="51">
        <f t="shared" si="12"/>
        <v>2833.2657534246773</v>
      </c>
      <c r="KB3" s="51">
        <f t="shared" si="12"/>
        <v>2832.131506849335</v>
      </c>
      <c r="KC3" s="51">
        <f t="shared" si="12"/>
        <v>2830.9972602739927</v>
      </c>
      <c r="KD3" s="51">
        <f t="shared" si="12"/>
        <v>2829.8630136986503</v>
      </c>
      <c r="KE3" s="51">
        <f t="shared" si="12"/>
        <v>2828.728767123308</v>
      </c>
      <c r="KF3" s="51">
        <f t="shared" si="12"/>
        <v>2827.5945205479657</v>
      </c>
      <c r="KG3" s="51">
        <f t="shared" si="12"/>
        <v>2826.4602739726233</v>
      </c>
      <c r="KH3" s="51">
        <f t="shared" si="12"/>
        <v>2825.326027397281</v>
      </c>
      <c r="KI3" s="51">
        <f t="shared" si="12"/>
        <v>2824.1917808219387</v>
      </c>
      <c r="KJ3" s="51">
        <f t="shared" si="12"/>
        <v>2823.0575342465963</v>
      </c>
      <c r="KK3" s="51">
        <f t="shared" si="12"/>
        <v>2821.923287671254</v>
      </c>
      <c r="KL3" s="51">
        <f t="shared" si="12"/>
        <v>2820.7890410959117</v>
      </c>
      <c r="KM3" s="51">
        <f t="shared" si="12"/>
        <v>2819.6547945205693</v>
      </c>
      <c r="KN3" s="51">
        <f t="shared" si="12"/>
        <v>2818.520547945227</v>
      </c>
      <c r="KO3" s="51">
        <f t="shared" si="12"/>
        <v>2817.3863013698847</v>
      </c>
      <c r="KP3" s="51">
        <f t="shared" si="12"/>
        <v>2816.2520547945423</v>
      </c>
      <c r="KQ3" s="51">
        <f t="shared" si="12"/>
        <v>2815.1178082192</v>
      </c>
      <c r="KR3" s="51">
        <f t="shared" si="12"/>
        <v>2813.9835616438577</v>
      </c>
      <c r="KS3" s="51">
        <f t="shared" si="12"/>
        <v>2812.8493150685154</v>
      </c>
      <c r="KT3" s="51">
        <f t="shared" si="12"/>
        <v>2811.715068493173</v>
      </c>
      <c r="KU3" s="51">
        <f t="shared" si="12"/>
        <v>2810.5808219178307</v>
      </c>
      <c r="KV3" s="51">
        <f t="shared" si="12"/>
        <v>2809.4465753424884</v>
      </c>
      <c r="KW3" s="51">
        <f t="shared" si="12"/>
        <v>2808.312328767146</v>
      </c>
      <c r="KX3" s="51">
        <f t="shared" si="12"/>
        <v>2807.1780821918037</v>
      </c>
      <c r="KY3" s="51">
        <f t="shared" si="12"/>
        <v>2806.0438356164614</v>
      </c>
      <c r="KZ3" s="51">
        <f t="shared" si="12"/>
        <v>2804.909589041119</v>
      </c>
      <c r="LA3" s="51">
        <f t="shared" si="12"/>
        <v>2803.7753424657767</v>
      </c>
      <c r="LB3" s="51">
        <f t="shared" si="12"/>
        <v>2802.6410958904344</v>
      </c>
      <c r="LC3" s="51">
        <f t="shared" si="12"/>
        <v>2801.506849315092</v>
      </c>
      <c r="LD3" s="51">
        <f t="shared" si="12"/>
        <v>2800.3726027397497</v>
      </c>
      <c r="LE3" s="51">
        <f t="shared" si="12"/>
        <v>2799.2383561644074</v>
      </c>
      <c r="LF3" s="51">
        <f t="shared" si="12"/>
        <v>2798.104109589065</v>
      </c>
      <c r="LG3" s="51">
        <f t="shared" si="12"/>
        <v>2796.9698630137227</v>
      </c>
      <c r="LH3" s="51">
        <f t="shared" si="12"/>
        <v>2795.8356164383804</v>
      </c>
      <c r="LI3" s="51">
        <f t="shared" si="12"/>
        <v>2794.7013698630381</v>
      </c>
      <c r="LJ3" s="51">
        <f t="shared" si="12"/>
        <v>2793.5671232876957</v>
      </c>
      <c r="LK3" s="51">
        <f t="shared" si="12"/>
        <v>2792.4328767123534</v>
      </c>
      <c r="LL3" s="51">
        <f t="shared" si="12"/>
        <v>2791.2986301370111</v>
      </c>
      <c r="LM3" s="51">
        <f t="shared" si="12"/>
        <v>2790.1643835616687</v>
      </c>
      <c r="LN3" s="51">
        <f t="shared" si="12"/>
        <v>2789.0301369863264</v>
      </c>
      <c r="LO3" s="51">
        <f t="shared" si="12"/>
        <v>2787.8958904109841</v>
      </c>
      <c r="LP3" s="51">
        <f t="shared" si="12"/>
        <v>2786.7616438356417</v>
      </c>
      <c r="LQ3" s="51">
        <f t="shared" si="12"/>
        <v>2785.6273972602994</v>
      </c>
      <c r="LR3" s="51">
        <f t="shared" si="12"/>
        <v>2784.4931506849571</v>
      </c>
      <c r="LS3" s="51">
        <f t="shared" si="12"/>
        <v>2783.3589041096147</v>
      </c>
      <c r="LT3" s="51">
        <f t="shared" si="12"/>
        <v>2782.2246575342724</v>
      </c>
      <c r="LU3" s="51">
        <f t="shared" si="12"/>
        <v>2781.0904109589301</v>
      </c>
      <c r="LV3" s="51">
        <f t="shared" si="12"/>
        <v>2779.9561643835877</v>
      </c>
      <c r="LW3" s="51">
        <f t="shared" si="12"/>
        <v>2778.8219178082454</v>
      </c>
      <c r="LX3" s="51">
        <f t="shared" si="12"/>
        <v>2777.6876712329031</v>
      </c>
      <c r="LY3" s="51">
        <f t="shared" si="12"/>
        <v>2776.5534246575608</v>
      </c>
      <c r="LZ3" s="51">
        <f t="shared" si="12"/>
        <v>2775.4191780822184</v>
      </c>
      <c r="MA3" s="51">
        <f t="shared" si="12"/>
        <v>2774.2849315068761</v>
      </c>
      <c r="MB3" s="51">
        <f t="shared" si="12"/>
        <v>2773.1506849315338</v>
      </c>
      <c r="MC3" s="51">
        <f t="shared" si="12"/>
        <v>2772.0164383561914</v>
      </c>
      <c r="MD3" s="51">
        <f t="shared" si="12"/>
        <v>2770.8821917808491</v>
      </c>
      <c r="ME3" s="51">
        <f t="shared" ref="ME3:NU8" si="13">MD3-$S3</f>
        <v>2769.7479452055068</v>
      </c>
      <c r="MF3" s="51">
        <f t="shared" si="13"/>
        <v>2768.6136986301644</v>
      </c>
      <c r="MG3" s="51">
        <f t="shared" si="13"/>
        <v>2767.4794520548221</v>
      </c>
      <c r="MH3" s="51">
        <f t="shared" si="13"/>
        <v>2766.3452054794798</v>
      </c>
      <c r="MI3" s="51">
        <f t="shared" si="13"/>
        <v>2765.2109589041374</v>
      </c>
      <c r="MJ3" s="51">
        <f t="shared" si="13"/>
        <v>2764.0767123287951</v>
      </c>
      <c r="MK3" s="51">
        <f t="shared" si="13"/>
        <v>2762.9424657534528</v>
      </c>
      <c r="ML3" s="51">
        <f t="shared" si="13"/>
        <v>2761.8082191781104</v>
      </c>
      <c r="MM3" s="51">
        <f t="shared" si="13"/>
        <v>2760.6739726027681</v>
      </c>
      <c r="MN3" s="51">
        <f t="shared" si="13"/>
        <v>2759.5397260274258</v>
      </c>
      <c r="MO3" s="51">
        <f t="shared" si="13"/>
        <v>2758.4054794520835</v>
      </c>
      <c r="MP3" s="51">
        <f t="shared" si="13"/>
        <v>2757.2712328767411</v>
      </c>
      <c r="MQ3" s="51">
        <f t="shared" si="13"/>
        <v>2756.1369863013988</v>
      </c>
      <c r="MR3" s="51">
        <f t="shared" si="13"/>
        <v>2755.0027397260565</v>
      </c>
      <c r="MS3" s="51">
        <f t="shared" si="13"/>
        <v>2753.8684931507141</v>
      </c>
      <c r="MT3" s="51">
        <f t="shared" si="13"/>
        <v>2752.7342465753718</v>
      </c>
      <c r="MU3" s="51">
        <f t="shared" si="13"/>
        <v>2751.6000000000295</v>
      </c>
      <c r="MV3" s="51">
        <f t="shared" si="13"/>
        <v>2750.4657534246871</v>
      </c>
      <c r="MW3" s="51">
        <f t="shared" si="13"/>
        <v>2749.3315068493448</v>
      </c>
      <c r="MX3" s="51">
        <f t="shared" si="13"/>
        <v>2748.1972602740025</v>
      </c>
      <c r="MY3" s="51">
        <f t="shared" si="13"/>
        <v>2747.0630136986601</v>
      </c>
      <c r="MZ3" s="51">
        <f t="shared" si="13"/>
        <v>2745.9287671233178</v>
      </c>
      <c r="NA3" s="51">
        <f t="shared" si="13"/>
        <v>2744.7945205479755</v>
      </c>
      <c r="NB3" s="51">
        <f t="shared" si="13"/>
        <v>2743.6602739726331</v>
      </c>
      <c r="NC3" s="51">
        <f t="shared" si="13"/>
        <v>2742.5260273972908</v>
      </c>
      <c r="ND3" s="51">
        <f t="shared" si="13"/>
        <v>2741.3917808219485</v>
      </c>
      <c r="NE3" s="51">
        <f t="shared" si="13"/>
        <v>2740.2575342466062</v>
      </c>
      <c r="NF3" s="51">
        <f t="shared" si="13"/>
        <v>2739.1232876712638</v>
      </c>
      <c r="NG3" s="51">
        <f t="shared" si="13"/>
        <v>2737.9890410959215</v>
      </c>
      <c r="NH3" s="51">
        <f t="shared" si="13"/>
        <v>2736.8547945205792</v>
      </c>
      <c r="NI3" s="51">
        <f t="shared" si="13"/>
        <v>2735.7205479452368</v>
      </c>
      <c r="NJ3" s="51">
        <f t="shared" si="13"/>
        <v>2734.5863013698945</v>
      </c>
      <c r="NK3" s="51">
        <f t="shared" si="13"/>
        <v>2733.4520547945522</v>
      </c>
      <c r="NL3" s="51">
        <f t="shared" si="13"/>
        <v>2732.3178082192098</v>
      </c>
      <c r="NM3" s="51">
        <f t="shared" si="13"/>
        <v>2731.1835616438675</v>
      </c>
      <c r="NN3" s="51">
        <f t="shared" si="13"/>
        <v>2730.0493150685252</v>
      </c>
      <c r="NO3" s="51">
        <f t="shared" si="13"/>
        <v>2728.9150684931828</v>
      </c>
      <c r="NP3" s="51">
        <f t="shared" si="13"/>
        <v>2727.7808219178405</v>
      </c>
      <c r="NQ3" s="51">
        <f t="shared" si="13"/>
        <v>2726.6465753424982</v>
      </c>
      <c r="NR3" s="51">
        <f t="shared" si="13"/>
        <v>2725.5123287671559</v>
      </c>
      <c r="NS3" s="51">
        <f t="shared" si="13"/>
        <v>2724.3780821918135</v>
      </c>
      <c r="NT3" s="51">
        <f t="shared" si="13"/>
        <v>2723.2438356164712</v>
      </c>
      <c r="NU3" s="51">
        <f t="shared" si="13"/>
        <v>2722.1095890411289</v>
      </c>
      <c r="NV3" s="51"/>
      <c r="NW3" s="51"/>
      <c r="NX3" s="51"/>
      <c r="NY3" s="51"/>
      <c r="NZ3" s="51"/>
      <c r="OA3" s="51"/>
      <c r="OB3" s="51"/>
      <c r="OC3" s="51"/>
      <c r="OD3" s="51"/>
      <c r="OE3" s="51"/>
      <c r="OF3" s="51"/>
      <c r="OG3" s="51"/>
      <c r="OH3" s="51"/>
      <c r="OI3" s="51"/>
      <c r="OJ3" s="51"/>
      <c r="OK3" s="51"/>
      <c r="OL3" s="51"/>
      <c r="OM3" s="51"/>
      <c r="ON3" s="51"/>
      <c r="OO3" s="51"/>
      <c r="OP3" s="51"/>
      <c r="OQ3" s="51"/>
      <c r="OR3" s="51"/>
      <c r="OS3" s="51"/>
      <c r="OT3" s="51"/>
      <c r="OU3" s="51"/>
      <c r="OV3" s="51"/>
      <c r="OW3" s="51"/>
      <c r="OX3" s="51"/>
      <c r="OY3" s="51"/>
      <c r="OZ3" s="51"/>
      <c r="PA3" s="51"/>
      <c r="PB3" s="51"/>
      <c r="PC3" s="51"/>
      <c r="PD3" s="51"/>
      <c r="PE3" s="51"/>
      <c r="PF3" s="51"/>
      <c r="PG3" s="51"/>
      <c r="PH3" s="51"/>
      <c r="PI3" s="51"/>
      <c r="PJ3" s="51"/>
      <c r="PK3" s="51"/>
      <c r="PL3" s="51"/>
      <c r="PM3" s="51"/>
      <c r="PN3" s="51"/>
      <c r="PO3" s="51"/>
      <c r="PP3" s="51"/>
      <c r="PQ3" s="51"/>
      <c r="PR3" s="51"/>
      <c r="PS3" s="51"/>
      <c r="PT3" s="51"/>
      <c r="PU3" s="51"/>
      <c r="PV3" s="51"/>
      <c r="PW3" s="51"/>
      <c r="PX3" s="51"/>
      <c r="PY3" s="51"/>
      <c r="PZ3" s="51"/>
      <c r="QA3" s="51"/>
      <c r="QB3" s="51"/>
      <c r="QC3" s="51"/>
      <c r="QD3" s="51"/>
      <c r="QE3" s="51"/>
      <c r="QF3" s="51"/>
      <c r="QG3" s="51"/>
      <c r="QH3" s="51"/>
      <c r="QI3" s="51"/>
      <c r="QJ3" s="51"/>
      <c r="QK3" s="51"/>
      <c r="QL3" s="51"/>
      <c r="QM3" s="51"/>
      <c r="QN3" s="51"/>
      <c r="QO3" s="51"/>
      <c r="QP3" s="51"/>
      <c r="QQ3" s="51"/>
      <c r="QR3" s="51"/>
      <c r="QS3" s="51"/>
      <c r="QT3" s="51"/>
      <c r="QU3" s="51"/>
      <c r="QV3" s="51"/>
      <c r="QW3" s="51"/>
      <c r="QX3" s="51"/>
      <c r="QY3" s="51"/>
      <c r="QZ3" s="51"/>
      <c r="RA3" s="51"/>
      <c r="RB3" s="51"/>
      <c r="RC3" s="51"/>
      <c r="RD3" s="51"/>
      <c r="RE3" s="51"/>
      <c r="RF3" s="51"/>
      <c r="RG3" s="51"/>
      <c r="RH3" s="51"/>
      <c r="RI3" s="51"/>
      <c r="RJ3" s="51"/>
      <c r="RK3" s="51"/>
      <c r="RL3" s="51"/>
      <c r="RM3" s="51"/>
      <c r="RN3" s="51"/>
      <c r="RO3" s="51"/>
      <c r="RP3" s="51"/>
      <c r="RQ3" s="51"/>
      <c r="RR3" s="51"/>
      <c r="RS3" s="51"/>
      <c r="RT3" s="51"/>
      <c r="RU3" s="51"/>
      <c r="RV3" s="51"/>
      <c r="RW3" s="51"/>
      <c r="RX3" s="51"/>
      <c r="RY3" s="51"/>
      <c r="RZ3" s="51"/>
      <c r="SA3" s="51"/>
      <c r="SB3" s="51"/>
      <c r="SC3" s="51"/>
      <c r="SD3" s="51"/>
      <c r="SE3" s="51"/>
      <c r="SF3" s="51"/>
      <c r="SG3" s="51"/>
      <c r="SH3" s="51"/>
      <c r="SI3" s="51"/>
      <c r="SJ3" s="51"/>
      <c r="SK3" s="51"/>
      <c r="SL3" s="51"/>
      <c r="SM3" s="51"/>
      <c r="SN3" s="51"/>
      <c r="SO3" s="51"/>
      <c r="SP3" s="51"/>
      <c r="SQ3" s="51"/>
      <c r="SR3" s="51"/>
      <c r="SS3" s="51"/>
      <c r="ST3" s="51"/>
      <c r="SU3" s="51"/>
      <c r="SV3" s="51"/>
      <c r="SW3" s="51"/>
      <c r="SX3" s="51"/>
      <c r="SY3" s="51"/>
      <c r="SZ3" s="51"/>
      <c r="TA3" s="51"/>
      <c r="TB3" s="51"/>
      <c r="TC3" s="51"/>
      <c r="TD3" s="51"/>
      <c r="TE3" s="51"/>
      <c r="TF3" s="51"/>
      <c r="TG3" s="51"/>
      <c r="TH3" s="51"/>
      <c r="TI3" s="51"/>
      <c r="TJ3" s="51"/>
      <c r="TK3" s="51"/>
      <c r="TL3" s="51"/>
      <c r="TM3" s="51"/>
      <c r="TN3" s="51"/>
      <c r="TO3" s="51"/>
      <c r="TP3" s="51"/>
      <c r="TQ3" s="51"/>
      <c r="TR3" s="51"/>
      <c r="TS3" s="51"/>
      <c r="TT3" s="51"/>
      <c r="TU3" s="51"/>
      <c r="TV3" s="51"/>
      <c r="TW3" s="51"/>
      <c r="TX3" s="51"/>
      <c r="TY3" s="51"/>
      <c r="TZ3" s="51"/>
      <c r="UA3" s="51"/>
      <c r="UB3" s="51"/>
      <c r="UC3" s="51"/>
      <c r="UD3" s="51"/>
      <c r="UE3" s="51"/>
      <c r="UF3" s="51"/>
      <c r="UG3" s="51"/>
      <c r="UH3" s="51"/>
      <c r="UI3" s="51"/>
      <c r="UJ3" s="51"/>
      <c r="UK3" s="51"/>
      <c r="UL3" s="51"/>
      <c r="UM3" s="51"/>
      <c r="UN3" s="51"/>
      <c r="UO3" s="51"/>
      <c r="UP3" s="51"/>
      <c r="UQ3" s="51"/>
      <c r="UR3" s="51"/>
      <c r="US3" s="51"/>
      <c r="UT3" s="51"/>
      <c r="UU3" s="51"/>
      <c r="UV3" s="51"/>
      <c r="UW3" s="51"/>
      <c r="UX3" s="51"/>
      <c r="UY3" s="51"/>
      <c r="UZ3" s="51"/>
      <c r="VA3" s="51"/>
      <c r="VB3" s="51"/>
      <c r="VC3" s="51"/>
      <c r="VD3" s="51"/>
      <c r="VE3" s="51"/>
      <c r="VF3" s="51"/>
      <c r="VG3" s="51"/>
      <c r="VH3" s="51"/>
      <c r="VI3" s="51"/>
      <c r="VJ3" s="51"/>
      <c r="VK3" s="51"/>
      <c r="VL3" s="51"/>
      <c r="VM3" s="51"/>
      <c r="VN3" s="51"/>
      <c r="VO3" s="51"/>
      <c r="VP3" s="51"/>
      <c r="VQ3" s="51"/>
      <c r="VR3" s="51"/>
      <c r="VS3" s="51"/>
      <c r="VT3" s="51"/>
      <c r="VU3" s="51"/>
      <c r="VV3" s="51"/>
      <c r="VW3" s="51"/>
      <c r="VX3" s="51"/>
      <c r="VY3" s="51"/>
      <c r="VZ3" s="51"/>
      <c r="WA3" s="51"/>
      <c r="WB3" s="51"/>
      <c r="WC3" s="51"/>
      <c r="WD3" s="51"/>
      <c r="WE3" s="51"/>
      <c r="WF3" s="51"/>
      <c r="WG3" s="51"/>
    </row>
    <row r="4" spans="1:615" x14ac:dyDescent="0.25">
      <c r="A4" s="28">
        <v>2</v>
      </c>
      <c r="B4" s="28" t="s">
        <v>42</v>
      </c>
      <c r="C4" s="28" t="s">
        <v>44</v>
      </c>
      <c r="D4" s="28" t="s">
        <v>596</v>
      </c>
      <c r="E4" s="28">
        <v>1</v>
      </c>
      <c r="F4" s="28">
        <v>100</v>
      </c>
      <c r="G4" s="28">
        <v>5</v>
      </c>
      <c r="H4" s="50">
        <f t="shared" si="6"/>
        <v>105</v>
      </c>
      <c r="I4" s="28">
        <v>14</v>
      </c>
      <c r="J4" s="28">
        <v>105</v>
      </c>
      <c r="K4" s="28">
        <f t="shared" ref="K4:K67" si="14">J4+I4</f>
        <v>119</v>
      </c>
      <c r="L4" s="49">
        <f t="shared" si="7"/>
        <v>41849</v>
      </c>
      <c r="M4" s="51">
        <f t="shared" si="8"/>
        <v>245</v>
      </c>
      <c r="N4" s="51">
        <v>3000</v>
      </c>
      <c r="O4" s="28">
        <v>13.8</v>
      </c>
      <c r="P4" s="28">
        <f t="shared" ref="P4:P8" si="15">N4*(1-O4/100)</f>
        <v>2586</v>
      </c>
      <c r="S4" s="28">
        <f t="shared" ref="S4:S8" si="16">(N4-P4)/365</f>
        <v>1.1342465753424658</v>
      </c>
      <c r="EJ4" s="51">
        <f>N4</f>
        <v>3000</v>
      </c>
      <c r="EK4" s="51">
        <f>EJ4-$S4</f>
        <v>2998.8657534246577</v>
      </c>
      <c r="EL4" s="51">
        <f t="shared" si="9"/>
        <v>2997.7315068493153</v>
      </c>
      <c r="EM4" s="51">
        <f t="shared" si="9"/>
        <v>2996.597260273973</v>
      </c>
      <c r="EN4" s="51">
        <f t="shared" si="9"/>
        <v>2995.4630136986307</v>
      </c>
      <c r="EO4" s="51">
        <f t="shared" si="9"/>
        <v>2994.3287671232883</v>
      </c>
      <c r="EP4" s="51">
        <f t="shared" si="9"/>
        <v>2993.194520547946</v>
      </c>
      <c r="EQ4" s="51">
        <f t="shared" si="9"/>
        <v>2992.0602739726037</v>
      </c>
      <c r="ER4" s="51">
        <f t="shared" si="9"/>
        <v>2990.9260273972614</v>
      </c>
      <c r="ES4" s="51">
        <f t="shared" si="9"/>
        <v>2989.791780821919</v>
      </c>
      <c r="ET4" s="51">
        <f>ES4-$S4</f>
        <v>2988.6575342465767</v>
      </c>
      <c r="EU4" s="51">
        <f t="shared" si="10"/>
        <v>2987.5232876712344</v>
      </c>
      <c r="EV4" s="51">
        <f t="shared" si="10"/>
        <v>2986.389041095892</v>
      </c>
      <c r="EW4" s="51">
        <f t="shared" si="10"/>
        <v>2985.2547945205497</v>
      </c>
      <c r="EX4" s="51">
        <f t="shared" si="10"/>
        <v>2984.1205479452074</v>
      </c>
      <c r="EY4" s="51">
        <f t="shared" si="10"/>
        <v>2982.986301369865</v>
      </c>
      <c r="EZ4" s="51">
        <f t="shared" si="10"/>
        <v>2981.8520547945227</v>
      </c>
      <c r="FA4" s="51">
        <f t="shared" si="10"/>
        <v>2980.7178082191804</v>
      </c>
      <c r="FB4" s="51">
        <f t="shared" si="10"/>
        <v>2979.583561643838</v>
      </c>
      <c r="FC4" s="51">
        <f t="shared" si="10"/>
        <v>2978.4493150684957</v>
      </c>
      <c r="FD4" s="51">
        <f t="shared" si="10"/>
        <v>2977.3150684931534</v>
      </c>
      <c r="FE4" s="51">
        <f t="shared" si="10"/>
        <v>2976.180821917811</v>
      </c>
      <c r="FF4" s="51">
        <f t="shared" si="10"/>
        <v>2975.0465753424687</v>
      </c>
      <c r="FG4" s="51">
        <f t="shared" si="10"/>
        <v>2973.9123287671264</v>
      </c>
      <c r="FH4" s="51">
        <f t="shared" si="10"/>
        <v>2972.7780821917841</v>
      </c>
      <c r="FI4" s="51">
        <f t="shared" si="10"/>
        <v>2971.6438356164417</v>
      </c>
      <c r="FJ4" s="51">
        <f t="shared" si="10"/>
        <v>2970.5095890410994</v>
      </c>
      <c r="FK4" s="51">
        <f t="shared" si="10"/>
        <v>2969.3753424657571</v>
      </c>
      <c r="FL4" s="51">
        <f t="shared" si="10"/>
        <v>2968.2410958904147</v>
      </c>
      <c r="FM4" s="51">
        <f t="shared" si="10"/>
        <v>2967.1068493150724</v>
      </c>
      <c r="FN4" s="51">
        <f t="shared" si="10"/>
        <v>2965.9726027397301</v>
      </c>
      <c r="FO4" s="51">
        <f t="shared" si="10"/>
        <v>2964.8383561643877</v>
      </c>
      <c r="FP4" s="51">
        <f t="shared" si="10"/>
        <v>2963.7041095890454</v>
      </c>
      <c r="FQ4" s="51">
        <f t="shared" si="10"/>
        <v>2962.5698630137031</v>
      </c>
      <c r="FR4" s="51">
        <f t="shared" si="10"/>
        <v>2961.4356164383607</v>
      </c>
      <c r="FS4" s="51">
        <f t="shared" si="10"/>
        <v>2960.3013698630184</v>
      </c>
      <c r="FT4" s="51">
        <f t="shared" si="10"/>
        <v>2959.1671232876761</v>
      </c>
      <c r="FU4" s="51">
        <f t="shared" si="10"/>
        <v>2958.0328767123337</v>
      </c>
      <c r="FV4" s="51">
        <f t="shared" si="10"/>
        <v>2956.8986301369914</v>
      </c>
      <c r="FW4" s="51">
        <f t="shared" si="10"/>
        <v>2955.7643835616491</v>
      </c>
      <c r="FX4" s="51">
        <f t="shared" si="10"/>
        <v>2954.6301369863068</v>
      </c>
      <c r="FY4" s="51">
        <f t="shared" si="10"/>
        <v>2953.4958904109644</v>
      </c>
      <c r="FZ4" s="51">
        <f t="shared" si="10"/>
        <v>2952.3616438356221</v>
      </c>
      <c r="GA4" s="51">
        <f t="shared" si="10"/>
        <v>2951.2273972602798</v>
      </c>
      <c r="GB4" s="51">
        <f t="shared" si="10"/>
        <v>2950.0931506849374</v>
      </c>
      <c r="GC4" s="51">
        <f t="shared" si="10"/>
        <v>2948.9589041095951</v>
      </c>
      <c r="GD4" s="51">
        <f t="shared" si="10"/>
        <v>2947.8246575342528</v>
      </c>
      <c r="GE4" s="51">
        <f t="shared" si="10"/>
        <v>2946.6904109589104</v>
      </c>
      <c r="GF4" s="51">
        <f t="shared" si="10"/>
        <v>2945.5561643835681</v>
      </c>
      <c r="GG4" s="51">
        <f t="shared" si="10"/>
        <v>2944.4219178082258</v>
      </c>
      <c r="GH4" s="51">
        <f t="shared" si="10"/>
        <v>2943.2876712328834</v>
      </c>
      <c r="GI4" s="51">
        <f t="shared" si="10"/>
        <v>2942.1534246575411</v>
      </c>
      <c r="GJ4" s="51">
        <f t="shared" si="10"/>
        <v>2941.0191780821988</v>
      </c>
      <c r="GK4" s="51">
        <f t="shared" si="10"/>
        <v>2939.8849315068564</v>
      </c>
      <c r="GL4" s="51">
        <f t="shared" si="10"/>
        <v>2938.7506849315141</v>
      </c>
      <c r="GM4" s="51">
        <f t="shared" si="10"/>
        <v>2937.6164383561718</v>
      </c>
      <c r="GN4" s="51">
        <f t="shared" si="10"/>
        <v>2936.4821917808295</v>
      </c>
      <c r="GO4" s="51">
        <f t="shared" si="10"/>
        <v>2935.3479452054871</v>
      </c>
      <c r="GP4" s="51">
        <f t="shared" si="10"/>
        <v>2934.2136986301448</v>
      </c>
      <c r="GQ4" s="51">
        <f t="shared" si="10"/>
        <v>2933.0794520548025</v>
      </c>
      <c r="GR4" s="51">
        <f t="shared" si="10"/>
        <v>2931.9452054794601</v>
      </c>
      <c r="GS4" s="51">
        <f t="shared" si="10"/>
        <v>2930.8109589041178</v>
      </c>
      <c r="GT4" s="51">
        <f t="shared" si="10"/>
        <v>2929.6767123287755</v>
      </c>
      <c r="GU4" s="51">
        <f t="shared" si="10"/>
        <v>2928.5424657534331</v>
      </c>
      <c r="GV4" s="51">
        <f t="shared" si="10"/>
        <v>2927.4082191780908</v>
      </c>
      <c r="GW4" s="51">
        <f t="shared" si="10"/>
        <v>2926.2739726027485</v>
      </c>
      <c r="GX4" s="51">
        <f t="shared" si="10"/>
        <v>2925.1397260274061</v>
      </c>
      <c r="GY4" s="51">
        <f t="shared" si="10"/>
        <v>2924.0054794520638</v>
      </c>
      <c r="GZ4" s="51">
        <f t="shared" si="10"/>
        <v>2922.8712328767215</v>
      </c>
      <c r="HA4" s="51">
        <f t="shared" si="10"/>
        <v>2921.7369863013791</v>
      </c>
      <c r="HB4" s="51">
        <f t="shared" si="10"/>
        <v>2920.6027397260368</v>
      </c>
      <c r="HC4" s="51">
        <f t="shared" si="10"/>
        <v>2919.4684931506945</v>
      </c>
      <c r="HD4" s="51">
        <f t="shared" si="10"/>
        <v>2918.3342465753522</v>
      </c>
      <c r="HE4" s="51">
        <f t="shared" si="10"/>
        <v>2917.2000000000098</v>
      </c>
      <c r="HF4" s="51">
        <f t="shared" si="10"/>
        <v>2916.0657534246675</v>
      </c>
      <c r="HG4" s="51">
        <f t="shared" si="11"/>
        <v>2914.9315068493252</v>
      </c>
      <c r="HH4" s="51">
        <f t="shared" si="11"/>
        <v>2913.7972602739828</v>
      </c>
      <c r="HI4" s="51">
        <f t="shared" si="11"/>
        <v>2912.6630136986405</v>
      </c>
      <c r="HJ4" s="51">
        <f t="shared" si="11"/>
        <v>2911.5287671232982</v>
      </c>
      <c r="HK4" s="51">
        <f t="shared" si="11"/>
        <v>2910.3945205479558</v>
      </c>
      <c r="HL4" s="51">
        <f t="shared" si="11"/>
        <v>2909.2602739726135</v>
      </c>
      <c r="HM4" s="51">
        <f t="shared" si="11"/>
        <v>2908.1260273972712</v>
      </c>
      <c r="HN4" s="51">
        <f t="shared" si="11"/>
        <v>2906.9917808219288</v>
      </c>
      <c r="HO4" s="51">
        <f t="shared" si="11"/>
        <v>2905.8575342465865</v>
      </c>
      <c r="HP4" s="51">
        <f t="shared" si="11"/>
        <v>2904.7232876712442</v>
      </c>
      <c r="HQ4" s="51">
        <f t="shared" si="11"/>
        <v>2903.5890410959018</v>
      </c>
      <c r="HR4" s="51">
        <f t="shared" si="11"/>
        <v>2902.4547945205595</v>
      </c>
      <c r="HS4" s="51">
        <f t="shared" si="11"/>
        <v>2901.3205479452172</v>
      </c>
      <c r="HT4" s="51">
        <f t="shared" si="11"/>
        <v>2900.1863013698749</v>
      </c>
      <c r="HU4" s="51">
        <f t="shared" si="11"/>
        <v>2899.0520547945325</v>
      </c>
      <c r="HV4" s="51">
        <f t="shared" si="11"/>
        <v>2897.9178082191902</v>
      </c>
      <c r="HW4" s="51">
        <f t="shared" si="11"/>
        <v>2896.7835616438479</v>
      </c>
      <c r="HX4" s="51">
        <f t="shared" si="11"/>
        <v>2895.6493150685055</v>
      </c>
      <c r="HY4" s="51">
        <f t="shared" si="11"/>
        <v>2894.5150684931632</v>
      </c>
      <c r="HZ4" s="51">
        <f t="shared" si="11"/>
        <v>2893.3808219178209</v>
      </c>
      <c r="IA4" s="51">
        <f t="shared" si="11"/>
        <v>2892.2465753424785</v>
      </c>
      <c r="IB4" s="51">
        <f t="shared" si="11"/>
        <v>2891.1123287671362</v>
      </c>
      <c r="IC4" s="51">
        <f t="shared" si="11"/>
        <v>2889.9780821917939</v>
      </c>
      <c r="ID4" s="51">
        <f t="shared" si="11"/>
        <v>2888.8438356164515</v>
      </c>
      <c r="IE4" s="51">
        <f t="shared" si="11"/>
        <v>2887.7095890411092</v>
      </c>
      <c r="IF4" s="51">
        <f t="shared" si="11"/>
        <v>2886.5753424657669</v>
      </c>
      <c r="IG4" s="51">
        <f t="shared" si="11"/>
        <v>2885.4410958904245</v>
      </c>
      <c r="IH4" s="51">
        <f t="shared" si="11"/>
        <v>2884.3068493150822</v>
      </c>
      <c r="II4" s="51">
        <f t="shared" si="11"/>
        <v>2883.1726027397399</v>
      </c>
      <c r="IJ4" s="51">
        <f t="shared" si="11"/>
        <v>2882.0383561643976</v>
      </c>
      <c r="IK4" s="51">
        <f t="shared" si="11"/>
        <v>2880.9041095890552</v>
      </c>
      <c r="IL4" s="51">
        <f t="shared" si="11"/>
        <v>2879.7698630137129</v>
      </c>
      <c r="IM4" s="51">
        <f t="shared" si="11"/>
        <v>2878.6356164383706</v>
      </c>
      <c r="IN4" s="51">
        <f t="shared" si="11"/>
        <v>2877.5013698630282</v>
      </c>
      <c r="IO4" s="51">
        <f t="shared" si="11"/>
        <v>2876.3671232876859</v>
      </c>
      <c r="IP4" s="51">
        <f t="shared" si="11"/>
        <v>2875.2328767123436</v>
      </c>
      <c r="IQ4" s="51">
        <f t="shared" si="11"/>
        <v>2874.0986301370012</v>
      </c>
      <c r="IR4" s="51">
        <f t="shared" si="11"/>
        <v>2872.9643835616589</v>
      </c>
      <c r="IS4" s="51">
        <f t="shared" si="11"/>
        <v>2871.8301369863166</v>
      </c>
      <c r="IT4" s="51">
        <f t="shared" si="11"/>
        <v>2870.6958904109742</v>
      </c>
      <c r="IU4" s="51">
        <f t="shared" si="11"/>
        <v>2869.5616438356319</v>
      </c>
      <c r="IV4" s="51">
        <f t="shared" si="11"/>
        <v>2868.4273972602896</v>
      </c>
      <c r="IW4" s="51">
        <f t="shared" si="11"/>
        <v>2867.2931506849472</v>
      </c>
      <c r="IX4" s="51">
        <f t="shared" si="11"/>
        <v>2866.1589041096049</v>
      </c>
      <c r="IY4" s="51">
        <f t="shared" si="11"/>
        <v>2865.0246575342626</v>
      </c>
      <c r="IZ4" s="51">
        <f t="shared" si="11"/>
        <v>2863.8904109589203</v>
      </c>
      <c r="JA4" s="51">
        <f t="shared" si="11"/>
        <v>2862.7561643835779</v>
      </c>
      <c r="JB4" s="51">
        <f t="shared" si="11"/>
        <v>2861.6219178082356</v>
      </c>
      <c r="JC4" s="51">
        <f t="shared" si="11"/>
        <v>2860.4876712328933</v>
      </c>
      <c r="JD4" s="51">
        <f t="shared" si="11"/>
        <v>2859.3534246575509</v>
      </c>
      <c r="JE4" s="51">
        <f t="shared" si="11"/>
        <v>2858.2191780822086</v>
      </c>
      <c r="JF4" s="51">
        <f t="shared" si="11"/>
        <v>2857.0849315068663</v>
      </c>
      <c r="JG4" s="51">
        <f t="shared" si="11"/>
        <v>2855.9506849315239</v>
      </c>
      <c r="JH4" s="51">
        <f t="shared" si="11"/>
        <v>2854.8164383561816</v>
      </c>
      <c r="JI4" s="51">
        <f t="shared" si="11"/>
        <v>2853.6821917808393</v>
      </c>
      <c r="JJ4" s="51">
        <f t="shared" si="11"/>
        <v>2852.5479452054969</v>
      </c>
      <c r="JK4" s="51">
        <f t="shared" si="11"/>
        <v>2851.4136986301546</v>
      </c>
      <c r="JL4" s="51">
        <f t="shared" si="11"/>
        <v>2850.2794520548123</v>
      </c>
      <c r="JM4" s="51">
        <f t="shared" si="11"/>
        <v>2849.14520547947</v>
      </c>
      <c r="JN4" s="51">
        <f t="shared" si="11"/>
        <v>2848.0109589041276</v>
      </c>
      <c r="JO4" s="51">
        <f t="shared" si="11"/>
        <v>2846.8767123287853</v>
      </c>
      <c r="JP4" s="51">
        <f t="shared" si="11"/>
        <v>2845.742465753443</v>
      </c>
      <c r="JQ4" s="51">
        <f t="shared" si="11"/>
        <v>2844.6082191781006</v>
      </c>
      <c r="JR4" s="51">
        <f t="shared" si="11"/>
        <v>2843.4739726027583</v>
      </c>
      <c r="JS4" s="51">
        <f t="shared" si="12"/>
        <v>2842.339726027416</v>
      </c>
      <c r="JT4" s="51">
        <f t="shared" si="12"/>
        <v>2841.2054794520736</v>
      </c>
      <c r="JU4" s="51">
        <f t="shared" si="12"/>
        <v>2840.0712328767313</v>
      </c>
      <c r="JV4" s="51">
        <f t="shared" si="12"/>
        <v>2838.936986301389</v>
      </c>
      <c r="JW4" s="51">
        <f t="shared" si="12"/>
        <v>2837.8027397260466</v>
      </c>
      <c r="JX4" s="51">
        <f t="shared" si="12"/>
        <v>2836.6684931507043</v>
      </c>
      <c r="JY4" s="51">
        <f t="shared" si="12"/>
        <v>2835.534246575362</v>
      </c>
      <c r="JZ4" s="51">
        <f t="shared" si="12"/>
        <v>2834.4000000000196</v>
      </c>
      <c r="KA4" s="51">
        <f t="shared" si="12"/>
        <v>2833.2657534246773</v>
      </c>
      <c r="KB4" s="51">
        <f t="shared" si="12"/>
        <v>2832.131506849335</v>
      </c>
      <c r="KC4" s="51">
        <f t="shared" si="12"/>
        <v>2830.9972602739927</v>
      </c>
      <c r="KD4" s="51">
        <f t="shared" si="12"/>
        <v>2829.8630136986503</v>
      </c>
      <c r="KE4" s="51">
        <f t="shared" si="12"/>
        <v>2828.728767123308</v>
      </c>
      <c r="KF4" s="51">
        <f t="shared" si="12"/>
        <v>2827.5945205479657</v>
      </c>
      <c r="KG4" s="51">
        <f t="shared" si="12"/>
        <v>2826.4602739726233</v>
      </c>
      <c r="KH4" s="51">
        <f t="shared" si="12"/>
        <v>2825.326027397281</v>
      </c>
      <c r="KI4" s="51">
        <f t="shared" si="12"/>
        <v>2824.1917808219387</v>
      </c>
      <c r="KJ4" s="51">
        <f t="shared" si="12"/>
        <v>2823.0575342465963</v>
      </c>
      <c r="KK4" s="51">
        <f t="shared" si="12"/>
        <v>2821.923287671254</v>
      </c>
      <c r="KL4" s="51">
        <f t="shared" si="12"/>
        <v>2820.7890410959117</v>
      </c>
      <c r="KM4" s="51">
        <f t="shared" si="12"/>
        <v>2819.6547945205693</v>
      </c>
      <c r="KN4" s="51">
        <f t="shared" si="12"/>
        <v>2818.520547945227</v>
      </c>
      <c r="KO4" s="51">
        <f t="shared" si="12"/>
        <v>2817.3863013698847</v>
      </c>
      <c r="KP4" s="51">
        <f t="shared" si="12"/>
        <v>2816.2520547945423</v>
      </c>
      <c r="KQ4" s="51">
        <f t="shared" si="12"/>
        <v>2815.1178082192</v>
      </c>
      <c r="KR4" s="51">
        <f t="shared" si="12"/>
        <v>2813.9835616438577</v>
      </c>
      <c r="KS4" s="51">
        <f t="shared" si="12"/>
        <v>2812.8493150685154</v>
      </c>
      <c r="KT4" s="51">
        <f t="shared" si="12"/>
        <v>2811.715068493173</v>
      </c>
      <c r="KU4" s="51">
        <f t="shared" si="12"/>
        <v>2810.5808219178307</v>
      </c>
      <c r="KV4" s="51">
        <f t="shared" si="12"/>
        <v>2809.4465753424884</v>
      </c>
      <c r="KW4" s="51">
        <f t="shared" si="12"/>
        <v>2808.312328767146</v>
      </c>
      <c r="KX4" s="51">
        <f t="shared" si="12"/>
        <v>2807.1780821918037</v>
      </c>
      <c r="KY4" s="51">
        <f t="shared" si="12"/>
        <v>2806.0438356164614</v>
      </c>
      <c r="KZ4" s="51">
        <f t="shared" si="12"/>
        <v>2804.909589041119</v>
      </c>
      <c r="LA4" s="51">
        <f t="shared" si="12"/>
        <v>2803.7753424657767</v>
      </c>
      <c r="LB4" s="51">
        <f t="shared" si="12"/>
        <v>2802.6410958904344</v>
      </c>
      <c r="LC4" s="51">
        <f t="shared" si="12"/>
        <v>2801.506849315092</v>
      </c>
      <c r="LD4" s="51">
        <f t="shared" si="12"/>
        <v>2800.3726027397497</v>
      </c>
      <c r="LE4" s="51">
        <f t="shared" si="12"/>
        <v>2799.2383561644074</v>
      </c>
      <c r="LF4" s="51">
        <f t="shared" si="12"/>
        <v>2798.104109589065</v>
      </c>
      <c r="LG4" s="51">
        <f t="shared" si="12"/>
        <v>2796.9698630137227</v>
      </c>
      <c r="LH4" s="51">
        <f t="shared" si="12"/>
        <v>2795.8356164383804</v>
      </c>
      <c r="LI4" s="51">
        <f t="shared" si="12"/>
        <v>2794.7013698630381</v>
      </c>
      <c r="LJ4" s="51">
        <f t="shared" si="12"/>
        <v>2793.5671232876957</v>
      </c>
      <c r="LK4" s="51">
        <f t="shared" si="12"/>
        <v>2792.4328767123534</v>
      </c>
      <c r="LL4" s="51">
        <f t="shared" si="12"/>
        <v>2791.2986301370111</v>
      </c>
      <c r="LM4" s="51">
        <f t="shared" si="12"/>
        <v>2790.1643835616687</v>
      </c>
      <c r="LN4" s="51">
        <f t="shared" si="12"/>
        <v>2789.0301369863264</v>
      </c>
      <c r="LO4" s="51">
        <f t="shared" si="12"/>
        <v>2787.8958904109841</v>
      </c>
      <c r="LP4" s="51">
        <f t="shared" si="12"/>
        <v>2786.7616438356417</v>
      </c>
      <c r="LQ4" s="51">
        <f t="shared" si="12"/>
        <v>2785.6273972602994</v>
      </c>
      <c r="LR4" s="51">
        <f t="shared" si="12"/>
        <v>2784.4931506849571</v>
      </c>
      <c r="LS4" s="51">
        <f t="shared" si="12"/>
        <v>2783.3589041096147</v>
      </c>
      <c r="LT4" s="51">
        <f t="shared" si="12"/>
        <v>2782.2246575342724</v>
      </c>
      <c r="LU4" s="51">
        <f t="shared" si="12"/>
        <v>2781.0904109589301</v>
      </c>
      <c r="LV4" s="51">
        <f t="shared" si="12"/>
        <v>2779.9561643835877</v>
      </c>
      <c r="LW4" s="51">
        <f t="shared" si="12"/>
        <v>2778.8219178082454</v>
      </c>
      <c r="LX4" s="51">
        <f t="shared" si="12"/>
        <v>2777.6876712329031</v>
      </c>
      <c r="LY4" s="51">
        <f t="shared" si="12"/>
        <v>2776.5534246575608</v>
      </c>
      <c r="LZ4" s="51">
        <f t="shared" si="12"/>
        <v>2775.4191780822184</v>
      </c>
      <c r="MA4" s="51">
        <f t="shared" si="12"/>
        <v>2774.2849315068761</v>
      </c>
      <c r="MB4" s="51">
        <f t="shared" si="12"/>
        <v>2773.1506849315338</v>
      </c>
      <c r="MC4" s="51">
        <f t="shared" si="12"/>
        <v>2772.0164383561914</v>
      </c>
      <c r="MD4" s="51">
        <f t="shared" si="12"/>
        <v>2770.8821917808491</v>
      </c>
      <c r="ME4" s="51">
        <f t="shared" si="13"/>
        <v>2769.7479452055068</v>
      </c>
      <c r="MF4" s="51">
        <f t="shared" si="13"/>
        <v>2768.6136986301644</v>
      </c>
      <c r="MG4" s="51">
        <f t="shared" si="13"/>
        <v>2767.4794520548221</v>
      </c>
      <c r="MH4" s="51">
        <f t="shared" si="13"/>
        <v>2766.3452054794798</v>
      </c>
      <c r="MI4" s="51">
        <f t="shared" si="13"/>
        <v>2765.2109589041374</v>
      </c>
      <c r="MJ4" s="51">
        <f t="shared" si="13"/>
        <v>2764.0767123287951</v>
      </c>
      <c r="MK4" s="51">
        <f t="shared" si="13"/>
        <v>2762.9424657534528</v>
      </c>
      <c r="ML4" s="51">
        <f t="shared" si="13"/>
        <v>2761.8082191781104</v>
      </c>
      <c r="MM4" s="51">
        <f t="shared" si="13"/>
        <v>2760.6739726027681</v>
      </c>
      <c r="MN4" s="51">
        <f t="shared" si="13"/>
        <v>2759.5397260274258</v>
      </c>
      <c r="MO4" s="51">
        <f t="shared" si="13"/>
        <v>2758.4054794520835</v>
      </c>
      <c r="MP4" s="51">
        <f t="shared" si="13"/>
        <v>2757.2712328767411</v>
      </c>
      <c r="MQ4" s="51">
        <f t="shared" si="13"/>
        <v>2756.1369863013988</v>
      </c>
      <c r="MR4" s="51">
        <f t="shared" si="13"/>
        <v>2755.0027397260565</v>
      </c>
      <c r="MS4" s="51">
        <f t="shared" si="13"/>
        <v>2753.8684931507141</v>
      </c>
      <c r="MT4" s="51">
        <f t="shared" si="13"/>
        <v>2752.7342465753718</v>
      </c>
      <c r="MU4" s="51">
        <f t="shared" si="13"/>
        <v>2751.6000000000295</v>
      </c>
      <c r="MV4" s="51">
        <f t="shared" si="13"/>
        <v>2750.4657534246871</v>
      </c>
      <c r="MW4" s="51">
        <f t="shared" si="13"/>
        <v>2749.3315068493448</v>
      </c>
      <c r="MX4" s="51">
        <f t="shared" si="13"/>
        <v>2748.1972602740025</v>
      </c>
      <c r="MY4" s="51">
        <f t="shared" si="13"/>
        <v>2747.0630136986601</v>
      </c>
      <c r="MZ4" s="51">
        <f t="shared" si="13"/>
        <v>2745.9287671233178</v>
      </c>
      <c r="NA4" s="51">
        <f t="shared" si="13"/>
        <v>2744.7945205479755</v>
      </c>
      <c r="NB4" s="51">
        <f t="shared" si="13"/>
        <v>2743.6602739726331</v>
      </c>
      <c r="NC4" s="51">
        <f t="shared" si="13"/>
        <v>2742.5260273972908</v>
      </c>
      <c r="ND4" s="51">
        <f t="shared" si="13"/>
        <v>2741.3917808219485</v>
      </c>
      <c r="NE4" s="51">
        <f t="shared" si="13"/>
        <v>2740.2575342466062</v>
      </c>
      <c r="NF4" s="51">
        <f t="shared" si="13"/>
        <v>2739.1232876712638</v>
      </c>
      <c r="NG4" s="51">
        <f t="shared" si="13"/>
        <v>2737.9890410959215</v>
      </c>
      <c r="NH4" s="51">
        <f t="shared" si="13"/>
        <v>2736.8547945205792</v>
      </c>
      <c r="NI4" s="51">
        <f t="shared" si="13"/>
        <v>2735.7205479452368</v>
      </c>
      <c r="NJ4" s="51">
        <f t="shared" si="13"/>
        <v>2734.5863013698945</v>
      </c>
      <c r="NK4" s="51">
        <f t="shared" si="13"/>
        <v>2733.4520547945522</v>
      </c>
      <c r="NL4" s="51">
        <f t="shared" si="13"/>
        <v>2732.3178082192098</v>
      </c>
      <c r="NM4" s="51">
        <f t="shared" si="13"/>
        <v>2731.1835616438675</v>
      </c>
      <c r="NN4" s="51">
        <f t="shared" si="13"/>
        <v>2730.0493150685252</v>
      </c>
      <c r="NO4" s="51">
        <f t="shared" si="13"/>
        <v>2728.9150684931828</v>
      </c>
      <c r="NP4" s="51">
        <f t="shared" si="13"/>
        <v>2727.7808219178405</v>
      </c>
      <c r="NQ4" s="51">
        <f t="shared" si="13"/>
        <v>2726.6465753424982</v>
      </c>
      <c r="NR4" s="51">
        <f t="shared" si="13"/>
        <v>2725.5123287671559</v>
      </c>
      <c r="NS4" s="51">
        <f t="shared" si="13"/>
        <v>2724.3780821918135</v>
      </c>
      <c r="NT4" s="51">
        <f t="shared" si="13"/>
        <v>2723.2438356164712</v>
      </c>
      <c r="NU4" s="51">
        <f t="shared" si="13"/>
        <v>2722.1095890411289</v>
      </c>
      <c r="NV4" s="51"/>
      <c r="NW4" s="51"/>
      <c r="NX4" s="51"/>
      <c r="NY4" s="51"/>
      <c r="NZ4" s="51"/>
      <c r="OA4" s="51"/>
      <c r="OB4" s="51"/>
      <c r="OC4" s="51"/>
      <c r="OD4" s="51"/>
      <c r="OE4" s="51"/>
      <c r="OF4" s="51"/>
      <c r="OG4" s="51"/>
      <c r="OH4" s="51"/>
      <c r="OI4" s="51"/>
      <c r="OJ4" s="51"/>
      <c r="OK4" s="51"/>
      <c r="OL4" s="51"/>
      <c r="OM4" s="51"/>
      <c r="ON4" s="51"/>
      <c r="OO4" s="51"/>
      <c r="OP4" s="51"/>
      <c r="OQ4" s="51"/>
      <c r="OR4" s="51"/>
      <c r="OS4" s="51"/>
      <c r="OT4" s="51"/>
      <c r="OU4" s="51"/>
      <c r="OV4" s="51"/>
      <c r="OW4" s="51"/>
      <c r="OX4" s="51"/>
      <c r="OY4" s="51"/>
      <c r="OZ4" s="51"/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51"/>
      <c r="PZ4" s="51"/>
      <c r="QA4" s="51"/>
      <c r="QB4" s="51"/>
      <c r="QC4" s="51"/>
      <c r="QD4" s="51"/>
      <c r="QE4" s="51"/>
      <c r="QF4" s="51"/>
      <c r="QG4" s="51"/>
      <c r="QH4" s="51"/>
      <c r="QI4" s="51"/>
      <c r="QJ4" s="51"/>
      <c r="QK4" s="51"/>
      <c r="QL4" s="51"/>
      <c r="QM4" s="51"/>
      <c r="QN4" s="51"/>
      <c r="QO4" s="51"/>
      <c r="QP4" s="51"/>
      <c r="QQ4" s="51"/>
      <c r="QR4" s="51"/>
      <c r="QS4" s="51"/>
      <c r="QT4" s="51"/>
      <c r="QU4" s="51"/>
      <c r="QV4" s="51"/>
      <c r="QW4" s="51"/>
      <c r="QX4" s="51"/>
      <c r="QY4" s="51"/>
      <c r="QZ4" s="51"/>
      <c r="RA4" s="51"/>
      <c r="RB4" s="51"/>
      <c r="RC4" s="51"/>
      <c r="RD4" s="51"/>
      <c r="RE4" s="51"/>
      <c r="RF4" s="51"/>
      <c r="RG4" s="51"/>
      <c r="RH4" s="51"/>
      <c r="RI4" s="51"/>
      <c r="RJ4" s="51"/>
      <c r="RK4" s="51"/>
      <c r="RL4" s="51"/>
      <c r="RM4" s="51"/>
      <c r="RN4" s="51"/>
      <c r="RO4" s="51"/>
      <c r="RP4" s="51"/>
      <c r="RQ4" s="51"/>
      <c r="RR4" s="51"/>
      <c r="RS4" s="51"/>
      <c r="RT4" s="51"/>
      <c r="RU4" s="51"/>
      <c r="RV4" s="51"/>
      <c r="RW4" s="51"/>
      <c r="RX4" s="51"/>
      <c r="RY4" s="51"/>
      <c r="RZ4" s="51"/>
      <c r="SA4" s="51"/>
      <c r="SB4" s="51"/>
      <c r="SC4" s="51"/>
      <c r="SD4" s="51"/>
      <c r="SE4" s="51"/>
      <c r="SF4" s="51"/>
      <c r="SG4" s="51"/>
      <c r="SH4" s="51"/>
      <c r="SI4" s="51"/>
      <c r="SJ4" s="51"/>
      <c r="SK4" s="51"/>
      <c r="SL4" s="51"/>
      <c r="SM4" s="51"/>
      <c r="SN4" s="51"/>
      <c r="SO4" s="51"/>
      <c r="SP4" s="51"/>
      <c r="SQ4" s="51"/>
      <c r="SR4" s="51"/>
      <c r="SS4" s="51"/>
      <c r="ST4" s="51"/>
      <c r="SU4" s="51"/>
      <c r="SV4" s="51"/>
      <c r="SW4" s="51"/>
      <c r="SX4" s="51"/>
      <c r="SY4" s="51"/>
      <c r="SZ4" s="51"/>
      <c r="TA4" s="51"/>
      <c r="TB4" s="51"/>
      <c r="TC4" s="51"/>
      <c r="TD4" s="51"/>
      <c r="TE4" s="51"/>
      <c r="TF4" s="51"/>
      <c r="TG4" s="51"/>
      <c r="TH4" s="51"/>
      <c r="TI4" s="51"/>
      <c r="TJ4" s="51"/>
      <c r="TK4" s="51"/>
      <c r="TL4" s="51"/>
      <c r="TM4" s="51"/>
      <c r="TN4" s="51"/>
      <c r="TO4" s="51"/>
      <c r="TP4" s="51"/>
      <c r="TQ4" s="51"/>
      <c r="TR4" s="51"/>
      <c r="TS4" s="51"/>
      <c r="TT4" s="51"/>
      <c r="TU4" s="51"/>
      <c r="TV4" s="51"/>
      <c r="TW4" s="51"/>
      <c r="TX4" s="51"/>
      <c r="TY4" s="51"/>
      <c r="TZ4" s="51"/>
      <c r="UA4" s="51"/>
      <c r="UB4" s="51"/>
      <c r="UC4" s="51"/>
      <c r="UD4" s="51"/>
      <c r="UE4" s="51"/>
      <c r="UF4" s="51"/>
      <c r="UG4" s="51"/>
      <c r="UH4" s="51"/>
      <c r="UI4" s="51"/>
      <c r="UJ4" s="51"/>
      <c r="UK4" s="51"/>
      <c r="UL4" s="51"/>
      <c r="UM4" s="51"/>
      <c r="UN4" s="51"/>
      <c r="UO4" s="51"/>
      <c r="UP4" s="51"/>
      <c r="UQ4" s="51"/>
      <c r="UR4" s="51"/>
      <c r="US4" s="51"/>
      <c r="UT4" s="51"/>
      <c r="UU4" s="51"/>
      <c r="UV4" s="51"/>
      <c r="UW4" s="51"/>
      <c r="UX4" s="51"/>
      <c r="UY4" s="51"/>
      <c r="UZ4" s="51"/>
      <c r="VA4" s="51"/>
      <c r="VB4" s="51"/>
      <c r="VC4" s="51"/>
      <c r="VD4" s="51"/>
      <c r="VE4" s="51"/>
      <c r="VF4" s="51"/>
      <c r="VG4" s="51"/>
      <c r="VH4" s="51"/>
      <c r="VI4" s="51"/>
      <c r="VJ4" s="51"/>
      <c r="VK4" s="51"/>
      <c r="VL4" s="51"/>
      <c r="VM4" s="51"/>
      <c r="VN4" s="51"/>
      <c r="VO4" s="51"/>
      <c r="VP4" s="51"/>
      <c r="VQ4" s="51"/>
      <c r="VR4" s="51"/>
      <c r="VS4" s="51"/>
      <c r="VT4" s="51"/>
      <c r="VU4" s="51"/>
      <c r="VV4" s="51"/>
      <c r="VW4" s="51"/>
      <c r="VX4" s="51"/>
      <c r="VY4" s="51"/>
      <c r="VZ4" s="51"/>
      <c r="WA4" s="51"/>
      <c r="WB4" s="51"/>
      <c r="WC4" s="51"/>
      <c r="WD4" s="51"/>
      <c r="WE4" s="51"/>
      <c r="WF4" s="51"/>
      <c r="WG4" s="51"/>
    </row>
    <row r="5" spans="1:615" x14ac:dyDescent="0.25">
      <c r="A5" s="28">
        <v>3</v>
      </c>
      <c r="B5" s="28" t="s">
        <v>42</v>
      </c>
      <c r="C5" s="28" t="s">
        <v>44</v>
      </c>
      <c r="D5" s="28" t="s">
        <v>596</v>
      </c>
      <c r="E5" s="28">
        <v>1</v>
      </c>
      <c r="F5" s="28">
        <v>100</v>
      </c>
      <c r="G5" s="28">
        <v>5</v>
      </c>
      <c r="H5" s="50">
        <f t="shared" si="6"/>
        <v>105</v>
      </c>
      <c r="I5" s="28">
        <v>14</v>
      </c>
      <c r="J5" s="28">
        <v>105</v>
      </c>
      <c r="K5" s="28">
        <f t="shared" si="14"/>
        <v>119</v>
      </c>
      <c r="L5" s="49">
        <f t="shared" si="7"/>
        <v>41849</v>
      </c>
      <c r="M5" s="51">
        <f t="shared" si="8"/>
        <v>245</v>
      </c>
      <c r="N5" s="51">
        <v>3000</v>
      </c>
      <c r="O5" s="28">
        <v>13.8</v>
      </c>
      <c r="P5" s="28">
        <f t="shared" si="15"/>
        <v>2586</v>
      </c>
      <c r="S5" s="28">
        <f t="shared" si="16"/>
        <v>1.1342465753424658</v>
      </c>
      <c r="EJ5" s="51">
        <f>N5</f>
        <v>3000</v>
      </c>
      <c r="EK5" s="51">
        <f>EJ5-$S5</f>
        <v>2998.8657534246577</v>
      </c>
      <c r="EL5" s="51">
        <f t="shared" si="9"/>
        <v>2997.7315068493153</v>
      </c>
      <c r="EM5" s="51">
        <f t="shared" si="9"/>
        <v>2996.597260273973</v>
      </c>
      <c r="EN5" s="51">
        <f t="shared" si="9"/>
        <v>2995.4630136986307</v>
      </c>
      <c r="EO5" s="51">
        <f t="shared" si="9"/>
        <v>2994.3287671232883</v>
      </c>
      <c r="EP5" s="51">
        <f t="shared" si="9"/>
        <v>2993.194520547946</v>
      </c>
      <c r="EQ5" s="51">
        <f t="shared" si="9"/>
        <v>2992.0602739726037</v>
      </c>
      <c r="ER5" s="51">
        <f t="shared" si="9"/>
        <v>2990.9260273972614</v>
      </c>
      <c r="ES5" s="51">
        <f t="shared" si="9"/>
        <v>2989.791780821919</v>
      </c>
      <c r="ET5" s="51">
        <f>ES5-$S5</f>
        <v>2988.6575342465767</v>
      </c>
      <c r="EU5" s="51">
        <f t="shared" si="10"/>
        <v>2987.5232876712344</v>
      </c>
      <c r="EV5" s="51">
        <f t="shared" si="10"/>
        <v>2986.389041095892</v>
      </c>
      <c r="EW5" s="51">
        <f t="shared" si="10"/>
        <v>2985.2547945205497</v>
      </c>
      <c r="EX5" s="51">
        <f t="shared" si="10"/>
        <v>2984.1205479452074</v>
      </c>
      <c r="EY5" s="51">
        <f t="shared" si="10"/>
        <v>2982.986301369865</v>
      </c>
      <c r="EZ5" s="51">
        <f t="shared" si="10"/>
        <v>2981.8520547945227</v>
      </c>
      <c r="FA5" s="51">
        <f t="shared" si="10"/>
        <v>2980.7178082191804</v>
      </c>
      <c r="FB5" s="51">
        <f t="shared" si="10"/>
        <v>2979.583561643838</v>
      </c>
      <c r="FC5" s="51">
        <f t="shared" si="10"/>
        <v>2978.4493150684957</v>
      </c>
      <c r="FD5" s="51">
        <f t="shared" si="10"/>
        <v>2977.3150684931534</v>
      </c>
      <c r="FE5" s="51">
        <f t="shared" si="10"/>
        <v>2976.180821917811</v>
      </c>
      <c r="FF5" s="51">
        <f t="shared" si="10"/>
        <v>2975.0465753424687</v>
      </c>
      <c r="FG5" s="51">
        <f t="shared" si="10"/>
        <v>2973.9123287671264</v>
      </c>
      <c r="FH5" s="51">
        <f t="shared" si="10"/>
        <v>2972.7780821917841</v>
      </c>
      <c r="FI5" s="51">
        <f t="shared" si="10"/>
        <v>2971.6438356164417</v>
      </c>
      <c r="FJ5" s="51">
        <f t="shared" si="10"/>
        <v>2970.5095890410994</v>
      </c>
      <c r="FK5" s="51">
        <f t="shared" si="10"/>
        <v>2969.3753424657571</v>
      </c>
      <c r="FL5" s="51">
        <f t="shared" si="10"/>
        <v>2968.2410958904147</v>
      </c>
      <c r="FM5" s="51">
        <f t="shared" si="10"/>
        <v>2967.1068493150724</v>
      </c>
      <c r="FN5" s="51">
        <f t="shared" si="10"/>
        <v>2965.9726027397301</v>
      </c>
      <c r="FO5" s="51">
        <f t="shared" si="10"/>
        <v>2964.8383561643877</v>
      </c>
      <c r="FP5" s="51">
        <f t="shared" si="10"/>
        <v>2963.7041095890454</v>
      </c>
      <c r="FQ5" s="51">
        <f t="shared" si="10"/>
        <v>2962.5698630137031</v>
      </c>
      <c r="FR5" s="51">
        <f t="shared" si="10"/>
        <v>2961.4356164383607</v>
      </c>
      <c r="FS5" s="51">
        <f t="shared" si="10"/>
        <v>2960.3013698630184</v>
      </c>
      <c r="FT5" s="51">
        <f t="shared" si="10"/>
        <v>2959.1671232876761</v>
      </c>
      <c r="FU5" s="51">
        <f t="shared" si="10"/>
        <v>2958.0328767123337</v>
      </c>
      <c r="FV5" s="51">
        <f t="shared" si="10"/>
        <v>2956.8986301369914</v>
      </c>
      <c r="FW5" s="51">
        <f t="shared" si="10"/>
        <v>2955.7643835616491</v>
      </c>
      <c r="FX5" s="51">
        <f t="shared" si="10"/>
        <v>2954.6301369863068</v>
      </c>
      <c r="FY5" s="51">
        <f t="shared" si="10"/>
        <v>2953.4958904109644</v>
      </c>
      <c r="FZ5" s="51">
        <f t="shared" si="10"/>
        <v>2952.3616438356221</v>
      </c>
      <c r="GA5" s="51">
        <f t="shared" si="10"/>
        <v>2951.2273972602798</v>
      </c>
      <c r="GB5" s="51">
        <f t="shared" si="10"/>
        <v>2950.0931506849374</v>
      </c>
      <c r="GC5" s="51">
        <f t="shared" si="10"/>
        <v>2948.9589041095951</v>
      </c>
      <c r="GD5" s="51">
        <f t="shared" si="10"/>
        <v>2947.8246575342528</v>
      </c>
      <c r="GE5" s="51">
        <f t="shared" si="10"/>
        <v>2946.6904109589104</v>
      </c>
      <c r="GF5" s="51">
        <f t="shared" si="10"/>
        <v>2945.5561643835681</v>
      </c>
      <c r="GG5" s="51">
        <f t="shared" si="10"/>
        <v>2944.4219178082258</v>
      </c>
      <c r="GH5" s="51">
        <f t="shared" si="10"/>
        <v>2943.2876712328834</v>
      </c>
      <c r="GI5" s="51">
        <f t="shared" si="10"/>
        <v>2942.1534246575411</v>
      </c>
      <c r="GJ5" s="51">
        <f t="shared" si="10"/>
        <v>2941.0191780821988</v>
      </c>
      <c r="GK5" s="51">
        <f t="shared" si="10"/>
        <v>2939.8849315068564</v>
      </c>
      <c r="GL5" s="51">
        <f t="shared" si="10"/>
        <v>2938.7506849315141</v>
      </c>
      <c r="GM5" s="51">
        <f t="shared" si="10"/>
        <v>2937.6164383561718</v>
      </c>
      <c r="GN5" s="51">
        <f t="shared" si="10"/>
        <v>2936.4821917808295</v>
      </c>
      <c r="GO5" s="51">
        <f t="shared" si="10"/>
        <v>2935.3479452054871</v>
      </c>
      <c r="GP5" s="51">
        <f t="shared" si="10"/>
        <v>2934.2136986301448</v>
      </c>
      <c r="GQ5" s="51">
        <f t="shared" si="10"/>
        <v>2933.0794520548025</v>
      </c>
      <c r="GR5" s="51">
        <f t="shared" si="10"/>
        <v>2931.9452054794601</v>
      </c>
      <c r="GS5" s="51">
        <f t="shared" si="10"/>
        <v>2930.8109589041178</v>
      </c>
      <c r="GT5" s="51">
        <f t="shared" si="10"/>
        <v>2929.6767123287755</v>
      </c>
      <c r="GU5" s="51">
        <f t="shared" si="10"/>
        <v>2928.5424657534331</v>
      </c>
      <c r="GV5" s="51">
        <f t="shared" si="10"/>
        <v>2927.4082191780908</v>
      </c>
      <c r="GW5" s="51">
        <f t="shared" si="10"/>
        <v>2926.2739726027485</v>
      </c>
      <c r="GX5" s="51">
        <f t="shared" si="10"/>
        <v>2925.1397260274061</v>
      </c>
      <c r="GY5" s="51">
        <f t="shared" si="10"/>
        <v>2924.0054794520638</v>
      </c>
      <c r="GZ5" s="51">
        <f t="shared" si="10"/>
        <v>2922.8712328767215</v>
      </c>
      <c r="HA5" s="51">
        <f t="shared" si="10"/>
        <v>2921.7369863013791</v>
      </c>
      <c r="HB5" s="51">
        <f t="shared" si="10"/>
        <v>2920.6027397260368</v>
      </c>
      <c r="HC5" s="51">
        <f t="shared" si="10"/>
        <v>2919.4684931506945</v>
      </c>
      <c r="HD5" s="51">
        <f t="shared" si="10"/>
        <v>2918.3342465753522</v>
      </c>
      <c r="HE5" s="51">
        <f t="shared" si="10"/>
        <v>2917.2000000000098</v>
      </c>
      <c r="HF5" s="51">
        <f t="shared" si="10"/>
        <v>2916.0657534246675</v>
      </c>
      <c r="HG5" s="51">
        <f t="shared" si="11"/>
        <v>2914.9315068493252</v>
      </c>
      <c r="HH5" s="51">
        <f t="shared" si="11"/>
        <v>2913.7972602739828</v>
      </c>
      <c r="HI5" s="51">
        <f t="shared" si="11"/>
        <v>2912.6630136986405</v>
      </c>
      <c r="HJ5" s="51">
        <f t="shared" si="11"/>
        <v>2911.5287671232982</v>
      </c>
      <c r="HK5" s="51">
        <f t="shared" si="11"/>
        <v>2910.3945205479558</v>
      </c>
      <c r="HL5" s="51">
        <f t="shared" si="11"/>
        <v>2909.2602739726135</v>
      </c>
      <c r="HM5" s="51">
        <f t="shared" si="11"/>
        <v>2908.1260273972712</v>
      </c>
      <c r="HN5" s="51">
        <f t="shared" si="11"/>
        <v>2906.9917808219288</v>
      </c>
      <c r="HO5" s="51">
        <f t="shared" si="11"/>
        <v>2905.8575342465865</v>
      </c>
      <c r="HP5" s="51">
        <f t="shared" si="11"/>
        <v>2904.7232876712442</v>
      </c>
      <c r="HQ5" s="51">
        <f t="shared" si="11"/>
        <v>2903.5890410959018</v>
      </c>
      <c r="HR5" s="51">
        <f t="shared" si="11"/>
        <v>2902.4547945205595</v>
      </c>
      <c r="HS5" s="51">
        <f t="shared" si="11"/>
        <v>2901.3205479452172</v>
      </c>
      <c r="HT5" s="51">
        <f t="shared" si="11"/>
        <v>2900.1863013698749</v>
      </c>
      <c r="HU5" s="51">
        <f t="shared" si="11"/>
        <v>2899.0520547945325</v>
      </c>
      <c r="HV5" s="51">
        <f t="shared" si="11"/>
        <v>2897.9178082191902</v>
      </c>
      <c r="HW5" s="51">
        <f t="shared" si="11"/>
        <v>2896.7835616438479</v>
      </c>
      <c r="HX5" s="51">
        <f t="shared" si="11"/>
        <v>2895.6493150685055</v>
      </c>
      <c r="HY5" s="51">
        <f t="shared" si="11"/>
        <v>2894.5150684931632</v>
      </c>
      <c r="HZ5" s="51">
        <f t="shared" si="11"/>
        <v>2893.3808219178209</v>
      </c>
      <c r="IA5" s="51">
        <f t="shared" si="11"/>
        <v>2892.2465753424785</v>
      </c>
      <c r="IB5" s="51">
        <f t="shared" si="11"/>
        <v>2891.1123287671362</v>
      </c>
      <c r="IC5" s="51">
        <f t="shared" si="11"/>
        <v>2889.9780821917939</v>
      </c>
      <c r="ID5" s="51">
        <f t="shared" si="11"/>
        <v>2888.8438356164515</v>
      </c>
      <c r="IE5" s="51">
        <f t="shared" si="11"/>
        <v>2887.7095890411092</v>
      </c>
      <c r="IF5" s="51">
        <f t="shared" si="11"/>
        <v>2886.5753424657669</v>
      </c>
      <c r="IG5" s="51">
        <f t="shared" si="11"/>
        <v>2885.4410958904245</v>
      </c>
      <c r="IH5" s="51">
        <f t="shared" si="11"/>
        <v>2884.3068493150822</v>
      </c>
      <c r="II5" s="51">
        <f t="shared" si="11"/>
        <v>2883.1726027397399</v>
      </c>
      <c r="IJ5" s="51">
        <f t="shared" si="11"/>
        <v>2882.0383561643976</v>
      </c>
      <c r="IK5" s="51">
        <f t="shared" si="11"/>
        <v>2880.9041095890552</v>
      </c>
      <c r="IL5" s="51">
        <f t="shared" si="11"/>
        <v>2879.7698630137129</v>
      </c>
      <c r="IM5" s="51">
        <f t="shared" si="11"/>
        <v>2878.6356164383706</v>
      </c>
      <c r="IN5" s="51">
        <f t="shared" si="11"/>
        <v>2877.5013698630282</v>
      </c>
      <c r="IO5" s="51">
        <f t="shared" si="11"/>
        <v>2876.3671232876859</v>
      </c>
      <c r="IP5" s="51">
        <f t="shared" si="11"/>
        <v>2875.2328767123436</v>
      </c>
      <c r="IQ5" s="51">
        <f t="shared" si="11"/>
        <v>2874.0986301370012</v>
      </c>
      <c r="IR5" s="51">
        <f t="shared" si="11"/>
        <v>2872.9643835616589</v>
      </c>
      <c r="IS5" s="51">
        <f t="shared" si="11"/>
        <v>2871.8301369863166</v>
      </c>
      <c r="IT5" s="51">
        <f t="shared" si="11"/>
        <v>2870.6958904109742</v>
      </c>
      <c r="IU5" s="51">
        <f t="shared" si="11"/>
        <v>2869.5616438356319</v>
      </c>
      <c r="IV5" s="51">
        <f t="shared" si="11"/>
        <v>2868.4273972602896</v>
      </c>
      <c r="IW5" s="51">
        <f t="shared" si="11"/>
        <v>2867.2931506849472</v>
      </c>
      <c r="IX5" s="51">
        <f t="shared" si="11"/>
        <v>2866.1589041096049</v>
      </c>
      <c r="IY5" s="51">
        <f t="shared" si="11"/>
        <v>2865.0246575342626</v>
      </c>
      <c r="IZ5" s="51">
        <f t="shared" si="11"/>
        <v>2863.8904109589203</v>
      </c>
      <c r="JA5" s="51">
        <f t="shared" si="11"/>
        <v>2862.7561643835779</v>
      </c>
      <c r="JB5" s="51">
        <f t="shared" si="11"/>
        <v>2861.6219178082356</v>
      </c>
      <c r="JC5" s="51">
        <f t="shared" si="11"/>
        <v>2860.4876712328933</v>
      </c>
      <c r="JD5" s="51">
        <f t="shared" si="11"/>
        <v>2859.3534246575509</v>
      </c>
      <c r="JE5" s="51">
        <f t="shared" si="11"/>
        <v>2858.2191780822086</v>
      </c>
      <c r="JF5" s="51">
        <f t="shared" si="11"/>
        <v>2857.0849315068663</v>
      </c>
      <c r="JG5" s="51">
        <f t="shared" si="11"/>
        <v>2855.9506849315239</v>
      </c>
      <c r="JH5" s="51">
        <f t="shared" si="11"/>
        <v>2854.8164383561816</v>
      </c>
      <c r="JI5" s="51">
        <f t="shared" si="11"/>
        <v>2853.6821917808393</v>
      </c>
      <c r="JJ5" s="51">
        <f t="shared" si="11"/>
        <v>2852.5479452054969</v>
      </c>
      <c r="JK5" s="51">
        <f t="shared" si="11"/>
        <v>2851.4136986301546</v>
      </c>
      <c r="JL5" s="51">
        <f t="shared" si="11"/>
        <v>2850.2794520548123</v>
      </c>
      <c r="JM5" s="51">
        <f t="shared" si="11"/>
        <v>2849.14520547947</v>
      </c>
      <c r="JN5" s="51">
        <f t="shared" si="11"/>
        <v>2848.0109589041276</v>
      </c>
      <c r="JO5" s="51">
        <f t="shared" si="11"/>
        <v>2846.8767123287853</v>
      </c>
      <c r="JP5" s="51">
        <f t="shared" si="11"/>
        <v>2845.742465753443</v>
      </c>
      <c r="JQ5" s="51">
        <f t="shared" si="11"/>
        <v>2844.6082191781006</v>
      </c>
      <c r="JR5" s="51">
        <f t="shared" si="11"/>
        <v>2843.4739726027583</v>
      </c>
      <c r="JS5" s="51">
        <f t="shared" si="12"/>
        <v>2842.339726027416</v>
      </c>
      <c r="JT5" s="51">
        <f t="shared" si="12"/>
        <v>2841.2054794520736</v>
      </c>
      <c r="JU5" s="51">
        <f t="shared" si="12"/>
        <v>2840.0712328767313</v>
      </c>
      <c r="JV5" s="51">
        <f t="shared" si="12"/>
        <v>2838.936986301389</v>
      </c>
      <c r="JW5" s="51">
        <f t="shared" si="12"/>
        <v>2837.8027397260466</v>
      </c>
      <c r="JX5" s="51">
        <f t="shared" si="12"/>
        <v>2836.6684931507043</v>
      </c>
      <c r="JY5" s="51">
        <f t="shared" si="12"/>
        <v>2835.534246575362</v>
      </c>
      <c r="JZ5" s="51">
        <f t="shared" si="12"/>
        <v>2834.4000000000196</v>
      </c>
      <c r="KA5" s="51">
        <f t="shared" si="12"/>
        <v>2833.2657534246773</v>
      </c>
      <c r="KB5" s="51">
        <f t="shared" si="12"/>
        <v>2832.131506849335</v>
      </c>
      <c r="KC5" s="51">
        <f t="shared" si="12"/>
        <v>2830.9972602739927</v>
      </c>
      <c r="KD5" s="51">
        <f t="shared" si="12"/>
        <v>2829.8630136986503</v>
      </c>
      <c r="KE5" s="51">
        <f t="shared" si="12"/>
        <v>2828.728767123308</v>
      </c>
      <c r="KF5" s="51">
        <f t="shared" si="12"/>
        <v>2827.5945205479657</v>
      </c>
      <c r="KG5" s="51">
        <f t="shared" si="12"/>
        <v>2826.4602739726233</v>
      </c>
      <c r="KH5" s="51">
        <f t="shared" si="12"/>
        <v>2825.326027397281</v>
      </c>
      <c r="KI5" s="51">
        <f t="shared" si="12"/>
        <v>2824.1917808219387</v>
      </c>
      <c r="KJ5" s="51">
        <f t="shared" si="12"/>
        <v>2823.0575342465963</v>
      </c>
      <c r="KK5" s="51">
        <f t="shared" si="12"/>
        <v>2821.923287671254</v>
      </c>
      <c r="KL5" s="51">
        <f t="shared" si="12"/>
        <v>2820.7890410959117</v>
      </c>
      <c r="KM5" s="51">
        <f t="shared" si="12"/>
        <v>2819.6547945205693</v>
      </c>
      <c r="KN5" s="51">
        <f t="shared" si="12"/>
        <v>2818.520547945227</v>
      </c>
      <c r="KO5" s="51">
        <f t="shared" si="12"/>
        <v>2817.3863013698847</v>
      </c>
      <c r="KP5" s="51">
        <f t="shared" si="12"/>
        <v>2816.2520547945423</v>
      </c>
      <c r="KQ5" s="51">
        <f t="shared" si="12"/>
        <v>2815.1178082192</v>
      </c>
      <c r="KR5" s="51">
        <f t="shared" si="12"/>
        <v>2813.9835616438577</v>
      </c>
      <c r="KS5" s="51">
        <f t="shared" si="12"/>
        <v>2812.8493150685154</v>
      </c>
      <c r="KT5" s="51">
        <f t="shared" si="12"/>
        <v>2811.715068493173</v>
      </c>
      <c r="KU5" s="51">
        <f t="shared" si="12"/>
        <v>2810.5808219178307</v>
      </c>
      <c r="KV5" s="51">
        <f t="shared" si="12"/>
        <v>2809.4465753424884</v>
      </c>
      <c r="KW5" s="51">
        <f t="shared" si="12"/>
        <v>2808.312328767146</v>
      </c>
      <c r="KX5" s="51">
        <f t="shared" si="12"/>
        <v>2807.1780821918037</v>
      </c>
      <c r="KY5" s="51">
        <f t="shared" si="12"/>
        <v>2806.0438356164614</v>
      </c>
      <c r="KZ5" s="51">
        <f t="shared" si="12"/>
        <v>2804.909589041119</v>
      </c>
      <c r="LA5" s="51">
        <f t="shared" si="12"/>
        <v>2803.7753424657767</v>
      </c>
      <c r="LB5" s="51">
        <f t="shared" si="12"/>
        <v>2802.6410958904344</v>
      </c>
      <c r="LC5" s="51">
        <f t="shared" si="12"/>
        <v>2801.506849315092</v>
      </c>
      <c r="LD5" s="51">
        <f t="shared" si="12"/>
        <v>2800.3726027397497</v>
      </c>
      <c r="LE5" s="51">
        <f t="shared" si="12"/>
        <v>2799.2383561644074</v>
      </c>
      <c r="LF5" s="51">
        <f t="shared" si="12"/>
        <v>2798.104109589065</v>
      </c>
      <c r="LG5" s="51">
        <f t="shared" si="12"/>
        <v>2796.9698630137227</v>
      </c>
      <c r="LH5" s="51">
        <f t="shared" si="12"/>
        <v>2795.8356164383804</v>
      </c>
      <c r="LI5" s="51">
        <f t="shared" si="12"/>
        <v>2794.7013698630381</v>
      </c>
      <c r="LJ5" s="51">
        <f t="shared" si="12"/>
        <v>2793.5671232876957</v>
      </c>
      <c r="LK5" s="51">
        <f t="shared" si="12"/>
        <v>2792.4328767123534</v>
      </c>
      <c r="LL5" s="51">
        <f t="shared" si="12"/>
        <v>2791.2986301370111</v>
      </c>
      <c r="LM5" s="51">
        <f t="shared" si="12"/>
        <v>2790.1643835616687</v>
      </c>
      <c r="LN5" s="51">
        <f t="shared" si="12"/>
        <v>2789.0301369863264</v>
      </c>
      <c r="LO5" s="51">
        <f t="shared" si="12"/>
        <v>2787.8958904109841</v>
      </c>
      <c r="LP5" s="51">
        <f t="shared" si="12"/>
        <v>2786.7616438356417</v>
      </c>
      <c r="LQ5" s="51">
        <f t="shared" si="12"/>
        <v>2785.6273972602994</v>
      </c>
      <c r="LR5" s="51">
        <f t="shared" si="12"/>
        <v>2784.4931506849571</v>
      </c>
      <c r="LS5" s="51">
        <f t="shared" si="12"/>
        <v>2783.3589041096147</v>
      </c>
      <c r="LT5" s="51">
        <f t="shared" si="12"/>
        <v>2782.2246575342724</v>
      </c>
      <c r="LU5" s="51">
        <f t="shared" si="12"/>
        <v>2781.0904109589301</v>
      </c>
      <c r="LV5" s="51">
        <f t="shared" si="12"/>
        <v>2779.9561643835877</v>
      </c>
      <c r="LW5" s="51">
        <f t="shared" si="12"/>
        <v>2778.8219178082454</v>
      </c>
      <c r="LX5" s="51">
        <f t="shared" si="12"/>
        <v>2777.6876712329031</v>
      </c>
      <c r="LY5" s="51">
        <f t="shared" si="12"/>
        <v>2776.5534246575608</v>
      </c>
      <c r="LZ5" s="51">
        <f t="shared" si="12"/>
        <v>2775.4191780822184</v>
      </c>
      <c r="MA5" s="51">
        <f t="shared" si="12"/>
        <v>2774.2849315068761</v>
      </c>
      <c r="MB5" s="51">
        <f t="shared" si="12"/>
        <v>2773.1506849315338</v>
      </c>
      <c r="MC5" s="51">
        <f t="shared" si="12"/>
        <v>2772.0164383561914</v>
      </c>
      <c r="MD5" s="51">
        <f t="shared" si="12"/>
        <v>2770.8821917808491</v>
      </c>
      <c r="ME5" s="51">
        <f t="shared" si="13"/>
        <v>2769.7479452055068</v>
      </c>
      <c r="MF5" s="51">
        <f t="shared" si="13"/>
        <v>2768.6136986301644</v>
      </c>
      <c r="MG5" s="51">
        <f t="shared" si="13"/>
        <v>2767.4794520548221</v>
      </c>
      <c r="MH5" s="51">
        <f t="shared" si="13"/>
        <v>2766.3452054794798</v>
      </c>
      <c r="MI5" s="51">
        <f t="shared" si="13"/>
        <v>2765.2109589041374</v>
      </c>
      <c r="MJ5" s="51">
        <f t="shared" si="13"/>
        <v>2764.0767123287951</v>
      </c>
      <c r="MK5" s="51">
        <f t="shared" si="13"/>
        <v>2762.9424657534528</v>
      </c>
      <c r="ML5" s="51">
        <f t="shared" si="13"/>
        <v>2761.8082191781104</v>
      </c>
      <c r="MM5" s="51">
        <f t="shared" si="13"/>
        <v>2760.6739726027681</v>
      </c>
      <c r="MN5" s="51">
        <f t="shared" si="13"/>
        <v>2759.5397260274258</v>
      </c>
      <c r="MO5" s="51">
        <f t="shared" si="13"/>
        <v>2758.4054794520835</v>
      </c>
      <c r="MP5" s="51">
        <f t="shared" si="13"/>
        <v>2757.2712328767411</v>
      </c>
      <c r="MQ5" s="51">
        <f t="shared" si="13"/>
        <v>2756.1369863013988</v>
      </c>
      <c r="MR5" s="51">
        <f t="shared" si="13"/>
        <v>2755.0027397260565</v>
      </c>
      <c r="MS5" s="51">
        <f t="shared" si="13"/>
        <v>2753.8684931507141</v>
      </c>
      <c r="MT5" s="51">
        <f t="shared" si="13"/>
        <v>2752.7342465753718</v>
      </c>
      <c r="MU5" s="51">
        <f t="shared" si="13"/>
        <v>2751.6000000000295</v>
      </c>
      <c r="MV5" s="51">
        <f t="shared" si="13"/>
        <v>2750.4657534246871</v>
      </c>
      <c r="MW5" s="51">
        <f t="shared" si="13"/>
        <v>2749.3315068493448</v>
      </c>
      <c r="MX5" s="51">
        <f t="shared" si="13"/>
        <v>2748.1972602740025</v>
      </c>
      <c r="MY5" s="51">
        <f t="shared" si="13"/>
        <v>2747.0630136986601</v>
      </c>
      <c r="MZ5" s="51">
        <f t="shared" si="13"/>
        <v>2745.9287671233178</v>
      </c>
      <c r="NA5" s="51">
        <f t="shared" si="13"/>
        <v>2744.7945205479755</v>
      </c>
      <c r="NB5" s="51">
        <f t="shared" si="13"/>
        <v>2743.6602739726331</v>
      </c>
      <c r="NC5" s="51">
        <f t="shared" si="13"/>
        <v>2742.5260273972908</v>
      </c>
      <c r="ND5" s="51">
        <f t="shared" si="13"/>
        <v>2741.3917808219485</v>
      </c>
      <c r="NE5" s="51">
        <f t="shared" si="13"/>
        <v>2740.2575342466062</v>
      </c>
      <c r="NF5" s="51">
        <f t="shared" si="13"/>
        <v>2739.1232876712638</v>
      </c>
      <c r="NG5" s="51">
        <f t="shared" si="13"/>
        <v>2737.9890410959215</v>
      </c>
      <c r="NH5" s="51">
        <f t="shared" si="13"/>
        <v>2736.8547945205792</v>
      </c>
      <c r="NI5" s="51">
        <f t="shared" si="13"/>
        <v>2735.7205479452368</v>
      </c>
      <c r="NJ5" s="51">
        <f t="shared" si="13"/>
        <v>2734.5863013698945</v>
      </c>
      <c r="NK5" s="51">
        <f t="shared" si="13"/>
        <v>2733.4520547945522</v>
      </c>
      <c r="NL5" s="51">
        <f t="shared" si="13"/>
        <v>2732.3178082192098</v>
      </c>
      <c r="NM5" s="51">
        <f t="shared" si="13"/>
        <v>2731.1835616438675</v>
      </c>
      <c r="NN5" s="51">
        <f t="shared" si="13"/>
        <v>2730.0493150685252</v>
      </c>
      <c r="NO5" s="51">
        <f t="shared" si="13"/>
        <v>2728.9150684931828</v>
      </c>
      <c r="NP5" s="51">
        <f t="shared" si="13"/>
        <v>2727.7808219178405</v>
      </c>
      <c r="NQ5" s="51">
        <f t="shared" si="13"/>
        <v>2726.6465753424982</v>
      </c>
      <c r="NR5" s="51">
        <f t="shared" si="13"/>
        <v>2725.5123287671559</v>
      </c>
      <c r="NS5" s="51">
        <f t="shared" si="13"/>
        <v>2724.3780821918135</v>
      </c>
      <c r="NT5" s="51">
        <f t="shared" si="13"/>
        <v>2723.2438356164712</v>
      </c>
      <c r="NU5" s="51">
        <f t="shared" si="13"/>
        <v>2722.1095890411289</v>
      </c>
      <c r="NV5" s="51"/>
      <c r="NW5" s="51"/>
      <c r="NX5" s="51"/>
      <c r="NY5" s="51"/>
      <c r="NZ5" s="51"/>
      <c r="OA5" s="51"/>
      <c r="OB5" s="51"/>
      <c r="OC5" s="51"/>
      <c r="OD5" s="51"/>
      <c r="OE5" s="51"/>
      <c r="OF5" s="51"/>
      <c r="OG5" s="51"/>
      <c r="OH5" s="51"/>
      <c r="OI5" s="51"/>
      <c r="OJ5" s="51"/>
      <c r="OK5" s="51"/>
      <c r="OL5" s="51"/>
      <c r="OM5" s="51"/>
      <c r="ON5" s="51"/>
      <c r="OO5" s="51"/>
      <c r="OP5" s="51"/>
      <c r="OQ5" s="51"/>
      <c r="OR5" s="51"/>
      <c r="OS5" s="51"/>
      <c r="OT5" s="51"/>
      <c r="OU5" s="51"/>
      <c r="OV5" s="51"/>
      <c r="OW5" s="51"/>
      <c r="OX5" s="51"/>
      <c r="OY5" s="51"/>
      <c r="OZ5" s="51"/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51"/>
      <c r="PZ5" s="51"/>
      <c r="QA5" s="51"/>
      <c r="QB5" s="51"/>
      <c r="QC5" s="51"/>
      <c r="QD5" s="51"/>
      <c r="QE5" s="51"/>
      <c r="QF5" s="51"/>
      <c r="QG5" s="51"/>
      <c r="QH5" s="51"/>
      <c r="QI5" s="51"/>
      <c r="QJ5" s="51"/>
      <c r="QK5" s="51"/>
      <c r="QL5" s="51"/>
      <c r="QM5" s="51"/>
      <c r="QN5" s="51"/>
      <c r="QO5" s="51"/>
      <c r="QP5" s="51"/>
      <c r="QQ5" s="51"/>
      <c r="QR5" s="51"/>
      <c r="QS5" s="51"/>
      <c r="QT5" s="51"/>
      <c r="QU5" s="51"/>
      <c r="QV5" s="51"/>
      <c r="QW5" s="51"/>
      <c r="QX5" s="51"/>
      <c r="QY5" s="51"/>
      <c r="QZ5" s="51"/>
      <c r="RA5" s="51"/>
      <c r="RB5" s="51"/>
      <c r="RC5" s="51"/>
      <c r="RD5" s="51"/>
      <c r="RE5" s="51"/>
      <c r="RF5" s="51"/>
      <c r="RG5" s="51"/>
      <c r="RH5" s="51"/>
      <c r="RI5" s="51"/>
      <c r="RJ5" s="51"/>
      <c r="RK5" s="51"/>
      <c r="RL5" s="51"/>
      <c r="RM5" s="51"/>
      <c r="RN5" s="51"/>
      <c r="RO5" s="51"/>
      <c r="RP5" s="51"/>
      <c r="RQ5" s="51"/>
      <c r="RR5" s="51"/>
      <c r="RS5" s="51"/>
      <c r="RT5" s="51"/>
      <c r="RU5" s="51"/>
      <c r="RV5" s="51"/>
      <c r="RW5" s="51"/>
      <c r="RX5" s="51"/>
      <c r="RY5" s="51"/>
      <c r="RZ5" s="51"/>
      <c r="SA5" s="51"/>
      <c r="SB5" s="51"/>
      <c r="SC5" s="51"/>
      <c r="SD5" s="51"/>
      <c r="SE5" s="51"/>
      <c r="SF5" s="51"/>
      <c r="SG5" s="51"/>
      <c r="SH5" s="51"/>
      <c r="SI5" s="51"/>
      <c r="SJ5" s="51"/>
      <c r="SK5" s="51"/>
      <c r="SL5" s="51"/>
      <c r="SM5" s="51"/>
      <c r="SN5" s="51"/>
      <c r="SO5" s="51"/>
      <c r="SP5" s="51"/>
      <c r="SQ5" s="51"/>
      <c r="SR5" s="51"/>
      <c r="SS5" s="51"/>
      <c r="ST5" s="51"/>
      <c r="SU5" s="51"/>
      <c r="SV5" s="51"/>
      <c r="SW5" s="51"/>
      <c r="SX5" s="51"/>
      <c r="SY5" s="51"/>
      <c r="SZ5" s="51"/>
      <c r="TA5" s="51"/>
      <c r="TB5" s="51"/>
      <c r="TC5" s="51"/>
      <c r="TD5" s="51"/>
      <c r="TE5" s="51"/>
      <c r="TF5" s="51"/>
      <c r="TG5" s="51"/>
      <c r="TH5" s="51"/>
      <c r="TI5" s="51"/>
      <c r="TJ5" s="51"/>
      <c r="TK5" s="51"/>
      <c r="TL5" s="51"/>
      <c r="TM5" s="51"/>
      <c r="TN5" s="51"/>
      <c r="TO5" s="51"/>
      <c r="TP5" s="51"/>
      <c r="TQ5" s="51"/>
      <c r="TR5" s="51"/>
      <c r="TS5" s="51"/>
      <c r="TT5" s="51"/>
      <c r="TU5" s="51"/>
      <c r="TV5" s="51"/>
      <c r="TW5" s="51"/>
      <c r="TX5" s="51"/>
      <c r="TY5" s="51"/>
      <c r="TZ5" s="51"/>
      <c r="UA5" s="51"/>
      <c r="UB5" s="51"/>
      <c r="UC5" s="51"/>
      <c r="UD5" s="51"/>
      <c r="UE5" s="51"/>
      <c r="UF5" s="51"/>
      <c r="UG5" s="51"/>
      <c r="UH5" s="51"/>
      <c r="UI5" s="51"/>
      <c r="UJ5" s="51"/>
      <c r="UK5" s="51"/>
      <c r="UL5" s="51"/>
      <c r="UM5" s="51"/>
      <c r="UN5" s="51"/>
      <c r="UO5" s="51"/>
      <c r="UP5" s="51"/>
      <c r="UQ5" s="51"/>
      <c r="UR5" s="51"/>
      <c r="US5" s="51"/>
      <c r="UT5" s="51"/>
      <c r="UU5" s="51"/>
      <c r="UV5" s="51"/>
      <c r="UW5" s="51"/>
      <c r="UX5" s="51"/>
      <c r="UY5" s="51"/>
      <c r="UZ5" s="51"/>
      <c r="VA5" s="51"/>
      <c r="VB5" s="51"/>
      <c r="VC5" s="51"/>
      <c r="VD5" s="51"/>
      <c r="VE5" s="51"/>
      <c r="VF5" s="51"/>
      <c r="VG5" s="51"/>
      <c r="VH5" s="51"/>
      <c r="VI5" s="51"/>
      <c r="VJ5" s="51"/>
      <c r="VK5" s="51"/>
      <c r="VL5" s="51"/>
      <c r="VM5" s="51"/>
      <c r="VN5" s="51"/>
      <c r="VO5" s="51"/>
      <c r="VP5" s="51"/>
      <c r="VQ5" s="51"/>
      <c r="VR5" s="51"/>
      <c r="VS5" s="51"/>
      <c r="VT5" s="51"/>
      <c r="VU5" s="51"/>
      <c r="VV5" s="51"/>
      <c r="VW5" s="51"/>
      <c r="VX5" s="51"/>
      <c r="VY5" s="51"/>
      <c r="VZ5" s="51"/>
      <c r="WA5" s="51"/>
      <c r="WB5" s="51"/>
      <c r="WC5" s="51"/>
      <c r="WD5" s="51"/>
      <c r="WE5" s="51"/>
      <c r="WF5" s="51"/>
      <c r="WG5" s="51"/>
    </row>
    <row r="6" spans="1:615" x14ac:dyDescent="0.25">
      <c r="A6" s="28">
        <v>4</v>
      </c>
      <c r="B6" s="28" t="s">
        <v>42</v>
      </c>
      <c r="C6" s="28" t="s">
        <v>22</v>
      </c>
      <c r="D6" s="28" t="s">
        <v>597</v>
      </c>
      <c r="E6" s="28">
        <v>1</v>
      </c>
      <c r="F6" s="28">
        <v>50</v>
      </c>
      <c r="G6" s="28">
        <v>5</v>
      </c>
      <c r="H6" s="50">
        <f t="shared" si="6"/>
        <v>55</v>
      </c>
      <c r="I6" s="28">
        <v>14</v>
      </c>
      <c r="J6" s="28">
        <v>55</v>
      </c>
      <c r="K6" s="28">
        <f t="shared" si="14"/>
        <v>69</v>
      </c>
      <c r="L6" s="49">
        <f t="shared" si="7"/>
        <v>41799</v>
      </c>
      <c r="M6" s="51">
        <f t="shared" si="8"/>
        <v>295</v>
      </c>
      <c r="N6" s="51">
        <v>2200</v>
      </c>
      <c r="O6" s="28">
        <v>20.3</v>
      </c>
      <c r="P6" s="28">
        <f t="shared" si="15"/>
        <v>1753.3999999999999</v>
      </c>
      <c r="S6" s="28">
        <f t="shared" si="16"/>
        <v>1.2235616438356167</v>
      </c>
      <c r="CL6" s="51">
        <f>N6</f>
        <v>2200</v>
      </c>
      <c r="CM6" s="51">
        <f>CL6-$S6</f>
        <v>2198.7764383561644</v>
      </c>
      <c r="CN6" s="51">
        <f t="shared" ref="CN6:DC8" si="17">CM6-$S6</f>
        <v>2197.5528767123287</v>
      </c>
      <c r="CO6" s="51">
        <f t="shared" si="17"/>
        <v>2196.3293150684931</v>
      </c>
      <c r="CP6" s="51">
        <f t="shared" si="17"/>
        <v>2195.1057534246575</v>
      </c>
      <c r="CQ6" s="51">
        <f t="shared" si="17"/>
        <v>2193.8821917808218</v>
      </c>
      <c r="CR6" s="51">
        <f t="shared" si="17"/>
        <v>2192.6586301369862</v>
      </c>
      <c r="CS6" s="51">
        <f t="shared" si="17"/>
        <v>2191.4350684931505</v>
      </c>
      <c r="CT6" s="51">
        <f t="shared" si="17"/>
        <v>2190.2115068493149</v>
      </c>
      <c r="CU6" s="51">
        <f t="shared" si="17"/>
        <v>2188.9879452054793</v>
      </c>
      <c r="CV6" s="51">
        <f t="shared" si="17"/>
        <v>2187.7643835616436</v>
      </c>
      <c r="CW6" s="51">
        <f t="shared" si="17"/>
        <v>2186.540821917808</v>
      </c>
      <c r="CX6" s="51">
        <f t="shared" si="17"/>
        <v>2185.3172602739724</v>
      </c>
      <c r="CY6" s="51">
        <f t="shared" si="17"/>
        <v>2184.0936986301367</v>
      </c>
      <c r="CZ6" s="51">
        <f t="shared" si="17"/>
        <v>2182.8701369863011</v>
      </c>
      <c r="DA6" s="51">
        <f t="shared" si="17"/>
        <v>2181.6465753424654</v>
      </c>
      <c r="DB6" s="51">
        <f t="shared" si="17"/>
        <v>2180.4230136986298</v>
      </c>
      <c r="DC6" s="51">
        <f t="shared" si="17"/>
        <v>2179.1994520547942</v>
      </c>
      <c r="DD6" s="51">
        <f t="shared" ref="DD6:DS8" si="18">DC6-$S6</f>
        <v>2177.9758904109585</v>
      </c>
      <c r="DE6" s="51">
        <f t="shared" si="18"/>
        <v>2176.7523287671229</v>
      </c>
      <c r="DF6" s="51">
        <f t="shared" si="18"/>
        <v>2175.5287671232873</v>
      </c>
      <c r="DG6" s="51">
        <f t="shared" si="18"/>
        <v>2174.3052054794516</v>
      </c>
      <c r="DH6" s="51">
        <f t="shared" si="18"/>
        <v>2173.081643835616</v>
      </c>
      <c r="DI6" s="51">
        <f t="shared" si="18"/>
        <v>2171.8580821917803</v>
      </c>
      <c r="DJ6" s="51">
        <f t="shared" si="18"/>
        <v>2170.6345205479447</v>
      </c>
      <c r="DK6" s="51">
        <f t="shared" si="18"/>
        <v>2169.4109589041091</v>
      </c>
      <c r="DL6" s="51">
        <f t="shared" si="18"/>
        <v>2168.1873972602734</v>
      </c>
      <c r="DM6" s="51">
        <f t="shared" si="18"/>
        <v>2166.9638356164378</v>
      </c>
      <c r="DN6" s="51">
        <f t="shared" si="18"/>
        <v>2165.7402739726022</v>
      </c>
      <c r="DO6" s="51">
        <f t="shared" si="18"/>
        <v>2164.5167123287665</v>
      </c>
      <c r="DP6" s="51">
        <f t="shared" si="18"/>
        <v>2163.2931506849309</v>
      </c>
      <c r="DQ6" s="51">
        <f t="shared" si="18"/>
        <v>2162.0695890410952</v>
      </c>
      <c r="DR6" s="51">
        <f t="shared" si="18"/>
        <v>2160.8460273972596</v>
      </c>
      <c r="DS6" s="51">
        <f t="shared" si="18"/>
        <v>2159.622465753424</v>
      </c>
      <c r="DT6" s="51">
        <f t="shared" ref="DT6:EI8" si="19">DS6-$S6</f>
        <v>2158.3989041095883</v>
      </c>
      <c r="DU6" s="51">
        <f t="shared" si="19"/>
        <v>2157.1753424657527</v>
      </c>
      <c r="DV6" s="51">
        <f t="shared" si="19"/>
        <v>2155.9517808219171</v>
      </c>
      <c r="DW6" s="51">
        <f t="shared" si="19"/>
        <v>2154.7282191780814</v>
      </c>
      <c r="DX6" s="51">
        <f t="shared" si="19"/>
        <v>2153.5046575342458</v>
      </c>
      <c r="DY6" s="51">
        <f t="shared" si="19"/>
        <v>2152.2810958904101</v>
      </c>
      <c r="DZ6" s="51">
        <f t="shared" si="19"/>
        <v>2151.0575342465745</v>
      </c>
      <c r="EA6" s="51">
        <f t="shared" si="19"/>
        <v>2149.8339726027389</v>
      </c>
      <c r="EB6" s="51">
        <f t="shared" si="19"/>
        <v>2148.6104109589032</v>
      </c>
      <c r="EC6" s="51">
        <f t="shared" si="19"/>
        <v>2147.3868493150676</v>
      </c>
      <c r="ED6" s="51">
        <f t="shared" si="19"/>
        <v>2146.163287671232</v>
      </c>
      <c r="EE6" s="51">
        <f t="shared" si="19"/>
        <v>2144.9397260273963</v>
      </c>
      <c r="EF6" s="51">
        <f t="shared" si="19"/>
        <v>2143.7161643835607</v>
      </c>
      <c r="EG6" s="51">
        <f t="shared" si="19"/>
        <v>2142.492602739725</v>
      </c>
      <c r="EH6" s="51">
        <f t="shared" si="19"/>
        <v>2141.2690410958894</v>
      </c>
      <c r="EI6" s="51">
        <f t="shared" si="19"/>
        <v>2140.0454794520538</v>
      </c>
      <c r="EJ6" s="51">
        <f t="shared" ref="EJ6:EK8" si="20">EI6-$S6</f>
        <v>2138.8219178082181</v>
      </c>
      <c r="EK6" s="51">
        <f t="shared" si="20"/>
        <v>2137.5983561643825</v>
      </c>
      <c r="EL6" s="51">
        <f t="shared" si="9"/>
        <v>2136.3747945205469</v>
      </c>
      <c r="EM6" s="51">
        <f t="shared" si="9"/>
        <v>2135.1512328767112</v>
      </c>
      <c r="EN6" s="51">
        <f t="shared" si="9"/>
        <v>2133.9276712328756</v>
      </c>
      <c r="EO6" s="51">
        <f t="shared" si="9"/>
        <v>2132.7041095890399</v>
      </c>
      <c r="EP6" s="51">
        <f t="shared" si="9"/>
        <v>2131.4805479452043</v>
      </c>
      <c r="EQ6" s="51">
        <f t="shared" si="9"/>
        <v>2130.2569863013687</v>
      </c>
      <c r="ER6" s="51">
        <f t="shared" si="9"/>
        <v>2129.033424657533</v>
      </c>
      <c r="ES6" s="51">
        <f t="shared" si="9"/>
        <v>2127.8098630136974</v>
      </c>
      <c r="ET6" s="51">
        <f t="shared" si="9"/>
        <v>2126.5863013698618</v>
      </c>
      <c r="EU6" s="51">
        <f t="shared" si="10"/>
        <v>2125.3627397260261</v>
      </c>
      <c r="EV6" s="51">
        <f t="shared" si="10"/>
        <v>2124.1391780821905</v>
      </c>
      <c r="EW6" s="51">
        <f t="shared" si="10"/>
        <v>2122.9156164383548</v>
      </c>
      <c r="EX6" s="51">
        <f t="shared" si="10"/>
        <v>2121.6920547945192</v>
      </c>
      <c r="EY6" s="51">
        <f t="shared" si="10"/>
        <v>2120.4684931506836</v>
      </c>
      <c r="EZ6" s="51">
        <f t="shared" si="10"/>
        <v>2119.2449315068479</v>
      </c>
      <c r="FA6" s="51">
        <f t="shared" si="10"/>
        <v>2118.0213698630123</v>
      </c>
      <c r="FB6" s="51">
        <f t="shared" si="10"/>
        <v>2116.7978082191767</v>
      </c>
      <c r="FC6" s="51">
        <f t="shared" si="10"/>
        <v>2115.574246575341</v>
      </c>
      <c r="FD6" s="51">
        <f t="shared" si="10"/>
        <v>2114.3506849315054</v>
      </c>
      <c r="FE6" s="51">
        <f t="shared" si="10"/>
        <v>2113.1271232876697</v>
      </c>
      <c r="FF6" s="51">
        <f t="shared" si="10"/>
        <v>2111.9035616438341</v>
      </c>
      <c r="FG6" s="51">
        <f t="shared" si="10"/>
        <v>2110.6799999999985</v>
      </c>
      <c r="FH6" s="51">
        <f t="shared" si="10"/>
        <v>2109.4564383561628</v>
      </c>
      <c r="FI6" s="51">
        <f t="shared" si="10"/>
        <v>2108.2328767123272</v>
      </c>
      <c r="FJ6" s="51">
        <f t="shared" si="10"/>
        <v>2107.0093150684916</v>
      </c>
      <c r="FK6" s="51">
        <f t="shared" si="10"/>
        <v>2105.7857534246559</v>
      </c>
      <c r="FL6" s="51">
        <f t="shared" si="10"/>
        <v>2104.5621917808203</v>
      </c>
      <c r="FM6" s="51">
        <f t="shared" si="10"/>
        <v>2103.3386301369846</v>
      </c>
      <c r="FN6" s="51">
        <f t="shared" si="10"/>
        <v>2102.115068493149</v>
      </c>
      <c r="FO6" s="51">
        <f t="shared" si="10"/>
        <v>2100.8915068493134</v>
      </c>
      <c r="FP6" s="51">
        <f t="shared" si="10"/>
        <v>2099.6679452054777</v>
      </c>
      <c r="FQ6" s="51">
        <f t="shared" si="10"/>
        <v>2098.4443835616421</v>
      </c>
      <c r="FR6" s="51">
        <f t="shared" si="10"/>
        <v>2097.2208219178065</v>
      </c>
      <c r="FS6" s="51">
        <f t="shared" si="10"/>
        <v>2095.9972602739708</v>
      </c>
      <c r="FT6" s="51">
        <f t="shared" si="10"/>
        <v>2094.7736986301352</v>
      </c>
      <c r="FU6" s="51">
        <f t="shared" si="10"/>
        <v>2093.5501369862995</v>
      </c>
      <c r="FV6" s="51">
        <f t="shared" si="10"/>
        <v>2092.3265753424639</v>
      </c>
      <c r="FW6" s="51">
        <f t="shared" si="10"/>
        <v>2091.1030136986283</v>
      </c>
      <c r="FX6" s="51">
        <f t="shared" si="10"/>
        <v>2089.8794520547926</v>
      </c>
      <c r="FY6" s="51">
        <f t="shared" si="10"/>
        <v>2088.655890410957</v>
      </c>
      <c r="FZ6" s="51">
        <f t="shared" si="10"/>
        <v>2087.4323287671214</v>
      </c>
      <c r="GA6" s="51">
        <f t="shared" si="10"/>
        <v>2086.2087671232857</v>
      </c>
      <c r="GB6" s="51">
        <f t="shared" si="10"/>
        <v>2084.9852054794501</v>
      </c>
      <c r="GC6" s="51">
        <f t="shared" si="10"/>
        <v>2083.7616438356144</v>
      </c>
      <c r="GD6" s="51">
        <f t="shared" si="10"/>
        <v>2082.5380821917788</v>
      </c>
      <c r="GE6" s="51">
        <f t="shared" si="10"/>
        <v>2081.3145205479432</v>
      </c>
      <c r="GF6" s="51">
        <f t="shared" si="10"/>
        <v>2080.0909589041075</v>
      </c>
      <c r="GG6" s="51">
        <f t="shared" si="10"/>
        <v>2078.8673972602719</v>
      </c>
      <c r="GH6" s="51">
        <f t="shared" si="10"/>
        <v>2077.6438356164363</v>
      </c>
      <c r="GI6" s="51">
        <f t="shared" si="10"/>
        <v>2076.4202739726006</v>
      </c>
      <c r="GJ6" s="51">
        <f t="shared" si="10"/>
        <v>2075.196712328765</v>
      </c>
      <c r="GK6" s="51">
        <f t="shared" si="10"/>
        <v>2073.9731506849294</v>
      </c>
      <c r="GL6" s="51">
        <f t="shared" si="10"/>
        <v>2072.7495890410937</v>
      </c>
      <c r="GM6" s="51">
        <f t="shared" si="10"/>
        <v>2071.5260273972581</v>
      </c>
      <c r="GN6" s="51">
        <f t="shared" si="10"/>
        <v>2070.3024657534224</v>
      </c>
      <c r="GO6" s="51">
        <f t="shared" si="10"/>
        <v>2069.0789041095868</v>
      </c>
      <c r="GP6" s="51">
        <f t="shared" si="10"/>
        <v>2067.8553424657512</v>
      </c>
      <c r="GQ6" s="51">
        <f t="shared" si="10"/>
        <v>2066.6317808219155</v>
      </c>
      <c r="GR6" s="51">
        <f t="shared" si="10"/>
        <v>2065.4082191780799</v>
      </c>
      <c r="GS6" s="51">
        <f t="shared" si="10"/>
        <v>2064.1846575342443</v>
      </c>
      <c r="GT6" s="51">
        <f t="shared" si="10"/>
        <v>2062.9610958904086</v>
      </c>
      <c r="GU6" s="51">
        <f t="shared" si="10"/>
        <v>2061.737534246573</v>
      </c>
      <c r="GV6" s="51">
        <f t="shared" si="10"/>
        <v>2060.5139726027373</v>
      </c>
      <c r="GW6" s="51">
        <f t="shared" si="10"/>
        <v>2059.2904109589017</v>
      </c>
      <c r="GX6" s="51">
        <f t="shared" si="10"/>
        <v>2058.0668493150661</v>
      </c>
      <c r="GY6" s="51">
        <f t="shared" si="10"/>
        <v>2056.8432876712304</v>
      </c>
      <c r="GZ6" s="51">
        <f t="shared" si="10"/>
        <v>2055.6197260273948</v>
      </c>
      <c r="HA6" s="51">
        <f t="shared" si="10"/>
        <v>2054.3961643835592</v>
      </c>
      <c r="HB6" s="51">
        <f t="shared" si="10"/>
        <v>2053.1726027397235</v>
      </c>
      <c r="HC6" s="51">
        <f t="shared" si="10"/>
        <v>2051.9490410958879</v>
      </c>
      <c r="HD6" s="51">
        <f t="shared" si="10"/>
        <v>2050.7254794520522</v>
      </c>
      <c r="HE6" s="51">
        <f t="shared" si="10"/>
        <v>2049.5019178082166</v>
      </c>
      <c r="HF6" s="51">
        <f t="shared" ref="HF6:IP8" si="21">HE6-$S6</f>
        <v>2048.278356164381</v>
      </c>
      <c r="HG6" s="51">
        <f t="shared" si="21"/>
        <v>2047.0547945205453</v>
      </c>
      <c r="HH6" s="51">
        <f t="shared" si="21"/>
        <v>2045.8312328767097</v>
      </c>
      <c r="HI6" s="51">
        <f t="shared" si="21"/>
        <v>2044.6076712328741</v>
      </c>
      <c r="HJ6" s="51">
        <f t="shared" si="21"/>
        <v>2043.3841095890384</v>
      </c>
      <c r="HK6" s="51">
        <f t="shared" si="21"/>
        <v>2042.1605479452028</v>
      </c>
      <c r="HL6" s="51">
        <f t="shared" si="21"/>
        <v>2040.9369863013671</v>
      </c>
      <c r="HM6" s="51">
        <f t="shared" si="21"/>
        <v>2039.7134246575315</v>
      </c>
      <c r="HN6" s="51">
        <f t="shared" si="21"/>
        <v>2038.4898630136959</v>
      </c>
      <c r="HO6" s="51">
        <f t="shared" si="21"/>
        <v>2037.2663013698602</v>
      </c>
      <c r="HP6" s="51">
        <f t="shared" si="21"/>
        <v>2036.0427397260246</v>
      </c>
      <c r="HQ6" s="51">
        <f t="shared" si="21"/>
        <v>2034.819178082189</v>
      </c>
      <c r="HR6" s="51">
        <f t="shared" si="21"/>
        <v>2033.5956164383533</v>
      </c>
      <c r="HS6" s="51">
        <f t="shared" si="21"/>
        <v>2032.3720547945177</v>
      </c>
      <c r="HT6" s="51">
        <f t="shared" si="21"/>
        <v>2031.148493150682</v>
      </c>
      <c r="HU6" s="51">
        <f t="shared" si="21"/>
        <v>2029.9249315068464</v>
      </c>
      <c r="HV6" s="51">
        <f t="shared" si="21"/>
        <v>2028.7013698630108</v>
      </c>
      <c r="HW6" s="51">
        <f t="shared" si="21"/>
        <v>2027.4778082191751</v>
      </c>
      <c r="HX6" s="51">
        <f t="shared" si="21"/>
        <v>2026.2542465753395</v>
      </c>
      <c r="HY6" s="51">
        <f t="shared" si="21"/>
        <v>2025.0306849315039</v>
      </c>
      <c r="HZ6" s="51">
        <f t="shared" si="21"/>
        <v>2023.8071232876682</v>
      </c>
      <c r="IA6" s="51">
        <f t="shared" si="21"/>
        <v>2022.5835616438326</v>
      </c>
      <c r="IB6" s="51">
        <f t="shared" si="21"/>
        <v>2021.3599999999969</v>
      </c>
      <c r="IC6" s="51">
        <f t="shared" si="21"/>
        <v>2020.1364383561613</v>
      </c>
      <c r="ID6" s="51">
        <f t="shared" si="21"/>
        <v>2018.9128767123257</v>
      </c>
      <c r="IE6" s="51">
        <f t="shared" si="21"/>
        <v>2017.68931506849</v>
      </c>
      <c r="IF6" s="51">
        <f t="shared" si="21"/>
        <v>2016.4657534246544</v>
      </c>
      <c r="IG6" s="51">
        <f t="shared" si="21"/>
        <v>2015.2421917808188</v>
      </c>
      <c r="IH6" s="51">
        <f t="shared" si="21"/>
        <v>2014.0186301369831</v>
      </c>
      <c r="II6" s="51">
        <f t="shared" si="21"/>
        <v>2012.7950684931475</v>
      </c>
      <c r="IJ6" s="51">
        <f t="shared" si="21"/>
        <v>2011.5715068493118</v>
      </c>
      <c r="IK6" s="51">
        <f t="shared" si="21"/>
        <v>2010.3479452054762</v>
      </c>
      <c r="IL6" s="51">
        <f t="shared" si="21"/>
        <v>2009.1243835616406</v>
      </c>
      <c r="IM6" s="51">
        <f t="shared" si="21"/>
        <v>2007.9008219178049</v>
      </c>
      <c r="IN6" s="51">
        <f t="shared" si="21"/>
        <v>2006.6772602739693</v>
      </c>
      <c r="IO6" s="51">
        <f t="shared" si="21"/>
        <v>2005.4536986301337</v>
      </c>
      <c r="IP6" s="51">
        <f t="shared" si="21"/>
        <v>2004.230136986298</v>
      </c>
      <c r="IQ6" s="51">
        <f t="shared" si="11"/>
        <v>2003.0065753424624</v>
      </c>
      <c r="IR6" s="51">
        <f t="shared" si="11"/>
        <v>2001.7830136986267</v>
      </c>
      <c r="IS6" s="51">
        <f t="shared" si="11"/>
        <v>2000.5594520547911</v>
      </c>
      <c r="IT6" s="51">
        <f t="shared" si="11"/>
        <v>1999.3358904109555</v>
      </c>
      <c r="IU6" s="51">
        <f t="shared" si="11"/>
        <v>1998.1123287671198</v>
      </c>
      <c r="IV6" s="51">
        <f t="shared" si="11"/>
        <v>1996.8887671232842</v>
      </c>
      <c r="IW6" s="51">
        <f t="shared" si="11"/>
        <v>1995.6652054794486</v>
      </c>
      <c r="IX6" s="51">
        <f t="shared" si="11"/>
        <v>1994.4416438356129</v>
      </c>
      <c r="IY6" s="51">
        <f t="shared" si="11"/>
        <v>1993.2180821917773</v>
      </c>
      <c r="IZ6" s="51">
        <f t="shared" si="11"/>
        <v>1991.9945205479416</v>
      </c>
      <c r="JA6" s="51">
        <f t="shared" si="11"/>
        <v>1990.770958904106</v>
      </c>
      <c r="JB6" s="51">
        <f t="shared" si="11"/>
        <v>1989.5473972602704</v>
      </c>
      <c r="JC6" s="51">
        <f t="shared" si="11"/>
        <v>1988.3238356164347</v>
      </c>
      <c r="JD6" s="51">
        <f t="shared" si="11"/>
        <v>1987.1002739725991</v>
      </c>
      <c r="JE6" s="51">
        <f t="shared" si="11"/>
        <v>1985.8767123287635</v>
      </c>
      <c r="JF6" s="51">
        <f t="shared" si="11"/>
        <v>1984.6531506849278</v>
      </c>
      <c r="JG6" s="51">
        <f t="shared" si="11"/>
        <v>1983.4295890410922</v>
      </c>
      <c r="JH6" s="51">
        <f t="shared" si="11"/>
        <v>1982.2060273972565</v>
      </c>
      <c r="JI6" s="51">
        <f t="shared" si="11"/>
        <v>1980.9824657534209</v>
      </c>
      <c r="JJ6" s="51">
        <f t="shared" si="11"/>
        <v>1979.7589041095853</v>
      </c>
      <c r="JK6" s="51">
        <f t="shared" si="11"/>
        <v>1978.5353424657496</v>
      </c>
      <c r="JL6" s="51">
        <f t="shared" si="11"/>
        <v>1977.311780821914</v>
      </c>
      <c r="JM6" s="51">
        <f t="shared" si="11"/>
        <v>1976.0882191780784</v>
      </c>
      <c r="JN6" s="51">
        <f t="shared" si="11"/>
        <v>1974.8646575342427</v>
      </c>
      <c r="JO6" s="51">
        <f t="shared" si="11"/>
        <v>1973.6410958904071</v>
      </c>
      <c r="JP6" s="51">
        <f t="shared" si="11"/>
        <v>1972.4175342465714</v>
      </c>
      <c r="JQ6" s="51">
        <f t="shared" si="11"/>
        <v>1971.1939726027358</v>
      </c>
      <c r="JR6" s="51">
        <f t="shared" si="11"/>
        <v>1969.9704109589002</v>
      </c>
      <c r="JS6" s="51">
        <f t="shared" si="12"/>
        <v>1968.7468493150645</v>
      </c>
      <c r="JT6" s="51">
        <f t="shared" si="12"/>
        <v>1967.5232876712289</v>
      </c>
      <c r="JU6" s="51">
        <f t="shared" si="12"/>
        <v>1966.2997260273933</v>
      </c>
      <c r="JV6" s="51">
        <f t="shared" si="12"/>
        <v>1965.0761643835576</v>
      </c>
      <c r="JW6" s="51">
        <f t="shared" si="12"/>
        <v>1963.852602739722</v>
      </c>
      <c r="JX6" s="51">
        <f t="shared" si="12"/>
        <v>1962.6290410958864</v>
      </c>
      <c r="JY6" s="51">
        <f t="shared" si="12"/>
        <v>1961.4054794520507</v>
      </c>
      <c r="JZ6" s="51">
        <f t="shared" si="12"/>
        <v>1960.1819178082151</v>
      </c>
      <c r="KA6" s="51">
        <f t="shared" si="12"/>
        <v>1958.9583561643794</v>
      </c>
      <c r="KB6" s="51">
        <f t="shared" si="12"/>
        <v>1957.7347945205438</v>
      </c>
      <c r="KC6" s="51">
        <f t="shared" si="12"/>
        <v>1956.5112328767082</v>
      </c>
      <c r="KD6" s="51">
        <f t="shared" si="12"/>
        <v>1955.2876712328725</v>
      </c>
      <c r="KE6" s="51">
        <f t="shared" si="12"/>
        <v>1954.0641095890369</v>
      </c>
      <c r="KF6" s="51">
        <f t="shared" si="12"/>
        <v>1952.8405479452013</v>
      </c>
      <c r="KG6" s="51">
        <f t="shared" si="12"/>
        <v>1951.6169863013656</v>
      </c>
      <c r="KH6" s="51">
        <f t="shared" si="12"/>
        <v>1950.39342465753</v>
      </c>
      <c r="KI6" s="51">
        <f t="shared" si="12"/>
        <v>1949.1698630136943</v>
      </c>
      <c r="KJ6" s="51">
        <f t="shared" si="12"/>
        <v>1947.9463013698587</v>
      </c>
      <c r="KK6" s="51">
        <f t="shared" si="12"/>
        <v>1946.7227397260231</v>
      </c>
      <c r="KL6" s="51">
        <f t="shared" si="12"/>
        <v>1945.4991780821874</v>
      </c>
      <c r="KM6" s="51">
        <f t="shared" si="12"/>
        <v>1944.2756164383518</v>
      </c>
      <c r="KN6" s="51">
        <f t="shared" si="12"/>
        <v>1943.0520547945162</v>
      </c>
      <c r="KO6" s="51">
        <f t="shared" si="12"/>
        <v>1941.8284931506805</v>
      </c>
      <c r="KP6" s="51">
        <f t="shared" si="12"/>
        <v>1940.6049315068449</v>
      </c>
      <c r="KQ6" s="51">
        <f t="shared" si="12"/>
        <v>1939.3813698630092</v>
      </c>
      <c r="KR6" s="51">
        <f t="shared" si="12"/>
        <v>1938.1578082191736</v>
      </c>
      <c r="KS6" s="51">
        <f t="shared" si="12"/>
        <v>1936.934246575338</v>
      </c>
      <c r="KT6" s="51">
        <f t="shared" si="12"/>
        <v>1935.7106849315023</v>
      </c>
      <c r="KU6" s="51">
        <f t="shared" si="12"/>
        <v>1934.4871232876667</v>
      </c>
      <c r="KV6" s="51">
        <f t="shared" si="12"/>
        <v>1933.2635616438311</v>
      </c>
      <c r="KW6" s="51">
        <f t="shared" si="12"/>
        <v>1932.0399999999954</v>
      </c>
      <c r="KX6" s="51">
        <f t="shared" si="12"/>
        <v>1930.8164383561598</v>
      </c>
      <c r="KY6" s="51">
        <f t="shared" si="12"/>
        <v>1929.5928767123241</v>
      </c>
      <c r="KZ6" s="51">
        <f t="shared" si="12"/>
        <v>1928.3693150684885</v>
      </c>
      <c r="LA6" s="51">
        <f t="shared" si="12"/>
        <v>1927.1457534246529</v>
      </c>
      <c r="LB6" s="51">
        <f t="shared" si="12"/>
        <v>1925.9221917808172</v>
      </c>
      <c r="LC6" s="51">
        <f t="shared" si="12"/>
        <v>1924.6986301369816</v>
      </c>
      <c r="LD6" s="51">
        <f t="shared" si="12"/>
        <v>1923.475068493146</v>
      </c>
      <c r="LE6" s="51">
        <f t="shared" si="12"/>
        <v>1922.2515068493103</v>
      </c>
      <c r="LF6" s="51">
        <f t="shared" si="12"/>
        <v>1921.0279452054747</v>
      </c>
      <c r="LG6" s="51">
        <f t="shared" si="12"/>
        <v>1919.804383561639</v>
      </c>
      <c r="LH6" s="51">
        <f t="shared" si="12"/>
        <v>1918.5808219178034</v>
      </c>
      <c r="LI6" s="51">
        <f t="shared" si="12"/>
        <v>1917.3572602739678</v>
      </c>
      <c r="LJ6" s="51">
        <f t="shared" si="12"/>
        <v>1916.1336986301321</v>
      </c>
      <c r="LK6" s="51">
        <f t="shared" si="12"/>
        <v>1914.9101369862965</v>
      </c>
      <c r="LL6" s="51">
        <f t="shared" si="12"/>
        <v>1913.6865753424609</v>
      </c>
      <c r="LM6" s="51">
        <f t="shared" si="12"/>
        <v>1912.4630136986252</v>
      </c>
      <c r="LN6" s="51">
        <f t="shared" si="12"/>
        <v>1911.2394520547896</v>
      </c>
      <c r="LO6" s="51">
        <f t="shared" si="12"/>
        <v>1910.0158904109539</v>
      </c>
      <c r="LP6" s="51">
        <f t="shared" si="12"/>
        <v>1908.7923287671183</v>
      </c>
      <c r="LQ6" s="51">
        <f t="shared" si="12"/>
        <v>1907.5687671232827</v>
      </c>
      <c r="LR6" s="51">
        <f t="shared" si="12"/>
        <v>1906.345205479447</v>
      </c>
      <c r="LS6" s="51">
        <f t="shared" si="12"/>
        <v>1905.1216438356114</v>
      </c>
      <c r="LT6" s="51">
        <f t="shared" si="12"/>
        <v>1903.8980821917758</v>
      </c>
      <c r="LU6" s="51">
        <f t="shared" si="12"/>
        <v>1902.6745205479401</v>
      </c>
      <c r="LV6" s="51">
        <f t="shared" si="12"/>
        <v>1901.4509589041045</v>
      </c>
      <c r="LW6" s="51">
        <f t="shared" si="12"/>
        <v>1900.2273972602688</v>
      </c>
      <c r="LX6" s="51">
        <f t="shared" si="12"/>
        <v>1899.0038356164332</v>
      </c>
      <c r="LY6" s="51">
        <f t="shared" si="12"/>
        <v>1897.7802739725976</v>
      </c>
      <c r="LZ6" s="51">
        <f t="shared" si="12"/>
        <v>1896.5567123287619</v>
      </c>
      <c r="MA6" s="51">
        <f t="shared" si="12"/>
        <v>1895.3331506849263</v>
      </c>
      <c r="MB6" s="51">
        <f t="shared" si="12"/>
        <v>1894.1095890410907</v>
      </c>
      <c r="MC6" s="51">
        <f t="shared" si="12"/>
        <v>1892.886027397255</v>
      </c>
      <c r="MD6" s="51">
        <f t="shared" ref="MD6:NN8" si="22">MC6-$S6</f>
        <v>1891.6624657534194</v>
      </c>
      <c r="ME6" s="51">
        <f t="shared" si="22"/>
        <v>1890.4389041095837</v>
      </c>
      <c r="MF6" s="51">
        <f t="shared" si="22"/>
        <v>1889.2153424657481</v>
      </c>
      <c r="MG6" s="51">
        <f t="shared" si="22"/>
        <v>1887.9917808219125</v>
      </c>
      <c r="MH6" s="51">
        <f t="shared" si="22"/>
        <v>1886.7682191780768</v>
      </c>
      <c r="MI6" s="51">
        <f t="shared" si="22"/>
        <v>1885.5446575342412</v>
      </c>
      <c r="MJ6" s="51">
        <f t="shared" si="22"/>
        <v>1884.3210958904056</v>
      </c>
      <c r="MK6" s="51">
        <f t="shared" si="22"/>
        <v>1883.0975342465699</v>
      </c>
      <c r="ML6" s="51">
        <f t="shared" si="22"/>
        <v>1881.8739726027343</v>
      </c>
      <c r="MM6" s="51">
        <f t="shared" si="22"/>
        <v>1880.6504109588986</v>
      </c>
      <c r="MN6" s="51">
        <f t="shared" si="22"/>
        <v>1879.426849315063</v>
      </c>
      <c r="MO6" s="51">
        <f t="shared" si="22"/>
        <v>1878.2032876712274</v>
      </c>
      <c r="MP6" s="51">
        <f t="shared" si="22"/>
        <v>1876.9797260273917</v>
      </c>
      <c r="MQ6" s="51">
        <f t="shared" si="22"/>
        <v>1875.7561643835561</v>
      </c>
      <c r="MR6" s="51">
        <f t="shared" si="22"/>
        <v>1874.5326027397205</v>
      </c>
      <c r="MS6" s="51">
        <f t="shared" si="22"/>
        <v>1873.3090410958848</v>
      </c>
      <c r="MT6" s="51">
        <f t="shared" si="22"/>
        <v>1872.0854794520492</v>
      </c>
      <c r="MU6" s="51">
        <f t="shared" si="22"/>
        <v>1870.8619178082135</v>
      </c>
      <c r="MV6" s="51">
        <f t="shared" si="22"/>
        <v>1869.6383561643779</v>
      </c>
      <c r="MW6" s="51">
        <f t="shared" si="22"/>
        <v>1868.4147945205423</v>
      </c>
      <c r="MX6" s="51">
        <f t="shared" si="22"/>
        <v>1867.1912328767066</v>
      </c>
      <c r="MY6" s="51">
        <f t="shared" si="22"/>
        <v>1865.967671232871</v>
      </c>
      <c r="MZ6" s="51">
        <f t="shared" si="22"/>
        <v>1864.7441095890354</v>
      </c>
      <c r="NA6" s="51">
        <f t="shared" si="22"/>
        <v>1863.5205479451997</v>
      </c>
      <c r="NB6" s="51">
        <f t="shared" si="22"/>
        <v>1862.2969863013641</v>
      </c>
      <c r="NC6" s="51">
        <f t="shared" si="22"/>
        <v>1861.0734246575284</v>
      </c>
      <c r="ND6" s="51">
        <f t="shared" si="22"/>
        <v>1859.8498630136928</v>
      </c>
      <c r="NE6" s="51">
        <f t="shared" si="22"/>
        <v>1858.6263013698572</v>
      </c>
      <c r="NF6" s="51">
        <f t="shared" si="22"/>
        <v>1857.4027397260215</v>
      </c>
      <c r="NG6" s="51">
        <f t="shared" si="22"/>
        <v>1856.1791780821859</v>
      </c>
      <c r="NH6" s="51">
        <f t="shared" si="22"/>
        <v>1854.9556164383503</v>
      </c>
      <c r="NI6" s="51">
        <f t="shared" si="22"/>
        <v>1853.7320547945146</v>
      </c>
      <c r="NJ6" s="51">
        <f t="shared" si="22"/>
        <v>1852.508493150679</v>
      </c>
      <c r="NK6" s="51">
        <f t="shared" si="22"/>
        <v>1851.2849315068433</v>
      </c>
      <c r="NL6" s="51">
        <f t="shared" si="22"/>
        <v>1850.0613698630077</v>
      </c>
      <c r="NM6" s="51">
        <f t="shared" si="22"/>
        <v>1848.8378082191721</v>
      </c>
      <c r="NN6" s="51">
        <f t="shared" si="22"/>
        <v>1847.6142465753364</v>
      </c>
      <c r="NO6" s="51">
        <f t="shared" si="13"/>
        <v>1846.3906849315008</v>
      </c>
      <c r="NP6" s="51">
        <f t="shared" si="13"/>
        <v>1845.1671232876652</v>
      </c>
      <c r="NQ6" s="51">
        <f t="shared" si="13"/>
        <v>1843.9435616438295</v>
      </c>
      <c r="NR6" s="51">
        <f t="shared" si="13"/>
        <v>1842.7199999999939</v>
      </c>
      <c r="NS6" s="51">
        <f t="shared" si="13"/>
        <v>1841.4964383561583</v>
      </c>
      <c r="NT6" s="51">
        <f t="shared" si="13"/>
        <v>1840.2728767123226</v>
      </c>
      <c r="NU6" s="51">
        <f t="shared" si="13"/>
        <v>1839.049315068487</v>
      </c>
      <c r="NV6" s="51"/>
      <c r="NW6" s="51"/>
      <c r="NX6" s="51"/>
      <c r="NY6" s="51"/>
      <c r="NZ6" s="51"/>
      <c r="OA6" s="51"/>
      <c r="OB6" s="51"/>
      <c r="OC6" s="51"/>
      <c r="OD6" s="51"/>
      <c r="OE6" s="51"/>
      <c r="OF6" s="51"/>
      <c r="OG6" s="51"/>
      <c r="OH6" s="51"/>
      <c r="OI6" s="51"/>
      <c r="OJ6" s="51"/>
      <c r="OK6" s="51"/>
      <c r="OL6" s="51"/>
      <c r="OM6" s="51"/>
      <c r="ON6" s="51"/>
      <c r="OO6" s="51"/>
      <c r="OP6" s="51"/>
      <c r="OQ6" s="51"/>
      <c r="OR6" s="51"/>
      <c r="OS6" s="51"/>
      <c r="OT6" s="51"/>
      <c r="OU6" s="51"/>
      <c r="OV6" s="51"/>
      <c r="OW6" s="51"/>
      <c r="OX6" s="51"/>
      <c r="OY6" s="51"/>
      <c r="OZ6" s="51"/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51"/>
      <c r="PZ6" s="51"/>
      <c r="QA6" s="51"/>
      <c r="QB6" s="51"/>
      <c r="QC6" s="51"/>
      <c r="QD6" s="51"/>
      <c r="QE6" s="51"/>
      <c r="QF6" s="51"/>
      <c r="QG6" s="51"/>
      <c r="QH6" s="51"/>
      <c r="QI6" s="51"/>
      <c r="QJ6" s="51"/>
      <c r="QK6" s="51"/>
      <c r="QL6" s="51"/>
      <c r="QM6" s="51"/>
      <c r="QN6" s="51"/>
      <c r="QO6" s="51"/>
      <c r="QP6" s="51"/>
      <c r="QQ6" s="51"/>
      <c r="QR6" s="51"/>
      <c r="QS6" s="51"/>
      <c r="QT6" s="51"/>
      <c r="QU6" s="51"/>
      <c r="QV6" s="51"/>
      <c r="QW6" s="51"/>
      <c r="QX6" s="51"/>
      <c r="QY6" s="51"/>
      <c r="QZ6" s="51"/>
      <c r="RA6" s="51"/>
      <c r="RB6" s="51"/>
      <c r="RC6" s="51"/>
      <c r="RD6" s="51"/>
      <c r="RE6" s="51"/>
      <c r="RF6" s="51"/>
      <c r="RG6" s="51"/>
      <c r="RH6" s="51"/>
      <c r="RI6" s="51"/>
      <c r="RJ6" s="51"/>
      <c r="RK6" s="51"/>
      <c r="RL6" s="51"/>
      <c r="RM6" s="51"/>
      <c r="RN6" s="51"/>
      <c r="RO6" s="51"/>
      <c r="RP6" s="51"/>
      <c r="RQ6" s="51"/>
      <c r="RR6" s="51"/>
      <c r="RS6" s="51"/>
      <c r="RT6" s="51"/>
      <c r="RU6" s="51"/>
      <c r="RV6" s="51"/>
      <c r="RW6" s="51"/>
      <c r="RX6" s="51"/>
      <c r="RY6" s="51"/>
      <c r="RZ6" s="51"/>
      <c r="SA6" s="51"/>
      <c r="SB6" s="51"/>
      <c r="SC6" s="51"/>
      <c r="SD6" s="51"/>
      <c r="SE6" s="51"/>
      <c r="SF6" s="51"/>
      <c r="SG6" s="51"/>
      <c r="SH6" s="51"/>
      <c r="SI6" s="51"/>
      <c r="SJ6" s="51"/>
      <c r="SK6" s="51"/>
      <c r="SL6" s="51"/>
      <c r="SM6" s="51"/>
      <c r="SN6" s="51"/>
      <c r="SO6" s="51"/>
      <c r="SP6" s="51"/>
      <c r="SQ6" s="51"/>
      <c r="SR6" s="51"/>
      <c r="SS6" s="51"/>
      <c r="ST6" s="51"/>
      <c r="SU6" s="51"/>
      <c r="SV6" s="51"/>
      <c r="SW6" s="51"/>
      <c r="SX6" s="51"/>
      <c r="SY6" s="51"/>
      <c r="SZ6" s="51"/>
      <c r="TA6" s="51"/>
      <c r="TB6" s="51"/>
      <c r="TC6" s="51"/>
      <c r="TD6" s="51"/>
      <c r="TE6" s="51"/>
      <c r="TF6" s="51"/>
      <c r="TG6" s="51"/>
      <c r="TH6" s="51"/>
      <c r="TI6" s="51"/>
      <c r="TJ6" s="51"/>
      <c r="TK6" s="51"/>
      <c r="TL6" s="51"/>
      <c r="TM6" s="51"/>
      <c r="TN6" s="51"/>
      <c r="TO6" s="51"/>
      <c r="TP6" s="51"/>
      <c r="TQ6" s="51"/>
      <c r="TR6" s="51"/>
      <c r="TS6" s="51"/>
      <c r="TT6" s="51"/>
      <c r="TU6" s="51"/>
      <c r="TV6" s="51"/>
      <c r="TW6" s="51"/>
      <c r="TX6" s="51"/>
      <c r="TY6" s="51"/>
      <c r="TZ6" s="51"/>
      <c r="UA6" s="51"/>
      <c r="UB6" s="51"/>
      <c r="UC6" s="51"/>
      <c r="UD6" s="51"/>
      <c r="UE6" s="51"/>
      <c r="UF6" s="51"/>
      <c r="UG6" s="51"/>
      <c r="UH6" s="51"/>
      <c r="UI6" s="51"/>
      <c r="UJ6" s="51"/>
      <c r="UK6" s="51"/>
      <c r="UL6" s="51"/>
      <c r="UM6" s="51"/>
      <c r="UN6" s="51"/>
      <c r="UO6" s="51"/>
      <c r="UP6" s="51"/>
      <c r="UQ6" s="51"/>
      <c r="UR6" s="51"/>
      <c r="US6" s="51"/>
      <c r="UT6" s="51"/>
      <c r="UU6" s="51"/>
      <c r="UV6" s="51"/>
      <c r="UW6" s="51"/>
      <c r="UX6" s="51"/>
      <c r="UY6" s="51"/>
      <c r="UZ6" s="51"/>
      <c r="VA6" s="51"/>
      <c r="VB6" s="51"/>
      <c r="VC6" s="51"/>
      <c r="VD6" s="51"/>
      <c r="VE6" s="51"/>
      <c r="VF6" s="51"/>
      <c r="VG6" s="51"/>
      <c r="VH6" s="51"/>
      <c r="VI6" s="51"/>
      <c r="VJ6" s="51"/>
      <c r="VK6" s="51"/>
      <c r="VL6" s="51"/>
      <c r="VM6" s="51"/>
      <c r="VN6" s="51"/>
      <c r="VO6" s="51"/>
      <c r="VP6" s="51"/>
      <c r="VQ6" s="51"/>
      <c r="VR6" s="51"/>
      <c r="VS6" s="51"/>
      <c r="VT6" s="51"/>
      <c r="VU6" s="51"/>
      <c r="VV6" s="51"/>
      <c r="VW6" s="51"/>
      <c r="VX6" s="51"/>
      <c r="VY6" s="51"/>
      <c r="VZ6" s="51"/>
      <c r="WA6" s="51"/>
      <c r="WB6" s="51"/>
      <c r="WC6" s="51"/>
      <c r="WD6" s="51"/>
      <c r="WE6" s="51"/>
      <c r="WF6" s="51"/>
      <c r="WG6" s="51"/>
    </row>
    <row r="7" spans="1:615" x14ac:dyDescent="0.25">
      <c r="A7" s="28">
        <v>5</v>
      </c>
      <c r="B7" s="28" t="s">
        <v>42</v>
      </c>
      <c r="C7" s="28" t="s">
        <v>22</v>
      </c>
      <c r="D7" s="28" t="s">
        <v>597</v>
      </c>
      <c r="E7" s="28">
        <v>1</v>
      </c>
      <c r="F7" s="28">
        <v>50</v>
      </c>
      <c r="G7" s="28">
        <v>5</v>
      </c>
      <c r="H7" s="50">
        <f t="shared" si="6"/>
        <v>55</v>
      </c>
      <c r="I7" s="28">
        <v>14</v>
      </c>
      <c r="J7" s="28">
        <v>55</v>
      </c>
      <c r="K7" s="28">
        <f t="shared" si="14"/>
        <v>69</v>
      </c>
      <c r="L7" s="49">
        <f t="shared" si="7"/>
        <v>41799</v>
      </c>
      <c r="M7" s="51">
        <f t="shared" si="8"/>
        <v>295</v>
      </c>
      <c r="N7" s="51">
        <v>2200</v>
      </c>
      <c r="O7" s="28">
        <v>20.3</v>
      </c>
      <c r="P7" s="28">
        <f t="shared" si="15"/>
        <v>1753.3999999999999</v>
      </c>
      <c r="S7" s="28">
        <f t="shared" si="16"/>
        <v>1.2235616438356167</v>
      </c>
      <c r="CL7" s="51">
        <f>N7</f>
        <v>2200</v>
      </c>
      <c r="CM7" s="51">
        <f t="shared" ref="CM7:DB8" si="23">CL7-$S7</f>
        <v>2198.7764383561644</v>
      </c>
      <c r="CN7" s="51">
        <f t="shared" si="23"/>
        <v>2197.5528767123287</v>
      </c>
      <c r="CO7" s="51">
        <f t="shared" si="23"/>
        <v>2196.3293150684931</v>
      </c>
      <c r="CP7" s="51">
        <f t="shared" si="23"/>
        <v>2195.1057534246575</v>
      </c>
      <c r="CQ7" s="51">
        <f t="shared" si="23"/>
        <v>2193.8821917808218</v>
      </c>
      <c r="CR7" s="51">
        <f t="shared" si="23"/>
        <v>2192.6586301369862</v>
      </c>
      <c r="CS7" s="51">
        <f t="shared" si="23"/>
        <v>2191.4350684931505</v>
      </c>
      <c r="CT7" s="51">
        <f t="shared" si="23"/>
        <v>2190.2115068493149</v>
      </c>
      <c r="CU7" s="51">
        <f t="shared" si="23"/>
        <v>2188.9879452054793</v>
      </c>
      <c r="CV7" s="51">
        <f t="shared" si="23"/>
        <v>2187.7643835616436</v>
      </c>
      <c r="CW7" s="51">
        <f t="shared" si="23"/>
        <v>2186.540821917808</v>
      </c>
      <c r="CX7" s="51">
        <f t="shared" si="23"/>
        <v>2185.3172602739724</v>
      </c>
      <c r="CY7" s="51">
        <f t="shared" si="23"/>
        <v>2184.0936986301367</v>
      </c>
      <c r="CZ7" s="51">
        <f t="shared" si="23"/>
        <v>2182.8701369863011</v>
      </c>
      <c r="DA7" s="51">
        <f t="shared" si="23"/>
        <v>2181.6465753424654</v>
      </c>
      <c r="DB7" s="51">
        <f t="shared" si="23"/>
        <v>2180.4230136986298</v>
      </c>
      <c r="DC7" s="51">
        <f t="shared" si="17"/>
        <v>2179.1994520547942</v>
      </c>
      <c r="DD7" s="51">
        <f t="shared" si="18"/>
        <v>2177.9758904109585</v>
      </c>
      <c r="DE7" s="51">
        <f t="shared" si="18"/>
        <v>2176.7523287671229</v>
      </c>
      <c r="DF7" s="51">
        <f t="shared" si="18"/>
        <v>2175.5287671232873</v>
      </c>
      <c r="DG7" s="51">
        <f t="shared" si="18"/>
        <v>2174.3052054794516</v>
      </c>
      <c r="DH7" s="51">
        <f t="shared" si="18"/>
        <v>2173.081643835616</v>
      </c>
      <c r="DI7" s="51">
        <f t="shared" si="18"/>
        <v>2171.8580821917803</v>
      </c>
      <c r="DJ7" s="51">
        <f t="shared" si="18"/>
        <v>2170.6345205479447</v>
      </c>
      <c r="DK7" s="51">
        <f t="shared" si="18"/>
        <v>2169.4109589041091</v>
      </c>
      <c r="DL7" s="51">
        <f t="shared" si="18"/>
        <v>2168.1873972602734</v>
      </c>
      <c r="DM7" s="51">
        <f t="shared" si="18"/>
        <v>2166.9638356164378</v>
      </c>
      <c r="DN7" s="51">
        <f t="shared" si="18"/>
        <v>2165.7402739726022</v>
      </c>
      <c r="DO7" s="51">
        <f t="shared" si="18"/>
        <v>2164.5167123287665</v>
      </c>
      <c r="DP7" s="51">
        <f t="shared" si="18"/>
        <v>2163.2931506849309</v>
      </c>
      <c r="DQ7" s="51">
        <f t="shared" si="18"/>
        <v>2162.0695890410952</v>
      </c>
      <c r="DR7" s="51">
        <f t="shared" si="18"/>
        <v>2160.8460273972596</v>
      </c>
      <c r="DS7" s="51">
        <f t="shared" si="18"/>
        <v>2159.622465753424</v>
      </c>
      <c r="DT7" s="51">
        <f t="shared" si="19"/>
        <v>2158.3989041095883</v>
      </c>
      <c r="DU7" s="51">
        <f t="shared" si="19"/>
        <v>2157.1753424657527</v>
      </c>
      <c r="DV7" s="51">
        <f t="shared" si="19"/>
        <v>2155.9517808219171</v>
      </c>
      <c r="DW7" s="51">
        <f t="shared" si="19"/>
        <v>2154.7282191780814</v>
      </c>
      <c r="DX7" s="51">
        <f t="shared" si="19"/>
        <v>2153.5046575342458</v>
      </c>
      <c r="DY7" s="51">
        <f t="shared" si="19"/>
        <v>2152.2810958904101</v>
      </c>
      <c r="DZ7" s="51">
        <f t="shared" si="19"/>
        <v>2151.0575342465745</v>
      </c>
      <c r="EA7" s="51">
        <f t="shared" si="19"/>
        <v>2149.8339726027389</v>
      </c>
      <c r="EB7" s="51">
        <f t="shared" si="19"/>
        <v>2148.6104109589032</v>
      </c>
      <c r="EC7" s="51">
        <f t="shared" si="19"/>
        <v>2147.3868493150676</v>
      </c>
      <c r="ED7" s="51">
        <f t="shared" si="19"/>
        <v>2146.163287671232</v>
      </c>
      <c r="EE7" s="51">
        <f t="shared" si="19"/>
        <v>2144.9397260273963</v>
      </c>
      <c r="EF7" s="51">
        <f t="shared" si="19"/>
        <v>2143.7161643835607</v>
      </c>
      <c r="EG7" s="51">
        <f t="shared" si="19"/>
        <v>2142.492602739725</v>
      </c>
      <c r="EH7" s="51">
        <f t="shared" si="19"/>
        <v>2141.2690410958894</v>
      </c>
      <c r="EI7" s="51">
        <f t="shared" si="19"/>
        <v>2140.0454794520538</v>
      </c>
      <c r="EJ7" s="51">
        <f t="shared" si="20"/>
        <v>2138.8219178082181</v>
      </c>
      <c r="EK7" s="51">
        <f t="shared" si="20"/>
        <v>2137.5983561643825</v>
      </c>
      <c r="EL7" s="51">
        <f t="shared" si="9"/>
        <v>2136.3747945205469</v>
      </c>
      <c r="EM7" s="51">
        <f t="shared" si="9"/>
        <v>2135.1512328767112</v>
      </c>
      <c r="EN7" s="51">
        <f t="shared" si="9"/>
        <v>2133.9276712328756</v>
      </c>
      <c r="EO7" s="51">
        <f t="shared" si="9"/>
        <v>2132.7041095890399</v>
      </c>
      <c r="EP7" s="51">
        <f t="shared" si="9"/>
        <v>2131.4805479452043</v>
      </c>
      <c r="EQ7" s="51">
        <f t="shared" si="9"/>
        <v>2130.2569863013687</v>
      </c>
      <c r="ER7" s="51">
        <f t="shared" si="9"/>
        <v>2129.033424657533</v>
      </c>
      <c r="ES7" s="51">
        <f t="shared" si="9"/>
        <v>2127.8098630136974</v>
      </c>
      <c r="ET7" s="51">
        <f t="shared" si="9"/>
        <v>2126.5863013698618</v>
      </c>
      <c r="EU7" s="51">
        <f t="shared" si="9"/>
        <v>2125.3627397260261</v>
      </c>
      <c r="EV7" s="51">
        <f t="shared" si="9"/>
        <v>2124.1391780821905</v>
      </c>
      <c r="EW7" s="51">
        <f t="shared" si="9"/>
        <v>2122.9156164383548</v>
      </c>
      <c r="EX7" s="51">
        <f t="shared" si="9"/>
        <v>2121.6920547945192</v>
      </c>
      <c r="EY7" s="51">
        <f t="shared" si="9"/>
        <v>2120.4684931506836</v>
      </c>
      <c r="EZ7" s="51">
        <f t="shared" si="9"/>
        <v>2119.2449315068479</v>
      </c>
      <c r="FA7" s="51">
        <f t="shared" si="9"/>
        <v>2118.0213698630123</v>
      </c>
      <c r="FB7" s="51">
        <f t="shared" ref="FB7:HM8" si="24">FA7-$S7</f>
        <v>2116.7978082191767</v>
      </c>
      <c r="FC7" s="51">
        <f t="shared" si="24"/>
        <v>2115.574246575341</v>
      </c>
      <c r="FD7" s="51">
        <f t="shared" si="24"/>
        <v>2114.3506849315054</v>
      </c>
      <c r="FE7" s="51">
        <f t="shared" si="24"/>
        <v>2113.1271232876697</v>
      </c>
      <c r="FF7" s="51">
        <f t="shared" si="24"/>
        <v>2111.9035616438341</v>
      </c>
      <c r="FG7" s="51">
        <f t="shared" si="24"/>
        <v>2110.6799999999985</v>
      </c>
      <c r="FH7" s="51">
        <f t="shared" si="24"/>
        <v>2109.4564383561628</v>
      </c>
      <c r="FI7" s="51">
        <f t="shared" si="24"/>
        <v>2108.2328767123272</v>
      </c>
      <c r="FJ7" s="51">
        <f t="shared" si="24"/>
        <v>2107.0093150684916</v>
      </c>
      <c r="FK7" s="51">
        <f t="shared" si="24"/>
        <v>2105.7857534246559</v>
      </c>
      <c r="FL7" s="51">
        <f t="shared" si="24"/>
        <v>2104.5621917808203</v>
      </c>
      <c r="FM7" s="51">
        <f t="shared" si="24"/>
        <v>2103.3386301369846</v>
      </c>
      <c r="FN7" s="51">
        <f t="shared" si="24"/>
        <v>2102.115068493149</v>
      </c>
      <c r="FO7" s="51">
        <f t="shared" si="24"/>
        <v>2100.8915068493134</v>
      </c>
      <c r="FP7" s="51">
        <f t="shared" si="24"/>
        <v>2099.6679452054777</v>
      </c>
      <c r="FQ7" s="51">
        <f t="shared" si="24"/>
        <v>2098.4443835616421</v>
      </c>
      <c r="FR7" s="51">
        <f t="shared" si="24"/>
        <v>2097.2208219178065</v>
      </c>
      <c r="FS7" s="51">
        <f t="shared" si="24"/>
        <v>2095.9972602739708</v>
      </c>
      <c r="FT7" s="51">
        <f t="shared" si="24"/>
        <v>2094.7736986301352</v>
      </c>
      <c r="FU7" s="51">
        <f t="shared" si="24"/>
        <v>2093.5501369862995</v>
      </c>
      <c r="FV7" s="51">
        <f t="shared" si="24"/>
        <v>2092.3265753424639</v>
      </c>
      <c r="FW7" s="51">
        <f t="shared" si="24"/>
        <v>2091.1030136986283</v>
      </c>
      <c r="FX7" s="51">
        <f t="shared" si="24"/>
        <v>2089.8794520547926</v>
      </c>
      <c r="FY7" s="51">
        <f t="shared" si="24"/>
        <v>2088.655890410957</v>
      </c>
      <c r="FZ7" s="51">
        <f t="shared" si="24"/>
        <v>2087.4323287671214</v>
      </c>
      <c r="GA7" s="51">
        <f t="shared" si="24"/>
        <v>2086.2087671232857</v>
      </c>
      <c r="GB7" s="51">
        <f t="shared" si="24"/>
        <v>2084.9852054794501</v>
      </c>
      <c r="GC7" s="51">
        <f t="shared" si="24"/>
        <v>2083.7616438356144</v>
      </c>
      <c r="GD7" s="51">
        <f t="shared" si="24"/>
        <v>2082.5380821917788</v>
      </c>
      <c r="GE7" s="51">
        <f t="shared" si="24"/>
        <v>2081.3145205479432</v>
      </c>
      <c r="GF7" s="51">
        <f t="shared" si="24"/>
        <v>2080.0909589041075</v>
      </c>
      <c r="GG7" s="51">
        <f t="shared" si="24"/>
        <v>2078.8673972602719</v>
      </c>
      <c r="GH7" s="51">
        <f t="shared" si="24"/>
        <v>2077.6438356164363</v>
      </c>
      <c r="GI7" s="51">
        <f t="shared" si="24"/>
        <v>2076.4202739726006</v>
      </c>
      <c r="GJ7" s="51">
        <f t="shared" si="24"/>
        <v>2075.196712328765</v>
      </c>
      <c r="GK7" s="51">
        <f t="shared" si="24"/>
        <v>2073.9731506849294</v>
      </c>
      <c r="GL7" s="51">
        <f t="shared" si="24"/>
        <v>2072.7495890410937</v>
      </c>
      <c r="GM7" s="51">
        <f t="shared" si="24"/>
        <v>2071.5260273972581</v>
      </c>
      <c r="GN7" s="51">
        <f t="shared" si="24"/>
        <v>2070.3024657534224</v>
      </c>
      <c r="GO7" s="51">
        <f t="shared" si="24"/>
        <v>2069.0789041095868</v>
      </c>
      <c r="GP7" s="51">
        <f t="shared" si="24"/>
        <v>2067.8553424657512</v>
      </c>
      <c r="GQ7" s="51">
        <f t="shared" si="24"/>
        <v>2066.6317808219155</v>
      </c>
      <c r="GR7" s="51">
        <f t="shared" si="24"/>
        <v>2065.4082191780799</v>
      </c>
      <c r="GS7" s="51">
        <f t="shared" si="24"/>
        <v>2064.1846575342443</v>
      </c>
      <c r="GT7" s="51">
        <f t="shared" si="24"/>
        <v>2062.9610958904086</v>
      </c>
      <c r="GU7" s="51">
        <f t="shared" si="24"/>
        <v>2061.737534246573</v>
      </c>
      <c r="GV7" s="51">
        <f t="shared" si="24"/>
        <v>2060.5139726027373</v>
      </c>
      <c r="GW7" s="51">
        <f t="shared" si="24"/>
        <v>2059.2904109589017</v>
      </c>
      <c r="GX7" s="51">
        <f t="shared" si="24"/>
        <v>2058.0668493150661</v>
      </c>
      <c r="GY7" s="51">
        <f t="shared" si="24"/>
        <v>2056.8432876712304</v>
      </c>
      <c r="GZ7" s="51">
        <f t="shared" si="24"/>
        <v>2055.6197260273948</v>
      </c>
      <c r="HA7" s="51">
        <f t="shared" si="24"/>
        <v>2054.3961643835592</v>
      </c>
      <c r="HB7" s="51">
        <f t="shared" si="24"/>
        <v>2053.1726027397235</v>
      </c>
      <c r="HC7" s="51">
        <f t="shared" si="24"/>
        <v>2051.9490410958879</v>
      </c>
      <c r="HD7" s="51">
        <f t="shared" si="24"/>
        <v>2050.7254794520522</v>
      </c>
      <c r="HE7" s="51">
        <f t="shared" si="24"/>
        <v>2049.5019178082166</v>
      </c>
      <c r="HF7" s="51">
        <f t="shared" si="24"/>
        <v>2048.278356164381</v>
      </c>
      <c r="HG7" s="51">
        <f t="shared" si="24"/>
        <v>2047.0547945205453</v>
      </c>
      <c r="HH7" s="51">
        <f t="shared" si="24"/>
        <v>2045.8312328767097</v>
      </c>
      <c r="HI7" s="51">
        <f t="shared" si="24"/>
        <v>2044.6076712328741</v>
      </c>
      <c r="HJ7" s="51">
        <f t="shared" si="24"/>
        <v>2043.3841095890384</v>
      </c>
      <c r="HK7" s="51">
        <f t="shared" si="24"/>
        <v>2042.1605479452028</v>
      </c>
      <c r="HL7" s="51">
        <f t="shared" si="24"/>
        <v>2040.9369863013671</v>
      </c>
      <c r="HM7" s="51">
        <f t="shared" si="24"/>
        <v>2039.7134246575315</v>
      </c>
      <c r="HN7" s="51">
        <f t="shared" si="21"/>
        <v>2038.4898630136959</v>
      </c>
      <c r="HO7" s="51">
        <f t="shared" si="21"/>
        <v>2037.2663013698602</v>
      </c>
      <c r="HP7" s="51">
        <f t="shared" si="21"/>
        <v>2036.0427397260246</v>
      </c>
      <c r="HQ7" s="51">
        <f t="shared" si="21"/>
        <v>2034.819178082189</v>
      </c>
      <c r="HR7" s="51">
        <f t="shared" si="21"/>
        <v>2033.5956164383533</v>
      </c>
      <c r="HS7" s="51">
        <f t="shared" si="21"/>
        <v>2032.3720547945177</v>
      </c>
      <c r="HT7" s="51">
        <f t="shared" si="21"/>
        <v>2031.148493150682</v>
      </c>
      <c r="HU7" s="51">
        <f t="shared" si="21"/>
        <v>2029.9249315068464</v>
      </c>
      <c r="HV7" s="51">
        <f t="shared" si="21"/>
        <v>2028.7013698630108</v>
      </c>
      <c r="HW7" s="51">
        <f t="shared" si="21"/>
        <v>2027.4778082191751</v>
      </c>
      <c r="HX7" s="51">
        <f t="shared" si="21"/>
        <v>2026.2542465753395</v>
      </c>
      <c r="HY7" s="51">
        <f t="shared" si="21"/>
        <v>2025.0306849315039</v>
      </c>
      <c r="HZ7" s="51">
        <f t="shared" si="21"/>
        <v>2023.8071232876682</v>
      </c>
      <c r="IA7" s="51">
        <f t="shared" si="21"/>
        <v>2022.5835616438326</v>
      </c>
      <c r="IB7" s="51">
        <f t="shared" si="21"/>
        <v>2021.3599999999969</v>
      </c>
      <c r="IC7" s="51">
        <f t="shared" si="21"/>
        <v>2020.1364383561613</v>
      </c>
      <c r="ID7" s="51">
        <f t="shared" si="21"/>
        <v>2018.9128767123257</v>
      </c>
      <c r="IE7" s="51">
        <f t="shared" si="21"/>
        <v>2017.68931506849</v>
      </c>
      <c r="IF7" s="51">
        <f t="shared" si="21"/>
        <v>2016.4657534246544</v>
      </c>
      <c r="IG7" s="51">
        <f t="shared" si="21"/>
        <v>2015.2421917808188</v>
      </c>
      <c r="IH7" s="51">
        <f t="shared" si="21"/>
        <v>2014.0186301369831</v>
      </c>
      <c r="II7" s="51">
        <f t="shared" si="21"/>
        <v>2012.7950684931475</v>
      </c>
      <c r="IJ7" s="51">
        <f t="shared" si="21"/>
        <v>2011.5715068493118</v>
      </c>
      <c r="IK7" s="51">
        <f t="shared" si="21"/>
        <v>2010.3479452054762</v>
      </c>
      <c r="IL7" s="51">
        <f t="shared" si="21"/>
        <v>2009.1243835616406</v>
      </c>
      <c r="IM7" s="51">
        <f t="shared" si="21"/>
        <v>2007.9008219178049</v>
      </c>
      <c r="IN7" s="51">
        <f t="shared" si="21"/>
        <v>2006.6772602739693</v>
      </c>
      <c r="IO7" s="51">
        <f t="shared" si="21"/>
        <v>2005.4536986301337</v>
      </c>
      <c r="IP7" s="51">
        <f t="shared" si="21"/>
        <v>2004.230136986298</v>
      </c>
      <c r="IQ7" s="51">
        <f t="shared" si="11"/>
        <v>2003.0065753424624</v>
      </c>
      <c r="IR7" s="51">
        <f t="shared" si="11"/>
        <v>2001.7830136986267</v>
      </c>
      <c r="IS7" s="51">
        <f t="shared" si="11"/>
        <v>2000.5594520547911</v>
      </c>
      <c r="IT7" s="51">
        <f t="shared" si="11"/>
        <v>1999.3358904109555</v>
      </c>
      <c r="IU7" s="51">
        <f t="shared" si="11"/>
        <v>1998.1123287671198</v>
      </c>
      <c r="IV7" s="51">
        <f t="shared" si="11"/>
        <v>1996.8887671232842</v>
      </c>
      <c r="IW7" s="51">
        <f t="shared" si="11"/>
        <v>1995.6652054794486</v>
      </c>
      <c r="IX7" s="51">
        <f t="shared" si="11"/>
        <v>1994.4416438356129</v>
      </c>
      <c r="IY7" s="51">
        <f t="shared" si="11"/>
        <v>1993.2180821917773</v>
      </c>
      <c r="IZ7" s="51">
        <f t="shared" si="11"/>
        <v>1991.9945205479416</v>
      </c>
      <c r="JA7" s="51">
        <f t="shared" si="11"/>
        <v>1990.770958904106</v>
      </c>
      <c r="JB7" s="51">
        <f t="shared" si="11"/>
        <v>1989.5473972602704</v>
      </c>
      <c r="JC7" s="51">
        <f t="shared" si="11"/>
        <v>1988.3238356164347</v>
      </c>
      <c r="JD7" s="51">
        <f t="shared" si="11"/>
        <v>1987.1002739725991</v>
      </c>
      <c r="JE7" s="51">
        <f t="shared" si="11"/>
        <v>1985.8767123287635</v>
      </c>
      <c r="JF7" s="51">
        <f t="shared" si="11"/>
        <v>1984.6531506849278</v>
      </c>
      <c r="JG7" s="51">
        <f t="shared" si="11"/>
        <v>1983.4295890410922</v>
      </c>
      <c r="JH7" s="51">
        <f t="shared" si="11"/>
        <v>1982.2060273972565</v>
      </c>
      <c r="JI7" s="51">
        <f t="shared" si="11"/>
        <v>1980.9824657534209</v>
      </c>
      <c r="JJ7" s="51">
        <f t="shared" si="11"/>
        <v>1979.7589041095853</v>
      </c>
      <c r="JK7" s="51">
        <f t="shared" si="11"/>
        <v>1978.5353424657496</v>
      </c>
      <c r="JL7" s="51">
        <f t="shared" si="11"/>
        <v>1977.311780821914</v>
      </c>
      <c r="JM7" s="51">
        <f t="shared" si="11"/>
        <v>1976.0882191780784</v>
      </c>
      <c r="JN7" s="51">
        <f t="shared" si="11"/>
        <v>1974.8646575342427</v>
      </c>
      <c r="JO7" s="51">
        <f t="shared" si="11"/>
        <v>1973.6410958904071</v>
      </c>
      <c r="JP7" s="51">
        <f t="shared" si="11"/>
        <v>1972.4175342465714</v>
      </c>
      <c r="JQ7" s="51">
        <f t="shared" si="11"/>
        <v>1971.1939726027358</v>
      </c>
      <c r="JR7" s="51">
        <f t="shared" si="11"/>
        <v>1969.9704109589002</v>
      </c>
      <c r="JS7" s="51">
        <f t="shared" ref="JS7:MD8" si="25">JR7-$S7</f>
        <v>1968.7468493150645</v>
      </c>
      <c r="JT7" s="51">
        <f t="shared" si="25"/>
        <v>1967.5232876712289</v>
      </c>
      <c r="JU7" s="51">
        <f t="shared" si="25"/>
        <v>1966.2997260273933</v>
      </c>
      <c r="JV7" s="51">
        <f t="shared" si="25"/>
        <v>1965.0761643835576</v>
      </c>
      <c r="JW7" s="51">
        <f t="shared" si="25"/>
        <v>1963.852602739722</v>
      </c>
      <c r="JX7" s="51">
        <f t="shared" si="25"/>
        <v>1962.6290410958864</v>
      </c>
      <c r="JY7" s="51">
        <f t="shared" si="25"/>
        <v>1961.4054794520507</v>
      </c>
      <c r="JZ7" s="51">
        <f t="shared" si="25"/>
        <v>1960.1819178082151</v>
      </c>
      <c r="KA7" s="51">
        <f t="shared" si="25"/>
        <v>1958.9583561643794</v>
      </c>
      <c r="KB7" s="51">
        <f t="shared" si="25"/>
        <v>1957.7347945205438</v>
      </c>
      <c r="KC7" s="51">
        <f t="shared" si="25"/>
        <v>1956.5112328767082</v>
      </c>
      <c r="KD7" s="51">
        <f t="shared" si="25"/>
        <v>1955.2876712328725</v>
      </c>
      <c r="KE7" s="51">
        <f t="shared" si="25"/>
        <v>1954.0641095890369</v>
      </c>
      <c r="KF7" s="51">
        <f t="shared" si="25"/>
        <v>1952.8405479452013</v>
      </c>
      <c r="KG7" s="51">
        <f t="shared" si="25"/>
        <v>1951.6169863013656</v>
      </c>
      <c r="KH7" s="51">
        <f t="shared" si="25"/>
        <v>1950.39342465753</v>
      </c>
      <c r="KI7" s="51">
        <f t="shared" si="25"/>
        <v>1949.1698630136943</v>
      </c>
      <c r="KJ7" s="51">
        <f t="shared" si="25"/>
        <v>1947.9463013698587</v>
      </c>
      <c r="KK7" s="51">
        <f t="shared" si="25"/>
        <v>1946.7227397260231</v>
      </c>
      <c r="KL7" s="51">
        <f t="shared" si="25"/>
        <v>1945.4991780821874</v>
      </c>
      <c r="KM7" s="51">
        <f t="shared" si="25"/>
        <v>1944.2756164383518</v>
      </c>
      <c r="KN7" s="51">
        <f t="shared" si="25"/>
        <v>1943.0520547945162</v>
      </c>
      <c r="KO7" s="51">
        <f t="shared" si="25"/>
        <v>1941.8284931506805</v>
      </c>
      <c r="KP7" s="51">
        <f t="shared" si="25"/>
        <v>1940.6049315068449</v>
      </c>
      <c r="KQ7" s="51">
        <f t="shared" si="25"/>
        <v>1939.3813698630092</v>
      </c>
      <c r="KR7" s="51">
        <f t="shared" si="25"/>
        <v>1938.1578082191736</v>
      </c>
      <c r="KS7" s="51">
        <f t="shared" si="25"/>
        <v>1936.934246575338</v>
      </c>
      <c r="KT7" s="51">
        <f t="shared" si="25"/>
        <v>1935.7106849315023</v>
      </c>
      <c r="KU7" s="51">
        <f t="shared" si="25"/>
        <v>1934.4871232876667</v>
      </c>
      <c r="KV7" s="51">
        <f t="shared" si="25"/>
        <v>1933.2635616438311</v>
      </c>
      <c r="KW7" s="51">
        <f t="shared" si="25"/>
        <v>1932.0399999999954</v>
      </c>
      <c r="KX7" s="51">
        <f t="shared" si="25"/>
        <v>1930.8164383561598</v>
      </c>
      <c r="KY7" s="51">
        <f t="shared" si="25"/>
        <v>1929.5928767123241</v>
      </c>
      <c r="KZ7" s="51">
        <f t="shared" si="25"/>
        <v>1928.3693150684885</v>
      </c>
      <c r="LA7" s="51">
        <f t="shared" si="25"/>
        <v>1927.1457534246529</v>
      </c>
      <c r="LB7" s="51">
        <f t="shared" si="25"/>
        <v>1925.9221917808172</v>
      </c>
      <c r="LC7" s="51">
        <f t="shared" si="25"/>
        <v>1924.6986301369816</v>
      </c>
      <c r="LD7" s="51">
        <f t="shared" si="25"/>
        <v>1923.475068493146</v>
      </c>
      <c r="LE7" s="51">
        <f t="shared" si="25"/>
        <v>1922.2515068493103</v>
      </c>
      <c r="LF7" s="51">
        <f t="shared" si="25"/>
        <v>1921.0279452054747</v>
      </c>
      <c r="LG7" s="51">
        <f t="shared" si="25"/>
        <v>1919.804383561639</v>
      </c>
      <c r="LH7" s="51">
        <f t="shared" si="25"/>
        <v>1918.5808219178034</v>
      </c>
      <c r="LI7" s="51">
        <f t="shared" si="25"/>
        <v>1917.3572602739678</v>
      </c>
      <c r="LJ7" s="51">
        <f t="shared" si="25"/>
        <v>1916.1336986301321</v>
      </c>
      <c r="LK7" s="51">
        <f t="shared" si="25"/>
        <v>1914.9101369862965</v>
      </c>
      <c r="LL7" s="51">
        <f t="shared" si="25"/>
        <v>1913.6865753424609</v>
      </c>
      <c r="LM7" s="51">
        <f t="shared" si="25"/>
        <v>1912.4630136986252</v>
      </c>
      <c r="LN7" s="51">
        <f t="shared" si="25"/>
        <v>1911.2394520547896</v>
      </c>
      <c r="LO7" s="51">
        <f t="shared" si="25"/>
        <v>1910.0158904109539</v>
      </c>
      <c r="LP7" s="51">
        <f t="shared" si="25"/>
        <v>1908.7923287671183</v>
      </c>
      <c r="LQ7" s="51">
        <f t="shared" si="25"/>
        <v>1907.5687671232827</v>
      </c>
      <c r="LR7" s="51">
        <f t="shared" si="25"/>
        <v>1906.345205479447</v>
      </c>
      <c r="LS7" s="51">
        <f t="shared" si="25"/>
        <v>1905.1216438356114</v>
      </c>
      <c r="LT7" s="51">
        <f t="shared" si="25"/>
        <v>1903.8980821917758</v>
      </c>
      <c r="LU7" s="51">
        <f t="shared" si="25"/>
        <v>1902.6745205479401</v>
      </c>
      <c r="LV7" s="51">
        <f t="shared" si="25"/>
        <v>1901.4509589041045</v>
      </c>
      <c r="LW7" s="51">
        <f t="shared" si="25"/>
        <v>1900.2273972602688</v>
      </c>
      <c r="LX7" s="51">
        <f t="shared" si="25"/>
        <v>1899.0038356164332</v>
      </c>
      <c r="LY7" s="51">
        <f t="shared" si="25"/>
        <v>1897.7802739725976</v>
      </c>
      <c r="LZ7" s="51">
        <f t="shared" si="25"/>
        <v>1896.5567123287619</v>
      </c>
      <c r="MA7" s="51">
        <f t="shared" si="25"/>
        <v>1895.3331506849263</v>
      </c>
      <c r="MB7" s="51">
        <f t="shared" si="25"/>
        <v>1894.1095890410907</v>
      </c>
      <c r="MC7" s="51">
        <f t="shared" si="25"/>
        <v>1892.886027397255</v>
      </c>
      <c r="MD7" s="51">
        <f t="shared" si="25"/>
        <v>1891.6624657534194</v>
      </c>
      <c r="ME7" s="51">
        <f t="shared" si="22"/>
        <v>1890.4389041095837</v>
      </c>
      <c r="MF7" s="51">
        <f t="shared" si="22"/>
        <v>1889.2153424657481</v>
      </c>
      <c r="MG7" s="51">
        <f t="shared" si="22"/>
        <v>1887.9917808219125</v>
      </c>
      <c r="MH7" s="51">
        <f t="shared" si="22"/>
        <v>1886.7682191780768</v>
      </c>
      <c r="MI7" s="51">
        <f t="shared" si="22"/>
        <v>1885.5446575342412</v>
      </c>
      <c r="MJ7" s="51">
        <f t="shared" si="22"/>
        <v>1884.3210958904056</v>
      </c>
      <c r="MK7" s="51">
        <f t="shared" si="22"/>
        <v>1883.0975342465699</v>
      </c>
      <c r="ML7" s="51">
        <f t="shared" si="22"/>
        <v>1881.8739726027343</v>
      </c>
      <c r="MM7" s="51">
        <f t="shared" si="22"/>
        <v>1880.6504109588986</v>
      </c>
      <c r="MN7" s="51">
        <f t="shared" si="22"/>
        <v>1879.426849315063</v>
      </c>
      <c r="MO7" s="51">
        <f t="shared" si="22"/>
        <v>1878.2032876712274</v>
      </c>
      <c r="MP7" s="51">
        <f t="shared" si="22"/>
        <v>1876.9797260273917</v>
      </c>
      <c r="MQ7" s="51">
        <f t="shared" si="22"/>
        <v>1875.7561643835561</v>
      </c>
      <c r="MR7" s="51">
        <f t="shared" si="22"/>
        <v>1874.5326027397205</v>
      </c>
      <c r="MS7" s="51">
        <f t="shared" si="22"/>
        <v>1873.3090410958848</v>
      </c>
      <c r="MT7" s="51">
        <f t="shared" si="22"/>
        <v>1872.0854794520492</v>
      </c>
      <c r="MU7" s="51">
        <f t="shared" si="22"/>
        <v>1870.8619178082135</v>
      </c>
      <c r="MV7" s="51">
        <f t="shared" si="22"/>
        <v>1869.6383561643779</v>
      </c>
      <c r="MW7" s="51">
        <f t="shared" si="22"/>
        <v>1868.4147945205423</v>
      </c>
      <c r="MX7" s="51">
        <f t="shared" si="22"/>
        <v>1867.1912328767066</v>
      </c>
      <c r="MY7" s="51">
        <f t="shared" si="22"/>
        <v>1865.967671232871</v>
      </c>
      <c r="MZ7" s="51">
        <f t="shared" si="22"/>
        <v>1864.7441095890354</v>
      </c>
      <c r="NA7" s="51">
        <f t="shared" si="22"/>
        <v>1863.5205479451997</v>
      </c>
      <c r="NB7" s="51">
        <f t="shared" si="22"/>
        <v>1862.2969863013641</v>
      </c>
      <c r="NC7" s="51">
        <f t="shared" si="22"/>
        <v>1861.0734246575284</v>
      </c>
      <c r="ND7" s="51">
        <f t="shared" si="22"/>
        <v>1859.8498630136928</v>
      </c>
      <c r="NE7" s="51">
        <f t="shared" si="22"/>
        <v>1858.6263013698572</v>
      </c>
      <c r="NF7" s="51">
        <f t="shared" si="22"/>
        <v>1857.4027397260215</v>
      </c>
      <c r="NG7" s="51">
        <f t="shared" si="22"/>
        <v>1856.1791780821859</v>
      </c>
      <c r="NH7" s="51">
        <f t="shared" si="22"/>
        <v>1854.9556164383503</v>
      </c>
      <c r="NI7" s="51">
        <f t="shared" si="22"/>
        <v>1853.7320547945146</v>
      </c>
      <c r="NJ7" s="51">
        <f t="shared" si="22"/>
        <v>1852.508493150679</v>
      </c>
      <c r="NK7" s="51">
        <f t="shared" si="22"/>
        <v>1851.2849315068433</v>
      </c>
      <c r="NL7" s="51">
        <f t="shared" si="22"/>
        <v>1850.0613698630077</v>
      </c>
      <c r="NM7" s="51">
        <f t="shared" si="22"/>
        <v>1848.8378082191721</v>
      </c>
      <c r="NN7" s="51">
        <f t="shared" si="22"/>
        <v>1847.6142465753364</v>
      </c>
      <c r="NO7" s="51">
        <f t="shared" si="13"/>
        <v>1846.3906849315008</v>
      </c>
      <c r="NP7" s="51">
        <f t="shared" si="13"/>
        <v>1845.1671232876652</v>
      </c>
      <c r="NQ7" s="51">
        <f t="shared" si="13"/>
        <v>1843.9435616438295</v>
      </c>
      <c r="NR7" s="51">
        <f t="shared" si="13"/>
        <v>1842.7199999999939</v>
      </c>
      <c r="NS7" s="51">
        <f t="shared" si="13"/>
        <v>1841.4964383561583</v>
      </c>
      <c r="NT7" s="51">
        <f t="shared" si="13"/>
        <v>1840.2728767123226</v>
      </c>
      <c r="NU7" s="51">
        <f t="shared" si="13"/>
        <v>1839.049315068487</v>
      </c>
      <c r="NV7" s="51"/>
      <c r="NW7" s="51"/>
      <c r="NX7" s="51"/>
      <c r="NY7" s="51"/>
      <c r="NZ7" s="51"/>
      <c r="OA7" s="51"/>
      <c r="OB7" s="51"/>
      <c r="OC7" s="51"/>
      <c r="OD7" s="51"/>
      <c r="OE7" s="51"/>
      <c r="OF7" s="51"/>
      <c r="OG7" s="51"/>
      <c r="OH7" s="51"/>
      <c r="OI7" s="51"/>
      <c r="OJ7" s="51"/>
      <c r="OK7" s="51"/>
      <c r="OL7" s="51"/>
      <c r="OM7" s="51"/>
      <c r="ON7" s="51"/>
      <c r="OO7" s="51"/>
      <c r="OP7" s="51"/>
      <c r="OQ7" s="51"/>
      <c r="OR7" s="51"/>
      <c r="OS7" s="51"/>
      <c r="OT7" s="51"/>
      <c r="OU7" s="51"/>
      <c r="OV7" s="51"/>
      <c r="OW7" s="51"/>
      <c r="OX7" s="51"/>
      <c r="OY7" s="51"/>
      <c r="OZ7" s="51"/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51"/>
      <c r="PZ7" s="51"/>
      <c r="QA7" s="51"/>
      <c r="QB7" s="51"/>
      <c r="QC7" s="51"/>
      <c r="QD7" s="51"/>
      <c r="QE7" s="51"/>
      <c r="QF7" s="51"/>
      <c r="QG7" s="51"/>
      <c r="QH7" s="51"/>
      <c r="QI7" s="51"/>
      <c r="QJ7" s="51"/>
      <c r="QK7" s="51"/>
      <c r="QL7" s="51"/>
      <c r="QM7" s="51"/>
      <c r="QN7" s="51"/>
      <c r="QO7" s="51"/>
      <c r="QP7" s="51"/>
      <c r="QQ7" s="51"/>
      <c r="QR7" s="51"/>
      <c r="QS7" s="51"/>
      <c r="QT7" s="51"/>
      <c r="QU7" s="51"/>
      <c r="QV7" s="51"/>
      <c r="QW7" s="51"/>
      <c r="QX7" s="51"/>
      <c r="QY7" s="51"/>
      <c r="QZ7" s="51"/>
      <c r="RA7" s="51"/>
      <c r="RB7" s="51"/>
      <c r="RC7" s="51"/>
      <c r="RD7" s="51"/>
      <c r="RE7" s="51"/>
      <c r="RF7" s="51"/>
      <c r="RG7" s="51"/>
      <c r="RH7" s="51"/>
      <c r="RI7" s="51"/>
      <c r="RJ7" s="51"/>
      <c r="RK7" s="51"/>
      <c r="RL7" s="51"/>
      <c r="RM7" s="51"/>
      <c r="RN7" s="51"/>
      <c r="RO7" s="51"/>
      <c r="RP7" s="51"/>
      <c r="RQ7" s="51"/>
      <c r="RR7" s="51"/>
      <c r="RS7" s="51"/>
      <c r="RT7" s="51"/>
      <c r="RU7" s="51"/>
      <c r="RV7" s="51"/>
      <c r="RW7" s="51"/>
      <c r="RX7" s="51"/>
      <c r="RY7" s="51"/>
      <c r="RZ7" s="51"/>
      <c r="SA7" s="51"/>
      <c r="SB7" s="51"/>
      <c r="SC7" s="51"/>
      <c r="SD7" s="51"/>
      <c r="SE7" s="51"/>
      <c r="SF7" s="51"/>
      <c r="SG7" s="51"/>
      <c r="SH7" s="51"/>
      <c r="SI7" s="51"/>
      <c r="SJ7" s="51"/>
      <c r="SK7" s="51"/>
      <c r="SL7" s="51"/>
      <c r="SM7" s="51"/>
      <c r="SN7" s="51"/>
      <c r="SO7" s="51"/>
      <c r="SP7" s="51"/>
      <c r="SQ7" s="51"/>
      <c r="SR7" s="51"/>
      <c r="SS7" s="51"/>
      <c r="ST7" s="51"/>
      <c r="SU7" s="51"/>
      <c r="SV7" s="51"/>
      <c r="SW7" s="51"/>
      <c r="SX7" s="51"/>
      <c r="SY7" s="51"/>
      <c r="SZ7" s="51"/>
      <c r="TA7" s="51"/>
      <c r="TB7" s="51"/>
      <c r="TC7" s="51"/>
      <c r="TD7" s="51"/>
      <c r="TE7" s="51"/>
      <c r="TF7" s="51"/>
      <c r="TG7" s="51"/>
      <c r="TH7" s="51"/>
      <c r="TI7" s="51"/>
      <c r="TJ7" s="51"/>
      <c r="TK7" s="51"/>
      <c r="TL7" s="51"/>
      <c r="TM7" s="51"/>
      <c r="TN7" s="51"/>
      <c r="TO7" s="51"/>
      <c r="TP7" s="51"/>
      <c r="TQ7" s="51"/>
      <c r="TR7" s="51"/>
      <c r="TS7" s="51"/>
      <c r="TT7" s="51"/>
      <c r="TU7" s="51"/>
      <c r="TV7" s="51"/>
      <c r="TW7" s="51"/>
      <c r="TX7" s="51"/>
      <c r="TY7" s="51"/>
      <c r="TZ7" s="51"/>
      <c r="UA7" s="51"/>
      <c r="UB7" s="51"/>
      <c r="UC7" s="51"/>
      <c r="UD7" s="51"/>
      <c r="UE7" s="51"/>
      <c r="UF7" s="51"/>
      <c r="UG7" s="51"/>
      <c r="UH7" s="51"/>
      <c r="UI7" s="51"/>
      <c r="UJ7" s="51"/>
      <c r="UK7" s="51"/>
      <c r="UL7" s="51"/>
      <c r="UM7" s="51"/>
      <c r="UN7" s="51"/>
      <c r="UO7" s="51"/>
      <c r="UP7" s="51"/>
      <c r="UQ7" s="51"/>
      <c r="UR7" s="51"/>
      <c r="US7" s="51"/>
      <c r="UT7" s="51"/>
      <c r="UU7" s="51"/>
      <c r="UV7" s="51"/>
      <c r="UW7" s="51"/>
      <c r="UX7" s="51"/>
      <c r="UY7" s="51"/>
      <c r="UZ7" s="51"/>
      <c r="VA7" s="51"/>
      <c r="VB7" s="51"/>
      <c r="VC7" s="51"/>
      <c r="VD7" s="51"/>
      <c r="VE7" s="51"/>
      <c r="VF7" s="51"/>
      <c r="VG7" s="51"/>
      <c r="VH7" s="51"/>
      <c r="VI7" s="51"/>
      <c r="VJ7" s="51"/>
      <c r="VK7" s="51"/>
      <c r="VL7" s="51"/>
      <c r="VM7" s="51"/>
      <c r="VN7" s="51"/>
      <c r="VO7" s="51"/>
      <c r="VP7" s="51"/>
      <c r="VQ7" s="51"/>
      <c r="VR7" s="51"/>
      <c r="VS7" s="51"/>
      <c r="VT7" s="51"/>
      <c r="VU7" s="51"/>
      <c r="VV7" s="51"/>
      <c r="VW7" s="51"/>
      <c r="VX7" s="51"/>
      <c r="VY7" s="51"/>
      <c r="VZ7" s="51"/>
      <c r="WA7" s="51"/>
      <c r="WB7" s="51"/>
      <c r="WC7" s="51"/>
      <c r="WD7" s="51"/>
      <c r="WE7" s="51"/>
      <c r="WF7" s="51"/>
      <c r="WG7" s="51"/>
    </row>
    <row r="8" spans="1:615" x14ac:dyDescent="0.25">
      <c r="A8" s="28">
        <v>6</v>
      </c>
      <c r="B8" s="28" t="s">
        <v>11</v>
      </c>
      <c r="C8" s="28" t="s">
        <v>22</v>
      </c>
      <c r="D8" s="28" t="s">
        <v>597</v>
      </c>
      <c r="E8" s="28">
        <v>1</v>
      </c>
      <c r="F8" s="28">
        <v>50</v>
      </c>
      <c r="G8" s="28">
        <v>5</v>
      </c>
      <c r="H8" s="50">
        <f t="shared" si="6"/>
        <v>55</v>
      </c>
      <c r="I8" s="28">
        <v>14</v>
      </c>
      <c r="J8" s="28">
        <v>55</v>
      </c>
      <c r="K8" s="28">
        <f t="shared" si="14"/>
        <v>69</v>
      </c>
      <c r="L8" s="49">
        <f t="shared" si="7"/>
        <v>41799</v>
      </c>
      <c r="M8" s="51">
        <f t="shared" si="8"/>
        <v>295</v>
      </c>
      <c r="N8" s="51">
        <v>1800</v>
      </c>
      <c r="O8" s="28">
        <v>28.7</v>
      </c>
      <c r="P8" s="28">
        <f t="shared" si="15"/>
        <v>1283.4000000000001</v>
      </c>
      <c r="S8" s="28">
        <f t="shared" si="16"/>
        <v>1.4153424657534244</v>
      </c>
      <c r="CL8" s="51">
        <f>N8</f>
        <v>1800</v>
      </c>
      <c r="CM8" s="51">
        <f t="shared" si="23"/>
        <v>1798.5846575342466</v>
      </c>
      <c r="CN8" s="51">
        <f t="shared" si="23"/>
        <v>1797.1693150684932</v>
      </c>
      <c r="CO8" s="51">
        <f t="shared" si="23"/>
        <v>1795.7539726027399</v>
      </c>
      <c r="CP8" s="51">
        <f t="shared" si="23"/>
        <v>1794.3386301369865</v>
      </c>
      <c r="CQ8" s="51">
        <f t="shared" si="23"/>
        <v>1792.9232876712331</v>
      </c>
      <c r="CR8" s="51">
        <f t="shared" si="23"/>
        <v>1791.5079452054797</v>
      </c>
      <c r="CS8" s="51">
        <f t="shared" si="23"/>
        <v>1790.0926027397263</v>
      </c>
      <c r="CT8" s="51">
        <f t="shared" si="23"/>
        <v>1788.6772602739729</v>
      </c>
      <c r="CU8" s="51">
        <f t="shared" si="23"/>
        <v>1787.2619178082196</v>
      </c>
      <c r="CV8" s="51">
        <f t="shared" si="23"/>
        <v>1785.8465753424662</v>
      </c>
      <c r="CW8" s="51">
        <f t="shared" si="23"/>
        <v>1784.4312328767128</v>
      </c>
      <c r="CX8" s="51">
        <f t="shared" si="23"/>
        <v>1783.0158904109594</v>
      </c>
      <c r="CY8" s="51">
        <f t="shared" si="23"/>
        <v>1781.600547945206</v>
      </c>
      <c r="CZ8" s="51">
        <f t="shared" si="23"/>
        <v>1780.1852054794526</v>
      </c>
      <c r="DA8" s="51">
        <f t="shared" si="23"/>
        <v>1778.7698630136993</v>
      </c>
      <c r="DB8" s="51">
        <f t="shared" si="23"/>
        <v>1777.3545205479459</v>
      </c>
      <c r="DC8" s="51">
        <f t="shared" si="17"/>
        <v>1775.9391780821925</v>
      </c>
      <c r="DD8" s="51">
        <f t="shared" si="18"/>
        <v>1774.5238356164391</v>
      </c>
      <c r="DE8" s="51">
        <f t="shared" si="18"/>
        <v>1773.1084931506857</v>
      </c>
      <c r="DF8" s="51">
        <f t="shared" si="18"/>
        <v>1771.6931506849323</v>
      </c>
      <c r="DG8" s="51">
        <f t="shared" si="18"/>
        <v>1770.277808219179</v>
      </c>
      <c r="DH8" s="51">
        <f t="shared" si="18"/>
        <v>1768.8624657534256</v>
      </c>
      <c r="DI8" s="51">
        <f t="shared" si="18"/>
        <v>1767.4471232876722</v>
      </c>
      <c r="DJ8" s="51">
        <f t="shared" si="18"/>
        <v>1766.0317808219188</v>
      </c>
      <c r="DK8" s="51">
        <f t="shared" si="18"/>
        <v>1764.6164383561654</v>
      </c>
      <c r="DL8" s="51">
        <f t="shared" si="18"/>
        <v>1763.201095890412</v>
      </c>
      <c r="DM8" s="51">
        <f t="shared" si="18"/>
        <v>1761.7857534246587</v>
      </c>
      <c r="DN8" s="51">
        <f t="shared" si="18"/>
        <v>1760.3704109589053</v>
      </c>
      <c r="DO8" s="51">
        <f t="shared" si="18"/>
        <v>1758.9550684931519</v>
      </c>
      <c r="DP8" s="51">
        <f t="shared" si="18"/>
        <v>1757.5397260273985</v>
      </c>
      <c r="DQ8" s="51">
        <f t="shared" si="18"/>
        <v>1756.1243835616451</v>
      </c>
      <c r="DR8" s="51">
        <f t="shared" si="18"/>
        <v>1754.7090410958917</v>
      </c>
      <c r="DS8" s="51">
        <f t="shared" si="18"/>
        <v>1753.2936986301384</v>
      </c>
      <c r="DT8" s="51">
        <f t="shared" si="19"/>
        <v>1751.878356164385</v>
      </c>
      <c r="DU8" s="51">
        <f t="shared" si="19"/>
        <v>1750.4630136986316</v>
      </c>
      <c r="DV8" s="51">
        <f t="shared" si="19"/>
        <v>1749.0476712328782</v>
      </c>
      <c r="DW8" s="51">
        <f t="shared" si="19"/>
        <v>1747.6323287671248</v>
      </c>
      <c r="DX8" s="51">
        <f t="shared" si="19"/>
        <v>1746.2169863013714</v>
      </c>
      <c r="DY8" s="51">
        <f t="shared" si="19"/>
        <v>1744.8016438356181</v>
      </c>
      <c r="DZ8" s="51">
        <f t="shared" si="19"/>
        <v>1743.3863013698647</v>
      </c>
      <c r="EA8" s="51">
        <f t="shared" si="19"/>
        <v>1741.9709589041113</v>
      </c>
      <c r="EB8" s="51">
        <f t="shared" si="19"/>
        <v>1740.5556164383579</v>
      </c>
      <c r="EC8" s="51">
        <f t="shared" si="19"/>
        <v>1739.1402739726045</v>
      </c>
      <c r="ED8" s="51">
        <f t="shared" si="19"/>
        <v>1737.7249315068511</v>
      </c>
      <c r="EE8" s="51">
        <f t="shared" si="19"/>
        <v>1736.3095890410978</v>
      </c>
      <c r="EF8" s="51">
        <f t="shared" si="19"/>
        <v>1734.8942465753444</v>
      </c>
      <c r="EG8" s="51">
        <f t="shared" si="19"/>
        <v>1733.478904109591</v>
      </c>
      <c r="EH8" s="51">
        <f t="shared" si="19"/>
        <v>1732.0635616438376</v>
      </c>
      <c r="EI8" s="51">
        <f t="shared" si="19"/>
        <v>1730.6482191780842</v>
      </c>
      <c r="EJ8" s="51">
        <f t="shared" si="20"/>
        <v>1729.2328767123308</v>
      </c>
      <c r="EK8" s="51">
        <f t="shared" si="20"/>
        <v>1727.8175342465775</v>
      </c>
      <c r="EL8" s="51">
        <f t="shared" si="9"/>
        <v>1726.4021917808241</v>
      </c>
      <c r="EM8" s="51">
        <f t="shared" si="9"/>
        <v>1724.9868493150707</v>
      </c>
      <c r="EN8" s="51">
        <f t="shared" si="9"/>
        <v>1723.5715068493173</v>
      </c>
      <c r="EO8" s="51">
        <f t="shared" si="9"/>
        <v>1722.1561643835639</v>
      </c>
      <c r="EP8" s="51">
        <f t="shared" si="9"/>
        <v>1720.7408219178105</v>
      </c>
      <c r="EQ8" s="51">
        <f t="shared" si="9"/>
        <v>1719.3254794520572</v>
      </c>
      <c r="ER8" s="51">
        <f t="shared" si="9"/>
        <v>1717.9101369863038</v>
      </c>
      <c r="ES8" s="51">
        <f t="shared" si="9"/>
        <v>1716.4947945205504</v>
      </c>
      <c r="ET8" s="51">
        <f t="shared" si="9"/>
        <v>1715.079452054797</v>
      </c>
      <c r="EU8" s="51">
        <f t="shared" si="9"/>
        <v>1713.6641095890436</v>
      </c>
      <c r="EV8" s="51">
        <f t="shared" si="9"/>
        <v>1712.2487671232902</v>
      </c>
      <c r="EW8" s="51">
        <f t="shared" si="9"/>
        <v>1710.8334246575369</v>
      </c>
      <c r="EX8" s="51">
        <f t="shared" si="9"/>
        <v>1709.4180821917835</v>
      </c>
      <c r="EY8" s="51">
        <f t="shared" si="9"/>
        <v>1708.0027397260301</v>
      </c>
      <c r="EZ8" s="51">
        <f t="shared" si="9"/>
        <v>1706.5873972602767</v>
      </c>
      <c r="FA8" s="51">
        <f t="shared" si="9"/>
        <v>1705.1720547945233</v>
      </c>
      <c r="FB8" s="51">
        <f t="shared" si="24"/>
        <v>1703.7567123287699</v>
      </c>
      <c r="FC8" s="51">
        <f t="shared" si="24"/>
        <v>1702.3413698630166</v>
      </c>
      <c r="FD8" s="51">
        <f t="shared" si="24"/>
        <v>1700.9260273972632</v>
      </c>
      <c r="FE8" s="51">
        <f t="shared" si="24"/>
        <v>1699.5106849315098</v>
      </c>
      <c r="FF8" s="51">
        <f t="shared" si="24"/>
        <v>1698.0953424657564</v>
      </c>
      <c r="FG8" s="51">
        <f t="shared" si="24"/>
        <v>1696.680000000003</v>
      </c>
      <c r="FH8" s="51">
        <f t="shared" si="24"/>
        <v>1695.2646575342496</v>
      </c>
      <c r="FI8" s="51">
        <f t="shared" si="24"/>
        <v>1693.8493150684963</v>
      </c>
      <c r="FJ8" s="51">
        <f t="shared" si="24"/>
        <v>1692.4339726027429</v>
      </c>
      <c r="FK8" s="51">
        <f t="shared" si="24"/>
        <v>1691.0186301369895</v>
      </c>
      <c r="FL8" s="51">
        <f t="shared" si="24"/>
        <v>1689.6032876712361</v>
      </c>
      <c r="FM8" s="51">
        <f t="shared" si="24"/>
        <v>1688.1879452054827</v>
      </c>
      <c r="FN8" s="51">
        <f t="shared" si="24"/>
        <v>1686.7726027397293</v>
      </c>
      <c r="FO8" s="51">
        <f t="shared" si="24"/>
        <v>1685.357260273976</v>
      </c>
      <c r="FP8" s="51">
        <f t="shared" si="24"/>
        <v>1683.9419178082226</v>
      </c>
      <c r="FQ8" s="51">
        <f t="shared" si="24"/>
        <v>1682.5265753424692</v>
      </c>
      <c r="FR8" s="51">
        <f t="shared" si="24"/>
        <v>1681.1112328767158</v>
      </c>
      <c r="FS8" s="51">
        <f t="shared" si="24"/>
        <v>1679.6958904109624</v>
      </c>
      <c r="FT8" s="51">
        <f t="shared" si="24"/>
        <v>1678.280547945209</v>
      </c>
      <c r="FU8" s="51">
        <f t="shared" si="24"/>
        <v>1676.8652054794557</v>
      </c>
      <c r="FV8" s="51">
        <f t="shared" si="24"/>
        <v>1675.4498630137023</v>
      </c>
      <c r="FW8" s="51">
        <f t="shared" si="24"/>
        <v>1674.0345205479489</v>
      </c>
      <c r="FX8" s="51">
        <f t="shared" si="24"/>
        <v>1672.6191780821955</v>
      </c>
      <c r="FY8" s="51">
        <f t="shared" si="24"/>
        <v>1671.2038356164421</v>
      </c>
      <c r="FZ8" s="51">
        <f t="shared" si="24"/>
        <v>1669.7884931506887</v>
      </c>
      <c r="GA8" s="51">
        <f t="shared" si="24"/>
        <v>1668.3731506849354</v>
      </c>
      <c r="GB8" s="51">
        <f t="shared" si="24"/>
        <v>1666.957808219182</v>
      </c>
      <c r="GC8" s="51">
        <f t="shared" si="24"/>
        <v>1665.5424657534286</v>
      </c>
      <c r="GD8" s="51">
        <f t="shared" si="24"/>
        <v>1664.1271232876752</v>
      </c>
      <c r="GE8" s="51">
        <f t="shared" si="24"/>
        <v>1662.7117808219218</v>
      </c>
      <c r="GF8" s="51">
        <f t="shared" si="24"/>
        <v>1661.2964383561684</v>
      </c>
      <c r="GG8" s="51">
        <f t="shared" si="24"/>
        <v>1659.8810958904151</v>
      </c>
      <c r="GH8" s="51">
        <f t="shared" si="24"/>
        <v>1658.4657534246617</v>
      </c>
      <c r="GI8" s="51">
        <f t="shared" si="24"/>
        <v>1657.0504109589083</v>
      </c>
      <c r="GJ8" s="51">
        <f t="shared" si="24"/>
        <v>1655.6350684931549</v>
      </c>
      <c r="GK8" s="51">
        <f t="shared" si="24"/>
        <v>1654.2197260274015</v>
      </c>
      <c r="GL8" s="51">
        <f t="shared" si="24"/>
        <v>1652.8043835616481</v>
      </c>
      <c r="GM8" s="51">
        <f t="shared" si="24"/>
        <v>1651.3890410958948</v>
      </c>
      <c r="GN8" s="51">
        <f t="shared" si="24"/>
        <v>1649.9736986301414</v>
      </c>
      <c r="GO8" s="51">
        <f t="shared" si="24"/>
        <v>1648.558356164388</v>
      </c>
      <c r="GP8" s="51">
        <f t="shared" si="24"/>
        <v>1647.1430136986346</v>
      </c>
      <c r="GQ8" s="51">
        <f t="shared" si="24"/>
        <v>1645.7276712328812</v>
      </c>
      <c r="GR8" s="51">
        <f t="shared" si="24"/>
        <v>1644.3123287671278</v>
      </c>
      <c r="GS8" s="51">
        <f t="shared" si="24"/>
        <v>1642.8969863013745</v>
      </c>
      <c r="GT8" s="51">
        <f t="shared" si="24"/>
        <v>1641.4816438356211</v>
      </c>
      <c r="GU8" s="51">
        <f t="shared" si="24"/>
        <v>1640.0663013698677</v>
      </c>
      <c r="GV8" s="51">
        <f t="shared" si="24"/>
        <v>1638.6509589041143</v>
      </c>
      <c r="GW8" s="51">
        <f t="shared" si="24"/>
        <v>1637.2356164383609</v>
      </c>
      <c r="GX8" s="51">
        <f t="shared" si="24"/>
        <v>1635.8202739726075</v>
      </c>
      <c r="GY8" s="51">
        <f t="shared" si="24"/>
        <v>1634.4049315068542</v>
      </c>
      <c r="GZ8" s="51">
        <f t="shared" si="24"/>
        <v>1632.9895890411008</v>
      </c>
      <c r="HA8" s="51">
        <f t="shared" si="24"/>
        <v>1631.5742465753474</v>
      </c>
      <c r="HB8" s="51">
        <f t="shared" si="24"/>
        <v>1630.158904109594</v>
      </c>
      <c r="HC8" s="51">
        <f t="shared" si="24"/>
        <v>1628.7435616438406</v>
      </c>
      <c r="HD8" s="51">
        <f t="shared" si="24"/>
        <v>1627.3282191780872</v>
      </c>
      <c r="HE8" s="51">
        <f t="shared" si="24"/>
        <v>1625.9128767123339</v>
      </c>
      <c r="HF8" s="51">
        <f t="shared" si="24"/>
        <v>1624.4975342465805</v>
      </c>
      <c r="HG8" s="51">
        <f t="shared" si="24"/>
        <v>1623.0821917808271</v>
      </c>
      <c r="HH8" s="51">
        <f t="shared" si="24"/>
        <v>1621.6668493150737</v>
      </c>
      <c r="HI8" s="51">
        <f t="shared" si="24"/>
        <v>1620.2515068493203</v>
      </c>
      <c r="HJ8" s="51">
        <f t="shared" si="24"/>
        <v>1618.8361643835669</v>
      </c>
      <c r="HK8" s="51">
        <f t="shared" si="24"/>
        <v>1617.4208219178136</v>
      </c>
      <c r="HL8" s="51">
        <f t="shared" si="24"/>
        <v>1616.0054794520602</v>
      </c>
      <c r="HM8" s="51">
        <f t="shared" si="24"/>
        <v>1614.5901369863068</v>
      </c>
      <c r="HN8" s="51">
        <f t="shared" si="21"/>
        <v>1613.1747945205534</v>
      </c>
      <c r="HO8" s="51">
        <f t="shared" si="21"/>
        <v>1611.7594520548</v>
      </c>
      <c r="HP8" s="51">
        <f t="shared" si="21"/>
        <v>1610.3441095890466</v>
      </c>
      <c r="HQ8" s="51">
        <f t="shared" si="21"/>
        <v>1608.9287671232933</v>
      </c>
      <c r="HR8" s="51">
        <f t="shared" si="21"/>
        <v>1607.5134246575399</v>
      </c>
      <c r="HS8" s="51">
        <f t="shared" si="21"/>
        <v>1606.0980821917865</v>
      </c>
      <c r="HT8" s="51">
        <f t="shared" si="21"/>
        <v>1604.6827397260331</v>
      </c>
      <c r="HU8" s="51">
        <f t="shared" si="21"/>
        <v>1603.2673972602797</v>
      </c>
      <c r="HV8" s="51">
        <f t="shared" si="21"/>
        <v>1601.8520547945263</v>
      </c>
      <c r="HW8" s="51">
        <f t="shared" si="21"/>
        <v>1600.436712328773</v>
      </c>
      <c r="HX8" s="51">
        <f t="shared" si="21"/>
        <v>1599.0213698630196</v>
      </c>
      <c r="HY8" s="51">
        <f t="shared" si="21"/>
        <v>1597.6060273972662</v>
      </c>
      <c r="HZ8" s="51">
        <f t="shared" si="21"/>
        <v>1596.1906849315128</v>
      </c>
      <c r="IA8" s="51">
        <f t="shared" si="21"/>
        <v>1594.7753424657594</v>
      </c>
      <c r="IB8" s="51">
        <f t="shared" si="21"/>
        <v>1593.360000000006</v>
      </c>
      <c r="IC8" s="51">
        <f t="shared" si="21"/>
        <v>1591.9446575342527</v>
      </c>
      <c r="ID8" s="51">
        <f t="shared" si="21"/>
        <v>1590.5293150684993</v>
      </c>
      <c r="IE8" s="51">
        <f t="shared" si="21"/>
        <v>1589.1139726027459</v>
      </c>
      <c r="IF8" s="51">
        <f t="shared" si="21"/>
        <v>1587.6986301369925</v>
      </c>
      <c r="IG8" s="51">
        <f t="shared" si="21"/>
        <v>1586.2832876712391</v>
      </c>
      <c r="IH8" s="51">
        <f t="shared" si="21"/>
        <v>1584.8679452054857</v>
      </c>
      <c r="II8" s="51">
        <f t="shared" si="21"/>
        <v>1583.4526027397324</v>
      </c>
      <c r="IJ8" s="51">
        <f t="shared" si="21"/>
        <v>1582.037260273979</v>
      </c>
      <c r="IK8" s="51">
        <f t="shared" si="21"/>
        <v>1580.6219178082256</v>
      </c>
      <c r="IL8" s="51">
        <f t="shared" si="21"/>
        <v>1579.2065753424722</v>
      </c>
      <c r="IM8" s="51">
        <f t="shared" si="21"/>
        <v>1577.7912328767188</v>
      </c>
      <c r="IN8" s="51">
        <f t="shared" si="21"/>
        <v>1576.3758904109654</v>
      </c>
      <c r="IO8" s="51">
        <f t="shared" si="21"/>
        <v>1574.9605479452121</v>
      </c>
      <c r="IP8" s="51">
        <f t="shared" si="21"/>
        <v>1573.5452054794587</v>
      </c>
      <c r="IQ8" s="51">
        <f t="shared" si="11"/>
        <v>1572.1298630137053</v>
      </c>
      <c r="IR8" s="51">
        <f t="shared" si="11"/>
        <v>1570.7145205479519</v>
      </c>
      <c r="IS8" s="51">
        <f t="shared" si="11"/>
        <v>1569.2991780821985</v>
      </c>
      <c r="IT8" s="51">
        <f t="shared" si="11"/>
        <v>1567.8838356164451</v>
      </c>
      <c r="IU8" s="51">
        <f t="shared" si="11"/>
        <v>1566.4684931506918</v>
      </c>
      <c r="IV8" s="51">
        <f t="shared" si="11"/>
        <v>1565.0531506849384</v>
      </c>
      <c r="IW8" s="51">
        <f t="shared" si="11"/>
        <v>1563.637808219185</v>
      </c>
      <c r="IX8" s="51">
        <f t="shared" ref="IX8:LB8" si="26">IW8-$S8</f>
        <v>1562.2224657534316</v>
      </c>
      <c r="IY8" s="51">
        <f t="shared" si="26"/>
        <v>1560.8071232876782</v>
      </c>
      <c r="IZ8" s="51">
        <f t="shared" si="26"/>
        <v>1559.3917808219248</v>
      </c>
      <c r="JA8" s="51">
        <f t="shared" si="26"/>
        <v>1557.9764383561715</v>
      </c>
      <c r="JB8" s="51">
        <f t="shared" si="26"/>
        <v>1556.5610958904181</v>
      </c>
      <c r="JC8" s="51">
        <f t="shared" si="26"/>
        <v>1555.1457534246647</v>
      </c>
      <c r="JD8" s="51">
        <f t="shared" si="26"/>
        <v>1553.7304109589113</v>
      </c>
      <c r="JE8" s="51">
        <f t="shared" si="26"/>
        <v>1552.3150684931579</v>
      </c>
      <c r="JF8" s="51">
        <f t="shared" si="26"/>
        <v>1550.8997260274045</v>
      </c>
      <c r="JG8" s="51">
        <f t="shared" si="26"/>
        <v>1549.4843835616512</v>
      </c>
      <c r="JH8" s="51">
        <f t="shared" si="26"/>
        <v>1548.0690410958978</v>
      </c>
      <c r="JI8" s="51">
        <f t="shared" si="26"/>
        <v>1546.6536986301444</v>
      </c>
      <c r="JJ8" s="51">
        <f t="shared" si="26"/>
        <v>1545.238356164391</v>
      </c>
      <c r="JK8" s="51">
        <f t="shared" si="26"/>
        <v>1543.8230136986376</v>
      </c>
      <c r="JL8" s="51">
        <f t="shared" si="26"/>
        <v>1542.4076712328842</v>
      </c>
      <c r="JM8" s="51">
        <f t="shared" si="26"/>
        <v>1540.9923287671309</v>
      </c>
      <c r="JN8" s="51">
        <f t="shared" si="26"/>
        <v>1539.5769863013775</v>
      </c>
      <c r="JO8" s="51">
        <f t="shared" si="26"/>
        <v>1538.1616438356241</v>
      </c>
      <c r="JP8" s="51">
        <f t="shared" si="26"/>
        <v>1536.7463013698707</v>
      </c>
      <c r="JQ8" s="51">
        <f t="shared" si="26"/>
        <v>1535.3309589041173</v>
      </c>
      <c r="JR8" s="51">
        <f t="shared" si="26"/>
        <v>1533.9156164383639</v>
      </c>
      <c r="JS8" s="51">
        <f t="shared" si="26"/>
        <v>1532.5002739726106</v>
      </c>
      <c r="JT8" s="51">
        <f t="shared" si="26"/>
        <v>1531.0849315068572</v>
      </c>
      <c r="JU8" s="51">
        <f t="shared" si="26"/>
        <v>1529.6695890411038</v>
      </c>
      <c r="JV8" s="51">
        <f t="shared" si="26"/>
        <v>1528.2542465753504</v>
      </c>
      <c r="JW8" s="51">
        <f t="shared" si="26"/>
        <v>1526.838904109597</v>
      </c>
      <c r="JX8" s="51">
        <f t="shared" si="26"/>
        <v>1525.4235616438436</v>
      </c>
      <c r="JY8" s="51">
        <f t="shared" si="26"/>
        <v>1524.0082191780903</v>
      </c>
      <c r="JZ8" s="51">
        <f t="shared" si="26"/>
        <v>1522.5928767123369</v>
      </c>
      <c r="KA8" s="51">
        <f t="shared" si="26"/>
        <v>1521.1775342465835</v>
      </c>
      <c r="KB8" s="51">
        <f t="shared" si="26"/>
        <v>1519.7621917808301</v>
      </c>
      <c r="KC8" s="51">
        <f t="shared" si="26"/>
        <v>1518.3468493150767</v>
      </c>
      <c r="KD8" s="51">
        <f t="shared" si="26"/>
        <v>1516.9315068493233</v>
      </c>
      <c r="KE8" s="51">
        <f t="shared" si="26"/>
        <v>1515.51616438357</v>
      </c>
      <c r="KF8" s="51">
        <f t="shared" si="26"/>
        <v>1514.1008219178166</v>
      </c>
      <c r="KG8" s="51">
        <f t="shared" si="26"/>
        <v>1512.6854794520632</v>
      </c>
      <c r="KH8" s="51">
        <f t="shared" si="26"/>
        <v>1511.2701369863098</v>
      </c>
      <c r="KI8" s="51">
        <f t="shared" si="26"/>
        <v>1509.8547945205564</v>
      </c>
      <c r="KJ8" s="51">
        <f t="shared" si="26"/>
        <v>1508.439452054803</v>
      </c>
      <c r="KK8" s="51">
        <f t="shared" si="26"/>
        <v>1507.0241095890497</v>
      </c>
      <c r="KL8" s="51">
        <f t="shared" si="26"/>
        <v>1505.6087671232963</v>
      </c>
      <c r="KM8" s="51">
        <f t="shared" si="26"/>
        <v>1504.1934246575429</v>
      </c>
      <c r="KN8" s="51">
        <f t="shared" si="26"/>
        <v>1502.7780821917895</v>
      </c>
      <c r="KO8" s="51">
        <f t="shared" si="26"/>
        <v>1501.3627397260361</v>
      </c>
      <c r="KP8" s="51">
        <f t="shared" si="26"/>
        <v>1499.9473972602827</v>
      </c>
      <c r="KQ8" s="51">
        <f t="shared" si="26"/>
        <v>1498.5320547945294</v>
      </c>
      <c r="KR8" s="51">
        <f t="shared" si="26"/>
        <v>1497.116712328776</v>
      </c>
      <c r="KS8" s="51">
        <f t="shared" si="26"/>
        <v>1495.7013698630226</v>
      </c>
      <c r="KT8" s="51">
        <f t="shared" si="26"/>
        <v>1494.2860273972692</v>
      </c>
      <c r="KU8" s="51">
        <f t="shared" si="26"/>
        <v>1492.8706849315158</v>
      </c>
      <c r="KV8" s="51">
        <f t="shared" si="26"/>
        <v>1491.4553424657624</v>
      </c>
      <c r="KW8" s="51">
        <f t="shared" si="26"/>
        <v>1490.0400000000091</v>
      </c>
      <c r="KX8" s="51">
        <f t="shared" si="26"/>
        <v>1488.6246575342557</v>
      </c>
      <c r="KY8" s="51">
        <f t="shared" si="26"/>
        <v>1487.2093150685023</v>
      </c>
      <c r="KZ8" s="51">
        <f t="shared" si="26"/>
        <v>1485.7939726027489</v>
      </c>
      <c r="LA8" s="51">
        <f t="shared" si="26"/>
        <v>1484.3786301369955</v>
      </c>
      <c r="LB8" s="51">
        <f t="shared" si="26"/>
        <v>1482.9632876712421</v>
      </c>
      <c r="LC8" s="51">
        <f t="shared" si="25"/>
        <v>1481.5479452054888</v>
      </c>
      <c r="LD8" s="51">
        <f t="shared" si="25"/>
        <v>1480.1326027397354</v>
      </c>
      <c r="LE8" s="51">
        <f t="shared" si="25"/>
        <v>1478.717260273982</v>
      </c>
      <c r="LF8" s="51">
        <f t="shared" si="25"/>
        <v>1477.3019178082286</v>
      </c>
      <c r="LG8" s="51">
        <f t="shared" si="25"/>
        <v>1475.8865753424752</v>
      </c>
      <c r="LH8" s="51">
        <f t="shared" si="25"/>
        <v>1474.4712328767218</v>
      </c>
      <c r="LI8" s="51">
        <f t="shared" si="25"/>
        <v>1473.0558904109685</v>
      </c>
      <c r="LJ8" s="51">
        <f t="shared" si="25"/>
        <v>1471.6405479452151</v>
      </c>
      <c r="LK8" s="51">
        <f t="shared" si="25"/>
        <v>1470.2252054794617</v>
      </c>
      <c r="LL8" s="51">
        <f t="shared" si="25"/>
        <v>1468.8098630137083</v>
      </c>
      <c r="LM8" s="51">
        <f t="shared" si="25"/>
        <v>1467.3945205479549</v>
      </c>
      <c r="LN8" s="51">
        <f t="shared" si="25"/>
        <v>1465.9791780822015</v>
      </c>
      <c r="LO8" s="51">
        <f t="shared" si="25"/>
        <v>1464.5638356164482</v>
      </c>
      <c r="LP8" s="51">
        <f t="shared" si="25"/>
        <v>1463.1484931506948</v>
      </c>
      <c r="LQ8" s="51">
        <f t="shared" si="25"/>
        <v>1461.7331506849414</v>
      </c>
      <c r="LR8" s="51">
        <f t="shared" si="25"/>
        <v>1460.317808219188</v>
      </c>
      <c r="LS8" s="51">
        <f t="shared" si="25"/>
        <v>1458.9024657534346</v>
      </c>
      <c r="LT8" s="51">
        <f t="shared" si="25"/>
        <v>1457.4871232876812</v>
      </c>
      <c r="LU8" s="51">
        <f t="shared" si="25"/>
        <v>1456.0717808219279</v>
      </c>
      <c r="LV8" s="51">
        <f t="shared" si="25"/>
        <v>1454.6564383561745</v>
      </c>
      <c r="LW8" s="51">
        <f t="shared" si="25"/>
        <v>1453.2410958904211</v>
      </c>
      <c r="LX8" s="51">
        <f t="shared" si="25"/>
        <v>1451.8257534246677</v>
      </c>
      <c r="LY8" s="51">
        <f t="shared" si="25"/>
        <v>1450.4104109589143</v>
      </c>
      <c r="LZ8" s="51">
        <f t="shared" si="25"/>
        <v>1448.9950684931609</v>
      </c>
      <c r="MA8" s="51">
        <f t="shared" si="25"/>
        <v>1447.5797260274076</v>
      </c>
      <c r="MB8" s="51">
        <f t="shared" si="25"/>
        <v>1446.1643835616542</v>
      </c>
      <c r="MC8" s="51">
        <f t="shared" si="25"/>
        <v>1444.7490410959008</v>
      </c>
      <c r="MD8" s="51">
        <f t="shared" si="25"/>
        <v>1443.3336986301474</v>
      </c>
      <c r="ME8" s="51">
        <f t="shared" si="22"/>
        <v>1441.918356164394</v>
      </c>
      <c r="MF8" s="51">
        <f t="shared" si="22"/>
        <v>1440.5030136986406</v>
      </c>
      <c r="MG8" s="51">
        <f t="shared" si="22"/>
        <v>1439.0876712328873</v>
      </c>
      <c r="MH8" s="51">
        <f t="shared" si="22"/>
        <v>1437.6723287671339</v>
      </c>
      <c r="MI8" s="51">
        <f t="shared" si="22"/>
        <v>1436.2569863013805</v>
      </c>
      <c r="MJ8" s="51">
        <f t="shared" si="22"/>
        <v>1434.8416438356271</v>
      </c>
      <c r="MK8" s="51">
        <f t="shared" si="22"/>
        <v>1433.4263013698737</v>
      </c>
      <c r="ML8" s="51">
        <f t="shared" si="22"/>
        <v>1432.0109589041203</v>
      </c>
      <c r="MM8" s="51">
        <f t="shared" si="22"/>
        <v>1430.595616438367</v>
      </c>
      <c r="MN8" s="51">
        <f t="shared" si="22"/>
        <v>1429.1802739726136</v>
      </c>
      <c r="MO8" s="51">
        <f t="shared" si="22"/>
        <v>1427.7649315068602</v>
      </c>
      <c r="MP8" s="51">
        <f t="shared" si="22"/>
        <v>1426.3495890411068</v>
      </c>
      <c r="MQ8" s="51">
        <f t="shared" si="22"/>
        <v>1424.9342465753534</v>
      </c>
      <c r="MR8" s="51">
        <f t="shared" si="22"/>
        <v>1423.5189041096</v>
      </c>
      <c r="MS8" s="51">
        <f t="shared" si="22"/>
        <v>1422.1035616438467</v>
      </c>
      <c r="MT8" s="51">
        <f t="shared" si="22"/>
        <v>1420.6882191780933</v>
      </c>
      <c r="MU8" s="51">
        <f t="shared" si="22"/>
        <v>1419.2728767123399</v>
      </c>
      <c r="MV8" s="51">
        <f t="shared" si="22"/>
        <v>1417.8575342465865</v>
      </c>
      <c r="MW8" s="51">
        <f t="shared" si="22"/>
        <v>1416.4421917808331</v>
      </c>
      <c r="MX8" s="51">
        <f t="shared" si="22"/>
        <v>1415.0268493150797</v>
      </c>
      <c r="MY8" s="51">
        <f t="shared" si="22"/>
        <v>1413.6115068493264</v>
      </c>
      <c r="MZ8" s="51">
        <f t="shared" si="22"/>
        <v>1412.196164383573</v>
      </c>
      <c r="NA8" s="51">
        <f t="shared" si="22"/>
        <v>1410.7808219178196</v>
      </c>
      <c r="NB8" s="51">
        <f t="shared" si="22"/>
        <v>1409.3654794520662</v>
      </c>
      <c r="NC8" s="51">
        <f t="shared" si="22"/>
        <v>1407.9501369863128</v>
      </c>
      <c r="ND8" s="51">
        <f t="shared" si="22"/>
        <v>1406.5347945205594</v>
      </c>
      <c r="NE8" s="51">
        <f t="shared" si="22"/>
        <v>1405.1194520548061</v>
      </c>
      <c r="NF8" s="51">
        <f t="shared" si="22"/>
        <v>1403.7041095890527</v>
      </c>
      <c r="NG8" s="51">
        <f t="shared" si="22"/>
        <v>1402.2887671232993</v>
      </c>
      <c r="NH8" s="51">
        <f t="shared" si="22"/>
        <v>1400.8734246575459</v>
      </c>
      <c r="NI8" s="51">
        <f t="shared" si="22"/>
        <v>1399.4580821917925</v>
      </c>
      <c r="NJ8" s="51">
        <f t="shared" si="22"/>
        <v>1398.0427397260391</v>
      </c>
      <c r="NK8" s="51">
        <f t="shared" si="22"/>
        <v>1396.6273972602858</v>
      </c>
      <c r="NL8" s="51">
        <f t="shared" si="22"/>
        <v>1395.2120547945324</v>
      </c>
      <c r="NM8" s="51">
        <f t="shared" si="22"/>
        <v>1393.796712328779</v>
      </c>
      <c r="NN8" s="51">
        <f t="shared" si="22"/>
        <v>1392.3813698630256</v>
      </c>
      <c r="NO8" s="51">
        <f t="shared" si="13"/>
        <v>1390.9660273972722</v>
      </c>
      <c r="NP8" s="51">
        <f t="shared" si="13"/>
        <v>1389.5506849315188</v>
      </c>
      <c r="NQ8" s="51">
        <f t="shared" si="13"/>
        <v>1388.1353424657655</v>
      </c>
      <c r="NR8" s="51">
        <f t="shared" si="13"/>
        <v>1386.7200000000121</v>
      </c>
      <c r="NS8" s="51">
        <f t="shared" si="13"/>
        <v>1385.3046575342587</v>
      </c>
      <c r="NT8" s="51">
        <f t="shared" si="13"/>
        <v>1383.8893150685053</v>
      </c>
      <c r="NU8" s="51">
        <f t="shared" si="13"/>
        <v>1382.4739726027519</v>
      </c>
      <c r="NV8" s="51"/>
      <c r="NW8" s="51"/>
      <c r="NX8" s="51"/>
      <c r="NY8" s="51"/>
      <c r="NZ8" s="51"/>
      <c r="OA8" s="51"/>
      <c r="OB8" s="51"/>
      <c r="OC8" s="51"/>
      <c r="OD8" s="51"/>
      <c r="OE8" s="51"/>
      <c r="OF8" s="51"/>
      <c r="OG8" s="51"/>
      <c r="OH8" s="51"/>
      <c r="OI8" s="51"/>
      <c r="OJ8" s="51"/>
      <c r="OK8" s="51"/>
      <c r="OL8" s="51"/>
      <c r="OM8" s="51"/>
      <c r="ON8" s="51"/>
      <c r="OO8" s="51"/>
      <c r="OP8" s="51"/>
      <c r="OQ8" s="51"/>
      <c r="OR8" s="51"/>
      <c r="OS8" s="51"/>
      <c r="OT8" s="51"/>
      <c r="OU8" s="51"/>
      <c r="OV8" s="51"/>
      <c r="OW8" s="51"/>
      <c r="OX8" s="51"/>
      <c r="OY8" s="51"/>
      <c r="OZ8" s="51"/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51"/>
      <c r="PZ8" s="51"/>
      <c r="QA8" s="51"/>
      <c r="QB8" s="51"/>
      <c r="QC8" s="51"/>
      <c r="QD8" s="51"/>
      <c r="QE8" s="51"/>
      <c r="QF8" s="51"/>
      <c r="QG8" s="51"/>
      <c r="QH8" s="51"/>
      <c r="QI8" s="51"/>
      <c r="QJ8" s="51"/>
      <c r="QK8" s="51"/>
      <c r="QL8" s="51"/>
      <c r="QM8" s="51"/>
      <c r="QN8" s="51"/>
      <c r="QO8" s="51"/>
      <c r="QP8" s="51"/>
      <c r="QQ8" s="51"/>
      <c r="QR8" s="51"/>
      <c r="QS8" s="51"/>
      <c r="QT8" s="51"/>
      <c r="QU8" s="51"/>
      <c r="QV8" s="51"/>
      <c r="QW8" s="51"/>
      <c r="QX8" s="51"/>
      <c r="QY8" s="51"/>
      <c r="QZ8" s="51"/>
      <c r="RA8" s="51"/>
      <c r="RB8" s="51"/>
      <c r="RC8" s="51"/>
      <c r="RD8" s="51"/>
      <c r="RE8" s="51"/>
      <c r="RF8" s="51"/>
      <c r="RG8" s="51"/>
      <c r="RH8" s="51"/>
      <c r="RI8" s="51"/>
      <c r="RJ8" s="51"/>
      <c r="RK8" s="51"/>
      <c r="RL8" s="51"/>
      <c r="RM8" s="51"/>
      <c r="RN8" s="51"/>
      <c r="RO8" s="51"/>
      <c r="RP8" s="51"/>
      <c r="RQ8" s="51"/>
      <c r="RR8" s="51"/>
      <c r="RS8" s="51"/>
      <c r="RT8" s="51"/>
      <c r="RU8" s="51"/>
      <c r="RV8" s="51"/>
      <c r="RW8" s="51"/>
      <c r="RX8" s="51"/>
      <c r="RY8" s="51"/>
      <c r="RZ8" s="51"/>
      <c r="SA8" s="51"/>
      <c r="SB8" s="51"/>
      <c r="SC8" s="51"/>
      <c r="SD8" s="51"/>
      <c r="SE8" s="51"/>
      <c r="SF8" s="51"/>
      <c r="SG8" s="51"/>
      <c r="SH8" s="51"/>
      <c r="SI8" s="51"/>
      <c r="SJ8" s="51"/>
      <c r="SK8" s="51"/>
      <c r="SL8" s="51"/>
      <c r="SM8" s="51"/>
      <c r="SN8" s="51"/>
      <c r="SO8" s="51"/>
      <c r="SP8" s="51"/>
      <c r="SQ8" s="51"/>
      <c r="SR8" s="51"/>
      <c r="SS8" s="51"/>
      <c r="ST8" s="51"/>
      <c r="SU8" s="51"/>
      <c r="SV8" s="51"/>
      <c r="SW8" s="51"/>
      <c r="SX8" s="51"/>
      <c r="SY8" s="51"/>
      <c r="SZ8" s="51"/>
      <c r="TA8" s="51"/>
      <c r="TB8" s="51"/>
      <c r="TC8" s="51"/>
      <c r="TD8" s="51"/>
      <c r="TE8" s="51"/>
      <c r="TF8" s="51"/>
      <c r="TG8" s="51"/>
      <c r="TH8" s="51"/>
      <c r="TI8" s="51"/>
      <c r="TJ8" s="51"/>
      <c r="TK8" s="51"/>
      <c r="TL8" s="51"/>
      <c r="TM8" s="51"/>
      <c r="TN8" s="51"/>
      <c r="TO8" s="51"/>
      <c r="TP8" s="51"/>
      <c r="TQ8" s="51"/>
      <c r="TR8" s="51"/>
      <c r="TS8" s="51"/>
      <c r="TT8" s="51"/>
      <c r="TU8" s="51"/>
      <c r="TV8" s="51"/>
      <c r="TW8" s="51"/>
      <c r="TX8" s="51"/>
      <c r="TY8" s="51"/>
      <c r="TZ8" s="51"/>
      <c r="UA8" s="51"/>
      <c r="UB8" s="51"/>
      <c r="UC8" s="51"/>
      <c r="UD8" s="51"/>
      <c r="UE8" s="51"/>
      <c r="UF8" s="51"/>
      <c r="UG8" s="51"/>
      <c r="UH8" s="51"/>
      <c r="UI8" s="51"/>
      <c r="UJ8" s="51"/>
      <c r="UK8" s="51"/>
      <c r="UL8" s="51"/>
      <c r="UM8" s="51"/>
      <c r="UN8" s="51"/>
      <c r="UO8" s="51"/>
      <c r="UP8" s="51"/>
      <c r="UQ8" s="51"/>
      <c r="UR8" s="51"/>
      <c r="US8" s="51"/>
      <c r="UT8" s="51"/>
      <c r="UU8" s="51"/>
      <c r="UV8" s="51"/>
      <c r="UW8" s="51"/>
      <c r="UX8" s="51"/>
      <c r="UY8" s="51"/>
      <c r="UZ8" s="51"/>
      <c r="VA8" s="51"/>
      <c r="VB8" s="51"/>
      <c r="VC8" s="51"/>
      <c r="VD8" s="51"/>
      <c r="VE8" s="51"/>
      <c r="VF8" s="51"/>
      <c r="VG8" s="51"/>
      <c r="VH8" s="51"/>
      <c r="VI8" s="51"/>
      <c r="VJ8" s="51"/>
      <c r="VK8" s="51"/>
      <c r="VL8" s="51"/>
      <c r="VM8" s="51"/>
      <c r="VN8" s="51"/>
      <c r="VO8" s="51"/>
      <c r="VP8" s="51"/>
      <c r="VQ8" s="51"/>
      <c r="VR8" s="51"/>
      <c r="VS8" s="51"/>
      <c r="VT8" s="51"/>
      <c r="VU8" s="51"/>
      <c r="VV8" s="51"/>
      <c r="VW8" s="51"/>
      <c r="VX8" s="51"/>
      <c r="VY8" s="51"/>
      <c r="VZ8" s="51"/>
      <c r="WA8" s="51"/>
      <c r="WB8" s="51"/>
      <c r="WC8" s="51"/>
      <c r="WD8" s="51"/>
      <c r="WE8" s="51"/>
      <c r="WF8" s="51"/>
      <c r="WG8" s="51"/>
    </row>
    <row r="9" spans="1:615" x14ac:dyDescent="0.25">
      <c r="A9" s="28">
        <v>7</v>
      </c>
      <c r="B9" s="28" t="s">
        <v>11</v>
      </c>
      <c r="C9" s="28" t="s">
        <v>17</v>
      </c>
      <c r="D9" s="28" t="s">
        <v>598</v>
      </c>
      <c r="E9" s="28">
        <v>1</v>
      </c>
      <c r="F9" s="28">
        <v>40</v>
      </c>
      <c r="G9" s="28">
        <v>5</v>
      </c>
      <c r="H9" s="50">
        <f t="shared" si="6"/>
        <v>45</v>
      </c>
      <c r="I9" s="28">
        <v>14</v>
      </c>
      <c r="J9" s="28">
        <v>45</v>
      </c>
      <c r="K9" s="28">
        <f t="shared" si="14"/>
        <v>59</v>
      </c>
      <c r="L9" s="49">
        <f t="shared" si="7"/>
        <v>41789</v>
      </c>
      <c r="M9" s="51">
        <f t="shared" si="8"/>
        <v>305</v>
      </c>
      <c r="N9" s="51">
        <v>0</v>
      </c>
    </row>
    <row r="10" spans="1:615" x14ac:dyDescent="0.25">
      <c r="A10" s="28">
        <v>8</v>
      </c>
      <c r="B10" s="28" t="s">
        <v>11</v>
      </c>
      <c r="C10" s="28" t="s">
        <v>17</v>
      </c>
      <c r="D10" s="28" t="s">
        <v>598</v>
      </c>
      <c r="E10" s="28">
        <v>1</v>
      </c>
      <c r="F10" s="28">
        <v>40</v>
      </c>
      <c r="G10" s="28">
        <v>5</v>
      </c>
      <c r="H10" s="50">
        <f t="shared" si="6"/>
        <v>45</v>
      </c>
      <c r="I10" s="28">
        <v>14</v>
      </c>
      <c r="J10" s="28">
        <v>45</v>
      </c>
      <c r="K10" s="28">
        <f t="shared" si="14"/>
        <v>59</v>
      </c>
      <c r="L10" s="49">
        <f t="shared" si="7"/>
        <v>41789</v>
      </c>
      <c r="M10" s="51">
        <f t="shared" si="8"/>
        <v>305</v>
      </c>
      <c r="N10" s="51">
        <v>0</v>
      </c>
    </row>
    <row r="11" spans="1:615" x14ac:dyDescent="0.25">
      <c r="A11" s="28">
        <v>9</v>
      </c>
      <c r="B11" s="28" t="s">
        <v>11</v>
      </c>
      <c r="C11" s="28" t="s">
        <v>17</v>
      </c>
      <c r="D11" s="28" t="s">
        <v>599</v>
      </c>
      <c r="E11" s="28">
        <v>1</v>
      </c>
      <c r="F11" s="28">
        <v>30</v>
      </c>
      <c r="G11" s="28">
        <v>5</v>
      </c>
      <c r="H11" s="50">
        <f t="shared" si="6"/>
        <v>35</v>
      </c>
      <c r="I11" s="28">
        <v>14</v>
      </c>
      <c r="J11" s="28">
        <v>35</v>
      </c>
      <c r="K11" s="28">
        <f t="shared" si="14"/>
        <v>49</v>
      </c>
      <c r="L11" s="49">
        <f t="shared" si="7"/>
        <v>41779</v>
      </c>
      <c r="M11" s="51">
        <f t="shared" si="8"/>
        <v>315</v>
      </c>
      <c r="N11" s="51">
        <v>0</v>
      </c>
    </row>
    <row r="12" spans="1:615" x14ac:dyDescent="0.25">
      <c r="A12" s="28">
        <v>10</v>
      </c>
      <c r="B12" s="28" t="s">
        <v>42</v>
      </c>
      <c r="C12" s="28" t="s">
        <v>17</v>
      </c>
      <c r="D12" s="28" t="s">
        <v>598</v>
      </c>
      <c r="E12" s="28">
        <v>1</v>
      </c>
      <c r="F12" s="28">
        <v>40</v>
      </c>
      <c r="G12" s="28">
        <v>5</v>
      </c>
      <c r="H12" s="50">
        <f t="shared" si="6"/>
        <v>45</v>
      </c>
      <c r="I12" s="28">
        <v>14</v>
      </c>
      <c r="J12" s="28">
        <v>45</v>
      </c>
      <c r="K12" s="28">
        <f t="shared" si="14"/>
        <v>59</v>
      </c>
      <c r="L12" s="49">
        <f t="shared" si="7"/>
        <v>41789</v>
      </c>
      <c r="M12" s="51">
        <f t="shared" si="8"/>
        <v>305</v>
      </c>
      <c r="N12" s="51">
        <v>0</v>
      </c>
    </row>
    <row r="13" spans="1:615" x14ac:dyDescent="0.25">
      <c r="A13" s="28">
        <v>11</v>
      </c>
      <c r="B13" s="28" t="s">
        <v>42</v>
      </c>
      <c r="C13" s="28" t="s">
        <v>17</v>
      </c>
      <c r="D13" s="28" t="s">
        <v>598</v>
      </c>
      <c r="E13" s="28">
        <v>1</v>
      </c>
      <c r="F13" s="28">
        <v>40</v>
      </c>
      <c r="G13" s="28">
        <v>5</v>
      </c>
      <c r="H13" s="50">
        <f t="shared" si="6"/>
        <v>45</v>
      </c>
      <c r="I13" s="28">
        <v>14</v>
      </c>
      <c r="J13" s="28">
        <v>45</v>
      </c>
      <c r="K13" s="28">
        <f t="shared" si="14"/>
        <v>59</v>
      </c>
      <c r="L13" s="49">
        <f t="shared" si="7"/>
        <v>41789</v>
      </c>
      <c r="M13" s="51">
        <f t="shared" si="8"/>
        <v>305</v>
      </c>
      <c r="N13" s="51">
        <v>0</v>
      </c>
    </row>
    <row r="14" spans="1:615" x14ac:dyDescent="0.25">
      <c r="A14" s="28">
        <v>12</v>
      </c>
      <c r="B14" s="28" t="s">
        <v>42</v>
      </c>
      <c r="C14" s="28" t="s">
        <v>17</v>
      </c>
      <c r="D14" s="28" t="s">
        <v>598</v>
      </c>
      <c r="E14" s="28">
        <v>1</v>
      </c>
      <c r="F14" s="28">
        <v>40</v>
      </c>
      <c r="G14" s="28">
        <v>5</v>
      </c>
      <c r="H14" s="50">
        <f t="shared" si="6"/>
        <v>45</v>
      </c>
      <c r="I14" s="28">
        <v>14</v>
      </c>
      <c r="J14" s="28">
        <v>45</v>
      </c>
      <c r="K14" s="28">
        <f t="shared" si="14"/>
        <v>59</v>
      </c>
      <c r="L14" s="49">
        <f t="shared" si="7"/>
        <v>41789</v>
      </c>
      <c r="M14" s="51">
        <f t="shared" si="8"/>
        <v>305</v>
      </c>
      <c r="N14" s="51">
        <v>0</v>
      </c>
    </row>
    <row r="15" spans="1:615" x14ac:dyDescent="0.25">
      <c r="A15" s="28">
        <v>13</v>
      </c>
      <c r="B15" s="28" t="s">
        <v>42</v>
      </c>
      <c r="C15" s="28" t="s">
        <v>44</v>
      </c>
      <c r="D15" s="28" t="s">
        <v>596</v>
      </c>
      <c r="E15" s="28">
        <v>1</v>
      </c>
      <c r="F15" s="28">
        <v>100</v>
      </c>
      <c r="G15" s="28">
        <v>5</v>
      </c>
      <c r="H15" s="50">
        <f t="shared" si="6"/>
        <v>105</v>
      </c>
      <c r="I15" s="28">
        <v>14</v>
      </c>
      <c r="J15" s="28">
        <v>140</v>
      </c>
      <c r="K15" s="28">
        <f t="shared" si="14"/>
        <v>154</v>
      </c>
      <c r="L15" s="49">
        <f t="shared" si="7"/>
        <v>41884</v>
      </c>
      <c r="M15" s="51">
        <f t="shared" si="8"/>
        <v>210</v>
      </c>
      <c r="N15" s="51">
        <v>3000</v>
      </c>
      <c r="O15" s="28">
        <v>13.8</v>
      </c>
      <c r="P15" s="28">
        <f t="shared" ref="P15:P20" si="27">N15*(1-O15/100)</f>
        <v>2586</v>
      </c>
      <c r="Q15" s="52">
        <f>N15*365-((S15/2)*365^2)</f>
        <v>1019445</v>
      </c>
      <c r="R15" s="52">
        <f>Q15/H15</f>
        <v>9709</v>
      </c>
      <c r="S15" s="28">
        <f>(N15-P15)/365</f>
        <v>1.1342465753424658</v>
      </c>
      <c r="FS15" s="51">
        <f>N15</f>
        <v>3000</v>
      </c>
      <c r="FT15" s="51">
        <f>FS15-$S15</f>
        <v>2998.8657534246577</v>
      </c>
      <c r="FU15" s="51">
        <f t="shared" ref="FU15:IF19" si="28">FT15-$S15</f>
        <v>2997.7315068493153</v>
      </c>
      <c r="FV15" s="51">
        <f t="shared" si="28"/>
        <v>2996.597260273973</v>
      </c>
      <c r="FW15" s="51">
        <f t="shared" si="28"/>
        <v>2995.4630136986307</v>
      </c>
      <c r="FX15" s="51">
        <f t="shared" si="28"/>
        <v>2994.3287671232883</v>
      </c>
      <c r="FY15" s="51">
        <f t="shared" si="28"/>
        <v>2993.194520547946</v>
      </c>
      <c r="FZ15" s="51">
        <f t="shared" si="28"/>
        <v>2992.0602739726037</v>
      </c>
      <c r="GA15" s="51">
        <f t="shared" si="28"/>
        <v>2990.9260273972614</v>
      </c>
      <c r="GB15" s="51">
        <f t="shared" si="28"/>
        <v>2989.791780821919</v>
      </c>
      <c r="GC15" s="51">
        <f t="shared" si="28"/>
        <v>2988.6575342465767</v>
      </c>
      <c r="GD15" s="51">
        <f t="shared" si="28"/>
        <v>2987.5232876712344</v>
      </c>
      <c r="GE15" s="51">
        <f t="shared" si="28"/>
        <v>2986.389041095892</v>
      </c>
      <c r="GF15" s="51">
        <f t="shared" si="28"/>
        <v>2985.2547945205497</v>
      </c>
      <c r="GG15" s="51">
        <f t="shared" si="28"/>
        <v>2984.1205479452074</v>
      </c>
      <c r="GH15" s="51">
        <f t="shared" si="28"/>
        <v>2982.986301369865</v>
      </c>
      <c r="GI15" s="51">
        <f t="shared" si="28"/>
        <v>2981.8520547945227</v>
      </c>
      <c r="GJ15" s="51">
        <f t="shared" si="28"/>
        <v>2980.7178082191804</v>
      </c>
      <c r="GK15" s="51">
        <f t="shared" si="28"/>
        <v>2979.583561643838</v>
      </c>
      <c r="GL15" s="51">
        <f t="shared" si="28"/>
        <v>2978.4493150684957</v>
      </c>
      <c r="GM15" s="51">
        <f t="shared" si="28"/>
        <v>2977.3150684931534</v>
      </c>
      <c r="GN15" s="51">
        <f t="shared" si="28"/>
        <v>2976.180821917811</v>
      </c>
      <c r="GO15" s="51">
        <f t="shared" si="28"/>
        <v>2975.0465753424687</v>
      </c>
      <c r="GP15" s="51">
        <f t="shared" si="28"/>
        <v>2973.9123287671264</v>
      </c>
      <c r="GQ15" s="51">
        <f t="shared" si="28"/>
        <v>2972.7780821917841</v>
      </c>
      <c r="GR15" s="51">
        <f t="shared" si="28"/>
        <v>2971.6438356164417</v>
      </c>
      <c r="GS15" s="51">
        <f t="shared" si="28"/>
        <v>2970.5095890410994</v>
      </c>
      <c r="GT15" s="51">
        <f t="shared" si="28"/>
        <v>2969.3753424657571</v>
      </c>
      <c r="GU15" s="51">
        <f t="shared" si="28"/>
        <v>2968.2410958904147</v>
      </c>
      <c r="GV15" s="51">
        <f t="shared" si="28"/>
        <v>2967.1068493150724</v>
      </c>
      <c r="GW15" s="51">
        <f t="shared" si="28"/>
        <v>2965.9726027397301</v>
      </c>
      <c r="GX15" s="51">
        <f t="shared" si="28"/>
        <v>2964.8383561643877</v>
      </c>
      <c r="GY15" s="51">
        <f t="shared" si="28"/>
        <v>2963.7041095890454</v>
      </c>
      <c r="GZ15" s="51">
        <f t="shared" si="28"/>
        <v>2962.5698630137031</v>
      </c>
      <c r="HA15" s="51">
        <f t="shared" si="28"/>
        <v>2961.4356164383607</v>
      </c>
      <c r="HB15" s="51">
        <f t="shared" si="28"/>
        <v>2960.3013698630184</v>
      </c>
      <c r="HC15" s="51">
        <f t="shared" si="28"/>
        <v>2959.1671232876761</v>
      </c>
      <c r="HD15" s="51">
        <f t="shared" si="28"/>
        <v>2958.0328767123337</v>
      </c>
      <c r="HE15" s="51">
        <f t="shared" si="28"/>
        <v>2956.8986301369914</v>
      </c>
      <c r="HF15" s="51">
        <f t="shared" si="28"/>
        <v>2955.7643835616491</v>
      </c>
      <c r="HG15" s="51">
        <f t="shared" si="28"/>
        <v>2954.6301369863068</v>
      </c>
      <c r="HH15" s="51">
        <f t="shared" si="28"/>
        <v>2953.4958904109644</v>
      </c>
      <c r="HI15" s="51">
        <f t="shared" si="28"/>
        <v>2952.3616438356221</v>
      </c>
      <c r="HJ15" s="51">
        <f t="shared" si="28"/>
        <v>2951.2273972602798</v>
      </c>
      <c r="HK15" s="51">
        <f t="shared" si="28"/>
        <v>2950.0931506849374</v>
      </c>
      <c r="HL15" s="51">
        <f t="shared" si="28"/>
        <v>2948.9589041095951</v>
      </c>
      <c r="HM15" s="51">
        <f t="shared" si="28"/>
        <v>2947.8246575342528</v>
      </c>
      <c r="HN15" s="51">
        <f t="shared" si="28"/>
        <v>2946.6904109589104</v>
      </c>
      <c r="HO15" s="51">
        <f t="shared" si="28"/>
        <v>2945.5561643835681</v>
      </c>
      <c r="HP15" s="51">
        <f t="shared" si="28"/>
        <v>2944.4219178082258</v>
      </c>
      <c r="HQ15" s="51">
        <f t="shared" si="28"/>
        <v>2943.2876712328834</v>
      </c>
      <c r="HR15" s="51">
        <f t="shared" si="28"/>
        <v>2942.1534246575411</v>
      </c>
      <c r="HS15" s="51">
        <f t="shared" si="28"/>
        <v>2941.0191780821988</v>
      </c>
      <c r="HT15" s="51">
        <f t="shared" si="28"/>
        <v>2939.8849315068564</v>
      </c>
      <c r="HU15" s="51">
        <f t="shared" si="28"/>
        <v>2938.7506849315141</v>
      </c>
      <c r="HV15" s="51">
        <f t="shared" si="28"/>
        <v>2937.6164383561718</v>
      </c>
      <c r="HW15" s="51">
        <f t="shared" si="28"/>
        <v>2936.4821917808295</v>
      </c>
      <c r="HX15" s="51">
        <f t="shared" si="28"/>
        <v>2935.3479452054871</v>
      </c>
      <c r="HY15" s="51">
        <f t="shared" si="28"/>
        <v>2934.2136986301448</v>
      </c>
      <c r="HZ15" s="51">
        <f t="shared" si="28"/>
        <v>2933.0794520548025</v>
      </c>
      <c r="IA15" s="51">
        <f t="shared" si="28"/>
        <v>2931.9452054794601</v>
      </c>
      <c r="IB15" s="51">
        <f t="shared" si="28"/>
        <v>2930.8109589041178</v>
      </c>
      <c r="IC15" s="51">
        <f t="shared" si="28"/>
        <v>2929.6767123287755</v>
      </c>
      <c r="ID15" s="51">
        <f t="shared" si="28"/>
        <v>2928.5424657534331</v>
      </c>
      <c r="IE15" s="51">
        <f t="shared" si="28"/>
        <v>2927.4082191780908</v>
      </c>
      <c r="IF15" s="51">
        <f t="shared" si="28"/>
        <v>2926.2739726027485</v>
      </c>
      <c r="IG15" s="51">
        <f t="shared" ref="IG15:KR18" si="29">IF15-$S15</f>
        <v>2925.1397260274061</v>
      </c>
      <c r="IH15" s="51">
        <f t="shared" si="29"/>
        <v>2924.0054794520638</v>
      </c>
      <c r="II15" s="51">
        <f t="shared" si="29"/>
        <v>2922.8712328767215</v>
      </c>
      <c r="IJ15" s="51">
        <f t="shared" si="29"/>
        <v>2921.7369863013791</v>
      </c>
      <c r="IK15" s="51">
        <f t="shared" si="29"/>
        <v>2920.6027397260368</v>
      </c>
      <c r="IL15" s="51">
        <f t="shared" si="29"/>
        <v>2919.4684931506945</v>
      </c>
      <c r="IM15" s="51">
        <f t="shared" si="29"/>
        <v>2918.3342465753522</v>
      </c>
      <c r="IN15" s="51">
        <f t="shared" si="29"/>
        <v>2917.2000000000098</v>
      </c>
      <c r="IO15" s="51">
        <f t="shared" si="29"/>
        <v>2916.0657534246675</v>
      </c>
      <c r="IP15" s="51">
        <f t="shared" si="29"/>
        <v>2914.9315068493252</v>
      </c>
      <c r="IQ15" s="51">
        <f t="shared" si="29"/>
        <v>2913.7972602739828</v>
      </c>
      <c r="IR15" s="51">
        <f t="shared" si="29"/>
        <v>2912.6630136986405</v>
      </c>
      <c r="IS15" s="51">
        <f t="shared" si="29"/>
        <v>2911.5287671232982</v>
      </c>
      <c r="IT15" s="51">
        <f t="shared" si="29"/>
        <v>2910.3945205479558</v>
      </c>
      <c r="IU15" s="51">
        <f t="shared" si="29"/>
        <v>2909.2602739726135</v>
      </c>
      <c r="IV15" s="51">
        <f t="shared" si="29"/>
        <v>2908.1260273972712</v>
      </c>
      <c r="IW15" s="51">
        <f t="shared" si="29"/>
        <v>2906.9917808219288</v>
      </c>
      <c r="IX15" s="51">
        <f t="shared" si="29"/>
        <v>2905.8575342465865</v>
      </c>
      <c r="IY15" s="51">
        <f t="shared" si="29"/>
        <v>2904.7232876712442</v>
      </c>
      <c r="IZ15" s="51">
        <f t="shared" si="29"/>
        <v>2903.5890410959018</v>
      </c>
      <c r="JA15" s="51">
        <f t="shared" si="29"/>
        <v>2902.4547945205595</v>
      </c>
      <c r="JB15" s="51">
        <f t="shared" si="29"/>
        <v>2901.3205479452172</v>
      </c>
      <c r="JC15" s="51">
        <f t="shared" si="29"/>
        <v>2900.1863013698749</v>
      </c>
      <c r="JD15" s="51">
        <f t="shared" si="29"/>
        <v>2899.0520547945325</v>
      </c>
      <c r="JE15" s="51">
        <f t="shared" si="29"/>
        <v>2897.9178082191902</v>
      </c>
      <c r="JF15" s="51">
        <f t="shared" si="29"/>
        <v>2896.7835616438479</v>
      </c>
      <c r="JG15" s="51">
        <f t="shared" si="29"/>
        <v>2895.6493150685055</v>
      </c>
      <c r="JH15" s="51">
        <f t="shared" si="29"/>
        <v>2894.5150684931632</v>
      </c>
      <c r="JI15" s="51">
        <f t="shared" si="29"/>
        <v>2893.3808219178209</v>
      </c>
      <c r="JJ15" s="51">
        <f t="shared" si="29"/>
        <v>2892.2465753424785</v>
      </c>
      <c r="JK15" s="51">
        <f t="shared" si="29"/>
        <v>2891.1123287671362</v>
      </c>
      <c r="JL15" s="51">
        <f t="shared" si="29"/>
        <v>2889.9780821917939</v>
      </c>
      <c r="JM15" s="51">
        <f t="shared" si="29"/>
        <v>2888.8438356164515</v>
      </c>
      <c r="JN15" s="51">
        <f t="shared" si="29"/>
        <v>2887.7095890411092</v>
      </c>
      <c r="JO15" s="51">
        <f t="shared" si="29"/>
        <v>2886.5753424657669</v>
      </c>
      <c r="JP15" s="51">
        <f t="shared" si="29"/>
        <v>2885.4410958904245</v>
      </c>
      <c r="JQ15" s="51">
        <f t="shared" si="29"/>
        <v>2884.3068493150822</v>
      </c>
      <c r="JR15" s="51">
        <f t="shared" si="29"/>
        <v>2883.1726027397399</v>
      </c>
      <c r="JS15" s="51">
        <f t="shared" si="29"/>
        <v>2882.0383561643976</v>
      </c>
      <c r="JT15" s="51">
        <f t="shared" si="29"/>
        <v>2880.9041095890552</v>
      </c>
      <c r="JU15" s="51">
        <f t="shared" si="29"/>
        <v>2879.7698630137129</v>
      </c>
      <c r="JV15" s="51">
        <f t="shared" si="29"/>
        <v>2878.6356164383706</v>
      </c>
      <c r="JW15" s="51">
        <f t="shared" si="29"/>
        <v>2877.5013698630282</v>
      </c>
      <c r="JX15" s="51">
        <f t="shared" si="29"/>
        <v>2876.3671232876859</v>
      </c>
      <c r="JY15" s="51">
        <f t="shared" si="29"/>
        <v>2875.2328767123436</v>
      </c>
      <c r="JZ15" s="51">
        <f t="shared" si="29"/>
        <v>2874.0986301370012</v>
      </c>
      <c r="KA15" s="51">
        <f t="shared" si="29"/>
        <v>2872.9643835616589</v>
      </c>
      <c r="KB15" s="51">
        <f t="shared" si="29"/>
        <v>2871.8301369863166</v>
      </c>
      <c r="KC15" s="51">
        <f t="shared" si="29"/>
        <v>2870.6958904109742</v>
      </c>
      <c r="KD15" s="51">
        <f t="shared" si="29"/>
        <v>2869.5616438356319</v>
      </c>
      <c r="KE15" s="51">
        <f t="shared" si="29"/>
        <v>2868.4273972602896</v>
      </c>
      <c r="KF15" s="51">
        <f t="shared" si="29"/>
        <v>2867.2931506849472</v>
      </c>
      <c r="KG15" s="51">
        <f t="shared" si="29"/>
        <v>2866.1589041096049</v>
      </c>
      <c r="KH15" s="51">
        <f t="shared" si="29"/>
        <v>2865.0246575342626</v>
      </c>
      <c r="KI15" s="51">
        <f t="shared" si="29"/>
        <v>2863.8904109589203</v>
      </c>
      <c r="KJ15" s="51">
        <f t="shared" si="29"/>
        <v>2862.7561643835779</v>
      </c>
      <c r="KK15" s="51">
        <f t="shared" si="29"/>
        <v>2861.6219178082356</v>
      </c>
      <c r="KL15" s="51">
        <f t="shared" si="29"/>
        <v>2860.4876712328933</v>
      </c>
      <c r="KM15" s="51">
        <f t="shared" si="29"/>
        <v>2859.3534246575509</v>
      </c>
      <c r="KN15" s="51">
        <f t="shared" si="29"/>
        <v>2858.2191780822086</v>
      </c>
      <c r="KO15" s="51">
        <f t="shared" si="29"/>
        <v>2857.0849315068663</v>
      </c>
      <c r="KP15" s="51">
        <f t="shared" si="29"/>
        <v>2855.9506849315239</v>
      </c>
      <c r="KQ15" s="51">
        <f t="shared" si="29"/>
        <v>2854.8164383561816</v>
      </c>
      <c r="KR15" s="51">
        <f t="shared" si="29"/>
        <v>2853.6821917808393</v>
      </c>
      <c r="KS15" s="51">
        <f t="shared" ref="KS15:ND19" si="30">KR15-$S15</f>
        <v>2852.5479452054969</v>
      </c>
      <c r="KT15" s="51">
        <f t="shared" si="30"/>
        <v>2851.4136986301546</v>
      </c>
      <c r="KU15" s="51">
        <f t="shared" si="30"/>
        <v>2850.2794520548123</v>
      </c>
      <c r="KV15" s="51">
        <f t="shared" si="30"/>
        <v>2849.14520547947</v>
      </c>
      <c r="KW15" s="51">
        <f t="shared" si="30"/>
        <v>2848.0109589041276</v>
      </c>
      <c r="KX15" s="51">
        <f t="shared" si="30"/>
        <v>2846.8767123287853</v>
      </c>
      <c r="KY15" s="51">
        <f t="shared" si="30"/>
        <v>2845.742465753443</v>
      </c>
      <c r="KZ15" s="51">
        <f t="shared" si="30"/>
        <v>2844.6082191781006</v>
      </c>
      <c r="LA15" s="51">
        <f t="shared" si="30"/>
        <v>2843.4739726027583</v>
      </c>
      <c r="LB15" s="51">
        <f t="shared" si="30"/>
        <v>2842.339726027416</v>
      </c>
      <c r="LC15" s="51">
        <f t="shared" si="30"/>
        <v>2841.2054794520736</v>
      </c>
      <c r="LD15" s="51">
        <f t="shared" si="30"/>
        <v>2840.0712328767313</v>
      </c>
      <c r="LE15" s="51">
        <f t="shared" si="30"/>
        <v>2838.936986301389</v>
      </c>
      <c r="LF15" s="51">
        <f t="shared" si="30"/>
        <v>2837.8027397260466</v>
      </c>
      <c r="LG15" s="51">
        <f t="shared" si="30"/>
        <v>2836.6684931507043</v>
      </c>
      <c r="LH15" s="51">
        <f t="shared" si="30"/>
        <v>2835.534246575362</v>
      </c>
      <c r="LI15" s="51">
        <f t="shared" si="30"/>
        <v>2834.4000000000196</v>
      </c>
      <c r="LJ15" s="51">
        <f t="shared" si="30"/>
        <v>2833.2657534246773</v>
      </c>
      <c r="LK15" s="51">
        <f t="shared" si="30"/>
        <v>2832.131506849335</v>
      </c>
      <c r="LL15" s="51">
        <f t="shared" si="30"/>
        <v>2830.9972602739927</v>
      </c>
      <c r="LM15" s="51">
        <f t="shared" si="30"/>
        <v>2829.8630136986503</v>
      </c>
      <c r="LN15" s="51">
        <f t="shared" si="30"/>
        <v>2828.728767123308</v>
      </c>
      <c r="LO15" s="51">
        <f t="shared" si="30"/>
        <v>2827.5945205479657</v>
      </c>
      <c r="LP15" s="51">
        <f t="shared" si="30"/>
        <v>2826.4602739726233</v>
      </c>
      <c r="LQ15" s="51">
        <f t="shared" si="30"/>
        <v>2825.326027397281</v>
      </c>
      <c r="LR15" s="51">
        <f t="shared" si="30"/>
        <v>2824.1917808219387</v>
      </c>
      <c r="LS15" s="51">
        <f t="shared" si="30"/>
        <v>2823.0575342465963</v>
      </c>
      <c r="LT15" s="51">
        <f t="shared" si="30"/>
        <v>2821.923287671254</v>
      </c>
      <c r="LU15" s="51">
        <f t="shared" si="30"/>
        <v>2820.7890410959117</v>
      </c>
      <c r="LV15" s="51">
        <f t="shared" si="30"/>
        <v>2819.6547945205693</v>
      </c>
      <c r="LW15" s="51">
        <f t="shared" si="30"/>
        <v>2818.520547945227</v>
      </c>
      <c r="LX15" s="51">
        <f t="shared" si="30"/>
        <v>2817.3863013698847</v>
      </c>
      <c r="LY15" s="51">
        <f t="shared" si="30"/>
        <v>2816.2520547945423</v>
      </c>
      <c r="LZ15" s="51">
        <f t="shared" si="30"/>
        <v>2815.1178082192</v>
      </c>
      <c r="MA15" s="51">
        <f t="shared" si="30"/>
        <v>2813.9835616438577</v>
      </c>
      <c r="MB15" s="51">
        <f t="shared" si="30"/>
        <v>2812.8493150685154</v>
      </c>
      <c r="MC15" s="51">
        <f t="shared" si="30"/>
        <v>2811.715068493173</v>
      </c>
      <c r="MD15" s="51">
        <f t="shared" si="30"/>
        <v>2810.5808219178307</v>
      </c>
      <c r="ME15" s="51">
        <f t="shared" si="30"/>
        <v>2809.4465753424884</v>
      </c>
      <c r="MF15" s="51">
        <f t="shared" si="30"/>
        <v>2808.312328767146</v>
      </c>
      <c r="MG15" s="51">
        <f t="shared" si="30"/>
        <v>2807.1780821918037</v>
      </c>
      <c r="MH15" s="51">
        <f t="shared" si="30"/>
        <v>2806.0438356164614</v>
      </c>
      <c r="MI15" s="51">
        <f t="shared" si="30"/>
        <v>2804.909589041119</v>
      </c>
      <c r="MJ15" s="51">
        <f t="shared" si="30"/>
        <v>2803.7753424657767</v>
      </c>
      <c r="MK15" s="51">
        <f t="shared" si="30"/>
        <v>2802.6410958904344</v>
      </c>
      <c r="ML15" s="51">
        <f t="shared" si="30"/>
        <v>2801.506849315092</v>
      </c>
      <c r="MM15" s="51">
        <f t="shared" si="30"/>
        <v>2800.3726027397497</v>
      </c>
      <c r="MN15" s="51">
        <f t="shared" si="30"/>
        <v>2799.2383561644074</v>
      </c>
      <c r="MO15" s="51">
        <f t="shared" si="30"/>
        <v>2798.104109589065</v>
      </c>
      <c r="MP15" s="51">
        <f t="shared" si="30"/>
        <v>2796.9698630137227</v>
      </c>
      <c r="MQ15" s="51">
        <f t="shared" si="30"/>
        <v>2795.8356164383804</v>
      </c>
      <c r="MR15" s="51">
        <f t="shared" si="30"/>
        <v>2794.7013698630381</v>
      </c>
      <c r="MS15" s="51">
        <f t="shared" si="30"/>
        <v>2793.5671232876957</v>
      </c>
      <c r="MT15" s="51">
        <f t="shared" si="30"/>
        <v>2792.4328767123534</v>
      </c>
      <c r="MU15" s="51">
        <f t="shared" si="30"/>
        <v>2791.2986301370111</v>
      </c>
      <c r="MV15" s="51">
        <f t="shared" si="30"/>
        <v>2790.1643835616687</v>
      </c>
      <c r="MW15" s="51">
        <f t="shared" si="30"/>
        <v>2789.0301369863264</v>
      </c>
      <c r="MX15" s="51">
        <f t="shared" si="30"/>
        <v>2787.8958904109841</v>
      </c>
      <c r="MY15" s="51">
        <f t="shared" si="30"/>
        <v>2786.7616438356417</v>
      </c>
      <c r="MZ15" s="51">
        <f t="shared" si="30"/>
        <v>2785.6273972602994</v>
      </c>
      <c r="NA15" s="51">
        <f t="shared" si="30"/>
        <v>2784.4931506849571</v>
      </c>
      <c r="NB15" s="51">
        <f t="shared" si="30"/>
        <v>2783.3589041096147</v>
      </c>
      <c r="NC15" s="51">
        <f t="shared" si="30"/>
        <v>2782.2246575342724</v>
      </c>
      <c r="ND15" s="51">
        <f t="shared" si="30"/>
        <v>2781.0904109589301</v>
      </c>
      <c r="NE15" s="51">
        <f t="shared" ref="NE15:NU20" si="31">ND15-$S15</f>
        <v>2779.9561643835877</v>
      </c>
      <c r="NF15" s="51">
        <f t="shared" si="31"/>
        <v>2778.8219178082454</v>
      </c>
      <c r="NG15" s="51">
        <f t="shared" si="31"/>
        <v>2777.6876712329031</v>
      </c>
      <c r="NH15" s="51">
        <f t="shared" si="31"/>
        <v>2776.5534246575608</v>
      </c>
      <c r="NI15" s="51">
        <f t="shared" si="31"/>
        <v>2775.4191780822184</v>
      </c>
      <c r="NJ15" s="51">
        <f t="shared" si="31"/>
        <v>2774.2849315068761</v>
      </c>
      <c r="NK15" s="51">
        <f t="shared" si="31"/>
        <v>2773.1506849315338</v>
      </c>
      <c r="NL15" s="51">
        <f t="shared" si="31"/>
        <v>2772.0164383561914</v>
      </c>
      <c r="NM15" s="51">
        <f t="shared" si="31"/>
        <v>2770.8821917808491</v>
      </c>
      <c r="NN15" s="51">
        <f t="shared" si="31"/>
        <v>2769.7479452055068</v>
      </c>
      <c r="NO15" s="51">
        <f t="shared" si="31"/>
        <v>2768.6136986301644</v>
      </c>
      <c r="NP15" s="51">
        <f t="shared" si="31"/>
        <v>2767.4794520548221</v>
      </c>
      <c r="NQ15" s="51">
        <f t="shared" si="31"/>
        <v>2766.3452054794798</v>
      </c>
      <c r="NR15" s="51">
        <f t="shared" si="31"/>
        <v>2765.2109589041374</v>
      </c>
      <c r="NS15" s="51">
        <f t="shared" si="31"/>
        <v>2764.0767123287951</v>
      </c>
      <c r="NT15" s="51">
        <f t="shared" si="31"/>
        <v>2762.9424657534528</v>
      </c>
      <c r="NU15" s="51">
        <f t="shared" si="31"/>
        <v>2761.8082191781104</v>
      </c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51"/>
      <c r="SF15" s="51"/>
      <c r="SG15" s="51"/>
      <c r="SH15" s="51"/>
      <c r="SI15" s="51"/>
      <c r="SJ15" s="51"/>
      <c r="SK15" s="51"/>
      <c r="SL15" s="51"/>
      <c r="SM15" s="51"/>
      <c r="SN15" s="51"/>
      <c r="SO15" s="51"/>
      <c r="SP15" s="51"/>
      <c r="SQ15" s="51"/>
      <c r="SR15" s="51"/>
      <c r="SS15" s="51"/>
      <c r="ST15" s="51"/>
      <c r="SU15" s="51"/>
      <c r="SV15" s="51"/>
      <c r="SW15" s="51"/>
      <c r="SX15" s="51"/>
      <c r="SY15" s="51"/>
      <c r="SZ15" s="51"/>
      <c r="TA15" s="51"/>
      <c r="TB15" s="51"/>
      <c r="TC15" s="51"/>
      <c r="TD15" s="51"/>
      <c r="TE15" s="51"/>
      <c r="TF15" s="51"/>
      <c r="TG15" s="51"/>
      <c r="TH15" s="51"/>
      <c r="TI15" s="51"/>
      <c r="TJ15" s="51"/>
      <c r="TK15" s="51"/>
      <c r="TL15" s="51"/>
      <c r="TM15" s="51"/>
      <c r="TN15" s="51"/>
      <c r="TO15" s="51"/>
      <c r="TP15" s="51"/>
      <c r="TQ15" s="51"/>
      <c r="TR15" s="51"/>
      <c r="TS15" s="51"/>
      <c r="TT15" s="51"/>
      <c r="TU15" s="51"/>
      <c r="TV15" s="51"/>
      <c r="TW15" s="51"/>
      <c r="TX15" s="51"/>
      <c r="TY15" s="51"/>
      <c r="TZ15" s="51"/>
      <c r="UA15" s="51"/>
      <c r="UB15" s="51"/>
      <c r="UC15" s="51"/>
      <c r="UD15" s="51"/>
      <c r="UE15" s="51"/>
      <c r="UF15" s="51"/>
      <c r="UG15" s="51"/>
      <c r="UH15" s="51"/>
      <c r="UI15" s="51"/>
      <c r="UJ15" s="51"/>
      <c r="UK15" s="51"/>
      <c r="UL15" s="51"/>
      <c r="UM15" s="51"/>
      <c r="UN15" s="51"/>
      <c r="UO15" s="51"/>
      <c r="UP15" s="51"/>
      <c r="UQ15" s="51"/>
      <c r="UR15" s="51"/>
      <c r="US15" s="51"/>
      <c r="UT15" s="51"/>
      <c r="UU15" s="51"/>
      <c r="UV15" s="51"/>
      <c r="UW15" s="51"/>
      <c r="UX15" s="51"/>
      <c r="UY15" s="51"/>
      <c r="UZ15" s="51"/>
      <c r="VA15" s="51"/>
      <c r="VB15" s="51"/>
      <c r="VC15" s="51"/>
      <c r="VD15" s="51"/>
      <c r="VE15" s="51"/>
      <c r="VF15" s="51"/>
      <c r="VG15" s="51"/>
      <c r="VH15" s="51"/>
      <c r="VI15" s="51"/>
      <c r="VJ15" s="51"/>
      <c r="VK15" s="51"/>
      <c r="VL15" s="51"/>
      <c r="VM15" s="51"/>
      <c r="VN15" s="51"/>
      <c r="VO15" s="51"/>
      <c r="VP15" s="51"/>
      <c r="VQ15" s="51"/>
      <c r="VR15" s="51"/>
      <c r="VS15" s="51"/>
      <c r="VT15" s="51"/>
      <c r="VU15" s="51"/>
      <c r="VV15" s="51"/>
      <c r="VW15" s="51"/>
      <c r="VX15" s="51"/>
      <c r="VY15" s="51"/>
      <c r="VZ15" s="51"/>
      <c r="WA15" s="51"/>
      <c r="WB15" s="51"/>
      <c r="WC15" s="51"/>
      <c r="WD15" s="51"/>
      <c r="WE15" s="51"/>
      <c r="WF15" s="51"/>
      <c r="WG15" s="51"/>
    </row>
    <row r="16" spans="1:615" x14ac:dyDescent="0.25">
      <c r="A16" s="28">
        <v>14</v>
      </c>
      <c r="B16" s="28" t="s">
        <v>42</v>
      </c>
      <c r="C16" s="28" t="s">
        <v>44</v>
      </c>
      <c r="D16" s="28" t="s">
        <v>596</v>
      </c>
      <c r="E16" s="28">
        <v>1</v>
      </c>
      <c r="F16" s="28">
        <v>100</v>
      </c>
      <c r="G16" s="28">
        <v>5</v>
      </c>
      <c r="H16" s="50">
        <f t="shared" si="6"/>
        <v>105</v>
      </c>
      <c r="I16" s="28">
        <v>14</v>
      </c>
      <c r="J16" s="28">
        <v>150</v>
      </c>
      <c r="K16" s="28">
        <f t="shared" si="14"/>
        <v>164</v>
      </c>
      <c r="L16" s="49">
        <f t="shared" si="7"/>
        <v>41894</v>
      </c>
      <c r="M16" s="51">
        <f t="shared" si="8"/>
        <v>200</v>
      </c>
      <c r="N16" s="51">
        <v>3000</v>
      </c>
      <c r="O16" s="28">
        <v>13.8</v>
      </c>
      <c r="P16" s="28">
        <f t="shared" si="27"/>
        <v>2586</v>
      </c>
      <c r="Q16" s="52">
        <f t="shared" ref="Q16:Q20" si="32">N16*365-((S16/2)*365^2)</f>
        <v>1019445</v>
      </c>
      <c r="R16" s="52">
        <f t="shared" ref="R16:R20" si="33">Q16/H16</f>
        <v>9709</v>
      </c>
      <c r="S16" s="28">
        <f t="shared" ref="S16:S20" si="34">(N16-P16)/365</f>
        <v>1.1342465753424658</v>
      </c>
      <c r="GC16" s="51">
        <f>N16</f>
        <v>3000</v>
      </c>
      <c r="GD16" s="51">
        <f>GC16-$S16</f>
        <v>2998.8657534246577</v>
      </c>
      <c r="GE16" s="51">
        <f t="shared" si="28"/>
        <v>2997.7315068493153</v>
      </c>
      <c r="GF16" s="51">
        <f t="shared" si="28"/>
        <v>2996.597260273973</v>
      </c>
      <c r="GG16" s="51">
        <f t="shared" si="28"/>
        <v>2995.4630136986307</v>
      </c>
      <c r="GH16" s="51">
        <f t="shared" si="28"/>
        <v>2994.3287671232883</v>
      </c>
      <c r="GI16" s="51">
        <f t="shared" si="28"/>
        <v>2993.194520547946</v>
      </c>
      <c r="GJ16" s="51">
        <f t="shared" si="28"/>
        <v>2992.0602739726037</v>
      </c>
      <c r="GK16" s="51">
        <f t="shared" si="28"/>
        <v>2990.9260273972614</v>
      </c>
      <c r="GL16" s="51">
        <f t="shared" si="28"/>
        <v>2989.791780821919</v>
      </c>
      <c r="GM16" s="51">
        <f t="shared" si="28"/>
        <v>2988.6575342465767</v>
      </c>
      <c r="GN16" s="51">
        <f t="shared" si="28"/>
        <v>2987.5232876712344</v>
      </c>
      <c r="GO16" s="51">
        <f t="shared" si="28"/>
        <v>2986.389041095892</v>
      </c>
      <c r="GP16" s="51">
        <f t="shared" si="28"/>
        <v>2985.2547945205497</v>
      </c>
      <c r="GQ16" s="51">
        <f t="shared" si="28"/>
        <v>2984.1205479452074</v>
      </c>
      <c r="GR16" s="51">
        <f t="shared" si="28"/>
        <v>2982.986301369865</v>
      </c>
      <c r="GS16" s="51">
        <f t="shared" si="28"/>
        <v>2981.8520547945227</v>
      </c>
      <c r="GT16" s="51">
        <f t="shared" si="28"/>
        <v>2980.7178082191804</v>
      </c>
      <c r="GU16" s="51">
        <f t="shared" si="28"/>
        <v>2979.583561643838</v>
      </c>
      <c r="GV16" s="51">
        <f t="shared" si="28"/>
        <v>2978.4493150684957</v>
      </c>
      <c r="GW16" s="51">
        <f t="shared" si="28"/>
        <v>2977.3150684931534</v>
      </c>
      <c r="GX16" s="51">
        <f t="shared" si="28"/>
        <v>2976.180821917811</v>
      </c>
      <c r="GY16" s="51">
        <f t="shared" si="28"/>
        <v>2975.0465753424687</v>
      </c>
      <c r="GZ16" s="51">
        <f t="shared" si="28"/>
        <v>2973.9123287671264</v>
      </c>
      <c r="HA16" s="51">
        <f t="shared" si="28"/>
        <v>2972.7780821917841</v>
      </c>
      <c r="HB16" s="51">
        <f t="shared" si="28"/>
        <v>2971.6438356164417</v>
      </c>
      <c r="HC16" s="51">
        <f t="shared" si="28"/>
        <v>2970.5095890410994</v>
      </c>
      <c r="HD16" s="51">
        <f t="shared" si="28"/>
        <v>2969.3753424657571</v>
      </c>
      <c r="HE16" s="51">
        <f t="shared" si="28"/>
        <v>2968.2410958904147</v>
      </c>
      <c r="HF16" s="51">
        <f t="shared" si="28"/>
        <v>2967.1068493150724</v>
      </c>
      <c r="HG16" s="51">
        <f t="shared" si="28"/>
        <v>2965.9726027397301</v>
      </c>
      <c r="HH16" s="51">
        <f t="shared" si="28"/>
        <v>2964.8383561643877</v>
      </c>
      <c r="HI16" s="51">
        <f t="shared" si="28"/>
        <v>2963.7041095890454</v>
      </c>
      <c r="HJ16" s="51">
        <f t="shared" si="28"/>
        <v>2962.5698630137031</v>
      </c>
      <c r="HK16" s="51">
        <f t="shared" si="28"/>
        <v>2961.4356164383607</v>
      </c>
      <c r="HL16" s="51">
        <f t="shared" si="28"/>
        <v>2960.3013698630184</v>
      </c>
      <c r="HM16" s="51">
        <f t="shared" si="28"/>
        <v>2959.1671232876761</v>
      </c>
      <c r="HN16" s="51">
        <f t="shared" si="28"/>
        <v>2958.0328767123337</v>
      </c>
      <c r="HO16" s="51">
        <f t="shared" si="28"/>
        <v>2956.8986301369914</v>
      </c>
      <c r="HP16" s="51">
        <f t="shared" si="28"/>
        <v>2955.7643835616491</v>
      </c>
      <c r="HQ16" s="51">
        <f t="shared" si="28"/>
        <v>2954.6301369863068</v>
      </c>
      <c r="HR16" s="51">
        <f t="shared" si="28"/>
        <v>2953.4958904109644</v>
      </c>
      <c r="HS16" s="51">
        <f t="shared" si="28"/>
        <v>2952.3616438356221</v>
      </c>
      <c r="HT16" s="51">
        <f t="shared" si="28"/>
        <v>2951.2273972602798</v>
      </c>
      <c r="HU16" s="51">
        <f t="shared" si="28"/>
        <v>2950.0931506849374</v>
      </c>
      <c r="HV16" s="51">
        <f t="shared" si="28"/>
        <v>2948.9589041095951</v>
      </c>
      <c r="HW16" s="51">
        <f t="shared" si="28"/>
        <v>2947.8246575342528</v>
      </c>
      <c r="HX16" s="51">
        <f t="shared" si="28"/>
        <v>2946.6904109589104</v>
      </c>
      <c r="HY16" s="51">
        <f t="shared" si="28"/>
        <v>2945.5561643835681</v>
      </c>
      <c r="HZ16" s="51">
        <f t="shared" si="28"/>
        <v>2944.4219178082258</v>
      </c>
      <c r="IA16" s="51">
        <f t="shared" si="28"/>
        <v>2943.2876712328834</v>
      </c>
      <c r="IB16" s="51">
        <f t="shared" si="28"/>
        <v>2942.1534246575411</v>
      </c>
      <c r="IC16" s="51">
        <f t="shared" si="28"/>
        <v>2941.0191780821988</v>
      </c>
      <c r="ID16" s="51">
        <f t="shared" si="28"/>
        <v>2939.8849315068564</v>
      </c>
      <c r="IE16" s="51">
        <f t="shared" si="28"/>
        <v>2938.7506849315141</v>
      </c>
      <c r="IF16" s="51">
        <f t="shared" si="28"/>
        <v>2937.6164383561718</v>
      </c>
      <c r="IG16" s="51">
        <f t="shared" si="29"/>
        <v>2936.4821917808295</v>
      </c>
      <c r="IH16" s="51">
        <f t="shared" si="29"/>
        <v>2935.3479452054871</v>
      </c>
      <c r="II16" s="51">
        <f t="shared" si="29"/>
        <v>2934.2136986301448</v>
      </c>
      <c r="IJ16" s="51">
        <f t="shared" si="29"/>
        <v>2933.0794520548025</v>
      </c>
      <c r="IK16" s="51">
        <f t="shared" si="29"/>
        <v>2931.9452054794601</v>
      </c>
      <c r="IL16" s="51">
        <f t="shared" si="29"/>
        <v>2930.8109589041178</v>
      </c>
      <c r="IM16" s="51">
        <f t="shared" si="29"/>
        <v>2929.6767123287755</v>
      </c>
      <c r="IN16" s="51">
        <f t="shared" si="29"/>
        <v>2928.5424657534331</v>
      </c>
      <c r="IO16" s="51">
        <f t="shared" si="29"/>
        <v>2927.4082191780908</v>
      </c>
      <c r="IP16" s="51">
        <f t="shared" si="29"/>
        <v>2926.2739726027485</v>
      </c>
      <c r="IQ16" s="51">
        <f t="shared" si="29"/>
        <v>2925.1397260274061</v>
      </c>
      <c r="IR16" s="51">
        <f t="shared" si="29"/>
        <v>2924.0054794520638</v>
      </c>
      <c r="IS16" s="51">
        <f t="shared" si="29"/>
        <v>2922.8712328767215</v>
      </c>
      <c r="IT16" s="51">
        <f t="shared" si="29"/>
        <v>2921.7369863013791</v>
      </c>
      <c r="IU16" s="51">
        <f t="shared" si="29"/>
        <v>2920.6027397260368</v>
      </c>
      <c r="IV16" s="51">
        <f t="shared" si="29"/>
        <v>2919.4684931506945</v>
      </c>
      <c r="IW16" s="51">
        <f t="shared" si="29"/>
        <v>2918.3342465753522</v>
      </c>
      <c r="IX16" s="51">
        <f t="shared" si="29"/>
        <v>2917.2000000000098</v>
      </c>
      <c r="IY16" s="51">
        <f t="shared" si="29"/>
        <v>2916.0657534246675</v>
      </c>
      <c r="IZ16" s="51">
        <f t="shared" si="29"/>
        <v>2914.9315068493252</v>
      </c>
      <c r="JA16" s="51">
        <f t="shared" si="29"/>
        <v>2913.7972602739828</v>
      </c>
      <c r="JB16" s="51">
        <f t="shared" si="29"/>
        <v>2912.6630136986405</v>
      </c>
      <c r="JC16" s="51">
        <f t="shared" si="29"/>
        <v>2911.5287671232982</v>
      </c>
      <c r="JD16" s="51">
        <f t="shared" si="29"/>
        <v>2910.3945205479558</v>
      </c>
      <c r="JE16" s="51">
        <f t="shared" si="29"/>
        <v>2909.2602739726135</v>
      </c>
      <c r="JF16" s="51">
        <f t="shared" si="29"/>
        <v>2908.1260273972712</v>
      </c>
      <c r="JG16" s="51">
        <f t="shared" si="29"/>
        <v>2906.9917808219288</v>
      </c>
      <c r="JH16" s="51">
        <f t="shared" si="29"/>
        <v>2905.8575342465865</v>
      </c>
      <c r="JI16" s="51">
        <f t="shared" si="29"/>
        <v>2904.7232876712442</v>
      </c>
      <c r="JJ16" s="51">
        <f t="shared" si="29"/>
        <v>2903.5890410959018</v>
      </c>
      <c r="JK16" s="51">
        <f t="shared" si="29"/>
        <v>2902.4547945205595</v>
      </c>
      <c r="JL16" s="51">
        <f t="shared" si="29"/>
        <v>2901.3205479452172</v>
      </c>
      <c r="JM16" s="51">
        <f t="shared" si="29"/>
        <v>2900.1863013698749</v>
      </c>
      <c r="JN16" s="51">
        <f t="shared" si="29"/>
        <v>2899.0520547945325</v>
      </c>
      <c r="JO16" s="51">
        <f t="shared" si="29"/>
        <v>2897.9178082191902</v>
      </c>
      <c r="JP16" s="51">
        <f t="shared" si="29"/>
        <v>2896.7835616438479</v>
      </c>
      <c r="JQ16" s="51">
        <f t="shared" si="29"/>
        <v>2895.6493150685055</v>
      </c>
      <c r="JR16" s="51">
        <f t="shared" si="29"/>
        <v>2894.5150684931632</v>
      </c>
      <c r="JS16" s="51">
        <f t="shared" si="29"/>
        <v>2893.3808219178209</v>
      </c>
      <c r="JT16" s="51">
        <f t="shared" si="29"/>
        <v>2892.2465753424785</v>
      </c>
      <c r="JU16" s="51">
        <f t="shared" si="29"/>
        <v>2891.1123287671362</v>
      </c>
      <c r="JV16" s="51">
        <f t="shared" si="29"/>
        <v>2889.9780821917939</v>
      </c>
      <c r="JW16" s="51">
        <f t="shared" si="29"/>
        <v>2888.8438356164515</v>
      </c>
      <c r="JX16" s="51">
        <f t="shared" si="29"/>
        <v>2887.7095890411092</v>
      </c>
      <c r="JY16" s="51">
        <f t="shared" si="29"/>
        <v>2886.5753424657669</v>
      </c>
      <c r="JZ16" s="51">
        <f t="shared" si="29"/>
        <v>2885.4410958904245</v>
      </c>
      <c r="KA16" s="51">
        <f t="shared" si="29"/>
        <v>2884.3068493150822</v>
      </c>
      <c r="KB16" s="51">
        <f t="shared" si="29"/>
        <v>2883.1726027397399</v>
      </c>
      <c r="KC16" s="51">
        <f t="shared" si="29"/>
        <v>2882.0383561643976</v>
      </c>
      <c r="KD16" s="51">
        <f t="shared" si="29"/>
        <v>2880.9041095890552</v>
      </c>
      <c r="KE16" s="51">
        <f t="shared" si="29"/>
        <v>2879.7698630137129</v>
      </c>
      <c r="KF16" s="51">
        <f t="shared" si="29"/>
        <v>2878.6356164383706</v>
      </c>
      <c r="KG16" s="51">
        <f t="shared" si="29"/>
        <v>2877.5013698630282</v>
      </c>
      <c r="KH16" s="51">
        <f t="shared" si="29"/>
        <v>2876.3671232876859</v>
      </c>
      <c r="KI16" s="51">
        <f t="shared" si="29"/>
        <v>2875.2328767123436</v>
      </c>
      <c r="KJ16" s="51">
        <f t="shared" si="29"/>
        <v>2874.0986301370012</v>
      </c>
      <c r="KK16" s="51">
        <f t="shared" si="29"/>
        <v>2872.9643835616589</v>
      </c>
      <c r="KL16" s="51">
        <f t="shared" si="29"/>
        <v>2871.8301369863166</v>
      </c>
      <c r="KM16" s="51">
        <f t="shared" si="29"/>
        <v>2870.6958904109742</v>
      </c>
      <c r="KN16" s="51">
        <f t="shared" si="29"/>
        <v>2869.5616438356319</v>
      </c>
      <c r="KO16" s="51">
        <f t="shared" si="29"/>
        <v>2868.4273972602896</v>
      </c>
      <c r="KP16" s="51">
        <f t="shared" si="29"/>
        <v>2867.2931506849472</v>
      </c>
      <c r="KQ16" s="51">
        <f t="shared" si="29"/>
        <v>2866.1589041096049</v>
      </c>
      <c r="KR16" s="51">
        <f t="shared" si="29"/>
        <v>2865.0246575342626</v>
      </c>
      <c r="KS16" s="51">
        <f t="shared" si="30"/>
        <v>2863.8904109589203</v>
      </c>
      <c r="KT16" s="51">
        <f t="shared" si="30"/>
        <v>2862.7561643835779</v>
      </c>
      <c r="KU16" s="51">
        <f t="shared" si="30"/>
        <v>2861.6219178082356</v>
      </c>
      <c r="KV16" s="51">
        <f t="shared" si="30"/>
        <v>2860.4876712328933</v>
      </c>
      <c r="KW16" s="51">
        <f t="shared" si="30"/>
        <v>2859.3534246575509</v>
      </c>
      <c r="KX16" s="51">
        <f t="shared" si="30"/>
        <v>2858.2191780822086</v>
      </c>
      <c r="KY16" s="51">
        <f t="shared" si="30"/>
        <v>2857.0849315068663</v>
      </c>
      <c r="KZ16" s="51">
        <f t="shared" si="30"/>
        <v>2855.9506849315239</v>
      </c>
      <c r="LA16" s="51">
        <f t="shared" si="30"/>
        <v>2854.8164383561816</v>
      </c>
      <c r="LB16" s="51">
        <f t="shared" si="30"/>
        <v>2853.6821917808393</v>
      </c>
      <c r="LC16" s="51">
        <f t="shared" si="30"/>
        <v>2852.5479452054969</v>
      </c>
      <c r="LD16" s="51">
        <f t="shared" si="30"/>
        <v>2851.4136986301546</v>
      </c>
      <c r="LE16" s="51">
        <f t="shared" si="30"/>
        <v>2850.2794520548123</v>
      </c>
      <c r="LF16" s="51">
        <f t="shared" si="30"/>
        <v>2849.14520547947</v>
      </c>
      <c r="LG16" s="51">
        <f t="shared" si="30"/>
        <v>2848.0109589041276</v>
      </c>
      <c r="LH16" s="51">
        <f t="shared" si="30"/>
        <v>2846.8767123287853</v>
      </c>
      <c r="LI16" s="51">
        <f t="shared" si="30"/>
        <v>2845.742465753443</v>
      </c>
      <c r="LJ16" s="51">
        <f t="shared" si="30"/>
        <v>2844.6082191781006</v>
      </c>
      <c r="LK16" s="51">
        <f t="shared" si="30"/>
        <v>2843.4739726027583</v>
      </c>
      <c r="LL16" s="51">
        <f t="shared" si="30"/>
        <v>2842.339726027416</v>
      </c>
      <c r="LM16" s="51">
        <f t="shared" si="30"/>
        <v>2841.2054794520736</v>
      </c>
      <c r="LN16" s="51">
        <f t="shared" si="30"/>
        <v>2840.0712328767313</v>
      </c>
      <c r="LO16" s="51">
        <f t="shared" si="30"/>
        <v>2838.936986301389</v>
      </c>
      <c r="LP16" s="51">
        <f t="shared" si="30"/>
        <v>2837.8027397260466</v>
      </c>
      <c r="LQ16" s="51">
        <f t="shared" si="30"/>
        <v>2836.6684931507043</v>
      </c>
      <c r="LR16" s="51">
        <f t="shared" si="30"/>
        <v>2835.534246575362</v>
      </c>
      <c r="LS16" s="51">
        <f t="shared" si="30"/>
        <v>2834.4000000000196</v>
      </c>
      <c r="LT16" s="51">
        <f t="shared" si="30"/>
        <v>2833.2657534246773</v>
      </c>
      <c r="LU16" s="51">
        <f t="shared" si="30"/>
        <v>2832.131506849335</v>
      </c>
      <c r="LV16" s="51">
        <f t="shared" si="30"/>
        <v>2830.9972602739927</v>
      </c>
      <c r="LW16" s="51">
        <f t="shared" si="30"/>
        <v>2829.8630136986503</v>
      </c>
      <c r="LX16" s="51">
        <f t="shared" si="30"/>
        <v>2828.728767123308</v>
      </c>
      <c r="LY16" s="51">
        <f t="shared" si="30"/>
        <v>2827.5945205479657</v>
      </c>
      <c r="LZ16" s="51">
        <f t="shared" si="30"/>
        <v>2826.4602739726233</v>
      </c>
      <c r="MA16" s="51">
        <f t="shared" si="30"/>
        <v>2825.326027397281</v>
      </c>
      <c r="MB16" s="51">
        <f t="shared" si="30"/>
        <v>2824.1917808219387</v>
      </c>
      <c r="MC16" s="51">
        <f t="shared" si="30"/>
        <v>2823.0575342465963</v>
      </c>
      <c r="MD16" s="51">
        <f t="shared" si="30"/>
        <v>2821.923287671254</v>
      </c>
      <c r="ME16" s="51">
        <f t="shared" si="30"/>
        <v>2820.7890410959117</v>
      </c>
      <c r="MF16" s="51">
        <f t="shared" si="30"/>
        <v>2819.6547945205693</v>
      </c>
      <c r="MG16" s="51">
        <f t="shared" si="30"/>
        <v>2818.520547945227</v>
      </c>
      <c r="MH16" s="51">
        <f t="shared" si="30"/>
        <v>2817.3863013698847</v>
      </c>
      <c r="MI16" s="51">
        <f t="shared" si="30"/>
        <v>2816.2520547945423</v>
      </c>
      <c r="MJ16" s="51">
        <f t="shared" si="30"/>
        <v>2815.1178082192</v>
      </c>
      <c r="MK16" s="51">
        <f t="shared" si="30"/>
        <v>2813.9835616438577</v>
      </c>
      <c r="ML16" s="51">
        <f t="shared" si="30"/>
        <v>2812.8493150685154</v>
      </c>
      <c r="MM16" s="51">
        <f t="shared" si="30"/>
        <v>2811.715068493173</v>
      </c>
      <c r="MN16" s="51">
        <f t="shared" si="30"/>
        <v>2810.5808219178307</v>
      </c>
      <c r="MO16" s="51">
        <f t="shared" si="30"/>
        <v>2809.4465753424884</v>
      </c>
      <c r="MP16" s="51">
        <f t="shared" si="30"/>
        <v>2808.312328767146</v>
      </c>
      <c r="MQ16" s="51">
        <f t="shared" si="30"/>
        <v>2807.1780821918037</v>
      </c>
      <c r="MR16" s="51">
        <f t="shared" si="30"/>
        <v>2806.0438356164614</v>
      </c>
      <c r="MS16" s="51">
        <f t="shared" si="30"/>
        <v>2804.909589041119</v>
      </c>
      <c r="MT16" s="51">
        <f t="shared" si="30"/>
        <v>2803.7753424657767</v>
      </c>
      <c r="MU16" s="51">
        <f t="shared" si="30"/>
        <v>2802.6410958904344</v>
      </c>
      <c r="MV16" s="51">
        <f t="shared" si="30"/>
        <v>2801.506849315092</v>
      </c>
      <c r="MW16" s="51">
        <f t="shared" si="30"/>
        <v>2800.3726027397497</v>
      </c>
      <c r="MX16" s="51">
        <f t="shared" si="30"/>
        <v>2799.2383561644074</v>
      </c>
      <c r="MY16" s="51">
        <f t="shared" si="30"/>
        <v>2798.104109589065</v>
      </c>
      <c r="MZ16" s="51">
        <f t="shared" si="30"/>
        <v>2796.9698630137227</v>
      </c>
      <c r="NA16" s="51">
        <f t="shared" si="30"/>
        <v>2795.8356164383804</v>
      </c>
      <c r="NB16" s="51">
        <f t="shared" si="30"/>
        <v>2794.7013698630381</v>
      </c>
      <c r="NC16" s="51">
        <f t="shared" si="30"/>
        <v>2793.5671232876957</v>
      </c>
      <c r="ND16" s="51">
        <f t="shared" si="30"/>
        <v>2792.4328767123534</v>
      </c>
      <c r="NE16" s="51">
        <f t="shared" si="31"/>
        <v>2791.2986301370111</v>
      </c>
      <c r="NF16" s="51">
        <f t="shared" si="31"/>
        <v>2790.1643835616687</v>
      </c>
      <c r="NG16" s="51">
        <f t="shared" si="31"/>
        <v>2789.0301369863264</v>
      </c>
      <c r="NH16" s="51">
        <f t="shared" si="31"/>
        <v>2787.8958904109841</v>
      </c>
      <c r="NI16" s="51">
        <f t="shared" si="31"/>
        <v>2786.7616438356417</v>
      </c>
      <c r="NJ16" s="51">
        <f t="shared" si="31"/>
        <v>2785.6273972602994</v>
      </c>
      <c r="NK16" s="51">
        <f t="shared" si="31"/>
        <v>2784.4931506849571</v>
      </c>
      <c r="NL16" s="51">
        <f t="shared" si="31"/>
        <v>2783.3589041096147</v>
      </c>
      <c r="NM16" s="51">
        <f t="shared" si="31"/>
        <v>2782.2246575342724</v>
      </c>
      <c r="NN16" s="51">
        <f t="shared" si="31"/>
        <v>2781.0904109589301</v>
      </c>
      <c r="NO16" s="51">
        <f t="shared" si="31"/>
        <v>2779.9561643835877</v>
      </c>
      <c r="NP16" s="51">
        <f t="shared" si="31"/>
        <v>2778.8219178082454</v>
      </c>
      <c r="NQ16" s="51">
        <f t="shared" si="31"/>
        <v>2777.6876712329031</v>
      </c>
      <c r="NR16" s="51">
        <f t="shared" si="31"/>
        <v>2776.5534246575608</v>
      </c>
      <c r="NS16" s="51">
        <f t="shared" si="31"/>
        <v>2775.4191780822184</v>
      </c>
      <c r="NT16" s="51">
        <f t="shared" si="31"/>
        <v>2774.2849315068761</v>
      </c>
      <c r="NU16" s="51">
        <f t="shared" si="31"/>
        <v>2773.1506849315338</v>
      </c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51"/>
      <c r="SF16" s="51"/>
      <c r="SG16" s="51"/>
      <c r="SH16" s="51"/>
      <c r="SI16" s="51"/>
      <c r="SJ16" s="51"/>
      <c r="SK16" s="51"/>
      <c r="SL16" s="51"/>
      <c r="SM16" s="51"/>
      <c r="SN16" s="51"/>
      <c r="SO16" s="51"/>
      <c r="SP16" s="51"/>
      <c r="SQ16" s="51"/>
      <c r="SR16" s="51"/>
      <c r="SS16" s="51"/>
      <c r="ST16" s="51"/>
      <c r="SU16" s="51"/>
      <c r="SV16" s="51"/>
      <c r="SW16" s="51"/>
      <c r="SX16" s="51"/>
      <c r="SY16" s="51"/>
      <c r="SZ16" s="51"/>
      <c r="TA16" s="51"/>
      <c r="TB16" s="51"/>
      <c r="TC16" s="51"/>
      <c r="TD16" s="51"/>
      <c r="TE16" s="51"/>
      <c r="TF16" s="51"/>
      <c r="TG16" s="51"/>
      <c r="TH16" s="51"/>
      <c r="TI16" s="51"/>
      <c r="TJ16" s="51"/>
      <c r="TK16" s="51"/>
      <c r="TL16" s="51"/>
      <c r="TM16" s="51"/>
      <c r="TN16" s="51"/>
      <c r="TO16" s="51"/>
      <c r="TP16" s="51"/>
      <c r="TQ16" s="51"/>
      <c r="TR16" s="51"/>
      <c r="TS16" s="51"/>
      <c r="TT16" s="51"/>
      <c r="TU16" s="51"/>
      <c r="TV16" s="51"/>
      <c r="TW16" s="51"/>
      <c r="TX16" s="51"/>
      <c r="TY16" s="51"/>
      <c r="TZ16" s="51"/>
      <c r="UA16" s="51"/>
      <c r="UB16" s="51"/>
      <c r="UC16" s="51"/>
      <c r="UD16" s="51"/>
      <c r="UE16" s="51"/>
      <c r="UF16" s="51"/>
      <c r="UG16" s="51"/>
      <c r="UH16" s="51"/>
      <c r="UI16" s="51"/>
      <c r="UJ16" s="51"/>
      <c r="UK16" s="51"/>
      <c r="UL16" s="51"/>
      <c r="UM16" s="51"/>
      <c r="UN16" s="51"/>
      <c r="UO16" s="51"/>
      <c r="UP16" s="51"/>
      <c r="UQ16" s="51"/>
      <c r="UR16" s="51"/>
      <c r="US16" s="51"/>
      <c r="UT16" s="51"/>
      <c r="UU16" s="51"/>
      <c r="UV16" s="51"/>
      <c r="UW16" s="51"/>
      <c r="UX16" s="51"/>
      <c r="UY16" s="51"/>
      <c r="UZ16" s="51"/>
      <c r="VA16" s="51"/>
      <c r="VB16" s="51"/>
      <c r="VC16" s="51"/>
      <c r="VD16" s="51"/>
      <c r="VE16" s="51"/>
      <c r="VF16" s="51"/>
      <c r="VG16" s="51"/>
      <c r="VH16" s="51"/>
      <c r="VI16" s="51"/>
      <c r="VJ16" s="51"/>
      <c r="VK16" s="51"/>
      <c r="VL16" s="51"/>
      <c r="VM16" s="51"/>
      <c r="VN16" s="51"/>
      <c r="VO16" s="51"/>
      <c r="VP16" s="51"/>
      <c r="VQ16" s="51"/>
      <c r="VR16" s="51"/>
      <c r="VS16" s="51"/>
      <c r="VT16" s="51"/>
      <c r="VU16" s="51"/>
      <c r="VV16" s="51"/>
      <c r="VW16" s="51"/>
      <c r="VX16" s="51"/>
      <c r="VY16" s="51"/>
      <c r="VZ16" s="51"/>
      <c r="WA16" s="51"/>
      <c r="WB16" s="51"/>
      <c r="WC16" s="51"/>
      <c r="WD16" s="51"/>
      <c r="WE16" s="51"/>
      <c r="WF16" s="51"/>
      <c r="WG16" s="51"/>
    </row>
    <row r="17" spans="1:605" x14ac:dyDescent="0.25">
      <c r="A17" s="28">
        <v>15</v>
      </c>
      <c r="B17" s="28" t="s">
        <v>42</v>
      </c>
      <c r="C17" s="28" t="s">
        <v>44</v>
      </c>
      <c r="D17" s="28" t="s">
        <v>596</v>
      </c>
      <c r="E17" s="28">
        <v>1</v>
      </c>
      <c r="F17" s="28">
        <v>100</v>
      </c>
      <c r="G17" s="28">
        <v>5</v>
      </c>
      <c r="H17" s="50">
        <f t="shared" si="6"/>
        <v>105</v>
      </c>
      <c r="I17" s="28">
        <v>14</v>
      </c>
      <c r="J17" s="28">
        <v>150</v>
      </c>
      <c r="K17" s="28">
        <f t="shared" si="14"/>
        <v>164</v>
      </c>
      <c r="L17" s="49">
        <f t="shared" si="7"/>
        <v>41894</v>
      </c>
      <c r="M17" s="51">
        <f t="shared" si="8"/>
        <v>200</v>
      </c>
      <c r="N17" s="51">
        <v>3000</v>
      </c>
      <c r="O17" s="28">
        <v>13.8</v>
      </c>
      <c r="P17" s="28">
        <f t="shared" si="27"/>
        <v>2586</v>
      </c>
      <c r="Q17" s="52">
        <f t="shared" si="32"/>
        <v>1019445</v>
      </c>
      <c r="R17" s="52">
        <f t="shared" si="33"/>
        <v>9709</v>
      </c>
      <c r="S17" s="28">
        <f t="shared" si="34"/>
        <v>1.1342465753424658</v>
      </c>
      <c r="GC17" s="51">
        <f>N17</f>
        <v>3000</v>
      </c>
      <c r="GD17" s="51">
        <f>GC17-$S17</f>
        <v>2998.8657534246577</v>
      </c>
      <c r="GE17" s="51">
        <f t="shared" si="28"/>
        <v>2997.7315068493153</v>
      </c>
      <c r="GF17" s="51">
        <f t="shared" si="28"/>
        <v>2996.597260273973</v>
      </c>
      <c r="GG17" s="51">
        <f t="shared" si="28"/>
        <v>2995.4630136986307</v>
      </c>
      <c r="GH17" s="51">
        <f t="shared" si="28"/>
        <v>2994.3287671232883</v>
      </c>
      <c r="GI17" s="51">
        <f t="shared" si="28"/>
        <v>2993.194520547946</v>
      </c>
      <c r="GJ17" s="51">
        <f t="shared" si="28"/>
        <v>2992.0602739726037</v>
      </c>
      <c r="GK17" s="51">
        <f t="shared" si="28"/>
        <v>2990.9260273972614</v>
      </c>
      <c r="GL17" s="51">
        <f t="shared" si="28"/>
        <v>2989.791780821919</v>
      </c>
      <c r="GM17" s="51">
        <f t="shared" si="28"/>
        <v>2988.6575342465767</v>
      </c>
      <c r="GN17" s="51">
        <f t="shared" si="28"/>
        <v>2987.5232876712344</v>
      </c>
      <c r="GO17" s="51">
        <f t="shared" si="28"/>
        <v>2986.389041095892</v>
      </c>
      <c r="GP17" s="51">
        <f t="shared" si="28"/>
        <v>2985.2547945205497</v>
      </c>
      <c r="GQ17" s="51">
        <f t="shared" si="28"/>
        <v>2984.1205479452074</v>
      </c>
      <c r="GR17" s="51">
        <f t="shared" si="28"/>
        <v>2982.986301369865</v>
      </c>
      <c r="GS17" s="51">
        <f t="shared" si="28"/>
        <v>2981.8520547945227</v>
      </c>
      <c r="GT17" s="51">
        <f t="shared" si="28"/>
        <v>2980.7178082191804</v>
      </c>
      <c r="GU17" s="51">
        <f t="shared" si="28"/>
        <v>2979.583561643838</v>
      </c>
      <c r="GV17" s="51">
        <f t="shared" si="28"/>
        <v>2978.4493150684957</v>
      </c>
      <c r="GW17" s="51">
        <f t="shared" si="28"/>
        <v>2977.3150684931534</v>
      </c>
      <c r="GX17" s="51">
        <f t="shared" si="28"/>
        <v>2976.180821917811</v>
      </c>
      <c r="GY17" s="51">
        <f t="shared" si="28"/>
        <v>2975.0465753424687</v>
      </c>
      <c r="GZ17" s="51">
        <f t="shared" si="28"/>
        <v>2973.9123287671264</v>
      </c>
      <c r="HA17" s="51">
        <f t="shared" si="28"/>
        <v>2972.7780821917841</v>
      </c>
      <c r="HB17" s="51">
        <f t="shared" si="28"/>
        <v>2971.6438356164417</v>
      </c>
      <c r="HC17" s="51">
        <f t="shared" si="28"/>
        <v>2970.5095890410994</v>
      </c>
      <c r="HD17" s="51">
        <f t="shared" si="28"/>
        <v>2969.3753424657571</v>
      </c>
      <c r="HE17" s="51">
        <f t="shared" si="28"/>
        <v>2968.2410958904147</v>
      </c>
      <c r="HF17" s="51">
        <f t="shared" si="28"/>
        <v>2967.1068493150724</v>
      </c>
      <c r="HG17" s="51">
        <f t="shared" si="28"/>
        <v>2965.9726027397301</v>
      </c>
      <c r="HH17" s="51">
        <f t="shared" si="28"/>
        <v>2964.8383561643877</v>
      </c>
      <c r="HI17" s="51">
        <f t="shared" si="28"/>
        <v>2963.7041095890454</v>
      </c>
      <c r="HJ17" s="51">
        <f t="shared" si="28"/>
        <v>2962.5698630137031</v>
      </c>
      <c r="HK17" s="51">
        <f t="shared" si="28"/>
        <v>2961.4356164383607</v>
      </c>
      <c r="HL17" s="51">
        <f t="shared" si="28"/>
        <v>2960.3013698630184</v>
      </c>
      <c r="HM17" s="51">
        <f t="shared" si="28"/>
        <v>2959.1671232876761</v>
      </c>
      <c r="HN17" s="51">
        <f t="shared" si="28"/>
        <v>2958.0328767123337</v>
      </c>
      <c r="HO17" s="51">
        <f t="shared" si="28"/>
        <v>2956.8986301369914</v>
      </c>
      <c r="HP17" s="51">
        <f t="shared" si="28"/>
        <v>2955.7643835616491</v>
      </c>
      <c r="HQ17" s="51">
        <f t="shared" si="28"/>
        <v>2954.6301369863068</v>
      </c>
      <c r="HR17" s="51">
        <f t="shared" si="28"/>
        <v>2953.4958904109644</v>
      </c>
      <c r="HS17" s="51">
        <f t="shared" si="28"/>
        <v>2952.3616438356221</v>
      </c>
      <c r="HT17" s="51">
        <f t="shared" si="28"/>
        <v>2951.2273972602798</v>
      </c>
      <c r="HU17" s="51">
        <f t="shared" si="28"/>
        <v>2950.0931506849374</v>
      </c>
      <c r="HV17" s="51">
        <f t="shared" si="28"/>
        <v>2948.9589041095951</v>
      </c>
      <c r="HW17" s="51">
        <f t="shared" si="28"/>
        <v>2947.8246575342528</v>
      </c>
      <c r="HX17" s="51">
        <f t="shared" si="28"/>
        <v>2946.6904109589104</v>
      </c>
      <c r="HY17" s="51">
        <f t="shared" si="28"/>
        <v>2945.5561643835681</v>
      </c>
      <c r="HZ17" s="51">
        <f t="shared" si="28"/>
        <v>2944.4219178082258</v>
      </c>
      <c r="IA17" s="51">
        <f t="shared" si="28"/>
        <v>2943.2876712328834</v>
      </c>
      <c r="IB17" s="51">
        <f t="shared" si="28"/>
        <v>2942.1534246575411</v>
      </c>
      <c r="IC17" s="51">
        <f t="shared" si="28"/>
        <v>2941.0191780821988</v>
      </c>
      <c r="ID17" s="51">
        <f t="shared" si="28"/>
        <v>2939.8849315068564</v>
      </c>
      <c r="IE17" s="51">
        <f t="shared" si="28"/>
        <v>2938.7506849315141</v>
      </c>
      <c r="IF17" s="51">
        <f t="shared" si="28"/>
        <v>2937.6164383561718</v>
      </c>
      <c r="IG17" s="51">
        <f t="shared" si="29"/>
        <v>2936.4821917808295</v>
      </c>
      <c r="IH17" s="51">
        <f t="shared" si="29"/>
        <v>2935.3479452054871</v>
      </c>
      <c r="II17" s="51">
        <f t="shared" si="29"/>
        <v>2934.2136986301448</v>
      </c>
      <c r="IJ17" s="51">
        <f t="shared" si="29"/>
        <v>2933.0794520548025</v>
      </c>
      <c r="IK17" s="51">
        <f t="shared" si="29"/>
        <v>2931.9452054794601</v>
      </c>
      <c r="IL17" s="51">
        <f t="shared" si="29"/>
        <v>2930.8109589041178</v>
      </c>
      <c r="IM17" s="51">
        <f t="shared" si="29"/>
        <v>2929.6767123287755</v>
      </c>
      <c r="IN17" s="51">
        <f t="shared" si="29"/>
        <v>2928.5424657534331</v>
      </c>
      <c r="IO17" s="51">
        <f t="shared" si="29"/>
        <v>2927.4082191780908</v>
      </c>
      <c r="IP17" s="51">
        <f t="shared" si="29"/>
        <v>2926.2739726027485</v>
      </c>
      <c r="IQ17" s="51">
        <f t="shared" si="29"/>
        <v>2925.1397260274061</v>
      </c>
      <c r="IR17" s="51">
        <f t="shared" si="29"/>
        <v>2924.0054794520638</v>
      </c>
      <c r="IS17" s="51">
        <f t="shared" si="29"/>
        <v>2922.8712328767215</v>
      </c>
      <c r="IT17" s="51">
        <f t="shared" si="29"/>
        <v>2921.7369863013791</v>
      </c>
      <c r="IU17" s="51">
        <f t="shared" si="29"/>
        <v>2920.6027397260368</v>
      </c>
      <c r="IV17" s="51">
        <f t="shared" si="29"/>
        <v>2919.4684931506945</v>
      </c>
      <c r="IW17" s="51">
        <f t="shared" si="29"/>
        <v>2918.3342465753522</v>
      </c>
      <c r="IX17" s="51">
        <f t="shared" si="29"/>
        <v>2917.2000000000098</v>
      </c>
      <c r="IY17" s="51">
        <f t="shared" si="29"/>
        <v>2916.0657534246675</v>
      </c>
      <c r="IZ17" s="51">
        <f t="shared" si="29"/>
        <v>2914.9315068493252</v>
      </c>
      <c r="JA17" s="51">
        <f t="shared" si="29"/>
        <v>2913.7972602739828</v>
      </c>
      <c r="JB17" s="51">
        <f t="shared" si="29"/>
        <v>2912.6630136986405</v>
      </c>
      <c r="JC17" s="51">
        <f t="shared" si="29"/>
        <v>2911.5287671232982</v>
      </c>
      <c r="JD17" s="51">
        <f t="shared" si="29"/>
        <v>2910.3945205479558</v>
      </c>
      <c r="JE17" s="51">
        <f t="shared" si="29"/>
        <v>2909.2602739726135</v>
      </c>
      <c r="JF17" s="51">
        <f t="shared" si="29"/>
        <v>2908.1260273972712</v>
      </c>
      <c r="JG17" s="51">
        <f t="shared" si="29"/>
        <v>2906.9917808219288</v>
      </c>
      <c r="JH17" s="51">
        <f t="shared" si="29"/>
        <v>2905.8575342465865</v>
      </c>
      <c r="JI17" s="51">
        <f t="shared" si="29"/>
        <v>2904.7232876712442</v>
      </c>
      <c r="JJ17" s="51">
        <f t="shared" si="29"/>
        <v>2903.5890410959018</v>
      </c>
      <c r="JK17" s="51">
        <f t="shared" si="29"/>
        <v>2902.4547945205595</v>
      </c>
      <c r="JL17" s="51">
        <f t="shared" si="29"/>
        <v>2901.3205479452172</v>
      </c>
      <c r="JM17" s="51">
        <f t="shared" si="29"/>
        <v>2900.1863013698749</v>
      </c>
      <c r="JN17" s="51">
        <f t="shared" si="29"/>
        <v>2899.0520547945325</v>
      </c>
      <c r="JO17" s="51">
        <f t="shared" si="29"/>
        <v>2897.9178082191902</v>
      </c>
      <c r="JP17" s="51">
        <f t="shared" si="29"/>
        <v>2896.7835616438479</v>
      </c>
      <c r="JQ17" s="51">
        <f t="shared" si="29"/>
        <v>2895.6493150685055</v>
      </c>
      <c r="JR17" s="51">
        <f t="shared" si="29"/>
        <v>2894.5150684931632</v>
      </c>
      <c r="JS17" s="51">
        <f t="shared" si="29"/>
        <v>2893.3808219178209</v>
      </c>
      <c r="JT17" s="51">
        <f t="shared" si="29"/>
        <v>2892.2465753424785</v>
      </c>
      <c r="JU17" s="51">
        <f t="shared" si="29"/>
        <v>2891.1123287671362</v>
      </c>
      <c r="JV17" s="51">
        <f t="shared" si="29"/>
        <v>2889.9780821917939</v>
      </c>
      <c r="JW17" s="51">
        <f t="shared" si="29"/>
        <v>2888.8438356164515</v>
      </c>
      <c r="JX17" s="51">
        <f t="shared" si="29"/>
        <v>2887.7095890411092</v>
      </c>
      <c r="JY17" s="51">
        <f t="shared" si="29"/>
        <v>2886.5753424657669</v>
      </c>
      <c r="JZ17" s="51">
        <f t="shared" si="29"/>
        <v>2885.4410958904245</v>
      </c>
      <c r="KA17" s="51">
        <f t="shared" si="29"/>
        <v>2884.3068493150822</v>
      </c>
      <c r="KB17" s="51">
        <f t="shared" si="29"/>
        <v>2883.1726027397399</v>
      </c>
      <c r="KC17" s="51">
        <f t="shared" si="29"/>
        <v>2882.0383561643976</v>
      </c>
      <c r="KD17" s="51">
        <f t="shared" si="29"/>
        <v>2880.9041095890552</v>
      </c>
      <c r="KE17" s="51">
        <f t="shared" si="29"/>
        <v>2879.7698630137129</v>
      </c>
      <c r="KF17" s="51">
        <f t="shared" si="29"/>
        <v>2878.6356164383706</v>
      </c>
      <c r="KG17" s="51">
        <f t="shared" si="29"/>
        <v>2877.5013698630282</v>
      </c>
      <c r="KH17" s="51">
        <f t="shared" si="29"/>
        <v>2876.3671232876859</v>
      </c>
      <c r="KI17" s="51">
        <f t="shared" si="29"/>
        <v>2875.2328767123436</v>
      </c>
      <c r="KJ17" s="51">
        <f t="shared" si="29"/>
        <v>2874.0986301370012</v>
      </c>
      <c r="KK17" s="51">
        <f t="shared" si="29"/>
        <v>2872.9643835616589</v>
      </c>
      <c r="KL17" s="51">
        <f t="shared" si="29"/>
        <v>2871.8301369863166</v>
      </c>
      <c r="KM17" s="51">
        <f t="shared" si="29"/>
        <v>2870.6958904109742</v>
      </c>
      <c r="KN17" s="51">
        <f t="shared" si="29"/>
        <v>2869.5616438356319</v>
      </c>
      <c r="KO17" s="51">
        <f t="shared" si="29"/>
        <v>2868.4273972602896</v>
      </c>
      <c r="KP17" s="51">
        <f t="shared" si="29"/>
        <v>2867.2931506849472</v>
      </c>
      <c r="KQ17" s="51">
        <f t="shared" si="29"/>
        <v>2866.1589041096049</v>
      </c>
      <c r="KR17" s="51">
        <f t="shared" si="29"/>
        <v>2865.0246575342626</v>
      </c>
      <c r="KS17" s="51">
        <f t="shared" si="30"/>
        <v>2863.8904109589203</v>
      </c>
      <c r="KT17" s="51">
        <f t="shared" si="30"/>
        <v>2862.7561643835779</v>
      </c>
      <c r="KU17" s="51">
        <f t="shared" si="30"/>
        <v>2861.6219178082356</v>
      </c>
      <c r="KV17" s="51">
        <f t="shared" si="30"/>
        <v>2860.4876712328933</v>
      </c>
      <c r="KW17" s="51">
        <f t="shared" si="30"/>
        <v>2859.3534246575509</v>
      </c>
      <c r="KX17" s="51">
        <f t="shared" si="30"/>
        <v>2858.2191780822086</v>
      </c>
      <c r="KY17" s="51">
        <f t="shared" si="30"/>
        <v>2857.0849315068663</v>
      </c>
      <c r="KZ17" s="51">
        <f t="shared" si="30"/>
        <v>2855.9506849315239</v>
      </c>
      <c r="LA17" s="51">
        <f t="shared" si="30"/>
        <v>2854.8164383561816</v>
      </c>
      <c r="LB17" s="51">
        <f t="shared" si="30"/>
        <v>2853.6821917808393</v>
      </c>
      <c r="LC17" s="51">
        <f t="shared" si="30"/>
        <v>2852.5479452054969</v>
      </c>
      <c r="LD17" s="51">
        <f t="shared" si="30"/>
        <v>2851.4136986301546</v>
      </c>
      <c r="LE17" s="51">
        <f t="shared" si="30"/>
        <v>2850.2794520548123</v>
      </c>
      <c r="LF17" s="51">
        <f t="shared" si="30"/>
        <v>2849.14520547947</v>
      </c>
      <c r="LG17" s="51">
        <f t="shared" si="30"/>
        <v>2848.0109589041276</v>
      </c>
      <c r="LH17" s="51">
        <f t="shared" si="30"/>
        <v>2846.8767123287853</v>
      </c>
      <c r="LI17" s="51">
        <f t="shared" si="30"/>
        <v>2845.742465753443</v>
      </c>
      <c r="LJ17" s="51">
        <f t="shared" si="30"/>
        <v>2844.6082191781006</v>
      </c>
      <c r="LK17" s="51">
        <f t="shared" si="30"/>
        <v>2843.4739726027583</v>
      </c>
      <c r="LL17" s="51">
        <f t="shared" si="30"/>
        <v>2842.339726027416</v>
      </c>
      <c r="LM17" s="51">
        <f t="shared" si="30"/>
        <v>2841.2054794520736</v>
      </c>
      <c r="LN17" s="51">
        <f t="shared" si="30"/>
        <v>2840.0712328767313</v>
      </c>
      <c r="LO17" s="51">
        <f t="shared" si="30"/>
        <v>2838.936986301389</v>
      </c>
      <c r="LP17" s="51">
        <f t="shared" si="30"/>
        <v>2837.8027397260466</v>
      </c>
      <c r="LQ17" s="51">
        <f t="shared" si="30"/>
        <v>2836.6684931507043</v>
      </c>
      <c r="LR17" s="51">
        <f t="shared" si="30"/>
        <v>2835.534246575362</v>
      </c>
      <c r="LS17" s="51">
        <f t="shared" si="30"/>
        <v>2834.4000000000196</v>
      </c>
      <c r="LT17" s="51">
        <f t="shared" si="30"/>
        <v>2833.2657534246773</v>
      </c>
      <c r="LU17" s="51">
        <f t="shared" si="30"/>
        <v>2832.131506849335</v>
      </c>
      <c r="LV17" s="51">
        <f t="shared" si="30"/>
        <v>2830.9972602739927</v>
      </c>
      <c r="LW17" s="51">
        <f t="shared" si="30"/>
        <v>2829.8630136986503</v>
      </c>
      <c r="LX17" s="51">
        <f t="shared" si="30"/>
        <v>2828.728767123308</v>
      </c>
      <c r="LY17" s="51">
        <f t="shared" si="30"/>
        <v>2827.5945205479657</v>
      </c>
      <c r="LZ17" s="51">
        <f t="shared" si="30"/>
        <v>2826.4602739726233</v>
      </c>
      <c r="MA17" s="51">
        <f t="shared" si="30"/>
        <v>2825.326027397281</v>
      </c>
      <c r="MB17" s="51">
        <f t="shared" si="30"/>
        <v>2824.1917808219387</v>
      </c>
      <c r="MC17" s="51">
        <f t="shared" si="30"/>
        <v>2823.0575342465963</v>
      </c>
      <c r="MD17" s="51">
        <f t="shared" si="30"/>
        <v>2821.923287671254</v>
      </c>
      <c r="ME17" s="51">
        <f t="shared" si="30"/>
        <v>2820.7890410959117</v>
      </c>
      <c r="MF17" s="51">
        <f t="shared" si="30"/>
        <v>2819.6547945205693</v>
      </c>
      <c r="MG17" s="51">
        <f t="shared" si="30"/>
        <v>2818.520547945227</v>
      </c>
      <c r="MH17" s="51">
        <f t="shared" si="30"/>
        <v>2817.3863013698847</v>
      </c>
      <c r="MI17" s="51">
        <f t="shared" si="30"/>
        <v>2816.2520547945423</v>
      </c>
      <c r="MJ17" s="51">
        <f t="shared" si="30"/>
        <v>2815.1178082192</v>
      </c>
      <c r="MK17" s="51">
        <f t="shared" si="30"/>
        <v>2813.9835616438577</v>
      </c>
      <c r="ML17" s="51">
        <f t="shared" si="30"/>
        <v>2812.8493150685154</v>
      </c>
      <c r="MM17" s="51">
        <f t="shared" si="30"/>
        <v>2811.715068493173</v>
      </c>
      <c r="MN17" s="51">
        <f t="shared" si="30"/>
        <v>2810.5808219178307</v>
      </c>
      <c r="MO17" s="51">
        <f t="shared" si="30"/>
        <v>2809.4465753424884</v>
      </c>
      <c r="MP17" s="51">
        <f t="shared" si="30"/>
        <v>2808.312328767146</v>
      </c>
      <c r="MQ17" s="51">
        <f t="shared" si="30"/>
        <v>2807.1780821918037</v>
      </c>
      <c r="MR17" s="51">
        <f t="shared" si="30"/>
        <v>2806.0438356164614</v>
      </c>
      <c r="MS17" s="51">
        <f t="shared" si="30"/>
        <v>2804.909589041119</v>
      </c>
      <c r="MT17" s="51">
        <f t="shared" si="30"/>
        <v>2803.7753424657767</v>
      </c>
      <c r="MU17" s="51">
        <f t="shared" si="30"/>
        <v>2802.6410958904344</v>
      </c>
      <c r="MV17" s="51">
        <f t="shared" si="30"/>
        <v>2801.506849315092</v>
      </c>
      <c r="MW17" s="51">
        <f t="shared" si="30"/>
        <v>2800.3726027397497</v>
      </c>
      <c r="MX17" s="51">
        <f t="shared" si="30"/>
        <v>2799.2383561644074</v>
      </c>
      <c r="MY17" s="51">
        <f t="shared" si="30"/>
        <v>2798.104109589065</v>
      </c>
      <c r="MZ17" s="51">
        <f t="shared" si="30"/>
        <v>2796.9698630137227</v>
      </c>
      <c r="NA17" s="51">
        <f t="shared" si="30"/>
        <v>2795.8356164383804</v>
      </c>
      <c r="NB17" s="51">
        <f t="shared" si="30"/>
        <v>2794.7013698630381</v>
      </c>
      <c r="NC17" s="51">
        <f t="shared" si="30"/>
        <v>2793.5671232876957</v>
      </c>
      <c r="ND17" s="51">
        <f t="shared" si="30"/>
        <v>2792.4328767123534</v>
      </c>
      <c r="NE17" s="51">
        <f t="shared" si="31"/>
        <v>2791.2986301370111</v>
      </c>
      <c r="NF17" s="51">
        <f t="shared" si="31"/>
        <v>2790.1643835616687</v>
      </c>
      <c r="NG17" s="51">
        <f t="shared" si="31"/>
        <v>2789.0301369863264</v>
      </c>
      <c r="NH17" s="51">
        <f t="shared" si="31"/>
        <v>2787.8958904109841</v>
      </c>
      <c r="NI17" s="51">
        <f t="shared" si="31"/>
        <v>2786.7616438356417</v>
      </c>
      <c r="NJ17" s="51">
        <f t="shared" si="31"/>
        <v>2785.6273972602994</v>
      </c>
      <c r="NK17" s="51">
        <f t="shared" si="31"/>
        <v>2784.4931506849571</v>
      </c>
      <c r="NL17" s="51">
        <f t="shared" si="31"/>
        <v>2783.3589041096147</v>
      </c>
      <c r="NM17" s="51">
        <f t="shared" si="31"/>
        <v>2782.2246575342724</v>
      </c>
      <c r="NN17" s="51">
        <f t="shared" si="31"/>
        <v>2781.0904109589301</v>
      </c>
      <c r="NO17" s="51">
        <f t="shared" si="31"/>
        <v>2779.9561643835877</v>
      </c>
      <c r="NP17" s="51">
        <f t="shared" si="31"/>
        <v>2778.8219178082454</v>
      </c>
      <c r="NQ17" s="51">
        <f t="shared" si="31"/>
        <v>2777.6876712329031</v>
      </c>
      <c r="NR17" s="51">
        <f t="shared" si="31"/>
        <v>2776.5534246575608</v>
      </c>
      <c r="NS17" s="51">
        <f t="shared" si="31"/>
        <v>2775.4191780822184</v>
      </c>
      <c r="NT17" s="51">
        <f t="shared" si="31"/>
        <v>2774.2849315068761</v>
      </c>
      <c r="NU17" s="51">
        <f t="shared" si="31"/>
        <v>2773.1506849315338</v>
      </c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51"/>
      <c r="SF17" s="51"/>
      <c r="SG17" s="51"/>
      <c r="SH17" s="51"/>
      <c r="SI17" s="51"/>
      <c r="SJ17" s="51"/>
      <c r="SK17" s="51"/>
      <c r="SL17" s="51"/>
      <c r="SM17" s="51"/>
      <c r="SN17" s="51"/>
      <c r="SO17" s="51"/>
      <c r="SP17" s="51"/>
      <c r="SQ17" s="51"/>
      <c r="SR17" s="51"/>
      <c r="SS17" s="51"/>
      <c r="ST17" s="51"/>
      <c r="SU17" s="51"/>
      <c r="SV17" s="51"/>
      <c r="SW17" s="51"/>
      <c r="SX17" s="51"/>
      <c r="SY17" s="51"/>
      <c r="SZ17" s="51"/>
      <c r="TA17" s="51"/>
      <c r="TB17" s="51"/>
      <c r="TC17" s="51"/>
      <c r="TD17" s="51"/>
      <c r="TE17" s="51"/>
      <c r="TF17" s="51"/>
      <c r="TG17" s="51"/>
      <c r="TH17" s="51"/>
      <c r="TI17" s="51"/>
      <c r="TJ17" s="51"/>
      <c r="TK17" s="51"/>
      <c r="TL17" s="51"/>
      <c r="TM17" s="51"/>
      <c r="TN17" s="51"/>
      <c r="TO17" s="51"/>
      <c r="TP17" s="51"/>
      <c r="TQ17" s="51"/>
      <c r="TR17" s="51"/>
      <c r="TS17" s="51"/>
      <c r="TT17" s="51"/>
      <c r="TU17" s="51"/>
      <c r="TV17" s="51"/>
      <c r="TW17" s="51"/>
      <c r="TX17" s="51"/>
      <c r="TY17" s="51"/>
      <c r="TZ17" s="51"/>
      <c r="UA17" s="51"/>
      <c r="UB17" s="51"/>
      <c r="UC17" s="51"/>
      <c r="UD17" s="51"/>
      <c r="UE17" s="51"/>
      <c r="UF17" s="51"/>
      <c r="UG17" s="51"/>
      <c r="UH17" s="51"/>
      <c r="UI17" s="51"/>
      <c r="UJ17" s="51"/>
      <c r="UK17" s="51"/>
      <c r="UL17" s="51"/>
      <c r="UM17" s="51"/>
      <c r="UN17" s="51"/>
      <c r="UO17" s="51"/>
      <c r="UP17" s="51"/>
      <c r="UQ17" s="51"/>
      <c r="UR17" s="51"/>
      <c r="US17" s="51"/>
      <c r="UT17" s="51"/>
      <c r="UU17" s="51"/>
      <c r="UV17" s="51"/>
      <c r="UW17" s="51"/>
      <c r="UX17" s="51"/>
      <c r="UY17" s="51"/>
      <c r="UZ17" s="51"/>
      <c r="VA17" s="51"/>
      <c r="VB17" s="51"/>
      <c r="VC17" s="51"/>
      <c r="VD17" s="51"/>
      <c r="VE17" s="51"/>
      <c r="VF17" s="51"/>
      <c r="VG17" s="51"/>
      <c r="VH17" s="51"/>
      <c r="VI17" s="51"/>
      <c r="VJ17" s="51"/>
      <c r="VK17" s="51"/>
      <c r="VL17" s="51"/>
      <c r="VM17" s="51"/>
      <c r="VN17" s="51"/>
      <c r="VO17" s="51"/>
      <c r="VP17" s="51"/>
      <c r="VQ17" s="51"/>
      <c r="VR17" s="51"/>
      <c r="VS17" s="51"/>
      <c r="VT17" s="51"/>
      <c r="VU17" s="51"/>
      <c r="VV17" s="51"/>
      <c r="VW17" s="51"/>
      <c r="VX17" s="51"/>
      <c r="VY17" s="51"/>
      <c r="VZ17" s="51"/>
      <c r="WA17" s="51"/>
      <c r="WB17" s="51"/>
      <c r="WC17" s="51"/>
      <c r="WD17" s="51"/>
      <c r="WE17" s="51"/>
      <c r="WF17" s="51"/>
      <c r="WG17" s="51"/>
    </row>
    <row r="18" spans="1:605" x14ac:dyDescent="0.25">
      <c r="A18" s="28">
        <v>16</v>
      </c>
      <c r="B18" s="28" t="s">
        <v>42</v>
      </c>
      <c r="C18" s="28" t="s">
        <v>22</v>
      </c>
      <c r="D18" s="28" t="s">
        <v>597</v>
      </c>
      <c r="E18" s="28">
        <v>1</v>
      </c>
      <c r="F18" s="28">
        <v>50</v>
      </c>
      <c r="G18" s="28">
        <v>5</v>
      </c>
      <c r="H18" s="50">
        <f t="shared" si="6"/>
        <v>55</v>
      </c>
      <c r="I18" s="28">
        <v>14</v>
      </c>
      <c r="J18" s="28">
        <v>100</v>
      </c>
      <c r="K18" s="28">
        <f t="shared" si="14"/>
        <v>114</v>
      </c>
      <c r="L18" s="49">
        <f t="shared" si="7"/>
        <v>41844</v>
      </c>
      <c r="M18" s="51">
        <f t="shared" si="8"/>
        <v>250</v>
      </c>
      <c r="N18" s="51">
        <v>2200</v>
      </c>
      <c r="O18" s="28">
        <v>20.3</v>
      </c>
      <c r="P18" s="28">
        <f t="shared" si="27"/>
        <v>1753.3999999999999</v>
      </c>
      <c r="Q18" s="52">
        <f t="shared" si="32"/>
        <v>721495.5</v>
      </c>
      <c r="R18" s="52">
        <f t="shared" si="33"/>
        <v>13118.1</v>
      </c>
      <c r="S18" s="28">
        <f t="shared" si="34"/>
        <v>1.2235616438356167</v>
      </c>
      <c r="EE18" s="51">
        <f>N18</f>
        <v>2200</v>
      </c>
      <c r="EF18" s="51">
        <f>EE18-$S18</f>
        <v>2198.7764383561644</v>
      </c>
      <c r="EG18" s="51">
        <f t="shared" ref="EG18:EV20" si="35">EF18-$S18</f>
        <v>2197.5528767123287</v>
      </c>
      <c r="EH18" s="51">
        <f t="shared" si="35"/>
        <v>2196.3293150684931</v>
      </c>
      <c r="EI18" s="51">
        <f t="shared" si="35"/>
        <v>2195.1057534246575</v>
      </c>
      <c r="EJ18" s="51">
        <f t="shared" si="35"/>
        <v>2193.8821917808218</v>
      </c>
      <c r="EK18" s="51">
        <f t="shared" si="35"/>
        <v>2192.6586301369862</v>
      </c>
      <c r="EL18" s="51">
        <f t="shared" si="35"/>
        <v>2191.4350684931505</v>
      </c>
      <c r="EM18" s="51">
        <f t="shared" si="35"/>
        <v>2190.2115068493149</v>
      </c>
      <c r="EN18" s="51">
        <f t="shared" si="35"/>
        <v>2188.9879452054793</v>
      </c>
      <c r="EO18" s="51">
        <f t="shared" si="35"/>
        <v>2187.7643835616436</v>
      </c>
      <c r="EP18" s="51">
        <f t="shared" si="35"/>
        <v>2186.540821917808</v>
      </c>
      <c r="EQ18" s="51">
        <f t="shared" si="35"/>
        <v>2185.3172602739724</v>
      </c>
      <c r="ER18" s="51">
        <f t="shared" si="35"/>
        <v>2184.0936986301367</v>
      </c>
      <c r="ES18" s="51">
        <f t="shared" si="35"/>
        <v>2182.8701369863011</v>
      </c>
      <c r="ET18" s="51">
        <f t="shared" si="35"/>
        <v>2181.6465753424654</v>
      </c>
      <c r="EU18" s="51">
        <f>ET18-$S18</f>
        <v>2180.4230136986298</v>
      </c>
      <c r="EV18" s="51">
        <f>EU18-$S18</f>
        <v>2179.1994520547942</v>
      </c>
      <c r="EW18" s="51">
        <f t="shared" ref="EW18:GD20" si="36">EV18-$S18</f>
        <v>2177.9758904109585</v>
      </c>
      <c r="EX18" s="51">
        <f t="shared" si="36"/>
        <v>2176.7523287671229</v>
      </c>
      <c r="EY18" s="51">
        <f t="shared" si="36"/>
        <v>2175.5287671232873</v>
      </c>
      <c r="EZ18" s="51">
        <f t="shared" si="36"/>
        <v>2174.3052054794516</v>
      </c>
      <c r="FA18" s="51">
        <f t="shared" si="36"/>
        <v>2173.081643835616</v>
      </c>
      <c r="FB18" s="51">
        <f t="shared" si="36"/>
        <v>2171.8580821917803</v>
      </c>
      <c r="FC18" s="51">
        <f t="shared" si="36"/>
        <v>2170.6345205479447</v>
      </c>
      <c r="FD18" s="51">
        <f t="shared" si="36"/>
        <v>2169.4109589041091</v>
      </c>
      <c r="FE18" s="51">
        <f t="shared" si="36"/>
        <v>2168.1873972602734</v>
      </c>
      <c r="FF18" s="51">
        <f t="shared" si="36"/>
        <v>2166.9638356164378</v>
      </c>
      <c r="FG18" s="51">
        <f t="shared" si="36"/>
        <v>2165.7402739726022</v>
      </c>
      <c r="FH18" s="51">
        <f t="shared" si="36"/>
        <v>2164.5167123287665</v>
      </c>
      <c r="FI18" s="51">
        <f t="shared" si="36"/>
        <v>2163.2931506849309</v>
      </c>
      <c r="FJ18" s="51">
        <f t="shared" si="36"/>
        <v>2162.0695890410952</v>
      </c>
      <c r="FK18" s="51">
        <f t="shared" si="36"/>
        <v>2160.8460273972596</v>
      </c>
      <c r="FL18" s="51">
        <f t="shared" si="36"/>
        <v>2159.622465753424</v>
      </c>
      <c r="FM18" s="51">
        <f t="shared" si="36"/>
        <v>2158.3989041095883</v>
      </c>
      <c r="FN18" s="51">
        <f t="shared" si="36"/>
        <v>2157.1753424657527</v>
      </c>
      <c r="FO18" s="51">
        <f t="shared" si="36"/>
        <v>2155.9517808219171</v>
      </c>
      <c r="FP18" s="51">
        <f t="shared" si="36"/>
        <v>2154.7282191780814</v>
      </c>
      <c r="FQ18" s="51">
        <f t="shared" si="36"/>
        <v>2153.5046575342458</v>
      </c>
      <c r="FR18" s="51">
        <f t="shared" si="36"/>
        <v>2152.2810958904101</v>
      </c>
      <c r="FS18" s="51">
        <f t="shared" si="36"/>
        <v>2151.0575342465745</v>
      </c>
      <c r="FT18" s="51">
        <f t="shared" si="36"/>
        <v>2149.8339726027389</v>
      </c>
      <c r="FU18" s="51">
        <f t="shared" si="36"/>
        <v>2148.6104109589032</v>
      </c>
      <c r="FV18" s="51">
        <f t="shared" si="36"/>
        <v>2147.3868493150676</v>
      </c>
      <c r="FW18" s="51">
        <f t="shared" si="36"/>
        <v>2146.163287671232</v>
      </c>
      <c r="FX18" s="51">
        <f t="shared" si="36"/>
        <v>2144.9397260273963</v>
      </c>
      <c r="FY18" s="51">
        <f t="shared" si="36"/>
        <v>2143.7161643835607</v>
      </c>
      <c r="FZ18" s="51">
        <f t="shared" si="36"/>
        <v>2142.492602739725</v>
      </c>
      <c r="GA18" s="51">
        <f t="shared" si="36"/>
        <v>2141.2690410958894</v>
      </c>
      <c r="GB18" s="51">
        <f t="shared" si="36"/>
        <v>2140.0454794520538</v>
      </c>
      <c r="GC18" s="51">
        <f t="shared" si="36"/>
        <v>2138.8219178082181</v>
      </c>
      <c r="GD18" s="51">
        <f t="shared" si="36"/>
        <v>2137.5983561643825</v>
      </c>
      <c r="GE18" s="51">
        <f t="shared" si="28"/>
        <v>2136.3747945205469</v>
      </c>
      <c r="GF18" s="51">
        <f t="shared" si="28"/>
        <v>2135.1512328767112</v>
      </c>
      <c r="GG18" s="51">
        <f t="shared" si="28"/>
        <v>2133.9276712328756</v>
      </c>
      <c r="GH18" s="51">
        <f t="shared" si="28"/>
        <v>2132.7041095890399</v>
      </c>
      <c r="GI18" s="51">
        <f t="shared" si="28"/>
        <v>2131.4805479452043</v>
      </c>
      <c r="GJ18" s="51">
        <f t="shared" si="28"/>
        <v>2130.2569863013687</v>
      </c>
      <c r="GK18" s="51">
        <f t="shared" si="28"/>
        <v>2129.033424657533</v>
      </c>
      <c r="GL18" s="51">
        <f t="shared" si="28"/>
        <v>2127.8098630136974</v>
      </c>
      <c r="GM18" s="51">
        <f t="shared" si="28"/>
        <v>2126.5863013698618</v>
      </c>
      <c r="GN18" s="51">
        <f t="shared" si="28"/>
        <v>2125.3627397260261</v>
      </c>
      <c r="GO18" s="51">
        <f t="shared" si="28"/>
        <v>2124.1391780821905</v>
      </c>
      <c r="GP18" s="51">
        <f t="shared" si="28"/>
        <v>2122.9156164383548</v>
      </c>
      <c r="GQ18" s="51">
        <f t="shared" si="28"/>
        <v>2121.6920547945192</v>
      </c>
      <c r="GR18" s="51">
        <f t="shared" si="28"/>
        <v>2120.4684931506836</v>
      </c>
      <c r="GS18" s="51">
        <f t="shared" si="28"/>
        <v>2119.2449315068479</v>
      </c>
      <c r="GT18" s="51">
        <f t="shared" si="28"/>
        <v>2118.0213698630123</v>
      </c>
      <c r="GU18" s="51">
        <f t="shared" si="28"/>
        <v>2116.7978082191767</v>
      </c>
      <c r="GV18" s="51">
        <f t="shared" si="28"/>
        <v>2115.574246575341</v>
      </c>
      <c r="GW18" s="51">
        <f t="shared" si="28"/>
        <v>2114.3506849315054</v>
      </c>
      <c r="GX18" s="51">
        <f t="shared" si="28"/>
        <v>2113.1271232876697</v>
      </c>
      <c r="GY18" s="51">
        <f t="shared" si="28"/>
        <v>2111.9035616438341</v>
      </c>
      <c r="GZ18" s="51">
        <f t="shared" si="28"/>
        <v>2110.6799999999985</v>
      </c>
      <c r="HA18" s="51">
        <f t="shared" si="28"/>
        <v>2109.4564383561628</v>
      </c>
      <c r="HB18" s="51">
        <f t="shared" si="28"/>
        <v>2108.2328767123272</v>
      </c>
      <c r="HC18" s="51">
        <f t="shared" si="28"/>
        <v>2107.0093150684916</v>
      </c>
      <c r="HD18" s="51">
        <f t="shared" si="28"/>
        <v>2105.7857534246559</v>
      </c>
      <c r="HE18" s="51">
        <f t="shared" si="28"/>
        <v>2104.5621917808203</v>
      </c>
      <c r="HF18" s="51">
        <f t="shared" si="28"/>
        <v>2103.3386301369846</v>
      </c>
      <c r="HG18" s="51">
        <f t="shared" si="28"/>
        <v>2102.115068493149</v>
      </c>
      <c r="HH18" s="51">
        <f t="shared" si="28"/>
        <v>2100.8915068493134</v>
      </c>
      <c r="HI18" s="51">
        <f t="shared" si="28"/>
        <v>2099.6679452054777</v>
      </c>
      <c r="HJ18" s="51">
        <f t="shared" si="28"/>
        <v>2098.4443835616421</v>
      </c>
      <c r="HK18" s="51">
        <f t="shared" si="28"/>
        <v>2097.2208219178065</v>
      </c>
      <c r="HL18" s="51">
        <f t="shared" si="28"/>
        <v>2095.9972602739708</v>
      </c>
      <c r="HM18" s="51">
        <f t="shared" si="28"/>
        <v>2094.7736986301352</v>
      </c>
      <c r="HN18" s="51">
        <f t="shared" si="28"/>
        <v>2093.5501369862995</v>
      </c>
      <c r="HO18" s="51">
        <f t="shared" si="28"/>
        <v>2092.3265753424639</v>
      </c>
      <c r="HP18" s="51">
        <f t="shared" si="28"/>
        <v>2091.1030136986283</v>
      </c>
      <c r="HQ18" s="51">
        <f t="shared" si="28"/>
        <v>2089.8794520547926</v>
      </c>
      <c r="HR18" s="51">
        <f t="shared" si="28"/>
        <v>2088.655890410957</v>
      </c>
      <c r="HS18" s="51">
        <f t="shared" si="28"/>
        <v>2087.4323287671214</v>
      </c>
      <c r="HT18" s="51">
        <f t="shared" si="28"/>
        <v>2086.2087671232857</v>
      </c>
      <c r="HU18" s="51">
        <f t="shared" si="28"/>
        <v>2084.9852054794501</v>
      </c>
      <c r="HV18" s="51">
        <f t="shared" si="28"/>
        <v>2083.7616438356144</v>
      </c>
      <c r="HW18" s="51">
        <f t="shared" si="28"/>
        <v>2082.5380821917788</v>
      </c>
      <c r="HX18" s="51">
        <f t="shared" si="28"/>
        <v>2081.3145205479432</v>
      </c>
      <c r="HY18" s="51">
        <f t="shared" si="28"/>
        <v>2080.0909589041075</v>
      </c>
      <c r="HZ18" s="51">
        <f t="shared" si="28"/>
        <v>2078.8673972602719</v>
      </c>
      <c r="IA18" s="51">
        <f t="shared" si="28"/>
        <v>2077.6438356164363</v>
      </c>
      <c r="IB18" s="51">
        <f t="shared" si="28"/>
        <v>2076.4202739726006</v>
      </c>
      <c r="IC18" s="51">
        <f t="shared" si="28"/>
        <v>2075.196712328765</v>
      </c>
      <c r="ID18" s="51">
        <f t="shared" si="28"/>
        <v>2073.9731506849294</v>
      </c>
      <c r="IE18" s="51">
        <f t="shared" si="28"/>
        <v>2072.7495890410937</v>
      </c>
      <c r="IF18" s="51">
        <f t="shared" si="28"/>
        <v>2071.5260273972581</v>
      </c>
      <c r="IG18" s="51">
        <f t="shared" si="29"/>
        <v>2070.3024657534224</v>
      </c>
      <c r="IH18" s="51">
        <f t="shared" si="29"/>
        <v>2069.0789041095868</v>
      </c>
      <c r="II18" s="51">
        <f t="shared" si="29"/>
        <v>2067.8553424657512</v>
      </c>
      <c r="IJ18" s="51">
        <f t="shared" si="29"/>
        <v>2066.6317808219155</v>
      </c>
      <c r="IK18" s="51">
        <f t="shared" si="29"/>
        <v>2065.4082191780799</v>
      </c>
      <c r="IL18" s="51">
        <f t="shared" si="29"/>
        <v>2064.1846575342443</v>
      </c>
      <c r="IM18" s="51">
        <f t="shared" si="29"/>
        <v>2062.9610958904086</v>
      </c>
      <c r="IN18" s="51">
        <f t="shared" si="29"/>
        <v>2061.737534246573</v>
      </c>
      <c r="IO18" s="51">
        <f t="shared" si="29"/>
        <v>2060.5139726027373</v>
      </c>
      <c r="IP18" s="51">
        <f t="shared" si="29"/>
        <v>2059.2904109589017</v>
      </c>
      <c r="IQ18" s="51">
        <f t="shared" si="29"/>
        <v>2058.0668493150661</v>
      </c>
      <c r="IR18" s="51">
        <f t="shared" si="29"/>
        <v>2056.8432876712304</v>
      </c>
      <c r="IS18" s="51">
        <f t="shared" si="29"/>
        <v>2055.6197260273948</v>
      </c>
      <c r="IT18" s="51">
        <f t="shared" si="29"/>
        <v>2054.3961643835592</v>
      </c>
      <c r="IU18" s="51">
        <f t="shared" si="29"/>
        <v>2053.1726027397235</v>
      </c>
      <c r="IV18" s="51">
        <f t="shared" si="29"/>
        <v>2051.9490410958879</v>
      </c>
      <c r="IW18" s="51">
        <f t="shared" si="29"/>
        <v>2050.7254794520522</v>
      </c>
      <c r="IX18" s="51">
        <f t="shared" si="29"/>
        <v>2049.5019178082166</v>
      </c>
      <c r="IY18" s="51">
        <f t="shared" si="29"/>
        <v>2048.278356164381</v>
      </c>
      <c r="IZ18" s="51">
        <f t="shared" si="29"/>
        <v>2047.0547945205453</v>
      </c>
      <c r="JA18" s="51">
        <f t="shared" si="29"/>
        <v>2045.8312328767097</v>
      </c>
      <c r="JB18" s="51">
        <f t="shared" si="29"/>
        <v>2044.6076712328741</v>
      </c>
      <c r="JC18" s="51">
        <f t="shared" si="29"/>
        <v>2043.3841095890384</v>
      </c>
      <c r="JD18" s="51">
        <f t="shared" si="29"/>
        <v>2042.1605479452028</v>
      </c>
      <c r="JE18" s="51">
        <f t="shared" si="29"/>
        <v>2040.9369863013671</v>
      </c>
      <c r="JF18" s="51">
        <f t="shared" si="29"/>
        <v>2039.7134246575315</v>
      </c>
      <c r="JG18" s="51">
        <f t="shared" si="29"/>
        <v>2038.4898630136959</v>
      </c>
      <c r="JH18" s="51">
        <f t="shared" si="29"/>
        <v>2037.2663013698602</v>
      </c>
      <c r="JI18" s="51">
        <f t="shared" si="29"/>
        <v>2036.0427397260246</v>
      </c>
      <c r="JJ18" s="51">
        <f t="shared" si="29"/>
        <v>2034.819178082189</v>
      </c>
      <c r="JK18" s="51">
        <f t="shared" si="29"/>
        <v>2033.5956164383533</v>
      </c>
      <c r="JL18" s="51">
        <f t="shared" si="29"/>
        <v>2032.3720547945177</v>
      </c>
      <c r="JM18" s="51">
        <f t="shared" si="29"/>
        <v>2031.148493150682</v>
      </c>
      <c r="JN18" s="51">
        <f t="shared" si="29"/>
        <v>2029.9249315068464</v>
      </c>
      <c r="JO18" s="51">
        <f t="shared" si="29"/>
        <v>2028.7013698630108</v>
      </c>
      <c r="JP18" s="51">
        <f t="shared" si="29"/>
        <v>2027.4778082191751</v>
      </c>
      <c r="JQ18" s="51">
        <f t="shared" si="29"/>
        <v>2026.2542465753395</v>
      </c>
      <c r="JR18" s="51">
        <f t="shared" si="29"/>
        <v>2025.0306849315039</v>
      </c>
      <c r="JS18" s="51">
        <f t="shared" si="29"/>
        <v>2023.8071232876682</v>
      </c>
      <c r="JT18" s="51">
        <f t="shared" si="29"/>
        <v>2022.5835616438326</v>
      </c>
      <c r="JU18" s="51">
        <f t="shared" si="29"/>
        <v>2021.3599999999969</v>
      </c>
      <c r="JV18" s="51">
        <f t="shared" si="29"/>
        <v>2020.1364383561613</v>
      </c>
      <c r="JW18" s="51">
        <f t="shared" si="29"/>
        <v>2018.9128767123257</v>
      </c>
      <c r="JX18" s="51">
        <f t="shared" si="29"/>
        <v>2017.68931506849</v>
      </c>
      <c r="JY18" s="51">
        <f t="shared" si="29"/>
        <v>2016.4657534246544</v>
      </c>
      <c r="JZ18" s="51">
        <f t="shared" si="29"/>
        <v>2015.2421917808188</v>
      </c>
      <c r="KA18" s="51">
        <f t="shared" si="29"/>
        <v>2014.0186301369831</v>
      </c>
      <c r="KB18" s="51">
        <f t="shared" si="29"/>
        <v>2012.7950684931475</v>
      </c>
      <c r="KC18" s="51">
        <f t="shared" si="29"/>
        <v>2011.5715068493118</v>
      </c>
      <c r="KD18" s="51">
        <f t="shared" si="29"/>
        <v>2010.3479452054762</v>
      </c>
      <c r="KE18" s="51">
        <f t="shared" si="29"/>
        <v>2009.1243835616406</v>
      </c>
      <c r="KF18" s="51">
        <f t="shared" si="29"/>
        <v>2007.9008219178049</v>
      </c>
      <c r="KG18" s="51">
        <f t="shared" si="29"/>
        <v>2006.6772602739693</v>
      </c>
      <c r="KH18" s="51">
        <f t="shared" si="29"/>
        <v>2005.4536986301337</v>
      </c>
      <c r="KI18" s="51">
        <f t="shared" si="29"/>
        <v>2004.230136986298</v>
      </c>
      <c r="KJ18" s="51">
        <f t="shared" si="29"/>
        <v>2003.0065753424624</v>
      </c>
      <c r="KK18" s="51">
        <f t="shared" si="29"/>
        <v>2001.7830136986267</v>
      </c>
      <c r="KL18" s="51">
        <f t="shared" si="29"/>
        <v>2000.5594520547911</v>
      </c>
      <c r="KM18" s="51">
        <f t="shared" si="29"/>
        <v>1999.3358904109555</v>
      </c>
      <c r="KN18" s="51">
        <f t="shared" si="29"/>
        <v>1998.1123287671198</v>
      </c>
      <c r="KO18" s="51">
        <f t="shared" si="29"/>
        <v>1996.8887671232842</v>
      </c>
      <c r="KP18" s="51">
        <f t="shared" si="29"/>
        <v>1995.6652054794486</v>
      </c>
      <c r="KQ18" s="51">
        <f t="shared" si="29"/>
        <v>1994.4416438356129</v>
      </c>
      <c r="KR18" s="51">
        <f t="shared" ref="KR18:LB18" si="37">KQ18-$S18</f>
        <v>1993.2180821917773</v>
      </c>
      <c r="KS18" s="51">
        <f t="shared" si="37"/>
        <v>1991.9945205479416</v>
      </c>
      <c r="KT18" s="51">
        <f t="shared" si="37"/>
        <v>1990.770958904106</v>
      </c>
      <c r="KU18" s="51">
        <f t="shared" si="37"/>
        <v>1989.5473972602704</v>
      </c>
      <c r="KV18" s="51">
        <f t="shared" si="37"/>
        <v>1988.3238356164347</v>
      </c>
      <c r="KW18" s="51">
        <f t="shared" si="37"/>
        <v>1987.1002739725991</v>
      </c>
      <c r="KX18" s="51">
        <f t="shared" si="37"/>
        <v>1985.8767123287635</v>
      </c>
      <c r="KY18" s="51">
        <f t="shared" si="37"/>
        <v>1984.6531506849278</v>
      </c>
      <c r="KZ18" s="51">
        <f t="shared" si="37"/>
        <v>1983.4295890410922</v>
      </c>
      <c r="LA18" s="51">
        <f t="shared" si="37"/>
        <v>1982.2060273972565</v>
      </c>
      <c r="LB18" s="51">
        <f t="shared" si="37"/>
        <v>1980.9824657534209</v>
      </c>
      <c r="LC18" s="51">
        <f t="shared" si="30"/>
        <v>1979.7589041095853</v>
      </c>
      <c r="LD18" s="51">
        <f t="shared" si="30"/>
        <v>1978.5353424657496</v>
      </c>
      <c r="LE18" s="51">
        <f t="shared" si="30"/>
        <v>1977.311780821914</v>
      </c>
      <c r="LF18" s="51">
        <f t="shared" si="30"/>
        <v>1976.0882191780784</v>
      </c>
      <c r="LG18" s="51">
        <f t="shared" si="30"/>
        <v>1974.8646575342427</v>
      </c>
      <c r="LH18" s="51">
        <f t="shared" si="30"/>
        <v>1973.6410958904071</v>
      </c>
      <c r="LI18" s="51">
        <f t="shared" si="30"/>
        <v>1972.4175342465714</v>
      </c>
      <c r="LJ18" s="51">
        <f t="shared" si="30"/>
        <v>1971.1939726027358</v>
      </c>
      <c r="LK18" s="51">
        <f t="shared" si="30"/>
        <v>1969.9704109589002</v>
      </c>
      <c r="LL18" s="51">
        <f t="shared" si="30"/>
        <v>1968.7468493150645</v>
      </c>
      <c r="LM18" s="51">
        <f t="shared" si="30"/>
        <v>1967.5232876712289</v>
      </c>
      <c r="LN18" s="51">
        <f t="shared" si="30"/>
        <v>1966.2997260273933</v>
      </c>
      <c r="LO18" s="51">
        <f t="shared" si="30"/>
        <v>1965.0761643835576</v>
      </c>
      <c r="LP18" s="51">
        <f t="shared" si="30"/>
        <v>1963.852602739722</v>
      </c>
      <c r="LQ18" s="51">
        <f t="shared" si="30"/>
        <v>1962.6290410958864</v>
      </c>
      <c r="LR18" s="51">
        <f t="shared" si="30"/>
        <v>1961.4054794520507</v>
      </c>
      <c r="LS18" s="51">
        <f t="shared" si="30"/>
        <v>1960.1819178082151</v>
      </c>
      <c r="LT18" s="51">
        <f t="shared" si="30"/>
        <v>1958.9583561643794</v>
      </c>
      <c r="LU18" s="51">
        <f t="shared" si="30"/>
        <v>1957.7347945205438</v>
      </c>
      <c r="LV18" s="51">
        <f t="shared" si="30"/>
        <v>1956.5112328767082</v>
      </c>
      <c r="LW18" s="51">
        <f t="shared" si="30"/>
        <v>1955.2876712328725</v>
      </c>
      <c r="LX18" s="51">
        <f t="shared" si="30"/>
        <v>1954.0641095890369</v>
      </c>
      <c r="LY18" s="51">
        <f t="shared" si="30"/>
        <v>1952.8405479452013</v>
      </c>
      <c r="LZ18" s="51">
        <f t="shared" si="30"/>
        <v>1951.6169863013656</v>
      </c>
      <c r="MA18" s="51">
        <f t="shared" si="30"/>
        <v>1950.39342465753</v>
      </c>
      <c r="MB18" s="51">
        <f t="shared" si="30"/>
        <v>1949.1698630136943</v>
      </c>
      <c r="MC18" s="51">
        <f t="shared" si="30"/>
        <v>1947.9463013698587</v>
      </c>
      <c r="MD18" s="51">
        <f t="shared" si="30"/>
        <v>1946.7227397260231</v>
      </c>
      <c r="ME18" s="51">
        <f t="shared" si="30"/>
        <v>1945.4991780821874</v>
      </c>
      <c r="MF18" s="51">
        <f t="shared" si="30"/>
        <v>1944.2756164383518</v>
      </c>
      <c r="MG18" s="51">
        <f t="shared" si="30"/>
        <v>1943.0520547945162</v>
      </c>
      <c r="MH18" s="51">
        <f t="shared" si="30"/>
        <v>1941.8284931506805</v>
      </c>
      <c r="MI18" s="51">
        <f t="shared" si="30"/>
        <v>1940.6049315068449</v>
      </c>
      <c r="MJ18" s="51">
        <f t="shared" si="30"/>
        <v>1939.3813698630092</v>
      </c>
      <c r="MK18" s="51">
        <f t="shared" si="30"/>
        <v>1938.1578082191736</v>
      </c>
      <c r="ML18" s="51">
        <f t="shared" si="30"/>
        <v>1936.934246575338</v>
      </c>
      <c r="MM18" s="51">
        <f t="shared" si="30"/>
        <v>1935.7106849315023</v>
      </c>
      <c r="MN18" s="51">
        <f t="shared" si="30"/>
        <v>1934.4871232876667</v>
      </c>
      <c r="MO18" s="51">
        <f t="shared" si="30"/>
        <v>1933.2635616438311</v>
      </c>
      <c r="MP18" s="51">
        <f t="shared" si="30"/>
        <v>1932.0399999999954</v>
      </c>
      <c r="MQ18" s="51">
        <f t="shared" si="30"/>
        <v>1930.8164383561598</v>
      </c>
      <c r="MR18" s="51">
        <f t="shared" si="30"/>
        <v>1929.5928767123241</v>
      </c>
      <c r="MS18" s="51">
        <f t="shared" si="30"/>
        <v>1928.3693150684885</v>
      </c>
      <c r="MT18" s="51">
        <f t="shared" si="30"/>
        <v>1927.1457534246529</v>
      </c>
      <c r="MU18" s="51">
        <f t="shared" si="30"/>
        <v>1925.9221917808172</v>
      </c>
      <c r="MV18" s="51">
        <f t="shared" si="30"/>
        <v>1924.6986301369816</v>
      </c>
      <c r="MW18" s="51">
        <f t="shared" si="30"/>
        <v>1923.475068493146</v>
      </c>
      <c r="MX18" s="51">
        <f t="shared" si="30"/>
        <v>1922.2515068493103</v>
      </c>
      <c r="MY18" s="51">
        <f t="shared" si="30"/>
        <v>1921.0279452054747</v>
      </c>
      <c r="MZ18" s="51">
        <f t="shared" si="30"/>
        <v>1919.804383561639</v>
      </c>
      <c r="NA18" s="51">
        <f t="shared" si="30"/>
        <v>1918.5808219178034</v>
      </c>
      <c r="NB18" s="51">
        <f t="shared" si="30"/>
        <v>1917.3572602739678</v>
      </c>
      <c r="NC18" s="51">
        <f t="shared" si="30"/>
        <v>1916.1336986301321</v>
      </c>
      <c r="ND18" s="51">
        <f t="shared" si="30"/>
        <v>1914.9101369862965</v>
      </c>
      <c r="NE18" s="51">
        <f t="shared" si="31"/>
        <v>1913.6865753424609</v>
      </c>
      <c r="NF18" s="51">
        <f t="shared" si="31"/>
        <v>1912.4630136986252</v>
      </c>
      <c r="NG18" s="51">
        <f t="shared" si="31"/>
        <v>1911.2394520547896</v>
      </c>
      <c r="NH18" s="51">
        <f t="shared" si="31"/>
        <v>1910.0158904109539</v>
      </c>
      <c r="NI18" s="51">
        <f t="shared" si="31"/>
        <v>1908.7923287671183</v>
      </c>
      <c r="NJ18" s="51">
        <f t="shared" si="31"/>
        <v>1907.5687671232827</v>
      </c>
      <c r="NK18" s="51">
        <f t="shared" si="31"/>
        <v>1906.345205479447</v>
      </c>
      <c r="NL18" s="51">
        <f t="shared" si="31"/>
        <v>1905.1216438356114</v>
      </c>
      <c r="NM18" s="51">
        <f t="shared" si="31"/>
        <v>1903.8980821917758</v>
      </c>
      <c r="NN18" s="51">
        <f t="shared" si="31"/>
        <v>1902.6745205479401</v>
      </c>
      <c r="NO18" s="51">
        <f t="shared" si="31"/>
        <v>1901.4509589041045</v>
      </c>
      <c r="NP18" s="51">
        <f t="shared" si="31"/>
        <v>1900.2273972602688</v>
      </c>
      <c r="NQ18" s="51">
        <f t="shared" si="31"/>
        <v>1899.0038356164332</v>
      </c>
      <c r="NR18" s="51">
        <f t="shared" si="31"/>
        <v>1897.7802739725976</v>
      </c>
      <c r="NS18" s="51">
        <f t="shared" si="31"/>
        <v>1896.5567123287619</v>
      </c>
      <c r="NT18" s="51">
        <f t="shared" si="31"/>
        <v>1895.3331506849263</v>
      </c>
      <c r="NU18" s="51">
        <f t="shared" si="31"/>
        <v>1894.1095890410907</v>
      </c>
      <c r="NV18" s="51"/>
      <c r="NW18" s="51"/>
      <c r="NX18" s="51"/>
      <c r="NY18" s="51"/>
      <c r="NZ18" s="51"/>
      <c r="OA18" s="51"/>
      <c r="OB18" s="51"/>
      <c r="OC18" s="51"/>
      <c r="OD18" s="51"/>
      <c r="OE18" s="51"/>
      <c r="OF18" s="51"/>
      <c r="OG18" s="51"/>
      <c r="OH18" s="51"/>
      <c r="OI18" s="51"/>
      <c r="OJ18" s="51"/>
      <c r="OK18" s="51"/>
      <c r="OL18" s="51"/>
      <c r="OM18" s="51"/>
      <c r="ON18" s="51"/>
      <c r="OO18" s="51"/>
      <c r="OP18" s="51"/>
      <c r="OQ18" s="51"/>
      <c r="OR18" s="51"/>
      <c r="OS18" s="51"/>
      <c r="OT18" s="51"/>
      <c r="OU18" s="51"/>
      <c r="OV18" s="51"/>
      <c r="OW18" s="51"/>
      <c r="OX18" s="51"/>
      <c r="OY18" s="51"/>
      <c r="OZ18" s="51"/>
      <c r="PA18" s="51"/>
      <c r="PB18" s="51"/>
      <c r="PC18" s="51"/>
      <c r="PD18" s="51"/>
      <c r="PE18" s="51"/>
      <c r="PF18" s="51"/>
      <c r="PG18" s="51"/>
      <c r="PH18" s="51"/>
      <c r="PI18" s="51"/>
      <c r="PJ18" s="51"/>
      <c r="PK18" s="51"/>
      <c r="PL18" s="51"/>
      <c r="PM18" s="51"/>
      <c r="PN18" s="51"/>
      <c r="PO18" s="51"/>
      <c r="PP18" s="51"/>
      <c r="PQ18" s="51"/>
      <c r="PR18" s="51"/>
      <c r="PS18" s="51"/>
      <c r="PT18" s="51"/>
      <c r="PU18" s="51"/>
      <c r="PV18" s="51"/>
      <c r="PW18" s="51"/>
      <c r="PX18" s="51"/>
      <c r="PY18" s="51"/>
      <c r="PZ18" s="51"/>
      <c r="QA18" s="51"/>
      <c r="QB18" s="51"/>
      <c r="QC18" s="51"/>
      <c r="QD18" s="51"/>
      <c r="QE18" s="51"/>
      <c r="QF18" s="51"/>
      <c r="QG18" s="51"/>
      <c r="QH18" s="51"/>
      <c r="QI18" s="51"/>
      <c r="QJ18" s="51"/>
      <c r="QK18" s="51"/>
      <c r="QL18" s="51"/>
      <c r="QM18" s="51"/>
      <c r="QN18" s="51"/>
      <c r="QO18" s="51"/>
      <c r="QP18" s="51"/>
      <c r="QQ18" s="51"/>
      <c r="QR18" s="51"/>
      <c r="QS18" s="51"/>
      <c r="QT18" s="51"/>
      <c r="QU18" s="51"/>
      <c r="QV18" s="51"/>
      <c r="QW18" s="51"/>
      <c r="QX18" s="51"/>
      <c r="QY18" s="51"/>
      <c r="QZ18" s="51"/>
      <c r="RA18" s="51"/>
      <c r="RB18" s="51"/>
      <c r="RC18" s="51"/>
      <c r="RD18" s="51"/>
      <c r="RE18" s="51"/>
      <c r="RF18" s="51"/>
      <c r="RG18" s="51"/>
      <c r="RH18" s="51"/>
      <c r="RI18" s="51"/>
      <c r="RJ18" s="51"/>
      <c r="RK18" s="51"/>
      <c r="RL18" s="51"/>
      <c r="RM18" s="51"/>
      <c r="RN18" s="51"/>
      <c r="RO18" s="51"/>
      <c r="RP18" s="51"/>
      <c r="RQ18" s="51"/>
      <c r="RR18" s="51"/>
      <c r="RS18" s="51"/>
      <c r="RT18" s="51"/>
      <c r="RU18" s="51"/>
      <c r="RV18" s="51"/>
      <c r="RW18" s="51"/>
      <c r="RX18" s="51"/>
      <c r="RY18" s="51"/>
      <c r="RZ18" s="51"/>
      <c r="SA18" s="51"/>
      <c r="SB18" s="51"/>
      <c r="SC18" s="51"/>
      <c r="SD18" s="51"/>
      <c r="SE18" s="51"/>
      <c r="SF18" s="51"/>
      <c r="SG18" s="51"/>
      <c r="SH18" s="51"/>
      <c r="SI18" s="51"/>
      <c r="SJ18" s="51"/>
      <c r="SK18" s="51"/>
      <c r="SL18" s="51"/>
      <c r="SM18" s="51"/>
      <c r="SN18" s="51"/>
      <c r="SO18" s="51"/>
      <c r="SP18" s="51"/>
      <c r="SQ18" s="51"/>
      <c r="SR18" s="51"/>
      <c r="SS18" s="51"/>
      <c r="ST18" s="51"/>
      <c r="SU18" s="51"/>
      <c r="SV18" s="51"/>
      <c r="SW18" s="51"/>
      <c r="SX18" s="51"/>
      <c r="SY18" s="51"/>
      <c r="SZ18" s="51"/>
      <c r="TA18" s="51"/>
      <c r="TB18" s="51"/>
      <c r="TC18" s="51"/>
      <c r="TD18" s="51"/>
      <c r="TE18" s="51"/>
      <c r="TF18" s="51"/>
      <c r="TG18" s="51"/>
      <c r="TH18" s="51"/>
      <c r="TI18" s="51"/>
      <c r="TJ18" s="51"/>
      <c r="TK18" s="51"/>
      <c r="TL18" s="51"/>
      <c r="TM18" s="51"/>
      <c r="TN18" s="51"/>
      <c r="TO18" s="51"/>
      <c r="TP18" s="51"/>
      <c r="TQ18" s="51"/>
      <c r="TR18" s="51"/>
      <c r="TS18" s="51"/>
      <c r="TT18" s="51"/>
      <c r="TU18" s="51"/>
      <c r="TV18" s="51"/>
      <c r="TW18" s="51"/>
      <c r="TX18" s="51"/>
      <c r="TY18" s="51"/>
      <c r="TZ18" s="51"/>
      <c r="UA18" s="51"/>
      <c r="UB18" s="51"/>
      <c r="UC18" s="51"/>
      <c r="UD18" s="51"/>
      <c r="UE18" s="51"/>
      <c r="UF18" s="51"/>
      <c r="UG18" s="51"/>
      <c r="UH18" s="51"/>
      <c r="UI18" s="51"/>
      <c r="UJ18" s="51"/>
      <c r="UK18" s="51"/>
      <c r="UL18" s="51"/>
      <c r="UM18" s="51"/>
      <c r="UN18" s="51"/>
      <c r="UO18" s="51"/>
      <c r="UP18" s="51"/>
      <c r="UQ18" s="51"/>
      <c r="UR18" s="51"/>
      <c r="US18" s="51"/>
      <c r="UT18" s="51"/>
      <c r="UU18" s="51"/>
      <c r="UV18" s="51"/>
      <c r="UW18" s="51"/>
      <c r="UX18" s="51"/>
      <c r="UY18" s="51"/>
      <c r="UZ18" s="51"/>
      <c r="VA18" s="51"/>
      <c r="VB18" s="51"/>
      <c r="VC18" s="51"/>
      <c r="VD18" s="51"/>
      <c r="VE18" s="51"/>
      <c r="VF18" s="51"/>
      <c r="VG18" s="51"/>
      <c r="VH18" s="51"/>
      <c r="VI18" s="51"/>
      <c r="VJ18" s="51"/>
      <c r="VK18" s="51"/>
      <c r="VL18" s="51"/>
      <c r="VM18" s="51"/>
      <c r="VN18" s="51"/>
      <c r="VO18" s="51"/>
      <c r="VP18" s="51"/>
      <c r="VQ18" s="51"/>
      <c r="VR18" s="51"/>
      <c r="VS18" s="51"/>
      <c r="VT18" s="51"/>
      <c r="VU18" s="51"/>
      <c r="VV18" s="51"/>
      <c r="VW18" s="51"/>
      <c r="VX18" s="51"/>
      <c r="VY18" s="51"/>
      <c r="VZ18" s="51"/>
      <c r="WA18" s="51"/>
      <c r="WB18" s="51"/>
      <c r="WC18" s="51"/>
      <c r="WD18" s="51"/>
      <c r="WE18" s="51"/>
      <c r="WF18" s="51"/>
      <c r="WG18" s="51"/>
    </row>
    <row r="19" spans="1:605" x14ac:dyDescent="0.25">
      <c r="A19" s="28">
        <v>17</v>
      </c>
      <c r="B19" s="28" t="s">
        <v>42</v>
      </c>
      <c r="C19" s="28" t="s">
        <v>22</v>
      </c>
      <c r="D19" s="28" t="s">
        <v>597</v>
      </c>
      <c r="E19" s="28">
        <v>1</v>
      </c>
      <c r="F19" s="28">
        <v>50</v>
      </c>
      <c r="G19" s="28">
        <v>5</v>
      </c>
      <c r="H19" s="50">
        <f t="shared" si="6"/>
        <v>55</v>
      </c>
      <c r="I19" s="28">
        <v>14</v>
      </c>
      <c r="J19" s="28">
        <v>100</v>
      </c>
      <c r="K19" s="28">
        <f t="shared" si="14"/>
        <v>114</v>
      </c>
      <c r="L19" s="49">
        <f t="shared" si="7"/>
        <v>41844</v>
      </c>
      <c r="M19" s="51">
        <f t="shared" si="8"/>
        <v>250</v>
      </c>
      <c r="N19" s="51">
        <v>2200</v>
      </c>
      <c r="O19" s="28">
        <v>20.3</v>
      </c>
      <c r="P19" s="28">
        <f t="shared" si="27"/>
        <v>1753.3999999999999</v>
      </c>
      <c r="Q19" s="52">
        <f t="shared" si="32"/>
        <v>721495.5</v>
      </c>
      <c r="R19" s="52">
        <f t="shared" si="33"/>
        <v>13118.1</v>
      </c>
      <c r="S19" s="28">
        <f t="shared" si="34"/>
        <v>1.2235616438356167</v>
      </c>
      <c r="EE19" s="51">
        <f>N19</f>
        <v>2200</v>
      </c>
      <c r="EF19" s="51">
        <f>EE19-$S19</f>
        <v>2198.7764383561644</v>
      </c>
      <c r="EG19" s="51">
        <f t="shared" si="35"/>
        <v>2197.5528767123287</v>
      </c>
      <c r="EH19" s="51">
        <f t="shared" si="35"/>
        <v>2196.3293150684931</v>
      </c>
      <c r="EI19" s="51">
        <f t="shared" si="35"/>
        <v>2195.1057534246575</v>
      </c>
      <c r="EJ19" s="51">
        <f t="shared" si="35"/>
        <v>2193.8821917808218</v>
      </c>
      <c r="EK19" s="51">
        <f t="shared" si="35"/>
        <v>2192.6586301369862</v>
      </c>
      <c r="EL19" s="51">
        <f t="shared" si="35"/>
        <v>2191.4350684931505</v>
      </c>
      <c r="EM19" s="51">
        <f t="shared" si="35"/>
        <v>2190.2115068493149</v>
      </c>
      <c r="EN19" s="51">
        <f t="shared" si="35"/>
        <v>2188.9879452054793</v>
      </c>
      <c r="EO19" s="51">
        <f t="shared" si="35"/>
        <v>2187.7643835616436</v>
      </c>
      <c r="EP19" s="51">
        <f t="shared" si="35"/>
        <v>2186.540821917808</v>
      </c>
      <c r="EQ19" s="51">
        <f t="shared" si="35"/>
        <v>2185.3172602739724</v>
      </c>
      <c r="ER19" s="51">
        <f t="shared" si="35"/>
        <v>2184.0936986301367</v>
      </c>
      <c r="ES19" s="51">
        <f t="shared" si="35"/>
        <v>2182.8701369863011</v>
      </c>
      <c r="ET19" s="51">
        <f t="shared" si="35"/>
        <v>2181.6465753424654</v>
      </c>
      <c r="EU19" s="51">
        <f t="shared" si="35"/>
        <v>2180.4230136986298</v>
      </c>
      <c r="EV19" s="51">
        <f t="shared" si="35"/>
        <v>2179.1994520547942</v>
      </c>
      <c r="EW19" s="51">
        <f t="shared" si="36"/>
        <v>2177.9758904109585</v>
      </c>
      <c r="EX19" s="51">
        <f t="shared" si="36"/>
        <v>2176.7523287671229</v>
      </c>
      <c r="EY19" s="51">
        <f t="shared" si="36"/>
        <v>2175.5287671232873</v>
      </c>
      <c r="EZ19" s="51">
        <f t="shared" si="36"/>
        <v>2174.3052054794516</v>
      </c>
      <c r="FA19" s="51">
        <f t="shared" si="36"/>
        <v>2173.081643835616</v>
      </c>
      <c r="FB19" s="51">
        <f t="shared" si="36"/>
        <v>2171.8580821917803</v>
      </c>
      <c r="FC19" s="51">
        <f t="shared" si="36"/>
        <v>2170.6345205479447</v>
      </c>
      <c r="FD19" s="51">
        <f t="shared" si="36"/>
        <v>2169.4109589041091</v>
      </c>
      <c r="FE19" s="51">
        <f t="shared" si="36"/>
        <v>2168.1873972602734</v>
      </c>
      <c r="FF19" s="51">
        <f t="shared" si="36"/>
        <v>2166.9638356164378</v>
      </c>
      <c r="FG19" s="51">
        <f t="shared" si="36"/>
        <v>2165.7402739726022</v>
      </c>
      <c r="FH19" s="51">
        <f t="shared" si="36"/>
        <v>2164.5167123287665</v>
      </c>
      <c r="FI19" s="51">
        <f t="shared" si="36"/>
        <v>2163.2931506849309</v>
      </c>
      <c r="FJ19" s="51">
        <f t="shared" si="36"/>
        <v>2162.0695890410952</v>
      </c>
      <c r="FK19" s="51">
        <f t="shared" si="36"/>
        <v>2160.8460273972596</v>
      </c>
      <c r="FL19" s="51">
        <f t="shared" si="36"/>
        <v>2159.622465753424</v>
      </c>
      <c r="FM19" s="51">
        <f t="shared" si="36"/>
        <v>2158.3989041095883</v>
      </c>
      <c r="FN19" s="51">
        <f t="shared" si="36"/>
        <v>2157.1753424657527</v>
      </c>
      <c r="FO19" s="51">
        <f t="shared" si="36"/>
        <v>2155.9517808219171</v>
      </c>
      <c r="FP19" s="51">
        <f t="shared" si="36"/>
        <v>2154.7282191780814</v>
      </c>
      <c r="FQ19" s="51">
        <f t="shared" si="36"/>
        <v>2153.5046575342458</v>
      </c>
      <c r="FR19" s="51">
        <f t="shared" si="36"/>
        <v>2152.2810958904101</v>
      </c>
      <c r="FS19" s="51">
        <f t="shared" si="36"/>
        <v>2151.0575342465745</v>
      </c>
      <c r="FT19" s="51">
        <f t="shared" si="36"/>
        <v>2149.8339726027389</v>
      </c>
      <c r="FU19" s="51">
        <f t="shared" si="36"/>
        <v>2148.6104109589032</v>
      </c>
      <c r="FV19" s="51">
        <f t="shared" si="36"/>
        <v>2147.3868493150676</v>
      </c>
      <c r="FW19" s="51">
        <f t="shared" si="36"/>
        <v>2146.163287671232</v>
      </c>
      <c r="FX19" s="51">
        <f t="shared" si="36"/>
        <v>2144.9397260273963</v>
      </c>
      <c r="FY19" s="51">
        <f t="shared" si="36"/>
        <v>2143.7161643835607</v>
      </c>
      <c r="FZ19" s="51">
        <f t="shared" si="36"/>
        <v>2142.492602739725</v>
      </c>
      <c r="GA19" s="51">
        <f t="shared" si="36"/>
        <v>2141.2690410958894</v>
      </c>
      <c r="GB19" s="51">
        <f t="shared" si="36"/>
        <v>2140.0454794520538</v>
      </c>
      <c r="GC19" s="51">
        <f t="shared" si="36"/>
        <v>2138.8219178082181</v>
      </c>
      <c r="GD19" s="51">
        <f t="shared" si="36"/>
        <v>2137.5983561643825</v>
      </c>
      <c r="GE19" s="51">
        <f t="shared" si="28"/>
        <v>2136.3747945205469</v>
      </c>
      <c r="GF19" s="51">
        <f t="shared" si="28"/>
        <v>2135.1512328767112</v>
      </c>
      <c r="GG19" s="51">
        <f t="shared" si="28"/>
        <v>2133.9276712328756</v>
      </c>
      <c r="GH19" s="51">
        <f t="shared" si="28"/>
        <v>2132.7041095890399</v>
      </c>
      <c r="GI19" s="51">
        <f t="shared" si="28"/>
        <v>2131.4805479452043</v>
      </c>
      <c r="GJ19" s="51">
        <f t="shared" si="28"/>
        <v>2130.2569863013687</v>
      </c>
      <c r="GK19" s="51">
        <f t="shared" si="28"/>
        <v>2129.033424657533</v>
      </c>
      <c r="GL19" s="51">
        <f t="shared" si="28"/>
        <v>2127.8098630136974</v>
      </c>
      <c r="GM19" s="51">
        <f t="shared" si="28"/>
        <v>2126.5863013698618</v>
      </c>
      <c r="GN19" s="51">
        <f t="shared" si="28"/>
        <v>2125.3627397260261</v>
      </c>
      <c r="GO19" s="51">
        <f t="shared" si="28"/>
        <v>2124.1391780821905</v>
      </c>
      <c r="GP19" s="51">
        <f t="shared" si="28"/>
        <v>2122.9156164383548</v>
      </c>
      <c r="GQ19" s="51">
        <f t="shared" si="28"/>
        <v>2121.6920547945192</v>
      </c>
      <c r="GR19" s="51">
        <f t="shared" si="28"/>
        <v>2120.4684931506836</v>
      </c>
      <c r="GS19" s="51">
        <f t="shared" si="28"/>
        <v>2119.2449315068479</v>
      </c>
      <c r="GT19" s="51">
        <f t="shared" si="28"/>
        <v>2118.0213698630123</v>
      </c>
      <c r="GU19" s="51">
        <f t="shared" si="28"/>
        <v>2116.7978082191767</v>
      </c>
      <c r="GV19" s="51">
        <f t="shared" si="28"/>
        <v>2115.574246575341</v>
      </c>
      <c r="GW19" s="51">
        <f t="shared" si="28"/>
        <v>2114.3506849315054</v>
      </c>
      <c r="GX19" s="51">
        <f t="shared" si="28"/>
        <v>2113.1271232876697</v>
      </c>
      <c r="GY19" s="51">
        <f t="shared" si="28"/>
        <v>2111.9035616438341</v>
      </c>
      <c r="GZ19" s="51">
        <f t="shared" si="28"/>
        <v>2110.6799999999985</v>
      </c>
      <c r="HA19" s="51">
        <f t="shared" si="28"/>
        <v>2109.4564383561628</v>
      </c>
      <c r="HB19" s="51">
        <f t="shared" si="28"/>
        <v>2108.2328767123272</v>
      </c>
      <c r="HC19" s="51">
        <f t="shared" si="28"/>
        <v>2107.0093150684916</v>
      </c>
      <c r="HD19" s="51">
        <f t="shared" si="28"/>
        <v>2105.7857534246559</v>
      </c>
      <c r="HE19" s="51">
        <f t="shared" si="28"/>
        <v>2104.5621917808203</v>
      </c>
      <c r="HF19" s="51">
        <f t="shared" si="28"/>
        <v>2103.3386301369846</v>
      </c>
      <c r="HG19" s="51">
        <f t="shared" si="28"/>
        <v>2102.115068493149</v>
      </c>
      <c r="HH19" s="51">
        <f t="shared" ref="HH19:JS20" si="38">HG19-$S19</f>
        <v>2100.8915068493134</v>
      </c>
      <c r="HI19" s="51">
        <f t="shared" si="38"/>
        <v>2099.6679452054777</v>
      </c>
      <c r="HJ19" s="51">
        <f t="shared" si="38"/>
        <v>2098.4443835616421</v>
      </c>
      <c r="HK19" s="51">
        <f t="shared" si="38"/>
        <v>2097.2208219178065</v>
      </c>
      <c r="HL19" s="51">
        <f t="shared" si="38"/>
        <v>2095.9972602739708</v>
      </c>
      <c r="HM19" s="51">
        <f t="shared" si="38"/>
        <v>2094.7736986301352</v>
      </c>
      <c r="HN19" s="51">
        <f t="shared" si="38"/>
        <v>2093.5501369862995</v>
      </c>
      <c r="HO19" s="51">
        <f t="shared" si="38"/>
        <v>2092.3265753424639</v>
      </c>
      <c r="HP19" s="51">
        <f t="shared" si="38"/>
        <v>2091.1030136986283</v>
      </c>
      <c r="HQ19" s="51">
        <f t="shared" si="38"/>
        <v>2089.8794520547926</v>
      </c>
      <c r="HR19" s="51">
        <f t="shared" si="38"/>
        <v>2088.655890410957</v>
      </c>
      <c r="HS19" s="51">
        <f t="shared" si="38"/>
        <v>2087.4323287671214</v>
      </c>
      <c r="HT19" s="51">
        <f t="shared" si="38"/>
        <v>2086.2087671232857</v>
      </c>
      <c r="HU19" s="51">
        <f t="shared" si="38"/>
        <v>2084.9852054794501</v>
      </c>
      <c r="HV19" s="51">
        <f t="shared" si="38"/>
        <v>2083.7616438356144</v>
      </c>
      <c r="HW19" s="51">
        <f t="shared" si="38"/>
        <v>2082.5380821917788</v>
      </c>
      <c r="HX19" s="51">
        <f t="shared" si="38"/>
        <v>2081.3145205479432</v>
      </c>
      <c r="HY19" s="51">
        <f t="shared" si="38"/>
        <v>2080.0909589041075</v>
      </c>
      <c r="HZ19" s="51">
        <f t="shared" si="38"/>
        <v>2078.8673972602719</v>
      </c>
      <c r="IA19" s="51">
        <f t="shared" si="38"/>
        <v>2077.6438356164363</v>
      </c>
      <c r="IB19" s="51">
        <f t="shared" si="38"/>
        <v>2076.4202739726006</v>
      </c>
      <c r="IC19" s="51">
        <f t="shared" si="38"/>
        <v>2075.196712328765</v>
      </c>
      <c r="ID19" s="51">
        <f t="shared" si="38"/>
        <v>2073.9731506849294</v>
      </c>
      <c r="IE19" s="51">
        <f t="shared" si="38"/>
        <v>2072.7495890410937</v>
      </c>
      <c r="IF19" s="51">
        <f t="shared" si="38"/>
        <v>2071.5260273972581</v>
      </c>
      <c r="IG19" s="51">
        <f t="shared" si="38"/>
        <v>2070.3024657534224</v>
      </c>
      <c r="IH19" s="51">
        <f t="shared" si="38"/>
        <v>2069.0789041095868</v>
      </c>
      <c r="II19" s="51">
        <f t="shared" si="38"/>
        <v>2067.8553424657512</v>
      </c>
      <c r="IJ19" s="51">
        <f t="shared" si="38"/>
        <v>2066.6317808219155</v>
      </c>
      <c r="IK19" s="51">
        <f t="shared" si="38"/>
        <v>2065.4082191780799</v>
      </c>
      <c r="IL19" s="51">
        <f t="shared" si="38"/>
        <v>2064.1846575342443</v>
      </c>
      <c r="IM19" s="51">
        <f t="shared" si="38"/>
        <v>2062.9610958904086</v>
      </c>
      <c r="IN19" s="51">
        <f t="shared" si="38"/>
        <v>2061.737534246573</v>
      </c>
      <c r="IO19" s="51">
        <f t="shared" si="38"/>
        <v>2060.5139726027373</v>
      </c>
      <c r="IP19" s="51">
        <f t="shared" si="38"/>
        <v>2059.2904109589017</v>
      </c>
      <c r="IQ19" s="51">
        <f t="shared" si="38"/>
        <v>2058.0668493150661</v>
      </c>
      <c r="IR19" s="51">
        <f t="shared" si="38"/>
        <v>2056.8432876712304</v>
      </c>
      <c r="IS19" s="51">
        <f t="shared" si="38"/>
        <v>2055.6197260273948</v>
      </c>
      <c r="IT19" s="51">
        <f t="shared" si="38"/>
        <v>2054.3961643835592</v>
      </c>
      <c r="IU19" s="51">
        <f t="shared" si="38"/>
        <v>2053.1726027397235</v>
      </c>
      <c r="IV19" s="51">
        <f t="shared" si="38"/>
        <v>2051.9490410958879</v>
      </c>
      <c r="IW19" s="51">
        <f t="shared" si="38"/>
        <v>2050.7254794520522</v>
      </c>
      <c r="IX19" s="51">
        <f t="shared" si="38"/>
        <v>2049.5019178082166</v>
      </c>
      <c r="IY19" s="51">
        <f t="shared" si="38"/>
        <v>2048.278356164381</v>
      </c>
      <c r="IZ19" s="51">
        <f t="shared" si="38"/>
        <v>2047.0547945205453</v>
      </c>
      <c r="JA19" s="51">
        <f t="shared" si="38"/>
        <v>2045.8312328767097</v>
      </c>
      <c r="JB19" s="51">
        <f t="shared" si="38"/>
        <v>2044.6076712328741</v>
      </c>
      <c r="JC19" s="51">
        <f t="shared" si="38"/>
        <v>2043.3841095890384</v>
      </c>
      <c r="JD19" s="51">
        <f t="shared" si="38"/>
        <v>2042.1605479452028</v>
      </c>
      <c r="JE19" s="51">
        <f t="shared" si="38"/>
        <v>2040.9369863013671</v>
      </c>
      <c r="JF19" s="51">
        <f t="shared" si="38"/>
        <v>2039.7134246575315</v>
      </c>
      <c r="JG19" s="51">
        <f t="shared" si="38"/>
        <v>2038.4898630136959</v>
      </c>
      <c r="JH19" s="51">
        <f t="shared" si="38"/>
        <v>2037.2663013698602</v>
      </c>
      <c r="JI19" s="51">
        <f t="shared" si="38"/>
        <v>2036.0427397260246</v>
      </c>
      <c r="JJ19" s="51">
        <f t="shared" si="38"/>
        <v>2034.819178082189</v>
      </c>
      <c r="JK19" s="51">
        <f t="shared" si="38"/>
        <v>2033.5956164383533</v>
      </c>
      <c r="JL19" s="51">
        <f t="shared" si="38"/>
        <v>2032.3720547945177</v>
      </c>
      <c r="JM19" s="51">
        <f t="shared" si="38"/>
        <v>2031.148493150682</v>
      </c>
      <c r="JN19" s="51">
        <f t="shared" si="38"/>
        <v>2029.9249315068464</v>
      </c>
      <c r="JO19" s="51">
        <f t="shared" si="38"/>
        <v>2028.7013698630108</v>
      </c>
      <c r="JP19" s="51">
        <f t="shared" si="38"/>
        <v>2027.4778082191751</v>
      </c>
      <c r="JQ19" s="51">
        <f t="shared" si="38"/>
        <v>2026.2542465753395</v>
      </c>
      <c r="JR19" s="51">
        <f t="shared" si="38"/>
        <v>2025.0306849315039</v>
      </c>
      <c r="JS19" s="51">
        <f t="shared" si="38"/>
        <v>2023.8071232876682</v>
      </c>
      <c r="JT19" s="51">
        <f t="shared" ref="JT19:LB20" si="39">JS19-$S19</f>
        <v>2022.5835616438326</v>
      </c>
      <c r="JU19" s="51">
        <f t="shared" si="39"/>
        <v>2021.3599999999969</v>
      </c>
      <c r="JV19" s="51">
        <f t="shared" si="39"/>
        <v>2020.1364383561613</v>
      </c>
      <c r="JW19" s="51">
        <f t="shared" si="39"/>
        <v>2018.9128767123257</v>
      </c>
      <c r="JX19" s="51">
        <f t="shared" si="39"/>
        <v>2017.68931506849</v>
      </c>
      <c r="JY19" s="51">
        <f t="shared" si="39"/>
        <v>2016.4657534246544</v>
      </c>
      <c r="JZ19" s="51">
        <f t="shared" si="39"/>
        <v>2015.2421917808188</v>
      </c>
      <c r="KA19" s="51">
        <f t="shared" si="39"/>
        <v>2014.0186301369831</v>
      </c>
      <c r="KB19" s="51">
        <f t="shared" si="39"/>
        <v>2012.7950684931475</v>
      </c>
      <c r="KC19" s="51">
        <f t="shared" si="39"/>
        <v>2011.5715068493118</v>
      </c>
      <c r="KD19" s="51">
        <f t="shared" si="39"/>
        <v>2010.3479452054762</v>
      </c>
      <c r="KE19" s="51">
        <f t="shared" si="39"/>
        <v>2009.1243835616406</v>
      </c>
      <c r="KF19" s="51">
        <f t="shared" si="39"/>
        <v>2007.9008219178049</v>
      </c>
      <c r="KG19" s="51">
        <f t="shared" si="39"/>
        <v>2006.6772602739693</v>
      </c>
      <c r="KH19" s="51">
        <f t="shared" si="39"/>
        <v>2005.4536986301337</v>
      </c>
      <c r="KI19" s="51">
        <f t="shared" si="39"/>
        <v>2004.230136986298</v>
      </c>
      <c r="KJ19" s="51">
        <f t="shared" si="39"/>
        <v>2003.0065753424624</v>
      </c>
      <c r="KK19" s="51">
        <f t="shared" si="39"/>
        <v>2001.7830136986267</v>
      </c>
      <c r="KL19" s="51">
        <f t="shared" si="39"/>
        <v>2000.5594520547911</v>
      </c>
      <c r="KM19" s="51">
        <f t="shared" si="39"/>
        <v>1999.3358904109555</v>
      </c>
      <c r="KN19" s="51">
        <f t="shared" si="39"/>
        <v>1998.1123287671198</v>
      </c>
      <c r="KO19" s="51">
        <f t="shared" si="39"/>
        <v>1996.8887671232842</v>
      </c>
      <c r="KP19" s="51">
        <f t="shared" si="39"/>
        <v>1995.6652054794486</v>
      </c>
      <c r="KQ19" s="51">
        <f t="shared" si="39"/>
        <v>1994.4416438356129</v>
      </c>
      <c r="KR19" s="51">
        <f t="shared" si="39"/>
        <v>1993.2180821917773</v>
      </c>
      <c r="KS19" s="51">
        <f t="shared" si="39"/>
        <v>1991.9945205479416</v>
      </c>
      <c r="KT19" s="51">
        <f t="shared" si="39"/>
        <v>1990.770958904106</v>
      </c>
      <c r="KU19" s="51">
        <f t="shared" si="39"/>
        <v>1989.5473972602704</v>
      </c>
      <c r="KV19" s="51">
        <f t="shared" si="39"/>
        <v>1988.3238356164347</v>
      </c>
      <c r="KW19" s="51">
        <f t="shared" si="39"/>
        <v>1987.1002739725991</v>
      </c>
      <c r="KX19" s="51">
        <f t="shared" si="39"/>
        <v>1985.8767123287635</v>
      </c>
      <c r="KY19" s="51">
        <f t="shared" si="39"/>
        <v>1984.6531506849278</v>
      </c>
      <c r="KZ19" s="51">
        <f t="shared" si="39"/>
        <v>1983.4295890410922</v>
      </c>
      <c r="LA19" s="51">
        <f t="shared" si="39"/>
        <v>1982.2060273972565</v>
      </c>
      <c r="LB19" s="51">
        <f t="shared" si="39"/>
        <v>1980.9824657534209</v>
      </c>
      <c r="LC19" s="51">
        <f t="shared" si="30"/>
        <v>1979.7589041095853</v>
      </c>
      <c r="LD19" s="51">
        <f t="shared" si="30"/>
        <v>1978.5353424657496</v>
      </c>
      <c r="LE19" s="51">
        <f t="shared" si="30"/>
        <v>1977.311780821914</v>
      </c>
      <c r="LF19" s="51">
        <f t="shared" si="30"/>
        <v>1976.0882191780784</v>
      </c>
      <c r="LG19" s="51">
        <f t="shared" si="30"/>
        <v>1974.8646575342427</v>
      </c>
      <c r="LH19" s="51">
        <f t="shared" si="30"/>
        <v>1973.6410958904071</v>
      </c>
      <c r="LI19" s="51">
        <f t="shared" si="30"/>
        <v>1972.4175342465714</v>
      </c>
      <c r="LJ19" s="51">
        <f t="shared" si="30"/>
        <v>1971.1939726027358</v>
      </c>
      <c r="LK19" s="51">
        <f t="shared" si="30"/>
        <v>1969.9704109589002</v>
      </c>
      <c r="LL19" s="51">
        <f t="shared" ref="LL19:NN19" si="40">LK19-$S19</f>
        <v>1968.7468493150645</v>
      </c>
      <c r="LM19" s="51">
        <f t="shared" si="40"/>
        <v>1967.5232876712289</v>
      </c>
      <c r="LN19" s="51">
        <f t="shared" si="40"/>
        <v>1966.2997260273933</v>
      </c>
      <c r="LO19" s="51">
        <f t="shared" si="40"/>
        <v>1965.0761643835576</v>
      </c>
      <c r="LP19" s="51">
        <f t="shared" si="40"/>
        <v>1963.852602739722</v>
      </c>
      <c r="LQ19" s="51">
        <f t="shared" si="40"/>
        <v>1962.6290410958864</v>
      </c>
      <c r="LR19" s="51">
        <f t="shared" si="40"/>
        <v>1961.4054794520507</v>
      </c>
      <c r="LS19" s="51">
        <f t="shared" si="40"/>
        <v>1960.1819178082151</v>
      </c>
      <c r="LT19" s="51">
        <f t="shared" si="40"/>
        <v>1958.9583561643794</v>
      </c>
      <c r="LU19" s="51">
        <f t="shared" si="40"/>
        <v>1957.7347945205438</v>
      </c>
      <c r="LV19" s="51">
        <f t="shared" si="40"/>
        <v>1956.5112328767082</v>
      </c>
      <c r="LW19" s="51">
        <f t="shared" si="40"/>
        <v>1955.2876712328725</v>
      </c>
      <c r="LX19" s="51">
        <f t="shared" si="40"/>
        <v>1954.0641095890369</v>
      </c>
      <c r="LY19" s="51">
        <f t="shared" si="40"/>
        <v>1952.8405479452013</v>
      </c>
      <c r="LZ19" s="51">
        <f t="shared" si="40"/>
        <v>1951.6169863013656</v>
      </c>
      <c r="MA19" s="51">
        <f t="shared" si="40"/>
        <v>1950.39342465753</v>
      </c>
      <c r="MB19" s="51">
        <f t="shared" si="40"/>
        <v>1949.1698630136943</v>
      </c>
      <c r="MC19" s="51">
        <f t="shared" si="40"/>
        <v>1947.9463013698587</v>
      </c>
      <c r="MD19" s="51">
        <f t="shared" si="40"/>
        <v>1946.7227397260231</v>
      </c>
      <c r="ME19" s="51">
        <f t="shared" si="40"/>
        <v>1945.4991780821874</v>
      </c>
      <c r="MF19" s="51">
        <f t="shared" si="40"/>
        <v>1944.2756164383518</v>
      </c>
      <c r="MG19" s="51">
        <f t="shared" si="40"/>
        <v>1943.0520547945162</v>
      </c>
      <c r="MH19" s="51">
        <f t="shared" si="40"/>
        <v>1941.8284931506805</v>
      </c>
      <c r="MI19" s="51">
        <f t="shared" si="40"/>
        <v>1940.6049315068449</v>
      </c>
      <c r="MJ19" s="51">
        <f t="shared" si="40"/>
        <v>1939.3813698630092</v>
      </c>
      <c r="MK19" s="51">
        <f t="shared" si="40"/>
        <v>1938.1578082191736</v>
      </c>
      <c r="ML19" s="51">
        <f t="shared" si="40"/>
        <v>1936.934246575338</v>
      </c>
      <c r="MM19" s="51">
        <f t="shared" si="40"/>
        <v>1935.7106849315023</v>
      </c>
      <c r="MN19" s="51">
        <f t="shared" si="40"/>
        <v>1934.4871232876667</v>
      </c>
      <c r="MO19" s="51">
        <f t="shared" si="40"/>
        <v>1933.2635616438311</v>
      </c>
      <c r="MP19" s="51">
        <f t="shared" si="40"/>
        <v>1932.0399999999954</v>
      </c>
      <c r="MQ19" s="51">
        <f t="shared" si="40"/>
        <v>1930.8164383561598</v>
      </c>
      <c r="MR19" s="51">
        <f t="shared" si="40"/>
        <v>1929.5928767123241</v>
      </c>
      <c r="MS19" s="51">
        <f t="shared" si="40"/>
        <v>1928.3693150684885</v>
      </c>
      <c r="MT19" s="51">
        <f t="shared" si="40"/>
        <v>1927.1457534246529</v>
      </c>
      <c r="MU19" s="51">
        <f t="shared" si="40"/>
        <v>1925.9221917808172</v>
      </c>
      <c r="MV19" s="51">
        <f t="shared" si="40"/>
        <v>1924.6986301369816</v>
      </c>
      <c r="MW19" s="51">
        <f t="shared" si="40"/>
        <v>1923.475068493146</v>
      </c>
      <c r="MX19" s="51">
        <f t="shared" si="40"/>
        <v>1922.2515068493103</v>
      </c>
      <c r="MY19" s="51">
        <f t="shared" si="40"/>
        <v>1921.0279452054747</v>
      </c>
      <c r="MZ19" s="51">
        <f t="shared" si="40"/>
        <v>1919.804383561639</v>
      </c>
      <c r="NA19" s="51">
        <f t="shared" si="40"/>
        <v>1918.5808219178034</v>
      </c>
      <c r="NB19" s="51">
        <f t="shared" si="40"/>
        <v>1917.3572602739678</v>
      </c>
      <c r="NC19" s="51">
        <f t="shared" si="40"/>
        <v>1916.1336986301321</v>
      </c>
      <c r="ND19" s="51">
        <f t="shared" si="40"/>
        <v>1914.9101369862965</v>
      </c>
      <c r="NE19" s="51">
        <f t="shared" si="40"/>
        <v>1913.6865753424609</v>
      </c>
      <c r="NF19" s="51">
        <f t="shared" si="40"/>
        <v>1912.4630136986252</v>
      </c>
      <c r="NG19" s="51">
        <f t="shared" si="40"/>
        <v>1911.2394520547896</v>
      </c>
      <c r="NH19" s="51">
        <f t="shared" si="40"/>
        <v>1910.0158904109539</v>
      </c>
      <c r="NI19" s="51">
        <f t="shared" si="40"/>
        <v>1908.7923287671183</v>
      </c>
      <c r="NJ19" s="51">
        <f t="shared" si="40"/>
        <v>1907.5687671232827</v>
      </c>
      <c r="NK19" s="51">
        <f t="shared" si="40"/>
        <v>1906.345205479447</v>
      </c>
      <c r="NL19" s="51">
        <f t="shared" si="40"/>
        <v>1905.1216438356114</v>
      </c>
      <c r="NM19" s="51">
        <f t="shared" si="40"/>
        <v>1903.8980821917758</v>
      </c>
      <c r="NN19" s="51">
        <f t="shared" si="40"/>
        <v>1902.6745205479401</v>
      </c>
      <c r="NO19" s="51">
        <f t="shared" si="31"/>
        <v>1901.4509589041045</v>
      </c>
      <c r="NP19" s="51">
        <f t="shared" si="31"/>
        <v>1900.2273972602688</v>
      </c>
      <c r="NQ19" s="51">
        <f t="shared" si="31"/>
        <v>1899.0038356164332</v>
      </c>
      <c r="NR19" s="51">
        <f t="shared" si="31"/>
        <v>1897.7802739725976</v>
      </c>
      <c r="NS19" s="51">
        <f t="shared" si="31"/>
        <v>1896.5567123287619</v>
      </c>
      <c r="NT19" s="51">
        <f t="shared" si="31"/>
        <v>1895.3331506849263</v>
      </c>
      <c r="NU19" s="51">
        <f t="shared" si="31"/>
        <v>1894.1095890410907</v>
      </c>
      <c r="NV19" s="51"/>
      <c r="NW19" s="51"/>
      <c r="NX19" s="51"/>
      <c r="NY19" s="51"/>
      <c r="NZ19" s="51"/>
      <c r="OA19" s="51"/>
      <c r="OB19" s="51"/>
      <c r="OC19" s="51"/>
      <c r="OD19" s="51"/>
      <c r="OE19" s="51"/>
      <c r="OF19" s="51"/>
      <c r="OG19" s="51"/>
      <c r="OH19" s="51"/>
      <c r="OI19" s="51"/>
      <c r="OJ19" s="51"/>
      <c r="OK19" s="51"/>
      <c r="OL19" s="51"/>
      <c r="OM19" s="51"/>
      <c r="ON19" s="51"/>
      <c r="OO19" s="51"/>
      <c r="OP19" s="51"/>
      <c r="OQ19" s="51"/>
      <c r="OR19" s="51"/>
      <c r="OS19" s="51"/>
      <c r="OT19" s="51"/>
      <c r="OU19" s="51"/>
      <c r="OV19" s="51"/>
      <c r="OW19" s="51"/>
      <c r="OX19" s="51"/>
      <c r="OY19" s="51"/>
      <c r="OZ19" s="51"/>
      <c r="PA19" s="51"/>
      <c r="PB19" s="51"/>
      <c r="PC19" s="51"/>
      <c r="PD19" s="51"/>
      <c r="PE19" s="51"/>
      <c r="PF19" s="51"/>
      <c r="PG19" s="51"/>
      <c r="PH19" s="51"/>
      <c r="PI19" s="51"/>
      <c r="PJ19" s="51"/>
      <c r="PK19" s="51"/>
      <c r="PL19" s="51"/>
      <c r="PM19" s="51"/>
      <c r="PN19" s="51"/>
      <c r="PO19" s="51"/>
      <c r="PP19" s="51"/>
      <c r="PQ19" s="51"/>
      <c r="PR19" s="51"/>
      <c r="PS19" s="51"/>
      <c r="PT19" s="51"/>
      <c r="PU19" s="51"/>
      <c r="PV19" s="51"/>
      <c r="PW19" s="51"/>
      <c r="PX19" s="51"/>
      <c r="PY19" s="51"/>
      <c r="PZ19" s="51"/>
      <c r="QA19" s="51"/>
      <c r="QB19" s="51"/>
      <c r="QC19" s="51"/>
      <c r="QD19" s="51"/>
      <c r="QE19" s="51"/>
      <c r="QF19" s="51"/>
      <c r="QG19" s="51"/>
      <c r="QH19" s="51"/>
      <c r="QI19" s="51"/>
      <c r="QJ19" s="51"/>
      <c r="QK19" s="51"/>
      <c r="QL19" s="51"/>
      <c r="QM19" s="51"/>
      <c r="QN19" s="51"/>
      <c r="QO19" s="51"/>
      <c r="QP19" s="51"/>
      <c r="QQ19" s="51"/>
      <c r="QR19" s="51"/>
      <c r="QS19" s="51"/>
      <c r="QT19" s="51"/>
      <c r="QU19" s="51"/>
      <c r="QV19" s="51"/>
      <c r="QW19" s="51"/>
      <c r="QX19" s="51"/>
      <c r="QY19" s="51"/>
      <c r="QZ19" s="51"/>
      <c r="RA19" s="51"/>
      <c r="RB19" s="51"/>
      <c r="RC19" s="51"/>
      <c r="RD19" s="51"/>
      <c r="RE19" s="51"/>
      <c r="RF19" s="51"/>
      <c r="RG19" s="51"/>
      <c r="RH19" s="51"/>
      <c r="RI19" s="51"/>
      <c r="RJ19" s="51"/>
      <c r="RK19" s="51"/>
      <c r="RL19" s="51"/>
      <c r="RM19" s="51"/>
      <c r="RN19" s="51"/>
      <c r="RO19" s="51"/>
      <c r="RP19" s="51"/>
      <c r="RQ19" s="51"/>
      <c r="RR19" s="51"/>
      <c r="RS19" s="51"/>
      <c r="RT19" s="51"/>
      <c r="RU19" s="51"/>
      <c r="RV19" s="51"/>
      <c r="RW19" s="51"/>
      <c r="RX19" s="51"/>
      <c r="RY19" s="51"/>
      <c r="RZ19" s="51"/>
      <c r="SA19" s="51"/>
      <c r="SB19" s="51"/>
      <c r="SC19" s="51"/>
      <c r="SD19" s="51"/>
      <c r="SE19" s="51"/>
      <c r="SF19" s="51"/>
      <c r="SG19" s="51"/>
      <c r="SH19" s="51"/>
      <c r="SI19" s="51"/>
      <c r="SJ19" s="51"/>
      <c r="SK19" s="51"/>
      <c r="SL19" s="51"/>
      <c r="SM19" s="51"/>
      <c r="SN19" s="51"/>
      <c r="SO19" s="51"/>
      <c r="SP19" s="51"/>
      <c r="SQ19" s="51"/>
      <c r="SR19" s="51"/>
      <c r="SS19" s="51"/>
      <c r="ST19" s="51"/>
      <c r="SU19" s="51"/>
      <c r="SV19" s="51"/>
      <c r="SW19" s="51"/>
      <c r="SX19" s="51"/>
      <c r="SY19" s="51"/>
      <c r="SZ19" s="51"/>
      <c r="TA19" s="51"/>
      <c r="TB19" s="51"/>
      <c r="TC19" s="51"/>
      <c r="TD19" s="51"/>
      <c r="TE19" s="51"/>
      <c r="TF19" s="51"/>
      <c r="TG19" s="51"/>
      <c r="TH19" s="51"/>
      <c r="TI19" s="51"/>
      <c r="TJ19" s="51"/>
      <c r="TK19" s="51"/>
      <c r="TL19" s="51"/>
      <c r="TM19" s="51"/>
      <c r="TN19" s="51"/>
      <c r="TO19" s="51"/>
      <c r="TP19" s="51"/>
      <c r="TQ19" s="51"/>
      <c r="TR19" s="51"/>
      <c r="TS19" s="51"/>
      <c r="TT19" s="51"/>
      <c r="TU19" s="51"/>
      <c r="TV19" s="51"/>
      <c r="TW19" s="51"/>
      <c r="TX19" s="51"/>
      <c r="TY19" s="51"/>
      <c r="TZ19" s="51"/>
      <c r="UA19" s="51"/>
      <c r="UB19" s="51"/>
      <c r="UC19" s="51"/>
      <c r="UD19" s="51"/>
      <c r="UE19" s="51"/>
      <c r="UF19" s="51"/>
      <c r="UG19" s="51"/>
      <c r="UH19" s="51"/>
      <c r="UI19" s="51"/>
      <c r="UJ19" s="51"/>
      <c r="UK19" s="51"/>
      <c r="UL19" s="51"/>
      <c r="UM19" s="51"/>
      <c r="UN19" s="51"/>
      <c r="UO19" s="51"/>
      <c r="UP19" s="51"/>
      <c r="UQ19" s="51"/>
      <c r="UR19" s="51"/>
      <c r="US19" s="51"/>
      <c r="UT19" s="51"/>
      <c r="UU19" s="51"/>
      <c r="UV19" s="51"/>
      <c r="UW19" s="51"/>
      <c r="UX19" s="51"/>
      <c r="UY19" s="51"/>
      <c r="UZ19" s="51"/>
      <c r="VA19" s="51"/>
      <c r="VB19" s="51"/>
      <c r="VC19" s="51"/>
      <c r="VD19" s="51"/>
      <c r="VE19" s="51"/>
      <c r="VF19" s="51"/>
      <c r="VG19" s="51"/>
      <c r="VH19" s="51"/>
      <c r="VI19" s="51"/>
      <c r="VJ19" s="51"/>
      <c r="VK19" s="51"/>
      <c r="VL19" s="51"/>
      <c r="VM19" s="51"/>
      <c r="VN19" s="51"/>
      <c r="VO19" s="51"/>
      <c r="VP19" s="51"/>
      <c r="VQ19" s="51"/>
      <c r="VR19" s="51"/>
      <c r="VS19" s="51"/>
      <c r="VT19" s="51"/>
      <c r="VU19" s="51"/>
      <c r="VV19" s="51"/>
      <c r="VW19" s="51"/>
      <c r="VX19" s="51"/>
      <c r="VY19" s="51"/>
      <c r="VZ19" s="51"/>
      <c r="WA19" s="51"/>
      <c r="WB19" s="51"/>
      <c r="WC19" s="51"/>
      <c r="WD19" s="51"/>
      <c r="WE19" s="51"/>
      <c r="WF19" s="51"/>
      <c r="WG19" s="51"/>
    </row>
    <row r="20" spans="1:605" x14ac:dyDescent="0.25">
      <c r="A20" s="28">
        <v>18</v>
      </c>
      <c r="B20" s="28" t="s">
        <v>11</v>
      </c>
      <c r="C20" s="28" t="s">
        <v>22</v>
      </c>
      <c r="D20" s="28" t="s">
        <v>597</v>
      </c>
      <c r="E20" s="28">
        <v>1</v>
      </c>
      <c r="F20" s="28">
        <v>50</v>
      </c>
      <c r="G20" s="28">
        <v>5</v>
      </c>
      <c r="H20" s="50">
        <f t="shared" si="6"/>
        <v>55</v>
      </c>
      <c r="I20" s="28">
        <v>14</v>
      </c>
      <c r="J20" s="28">
        <v>100</v>
      </c>
      <c r="K20" s="28">
        <f t="shared" si="14"/>
        <v>114</v>
      </c>
      <c r="L20" s="49">
        <f t="shared" si="7"/>
        <v>41844</v>
      </c>
      <c r="M20" s="51">
        <f t="shared" si="8"/>
        <v>250</v>
      </c>
      <c r="N20" s="51">
        <v>1800</v>
      </c>
      <c r="O20" s="28">
        <v>28.7</v>
      </c>
      <c r="P20" s="28">
        <f t="shared" si="27"/>
        <v>1283.4000000000001</v>
      </c>
      <c r="Q20" s="52">
        <f t="shared" si="32"/>
        <v>562720.5</v>
      </c>
      <c r="R20" s="52">
        <f t="shared" si="33"/>
        <v>10231.281818181818</v>
      </c>
      <c r="S20" s="28">
        <f t="shared" si="34"/>
        <v>1.4153424657534244</v>
      </c>
      <c r="EE20" s="51">
        <f>N20</f>
        <v>1800</v>
      </c>
      <c r="EF20" s="51">
        <f>EE20-$S20</f>
        <v>1798.5846575342466</v>
      </c>
      <c r="EG20" s="51">
        <f t="shared" si="35"/>
        <v>1797.1693150684932</v>
      </c>
      <c r="EH20" s="51">
        <f t="shared" si="35"/>
        <v>1795.7539726027399</v>
      </c>
      <c r="EI20" s="51">
        <f t="shared" si="35"/>
        <v>1794.3386301369865</v>
      </c>
      <c r="EJ20" s="51">
        <f t="shared" si="35"/>
        <v>1792.9232876712331</v>
      </c>
      <c r="EK20" s="51">
        <f t="shared" si="35"/>
        <v>1791.5079452054797</v>
      </c>
      <c r="EL20" s="51">
        <f t="shared" si="35"/>
        <v>1790.0926027397263</v>
      </c>
      <c r="EM20" s="51">
        <f t="shared" si="35"/>
        <v>1788.6772602739729</v>
      </c>
      <c r="EN20" s="51">
        <f t="shared" si="35"/>
        <v>1787.2619178082196</v>
      </c>
      <c r="EO20" s="51">
        <f t="shared" si="35"/>
        <v>1785.8465753424662</v>
      </c>
      <c r="EP20" s="51">
        <f t="shared" si="35"/>
        <v>1784.4312328767128</v>
      </c>
      <c r="EQ20" s="51">
        <f t="shared" si="35"/>
        <v>1783.0158904109594</v>
      </c>
      <c r="ER20" s="51">
        <f t="shared" si="35"/>
        <v>1781.600547945206</v>
      </c>
      <c r="ES20" s="51">
        <f t="shared" si="35"/>
        <v>1780.1852054794526</v>
      </c>
      <c r="ET20" s="51">
        <f t="shared" si="35"/>
        <v>1778.7698630136993</v>
      </c>
      <c r="EU20" s="51">
        <f t="shared" si="35"/>
        <v>1777.3545205479459</v>
      </c>
      <c r="EV20" s="51">
        <f t="shared" si="35"/>
        <v>1775.9391780821925</v>
      </c>
      <c r="EW20" s="51">
        <f t="shared" si="36"/>
        <v>1774.5238356164391</v>
      </c>
      <c r="EX20" s="51">
        <f t="shared" si="36"/>
        <v>1773.1084931506857</v>
      </c>
      <c r="EY20" s="51">
        <f t="shared" si="36"/>
        <v>1771.6931506849323</v>
      </c>
      <c r="EZ20" s="51">
        <f t="shared" si="36"/>
        <v>1770.277808219179</v>
      </c>
      <c r="FA20" s="51">
        <f t="shared" si="36"/>
        <v>1768.8624657534256</v>
      </c>
      <c r="FB20" s="51">
        <f t="shared" si="36"/>
        <v>1767.4471232876722</v>
      </c>
      <c r="FC20" s="51">
        <f t="shared" si="36"/>
        <v>1766.0317808219188</v>
      </c>
      <c r="FD20" s="51">
        <f t="shared" si="36"/>
        <v>1764.6164383561654</v>
      </c>
      <c r="FE20" s="51">
        <f t="shared" si="36"/>
        <v>1763.201095890412</v>
      </c>
      <c r="FF20" s="51">
        <f t="shared" si="36"/>
        <v>1761.7857534246587</v>
      </c>
      <c r="FG20" s="51">
        <f t="shared" si="36"/>
        <v>1760.3704109589053</v>
      </c>
      <c r="FH20" s="51">
        <f t="shared" si="36"/>
        <v>1758.9550684931519</v>
      </c>
      <c r="FI20" s="51">
        <f t="shared" si="36"/>
        <v>1757.5397260273985</v>
      </c>
      <c r="FJ20" s="51">
        <f t="shared" si="36"/>
        <v>1756.1243835616451</v>
      </c>
      <c r="FK20" s="51">
        <f t="shared" si="36"/>
        <v>1754.7090410958917</v>
      </c>
      <c r="FL20" s="51">
        <f t="shared" si="36"/>
        <v>1753.2936986301384</v>
      </c>
      <c r="FM20" s="51">
        <f t="shared" si="36"/>
        <v>1751.878356164385</v>
      </c>
      <c r="FN20" s="51">
        <f t="shared" si="36"/>
        <v>1750.4630136986316</v>
      </c>
      <c r="FO20" s="51">
        <f t="shared" si="36"/>
        <v>1749.0476712328782</v>
      </c>
      <c r="FP20" s="51">
        <f t="shared" si="36"/>
        <v>1747.6323287671248</v>
      </c>
      <c r="FQ20" s="51">
        <f t="shared" si="36"/>
        <v>1746.2169863013714</v>
      </c>
      <c r="FR20" s="51">
        <f t="shared" si="36"/>
        <v>1744.8016438356181</v>
      </c>
      <c r="FS20" s="51">
        <f t="shared" si="36"/>
        <v>1743.3863013698647</v>
      </c>
      <c r="FT20" s="51">
        <f t="shared" si="36"/>
        <v>1741.9709589041113</v>
      </c>
      <c r="FU20" s="51">
        <f t="shared" si="36"/>
        <v>1740.5556164383579</v>
      </c>
      <c r="FV20" s="51">
        <f t="shared" si="36"/>
        <v>1739.1402739726045</v>
      </c>
      <c r="FW20" s="51">
        <f t="shared" si="36"/>
        <v>1737.7249315068511</v>
      </c>
      <c r="FX20" s="51">
        <f t="shared" si="36"/>
        <v>1736.3095890410978</v>
      </c>
      <c r="FY20" s="51">
        <f t="shared" si="36"/>
        <v>1734.8942465753444</v>
      </c>
      <c r="FZ20" s="51">
        <f t="shared" si="36"/>
        <v>1733.478904109591</v>
      </c>
      <c r="GA20" s="51">
        <f t="shared" si="36"/>
        <v>1732.0635616438376</v>
      </c>
      <c r="GB20" s="51">
        <f t="shared" si="36"/>
        <v>1730.6482191780842</v>
      </c>
      <c r="GC20" s="51">
        <f t="shared" si="36"/>
        <v>1729.2328767123308</v>
      </c>
      <c r="GD20" s="51">
        <f t="shared" si="36"/>
        <v>1727.8175342465775</v>
      </c>
      <c r="GE20" s="51">
        <f t="shared" ref="GE20:IP20" si="41">GD20-$S20</f>
        <v>1726.4021917808241</v>
      </c>
      <c r="GF20" s="51">
        <f t="shared" si="41"/>
        <v>1724.9868493150707</v>
      </c>
      <c r="GG20" s="51">
        <f t="shared" si="41"/>
        <v>1723.5715068493173</v>
      </c>
      <c r="GH20" s="51">
        <f t="shared" si="41"/>
        <v>1722.1561643835639</v>
      </c>
      <c r="GI20" s="51">
        <f t="shared" si="41"/>
        <v>1720.7408219178105</v>
      </c>
      <c r="GJ20" s="51">
        <f t="shared" si="41"/>
        <v>1719.3254794520572</v>
      </c>
      <c r="GK20" s="51">
        <f t="shared" si="41"/>
        <v>1717.9101369863038</v>
      </c>
      <c r="GL20" s="51">
        <f t="shared" si="41"/>
        <v>1716.4947945205504</v>
      </c>
      <c r="GM20" s="51">
        <f t="shared" si="41"/>
        <v>1715.079452054797</v>
      </c>
      <c r="GN20" s="51">
        <f t="shared" si="41"/>
        <v>1713.6641095890436</v>
      </c>
      <c r="GO20" s="51">
        <f t="shared" si="41"/>
        <v>1712.2487671232902</v>
      </c>
      <c r="GP20" s="51">
        <f t="shared" si="41"/>
        <v>1710.8334246575369</v>
      </c>
      <c r="GQ20" s="51">
        <f t="shared" si="41"/>
        <v>1709.4180821917835</v>
      </c>
      <c r="GR20" s="51">
        <f t="shared" si="41"/>
        <v>1708.0027397260301</v>
      </c>
      <c r="GS20" s="51">
        <f t="shared" si="41"/>
        <v>1706.5873972602767</v>
      </c>
      <c r="GT20" s="51">
        <f t="shared" si="41"/>
        <v>1705.1720547945233</v>
      </c>
      <c r="GU20" s="51">
        <f t="shared" si="41"/>
        <v>1703.7567123287699</v>
      </c>
      <c r="GV20" s="51">
        <f t="shared" si="41"/>
        <v>1702.3413698630166</v>
      </c>
      <c r="GW20" s="51">
        <f t="shared" si="41"/>
        <v>1700.9260273972632</v>
      </c>
      <c r="GX20" s="51">
        <f t="shared" si="41"/>
        <v>1699.5106849315098</v>
      </c>
      <c r="GY20" s="51">
        <f t="shared" si="41"/>
        <v>1698.0953424657564</v>
      </c>
      <c r="GZ20" s="51">
        <f t="shared" si="41"/>
        <v>1696.680000000003</v>
      </c>
      <c r="HA20" s="51">
        <f t="shared" si="41"/>
        <v>1695.2646575342496</v>
      </c>
      <c r="HB20" s="51">
        <f t="shared" si="41"/>
        <v>1693.8493150684963</v>
      </c>
      <c r="HC20" s="51">
        <f t="shared" si="41"/>
        <v>1692.4339726027429</v>
      </c>
      <c r="HD20" s="51">
        <f t="shared" si="41"/>
        <v>1691.0186301369895</v>
      </c>
      <c r="HE20" s="51">
        <f t="shared" si="41"/>
        <v>1689.6032876712361</v>
      </c>
      <c r="HF20" s="51">
        <f t="shared" si="41"/>
        <v>1688.1879452054827</v>
      </c>
      <c r="HG20" s="51">
        <f t="shared" si="41"/>
        <v>1686.7726027397293</v>
      </c>
      <c r="HH20" s="51">
        <f t="shared" si="41"/>
        <v>1685.357260273976</v>
      </c>
      <c r="HI20" s="51">
        <f t="shared" si="41"/>
        <v>1683.9419178082226</v>
      </c>
      <c r="HJ20" s="51">
        <f t="shared" si="41"/>
        <v>1682.5265753424692</v>
      </c>
      <c r="HK20" s="51">
        <f t="shared" si="41"/>
        <v>1681.1112328767158</v>
      </c>
      <c r="HL20" s="51">
        <f t="shared" si="41"/>
        <v>1679.6958904109624</v>
      </c>
      <c r="HM20" s="51">
        <f t="shared" si="41"/>
        <v>1678.280547945209</v>
      </c>
      <c r="HN20" s="51">
        <f t="shared" si="41"/>
        <v>1676.8652054794557</v>
      </c>
      <c r="HO20" s="51">
        <f t="shared" si="41"/>
        <v>1675.4498630137023</v>
      </c>
      <c r="HP20" s="51">
        <f t="shared" si="41"/>
        <v>1674.0345205479489</v>
      </c>
      <c r="HQ20" s="51">
        <f t="shared" si="41"/>
        <v>1672.6191780821955</v>
      </c>
      <c r="HR20" s="51">
        <f t="shared" si="41"/>
        <v>1671.2038356164421</v>
      </c>
      <c r="HS20" s="51">
        <f t="shared" si="41"/>
        <v>1669.7884931506887</v>
      </c>
      <c r="HT20" s="51">
        <f t="shared" si="41"/>
        <v>1668.3731506849354</v>
      </c>
      <c r="HU20" s="51">
        <f t="shared" si="41"/>
        <v>1666.957808219182</v>
      </c>
      <c r="HV20" s="51">
        <f t="shared" si="41"/>
        <v>1665.5424657534286</v>
      </c>
      <c r="HW20" s="51">
        <f t="shared" si="41"/>
        <v>1664.1271232876752</v>
      </c>
      <c r="HX20" s="51">
        <f t="shared" si="41"/>
        <v>1662.7117808219218</v>
      </c>
      <c r="HY20" s="51">
        <f t="shared" si="41"/>
        <v>1661.2964383561684</v>
      </c>
      <c r="HZ20" s="51">
        <f t="shared" si="41"/>
        <v>1659.8810958904151</v>
      </c>
      <c r="IA20" s="51">
        <f t="shared" si="41"/>
        <v>1658.4657534246617</v>
      </c>
      <c r="IB20" s="51">
        <f t="shared" si="41"/>
        <v>1657.0504109589083</v>
      </c>
      <c r="IC20" s="51">
        <f t="shared" si="41"/>
        <v>1655.6350684931549</v>
      </c>
      <c r="ID20" s="51">
        <f t="shared" si="41"/>
        <v>1654.2197260274015</v>
      </c>
      <c r="IE20" s="51">
        <f t="shared" si="41"/>
        <v>1652.8043835616481</v>
      </c>
      <c r="IF20" s="51">
        <f t="shared" si="41"/>
        <v>1651.3890410958948</v>
      </c>
      <c r="IG20" s="51">
        <f t="shared" si="41"/>
        <v>1649.9736986301414</v>
      </c>
      <c r="IH20" s="51">
        <f t="shared" si="41"/>
        <v>1648.558356164388</v>
      </c>
      <c r="II20" s="51">
        <f t="shared" si="41"/>
        <v>1647.1430136986346</v>
      </c>
      <c r="IJ20" s="51">
        <f t="shared" si="41"/>
        <v>1645.7276712328812</v>
      </c>
      <c r="IK20" s="51">
        <f t="shared" si="41"/>
        <v>1644.3123287671278</v>
      </c>
      <c r="IL20" s="51">
        <f t="shared" si="41"/>
        <v>1642.8969863013745</v>
      </c>
      <c r="IM20" s="51">
        <f t="shared" si="41"/>
        <v>1641.4816438356211</v>
      </c>
      <c r="IN20" s="51">
        <f t="shared" si="41"/>
        <v>1640.0663013698677</v>
      </c>
      <c r="IO20" s="51">
        <f t="shared" si="41"/>
        <v>1638.6509589041143</v>
      </c>
      <c r="IP20" s="51">
        <f t="shared" si="41"/>
        <v>1637.2356164383609</v>
      </c>
      <c r="IQ20" s="51">
        <f t="shared" si="38"/>
        <v>1635.8202739726075</v>
      </c>
      <c r="IR20" s="51">
        <f t="shared" si="38"/>
        <v>1634.4049315068542</v>
      </c>
      <c r="IS20" s="51">
        <f t="shared" si="38"/>
        <v>1632.9895890411008</v>
      </c>
      <c r="IT20" s="51">
        <f t="shared" si="38"/>
        <v>1631.5742465753474</v>
      </c>
      <c r="IU20" s="51">
        <f t="shared" si="38"/>
        <v>1630.158904109594</v>
      </c>
      <c r="IV20" s="51">
        <f t="shared" si="38"/>
        <v>1628.7435616438406</v>
      </c>
      <c r="IW20" s="51">
        <f t="shared" si="38"/>
        <v>1627.3282191780872</v>
      </c>
      <c r="IX20" s="51">
        <f t="shared" si="38"/>
        <v>1625.9128767123339</v>
      </c>
      <c r="IY20" s="51">
        <f t="shared" si="38"/>
        <v>1624.4975342465805</v>
      </c>
      <c r="IZ20" s="51">
        <f t="shared" si="38"/>
        <v>1623.0821917808271</v>
      </c>
      <c r="JA20" s="51">
        <f t="shared" si="38"/>
        <v>1621.6668493150737</v>
      </c>
      <c r="JB20" s="51">
        <f t="shared" si="38"/>
        <v>1620.2515068493203</v>
      </c>
      <c r="JC20" s="51">
        <f t="shared" si="38"/>
        <v>1618.8361643835669</v>
      </c>
      <c r="JD20" s="51">
        <f t="shared" si="38"/>
        <v>1617.4208219178136</v>
      </c>
      <c r="JE20" s="51">
        <f t="shared" si="38"/>
        <v>1616.0054794520602</v>
      </c>
      <c r="JF20" s="51">
        <f t="shared" si="38"/>
        <v>1614.5901369863068</v>
      </c>
      <c r="JG20" s="51">
        <f t="shared" si="38"/>
        <v>1613.1747945205534</v>
      </c>
      <c r="JH20" s="51">
        <f t="shared" si="38"/>
        <v>1611.7594520548</v>
      </c>
      <c r="JI20" s="51">
        <f t="shared" si="38"/>
        <v>1610.3441095890466</v>
      </c>
      <c r="JJ20" s="51">
        <f t="shared" si="38"/>
        <v>1608.9287671232933</v>
      </c>
      <c r="JK20" s="51">
        <f t="shared" si="38"/>
        <v>1607.5134246575399</v>
      </c>
      <c r="JL20" s="51">
        <f t="shared" si="38"/>
        <v>1606.0980821917865</v>
      </c>
      <c r="JM20" s="51">
        <f t="shared" si="38"/>
        <v>1604.6827397260331</v>
      </c>
      <c r="JN20" s="51">
        <f t="shared" si="38"/>
        <v>1603.2673972602797</v>
      </c>
      <c r="JO20" s="51">
        <f t="shared" si="38"/>
        <v>1601.8520547945263</v>
      </c>
      <c r="JP20" s="51">
        <f t="shared" si="38"/>
        <v>1600.436712328773</v>
      </c>
      <c r="JQ20" s="51">
        <f t="shared" si="38"/>
        <v>1599.0213698630196</v>
      </c>
      <c r="JR20" s="51">
        <f t="shared" si="38"/>
        <v>1597.6060273972662</v>
      </c>
      <c r="JS20" s="51">
        <f t="shared" si="38"/>
        <v>1596.1906849315128</v>
      </c>
      <c r="JT20" s="51">
        <f t="shared" si="39"/>
        <v>1594.7753424657594</v>
      </c>
      <c r="JU20" s="51">
        <f t="shared" si="39"/>
        <v>1593.360000000006</v>
      </c>
      <c r="JV20" s="51">
        <f t="shared" si="39"/>
        <v>1591.9446575342527</v>
      </c>
      <c r="JW20" s="51">
        <f t="shared" si="39"/>
        <v>1590.5293150684993</v>
      </c>
      <c r="JX20" s="51">
        <f t="shared" si="39"/>
        <v>1589.1139726027459</v>
      </c>
      <c r="JY20" s="51">
        <f t="shared" si="39"/>
        <v>1587.6986301369925</v>
      </c>
      <c r="JZ20" s="51">
        <f t="shared" si="39"/>
        <v>1586.2832876712391</v>
      </c>
      <c r="KA20" s="51">
        <f t="shared" si="39"/>
        <v>1584.8679452054857</v>
      </c>
      <c r="KB20" s="51">
        <f t="shared" si="39"/>
        <v>1583.4526027397324</v>
      </c>
      <c r="KC20" s="51">
        <f t="shared" si="39"/>
        <v>1582.037260273979</v>
      </c>
      <c r="KD20" s="51">
        <f t="shared" si="39"/>
        <v>1580.6219178082256</v>
      </c>
      <c r="KE20" s="51">
        <f t="shared" si="39"/>
        <v>1579.2065753424722</v>
      </c>
      <c r="KF20" s="51">
        <f t="shared" si="39"/>
        <v>1577.7912328767188</v>
      </c>
      <c r="KG20" s="51">
        <f t="shared" si="39"/>
        <v>1576.3758904109654</v>
      </c>
      <c r="KH20" s="51">
        <f t="shared" si="39"/>
        <v>1574.9605479452121</v>
      </c>
      <c r="KI20" s="51">
        <f t="shared" si="39"/>
        <v>1573.5452054794587</v>
      </c>
      <c r="KJ20" s="51">
        <f t="shared" si="39"/>
        <v>1572.1298630137053</v>
      </c>
      <c r="KK20" s="51">
        <f t="shared" si="39"/>
        <v>1570.7145205479519</v>
      </c>
      <c r="KL20" s="51">
        <f t="shared" si="39"/>
        <v>1569.2991780821985</v>
      </c>
      <c r="KM20" s="51">
        <f t="shared" si="39"/>
        <v>1567.8838356164451</v>
      </c>
      <c r="KN20" s="51">
        <f t="shared" si="39"/>
        <v>1566.4684931506918</v>
      </c>
      <c r="KO20" s="51">
        <f t="shared" si="39"/>
        <v>1565.0531506849384</v>
      </c>
      <c r="KP20" s="51">
        <f t="shared" si="39"/>
        <v>1563.637808219185</v>
      </c>
      <c r="KQ20" s="51">
        <f t="shared" si="39"/>
        <v>1562.2224657534316</v>
      </c>
      <c r="KR20" s="51">
        <f t="shared" si="39"/>
        <v>1560.8071232876782</v>
      </c>
      <c r="KS20" s="51">
        <f t="shared" si="39"/>
        <v>1559.3917808219248</v>
      </c>
      <c r="KT20" s="51">
        <f t="shared" si="39"/>
        <v>1557.9764383561715</v>
      </c>
      <c r="KU20" s="51">
        <f t="shared" si="39"/>
        <v>1556.5610958904181</v>
      </c>
      <c r="KV20" s="51">
        <f t="shared" si="39"/>
        <v>1555.1457534246647</v>
      </c>
      <c r="KW20" s="51">
        <f t="shared" si="39"/>
        <v>1553.7304109589113</v>
      </c>
      <c r="KX20" s="51">
        <f t="shared" si="39"/>
        <v>1552.3150684931579</v>
      </c>
      <c r="KY20" s="51">
        <f t="shared" si="39"/>
        <v>1550.8997260274045</v>
      </c>
      <c r="KZ20" s="51">
        <f t="shared" si="39"/>
        <v>1549.4843835616512</v>
      </c>
      <c r="LA20" s="51">
        <f t="shared" si="39"/>
        <v>1548.0690410958978</v>
      </c>
      <c r="LB20" s="51">
        <f t="shared" si="39"/>
        <v>1546.6536986301444</v>
      </c>
      <c r="LC20" s="51">
        <f t="shared" ref="LC20:NN20" si="42">LB20-$S20</f>
        <v>1545.238356164391</v>
      </c>
      <c r="LD20" s="51">
        <f t="shared" si="42"/>
        <v>1543.8230136986376</v>
      </c>
      <c r="LE20" s="51">
        <f t="shared" si="42"/>
        <v>1542.4076712328842</v>
      </c>
      <c r="LF20" s="51">
        <f t="shared" si="42"/>
        <v>1540.9923287671309</v>
      </c>
      <c r="LG20" s="51">
        <f t="shared" si="42"/>
        <v>1539.5769863013775</v>
      </c>
      <c r="LH20" s="51">
        <f t="shared" si="42"/>
        <v>1538.1616438356241</v>
      </c>
      <c r="LI20" s="51">
        <f t="shared" si="42"/>
        <v>1536.7463013698707</v>
      </c>
      <c r="LJ20" s="51">
        <f t="shared" si="42"/>
        <v>1535.3309589041173</v>
      </c>
      <c r="LK20" s="51">
        <f t="shared" si="42"/>
        <v>1533.9156164383639</v>
      </c>
      <c r="LL20" s="51">
        <f t="shared" si="42"/>
        <v>1532.5002739726106</v>
      </c>
      <c r="LM20" s="51">
        <f t="shared" si="42"/>
        <v>1531.0849315068572</v>
      </c>
      <c r="LN20" s="51">
        <f t="shared" si="42"/>
        <v>1529.6695890411038</v>
      </c>
      <c r="LO20" s="51">
        <f t="shared" si="42"/>
        <v>1528.2542465753504</v>
      </c>
      <c r="LP20" s="51">
        <f t="shared" si="42"/>
        <v>1526.838904109597</v>
      </c>
      <c r="LQ20" s="51">
        <f t="shared" si="42"/>
        <v>1525.4235616438436</v>
      </c>
      <c r="LR20" s="51">
        <f t="shared" si="42"/>
        <v>1524.0082191780903</v>
      </c>
      <c r="LS20" s="51">
        <f t="shared" si="42"/>
        <v>1522.5928767123369</v>
      </c>
      <c r="LT20" s="51">
        <f t="shared" si="42"/>
        <v>1521.1775342465835</v>
      </c>
      <c r="LU20" s="51">
        <f t="shared" si="42"/>
        <v>1519.7621917808301</v>
      </c>
      <c r="LV20" s="51">
        <f t="shared" si="42"/>
        <v>1518.3468493150767</v>
      </c>
      <c r="LW20" s="51">
        <f t="shared" si="42"/>
        <v>1516.9315068493233</v>
      </c>
      <c r="LX20" s="51">
        <f t="shared" si="42"/>
        <v>1515.51616438357</v>
      </c>
      <c r="LY20" s="51">
        <f t="shared" si="42"/>
        <v>1514.1008219178166</v>
      </c>
      <c r="LZ20" s="51">
        <f t="shared" si="42"/>
        <v>1512.6854794520632</v>
      </c>
      <c r="MA20" s="51">
        <f t="shared" si="42"/>
        <v>1511.2701369863098</v>
      </c>
      <c r="MB20" s="51">
        <f t="shared" si="42"/>
        <v>1509.8547945205564</v>
      </c>
      <c r="MC20" s="51">
        <f t="shared" si="42"/>
        <v>1508.439452054803</v>
      </c>
      <c r="MD20" s="51">
        <f t="shared" si="42"/>
        <v>1507.0241095890497</v>
      </c>
      <c r="ME20" s="51">
        <f t="shared" si="42"/>
        <v>1505.6087671232963</v>
      </c>
      <c r="MF20" s="51">
        <f t="shared" si="42"/>
        <v>1504.1934246575429</v>
      </c>
      <c r="MG20" s="51">
        <f t="shared" si="42"/>
        <v>1502.7780821917895</v>
      </c>
      <c r="MH20" s="51">
        <f t="shared" si="42"/>
        <v>1501.3627397260361</v>
      </c>
      <c r="MI20" s="51">
        <f t="shared" si="42"/>
        <v>1499.9473972602827</v>
      </c>
      <c r="MJ20" s="51">
        <f t="shared" si="42"/>
        <v>1498.5320547945294</v>
      </c>
      <c r="MK20" s="51">
        <f t="shared" si="42"/>
        <v>1497.116712328776</v>
      </c>
      <c r="ML20" s="51">
        <f t="shared" si="42"/>
        <v>1495.7013698630226</v>
      </c>
      <c r="MM20" s="51">
        <f t="shared" si="42"/>
        <v>1494.2860273972692</v>
      </c>
      <c r="MN20" s="51">
        <f t="shared" si="42"/>
        <v>1492.8706849315158</v>
      </c>
      <c r="MO20" s="51">
        <f t="shared" si="42"/>
        <v>1491.4553424657624</v>
      </c>
      <c r="MP20" s="51">
        <f t="shared" si="42"/>
        <v>1490.0400000000091</v>
      </c>
      <c r="MQ20" s="51">
        <f t="shared" si="42"/>
        <v>1488.6246575342557</v>
      </c>
      <c r="MR20" s="51">
        <f t="shared" si="42"/>
        <v>1487.2093150685023</v>
      </c>
      <c r="MS20" s="51">
        <f t="shared" si="42"/>
        <v>1485.7939726027489</v>
      </c>
      <c r="MT20" s="51">
        <f t="shared" si="42"/>
        <v>1484.3786301369955</v>
      </c>
      <c r="MU20" s="51">
        <f t="shared" si="42"/>
        <v>1482.9632876712421</v>
      </c>
      <c r="MV20" s="51">
        <f t="shared" si="42"/>
        <v>1481.5479452054888</v>
      </c>
      <c r="MW20" s="51">
        <f t="shared" si="42"/>
        <v>1480.1326027397354</v>
      </c>
      <c r="MX20" s="51">
        <f t="shared" si="42"/>
        <v>1478.717260273982</v>
      </c>
      <c r="MY20" s="51">
        <f t="shared" si="42"/>
        <v>1477.3019178082286</v>
      </c>
      <c r="MZ20" s="51">
        <f t="shared" si="42"/>
        <v>1475.8865753424752</v>
      </c>
      <c r="NA20" s="51">
        <f t="shared" si="42"/>
        <v>1474.4712328767218</v>
      </c>
      <c r="NB20" s="51">
        <f t="shared" si="42"/>
        <v>1473.0558904109685</v>
      </c>
      <c r="NC20" s="51">
        <f t="shared" si="42"/>
        <v>1471.6405479452151</v>
      </c>
      <c r="ND20" s="51">
        <f t="shared" si="42"/>
        <v>1470.2252054794617</v>
      </c>
      <c r="NE20" s="51">
        <f t="shared" si="42"/>
        <v>1468.8098630137083</v>
      </c>
      <c r="NF20" s="51">
        <f t="shared" si="42"/>
        <v>1467.3945205479549</v>
      </c>
      <c r="NG20" s="51">
        <f t="shared" si="42"/>
        <v>1465.9791780822015</v>
      </c>
      <c r="NH20" s="51">
        <f t="shared" si="42"/>
        <v>1464.5638356164482</v>
      </c>
      <c r="NI20" s="51">
        <f t="shared" si="42"/>
        <v>1463.1484931506948</v>
      </c>
      <c r="NJ20" s="51">
        <f t="shared" si="42"/>
        <v>1461.7331506849414</v>
      </c>
      <c r="NK20" s="51">
        <f t="shared" si="42"/>
        <v>1460.317808219188</v>
      </c>
      <c r="NL20" s="51">
        <f t="shared" si="42"/>
        <v>1458.9024657534346</v>
      </c>
      <c r="NM20" s="51">
        <f t="shared" si="42"/>
        <v>1457.4871232876812</v>
      </c>
      <c r="NN20" s="51">
        <f t="shared" si="42"/>
        <v>1456.0717808219279</v>
      </c>
      <c r="NO20" s="51">
        <f t="shared" si="31"/>
        <v>1454.6564383561745</v>
      </c>
      <c r="NP20" s="51">
        <f t="shared" si="31"/>
        <v>1453.2410958904211</v>
      </c>
      <c r="NQ20" s="51">
        <f t="shared" si="31"/>
        <v>1451.8257534246677</v>
      </c>
      <c r="NR20" s="51">
        <f t="shared" si="31"/>
        <v>1450.4104109589143</v>
      </c>
      <c r="NS20" s="51">
        <f t="shared" si="31"/>
        <v>1448.9950684931609</v>
      </c>
      <c r="NT20" s="51">
        <f t="shared" si="31"/>
        <v>1447.5797260274076</v>
      </c>
      <c r="NU20" s="51">
        <f t="shared" si="31"/>
        <v>1446.1643835616542</v>
      </c>
      <c r="NV20" s="51"/>
      <c r="NW20" s="51"/>
      <c r="NX20" s="51"/>
      <c r="NY20" s="51"/>
      <c r="NZ20" s="51"/>
      <c r="OA20" s="51"/>
      <c r="OB20" s="51"/>
      <c r="OC20" s="51"/>
      <c r="OD20" s="51"/>
      <c r="OE20" s="51"/>
      <c r="OF20" s="51"/>
      <c r="OG20" s="51"/>
      <c r="OH20" s="51"/>
      <c r="OI20" s="51"/>
      <c r="OJ20" s="51"/>
      <c r="OK20" s="51"/>
      <c r="OL20" s="51"/>
      <c r="OM20" s="51"/>
      <c r="ON20" s="51"/>
      <c r="OO20" s="51"/>
      <c r="OP20" s="51"/>
      <c r="OQ20" s="51"/>
      <c r="OR20" s="51"/>
      <c r="OS20" s="51"/>
      <c r="OT20" s="51"/>
      <c r="OU20" s="51"/>
      <c r="OV20" s="51"/>
      <c r="OW20" s="51"/>
      <c r="OX20" s="51"/>
      <c r="OY20" s="51"/>
      <c r="OZ20" s="51"/>
      <c r="PA20" s="51"/>
      <c r="PB20" s="51"/>
      <c r="PC20" s="51"/>
      <c r="PD20" s="51"/>
      <c r="PE20" s="51"/>
      <c r="PF20" s="51"/>
      <c r="PG20" s="51"/>
      <c r="PH20" s="51"/>
      <c r="PI20" s="51"/>
      <c r="PJ20" s="51"/>
      <c r="PK20" s="51"/>
      <c r="PL20" s="51"/>
      <c r="PM20" s="51"/>
      <c r="PN20" s="51"/>
      <c r="PO20" s="51"/>
      <c r="PP20" s="51"/>
      <c r="PQ20" s="51"/>
      <c r="PR20" s="51"/>
      <c r="PS20" s="51"/>
      <c r="PT20" s="51"/>
      <c r="PU20" s="51"/>
      <c r="PV20" s="51"/>
      <c r="PW20" s="51"/>
      <c r="PX20" s="51"/>
      <c r="PY20" s="51"/>
      <c r="PZ20" s="51"/>
      <c r="QA20" s="51"/>
      <c r="QB20" s="51"/>
      <c r="QC20" s="51"/>
      <c r="QD20" s="51"/>
      <c r="QE20" s="51"/>
      <c r="QF20" s="51"/>
      <c r="QG20" s="51"/>
      <c r="QH20" s="51"/>
      <c r="QI20" s="51"/>
      <c r="QJ20" s="51"/>
      <c r="QK20" s="51"/>
      <c r="QL20" s="51"/>
      <c r="QM20" s="51"/>
      <c r="QN20" s="51"/>
      <c r="QO20" s="51"/>
      <c r="QP20" s="51"/>
      <c r="QQ20" s="51"/>
      <c r="QR20" s="51"/>
      <c r="QS20" s="51"/>
      <c r="QT20" s="51"/>
      <c r="QU20" s="51"/>
      <c r="QV20" s="51"/>
      <c r="QW20" s="51"/>
      <c r="QX20" s="51"/>
      <c r="QY20" s="51"/>
      <c r="QZ20" s="51"/>
      <c r="RA20" s="51"/>
      <c r="RB20" s="51"/>
      <c r="RC20" s="51"/>
      <c r="RD20" s="51"/>
      <c r="RE20" s="51"/>
      <c r="RF20" s="51"/>
      <c r="RG20" s="51"/>
      <c r="RH20" s="51"/>
      <c r="RI20" s="51"/>
      <c r="RJ20" s="51"/>
      <c r="RK20" s="51"/>
      <c r="RL20" s="51"/>
      <c r="RM20" s="51"/>
      <c r="RN20" s="51"/>
      <c r="RO20" s="51"/>
      <c r="RP20" s="51"/>
      <c r="RQ20" s="51"/>
      <c r="RR20" s="51"/>
      <c r="RS20" s="51"/>
      <c r="RT20" s="51"/>
      <c r="RU20" s="51"/>
      <c r="RV20" s="51"/>
      <c r="RW20" s="51"/>
      <c r="RX20" s="51"/>
      <c r="RY20" s="51"/>
      <c r="RZ20" s="51"/>
      <c r="SA20" s="51"/>
      <c r="SB20" s="51"/>
      <c r="SC20" s="51"/>
      <c r="SD20" s="51"/>
      <c r="SE20" s="51"/>
      <c r="SF20" s="51"/>
      <c r="SG20" s="51"/>
      <c r="SH20" s="51"/>
      <c r="SI20" s="51"/>
      <c r="SJ20" s="51"/>
      <c r="SK20" s="51"/>
      <c r="SL20" s="51"/>
      <c r="SM20" s="51"/>
      <c r="SN20" s="51"/>
      <c r="SO20" s="51"/>
      <c r="SP20" s="51"/>
      <c r="SQ20" s="51"/>
      <c r="SR20" s="51"/>
      <c r="SS20" s="51"/>
      <c r="ST20" s="51"/>
      <c r="SU20" s="51"/>
      <c r="SV20" s="51"/>
      <c r="SW20" s="51"/>
      <c r="SX20" s="51"/>
      <c r="SY20" s="51"/>
      <c r="SZ20" s="51"/>
      <c r="TA20" s="51"/>
      <c r="TB20" s="51"/>
      <c r="TC20" s="51"/>
      <c r="TD20" s="51"/>
      <c r="TE20" s="51"/>
      <c r="TF20" s="51"/>
      <c r="TG20" s="51"/>
      <c r="TH20" s="51"/>
      <c r="TI20" s="51"/>
      <c r="TJ20" s="51"/>
      <c r="TK20" s="51"/>
      <c r="TL20" s="51"/>
      <c r="TM20" s="51"/>
      <c r="TN20" s="51"/>
      <c r="TO20" s="51"/>
      <c r="TP20" s="51"/>
      <c r="TQ20" s="51"/>
      <c r="TR20" s="51"/>
      <c r="TS20" s="51"/>
      <c r="TT20" s="51"/>
      <c r="TU20" s="51"/>
      <c r="TV20" s="51"/>
      <c r="TW20" s="51"/>
      <c r="TX20" s="51"/>
      <c r="TY20" s="51"/>
      <c r="TZ20" s="51"/>
      <c r="UA20" s="51"/>
      <c r="UB20" s="51"/>
      <c r="UC20" s="51"/>
      <c r="UD20" s="51"/>
      <c r="UE20" s="51"/>
      <c r="UF20" s="51"/>
      <c r="UG20" s="51"/>
      <c r="UH20" s="51"/>
      <c r="UI20" s="51"/>
      <c r="UJ20" s="51"/>
      <c r="UK20" s="51"/>
      <c r="UL20" s="51"/>
      <c r="UM20" s="51"/>
      <c r="UN20" s="51"/>
      <c r="UO20" s="51"/>
      <c r="UP20" s="51"/>
      <c r="UQ20" s="51"/>
      <c r="UR20" s="51"/>
      <c r="US20" s="51"/>
      <c r="UT20" s="51"/>
      <c r="UU20" s="51"/>
      <c r="UV20" s="51"/>
      <c r="UW20" s="51"/>
      <c r="UX20" s="51"/>
      <c r="UY20" s="51"/>
      <c r="UZ20" s="51"/>
      <c r="VA20" s="51"/>
      <c r="VB20" s="51"/>
      <c r="VC20" s="51"/>
      <c r="VD20" s="51"/>
      <c r="VE20" s="51"/>
      <c r="VF20" s="51"/>
      <c r="VG20" s="51"/>
      <c r="VH20" s="51"/>
      <c r="VI20" s="51"/>
      <c r="VJ20" s="51"/>
      <c r="VK20" s="51"/>
      <c r="VL20" s="51"/>
      <c r="VM20" s="51"/>
      <c r="VN20" s="51"/>
      <c r="VO20" s="51"/>
      <c r="VP20" s="51"/>
      <c r="VQ20" s="51"/>
      <c r="VR20" s="51"/>
      <c r="VS20" s="51"/>
      <c r="VT20" s="51"/>
      <c r="VU20" s="51"/>
      <c r="VV20" s="51"/>
      <c r="VW20" s="51"/>
      <c r="VX20" s="51"/>
      <c r="VY20" s="51"/>
      <c r="VZ20" s="51"/>
      <c r="WA20" s="51"/>
      <c r="WB20" s="51"/>
      <c r="WC20" s="51"/>
      <c r="WD20" s="51"/>
      <c r="WE20" s="51"/>
      <c r="WF20" s="51"/>
      <c r="WG20" s="51"/>
    </row>
    <row r="21" spans="1:605" x14ac:dyDescent="0.25">
      <c r="A21" s="28">
        <v>19</v>
      </c>
      <c r="B21" s="28" t="s">
        <v>11</v>
      </c>
      <c r="C21" s="28" t="s">
        <v>17</v>
      </c>
      <c r="D21" s="28" t="s">
        <v>598</v>
      </c>
      <c r="E21" s="28">
        <v>1</v>
      </c>
      <c r="F21" s="28">
        <v>40</v>
      </c>
      <c r="G21" s="28">
        <v>5</v>
      </c>
      <c r="H21" s="50">
        <f t="shared" si="6"/>
        <v>45</v>
      </c>
      <c r="I21" s="28">
        <v>14</v>
      </c>
      <c r="J21" s="28">
        <v>100</v>
      </c>
      <c r="K21" s="28">
        <f t="shared" si="14"/>
        <v>114</v>
      </c>
      <c r="L21" s="49">
        <f t="shared" si="7"/>
        <v>41844</v>
      </c>
      <c r="M21" s="51">
        <f t="shared" si="8"/>
        <v>250</v>
      </c>
      <c r="N21" s="51">
        <v>0</v>
      </c>
      <c r="Q21" s="52"/>
      <c r="R21" s="52"/>
    </row>
    <row r="22" spans="1:605" x14ac:dyDescent="0.25">
      <c r="A22" s="28">
        <v>20</v>
      </c>
      <c r="B22" s="28" t="s">
        <v>11</v>
      </c>
      <c r="C22" s="28" t="s">
        <v>17</v>
      </c>
      <c r="D22" s="28" t="s">
        <v>598</v>
      </c>
      <c r="E22" s="28">
        <v>1</v>
      </c>
      <c r="F22" s="28">
        <v>40</v>
      </c>
      <c r="G22" s="28">
        <v>5</v>
      </c>
      <c r="H22" s="50">
        <f t="shared" si="6"/>
        <v>45</v>
      </c>
      <c r="I22" s="28">
        <v>14</v>
      </c>
      <c r="J22" s="28">
        <v>100</v>
      </c>
      <c r="K22" s="28">
        <f t="shared" si="14"/>
        <v>114</v>
      </c>
      <c r="L22" s="49">
        <f t="shared" si="7"/>
        <v>41844</v>
      </c>
      <c r="M22" s="51">
        <f t="shared" si="8"/>
        <v>250</v>
      </c>
      <c r="N22" s="51">
        <v>0</v>
      </c>
      <c r="Q22" s="52"/>
      <c r="R22" s="52"/>
    </row>
    <row r="23" spans="1:605" x14ac:dyDescent="0.25">
      <c r="A23" s="28">
        <v>21</v>
      </c>
      <c r="B23" s="28" t="s">
        <v>11</v>
      </c>
      <c r="C23" s="28" t="s">
        <v>17</v>
      </c>
      <c r="D23" s="28" t="s">
        <v>599</v>
      </c>
      <c r="E23" s="28">
        <v>1</v>
      </c>
      <c r="F23" s="28">
        <v>30</v>
      </c>
      <c r="G23" s="28">
        <v>5</v>
      </c>
      <c r="H23" s="50">
        <f t="shared" si="6"/>
        <v>35</v>
      </c>
      <c r="I23" s="28">
        <v>14</v>
      </c>
      <c r="J23" s="28">
        <v>90</v>
      </c>
      <c r="K23" s="28">
        <f t="shared" si="14"/>
        <v>104</v>
      </c>
      <c r="L23" s="49">
        <f t="shared" si="7"/>
        <v>41834</v>
      </c>
      <c r="M23" s="51">
        <f t="shared" si="8"/>
        <v>260</v>
      </c>
      <c r="N23" s="51">
        <v>0</v>
      </c>
      <c r="Q23" s="52"/>
      <c r="R23" s="52"/>
    </row>
    <row r="24" spans="1:605" x14ac:dyDescent="0.25">
      <c r="A24" s="28">
        <v>22</v>
      </c>
      <c r="B24" s="28" t="s">
        <v>42</v>
      </c>
      <c r="C24" s="28" t="s">
        <v>17</v>
      </c>
      <c r="D24" s="28" t="s">
        <v>598</v>
      </c>
      <c r="E24" s="28">
        <v>1</v>
      </c>
      <c r="F24" s="28">
        <v>40</v>
      </c>
      <c r="G24" s="28">
        <v>5</v>
      </c>
      <c r="H24" s="50">
        <f t="shared" si="6"/>
        <v>45</v>
      </c>
      <c r="I24" s="28">
        <v>14</v>
      </c>
      <c r="J24" s="28">
        <v>145</v>
      </c>
      <c r="K24" s="28">
        <f t="shared" si="14"/>
        <v>159</v>
      </c>
      <c r="L24" s="49">
        <f t="shared" si="7"/>
        <v>41889</v>
      </c>
      <c r="M24" s="51">
        <f t="shared" si="8"/>
        <v>205</v>
      </c>
      <c r="N24" s="51">
        <v>0</v>
      </c>
      <c r="Q24" s="52"/>
      <c r="R24" s="52"/>
    </row>
    <row r="25" spans="1:605" x14ac:dyDescent="0.25">
      <c r="A25" s="28">
        <v>23</v>
      </c>
      <c r="B25" s="28" t="s">
        <v>42</v>
      </c>
      <c r="C25" s="28" t="s">
        <v>17</v>
      </c>
      <c r="D25" s="28" t="s">
        <v>598</v>
      </c>
      <c r="E25" s="28">
        <v>1</v>
      </c>
      <c r="F25" s="28">
        <v>40</v>
      </c>
      <c r="G25" s="28">
        <v>5</v>
      </c>
      <c r="H25" s="50">
        <f t="shared" si="6"/>
        <v>45</v>
      </c>
      <c r="I25" s="28">
        <v>14</v>
      </c>
      <c r="J25" s="28">
        <v>145</v>
      </c>
      <c r="K25" s="28">
        <f t="shared" si="14"/>
        <v>159</v>
      </c>
      <c r="L25" s="49">
        <f t="shared" si="7"/>
        <v>41889</v>
      </c>
      <c r="M25" s="51">
        <f t="shared" si="8"/>
        <v>205</v>
      </c>
      <c r="N25" s="51">
        <v>0</v>
      </c>
      <c r="Q25" s="52"/>
      <c r="R25" s="52"/>
    </row>
    <row r="26" spans="1:605" x14ac:dyDescent="0.25">
      <c r="A26" s="28">
        <v>24</v>
      </c>
      <c r="B26" s="28" t="s">
        <v>42</v>
      </c>
      <c r="C26" s="28" t="s">
        <v>17</v>
      </c>
      <c r="D26" s="28" t="s">
        <v>598</v>
      </c>
      <c r="E26" s="28">
        <v>1</v>
      </c>
      <c r="F26" s="28">
        <v>40</v>
      </c>
      <c r="G26" s="28">
        <v>5</v>
      </c>
      <c r="H26" s="50">
        <f t="shared" si="6"/>
        <v>45</v>
      </c>
      <c r="I26" s="28">
        <v>14</v>
      </c>
      <c r="J26" s="28">
        <v>135</v>
      </c>
      <c r="K26" s="28">
        <f t="shared" si="14"/>
        <v>149</v>
      </c>
      <c r="L26" s="49">
        <f t="shared" si="7"/>
        <v>41879</v>
      </c>
      <c r="M26" s="51">
        <f t="shared" si="8"/>
        <v>215</v>
      </c>
      <c r="N26" s="51">
        <v>0</v>
      </c>
      <c r="Q26" s="52"/>
      <c r="R26" s="52"/>
    </row>
    <row r="27" spans="1:605" x14ac:dyDescent="0.25">
      <c r="A27" s="28">
        <v>25</v>
      </c>
      <c r="B27" s="28" t="s">
        <v>42</v>
      </c>
      <c r="C27" s="28" t="s">
        <v>44</v>
      </c>
      <c r="D27" s="28" t="s">
        <v>596</v>
      </c>
      <c r="E27" s="28">
        <v>1</v>
      </c>
      <c r="F27" s="28">
        <v>100</v>
      </c>
      <c r="G27" s="28">
        <v>5</v>
      </c>
      <c r="H27" s="50">
        <f t="shared" si="6"/>
        <v>105</v>
      </c>
      <c r="I27" s="28">
        <v>14</v>
      </c>
      <c r="J27" s="28">
        <v>205</v>
      </c>
      <c r="K27" s="28">
        <f t="shared" si="14"/>
        <v>219</v>
      </c>
      <c r="L27" s="49">
        <f t="shared" si="7"/>
        <v>41949</v>
      </c>
      <c r="M27" s="51">
        <f t="shared" si="8"/>
        <v>145</v>
      </c>
      <c r="N27" s="51">
        <v>3000</v>
      </c>
      <c r="O27" s="28">
        <v>13.8</v>
      </c>
      <c r="P27" s="28">
        <f t="shared" ref="P27:P32" si="43">N27*(1-O27/100)</f>
        <v>2586</v>
      </c>
      <c r="Q27" s="52">
        <f t="shared" ref="Q27:Q32" si="44">N27*365-((S27/2)*365^2)</f>
        <v>1019445</v>
      </c>
      <c r="R27" s="52">
        <f>Q27/H27</f>
        <v>9709</v>
      </c>
      <c r="S27" s="28">
        <f t="shared" ref="S27:S32" si="45">(N27-P27)/365</f>
        <v>1.1342465753424658</v>
      </c>
      <c r="IF27" s="51">
        <f>N27</f>
        <v>3000</v>
      </c>
      <c r="IG27" s="51">
        <f t="shared" ref="IG27:KR30" si="46">IF27-$S27</f>
        <v>2998.8657534246577</v>
      </c>
      <c r="IH27" s="51">
        <f t="shared" si="46"/>
        <v>2997.7315068493153</v>
      </c>
      <c r="II27" s="51">
        <f t="shared" si="46"/>
        <v>2996.597260273973</v>
      </c>
      <c r="IJ27" s="51">
        <f t="shared" si="46"/>
        <v>2995.4630136986307</v>
      </c>
      <c r="IK27" s="51">
        <f t="shared" si="46"/>
        <v>2994.3287671232883</v>
      </c>
      <c r="IL27" s="51">
        <f t="shared" si="46"/>
        <v>2993.194520547946</v>
      </c>
      <c r="IM27" s="51">
        <f t="shared" si="46"/>
        <v>2992.0602739726037</v>
      </c>
      <c r="IN27" s="51">
        <f t="shared" si="46"/>
        <v>2990.9260273972614</v>
      </c>
      <c r="IO27" s="51">
        <f t="shared" si="46"/>
        <v>2989.791780821919</v>
      </c>
      <c r="IP27" s="51">
        <f t="shared" si="46"/>
        <v>2988.6575342465767</v>
      </c>
      <c r="IQ27" s="51">
        <f t="shared" si="46"/>
        <v>2987.5232876712344</v>
      </c>
      <c r="IR27" s="51">
        <f t="shared" si="46"/>
        <v>2986.389041095892</v>
      </c>
      <c r="IS27" s="51">
        <f t="shared" si="46"/>
        <v>2985.2547945205497</v>
      </c>
      <c r="IT27" s="51">
        <f t="shared" si="46"/>
        <v>2984.1205479452074</v>
      </c>
      <c r="IU27" s="51">
        <f t="shared" si="46"/>
        <v>2982.986301369865</v>
      </c>
      <c r="IV27" s="51">
        <f t="shared" si="46"/>
        <v>2981.8520547945227</v>
      </c>
      <c r="IW27" s="51">
        <f t="shared" si="46"/>
        <v>2980.7178082191804</v>
      </c>
      <c r="IX27" s="51">
        <f t="shared" si="46"/>
        <v>2979.583561643838</v>
      </c>
      <c r="IY27" s="51">
        <f t="shared" si="46"/>
        <v>2978.4493150684957</v>
      </c>
      <c r="IZ27" s="51">
        <f t="shared" si="46"/>
        <v>2977.3150684931534</v>
      </c>
      <c r="JA27" s="51">
        <f t="shared" si="46"/>
        <v>2976.180821917811</v>
      </c>
      <c r="JB27" s="51">
        <f t="shared" si="46"/>
        <v>2975.0465753424687</v>
      </c>
      <c r="JC27" s="51">
        <f t="shared" si="46"/>
        <v>2973.9123287671264</v>
      </c>
      <c r="JD27" s="51">
        <f t="shared" si="46"/>
        <v>2972.7780821917841</v>
      </c>
      <c r="JE27" s="51">
        <f t="shared" si="46"/>
        <v>2971.6438356164417</v>
      </c>
      <c r="JF27" s="51">
        <f t="shared" si="46"/>
        <v>2970.5095890410994</v>
      </c>
      <c r="JG27" s="51">
        <f t="shared" si="46"/>
        <v>2969.3753424657571</v>
      </c>
      <c r="JH27" s="51">
        <f t="shared" si="46"/>
        <v>2968.2410958904147</v>
      </c>
      <c r="JI27" s="51">
        <f t="shared" si="46"/>
        <v>2967.1068493150724</v>
      </c>
      <c r="JJ27" s="51">
        <f t="shared" si="46"/>
        <v>2965.9726027397301</v>
      </c>
      <c r="JK27" s="51">
        <f t="shared" si="46"/>
        <v>2964.8383561643877</v>
      </c>
      <c r="JL27" s="51">
        <f t="shared" si="46"/>
        <v>2963.7041095890454</v>
      </c>
      <c r="JM27" s="51">
        <f t="shared" si="46"/>
        <v>2962.5698630137031</v>
      </c>
      <c r="JN27" s="51">
        <f t="shared" si="46"/>
        <v>2961.4356164383607</v>
      </c>
      <c r="JO27" s="51">
        <f t="shared" si="46"/>
        <v>2960.3013698630184</v>
      </c>
      <c r="JP27" s="51">
        <f t="shared" si="46"/>
        <v>2959.1671232876761</v>
      </c>
      <c r="JQ27" s="51">
        <f t="shared" si="46"/>
        <v>2958.0328767123337</v>
      </c>
      <c r="JR27" s="51">
        <f t="shared" si="46"/>
        <v>2956.8986301369914</v>
      </c>
      <c r="JS27" s="51">
        <f t="shared" si="46"/>
        <v>2955.7643835616491</v>
      </c>
      <c r="JT27" s="51">
        <f t="shared" si="46"/>
        <v>2954.6301369863068</v>
      </c>
      <c r="JU27" s="51">
        <f t="shared" si="46"/>
        <v>2953.4958904109644</v>
      </c>
      <c r="JV27" s="51">
        <f t="shared" si="46"/>
        <v>2952.3616438356221</v>
      </c>
      <c r="JW27" s="51">
        <f t="shared" si="46"/>
        <v>2951.2273972602798</v>
      </c>
      <c r="JX27" s="51">
        <f t="shared" si="46"/>
        <v>2950.0931506849374</v>
      </c>
      <c r="JY27" s="51">
        <f t="shared" si="46"/>
        <v>2948.9589041095951</v>
      </c>
      <c r="JZ27" s="51">
        <f t="shared" si="46"/>
        <v>2947.8246575342528</v>
      </c>
      <c r="KA27" s="51">
        <f t="shared" si="46"/>
        <v>2946.6904109589104</v>
      </c>
      <c r="KB27" s="51">
        <f t="shared" si="46"/>
        <v>2945.5561643835681</v>
      </c>
      <c r="KC27" s="51">
        <f t="shared" si="46"/>
        <v>2944.4219178082258</v>
      </c>
      <c r="KD27" s="51">
        <f t="shared" si="46"/>
        <v>2943.2876712328834</v>
      </c>
      <c r="KE27" s="51">
        <f t="shared" si="46"/>
        <v>2942.1534246575411</v>
      </c>
      <c r="KF27" s="51">
        <f t="shared" si="46"/>
        <v>2941.0191780821988</v>
      </c>
      <c r="KG27" s="51">
        <f t="shared" si="46"/>
        <v>2939.8849315068564</v>
      </c>
      <c r="KH27" s="51">
        <f t="shared" si="46"/>
        <v>2938.7506849315141</v>
      </c>
      <c r="KI27" s="51">
        <f t="shared" si="46"/>
        <v>2937.6164383561718</v>
      </c>
      <c r="KJ27" s="51">
        <f t="shared" si="46"/>
        <v>2936.4821917808295</v>
      </c>
      <c r="KK27" s="51">
        <f t="shared" si="46"/>
        <v>2935.3479452054871</v>
      </c>
      <c r="KL27" s="51">
        <f t="shared" si="46"/>
        <v>2934.2136986301448</v>
      </c>
      <c r="KM27" s="51">
        <f t="shared" si="46"/>
        <v>2933.0794520548025</v>
      </c>
      <c r="KN27" s="51">
        <f t="shared" si="46"/>
        <v>2931.9452054794601</v>
      </c>
      <c r="KO27" s="51">
        <f t="shared" si="46"/>
        <v>2930.8109589041178</v>
      </c>
      <c r="KP27" s="51">
        <f t="shared" si="46"/>
        <v>2929.6767123287755</v>
      </c>
      <c r="KQ27" s="51">
        <f t="shared" si="46"/>
        <v>2928.5424657534331</v>
      </c>
      <c r="KR27" s="51">
        <f t="shared" si="46"/>
        <v>2927.4082191780908</v>
      </c>
      <c r="KS27" s="51">
        <f t="shared" ref="KS27:LH32" si="47">KR27-$S27</f>
        <v>2926.2739726027485</v>
      </c>
      <c r="KT27" s="51">
        <f t="shared" si="47"/>
        <v>2925.1397260274061</v>
      </c>
      <c r="KU27" s="51">
        <f t="shared" si="47"/>
        <v>2924.0054794520638</v>
      </c>
      <c r="KV27" s="51">
        <f t="shared" si="47"/>
        <v>2922.8712328767215</v>
      </c>
      <c r="KW27" s="51">
        <f t="shared" si="47"/>
        <v>2921.7369863013791</v>
      </c>
      <c r="KX27" s="51">
        <f t="shared" si="47"/>
        <v>2920.6027397260368</v>
      </c>
      <c r="KY27" s="51">
        <f t="shared" si="47"/>
        <v>2919.4684931506945</v>
      </c>
      <c r="KZ27" s="51">
        <f t="shared" si="47"/>
        <v>2918.3342465753522</v>
      </c>
      <c r="LA27" s="51">
        <f t="shared" si="47"/>
        <v>2917.2000000000098</v>
      </c>
      <c r="LB27" s="51">
        <f t="shared" si="47"/>
        <v>2916.0657534246675</v>
      </c>
      <c r="LC27" s="51">
        <f t="shared" si="47"/>
        <v>2914.9315068493252</v>
      </c>
      <c r="LD27" s="51">
        <f t="shared" si="47"/>
        <v>2913.7972602739828</v>
      </c>
      <c r="LE27" s="51">
        <f t="shared" si="47"/>
        <v>2912.6630136986405</v>
      </c>
      <c r="LF27" s="51">
        <f t="shared" si="47"/>
        <v>2911.5287671232982</v>
      </c>
      <c r="LG27" s="51">
        <f t="shared" si="47"/>
        <v>2910.3945205479558</v>
      </c>
      <c r="LH27" s="51">
        <f t="shared" si="47"/>
        <v>2909.2602739726135</v>
      </c>
      <c r="LI27" s="51">
        <f t="shared" ref="LI27:LX32" si="48">LH27-$S27</f>
        <v>2908.1260273972712</v>
      </c>
      <c r="LJ27" s="51">
        <f t="shared" si="48"/>
        <v>2906.9917808219288</v>
      </c>
      <c r="LK27" s="51">
        <f t="shared" si="48"/>
        <v>2905.8575342465865</v>
      </c>
      <c r="LL27" s="51">
        <f t="shared" si="48"/>
        <v>2904.7232876712442</v>
      </c>
      <c r="LM27" s="51">
        <f t="shared" si="48"/>
        <v>2903.5890410959018</v>
      </c>
      <c r="LN27" s="51">
        <f t="shared" si="48"/>
        <v>2902.4547945205595</v>
      </c>
      <c r="LO27" s="51">
        <f t="shared" si="48"/>
        <v>2901.3205479452172</v>
      </c>
      <c r="LP27" s="51">
        <f t="shared" si="48"/>
        <v>2900.1863013698749</v>
      </c>
      <c r="LQ27" s="51">
        <f t="shared" si="48"/>
        <v>2899.0520547945325</v>
      </c>
      <c r="LR27" s="51">
        <f t="shared" si="48"/>
        <v>2897.9178082191902</v>
      </c>
      <c r="LS27" s="51">
        <f t="shared" si="48"/>
        <v>2896.7835616438479</v>
      </c>
      <c r="LT27" s="51">
        <f t="shared" si="48"/>
        <v>2895.6493150685055</v>
      </c>
      <c r="LU27" s="51">
        <f t="shared" si="48"/>
        <v>2894.5150684931632</v>
      </c>
      <c r="LV27" s="51">
        <f t="shared" si="48"/>
        <v>2893.3808219178209</v>
      </c>
      <c r="LW27" s="51">
        <f t="shared" si="48"/>
        <v>2892.2465753424785</v>
      </c>
      <c r="LX27" s="51">
        <f t="shared" si="48"/>
        <v>2891.1123287671362</v>
      </c>
      <c r="LY27" s="51">
        <f t="shared" ref="LY27:MN32" si="49">LX27-$S27</f>
        <v>2889.9780821917939</v>
      </c>
      <c r="LZ27" s="51">
        <f t="shared" si="49"/>
        <v>2888.8438356164515</v>
      </c>
      <c r="MA27" s="51">
        <f t="shared" si="49"/>
        <v>2887.7095890411092</v>
      </c>
      <c r="MB27" s="51">
        <f t="shared" si="49"/>
        <v>2886.5753424657669</v>
      </c>
      <c r="MC27" s="51">
        <f t="shared" si="49"/>
        <v>2885.4410958904245</v>
      </c>
      <c r="MD27" s="51">
        <f t="shared" si="49"/>
        <v>2884.3068493150822</v>
      </c>
      <c r="ME27" s="51">
        <f t="shared" si="49"/>
        <v>2883.1726027397399</v>
      </c>
      <c r="MF27" s="51">
        <f t="shared" si="49"/>
        <v>2882.0383561643976</v>
      </c>
      <c r="MG27" s="51">
        <f t="shared" si="49"/>
        <v>2880.9041095890552</v>
      </c>
      <c r="MH27" s="51">
        <f t="shared" si="49"/>
        <v>2879.7698630137129</v>
      </c>
      <c r="MI27" s="51">
        <f t="shared" si="49"/>
        <v>2878.6356164383706</v>
      </c>
      <c r="MJ27" s="51">
        <f t="shared" si="49"/>
        <v>2877.5013698630282</v>
      </c>
      <c r="MK27" s="51">
        <f t="shared" si="49"/>
        <v>2876.3671232876859</v>
      </c>
      <c r="ML27" s="51">
        <f t="shared" si="49"/>
        <v>2875.2328767123436</v>
      </c>
      <c r="MM27" s="51">
        <f t="shared" si="49"/>
        <v>2874.0986301370012</v>
      </c>
      <c r="MN27" s="51">
        <f t="shared" si="49"/>
        <v>2872.9643835616589</v>
      </c>
      <c r="MO27" s="51">
        <f t="shared" ref="MO27:ND32" si="50">MN27-$S27</f>
        <v>2871.8301369863166</v>
      </c>
      <c r="MP27" s="51">
        <f t="shared" si="50"/>
        <v>2870.6958904109742</v>
      </c>
      <c r="MQ27" s="51">
        <f t="shared" si="50"/>
        <v>2869.5616438356319</v>
      </c>
      <c r="MR27" s="51">
        <f t="shared" si="50"/>
        <v>2868.4273972602896</v>
      </c>
      <c r="MS27" s="51">
        <f t="shared" si="50"/>
        <v>2867.2931506849472</v>
      </c>
      <c r="MT27" s="51">
        <f t="shared" si="50"/>
        <v>2866.1589041096049</v>
      </c>
      <c r="MU27" s="51">
        <f t="shared" si="50"/>
        <v>2865.0246575342626</v>
      </c>
      <c r="MV27" s="51">
        <f t="shared" si="50"/>
        <v>2863.8904109589203</v>
      </c>
      <c r="MW27" s="51">
        <f t="shared" si="50"/>
        <v>2862.7561643835779</v>
      </c>
      <c r="MX27" s="51">
        <f t="shared" si="50"/>
        <v>2861.6219178082356</v>
      </c>
      <c r="MY27" s="51">
        <f t="shared" si="50"/>
        <v>2860.4876712328933</v>
      </c>
      <c r="MZ27" s="51">
        <f t="shared" si="50"/>
        <v>2859.3534246575509</v>
      </c>
      <c r="NA27" s="51">
        <f t="shared" si="50"/>
        <v>2858.2191780822086</v>
      </c>
      <c r="NB27" s="51">
        <f t="shared" si="50"/>
        <v>2857.0849315068663</v>
      </c>
      <c r="NC27" s="51">
        <f t="shared" si="50"/>
        <v>2855.9506849315239</v>
      </c>
      <c r="ND27" s="51">
        <f t="shared" si="50"/>
        <v>2854.8164383561816</v>
      </c>
      <c r="NE27" s="51">
        <f t="shared" ref="NE27:NT27" si="51">ND27-$S27</f>
        <v>2853.6821917808393</v>
      </c>
      <c r="NF27" s="51">
        <f t="shared" si="51"/>
        <v>2852.5479452054969</v>
      </c>
      <c r="NG27" s="51">
        <f t="shared" si="51"/>
        <v>2851.4136986301546</v>
      </c>
      <c r="NH27" s="51">
        <f t="shared" si="51"/>
        <v>2850.2794520548123</v>
      </c>
      <c r="NI27" s="51">
        <f t="shared" si="51"/>
        <v>2849.14520547947</v>
      </c>
      <c r="NJ27" s="51">
        <f t="shared" si="51"/>
        <v>2848.0109589041276</v>
      </c>
      <c r="NK27" s="51">
        <f t="shared" si="51"/>
        <v>2846.8767123287853</v>
      </c>
      <c r="NL27" s="51">
        <f t="shared" si="51"/>
        <v>2845.742465753443</v>
      </c>
      <c r="NM27" s="51">
        <f t="shared" si="51"/>
        <v>2844.6082191781006</v>
      </c>
      <c r="NN27" s="51">
        <f t="shared" si="51"/>
        <v>2843.4739726027583</v>
      </c>
      <c r="NO27" s="51">
        <f t="shared" si="51"/>
        <v>2842.339726027416</v>
      </c>
      <c r="NP27" s="51">
        <f t="shared" si="51"/>
        <v>2841.2054794520736</v>
      </c>
      <c r="NQ27" s="51">
        <f t="shared" si="51"/>
        <v>2840.0712328767313</v>
      </c>
      <c r="NR27" s="51">
        <f t="shared" si="51"/>
        <v>2838.936986301389</v>
      </c>
      <c r="NS27" s="51">
        <f t="shared" si="51"/>
        <v>2837.8027397260466</v>
      </c>
      <c r="NT27" s="51">
        <f t="shared" si="51"/>
        <v>2836.6684931507043</v>
      </c>
      <c r="NU27" s="51">
        <f t="shared" ref="NE27:NU32" si="52">NT27-$S27</f>
        <v>2835.534246575362</v>
      </c>
      <c r="NV27" s="51"/>
      <c r="NW27" s="51"/>
      <c r="NX27" s="51"/>
      <c r="NY27" s="51"/>
      <c r="NZ27" s="51"/>
      <c r="OA27" s="51"/>
      <c r="OB27" s="51"/>
      <c r="OC27" s="51"/>
      <c r="OD27" s="51"/>
      <c r="OE27" s="51"/>
      <c r="OF27" s="51"/>
      <c r="OG27" s="51"/>
      <c r="OH27" s="51"/>
      <c r="OI27" s="51"/>
      <c r="OJ27" s="51"/>
      <c r="OK27" s="51"/>
      <c r="OL27" s="51"/>
      <c r="OM27" s="51"/>
      <c r="ON27" s="51"/>
      <c r="OO27" s="51"/>
      <c r="OP27" s="51"/>
      <c r="OQ27" s="51"/>
      <c r="OR27" s="51"/>
      <c r="OS27" s="51"/>
      <c r="OT27" s="51"/>
      <c r="OU27" s="51"/>
      <c r="OV27" s="51"/>
      <c r="OW27" s="51"/>
      <c r="OX27" s="51"/>
      <c r="OY27" s="51"/>
      <c r="OZ27" s="51"/>
      <c r="PA27" s="51"/>
      <c r="PB27" s="51"/>
      <c r="PC27" s="51"/>
      <c r="PD27" s="51"/>
      <c r="PE27" s="51"/>
      <c r="PF27" s="51"/>
      <c r="PG27" s="51"/>
      <c r="PH27" s="51"/>
      <c r="PI27" s="51"/>
      <c r="PJ27" s="51"/>
      <c r="PK27" s="51"/>
      <c r="PL27" s="51"/>
      <c r="PM27" s="51"/>
      <c r="PN27" s="51"/>
      <c r="PO27" s="51"/>
      <c r="PP27" s="51"/>
      <c r="PQ27" s="51"/>
      <c r="PR27" s="51"/>
      <c r="PS27" s="51"/>
      <c r="PT27" s="51"/>
      <c r="PU27" s="51"/>
      <c r="PV27" s="51"/>
      <c r="PW27" s="51"/>
      <c r="PX27" s="51"/>
      <c r="PY27" s="51"/>
      <c r="PZ27" s="51"/>
      <c r="QA27" s="51"/>
      <c r="QB27" s="51"/>
      <c r="QC27" s="51"/>
      <c r="QD27" s="51"/>
      <c r="QE27" s="51"/>
      <c r="QF27" s="51"/>
      <c r="QG27" s="51"/>
      <c r="QH27" s="51"/>
      <c r="QI27" s="51"/>
      <c r="QJ27" s="51"/>
      <c r="QK27" s="51"/>
      <c r="QL27" s="51"/>
      <c r="QM27" s="51"/>
      <c r="QN27" s="51"/>
      <c r="QO27" s="51"/>
      <c r="QP27" s="51"/>
      <c r="QQ27" s="51"/>
      <c r="QR27" s="51"/>
      <c r="QS27" s="51"/>
      <c r="QT27" s="51"/>
      <c r="QU27" s="51"/>
      <c r="QV27" s="51"/>
      <c r="QW27" s="51"/>
      <c r="QX27" s="51"/>
      <c r="QY27" s="51"/>
      <c r="QZ27" s="51"/>
      <c r="RA27" s="51"/>
      <c r="RB27" s="51"/>
      <c r="RC27" s="51"/>
      <c r="RD27" s="51"/>
      <c r="RE27" s="51"/>
      <c r="RF27" s="51"/>
      <c r="RG27" s="51"/>
      <c r="RH27" s="51"/>
      <c r="RI27" s="51"/>
      <c r="RJ27" s="51"/>
      <c r="RK27" s="51"/>
      <c r="RL27" s="51"/>
      <c r="RM27" s="51"/>
      <c r="RN27" s="51"/>
      <c r="RO27" s="51"/>
      <c r="RP27" s="51"/>
      <c r="RQ27" s="51"/>
      <c r="RR27" s="51"/>
      <c r="RS27" s="51"/>
      <c r="RT27" s="51"/>
      <c r="RU27" s="51"/>
      <c r="RV27" s="51"/>
      <c r="RW27" s="51"/>
      <c r="RX27" s="51"/>
      <c r="RY27" s="51"/>
      <c r="RZ27" s="51"/>
      <c r="SA27" s="51"/>
      <c r="SB27" s="51"/>
      <c r="SC27" s="51"/>
      <c r="SD27" s="51"/>
      <c r="SE27" s="51"/>
      <c r="SF27" s="51"/>
      <c r="SG27" s="51"/>
      <c r="SH27" s="51"/>
      <c r="SI27" s="51"/>
      <c r="SJ27" s="51"/>
      <c r="SK27" s="51"/>
      <c r="SL27" s="51"/>
      <c r="SM27" s="51"/>
      <c r="SN27" s="51"/>
      <c r="SO27" s="51"/>
      <c r="SP27" s="51"/>
      <c r="SQ27" s="51"/>
      <c r="SR27" s="51"/>
      <c r="SS27" s="51"/>
      <c r="ST27" s="51"/>
      <c r="SU27" s="51"/>
      <c r="SV27" s="51"/>
      <c r="SW27" s="51"/>
      <c r="SX27" s="51"/>
      <c r="SY27" s="51"/>
      <c r="SZ27" s="51"/>
      <c r="TA27" s="51"/>
      <c r="TB27" s="51"/>
      <c r="TC27" s="51"/>
      <c r="TD27" s="51"/>
      <c r="TE27" s="51"/>
      <c r="TF27" s="51"/>
      <c r="TG27" s="51"/>
      <c r="TH27" s="51"/>
      <c r="TI27" s="51"/>
      <c r="TJ27" s="51"/>
      <c r="TK27" s="51"/>
      <c r="TL27" s="51"/>
      <c r="TM27" s="51"/>
      <c r="TN27" s="51"/>
      <c r="TO27" s="51"/>
      <c r="TP27" s="51"/>
      <c r="TQ27" s="51"/>
      <c r="TR27" s="51"/>
      <c r="TS27" s="51"/>
      <c r="TT27" s="51"/>
      <c r="TU27" s="51"/>
      <c r="TV27" s="51"/>
      <c r="TW27" s="51"/>
      <c r="TX27" s="51"/>
      <c r="TY27" s="51"/>
      <c r="TZ27" s="51"/>
      <c r="UA27" s="51"/>
      <c r="UB27" s="51"/>
      <c r="UC27" s="51"/>
      <c r="UD27" s="51"/>
      <c r="UE27" s="51"/>
      <c r="UF27" s="51"/>
      <c r="UG27" s="51"/>
      <c r="UH27" s="51"/>
      <c r="UI27" s="51"/>
      <c r="UJ27" s="51"/>
      <c r="UK27" s="51"/>
      <c r="UL27" s="51"/>
      <c r="UM27" s="51"/>
      <c r="UN27" s="51"/>
      <c r="UO27" s="51"/>
      <c r="UP27" s="51"/>
      <c r="UQ27" s="51"/>
      <c r="UR27" s="51"/>
      <c r="US27" s="51"/>
      <c r="UT27" s="51"/>
      <c r="UU27" s="51"/>
      <c r="UV27" s="51"/>
      <c r="UW27" s="51"/>
      <c r="UX27" s="51"/>
      <c r="UY27" s="51"/>
      <c r="UZ27" s="51"/>
      <c r="VA27" s="51"/>
      <c r="VB27" s="51"/>
      <c r="VC27" s="51"/>
      <c r="VD27" s="51"/>
      <c r="VE27" s="51"/>
      <c r="VF27" s="51"/>
      <c r="VG27" s="51"/>
      <c r="VH27" s="51"/>
      <c r="VI27" s="51"/>
      <c r="VJ27" s="51"/>
      <c r="VK27" s="51"/>
      <c r="VL27" s="51"/>
      <c r="VM27" s="51"/>
      <c r="VN27" s="51"/>
      <c r="VO27" s="51"/>
      <c r="VP27" s="51"/>
      <c r="VQ27" s="51"/>
      <c r="VR27" s="51"/>
      <c r="VS27" s="51"/>
      <c r="VT27" s="51"/>
      <c r="VU27" s="51"/>
      <c r="VV27" s="51"/>
      <c r="VW27" s="51"/>
      <c r="VX27" s="51"/>
      <c r="VY27" s="51"/>
      <c r="VZ27" s="51"/>
      <c r="WA27" s="51"/>
      <c r="WB27" s="51"/>
      <c r="WC27" s="51"/>
      <c r="WD27" s="51"/>
      <c r="WE27" s="51"/>
      <c r="WF27" s="51"/>
      <c r="WG27" s="51"/>
    </row>
    <row r="28" spans="1:605" x14ac:dyDescent="0.25">
      <c r="A28" s="28">
        <v>26</v>
      </c>
      <c r="B28" s="28" t="s">
        <v>42</v>
      </c>
      <c r="C28" s="28" t="s">
        <v>44</v>
      </c>
      <c r="D28" s="28" t="s">
        <v>596</v>
      </c>
      <c r="E28" s="28">
        <v>1</v>
      </c>
      <c r="F28" s="28">
        <v>100</v>
      </c>
      <c r="G28" s="28">
        <v>5</v>
      </c>
      <c r="H28" s="50">
        <f t="shared" si="6"/>
        <v>105</v>
      </c>
      <c r="I28" s="28">
        <v>14</v>
      </c>
      <c r="J28" s="28">
        <v>205</v>
      </c>
      <c r="K28" s="28">
        <f t="shared" si="14"/>
        <v>219</v>
      </c>
      <c r="L28" s="49">
        <f t="shared" si="7"/>
        <v>41949</v>
      </c>
      <c r="M28" s="51">
        <f t="shared" si="8"/>
        <v>145</v>
      </c>
      <c r="N28" s="51">
        <v>3000</v>
      </c>
      <c r="O28" s="28">
        <v>13.8</v>
      </c>
      <c r="P28" s="28">
        <f t="shared" si="43"/>
        <v>2586</v>
      </c>
      <c r="Q28" s="52">
        <f t="shared" si="44"/>
        <v>1019445</v>
      </c>
      <c r="R28" s="52">
        <f t="shared" ref="R28:R32" si="53">Q28/H28</f>
        <v>9709</v>
      </c>
      <c r="S28" s="28">
        <f t="shared" si="45"/>
        <v>1.1342465753424658</v>
      </c>
      <c r="IF28" s="51">
        <f>N28</f>
        <v>3000</v>
      </c>
      <c r="IG28" s="51">
        <f t="shared" si="46"/>
        <v>2998.8657534246577</v>
      </c>
      <c r="IH28" s="51">
        <f t="shared" si="46"/>
        <v>2997.7315068493153</v>
      </c>
      <c r="II28" s="51">
        <f t="shared" si="46"/>
        <v>2996.597260273973</v>
      </c>
      <c r="IJ28" s="51">
        <f t="shared" si="46"/>
        <v>2995.4630136986307</v>
      </c>
      <c r="IK28" s="51">
        <f t="shared" si="46"/>
        <v>2994.3287671232883</v>
      </c>
      <c r="IL28" s="51">
        <f t="shared" si="46"/>
        <v>2993.194520547946</v>
      </c>
      <c r="IM28" s="51">
        <f t="shared" si="46"/>
        <v>2992.0602739726037</v>
      </c>
      <c r="IN28" s="51">
        <f t="shared" si="46"/>
        <v>2990.9260273972614</v>
      </c>
      <c r="IO28" s="51">
        <f t="shared" si="46"/>
        <v>2989.791780821919</v>
      </c>
      <c r="IP28" s="51">
        <f t="shared" si="46"/>
        <v>2988.6575342465767</v>
      </c>
      <c r="IQ28" s="51">
        <f t="shared" si="46"/>
        <v>2987.5232876712344</v>
      </c>
      <c r="IR28" s="51">
        <f t="shared" si="46"/>
        <v>2986.389041095892</v>
      </c>
      <c r="IS28" s="51">
        <f t="shared" si="46"/>
        <v>2985.2547945205497</v>
      </c>
      <c r="IT28" s="51">
        <f t="shared" si="46"/>
        <v>2984.1205479452074</v>
      </c>
      <c r="IU28" s="51">
        <f t="shared" si="46"/>
        <v>2982.986301369865</v>
      </c>
      <c r="IV28" s="51">
        <f t="shared" si="46"/>
        <v>2981.8520547945227</v>
      </c>
      <c r="IW28" s="51">
        <f t="shared" si="46"/>
        <v>2980.7178082191804</v>
      </c>
      <c r="IX28" s="51">
        <f t="shared" si="46"/>
        <v>2979.583561643838</v>
      </c>
      <c r="IY28" s="51">
        <f t="shared" si="46"/>
        <v>2978.4493150684957</v>
      </c>
      <c r="IZ28" s="51">
        <f t="shared" si="46"/>
        <v>2977.3150684931534</v>
      </c>
      <c r="JA28" s="51">
        <f t="shared" si="46"/>
        <v>2976.180821917811</v>
      </c>
      <c r="JB28" s="51">
        <f t="shared" si="46"/>
        <v>2975.0465753424687</v>
      </c>
      <c r="JC28" s="51">
        <f t="shared" si="46"/>
        <v>2973.9123287671264</v>
      </c>
      <c r="JD28" s="51">
        <f t="shared" si="46"/>
        <v>2972.7780821917841</v>
      </c>
      <c r="JE28" s="51">
        <f t="shared" si="46"/>
        <v>2971.6438356164417</v>
      </c>
      <c r="JF28" s="51">
        <f t="shared" si="46"/>
        <v>2970.5095890410994</v>
      </c>
      <c r="JG28" s="51">
        <f t="shared" si="46"/>
        <v>2969.3753424657571</v>
      </c>
      <c r="JH28" s="51">
        <f t="shared" si="46"/>
        <v>2968.2410958904147</v>
      </c>
      <c r="JI28" s="51">
        <f t="shared" si="46"/>
        <v>2967.1068493150724</v>
      </c>
      <c r="JJ28" s="51">
        <f t="shared" si="46"/>
        <v>2965.9726027397301</v>
      </c>
      <c r="JK28" s="51">
        <f t="shared" si="46"/>
        <v>2964.8383561643877</v>
      </c>
      <c r="JL28" s="51">
        <f t="shared" si="46"/>
        <v>2963.7041095890454</v>
      </c>
      <c r="JM28" s="51">
        <f t="shared" si="46"/>
        <v>2962.5698630137031</v>
      </c>
      <c r="JN28" s="51">
        <f t="shared" si="46"/>
        <v>2961.4356164383607</v>
      </c>
      <c r="JO28" s="51">
        <f t="shared" si="46"/>
        <v>2960.3013698630184</v>
      </c>
      <c r="JP28" s="51">
        <f t="shared" si="46"/>
        <v>2959.1671232876761</v>
      </c>
      <c r="JQ28" s="51">
        <f t="shared" si="46"/>
        <v>2958.0328767123337</v>
      </c>
      <c r="JR28" s="51">
        <f t="shared" si="46"/>
        <v>2956.8986301369914</v>
      </c>
      <c r="JS28" s="51">
        <f t="shared" si="46"/>
        <v>2955.7643835616491</v>
      </c>
      <c r="JT28" s="51">
        <f t="shared" si="46"/>
        <v>2954.6301369863068</v>
      </c>
      <c r="JU28" s="51">
        <f t="shared" si="46"/>
        <v>2953.4958904109644</v>
      </c>
      <c r="JV28" s="51">
        <f t="shared" si="46"/>
        <v>2952.3616438356221</v>
      </c>
      <c r="JW28" s="51">
        <f t="shared" si="46"/>
        <v>2951.2273972602798</v>
      </c>
      <c r="JX28" s="51">
        <f t="shared" si="46"/>
        <v>2950.0931506849374</v>
      </c>
      <c r="JY28" s="51">
        <f t="shared" si="46"/>
        <v>2948.9589041095951</v>
      </c>
      <c r="JZ28" s="51">
        <f t="shared" si="46"/>
        <v>2947.8246575342528</v>
      </c>
      <c r="KA28" s="51">
        <f t="shared" si="46"/>
        <v>2946.6904109589104</v>
      </c>
      <c r="KB28" s="51">
        <f t="shared" si="46"/>
        <v>2945.5561643835681</v>
      </c>
      <c r="KC28" s="51">
        <f t="shared" si="46"/>
        <v>2944.4219178082258</v>
      </c>
      <c r="KD28" s="51">
        <f t="shared" si="46"/>
        <v>2943.2876712328834</v>
      </c>
      <c r="KE28" s="51">
        <f t="shared" si="46"/>
        <v>2942.1534246575411</v>
      </c>
      <c r="KF28" s="51">
        <f t="shared" si="46"/>
        <v>2941.0191780821988</v>
      </c>
      <c r="KG28" s="51">
        <f t="shared" si="46"/>
        <v>2939.8849315068564</v>
      </c>
      <c r="KH28" s="51">
        <f t="shared" si="46"/>
        <v>2938.7506849315141</v>
      </c>
      <c r="KI28" s="51">
        <f t="shared" si="46"/>
        <v>2937.6164383561718</v>
      </c>
      <c r="KJ28" s="51">
        <f t="shared" si="46"/>
        <v>2936.4821917808295</v>
      </c>
      <c r="KK28" s="51">
        <f t="shared" si="46"/>
        <v>2935.3479452054871</v>
      </c>
      <c r="KL28" s="51">
        <f t="shared" si="46"/>
        <v>2934.2136986301448</v>
      </c>
      <c r="KM28" s="51">
        <f t="shared" si="46"/>
        <v>2933.0794520548025</v>
      </c>
      <c r="KN28" s="51">
        <f t="shared" si="46"/>
        <v>2931.9452054794601</v>
      </c>
      <c r="KO28" s="51">
        <f t="shared" si="46"/>
        <v>2930.8109589041178</v>
      </c>
      <c r="KP28" s="51">
        <f t="shared" si="46"/>
        <v>2929.6767123287755</v>
      </c>
      <c r="KQ28" s="51">
        <f t="shared" si="46"/>
        <v>2928.5424657534331</v>
      </c>
      <c r="KR28" s="51">
        <f t="shared" si="46"/>
        <v>2927.4082191780908</v>
      </c>
      <c r="KS28" s="51">
        <f t="shared" si="47"/>
        <v>2926.2739726027485</v>
      </c>
      <c r="KT28" s="51">
        <f t="shared" si="47"/>
        <v>2925.1397260274061</v>
      </c>
      <c r="KU28" s="51">
        <f t="shared" si="47"/>
        <v>2924.0054794520638</v>
      </c>
      <c r="KV28" s="51">
        <f t="shared" si="47"/>
        <v>2922.8712328767215</v>
      </c>
      <c r="KW28" s="51">
        <f t="shared" si="47"/>
        <v>2921.7369863013791</v>
      </c>
      <c r="KX28" s="51">
        <f t="shared" si="47"/>
        <v>2920.6027397260368</v>
      </c>
      <c r="KY28" s="51">
        <f t="shared" si="47"/>
        <v>2919.4684931506945</v>
      </c>
      <c r="KZ28" s="51">
        <f t="shared" si="47"/>
        <v>2918.3342465753522</v>
      </c>
      <c r="LA28" s="51">
        <f t="shared" si="47"/>
        <v>2917.2000000000098</v>
      </c>
      <c r="LB28" s="51">
        <f t="shared" si="47"/>
        <v>2916.0657534246675</v>
      </c>
      <c r="LC28" s="51">
        <f t="shared" si="47"/>
        <v>2914.9315068493252</v>
      </c>
      <c r="LD28" s="51">
        <f t="shared" si="47"/>
        <v>2913.7972602739828</v>
      </c>
      <c r="LE28" s="51">
        <f t="shared" si="47"/>
        <v>2912.6630136986405</v>
      </c>
      <c r="LF28" s="51">
        <f t="shared" si="47"/>
        <v>2911.5287671232982</v>
      </c>
      <c r="LG28" s="51">
        <f t="shared" si="47"/>
        <v>2910.3945205479558</v>
      </c>
      <c r="LH28" s="51">
        <f t="shared" si="47"/>
        <v>2909.2602739726135</v>
      </c>
      <c r="LI28" s="51">
        <f t="shared" si="48"/>
        <v>2908.1260273972712</v>
      </c>
      <c r="LJ28" s="51">
        <f t="shared" si="48"/>
        <v>2906.9917808219288</v>
      </c>
      <c r="LK28" s="51">
        <f t="shared" si="48"/>
        <v>2905.8575342465865</v>
      </c>
      <c r="LL28" s="51">
        <f t="shared" si="48"/>
        <v>2904.7232876712442</v>
      </c>
      <c r="LM28" s="51">
        <f t="shared" si="48"/>
        <v>2903.5890410959018</v>
      </c>
      <c r="LN28" s="51">
        <f t="shared" si="48"/>
        <v>2902.4547945205595</v>
      </c>
      <c r="LO28" s="51">
        <f t="shared" si="48"/>
        <v>2901.3205479452172</v>
      </c>
      <c r="LP28" s="51">
        <f t="shared" si="48"/>
        <v>2900.1863013698749</v>
      </c>
      <c r="LQ28" s="51">
        <f t="shared" si="48"/>
        <v>2899.0520547945325</v>
      </c>
      <c r="LR28" s="51">
        <f t="shared" si="48"/>
        <v>2897.9178082191902</v>
      </c>
      <c r="LS28" s="51">
        <f t="shared" si="48"/>
        <v>2896.7835616438479</v>
      </c>
      <c r="LT28" s="51">
        <f t="shared" si="48"/>
        <v>2895.6493150685055</v>
      </c>
      <c r="LU28" s="51">
        <f t="shared" si="48"/>
        <v>2894.5150684931632</v>
      </c>
      <c r="LV28" s="51">
        <f t="shared" si="48"/>
        <v>2893.3808219178209</v>
      </c>
      <c r="LW28" s="51">
        <f t="shared" si="48"/>
        <v>2892.2465753424785</v>
      </c>
      <c r="LX28" s="51">
        <f t="shared" si="48"/>
        <v>2891.1123287671362</v>
      </c>
      <c r="LY28" s="51">
        <f t="shared" si="49"/>
        <v>2889.9780821917939</v>
      </c>
      <c r="LZ28" s="51">
        <f t="shared" si="49"/>
        <v>2888.8438356164515</v>
      </c>
      <c r="MA28" s="51">
        <f t="shared" si="49"/>
        <v>2887.7095890411092</v>
      </c>
      <c r="MB28" s="51">
        <f t="shared" si="49"/>
        <v>2886.5753424657669</v>
      </c>
      <c r="MC28" s="51">
        <f t="shared" si="49"/>
        <v>2885.4410958904245</v>
      </c>
      <c r="MD28" s="51">
        <f t="shared" si="49"/>
        <v>2884.3068493150822</v>
      </c>
      <c r="ME28" s="51">
        <f t="shared" si="49"/>
        <v>2883.1726027397399</v>
      </c>
      <c r="MF28" s="51">
        <f t="shared" si="49"/>
        <v>2882.0383561643976</v>
      </c>
      <c r="MG28" s="51">
        <f t="shared" si="49"/>
        <v>2880.9041095890552</v>
      </c>
      <c r="MH28" s="51">
        <f t="shared" si="49"/>
        <v>2879.7698630137129</v>
      </c>
      <c r="MI28" s="51">
        <f t="shared" si="49"/>
        <v>2878.6356164383706</v>
      </c>
      <c r="MJ28" s="51">
        <f t="shared" si="49"/>
        <v>2877.5013698630282</v>
      </c>
      <c r="MK28" s="51">
        <f t="shared" si="49"/>
        <v>2876.3671232876859</v>
      </c>
      <c r="ML28" s="51">
        <f t="shared" si="49"/>
        <v>2875.2328767123436</v>
      </c>
      <c r="MM28" s="51">
        <f t="shared" si="49"/>
        <v>2874.0986301370012</v>
      </c>
      <c r="MN28" s="51">
        <f t="shared" si="49"/>
        <v>2872.9643835616589</v>
      </c>
      <c r="MO28" s="51">
        <f t="shared" si="50"/>
        <v>2871.8301369863166</v>
      </c>
      <c r="MP28" s="51">
        <f t="shared" si="50"/>
        <v>2870.6958904109742</v>
      </c>
      <c r="MQ28" s="51">
        <f t="shared" si="50"/>
        <v>2869.5616438356319</v>
      </c>
      <c r="MR28" s="51">
        <f t="shared" si="50"/>
        <v>2868.4273972602896</v>
      </c>
      <c r="MS28" s="51">
        <f t="shared" si="50"/>
        <v>2867.2931506849472</v>
      </c>
      <c r="MT28" s="51">
        <f t="shared" si="50"/>
        <v>2866.1589041096049</v>
      </c>
      <c r="MU28" s="51">
        <f t="shared" si="50"/>
        <v>2865.0246575342626</v>
      </c>
      <c r="MV28" s="51">
        <f t="shared" si="50"/>
        <v>2863.8904109589203</v>
      </c>
      <c r="MW28" s="51">
        <f t="shared" si="50"/>
        <v>2862.7561643835779</v>
      </c>
      <c r="MX28" s="51">
        <f t="shared" si="50"/>
        <v>2861.6219178082356</v>
      </c>
      <c r="MY28" s="51">
        <f t="shared" si="50"/>
        <v>2860.4876712328933</v>
      </c>
      <c r="MZ28" s="51">
        <f t="shared" si="50"/>
        <v>2859.3534246575509</v>
      </c>
      <c r="NA28" s="51">
        <f t="shared" si="50"/>
        <v>2858.2191780822086</v>
      </c>
      <c r="NB28" s="51">
        <f t="shared" si="50"/>
        <v>2857.0849315068663</v>
      </c>
      <c r="NC28" s="51">
        <f t="shared" si="50"/>
        <v>2855.9506849315239</v>
      </c>
      <c r="ND28" s="51">
        <f t="shared" si="50"/>
        <v>2854.8164383561816</v>
      </c>
      <c r="NE28" s="51">
        <f t="shared" si="52"/>
        <v>2853.6821917808393</v>
      </c>
      <c r="NF28" s="51">
        <f t="shared" si="52"/>
        <v>2852.5479452054969</v>
      </c>
      <c r="NG28" s="51">
        <f t="shared" si="52"/>
        <v>2851.4136986301546</v>
      </c>
      <c r="NH28" s="51">
        <f t="shared" si="52"/>
        <v>2850.2794520548123</v>
      </c>
      <c r="NI28" s="51">
        <f t="shared" si="52"/>
        <v>2849.14520547947</v>
      </c>
      <c r="NJ28" s="51">
        <f t="shared" si="52"/>
        <v>2848.0109589041276</v>
      </c>
      <c r="NK28" s="51">
        <f t="shared" si="52"/>
        <v>2846.8767123287853</v>
      </c>
      <c r="NL28" s="51">
        <f t="shared" si="52"/>
        <v>2845.742465753443</v>
      </c>
      <c r="NM28" s="51">
        <f t="shared" si="52"/>
        <v>2844.6082191781006</v>
      </c>
      <c r="NN28" s="51">
        <f t="shared" si="52"/>
        <v>2843.4739726027583</v>
      </c>
      <c r="NO28" s="51">
        <f t="shared" si="52"/>
        <v>2842.339726027416</v>
      </c>
      <c r="NP28" s="51">
        <f t="shared" si="52"/>
        <v>2841.2054794520736</v>
      </c>
      <c r="NQ28" s="51">
        <f t="shared" si="52"/>
        <v>2840.0712328767313</v>
      </c>
      <c r="NR28" s="51">
        <f t="shared" si="52"/>
        <v>2838.936986301389</v>
      </c>
      <c r="NS28" s="51">
        <f t="shared" si="52"/>
        <v>2837.8027397260466</v>
      </c>
      <c r="NT28" s="51">
        <f t="shared" si="52"/>
        <v>2836.6684931507043</v>
      </c>
      <c r="NU28" s="51">
        <f t="shared" si="52"/>
        <v>2835.534246575362</v>
      </c>
      <c r="NV28" s="51"/>
      <c r="NW28" s="51"/>
      <c r="NX28" s="51"/>
      <c r="NY28" s="51"/>
      <c r="NZ28" s="51"/>
      <c r="OA28" s="51"/>
      <c r="OB28" s="51"/>
      <c r="OC28" s="51"/>
      <c r="OD28" s="51"/>
      <c r="OE28" s="51"/>
      <c r="OF28" s="51"/>
      <c r="OG28" s="51"/>
      <c r="OH28" s="51"/>
      <c r="OI28" s="51"/>
      <c r="OJ28" s="51"/>
      <c r="OK28" s="51"/>
      <c r="OL28" s="51"/>
      <c r="OM28" s="51"/>
      <c r="ON28" s="51"/>
      <c r="OO28" s="51"/>
      <c r="OP28" s="51"/>
      <c r="OQ28" s="51"/>
      <c r="OR28" s="51"/>
      <c r="OS28" s="51"/>
      <c r="OT28" s="51"/>
      <c r="OU28" s="51"/>
      <c r="OV28" s="51"/>
      <c r="OW28" s="51"/>
      <c r="OX28" s="51"/>
      <c r="OY28" s="51"/>
      <c r="OZ28" s="51"/>
      <c r="PA28" s="51"/>
      <c r="PB28" s="51"/>
      <c r="PC28" s="51"/>
      <c r="PD28" s="51"/>
      <c r="PE28" s="51"/>
      <c r="PF28" s="51"/>
      <c r="PG28" s="51"/>
      <c r="PH28" s="51"/>
      <c r="PI28" s="51"/>
      <c r="PJ28" s="51"/>
      <c r="PK28" s="51"/>
      <c r="PL28" s="51"/>
      <c r="PM28" s="51"/>
      <c r="PN28" s="51"/>
      <c r="PO28" s="51"/>
      <c r="PP28" s="51"/>
      <c r="PQ28" s="51"/>
      <c r="PR28" s="51"/>
      <c r="PS28" s="51"/>
      <c r="PT28" s="51"/>
      <c r="PU28" s="51"/>
      <c r="PV28" s="51"/>
      <c r="PW28" s="51"/>
      <c r="PX28" s="51"/>
      <c r="PY28" s="51"/>
      <c r="PZ28" s="51"/>
      <c r="QA28" s="51"/>
      <c r="QB28" s="51"/>
      <c r="QC28" s="51"/>
      <c r="QD28" s="51"/>
      <c r="QE28" s="51"/>
      <c r="QF28" s="51"/>
      <c r="QG28" s="51"/>
      <c r="QH28" s="51"/>
      <c r="QI28" s="51"/>
      <c r="QJ28" s="51"/>
      <c r="QK28" s="51"/>
      <c r="QL28" s="51"/>
      <c r="QM28" s="51"/>
      <c r="QN28" s="51"/>
      <c r="QO28" s="51"/>
      <c r="QP28" s="51"/>
      <c r="QQ28" s="51"/>
      <c r="QR28" s="51"/>
      <c r="QS28" s="51"/>
      <c r="QT28" s="51"/>
      <c r="QU28" s="51"/>
      <c r="QV28" s="51"/>
      <c r="QW28" s="51"/>
      <c r="QX28" s="51"/>
      <c r="QY28" s="51"/>
      <c r="QZ28" s="51"/>
      <c r="RA28" s="51"/>
      <c r="RB28" s="51"/>
      <c r="RC28" s="51"/>
      <c r="RD28" s="51"/>
      <c r="RE28" s="51"/>
      <c r="RF28" s="51"/>
      <c r="RG28" s="51"/>
      <c r="RH28" s="51"/>
      <c r="RI28" s="51"/>
      <c r="RJ28" s="51"/>
      <c r="RK28" s="51"/>
      <c r="RL28" s="51"/>
      <c r="RM28" s="51"/>
      <c r="RN28" s="51"/>
      <c r="RO28" s="51"/>
      <c r="RP28" s="51"/>
      <c r="RQ28" s="51"/>
      <c r="RR28" s="51"/>
      <c r="RS28" s="51"/>
      <c r="RT28" s="51"/>
      <c r="RU28" s="51"/>
      <c r="RV28" s="51"/>
      <c r="RW28" s="51"/>
      <c r="RX28" s="51"/>
      <c r="RY28" s="51"/>
      <c r="RZ28" s="51"/>
      <c r="SA28" s="51"/>
      <c r="SB28" s="51"/>
      <c r="SC28" s="51"/>
      <c r="SD28" s="51"/>
      <c r="SE28" s="51"/>
      <c r="SF28" s="51"/>
      <c r="SG28" s="51"/>
      <c r="SH28" s="51"/>
      <c r="SI28" s="51"/>
      <c r="SJ28" s="51"/>
      <c r="SK28" s="51"/>
      <c r="SL28" s="51"/>
      <c r="SM28" s="51"/>
      <c r="SN28" s="51"/>
      <c r="SO28" s="51"/>
      <c r="SP28" s="51"/>
      <c r="SQ28" s="51"/>
      <c r="SR28" s="51"/>
      <c r="SS28" s="51"/>
      <c r="ST28" s="51"/>
      <c r="SU28" s="51"/>
      <c r="SV28" s="51"/>
      <c r="SW28" s="51"/>
      <c r="SX28" s="51"/>
      <c r="SY28" s="51"/>
      <c r="SZ28" s="51"/>
      <c r="TA28" s="51"/>
      <c r="TB28" s="51"/>
      <c r="TC28" s="51"/>
      <c r="TD28" s="51"/>
      <c r="TE28" s="51"/>
      <c r="TF28" s="51"/>
      <c r="TG28" s="51"/>
      <c r="TH28" s="51"/>
      <c r="TI28" s="51"/>
      <c r="TJ28" s="51"/>
      <c r="TK28" s="51"/>
      <c r="TL28" s="51"/>
      <c r="TM28" s="51"/>
      <c r="TN28" s="51"/>
      <c r="TO28" s="51"/>
      <c r="TP28" s="51"/>
      <c r="TQ28" s="51"/>
      <c r="TR28" s="51"/>
      <c r="TS28" s="51"/>
      <c r="TT28" s="51"/>
      <c r="TU28" s="51"/>
      <c r="TV28" s="51"/>
      <c r="TW28" s="51"/>
      <c r="TX28" s="51"/>
      <c r="TY28" s="51"/>
      <c r="TZ28" s="51"/>
      <c r="UA28" s="51"/>
      <c r="UB28" s="51"/>
      <c r="UC28" s="51"/>
      <c r="UD28" s="51"/>
      <c r="UE28" s="51"/>
      <c r="UF28" s="51"/>
      <c r="UG28" s="51"/>
      <c r="UH28" s="51"/>
      <c r="UI28" s="51"/>
      <c r="UJ28" s="51"/>
      <c r="UK28" s="51"/>
      <c r="UL28" s="51"/>
      <c r="UM28" s="51"/>
      <c r="UN28" s="51"/>
      <c r="UO28" s="51"/>
      <c r="UP28" s="51"/>
      <c r="UQ28" s="51"/>
      <c r="UR28" s="51"/>
      <c r="US28" s="51"/>
      <c r="UT28" s="51"/>
      <c r="UU28" s="51"/>
      <c r="UV28" s="51"/>
      <c r="UW28" s="51"/>
      <c r="UX28" s="51"/>
      <c r="UY28" s="51"/>
      <c r="UZ28" s="51"/>
      <c r="VA28" s="51"/>
      <c r="VB28" s="51"/>
      <c r="VC28" s="51"/>
      <c r="VD28" s="51"/>
      <c r="VE28" s="51"/>
      <c r="VF28" s="51"/>
      <c r="VG28" s="51"/>
      <c r="VH28" s="51"/>
      <c r="VI28" s="51"/>
      <c r="VJ28" s="51"/>
      <c r="VK28" s="51"/>
      <c r="VL28" s="51"/>
      <c r="VM28" s="51"/>
      <c r="VN28" s="51"/>
      <c r="VO28" s="51"/>
      <c r="VP28" s="51"/>
      <c r="VQ28" s="51"/>
      <c r="VR28" s="51"/>
      <c r="VS28" s="51"/>
      <c r="VT28" s="51"/>
      <c r="VU28" s="51"/>
      <c r="VV28" s="51"/>
      <c r="VW28" s="51"/>
      <c r="VX28" s="51"/>
      <c r="VY28" s="51"/>
      <c r="VZ28" s="51"/>
      <c r="WA28" s="51"/>
      <c r="WB28" s="51"/>
      <c r="WC28" s="51"/>
      <c r="WD28" s="51"/>
      <c r="WE28" s="51"/>
      <c r="WF28" s="51"/>
      <c r="WG28" s="51"/>
    </row>
    <row r="29" spans="1:605" x14ac:dyDescent="0.25">
      <c r="A29" s="28">
        <v>27</v>
      </c>
      <c r="B29" s="28" t="s">
        <v>11</v>
      </c>
      <c r="C29" s="28" t="s">
        <v>44</v>
      </c>
      <c r="D29" s="28" t="s">
        <v>596</v>
      </c>
      <c r="E29" s="28">
        <v>1</v>
      </c>
      <c r="F29" s="28">
        <v>100</v>
      </c>
      <c r="G29" s="28">
        <v>5</v>
      </c>
      <c r="H29" s="50">
        <f t="shared" si="6"/>
        <v>105</v>
      </c>
      <c r="I29" s="28">
        <v>14</v>
      </c>
      <c r="J29" s="28">
        <v>205</v>
      </c>
      <c r="K29" s="28">
        <f t="shared" si="14"/>
        <v>219</v>
      </c>
      <c r="L29" s="49">
        <f t="shared" si="7"/>
        <v>41949</v>
      </c>
      <c r="M29" s="51">
        <f t="shared" si="8"/>
        <v>145</v>
      </c>
      <c r="N29" s="51">
        <v>2000</v>
      </c>
      <c r="O29" s="28">
        <v>26.6</v>
      </c>
      <c r="P29" s="28">
        <f t="shared" si="43"/>
        <v>1468</v>
      </c>
      <c r="Q29" s="52">
        <f t="shared" si="44"/>
        <v>632910</v>
      </c>
      <c r="R29" s="52">
        <f t="shared" si="53"/>
        <v>6027.7142857142853</v>
      </c>
      <c r="S29" s="28">
        <f t="shared" si="45"/>
        <v>1.4575342465753425</v>
      </c>
      <c r="IF29" s="51">
        <f>N29</f>
        <v>2000</v>
      </c>
      <c r="IG29" s="51">
        <f t="shared" si="46"/>
        <v>1998.5424657534247</v>
      </c>
      <c r="IH29" s="51">
        <f t="shared" si="46"/>
        <v>1997.0849315068494</v>
      </c>
      <c r="II29" s="51">
        <f t="shared" si="46"/>
        <v>1995.6273972602742</v>
      </c>
      <c r="IJ29" s="51">
        <f t="shared" si="46"/>
        <v>1994.1698630136989</v>
      </c>
      <c r="IK29" s="51">
        <f t="shared" si="46"/>
        <v>1992.7123287671236</v>
      </c>
      <c r="IL29" s="51">
        <f t="shared" si="46"/>
        <v>1991.2547945205483</v>
      </c>
      <c r="IM29" s="51">
        <f t="shared" si="46"/>
        <v>1989.7972602739731</v>
      </c>
      <c r="IN29" s="51">
        <f t="shared" si="46"/>
        <v>1988.3397260273978</v>
      </c>
      <c r="IO29" s="51">
        <f t="shared" si="46"/>
        <v>1986.8821917808225</v>
      </c>
      <c r="IP29" s="51">
        <f t="shared" si="46"/>
        <v>1985.4246575342472</v>
      </c>
      <c r="IQ29" s="51">
        <f t="shared" si="46"/>
        <v>1983.9671232876719</v>
      </c>
      <c r="IR29" s="51">
        <f t="shared" si="46"/>
        <v>1982.5095890410967</v>
      </c>
      <c r="IS29" s="51">
        <f t="shared" si="46"/>
        <v>1981.0520547945214</v>
      </c>
      <c r="IT29" s="51">
        <f t="shared" si="46"/>
        <v>1979.5945205479461</v>
      </c>
      <c r="IU29" s="51">
        <f t="shared" si="46"/>
        <v>1978.1369863013708</v>
      </c>
      <c r="IV29" s="51">
        <f t="shared" si="46"/>
        <v>1976.6794520547955</v>
      </c>
      <c r="IW29" s="51">
        <f t="shared" si="46"/>
        <v>1975.2219178082203</v>
      </c>
      <c r="IX29" s="51">
        <f t="shared" si="46"/>
        <v>1973.764383561645</v>
      </c>
      <c r="IY29" s="51">
        <f t="shared" si="46"/>
        <v>1972.3068493150697</v>
      </c>
      <c r="IZ29" s="51">
        <f t="shared" si="46"/>
        <v>1970.8493150684944</v>
      </c>
      <c r="JA29" s="51">
        <f t="shared" si="46"/>
        <v>1969.3917808219192</v>
      </c>
      <c r="JB29" s="51">
        <f t="shared" si="46"/>
        <v>1967.9342465753439</v>
      </c>
      <c r="JC29" s="51">
        <f t="shared" si="46"/>
        <v>1966.4767123287686</v>
      </c>
      <c r="JD29" s="51">
        <f t="shared" si="46"/>
        <v>1965.0191780821933</v>
      </c>
      <c r="JE29" s="51">
        <f t="shared" si="46"/>
        <v>1963.561643835618</v>
      </c>
      <c r="JF29" s="51">
        <f t="shared" si="46"/>
        <v>1962.1041095890428</v>
      </c>
      <c r="JG29" s="51">
        <f t="shared" si="46"/>
        <v>1960.6465753424675</v>
      </c>
      <c r="JH29" s="51">
        <f t="shared" si="46"/>
        <v>1959.1890410958922</v>
      </c>
      <c r="JI29" s="51">
        <f t="shared" si="46"/>
        <v>1957.7315068493169</v>
      </c>
      <c r="JJ29" s="51">
        <f t="shared" si="46"/>
        <v>1956.2739726027417</v>
      </c>
      <c r="JK29" s="51">
        <f t="shared" si="46"/>
        <v>1954.8164383561664</v>
      </c>
      <c r="JL29" s="51">
        <f t="shared" si="46"/>
        <v>1953.3589041095911</v>
      </c>
      <c r="JM29" s="51">
        <f t="shared" si="46"/>
        <v>1951.9013698630158</v>
      </c>
      <c r="JN29" s="51">
        <f t="shared" si="46"/>
        <v>1950.4438356164405</v>
      </c>
      <c r="JO29" s="51">
        <f t="shared" si="46"/>
        <v>1948.9863013698653</v>
      </c>
      <c r="JP29" s="51">
        <f t="shared" si="46"/>
        <v>1947.52876712329</v>
      </c>
      <c r="JQ29" s="51">
        <f t="shared" si="46"/>
        <v>1946.0712328767147</v>
      </c>
      <c r="JR29" s="51">
        <f t="shared" si="46"/>
        <v>1944.6136986301394</v>
      </c>
      <c r="JS29" s="51">
        <f t="shared" si="46"/>
        <v>1943.1561643835641</v>
      </c>
      <c r="JT29" s="51">
        <f t="shared" si="46"/>
        <v>1941.6986301369889</v>
      </c>
      <c r="JU29" s="51">
        <f t="shared" si="46"/>
        <v>1940.2410958904136</v>
      </c>
      <c r="JV29" s="51">
        <f t="shared" si="46"/>
        <v>1938.7835616438383</v>
      </c>
      <c r="JW29" s="51">
        <f t="shared" si="46"/>
        <v>1937.326027397263</v>
      </c>
      <c r="JX29" s="51">
        <f t="shared" si="46"/>
        <v>1935.8684931506878</v>
      </c>
      <c r="JY29" s="51">
        <f t="shared" si="46"/>
        <v>1934.4109589041125</v>
      </c>
      <c r="JZ29" s="51">
        <f t="shared" si="46"/>
        <v>1932.9534246575372</v>
      </c>
      <c r="KA29" s="51">
        <f t="shared" si="46"/>
        <v>1931.4958904109619</v>
      </c>
      <c r="KB29" s="51">
        <f t="shared" si="46"/>
        <v>1930.0383561643866</v>
      </c>
      <c r="KC29" s="51">
        <f t="shared" si="46"/>
        <v>1928.5808219178114</v>
      </c>
      <c r="KD29" s="51">
        <f t="shared" si="46"/>
        <v>1927.1232876712361</v>
      </c>
      <c r="KE29" s="51">
        <f t="shared" si="46"/>
        <v>1925.6657534246608</v>
      </c>
      <c r="KF29" s="51">
        <f t="shared" si="46"/>
        <v>1924.2082191780855</v>
      </c>
      <c r="KG29" s="51">
        <f t="shared" si="46"/>
        <v>1922.7506849315102</v>
      </c>
      <c r="KH29" s="51">
        <f t="shared" si="46"/>
        <v>1921.293150684935</v>
      </c>
      <c r="KI29" s="51">
        <f t="shared" si="46"/>
        <v>1919.8356164383597</v>
      </c>
      <c r="KJ29" s="51">
        <f t="shared" si="46"/>
        <v>1918.3780821917844</v>
      </c>
      <c r="KK29" s="51">
        <f t="shared" si="46"/>
        <v>1916.9205479452091</v>
      </c>
      <c r="KL29" s="51">
        <f t="shared" si="46"/>
        <v>1915.4630136986339</v>
      </c>
      <c r="KM29" s="51">
        <f t="shared" si="46"/>
        <v>1914.0054794520586</v>
      </c>
      <c r="KN29" s="51">
        <f t="shared" si="46"/>
        <v>1912.5479452054833</v>
      </c>
      <c r="KO29" s="51">
        <f t="shared" si="46"/>
        <v>1911.090410958908</v>
      </c>
      <c r="KP29" s="51">
        <f t="shared" si="46"/>
        <v>1909.6328767123327</v>
      </c>
      <c r="KQ29" s="51">
        <f t="shared" si="46"/>
        <v>1908.1753424657575</v>
      </c>
      <c r="KR29" s="51">
        <f t="shared" si="46"/>
        <v>1906.7178082191822</v>
      </c>
      <c r="KS29" s="51">
        <f t="shared" si="47"/>
        <v>1905.2602739726069</v>
      </c>
      <c r="KT29" s="51">
        <f t="shared" si="47"/>
        <v>1903.8027397260316</v>
      </c>
      <c r="KU29" s="51">
        <f t="shared" si="47"/>
        <v>1902.3452054794564</v>
      </c>
      <c r="KV29" s="51">
        <f t="shared" si="47"/>
        <v>1900.8876712328811</v>
      </c>
      <c r="KW29" s="51">
        <f t="shared" si="47"/>
        <v>1899.4301369863058</v>
      </c>
      <c r="KX29" s="51">
        <f t="shared" si="47"/>
        <v>1897.9726027397305</v>
      </c>
      <c r="KY29" s="51">
        <f t="shared" si="47"/>
        <v>1896.5150684931552</v>
      </c>
      <c r="KZ29" s="51">
        <f t="shared" si="47"/>
        <v>1895.05753424658</v>
      </c>
      <c r="LA29" s="51">
        <f t="shared" si="47"/>
        <v>1893.6000000000047</v>
      </c>
      <c r="LB29" s="51">
        <f t="shared" si="47"/>
        <v>1892.1424657534294</v>
      </c>
      <c r="LC29" s="51">
        <f t="shared" si="47"/>
        <v>1890.6849315068541</v>
      </c>
      <c r="LD29" s="51">
        <f t="shared" si="47"/>
        <v>1889.2273972602788</v>
      </c>
      <c r="LE29" s="51">
        <f t="shared" si="47"/>
        <v>1887.7698630137036</v>
      </c>
      <c r="LF29" s="51">
        <f t="shared" si="47"/>
        <v>1886.3123287671283</v>
      </c>
      <c r="LG29" s="51">
        <f t="shared" si="47"/>
        <v>1884.854794520553</v>
      </c>
      <c r="LH29" s="51">
        <f t="shared" si="47"/>
        <v>1883.3972602739777</v>
      </c>
      <c r="LI29" s="51">
        <f t="shared" si="48"/>
        <v>1881.9397260274025</v>
      </c>
      <c r="LJ29" s="51">
        <f t="shared" si="48"/>
        <v>1880.4821917808272</v>
      </c>
      <c r="LK29" s="51">
        <f t="shared" si="48"/>
        <v>1879.0246575342519</v>
      </c>
      <c r="LL29" s="51">
        <f t="shared" si="48"/>
        <v>1877.5671232876766</v>
      </c>
      <c r="LM29" s="51">
        <f t="shared" si="48"/>
        <v>1876.1095890411013</v>
      </c>
      <c r="LN29" s="51">
        <f t="shared" si="48"/>
        <v>1874.6520547945261</v>
      </c>
      <c r="LO29" s="51">
        <f t="shared" si="48"/>
        <v>1873.1945205479508</v>
      </c>
      <c r="LP29" s="51">
        <f t="shared" si="48"/>
        <v>1871.7369863013755</v>
      </c>
      <c r="LQ29" s="51">
        <f t="shared" si="48"/>
        <v>1870.2794520548002</v>
      </c>
      <c r="LR29" s="51">
        <f t="shared" si="48"/>
        <v>1868.821917808225</v>
      </c>
      <c r="LS29" s="51">
        <f t="shared" si="48"/>
        <v>1867.3643835616497</v>
      </c>
      <c r="LT29" s="51">
        <f t="shared" si="48"/>
        <v>1865.9068493150744</v>
      </c>
      <c r="LU29" s="51">
        <f t="shared" si="48"/>
        <v>1864.4493150684991</v>
      </c>
      <c r="LV29" s="51">
        <f t="shared" si="48"/>
        <v>1862.9917808219238</v>
      </c>
      <c r="LW29" s="51">
        <f t="shared" si="48"/>
        <v>1861.5342465753486</v>
      </c>
      <c r="LX29" s="51">
        <f t="shared" si="48"/>
        <v>1860.0767123287733</v>
      </c>
      <c r="LY29" s="51">
        <f t="shared" si="49"/>
        <v>1858.619178082198</v>
      </c>
      <c r="LZ29" s="51">
        <f t="shared" si="49"/>
        <v>1857.1616438356227</v>
      </c>
      <c r="MA29" s="51">
        <f t="shared" si="49"/>
        <v>1855.7041095890474</v>
      </c>
      <c r="MB29" s="51">
        <f t="shared" si="49"/>
        <v>1854.2465753424722</v>
      </c>
      <c r="MC29" s="51">
        <f t="shared" si="49"/>
        <v>1852.7890410958969</v>
      </c>
      <c r="MD29" s="51">
        <f t="shared" si="49"/>
        <v>1851.3315068493216</v>
      </c>
      <c r="ME29" s="51">
        <f t="shared" si="49"/>
        <v>1849.8739726027463</v>
      </c>
      <c r="MF29" s="51">
        <f t="shared" si="49"/>
        <v>1848.4164383561711</v>
      </c>
      <c r="MG29" s="51">
        <f t="shared" si="49"/>
        <v>1846.9589041095958</v>
      </c>
      <c r="MH29" s="51">
        <f t="shared" si="49"/>
        <v>1845.5013698630205</v>
      </c>
      <c r="MI29" s="51">
        <f t="shared" si="49"/>
        <v>1844.0438356164452</v>
      </c>
      <c r="MJ29" s="51">
        <f t="shared" si="49"/>
        <v>1842.5863013698699</v>
      </c>
      <c r="MK29" s="51">
        <f t="shared" si="49"/>
        <v>1841.1287671232947</v>
      </c>
      <c r="ML29" s="51">
        <f t="shared" si="49"/>
        <v>1839.6712328767194</v>
      </c>
      <c r="MM29" s="51">
        <f t="shared" si="49"/>
        <v>1838.2136986301441</v>
      </c>
      <c r="MN29" s="51">
        <f t="shared" si="49"/>
        <v>1836.7561643835688</v>
      </c>
      <c r="MO29" s="51">
        <f t="shared" si="50"/>
        <v>1835.2986301369936</v>
      </c>
      <c r="MP29" s="51">
        <f t="shared" si="50"/>
        <v>1833.8410958904183</v>
      </c>
      <c r="MQ29" s="51">
        <f t="shared" si="50"/>
        <v>1832.383561643843</v>
      </c>
      <c r="MR29" s="51">
        <f t="shared" si="50"/>
        <v>1830.9260273972677</v>
      </c>
      <c r="MS29" s="51">
        <f t="shared" si="50"/>
        <v>1829.4684931506924</v>
      </c>
      <c r="MT29" s="51">
        <f t="shared" si="50"/>
        <v>1828.0109589041172</v>
      </c>
      <c r="MU29" s="51">
        <f t="shared" si="50"/>
        <v>1826.5534246575419</v>
      </c>
      <c r="MV29" s="51">
        <f t="shared" si="50"/>
        <v>1825.0958904109666</v>
      </c>
      <c r="MW29" s="51">
        <f t="shared" si="50"/>
        <v>1823.6383561643913</v>
      </c>
      <c r="MX29" s="51">
        <f t="shared" si="50"/>
        <v>1822.180821917816</v>
      </c>
      <c r="MY29" s="51">
        <f t="shared" si="50"/>
        <v>1820.7232876712408</v>
      </c>
      <c r="MZ29" s="51">
        <f t="shared" si="50"/>
        <v>1819.2657534246655</v>
      </c>
      <c r="NA29" s="51">
        <f t="shared" si="50"/>
        <v>1817.8082191780902</v>
      </c>
      <c r="NB29" s="51">
        <f t="shared" si="50"/>
        <v>1816.3506849315149</v>
      </c>
      <c r="NC29" s="51">
        <f t="shared" si="50"/>
        <v>1814.8931506849397</v>
      </c>
      <c r="ND29" s="51">
        <f t="shared" si="50"/>
        <v>1813.4356164383644</v>
      </c>
      <c r="NE29" s="51">
        <f t="shared" si="52"/>
        <v>1811.9780821917891</v>
      </c>
      <c r="NF29" s="51">
        <f t="shared" si="52"/>
        <v>1810.5205479452138</v>
      </c>
      <c r="NG29" s="51">
        <f t="shared" si="52"/>
        <v>1809.0630136986385</v>
      </c>
      <c r="NH29" s="51">
        <f t="shared" si="52"/>
        <v>1807.6054794520633</v>
      </c>
      <c r="NI29" s="51">
        <f t="shared" si="52"/>
        <v>1806.147945205488</v>
      </c>
      <c r="NJ29" s="51">
        <f t="shared" si="52"/>
        <v>1804.6904109589127</v>
      </c>
      <c r="NK29" s="51">
        <f t="shared" si="52"/>
        <v>1803.2328767123374</v>
      </c>
      <c r="NL29" s="51">
        <f t="shared" si="52"/>
        <v>1801.7753424657622</v>
      </c>
      <c r="NM29" s="51">
        <f t="shared" si="52"/>
        <v>1800.3178082191869</v>
      </c>
      <c r="NN29" s="51">
        <f t="shared" si="52"/>
        <v>1798.8602739726116</v>
      </c>
      <c r="NO29" s="51">
        <f t="shared" si="52"/>
        <v>1797.4027397260363</v>
      </c>
      <c r="NP29" s="51">
        <f t="shared" si="52"/>
        <v>1795.945205479461</v>
      </c>
      <c r="NQ29" s="51">
        <f t="shared" si="52"/>
        <v>1794.4876712328858</v>
      </c>
      <c r="NR29" s="51">
        <f t="shared" si="52"/>
        <v>1793.0301369863105</v>
      </c>
      <c r="NS29" s="51">
        <f t="shared" si="52"/>
        <v>1791.5726027397352</v>
      </c>
      <c r="NT29" s="51">
        <f t="shared" si="52"/>
        <v>1790.1150684931599</v>
      </c>
      <c r="NU29" s="51">
        <f t="shared" si="52"/>
        <v>1788.6575342465846</v>
      </c>
      <c r="NV29" s="51"/>
      <c r="NW29" s="51"/>
      <c r="NX29" s="51"/>
      <c r="NY29" s="51"/>
      <c r="NZ29" s="51"/>
      <c r="OA29" s="51"/>
      <c r="OB29" s="51"/>
      <c r="OC29" s="51"/>
      <c r="OD29" s="51"/>
      <c r="OE29" s="51"/>
      <c r="OF29" s="51"/>
      <c r="OG29" s="51"/>
      <c r="OH29" s="51"/>
      <c r="OI29" s="51"/>
      <c r="OJ29" s="51"/>
      <c r="OK29" s="51"/>
      <c r="OL29" s="51"/>
      <c r="OM29" s="51"/>
      <c r="ON29" s="51"/>
      <c r="OO29" s="51"/>
      <c r="OP29" s="51"/>
      <c r="OQ29" s="51"/>
      <c r="OR29" s="51"/>
      <c r="OS29" s="51"/>
      <c r="OT29" s="51"/>
      <c r="OU29" s="51"/>
      <c r="OV29" s="51"/>
      <c r="OW29" s="51"/>
      <c r="OX29" s="51"/>
      <c r="OY29" s="51"/>
      <c r="OZ29" s="51"/>
      <c r="PA29" s="51"/>
      <c r="PB29" s="51"/>
      <c r="PC29" s="51"/>
      <c r="PD29" s="51"/>
      <c r="PE29" s="51"/>
      <c r="PF29" s="51"/>
      <c r="PG29" s="51"/>
      <c r="PH29" s="51"/>
      <c r="PI29" s="51"/>
      <c r="PJ29" s="51"/>
      <c r="PK29" s="51"/>
      <c r="PL29" s="51"/>
      <c r="PM29" s="51"/>
      <c r="PN29" s="51"/>
      <c r="PO29" s="51"/>
      <c r="PP29" s="51"/>
      <c r="PQ29" s="51"/>
      <c r="PR29" s="51"/>
      <c r="PS29" s="51"/>
      <c r="PT29" s="51"/>
      <c r="PU29" s="51"/>
      <c r="PV29" s="51"/>
      <c r="PW29" s="51"/>
      <c r="PX29" s="51"/>
      <c r="PY29" s="51"/>
      <c r="PZ29" s="51"/>
      <c r="QA29" s="51"/>
      <c r="QB29" s="51"/>
      <c r="QC29" s="51"/>
      <c r="QD29" s="51"/>
      <c r="QE29" s="51"/>
      <c r="QF29" s="51"/>
      <c r="QG29" s="51"/>
      <c r="QH29" s="51"/>
      <c r="QI29" s="51"/>
      <c r="QJ29" s="51"/>
      <c r="QK29" s="51"/>
      <c r="QL29" s="51"/>
      <c r="QM29" s="51"/>
      <c r="QN29" s="51"/>
      <c r="QO29" s="51"/>
      <c r="QP29" s="51"/>
      <c r="QQ29" s="51"/>
      <c r="QR29" s="51"/>
      <c r="QS29" s="51"/>
      <c r="QT29" s="51"/>
      <c r="QU29" s="51"/>
      <c r="QV29" s="51"/>
      <c r="QW29" s="51"/>
      <c r="QX29" s="51"/>
      <c r="QY29" s="51"/>
      <c r="QZ29" s="51"/>
      <c r="RA29" s="51"/>
      <c r="RB29" s="51"/>
      <c r="RC29" s="51"/>
      <c r="RD29" s="51"/>
      <c r="RE29" s="51"/>
      <c r="RF29" s="51"/>
      <c r="RG29" s="51"/>
      <c r="RH29" s="51"/>
      <c r="RI29" s="51"/>
      <c r="RJ29" s="51"/>
      <c r="RK29" s="51"/>
      <c r="RL29" s="51"/>
      <c r="RM29" s="51"/>
      <c r="RN29" s="51"/>
      <c r="RO29" s="51"/>
      <c r="RP29" s="51"/>
      <c r="RQ29" s="51"/>
      <c r="RR29" s="51"/>
      <c r="RS29" s="51"/>
      <c r="RT29" s="51"/>
      <c r="RU29" s="51"/>
      <c r="RV29" s="51"/>
      <c r="RW29" s="51"/>
      <c r="RX29" s="51"/>
      <c r="RY29" s="51"/>
      <c r="RZ29" s="51"/>
      <c r="SA29" s="51"/>
      <c r="SB29" s="51"/>
      <c r="SC29" s="51"/>
      <c r="SD29" s="51"/>
      <c r="SE29" s="51"/>
      <c r="SF29" s="51"/>
      <c r="SG29" s="51"/>
      <c r="SH29" s="51"/>
      <c r="SI29" s="51"/>
      <c r="SJ29" s="51"/>
      <c r="SK29" s="51"/>
      <c r="SL29" s="51"/>
      <c r="SM29" s="51"/>
      <c r="SN29" s="51"/>
      <c r="SO29" s="51"/>
      <c r="SP29" s="51"/>
      <c r="SQ29" s="51"/>
      <c r="SR29" s="51"/>
      <c r="SS29" s="51"/>
      <c r="ST29" s="51"/>
      <c r="SU29" s="51"/>
      <c r="SV29" s="51"/>
      <c r="SW29" s="51"/>
      <c r="SX29" s="51"/>
      <c r="SY29" s="51"/>
      <c r="SZ29" s="51"/>
      <c r="TA29" s="51"/>
      <c r="TB29" s="51"/>
      <c r="TC29" s="51"/>
      <c r="TD29" s="51"/>
      <c r="TE29" s="51"/>
      <c r="TF29" s="51"/>
      <c r="TG29" s="51"/>
      <c r="TH29" s="51"/>
      <c r="TI29" s="51"/>
      <c r="TJ29" s="51"/>
      <c r="TK29" s="51"/>
      <c r="TL29" s="51"/>
      <c r="TM29" s="51"/>
      <c r="TN29" s="51"/>
      <c r="TO29" s="51"/>
      <c r="TP29" s="51"/>
      <c r="TQ29" s="51"/>
      <c r="TR29" s="51"/>
      <c r="TS29" s="51"/>
      <c r="TT29" s="51"/>
      <c r="TU29" s="51"/>
      <c r="TV29" s="51"/>
      <c r="TW29" s="51"/>
      <c r="TX29" s="51"/>
      <c r="TY29" s="51"/>
      <c r="TZ29" s="51"/>
      <c r="UA29" s="51"/>
      <c r="UB29" s="51"/>
      <c r="UC29" s="51"/>
      <c r="UD29" s="51"/>
      <c r="UE29" s="51"/>
      <c r="UF29" s="51"/>
      <c r="UG29" s="51"/>
      <c r="UH29" s="51"/>
      <c r="UI29" s="51"/>
      <c r="UJ29" s="51"/>
      <c r="UK29" s="51"/>
      <c r="UL29" s="51"/>
      <c r="UM29" s="51"/>
      <c r="UN29" s="51"/>
      <c r="UO29" s="51"/>
      <c r="UP29" s="51"/>
      <c r="UQ29" s="51"/>
      <c r="UR29" s="51"/>
      <c r="US29" s="51"/>
      <c r="UT29" s="51"/>
      <c r="UU29" s="51"/>
      <c r="UV29" s="51"/>
      <c r="UW29" s="51"/>
      <c r="UX29" s="51"/>
      <c r="UY29" s="51"/>
      <c r="UZ29" s="51"/>
      <c r="VA29" s="51"/>
      <c r="VB29" s="51"/>
      <c r="VC29" s="51"/>
      <c r="VD29" s="51"/>
      <c r="VE29" s="51"/>
      <c r="VF29" s="51"/>
      <c r="VG29" s="51"/>
      <c r="VH29" s="51"/>
      <c r="VI29" s="51"/>
      <c r="VJ29" s="51"/>
      <c r="VK29" s="51"/>
      <c r="VL29" s="51"/>
      <c r="VM29" s="51"/>
      <c r="VN29" s="51"/>
      <c r="VO29" s="51"/>
      <c r="VP29" s="51"/>
      <c r="VQ29" s="51"/>
      <c r="VR29" s="51"/>
      <c r="VS29" s="51"/>
      <c r="VT29" s="51"/>
      <c r="VU29" s="51"/>
      <c r="VV29" s="51"/>
      <c r="VW29" s="51"/>
      <c r="VX29" s="51"/>
      <c r="VY29" s="51"/>
      <c r="VZ29" s="51"/>
      <c r="WA29" s="51"/>
      <c r="WB29" s="51"/>
      <c r="WC29" s="51"/>
      <c r="WD29" s="51"/>
      <c r="WE29" s="51"/>
      <c r="WF29" s="51"/>
      <c r="WG29" s="51"/>
    </row>
    <row r="30" spans="1:605" x14ac:dyDescent="0.25">
      <c r="A30" s="28">
        <v>28</v>
      </c>
      <c r="B30" s="28" t="s">
        <v>11</v>
      </c>
      <c r="C30" s="28" t="s">
        <v>22</v>
      </c>
      <c r="D30" s="28" t="s">
        <v>597</v>
      </c>
      <c r="E30" s="28">
        <v>1</v>
      </c>
      <c r="F30" s="28">
        <v>50</v>
      </c>
      <c r="G30" s="28">
        <v>5</v>
      </c>
      <c r="H30" s="50">
        <f t="shared" si="6"/>
        <v>55</v>
      </c>
      <c r="I30" s="28">
        <v>14</v>
      </c>
      <c r="J30" s="28">
        <v>160</v>
      </c>
      <c r="K30" s="28">
        <f t="shared" si="14"/>
        <v>174</v>
      </c>
      <c r="L30" s="49">
        <f t="shared" si="7"/>
        <v>41904</v>
      </c>
      <c r="M30" s="51">
        <f t="shared" si="8"/>
        <v>190</v>
      </c>
      <c r="N30" s="51">
        <v>1800</v>
      </c>
      <c r="O30" s="28">
        <v>28.7</v>
      </c>
      <c r="P30" s="28">
        <f t="shared" si="43"/>
        <v>1283.4000000000001</v>
      </c>
      <c r="Q30" s="52">
        <f t="shared" si="44"/>
        <v>562720.5</v>
      </c>
      <c r="R30" s="52">
        <f t="shared" si="53"/>
        <v>10231.281818181818</v>
      </c>
      <c r="S30" s="28">
        <f t="shared" si="45"/>
        <v>1.4153424657534244</v>
      </c>
      <c r="GM30" s="51">
        <f>N30</f>
        <v>1800</v>
      </c>
      <c r="GN30" s="51">
        <f>GM30-$S30</f>
        <v>1798.5846575342466</v>
      </c>
      <c r="GO30" s="51">
        <f t="shared" ref="GO30:IG32" si="54">GN30-$S30</f>
        <v>1797.1693150684932</v>
      </c>
      <c r="GP30" s="51">
        <f t="shared" si="54"/>
        <v>1795.7539726027399</v>
      </c>
      <c r="GQ30" s="51">
        <f t="shared" si="54"/>
        <v>1794.3386301369865</v>
      </c>
      <c r="GR30" s="51">
        <f t="shared" si="54"/>
        <v>1792.9232876712331</v>
      </c>
      <c r="GS30" s="51">
        <f t="shared" si="54"/>
        <v>1791.5079452054797</v>
      </c>
      <c r="GT30" s="51">
        <f t="shared" si="54"/>
        <v>1790.0926027397263</v>
      </c>
      <c r="GU30" s="51">
        <f t="shared" si="54"/>
        <v>1788.6772602739729</v>
      </c>
      <c r="GV30" s="51">
        <f t="shared" si="54"/>
        <v>1787.2619178082196</v>
      </c>
      <c r="GW30" s="51">
        <f t="shared" si="54"/>
        <v>1785.8465753424662</v>
      </c>
      <c r="GX30" s="51">
        <f t="shared" si="54"/>
        <v>1784.4312328767128</v>
      </c>
      <c r="GY30" s="51">
        <f t="shared" si="54"/>
        <v>1783.0158904109594</v>
      </c>
      <c r="GZ30" s="51">
        <f t="shared" si="54"/>
        <v>1781.600547945206</v>
      </c>
      <c r="HA30" s="51">
        <f t="shared" si="54"/>
        <v>1780.1852054794526</v>
      </c>
      <c r="HB30" s="51">
        <f t="shared" si="54"/>
        <v>1778.7698630136993</v>
      </c>
      <c r="HC30" s="51">
        <f t="shared" si="54"/>
        <v>1777.3545205479459</v>
      </c>
      <c r="HD30" s="51">
        <f t="shared" si="54"/>
        <v>1775.9391780821925</v>
      </c>
      <c r="HE30" s="51">
        <f t="shared" si="54"/>
        <v>1774.5238356164391</v>
      </c>
      <c r="HF30" s="51">
        <f t="shared" si="54"/>
        <v>1773.1084931506857</v>
      </c>
      <c r="HG30" s="51">
        <f t="shared" si="54"/>
        <v>1771.6931506849323</v>
      </c>
      <c r="HH30" s="51">
        <f t="shared" si="54"/>
        <v>1770.277808219179</v>
      </c>
      <c r="HI30" s="51">
        <f t="shared" si="54"/>
        <v>1768.8624657534256</v>
      </c>
      <c r="HJ30" s="51">
        <f t="shared" si="54"/>
        <v>1767.4471232876722</v>
      </c>
      <c r="HK30" s="51">
        <f t="shared" si="54"/>
        <v>1766.0317808219188</v>
      </c>
      <c r="HL30" s="51">
        <f t="shared" si="54"/>
        <v>1764.6164383561654</v>
      </c>
      <c r="HM30" s="51">
        <f t="shared" si="54"/>
        <v>1763.201095890412</v>
      </c>
      <c r="HN30" s="51">
        <f t="shared" si="54"/>
        <v>1761.7857534246587</v>
      </c>
      <c r="HO30" s="51">
        <f t="shared" si="54"/>
        <v>1760.3704109589053</v>
      </c>
      <c r="HP30" s="51">
        <f t="shared" si="54"/>
        <v>1758.9550684931519</v>
      </c>
      <c r="HQ30" s="51">
        <f t="shared" si="54"/>
        <v>1757.5397260273985</v>
      </c>
      <c r="HR30" s="51">
        <f t="shared" si="54"/>
        <v>1756.1243835616451</v>
      </c>
      <c r="HS30" s="51">
        <f t="shared" si="54"/>
        <v>1754.7090410958917</v>
      </c>
      <c r="HT30" s="51">
        <f t="shared" si="54"/>
        <v>1753.2936986301384</v>
      </c>
      <c r="HU30" s="51">
        <f t="shared" si="54"/>
        <v>1751.878356164385</v>
      </c>
      <c r="HV30" s="51">
        <f t="shared" si="54"/>
        <v>1750.4630136986316</v>
      </c>
      <c r="HW30" s="51">
        <f t="shared" si="54"/>
        <v>1749.0476712328782</v>
      </c>
      <c r="HX30" s="51">
        <f t="shared" si="54"/>
        <v>1747.6323287671248</v>
      </c>
      <c r="HY30" s="51">
        <f t="shared" si="54"/>
        <v>1746.2169863013714</v>
      </c>
      <c r="HZ30" s="51">
        <f t="shared" si="54"/>
        <v>1744.8016438356181</v>
      </c>
      <c r="IA30" s="51">
        <f t="shared" si="54"/>
        <v>1743.3863013698647</v>
      </c>
      <c r="IB30" s="51">
        <f t="shared" si="54"/>
        <v>1741.9709589041113</v>
      </c>
      <c r="IC30" s="51">
        <f t="shared" si="54"/>
        <v>1740.5556164383579</v>
      </c>
      <c r="ID30" s="51">
        <f t="shared" si="54"/>
        <v>1739.1402739726045</v>
      </c>
      <c r="IE30" s="51">
        <f t="shared" si="54"/>
        <v>1737.7249315068511</v>
      </c>
      <c r="IF30" s="51">
        <f t="shared" si="54"/>
        <v>1736.3095890410978</v>
      </c>
      <c r="IG30" s="51">
        <f t="shared" si="54"/>
        <v>1734.8942465753444</v>
      </c>
      <c r="IH30" s="51">
        <f t="shared" si="46"/>
        <v>1733.478904109591</v>
      </c>
      <c r="II30" s="51">
        <f t="shared" si="46"/>
        <v>1732.0635616438376</v>
      </c>
      <c r="IJ30" s="51">
        <f t="shared" si="46"/>
        <v>1730.6482191780842</v>
      </c>
      <c r="IK30" s="51">
        <f t="shared" si="46"/>
        <v>1729.2328767123308</v>
      </c>
      <c r="IL30" s="51">
        <f t="shared" si="46"/>
        <v>1727.8175342465775</v>
      </c>
      <c r="IM30" s="51">
        <f t="shared" si="46"/>
        <v>1726.4021917808241</v>
      </c>
      <c r="IN30" s="51">
        <f t="shared" si="46"/>
        <v>1724.9868493150707</v>
      </c>
      <c r="IO30" s="51">
        <f t="shared" si="46"/>
        <v>1723.5715068493173</v>
      </c>
      <c r="IP30" s="51">
        <f t="shared" si="46"/>
        <v>1722.1561643835639</v>
      </c>
      <c r="IQ30" s="51">
        <f t="shared" si="46"/>
        <v>1720.7408219178105</v>
      </c>
      <c r="IR30" s="51">
        <f t="shared" si="46"/>
        <v>1719.3254794520572</v>
      </c>
      <c r="IS30" s="51">
        <f t="shared" si="46"/>
        <v>1717.9101369863038</v>
      </c>
      <c r="IT30" s="51">
        <f t="shared" si="46"/>
        <v>1716.4947945205504</v>
      </c>
      <c r="IU30" s="51">
        <f t="shared" si="46"/>
        <v>1715.079452054797</v>
      </c>
      <c r="IV30" s="51">
        <f t="shared" si="46"/>
        <v>1713.6641095890436</v>
      </c>
      <c r="IW30" s="51">
        <f t="shared" si="46"/>
        <v>1712.2487671232902</v>
      </c>
      <c r="IX30" s="51">
        <f t="shared" si="46"/>
        <v>1710.8334246575369</v>
      </c>
      <c r="IY30" s="51">
        <f t="shared" si="46"/>
        <v>1709.4180821917835</v>
      </c>
      <c r="IZ30" s="51">
        <f t="shared" si="46"/>
        <v>1708.0027397260301</v>
      </c>
      <c r="JA30" s="51">
        <f t="shared" si="46"/>
        <v>1706.5873972602767</v>
      </c>
      <c r="JB30" s="51">
        <f t="shared" si="46"/>
        <v>1705.1720547945233</v>
      </c>
      <c r="JC30" s="51">
        <f t="shared" si="46"/>
        <v>1703.7567123287699</v>
      </c>
      <c r="JD30" s="51">
        <f t="shared" si="46"/>
        <v>1702.3413698630166</v>
      </c>
      <c r="JE30" s="51">
        <f t="shared" si="46"/>
        <v>1700.9260273972632</v>
      </c>
      <c r="JF30" s="51">
        <f t="shared" si="46"/>
        <v>1699.5106849315098</v>
      </c>
      <c r="JG30" s="51">
        <f t="shared" si="46"/>
        <v>1698.0953424657564</v>
      </c>
      <c r="JH30" s="51">
        <f t="shared" si="46"/>
        <v>1696.680000000003</v>
      </c>
      <c r="JI30" s="51">
        <f t="shared" si="46"/>
        <v>1695.2646575342496</v>
      </c>
      <c r="JJ30" s="51">
        <f t="shared" si="46"/>
        <v>1693.8493150684963</v>
      </c>
      <c r="JK30" s="51">
        <f t="shared" si="46"/>
        <v>1692.4339726027429</v>
      </c>
      <c r="JL30" s="51">
        <f t="shared" si="46"/>
        <v>1691.0186301369895</v>
      </c>
      <c r="JM30" s="51">
        <f t="shared" si="46"/>
        <v>1689.6032876712361</v>
      </c>
      <c r="JN30" s="51">
        <f t="shared" si="46"/>
        <v>1688.1879452054827</v>
      </c>
      <c r="JO30" s="51">
        <f t="shared" si="46"/>
        <v>1686.7726027397293</v>
      </c>
      <c r="JP30" s="51">
        <f t="shared" si="46"/>
        <v>1685.357260273976</v>
      </c>
      <c r="JQ30" s="51">
        <f t="shared" si="46"/>
        <v>1683.9419178082226</v>
      </c>
      <c r="JR30" s="51">
        <f t="shared" si="46"/>
        <v>1682.5265753424692</v>
      </c>
      <c r="JS30" s="51">
        <f t="shared" si="46"/>
        <v>1681.1112328767158</v>
      </c>
      <c r="JT30" s="51">
        <f t="shared" si="46"/>
        <v>1679.6958904109624</v>
      </c>
      <c r="JU30" s="51">
        <f t="shared" si="46"/>
        <v>1678.280547945209</v>
      </c>
      <c r="JV30" s="51">
        <f t="shared" si="46"/>
        <v>1676.8652054794557</v>
      </c>
      <c r="JW30" s="51">
        <f t="shared" si="46"/>
        <v>1675.4498630137023</v>
      </c>
      <c r="JX30" s="51">
        <f t="shared" si="46"/>
        <v>1674.0345205479489</v>
      </c>
      <c r="JY30" s="51">
        <f t="shared" si="46"/>
        <v>1672.6191780821955</v>
      </c>
      <c r="JZ30" s="51">
        <f t="shared" si="46"/>
        <v>1671.2038356164421</v>
      </c>
      <c r="KA30" s="51">
        <f t="shared" si="46"/>
        <v>1669.7884931506887</v>
      </c>
      <c r="KB30" s="51">
        <f t="shared" si="46"/>
        <v>1668.3731506849354</v>
      </c>
      <c r="KC30" s="51">
        <f t="shared" si="46"/>
        <v>1666.957808219182</v>
      </c>
      <c r="KD30" s="51">
        <f t="shared" si="46"/>
        <v>1665.5424657534286</v>
      </c>
      <c r="KE30" s="51">
        <f t="shared" si="46"/>
        <v>1664.1271232876752</v>
      </c>
      <c r="KF30" s="51">
        <f t="shared" si="46"/>
        <v>1662.7117808219218</v>
      </c>
      <c r="KG30" s="51">
        <f t="shared" si="46"/>
        <v>1661.2964383561684</v>
      </c>
      <c r="KH30" s="51">
        <f t="shared" si="46"/>
        <v>1659.8810958904151</v>
      </c>
      <c r="KI30" s="51">
        <f t="shared" si="46"/>
        <v>1658.4657534246617</v>
      </c>
      <c r="KJ30" s="51">
        <f t="shared" si="46"/>
        <v>1657.0504109589083</v>
      </c>
      <c r="KK30" s="51">
        <f t="shared" si="46"/>
        <v>1655.6350684931549</v>
      </c>
      <c r="KL30" s="51">
        <f t="shared" si="46"/>
        <v>1654.2197260274015</v>
      </c>
      <c r="KM30" s="51">
        <f t="shared" si="46"/>
        <v>1652.8043835616481</v>
      </c>
      <c r="KN30" s="51">
        <f t="shared" si="46"/>
        <v>1651.3890410958948</v>
      </c>
      <c r="KO30" s="51">
        <f t="shared" si="46"/>
        <v>1649.9736986301414</v>
      </c>
      <c r="KP30" s="51">
        <f t="shared" si="46"/>
        <v>1648.558356164388</v>
      </c>
      <c r="KQ30" s="51">
        <f t="shared" si="46"/>
        <v>1647.1430136986346</v>
      </c>
      <c r="KR30" s="51">
        <f t="shared" si="46"/>
        <v>1645.7276712328812</v>
      </c>
      <c r="KS30" s="51">
        <f t="shared" si="47"/>
        <v>1644.3123287671278</v>
      </c>
      <c r="KT30" s="51">
        <f t="shared" si="47"/>
        <v>1642.8969863013745</v>
      </c>
      <c r="KU30" s="51">
        <f t="shared" si="47"/>
        <v>1641.4816438356211</v>
      </c>
      <c r="KV30" s="51">
        <f t="shared" si="47"/>
        <v>1640.0663013698677</v>
      </c>
      <c r="KW30" s="51">
        <f t="shared" si="47"/>
        <v>1638.6509589041143</v>
      </c>
      <c r="KX30" s="51">
        <f t="shared" si="47"/>
        <v>1637.2356164383609</v>
      </c>
      <c r="KY30" s="51">
        <f t="shared" si="47"/>
        <v>1635.8202739726075</v>
      </c>
      <c r="KZ30" s="51">
        <f t="shared" si="47"/>
        <v>1634.4049315068542</v>
      </c>
      <c r="LA30" s="51">
        <f t="shared" si="47"/>
        <v>1632.9895890411008</v>
      </c>
      <c r="LB30" s="51">
        <f t="shared" si="47"/>
        <v>1631.5742465753474</v>
      </c>
      <c r="LC30" s="51">
        <f t="shared" si="47"/>
        <v>1630.158904109594</v>
      </c>
      <c r="LD30" s="51">
        <f t="shared" si="47"/>
        <v>1628.7435616438406</v>
      </c>
      <c r="LE30" s="51">
        <f t="shared" si="47"/>
        <v>1627.3282191780872</v>
      </c>
      <c r="LF30" s="51">
        <f t="shared" si="47"/>
        <v>1625.9128767123339</v>
      </c>
      <c r="LG30" s="51">
        <f t="shared" si="47"/>
        <v>1624.4975342465805</v>
      </c>
      <c r="LH30" s="51">
        <f t="shared" si="47"/>
        <v>1623.0821917808271</v>
      </c>
      <c r="LI30" s="51">
        <f t="shared" si="48"/>
        <v>1621.6668493150737</v>
      </c>
      <c r="LJ30" s="51">
        <f t="shared" si="48"/>
        <v>1620.2515068493203</v>
      </c>
      <c r="LK30" s="51">
        <f t="shared" si="48"/>
        <v>1618.8361643835669</v>
      </c>
      <c r="LL30" s="51">
        <f t="shared" si="48"/>
        <v>1617.4208219178136</v>
      </c>
      <c r="LM30" s="51">
        <f t="shared" si="48"/>
        <v>1616.0054794520602</v>
      </c>
      <c r="LN30" s="51">
        <f t="shared" si="48"/>
        <v>1614.5901369863068</v>
      </c>
      <c r="LO30" s="51">
        <f t="shared" si="48"/>
        <v>1613.1747945205534</v>
      </c>
      <c r="LP30" s="51">
        <f t="shared" si="48"/>
        <v>1611.7594520548</v>
      </c>
      <c r="LQ30" s="51">
        <f t="shared" si="48"/>
        <v>1610.3441095890466</v>
      </c>
      <c r="LR30" s="51">
        <f t="shared" si="48"/>
        <v>1608.9287671232933</v>
      </c>
      <c r="LS30" s="51">
        <f t="shared" si="48"/>
        <v>1607.5134246575399</v>
      </c>
      <c r="LT30" s="51">
        <f t="shared" si="48"/>
        <v>1606.0980821917865</v>
      </c>
      <c r="LU30" s="51">
        <f t="shared" si="48"/>
        <v>1604.6827397260331</v>
      </c>
      <c r="LV30" s="51">
        <f t="shared" si="48"/>
        <v>1603.2673972602797</v>
      </c>
      <c r="LW30" s="51">
        <f t="shared" si="48"/>
        <v>1601.8520547945263</v>
      </c>
      <c r="LX30" s="51">
        <f t="shared" si="48"/>
        <v>1600.436712328773</v>
      </c>
      <c r="LY30" s="51">
        <f t="shared" si="49"/>
        <v>1599.0213698630196</v>
      </c>
      <c r="LZ30" s="51">
        <f t="shared" si="49"/>
        <v>1597.6060273972662</v>
      </c>
      <c r="MA30" s="51">
        <f t="shared" si="49"/>
        <v>1596.1906849315128</v>
      </c>
      <c r="MB30" s="51">
        <f t="shared" si="49"/>
        <v>1594.7753424657594</v>
      </c>
      <c r="MC30" s="51">
        <f t="shared" si="49"/>
        <v>1593.360000000006</v>
      </c>
      <c r="MD30" s="51">
        <f t="shared" si="49"/>
        <v>1591.9446575342527</v>
      </c>
      <c r="ME30" s="51">
        <f t="shared" si="49"/>
        <v>1590.5293150684993</v>
      </c>
      <c r="MF30" s="51">
        <f t="shared" si="49"/>
        <v>1589.1139726027459</v>
      </c>
      <c r="MG30" s="51">
        <f t="shared" si="49"/>
        <v>1587.6986301369925</v>
      </c>
      <c r="MH30" s="51">
        <f t="shared" si="49"/>
        <v>1586.2832876712391</v>
      </c>
      <c r="MI30" s="51">
        <f t="shared" si="49"/>
        <v>1584.8679452054857</v>
      </c>
      <c r="MJ30" s="51">
        <f t="shared" si="49"/>
        <v>1583.4526027397324</v>
      </c>
      <c r="MK30" s="51">
        <f t="shared" si="49"/>
        <v>1582.037260273979</v>
      </c>
      <c r="ML30" s="51">
        <f t="shared" si="49"/>
        <v>1580.6219178082256</v>
      </c>
      <c r="MM30" s="51">
        <f t="shared" si="49"/>
        <v>1579.2065753424722</v>
      </c>
      <c r="MN30" s="51">
        <f t="shared" si="49"/>
        <v>1577.7912328767188</v>
      </c>
      <c r="MO30" s="51">
        <f t="shared" si="50"/>
        <v>1576.3758904109654</v>
      </c>
      <c r="MP30" s="51">
        <f t="shared" si="50"/>
        <v>1574.9605479452121</v>
      </c>
      <c r="MQ30" s="51">
        <f t="shared" si="50"/>
        <v>1573.5452054794587</v>
      </c>
      <c r="MR30" s="51">
        <f t="shared" si="50"/>
        <v>1572.1298630137053</v>
      </c>
      <c r="MS30" s="51">
        <f t="shared" si="50"/>
        <v>1570.7145205479519</v>
      </c>
      <c r="MT30" s="51">
        <f t="shared" si="50"/>
        <v>1569.2991780821985</v>
      </c>
      <c r="MU30" s="51">
        <f t="shared" si="50"/>
        <v>1567.8838356164451</v>
      </c>
      <c r="MV30" s="51">
        <f t="shared" si="50"/>
        <v>1566.4684931506918</v>
      </c>
      <c r="MW30" s="51">
        <f t="shared" si="50"/>
        <v>1565.0531506849384</v>
      </c>
      <c r="MX30" s="51">
        <f t="shared" si="50"/>
        <v>1563.637808219185</v>
      </c>
      <c r="MY30" s="51">
        <f t="shared" si="50"/>
        <v>1562.2224657534316</v>
      </c>
      <c r="MZ30" s="51">
        <f t="shared" si="50"/>
        <v>1560.8071232876782</v>
      </c>
      <c r="NA30" s="51">
        <f t="shared" si="50"/>
        <v>1559.3917808219248</v>
      </c>
      <c r="NB30" s="51">
        <f t="shared" si="50"/>
        <v>1557.9764383561715</v>
      </c>
      <c r="NC30" s="51">
        <f t="shared" si="50"/>
        <v>1556.5610958904181</v>
      </c>
      <c r="ND30" s="51">
        <f t="shared" si="50"/>
        <v>1555.1457534246647</v>
      </c>
      <c r="NE30" s="51">
        <f t="shared" si="52"/>
        <v>1553.7304109589113</v>
      </c>
      <c r="NF30" s="51">
        <f t="shared" si="52"/>
        <v>1552.3150684931579</v>
      </c>
      <c r="NG30" s="51">
        <f t="shared" si="52"/>
        <v>1550.8997260274045</v>
      </c>
      <c r="NH30" s="51">
        <f t="shared" si="52"/>
        <v>1549.4843835616512</v>
      </c>
      <c r="NI30" s="51">
        <f t="shared" si="52"/>
        <v>1548.0690410958978</v>
      </c>
      <c r="NJ30" s="51">
        <f t="shared" si="52"/>
        <v>1546.6536986301444</v>
      </c>
      <c r="NK30" s="51">
        <f t="shared" si="52"/>
        <v>1545.238356164391</v>
      </c>
      <c r="NL30" s="51">
        <f t="shared" si="52"/>
        <v>1543.8230136986376</v>
      </c>
      <c r="NM30" s="51">
        <f t="shared" si="52"/>
        <v>1542.4076712328842</v>
      </c>
      <c r="NN30" s="51">
        <f t="shared" si="52"/>
        <v>1540.9923287671309</v>
      </c>
      <c r="NO30" s="51">
        <f t="shared" si="52"/>
        <v>1539.5769863013775</v>
      </c>
      <c r="NP30" s="51">
        <f t="shared" si="52"/>
        <v>1538.1616438356241</v>
      </c>
      <c r="NQ30" s="51">
        <f t="shared" si="52"/>
        <v>1536.7463013698707</v>
      </c>
      <c r="NR30" s="51">
        <f t="shared" si="52"/>
        <v>1535.3309589041173</v>
      </c>
      <c r="NS30" s="51">
        <f t="shared" si="52"/>
        <v>1533.9156164383639</v>
      </c>
      <c r="NT30" s="51">
        <f t="shared" si="52"/>
        <v>1532.5002739726106</v>
      </c>
      <c r="NU30" s="51">
        <f t="shared" si="52"/>
        <v>1531.0849315068572</v>
      </c>
      <c r="NV30" s="51"/>
      <c r="NW30" s="51"/>
      <c r="NX30" s="51"/>
      <c r="NY30" s="51"/>
      <c r="NZ30" s="51"/>
      <c r="OA30" s="51"/>
      <c r="OB30" s="51"/>
      <c r="OC30" s="51"/>
      <c r="OD30" s="51"/>
      <c r="OE30" s="51"/>
      <c r="OF30" s="51"/>
      <c r="OG30" s="51"/>
      <c r="OH30" s="51"/>
      <c r="OI30" s="51"/>
      <c r="OJ30" s="51"/>
      <c r="OK30" s="51"/>
      <c r="OL30" s="51"/>
      <c r="OM30" s="51"/>
      <c r="ON30" s="51"/>
      <c r="OO30" s="51"/>
      <c r="OP30" s="51"/>
      <c r="OQ30" s="51"/>
      <c r="OR30" s="51"/>
      <c r="OS30" s="51"/>
      <c r="OT30" s="51"/>
      <c r="OU30" s="51"/>
      <c r="OV30" s="51"/>
      <c r="OW30" s="51"/>
      <c r="OX30" s="51"/>
      <c r="OY30" s="51"/>
      <c r="OZ30" s="51"/>
      <c r="PA30" s="51"/>
      <c r="PB30" s="51"/>
      <c r="PC30" s="51"/>
      <c r="PD30" s="51"/>
      <c r="PE30" s="51"/>
      <c r="PF30" s="51"/>
      <c r="PG30" s="51"/>
      <c r="PH30" s="51"/>
      <c r="PI30" s="51"/>
      <c r="PJ30" s="51"/>
      <c r="PK30" s="51"/>
      <c r="PL30" s="51"/>
      <c r="PM30" s="51"/>
      <c r="PN30" s="51"/>
      <c r="PO30" s="51"/>
      <c r="PP30" s="51"/>
      <c r="PQ30" s="51"/>
      <c r="PR30" s="51"/>
      <c r="PS30" s="51"/>
      <c r="PT30" s="51"/>
      <c r="PU30" s="51"/>
      <c r="PV30" s="51"/>
      <c r="PW30" s="51"/>
      <c r="PX30" s="51"/>
      <c r="PY30" s="51"/>
      <c r="PZ30" s="51"/>
      <c r="QA30" s="51"/>
      <c r="QB30" s="51"/>
      <c r="QC30" s="51"/>
      <c r="QD30" s="51"/>
      <c r="QE30" s="51"/>
      <c r="QF30" s="51"/>
      <c r="QG30" s="51"/>
      <c r="QH30" s="51"/>
      <c r="QI30" s="51"/>
      <c r="QJ30" s="51"/>
      <c r="QK30" s="51"/>
      <c r="QL30" s="51"/>
      <c r="QM30" s="51"/>
      <c r="QN30" s="51"/>
      <c r="QO30" s="51"/>
      <c r="QP30" s="51"/>
      <c r="QQ30" s="51"/>
      <c r="QR30" s="51"/>
      <c r="QS30" s="51"/>
      <c r="QT30" s="51"/>
      <c r="QU30" s="51"/>
      <c r="QV30" s="51"/>
      <c r="QW30" s="51"/>
      <c r="QX30" s="51"/>
      <c r="QY30" s="51"/>
      <c r="QZ30" s="51"/>
      <c r="RA30" s="51"/>
      <c r="RB30" s="51"/>
      <c r="RC30" s="51"/>
      <c r="RD30" s="51"/>
      <c r="RE30" s="51"/>
      <c r="RF30" s="51"/>
      <c r="RG30" s="51"/>
      <c r="RH30" s="51"/>
      <c r="RI30" s="51"/>
      <c r="RJ30" s="51"/>
      <c r="RK30" s="51"/>
      <c r="RL30" s="51"/>
      <c r="RM30" s="51"/>
      <c r="RN30" s="51"/>
      <c r="RO30" s="51"/>
      <c r="RP30" s="51"/>
      <c r="RQ30" s="51"/>
      <c r="RR30" s="51"/>
      <c r="RS30" s="51"/>
      <c r="RT30" s="51"/>
      <c r="RU30" s="51"/>
      <c r="RV30" s="51"/>
      <c r="RW30" s="51"/>
      <c r="RX30" s="51"/>
      <c r="RY30" s="51"/>
      <c r="RZ30" s="51"/>
      <c r="SA30" s="51"/>
      <c r="SB30" s="51"/>
      <c r="SC30" s="51"/>
      <c r="SD30" s="51"/>
      <c r="SE30" s="51"/>
      <c r="SF30" s="51"/>
      <c r="SG30" s="51"/>
      <c r="SH30" s="51"/>
      <c r="SI30" s="51"/>
      <c r="SJ30" s="51"/>
      <c r="SK30" s="51"/>
      <c r="SL30" s="51"/>
      <c r="SM30" s="51"/>
      <c r="SN30" s="51"/>
      <c r="SO30" s="51"/>
      <c r="SP30" s="51"/>
      <c r="SQ30" s="51"/>
      <c r="SR30" s="51"/>
      <c r="SS30" s="51"/>
      <c r="ST30" s="51"/>
      <c r="SU30" s="51"/>
      <c r="SV30" s="51"/>
      <c r="SW30" s="51"/>
      <c r="SX30" s="51"/>
      <c r="SY30" s="51"/>
      <c r="SZ30" s="51"/>
      <c r="TA30" s="51"/>
      <c r="TB30" s="51"/>
      <c r="TC30" s="51"/>
      <c r="TD30" s="51"/>
      <c r="TE30" s="51"/>
      <c r="TF30" s="51"/>
      <c r="TG30" s="51"/>
      <c r="TH30" s="51"/>
      <c r="TI30" s="51"/>
      <c r="TJ30" s="51"/>
      <c r="TK30" s="51"/>
      <c r="TL30" s="51"/>
      <c r="TM30" s="51"/>
      <c r="TN30" s="51"/>
      <c r="TO30" s="51"/>
      <c r="TP30" s="51"/>
      <c r="TQ30" s="51"/>
      <c r="TR30" s="51"/>
      <c r="TS30" s="51"/>
      <c r="TT30" s="51"/>
      <c r="TU30" s="51"/>
      <c r="TV30" s="51"/>
      <c r="TW30" s="51"/>
      <c r="TX30" s="51"/>
      <c r="TY30" s="51"/>
      <c r="TZ30" s="51"/>
      <c r="UA30" s="51"/>
      <c r="UB30" s="51"/>
      <c r="UC30" s="51"/>
      <c r="UD30" s="51"/>
      <c r="UE30" s="51"/>
      <c r="UF30" s="51"/>
      <c r="UG30" s="51"/>
      <c r="UH30" s="51"/>
      <c r="UI30" s="51"/>
      <c r="UJ30" s="51"/>
      <c r="UK30" s="51"/>
      <c r="UL30" s="51"/>
      <c r="UM30" s="51"/>
      <c r="UN30" s="51"/>
      <c r="UO30" s="51"/>
      <c r="UP30" s="51"/>
      <c r="UQ30" s="51"/>
      <c r="UR30" s="51"/>
      <c r="US30" s="51"/>
      <c r="UT30" s="51"/>
      <c r="UU30" s="51"/>
      <c r="UV30" s="51"/>
      <c r="UW30" s="51"/>
      <c r="UX30" s="51"/>
      <c r="UY30" s="51"/>
      <c r="UZ30" s="51"/>
      <c r="VA30" s="51"/>
      <c r="VB30" s="51"/>
      <c r="VC30" s="51"/>
      <c r="VD30" s="51"/>
      <c r="VE30" s="51"/>
      <c r="VF30" s="51"/>
      <c r="VG30" s="51"/>
      <c r="VH30" s="51"/>
      <c r="VI30" s="51"/>
      <c r="VJ30" s="51"/>
      <c r="VK30" s="51"/>
      <c r="VL30" s="51"/>
      <c r="VM30" s="51"/>
      <c r="VN30" s="51"/>
      <c r="VO30" s="51"/>
      <c r="VP30" s="51"/>
      <c r="VQ30" s="51"/>
      <c r="VR30" s="51"/>
      <c r="VS30" s="51"/>
      <c r="VT30" s="51"/>
      <c r="VU30" s="51"/>
      <c r="VV30" s="51"/>
      <c r="VW30" s="51"/>
      <c r="VX30" s="51"/>
      <c r="VY30" s="51"/>
      <c r="VZ30" s="51"/>
      <c r="WA30" s="51"/>
      <c r="WB30" s="51"/>
      <c r="WC30" s="51"/>
      <c r="WD30" s="51"/>
      <c r="WE30" s="51"/>
      <c r="WF30" s="51"/>
      <c r="WG30" s="51"/>
    </row>
    <row r="31" spans="1:605" x14ac:dyDescent="0.25">
      <c r="A31" s="28">
        <v>29</v>
      </c>
      <c r="B31" s="28" t="s">
        <v>11</v>
      </c>
      <c r="C31" s="28" t="s">
        <v>29</v>
      </c>
      <c r="D31" s="28" t="s">
        <v>596</v>
      </c>
      <c r="E31" s="28">
        <v>1</v>
      </c>
      <c r="F31" s="28">
        <v>55</v>
      </c>
      <c r="G31" s="28">
        <v>5</v>
      </c>
      <c r="H31" s="50">
        <f t="shared" si="6"/>
        <v>60</v>
      </c>
      <c r="I31" s="28">
        <v>14</v>
      </c>
      <c r="J31" s="28">
        <v>165</v>
      </c>
      <c r="K31" s="28">
        <f t="shared" si="14"/>
        <v>179</v>
      </c>
      <c r="L31" s="49">
        <f t="shared" si="7"/>
        <v>41909</v>
      </c>
      <c r="M31" s="51">
        <f t="shared" si="8"/>
        <v>185</v>
      </c>
      <c r="N31" s="51">
        <v>1500</v>
      </c>
      <c r="O31" s="28">
        <v>20.2</v>
      </c>
      <c r="P31" s="28">
        <f t="shared" si="43"/>
        <v>1197</v>
      </c>
      <c r="Q31" s="52">
        <f t="shared" si="44"/>
        <v>492202.5</v>
      </c>
      <c r="R31" s="52">
        <f t="shared" si="53"/>
        <v>8203.375</v>
      </c>
      <c r="S31" s="28">
        <f t="shared" si="45"/>
        <v>0.83013698630136989</v>
      </c>
      <c r="GR31" s="51">
        <f>N31</f>
        <v>1500</v>
      </c>
      <c r="GS31" s="51">
        <f>GR31-$S31</f>
        <v>1499.1698630136987</v>
      </c>
      <c r="GT31" s="51">
        <f t="shared" si="54"/>
        <v>1498.3397260273973</v>
      </c>
      <c r="GU31" s="51">
        <f t="shared" si="54"/>
        <v>1497.509589041096</v>
      </c>
      <c r="GV31" s="51">
        <f t="shared" si="54"/>
        <v>1496.6794520547946</v>
      </c>
      <c r="GW31" s="51">
        <f t="shared" si="54"/>
        <v>1495.8493150684933</v>
      </c>
      <c r="GX31" s="51">
        <f t="shared" si="54"/>
        <v>1495.019178082192</v>
      </c>
      <c r="GY31" s="51">
        <f t="shared" si="54"/>
        <v>1494.1890410958906</v>
      </c>
      <c r="GZ31" s="51">
        <f t="shared" si="54"/>
        <v>1493.3589041095893</v>
      </c>
      <c r="HA31" s="51">
        <f t="shared" si="54"/>
        <v>1492.5287671232879</v>
      </c>
      <c r="HB31" s="51">
        <f t="shared" si="54"/>
        <v>1491.6986301369866</v>
      </c>
      <c r="HC31" s="51">
        <f t="shared" si="54"/>
        <v>1490.8684931506853</v>
      </c>
      <c r="HD31" s="51">
        <f t="shared" si="54"/>
        <v>1490.0383561643839</v>
      </c>
      <c r="HE31" s="51">
        <f t="shared" si="54"/>
        <v>1489.2082191780826</v>
      </c>
      <c r="HF31" s="51">
        <f t="shared" si="54"/>
        <v>1488.3780821917812</v>
      </c>
      <c r="HG31" s="51">
        <f t="shared" si="54"/>
        <v>1487.5479452054799</v>
      </c>
      <c r="HH31" s="51">
        <f t="shared" si="54"/>
        <v>1486.7178082191786</v>
      </c>
      <c r="HI31" s="51">
        <f t="shared" si="54"/>
        <v>1485.8876712328772</v>
      </c>
      <c r="HJ31" s="51">
        <f t="shared" si="54"/>
        <v>1485.0575342465759</v>
      </c>
      <c r="HK31" s="51">
        <f t="shared" si="54"/>
        <v>1484.2273972602745</v>
      </c>
      <c r="HL31" s="51">
        <f t="shared" si="54"/>
        <v>1483.3972602739732</v>
      </c>
      <c r="HM31" s="51">
        <f t="shared" si="54"/>
        <v>1482.5671232876718</v>
      </c>
      <c r="HN31" s="51">
        <f t="shared" si="54"/>
        <v>1481.7369863013705</v>
      </c>
      <c r="HO31" s="51">
        <f t="shared" si="54"/>
        <v>1480.9068493150692</v>
      </c>
      <c r="HP31" s="51">
        <f t="shared" si="54"/>
        <v>1480.0767123287678</v>
      </c>
      <c r="HQ31" s="51">
        <f t="shared" si="54"/>
        <v>1479.2465753424665</v>
      </c>
      <c r="HR31" s="51">
        <f t="shared" si="54"/>
        <v>1478.4164383561651</v>
      </c>
      <c r="HS31" s="51">
        <f t="shared" si="54"/>
        <v>1477.5863013698638</v>
      </c>
      <c r="HT31" s="51">
        <f t="shared" si="54"/>
        <v>1476.7561643835625</v>
      </c>
      <c r="HU31" s="51">
        <f t="shared" si="54"/>
        <v>1475.9260273972611</v>
      </c>
      <c r="HV31" s="51">
        <f t="shared" si="54"/>
        <v>1475.0958904109598</v>
      </c>
      <c r="HW31" s="51">
        <f t="shared" si="54"/>
        <v>1474.2657534246584</v>
      </c>
      <c r="HX31" s="51">
        <f t="shared" si="54"/>
        <v>1473.4356164383571</v>
      </c>
      <c r="HY31" s="51">
        <f t="shared" si="54"/>
        <v>1472.6054794520558</v>
      </c>
      <c r="HZ31" s="51">
        <f t="shared" si="54"/>
        <v>1471.7753424657544</v>
      </c>
      <c r="IA31" s="51">
        <f t="shared" si="54"/>
        <v>1470.9452054794531</v>
      </c>
      <c r="IB31" s="51">
        <f t="shared" si="54"/>
        <v>1470.1150684931517</v>
      </c>
      <c r="IC31" s="51">
        <f t="shared" si="54"/>
        <v>1469.2849315068504</v>
      </c>
      <c r="ID31" s="51">
        <f t="shared" si="54"/>
        <v>1468.4547945205491</v>
      </c>
      <c r="IE31" s="51">
        <f t="shared" si="54"/>
        <v>1467.6246575342477</v>
      </c>
      <c r="IF31" s="51">
        <f t="shared" si="54"/>
        <v>1466.7945205479464</v>
      </c>
      <c r="IG31" s="51">
        <f>IF31-$S31</f>
        <v>1465.964383561645</v>
      </c>
      <c r="IH31" s="51">
        <f t="shared" ref="IH31:KS32" si="55">IG31-$S31</f>
        <v>1465.1342465753437</v>
      </c>
      <c r="II31" s="51">
        <f t="shared" si="55"/>
        <v>1464.3041095890424</v>
      </c>
      <c r="IJ31" s="51">
        <f t="shared" si="55"/>
        <v>1463.473972602741</v>
      </c>
      <c r="IK31" s="51">
        <f t="shared" si="55"/>
        <v>1462.6438356164397</v>
      </c>
      <c r="IL31" s="51">
        <f t="shared" si="55"/>
        <v>1461.8136986301383</v>
      </c>
      <c r="IM31" s="51">
        <f t="shared" si="55"/>
        <v>1460.983561643837</v>
      </c>
      <c r="IN31" s="51">
        <f t="shared" si="55"/>
        <v>1460.1534246575357</v>
      </c>
      <c r="IO31" s="51">
        <f t="shared" si="55"/>
        <v>1459.3232876712343</v>
      </c>
      <c r="IP31" s="51">
        <f t="shared" si="55"/>
        <v>1458.493150684933</v>
      </c>
      <c r="IQ31" s="51">
        <f t="shared" si="55"/>
        <v>1457.6630136986316</v>
      </c>
      <c r="IR31" s="51">
        <f t="shared" si="55"/>
        <v>1456.8328767123303</v>
      </c>
      <c r="IS31" s="51">
        <f t="shared" si="55"/>
        <v>1456.0027397260289</v>
      </c>
      <c r="IT31" s="51">
        <f t="shared" si="55"/>
        <v>1455.1726027397276</v>
      </c>
      <c r="IU31" s="51">
        <f t="shared" si="55"/>
        <v>1454.3424657534263</v>
      </c>
      <c r="IV31" s="51">
        <f t="shared" si="55"/>
        <v>1453.5123287671249</v>
      </c>
      <c r="IW31" s="51">
        <f t="shared" si="55"/>
        <v>1452.6821917808236</v>
      </c>
      <c r="IX31" s="51">
        <f t="shared" si="55"/>
        <v>1451.8520547945222</v>
      </c>
      <c r="IY31" s="51">
        <f t="shared" si="55"/>
        <v>1451.0219178082209</v>
      </c>
      <c r="IZ31" s="51">
        <f t="shared" si="55"/>
        <v>1450.1917808219196</v>
      </c>
      <c r="JA31" s="51">
        <f t="shared" si="55"/>
        <v>1449.3616438356182</v>
      </c>
      <c r="JB31" s="51">
        <f t="shared" si="55"/>
        <v>1448.5315068493169</v>
      </c>
      <c r="JC31" s="51">
        <f t="shared" si="55"/>
        <v>1447.7013698630155</v>
      </c>
      <c r="JD31" s="51">
        <f t="shared" si="55"/>
        <v>1446.8712328767142</v>
      </c>
      <c r="JE31" s="51">
        <f t="shared" si="55"/>
        <v>1446.0410958904129</v>
      </c>
      <c r="JF31" s="51">
        <f t="shared" si="55"/>
        <v>1445.2109589041115</v>
      </c>
      <c r="JG31" s="51">
        <f t="shared" si="55"/>
        <v>1444.3808219178102</v>
      </c>
      <c r="JH31" s="51">
        <f t="shared" si="55"/>
        <v>1443.5506849315088</v>
      </c>
      <c r="JI31" s="51">
        <f t="shared" si="55"/>
        <v>1442.7205479452075</v>
      </c>
      <c r="JJ31" s="51">
        <f t="shared" si="55"/>
        <v>1441.8904109589062</v>
      </c>
      <c r="JK31" s="51">
        <f t="shared" si="55"/>
        <v>1441.0602739726048</v>
      </c>
      <c r="JL31" s="51">
        <f t="shared" si="55"/>
        <v>1440.2301369863035</v>
      </c>
      <c r="JM31" s="51">
        <f t="shared" si="55"/>
        <v>1439.4000000000021</v>
      </c>
      <c r="JN31" s="51">
        <f t="shared" si="55"/>
        <v>1438.5698630137008</v>
      </c>
      <c r="JO31" s="51">
        <f t="shared" si="55"/>
        <v>1437.7397260273995</v>
      </c>
      <c r="JP31" s="51">
        <f t="shared" si="55"/>
        <v>1436.9095890410981</v>
      </c>
      <c r="JQ31" s="51">
        <f t="shared" si="55"/>
        <v>1436.0794520547968</v>
      </c>
      <c r="JR31" s="51">
        <f t="shared" si="55"/>
        <v>1435.2493150684954</v>
      </c>
      <c r="JS31" s="51">
        <f t="shared" si="55"/>
        <v>1434.4191780821941</v>
      </c>
      <c r="JT31" s="51">
        <f t="shared" si="55"/>
        <v>1433.5890410958928</v>
      </c>
      <c r="JU31" s="51">
        <f t="shared" si="55"/>
        <v>1432.7589041095914</v>
      </c>
      <c r="JV31" s="51">
        <f t="shared" si="55"/>
        <v>1431.9287671232901</v>
      </c>
      <c r="JW31" s="51">
        <f t="shared" si="55"/>
        <v>1431.0986301369887</v>
      </c>
      <c r="JX31" s="51">
        <f t="shared" si="55"/>
        <v>1430.2684931506874</v>
      </c>
      <c r="JY31" s="51">
        <f t="shared" si="55"/>
        <v>1429.4383561643861</v>
      </c>
      <c r="JZ31" s="51">
        <f t="shared" si="55"/>
        <v>1428.6082191780847</v>
      </c>
      <c r="KA31" s="51">
        <f t="shared" si="55"/>
        <v>1427.7780821917834</v>
      </c>
      <c r="KB31" s="51">
        <f t="shared" si="55"/>
        <v>1426.947945205482</v>
      </c>
      <c r="KC31" s="51">
        <f t="shared" si="55"/>
        <v>1426.1178082191807</v>
      </c>
      <c r="KD31" s="51">
        <f t="shared" si="55"/>
        <v>1425.2876712328793</v>
      </c>
      <c r="KE31" s="51">
        <f t="shared" si="55"/>
        <v>1424.457534246578</v>
      </c>
      <c r="KF31" s="51">
        <f t="shared" si="55"/>
        <v>1423.6273972602767</v>
      </c>
      <c r="KG31" s="51">
        <f t="shared" si="55"/>
        <v>1422.7972602739753</v>
      </c>
      <c r="KH31" s="51">
        <f t="shared" si="55"/>
        <v>1421.967123287674</v>
      </c>
      <c r="KI31" s="51">
        <f t="shared" si="55"/>
        <v>1421.1369863013726</v>
      </c>
      <c r="KJ31" s="51">
        <f t="shared" si="55"/>
        <v>1420.3068493150713</v>
      </c>
      <c r="KK31" s="51">
        <f t="shared" si="55"/>
        <v>1419.47671232877</v>
      </c>
      <c r="KL31" s="51">
        <f t="shared" si="55"/>
        <v>1418.6465753424686</v>
      </c>
      <c r="KM31" s="51">
        <f t="shared" si="55"/>
        <v>1417.8164383561673</v>
      </c>
      <c r="KN31" s="51">
        <f t="shared" si="55"/>
        <v>1416.9863013698659</v>
      </c>
      <c r="KO31" s="51">
        <f t="shared" si="55"/>
        <v>1416.1561643835646</v>
      </c>
      <c r="KP31" s="51">
        <f t="shared" si="55"/>
        <v>1415.3260273972633</v>
      </c>
      <c r="KQ31" s="51">
        <f t="shared" si="55"/>
        <v>1414.4958904109619</v>
      </c>
      <c r="KR31" s="51">
        <f t="shared" si="55"/>
        <v>1413.6657534246606</v>
      </c>
      <c r="KS31" s="51">
        <f t="shared" si="55"/>
        <v>1412.8356164383592</v>
      </c>
      <c r="KT31" s="51">
        <f t="shared" si="47"/>
        <v>1412.0054794520579</v>
      </c>
      <c r="KU31" s="51">
        <f t="shared" si="47"/>
        <v>1411.1753424657566</v>
      </c>
      <c r="KV31" s="51">
        <f t="shared" si="47"/>
        <v>1410.3452054794552</v>
      </c>
      <c r="KW31" s="51">
        <f t="shared" si="47"/>
        <v>1409.5150684931539</v>
      </c>
      <c r="KX31" s="51">
        <f t="shared" si="47"/>
        <v>1408.6849315068525</v>
      </c>
      <c r="KY31" s="51">
        <f t="shared" si="47"/>
        <v>1407.8547945205512</v>
      </c>
      <c r="KZ31" s="51">
        <f t="shared" si="47"/>
        <v>1407.0246575342499</v>
      </c>
      <c r="LA31" s="51">
        <f t="shared" si="47"/>
        <v>1406.1945205479485</v>
      </c>
      <c r="LB31" s="51">
        <f t="shared" si="47"/>
        <v>1405.3643835616472</v>
      </c>
      <c r="LC31" s="51">
        <f t="shared" si="47"/>
        <v>1404.5342465753458</v>
      </c>
      <c r="LD31" s="51">
        <f t="shared" si="47"/>
        <v>1403.7041095890445</v>
      </c>
      <c r="LE31" s="51">
        <f t="shared" si="47"/>
        <v>1402.8739726027432</v>
      </c>
      <c r="LF31" s="51">
        <f t="shared" si="47"/>
        <v>1402.0438356164418</v>
      </c>
      <c r="LG31" s="51">
        <f t="shared" si="47"/>
        <v>1401.2136986301405</v>
      </c>
      <c r="LH31" s="51">
        <f t="shared" si="47"/>
        <v>1400.3835616438391</v>
      </c>
      <c r="LI31" s="51">
        <f t="shared" si="48"/>
        <v>1399.5534246575378</v>
      </c>
      <c r="LJ31" s="51">
        <f t="shared" si="48"/>
        <v>1398.7232876712364</v>
      </c>
      <c r="LK31" s="51">
        <f t="shared" si="48"/>
        <v>1397.8931506849351</v>
      </c>
      <c r="LL31" s="51">
        <f t="shared" si="48"/>
        <v>1397.0630136986338</v>
      </c>
      <c r="LM31" s="51">
        <f t="shared" si="48"/>
        <v>1396.2328767123324</v>
      </c>
      <c r="LN31" s="51">
        <f t="shared" si="48"/>
        <v>1395.4027397260311</v>
      </c>
      <c r="LO31" s="51">
        <f t="shared" si="48"/>
        <v>1394.5726027397297</v>
      </c>
      <c r="LP31" s="51">
        <f t="shared" si="48"/>
        <v>1393.7424657534284</v>
      </c>
      <c r="LQ31" s="51">
        <f t="shared" si="48"/>
        <v>1392.9123287671271</v>
      </c>
      <c r="LR31" s="51">
        <f t="shared" si="48"/>
        <v>1392.0821917808257</v>
      </c>
      <c r="LS31" s="51">
        <f t="shared" si="48"/>
        <v>1391.2520547945244</v>
      </c>
      <c r="LT31" s="51">
        <f t="shared" si="48"/>
        <v>1390.421917808223</v>
      </c>
      <c r="LU31" s="51">
        <f t="shared" si="48"/>
        <v>1389.5917808219217</v>
      </c>
      <c r="LV31" s="51">
        <f t="shared" si="48"/>
        <v>1388.7616438356204</v>
      </c>
      <c r="LW31" s="51">
        <f t="shared" si="48"/>
        <v>1387.931506849319</v>
      </c>
      <c r="LX31" s="51">
        <f t="shared" si="48"/>
        <v>1387.1013698630177</v>
      </c>
      <c r="LY31" s="51">
        <f t="shared" si="49"/>
        <v>1386.2712328767163</v>
      </c>
      <c r="LZ31" s="51">
        <f t="shared" si="49"/>
        <v>1385.441095890415</v>
      </c>
      <c r="MA31" s="51">
        <f t="shared" si="49"/>
        <v>1384.6109589041137</v>
      </c>
      <c r="MB31" s="51">
        <f t="shared" si="49"/>
        <v>1383.7808219178123</v>
      </c>
      <c r="MC31" s="51">
        <f t="shared" si="49"/>
        <v>1382.950684931511</v>
      </c>
      <c r="MD31" s="51">
        <f t="shared" si="49"/>
        <v>1382.1205479452096</v>
      </c>
      <c r="ME31" s="51">
        <f t="shared" si="49"/>
        <v>1381.2904109589083</v>
      </c>
      <c r="MF31" s="51">
        <f t="shared" si="49"/>
        <v>1380.460273972607</v>
      </c>
      <c r="MG31" s="51">
        <f t="shared" si="49"/>
        <v>1379.6301369863056</v>
      </c>
      <c r="MH31" s="51">
        <f t="shared" si="49"/>
        <v>1378.8000000000043</v>
      </c>
      <c r="MI31" s="51">
        <f t="shared" si="49"/>
        <v>1377.9698630137029</v>
      </c>
      <c r="MJ31" s="51">
        <f t="shared" si="49"/>
        <v>1377.1397260274016</v>
      </c>
      <c r="MK31" s="51">
        <f t="shared" si="49"/>
        <v>1376.3095890411003</v>
      </c>
      <c r="ML31" s="51">
        <f t="shared" si="49"/>
        <v>1375.4794520547989</v>
      </c>
      <c r="MM31" s="51">
        <f t="shared" si="49"/>
        <v>1374.6493150684976</v>
      </c>
      <c r="MN31" s="51">
        <f t="shared" si="49"/>
        <v>1373.8191780821962</v>
      </c>
      <c r="MO31" s="51">
        <f t="shared" si="50"/>
        <v>1372.9890410958949</v>
      </c>
      <c r="MP31" s="51">
        <f t="shared" si="50"/>
        <v>1372.1589041095935</v>
      </c>
      <c r="MQ31" s="51">
        <f t="shared" si="50"/>
        <v>1371.3287671232922</v>
      </c>
      <c r="MR31" s="51">
        <f t="shared" si="50"/>
        <v>1370.4986301369909</v>
      </c>
      <c r="MS31" s="51">
        <f t="shared" si="50"/>
        <v>1369.6684931506895</v>
      </c>
      <c r="MT31" s="51">
        <f t="shared" si="50"/>
        <v>1368.8383561643882</v>
      </c>
      <c r="MU31" s="51">
        <f t="shared" si="50"/>
        <v>1368.0082191780868</v>
      </c>
      <c r="MV31" s="51">
        <f t="shared" si="50"/>
        <v>1367.1780821917855</v>
      </c>
      <c r="MW31" s="51">
        <f t="shared" si="50"/>
        <v>1366.3479452054842</v>
      </c>
      <c r="MX31" s="51">
        <f t="shared" si="50"/>
        <v>1365.5178082191828</v>
      </c>
      <c r="MY31" s="51">
        <f t="shared" si="50"/>
        <v>1364.6876712328815</v>
      </c>
      <c r="MZ31" s="51">
        <f t="shared" si="50"/>
        <v>1363.8575342465801</v>
      </c>
      <c r="NA31" s="51">
        <f t="shared" si="50"/>
        <v>1363.0273972602788</v>
      </c>
      <c r="NB31" s="51">
        <f t="shared" si="50"/>
        <v>1362.1972602739775</v>
      </c>
      <c r="NC31" s="51">
        <f t="shared" si="50"/>
        <v>1361.3671232876761</v>
      </c>
      <c r="ND31" s="51">
        <f t="shared" si="50"/>
        <v>1360.5369863013748</v>
      </c>
      <c r="NE31" s="51">
        <f t="shared" si="52"/>
        <v>1359.7068493150734</v>
      </c>
      <c r="NF31" s="51">
        <f t="shared" si="52"/>
        <v>1358.8767123287721</v>
      </c>
      <c r="NG31" s="51">
        <f t="shared" si="52"/>
        <v>1358.0465753424708</v>
      </c>
      <c r="NH31" s="51">
        <f t="shared" si="52"/>
        <v>1357.2164383561694</v>
      </c>
      <c r="NI31" s="51">
        <f t="shared" si="52"/>
        <v>1356.3863013698681</v>
      </c>
      <c r="NJ31" s="51">
        <f t="shared" si="52"/>
        <v>1355.5561643835667</v>
      </c>
      <c r="NK31" s="51">
        <f t="shared" si="52"/>
        <v>1354.7260273972654</v>
      </c>
      <c r="NL31" s="51">
        <f t="shared" si="52"/>
        <v>1353.8958904109641</v>
      </c>
      <c r="NM31" s="51">
        <f t="shared" si="52"/>
        <v>1353.0657534246627</v>
      </c>
      <c r="NN31" s="51">
        <f t="shared" si="52"/>
        <v>1352.2356164383614</v>
      </c>
      <c r="NO31" s="51">
        <f t="shared" si="52"/>
        <v>1351.40547945206</v>
      </c>
      <c r="NP31" s="51">
        <f t="shared" si="52"/>
        <v>1350.5753424657587</v>
      </c>
      <c r="NQ31" s="51">
        <f t="shared" si="52"/>
        <v>1349.7452054794574</v>
      </c>
      <c r="NR31" s="51">
        <f t="shared" si="52"/>
        <v>1348.915068493156</v>
      </c>
      <c r="NS31" s="51">
        <f t="shared" si="52"/>
        <v>1348.0849315068547</v>
      </c>
      <c r="NT31" s="51">
        <f t="shared" si="52"/>
        <v>1347.2547945205533</v>
      </c>
      <c r="NU31" s="51">
        <f t="shared" si="52"/>
        <v>1346.424657534252</v>
      </c>
      <c r="NV31" s="51"/>
      <c r="NW31" s="51"/>
      <c r="NX31" s="51"/>
      <c r="NY31" s="51"/>
      <c r="NZ31" s="51"/>
      <c r="OA31" s="51"/>
      <c r="OB31" s="51"/>
      <c r="OC31" s="51"/>
      <c r="OD31" s="51"/>
      <c r="OE31" s="51"/>
      <c r="OF31" s="51"/>
      <c r="OG31" s="51"/>
      <c r="OH31" s="51"/>
      <c r="OI31" s="51"/>
      <c r="OJ31" s="51"/>
      <c r="OK31" s="51"/>
      <c r="OL31" s="51"/>
      <c r="OM31" s="51"/>
      <c r="ON31" s="51"/>
      <c r="OO31" s="51"/>
      <c r="OP31" s="51"/>
      <c r="OQ31" s="51"/>
      <c r="OR31" s="51"/>
      <c r="OS31" s="51"/>
      <c r="OT31" s="51"/>
      <c r="OU31" s="51"/>
      <c r="OV31" s="51"/>
      <c r="OW31" s="51"/>
      <c r="OX31" s="51"/>
      <c r="OY31" s="51"/>
      <c r="OZ31" s="51"/>
      <c r="PA31" s="51"/>
      <c r="PB31" s="51"/>
      <c r="PC31" s="51"/>
      <c r="PD31" s="51"/>
      <c r="PE31" s="51"/>
      <c r="PF31" s="51"/>
      <c r="PG31" s="51"/>
      <c r="PH31" s="51"/>
      <c r="PI31" s="51"/>
      <c r="PJ31" s="51"/>
      <c r="PK31" s="51"/>
      <c r="PL31" s="51"/>
      <c r="PM31" s="51"/>
      <c r="PN31" s="51"/>
      <c r="PO31" s="51"/>
      <c r="PP31" s="51"/>
      <c r="PQ31" s="51"/>
      <c r="PR31" s="51"/>
      <c r="PS31" s="51"/>
      <c r="PT31" s="51"/>
      <c r="PU31" s="51"/>
      <c r="PV31" s="51"/>
      <c r="PW31" s="51"/>
      <c r="PX31" s="51"/>
      <c r="PY31" s="51"/>
      <c r="PZ31" s="51"/>
      <c r="QA31" s="51"/>
      <c r="QB31" s="51"/>
      <c r="QC31" s="51"/>
      <c r="QD31" s="51"/>
      <c r="QE31" s="51"/>
      <c r="QF31" s="51"/>
      <c r="QG31" s="51"/>
      <c r="QH31" s="51"/>
      <c r="QI31" s="51"/>
      <c r="QJ31" s="51"/>
      <c r="QK31" s="51"/>
      <c r="QL31" s="51"/>
      <c r="QM31" s="51"/>
      <c r="QN31" s="51"/>
      <c r="QO31" s="51"/>
      <c r="QP31" s="51"/>
      <c r="QQ31" s="51"/>
      <c r="QR31" s="51"/>
      <c r="QS31" s="51"/>
      <c r="QT31" s="51"/>
      <c r="QU31" s="51"/>
      <c r="QV31" s="51"/>
      <c r="QW31" s="51"/>
      <c r="QX31" s="51"/>
      <c r="QY31" s="51"/>
      <c r="QZ31" s="51"/>
      <c r="RA31" s="51"/>
      <c r="RB31" s="51"/>
      <c r="RC31" s="51"/>
      <c r="RD31" s="51"/>
      <c r="RE31" s="51"/>
      <c r="RF31" s="51"/>
      <c r="RG31" s="51"/>
      <c r="RH31" s="51"/>
      <c r="RI31" s="51"/>
      <c r="RJ31" s="51"/>
      <c r="RK31" s="51"/>
      <c r="RL31" s="51"/>
      <c r="RM31" s="51"/>
      <c r="RN31" s="51"/>
      <c r="RO31" s="51"/>
      <c r="RP31" s="51"/>
      <c r="RQ31" s="51"/>
      <c r="RR31" s="51"/>
      <c r="RS31" s="51"/>
      <c r="RT31" s="51"/>
      <c r="RU31" s="51"/>
      <c r="RV31" s="51"/>
      <c r="RW31" s="51"/>
      <c r="RX31" s="51"/>
      <c r="RY31" s="51"/>
      <c r="RZ31" s="51"/>
      <c r="SA31" s="51"/>
      <c r="SB31" s="51"/>
      <c r="SC31" s="51"/>
      <c r="SD31" s="51"/>
      <c r="SE31" s="51"/>
      <c r="SF31" s="51"/>
      <c r="SG31" s="51"/>
      <c r="SH31" s="51"/>
      <c r="SI31" s="51"/>
      <c r="SJ31" s="51"/>
      <c r="SK31" s="51"/>
      <c r="SL31" s="51"/>
      <c r="SM31" s="51"/>
      <c r="SN31" s="51"/>
      <c r="SO31" s="51"/>
      <c r="SP31" s="51"/>
      <c r="SQ31" s="51"/>
      <c r="SR31" s="51"/>
      <c r="SS31" s="51"/>
      <c r="ST31" s="51"/>
      <c r="SU31" s="51"/>
      <c r="SV31" s="51"/>
      <c r="SW31" s="51"/>
      <c r="SX31" s="51"/>
      <c r="SY31" s="51"/>
      <c r="SZ31" s="51"/>
      <c r="TA31" s="51"/>
      <c r="TB31" s="51"/>
      <c r="TC31" s="51"/>
      <c r="TD31" s="51"/>
      <c r="TE31" s="51"/>
      <c r="TF31" s="51"/>
      <c r="TG31" s="51"/>
      <c r="TH31" s="51"/>
      <c r="TI31" s="51"/>
      <c r="TJ31" s="51"/>
      <c r="TK31" s="51"/>
      <c r="TL31" s="51"/>
      <c r="TM31" s="51"/>
      <c r="TN31" s="51"/>
      <c r="TO31" s="51"/>
      <c r="TP31" s="51"/>
      <c r="TQ31" s="51"/>
      <c r="TR31" s="51"/>
      <c r="TS31" s="51"/>
      <c r="TT31" s="51"/>
      <c r="TU31" s="51"/>
      <c r="TV31" s="51"/>
      <c r="TW31" s="51"/>
      <c r="TX31" s="51"/>
      <c r="TY31" s="51"/>
      <c r="TZ31" s="51"/>
      <c r="UA31" s="51"/>
      <c r="UB31" s="51"/>
      <c r="UC31" s="51"/>
      <c r="UD31" s="51"/>
      <c r="UE31" s="51"/>
      <c r="UF31" s="51"/>
      <c r="UG31" s="51"/>
      <c r="UH31" s="51"/>
      <c r="UI31" s="51"/>
      <c r="UJ31" s="51"/>
      <c r="UK31" s="51"/>
      <c r="UL31" s="51"/>
      <c r="UM31" s="51"/>
      <c r="UN31" s="51"/>
      <c r="UO31" s="51"/>
      <c r="UP31" s="51"/>
      <c r="UQ31" s="51"/>
      <c r="UR31" s="51"/>
      <c r="US31" s="51"/>
      <c r="UT31" s="51"/>
      <c r="UU31" s="51"/>
      <c r="UV31" s="51"/>
      <c r="UW31" s="51"/>
      <c r="UX31" s="51"/>
      <c r="UY31" s="51"/>
      <c r="UZ31" s="51"/>
      <c r="VA31" s="51"/>
      <c r="VB31" s="51"/>
      <c r="VC31" s="51"/>
      <c r="VD31" s="51"/>
      <c r="VE31" s="51"/>
      <c r="VF31" s="51"/>
      <c r="VG31" s="51"/>
      <c r="VH31" s="51"/>
      <c r="VI31" s="51"/>
      <c r="VJ31" s="51"/>
      <c r="VK31" s="51"/>
      <c r="VL31" s="51"/>
      <c r="VM31" s="51"/>
      <c r="VN31" s="51"/>
      <c r="VO31" s="51"/>
      <c r="VP31" s="51"/>
      <c r="VQ31" s="51"/>
      <c r="VR31" s="51"/>
      <c r="VS31" s="51"/>
      <c r="VT31" s="51"/>
      <c r="VU31" s="51"/>
      <c r="VV31" s="51"/>
      <c r="VW31" s="51"/>
      <c r="VX31" s="51"/>
      <c r="VY31" s="51"/>
      <c r="VZ31" s="51"/>
      <c r="WA31" s="51"/>
      <c r="WB31" s="51"/>
      <c r="WC31" s="51"/>
      <c r="WD31" s="51"/>
      <c r="WE31" s="51"/>
      <c r="WF31" s="51"/>
      <c r="WG31" s="51"/>
    </row>
    <row r="32" spans="1:605" x14ac:dyDescent="0.25">
      <c r="A32" s="28">
        <v>30</v>
      </c>
      <c r="B32" s="28" t="s">
        <v>42</v>
      </c>
      <c r="C32" s="28" t="s">
        <v>29</v>
      </c>
      <c r="D32" s="28" t="s">
        <v>596</v>
      </c>
      <c r="E32" s="28">
        <v>1</v>
      </c>
      <c r="F32" s="28">
        <v>55</v>
      </c>
      <c r="G32" s="28">
        <v>5</v>
      </c>
      <c r="H32" s="50">
        <f t="shared" si="6"/>
        <v>60</v>
      </c>
      <c r="I32" s="28">
        <v>14</v>
      </c>
      <c r="J32" s="28">
        <v>165</v>
      </c>
      <c r="K32" s="28">
        <f t="shared" si="14"/>
        <v>179</v>
      </c>
      <c r="L32" s="49">
        <f t="shared" si="7"/>
        <v>41909</v>
      </c>
      <c r="M32" s="51">
        <f t="shared" si="8"/>
        <v>185</v>
      </c>
      <c r="N32" s="51">
        <v>1800</v>
      </c>
      <c r="O32" s="28">
        <v>19.399999999999999</v>
      </c>
      <c r="P32" s="28">
        <f t="shared" si="43"/>
        <v>1450.8000000000002</v>
      </c>
      <c r="Q32" s="52">
        <f t="shared" si="44"/>
        <v>593271</v>
      </c>
      <c r="R32" s="52">
        <f t="shared" si="53"/>
        <v>9887.85</v>
      </c>
      <c r="S32" s="28">
        <f t="shared" si="45"/>
        <v>0.95671232876712275</v>
      </c>
      <c r="GR32" s="51">
        <f>N32</f>
        <v>1800</v>
      </c>
      <c r="GS32" s="51">
        <f>GR32-$S32</f>
        <v>1799.043287671233</v>
      </c>
      <c r="GT32" s="51">
        <f t="shared" si="54"/>
        <v>1798.0865753424659</v>
      </c>
      <c r="GU32" s="51">
        <f t="shared" si="54"/>
        <v>1797.1298630136989</v>
      </c>
      <c r="GV32" s="51">
        <f t="shared" si="54"/>
        <v>1796.1731506849319</v>
      </c>
      <c r="GW32" s="51">
        <f t="shared" si="54"/>
        <v>1795.2164383561649</v>
      </c>
      <c r="GX32" s="51">
        <f t="shared" si="54"/>
        <v>1794.2597260273978</v>
      </c>
      <c r="GY32" s="51">
        <f t="shared" si="54"/>
        <v>1793.3030136986308</v>
      </c>
      <c r="GZ32" s="51">
        <f t="shared" si="54"/>
        <v>1792.3463013698638</v>
      </c>
      <c r="HA32" s="51">
        <f t="shared" si="54"/>
        <v>1791.3895890410968</v>
      </c>
      <c r="HB32" s="51">
        <f t="shared" si="54"/>
        <v>1790.4328767123297</v>
      </c>
      <c r="HC32" s="51">
        <f t="shared" si="54"/>
        <v>1789.4761643835627</v>
      </c>
      <c r="HD32" s="51">
        <f t="shared" si="54"/>
        <v>1788.5194520547957</v>
      </c>
      <c r="HE32" s="51">
        <f t="shared" si="54"/>
        <v>1787.5627397260287</v>
      </c>
      <c r="HF32" s="51">
        <f t="shared" si="54"/>
        <v>1786.6060273972616</v>
      </c>
      <c r="HG32" s="51">
        <f t="shared" si="54"/>
        <v>1785.6493150684946</v>
      </c>
      <c r="HH32" s="51">
        <f t="shared" si="54"/>
        <v>1784.6926027397276</v>
      </c>
      <c r="HI32" s="51">
        <f t="shared" si="54"/>
        <v>1783.7358904109606</v>
      </c>
      <c r="HJ32" s="51">
        <f t="shared" si="54"/>
        <v>1782.7791780821935</v>
      </c>
      <c r="HK32" s="51">
        <f t="shared" si="54"/>
        <v>1781.8224657534265</v>
      </c>
      <c r="HL32" s="51">
        <f t="shared" si="54"/>
        <v>1780.8657534246595</v>
      </c>
      <c r="HM32" s="51">
        <f t="shared" si="54"/>
        <v>1779.9090410958925</v>
      </c>
      <c r="HN32" s="51">
        <f t="shared" si="54"/>
        <v>1778.9523287671254</v>
      </c>
      <c r="HO32" s="51">
        <f t="shared" si="54"/>
        <v>1777.9956164383584</v>
      </c>
      <c r="HP32" s="51">
        <f t="shared" si="54"/>
        <v>1777.0389041095914</v>
      </c>
      <c r="HQ32" s="51">
        <f t="shared" si="54"/>
        <v>1776.0821917808244</v>
      </c>
      <c r="HR32" s="51">
        <f t="shared" si="54"/>
        <v>1775.1254794520573</v>
      </c>
      <c r="HS32" s="51">
        <f t="shared" si="54"/>
        <v>1774.1687671232903</v>
      </c>
      <c r="HT32" s="51">
        <f t="shared" si="54"/>
        <v>1773.2120547945233</v>
      </c>
      <c r="HU32" s="51">
        <f t="shared" si="54"/>
        <v>1772.2553424657563</v>
      </c>
      <c r="HV32" s="51">
        <f t="shared" si="54"/>
        <v>1771.2986301369892</v>
      </c>
      <c r="HW32" s="51">
        <f t="shared" si="54"/>
        <v>1770.3419178082222</v>
      </c>
      <c r="HX32" s="51">
        <f t="shared" si="54"/>
        <v>1769.3852054794552</v>
      </c>
      <c r="HY32" s="51">
        <f t="shared" si="54"/>
        <v>1768.4284931506882</v>
      </c>
      <c r="HZ32" s="51">
        <f t="shared" si="54"/>
        <v>1767.4717808219211</v>
      </c>
      <c r="IA32" s="51">
        <f t="shared" si="54"/>
        <v>1766.5150684931541</v>
      </c>
      <c r="IB32" s="51">
        <f t="shared" si="54"/>
        <v>1765.5583561643871</v>
      </c>
      <c r="IC32" s="51">
        <f t="shared" si="54"/>
        <v>1764.6016438356201</v>
      </c>
      <c r="ID32" s="51">
        <f t="shared" si="54"/>
        <v>1763.644931506853</v>
      </c>
      <c r="IE32" s="51">
        <f t="shared" si="54"/>
        <v>1762.688219178086</v>
      </c>
      <c r="IF32" s="51">
        <f t="shared" si="54"/>
        <v>1761.731506849319</v>
      </c>
      <c r="IG32" s="51">
        <f>IF32-$S32</f>
        <v>1760.7747945205519</v>
      </c>
      <c r="IH32" s="51">
        <f t="shared" si="55"/>
        <v>1759.8180821917849</v>
      </c>
      <c r="II32" s="51">
        <f t="shared" si="55"/>
        <v>1758.8613698630179</v>
      </c>
      <c r="IJ32" s="51">
        <f t="shared" si="55"/>
        <v>1757.9046575342509</v>
      </c>
      <c r="IK32" s="51">
        <f t="shared" si="55"/>
        <v>1756.9479452054838</v>
      </c>
      <c r="IL32" s="51">
        <f t="shared" si="55"/>
        <v>1755.9912328767168</v>
      </c>
      <c r="IM32" s="51">
        <f t="shared" si="55"/>
        <v>1755.0345205479498</v>
      </c>
      <c r="IN32" s="51">
        <f t="shared" si="55"/>
        <v>1754.0778082191828</v>
      </c>
      <c r="IO32" s="51">
        <f t="shared" si="55"/>
        <v>1753.1210958904157</v>
      </c>
      <c r="IP32" s="51">
        <f t="shared" si="55"/>
        <v>1752.1643835616487</v>
      </c>
      <c r="IQ32" s="51">
        <f t="shared" si="55"/>
        <v>1751.2076712328817</v>
      </c>
      <c r="IR32" s="51">
        <f t="shared" si="55"/>
        <v>1750.2509589041147</v>
      </c>
      <c r="IS32" s="51">
        <f t="shared" si="55"/>
        <v>1749.2942465753476</v>
      </c>
      <c r="IT32" s="51">
        <f t="shared" si="55"/>
        <v>1748.3375342465806</v>
      </c>
      <c r="IU32" s="51">
        <f t="shared" si="55"/>
        <v>1747.3808219178136</v>
      </c>
      <c r="IV32" s="51">
        <f t="shared" si="55"/>
        <v>1746.4241095890466</v>
      </c>
      <c r="IW32" s="51">
        <f t="shared" si="55"/>
        <v>1745.4673972602795</v>
      </c>
      <c r="IX32" s="51">
        <f t="shared" si="55"/>
        <v>1744.5106849315125</v>
      </c>
      <c r="IY32" s="51">
        <f t="shared" si="55"/>
        <v>1743.5539726027455</v>
      </c>
      <c r="IZ32" s="51">
        <f t="shared" si="55"/>
        <v>1742.5972602739785</v>
      </c>
      <c r="JA32" s="51">
        <f t="shared" si="55"/>
        <v>1741.6405479452114</v>
      </c>
      <c r="JB32" s="51">
        <f t="shared" si="55"/>
        <v>1740.6838356164444</v>
      </c>
      <c r="JC32" s="51">
        <f t="shared" si="55"/>
        <v>1739.7271232876774</v>
      </c>
      <c r="JD32" s="51">
        <f t="shared" si="55"/>
        <v>1738.7704109589104</v>
      </c>
      <c r="JE32" s="51">
        <f t="shared" si="55"/>
        <v>1737.8136986301433</v>
      </c>
      <c r="JF32" s="51">
        <f t="shared" si="55"/>
        <v>1736.8569863013763</v>
      </c>
      <c r="JG32" s="51">
        <f t="shared" si="55"/>
        <v>1735.9002739726093</v>
      </c>
      <c r="JH32" s="51">
        <f t="shared" si="55"/>
        <v>1734.9435616438423</v>
      </c>
      <c r="JI32" s="51">
        <f t="shared" si="55"/>
        <v>1733.9868493150752</v>
      </c>
      <c r="JJ32" s="51">
        <f t="shared" si="55"/>
        <v>1733.0301369863082</v>
      </c>
      <c r="JK32" s="51">
        <f t="shared" si="55"/>
        <v>1732.0734246575412</v>
      </c>
      <c r="JL32" s="51">
        <f t="shared" si="55"/>
        <v>1731.1167123287742</v>
      </c>
      <c r="JM32" s="51">
        <f t="shared" si="55"/>
        <v>1730.1600000000071</v>
      </c>
      <c r="JN32" s="51">
        <f t="shared" si="55"/>
        <v>1729.2032876712401</v>
      </c>
      <c r="JO32" s="51">
        <f t="shared" si="55"/>
        <v>1728.2465753424731</v>
      </c>
      <c r="JP32" s="51">
        <f t="shared" si="55"/>
        <v>1727.2898630137061</v>
      </c>
      <c r="JQ32" s="51">
        <f t="shared" si="55"/>
        <v>1726.333150684939</v>
      </c>
      <c r="JR32" s="51">
        <f t="shared" si="55"/>
        <v>1725.376438356172</v>
      </c>
      <c r="JS32" s="51">
        <f t="shared" si="55"/>
        <v>1724.419726027405</v>
      </c>
      <c r="JT32" s="51">
        <f t="shared" si="55"/>
        <v>1723.463013698638</v>
      </c>
      <c r="JU32" s="51">
        <f t="shared" si="55"/>
        <v>1722.5063013698709</v>
      </c>
      <c r="JV32" s="51">
        <f t="shared" si="55"/>
        <v>1721.5495890411039</v>
      </c>
      <c r="JW32" s="51">
        <f t="shared" si="55"/>
        <v>1720.5928767123369</v>
      </c>
      <c r="JX32" s="51">
        <f t="shared" si="55"/>
        <v>1719.6361643835698</v>
      </c>
      <c r="JY32" s="51">
        <f t="shared" si="55"/>
        <v>1718.6794520548028</v>
      </c>
      <c r="JZ32" s="51">
        <f t="shared" si="55"/>
        <v>1717.7227397260358</v>
      </c>
      <c r="KA32" s="51">
        <f t="shared" si="55"/>
        <v>1716.7660273972688</v>
      </c>
      <c r="KB32" s="51">
        <f t="shared" si="55"/>
        <v>1715.8093150685017</v>
      </c>
      <c r="KC32" s="51">
        <f t="shared" si="55"/>
        <v>1714.8526027397347</v>
      </c>
      <c r="KD32" s="51">
        <f t="shared" si="55"/>
        <v>1713.8958904109677</v>
      </c>
      <c r="KE32" s="51">
        <f t="shared" si="55"/>
        <v>1712.9391780822007</v>
      </c>
      <c r="KF32" s="51">
        <f t="shared" si="55"/>
        <v>1711.9824657534336</v>
      </c>
      <c r="KG32" s="51">
        <f t="shared" si="55"/>
        <v>1711.0257534246666</v>
      </c>
      <c r="KH32" s="51">
        <f t="shared" si="55"/>
        <v>1710.0690410958996</v>
      </c>
      <c r="KI32" s="51">
        <f t="shared" si="55"/>
        <v>1709.1123287671326</v>
      </c>
      <c r="KJ32" s="51">
        <f t="shared" si="55"/>
        <v>1708.1556164383655</v>
      </c>
      <c r="KK32" s="51">
        <f t="shared" si="55"/>
        <v>1707.1989041095985</v>
      </c>
      <c r="KL32" s="51">
        <f t="shared" si="55"/>
        <v>1706.2421917808315</v>
      </c>
      <c r="KM32" s="51">
        <f t="shared" si="55"/>
        <v>1705.2854794520645</v>
      </c>
      <c r="KN32" s="51">
        <f t="shared" si="55"/>
        <v>1704.3287671232974</v>
      </c>
      <c r="KO32" s="51">
        <f t="shared" si="55"/>
        <v>1703.3720547945304</v>
      </c>
      <c r="KP32" s="51">
        <f t="shared" si="55"/>
        <v>1702.4153424657634</v>
      </c>
      <c r="KQ32" s="51">
        <f t="shared" si="55"/>
        <v>1701.4586301369964</v>
      </c>
      <c r="KR32" s="51">
        <f t="shared" si="55"/>
        <v>1700.5019178082293</v>
      </c>
      <c r="KS32" s="51">
        <f t="shared" si="55"/>
        <v>1699.5452054794623</v>
      </c>
      <c r="KT32" s="51">
        <f t="shared" si="47"/>
        <v>1698.5884931506953</v>
      </c>
      <c r="KU32" s="51">
        <f t="shared" si="47"/>
        <v>1697.6317808219283</v>
      </c>
      <c r="KV32" s="51">
        <f t="shared" si="47"/>
        <v>1696.6750684931612</v>
      </c>
      <c r="KW32" s="51">
        <f t="shared" si="47"/>
        <v>1695.7183561643942</v>
      </c>
      <c r="KX32" s="51">
        <f t="shared" si="47"/>
        <v>1694.7616438356272</v>
      </c>
      <c r="KY32" s="51">
        <f t="shared" si="47"/>
        <v>1693.8049315068602</v>
      </c>
      <c r="KZ32" s="51">
        <f t="shared" si="47"/>
        <v>1692.8482191780931</v>
      </c>
      <c r="LA32" s="51">
        <f t="shared" si="47"/>
        <v>1691.8915068493261</v>
      </c>
      <c r="LB32" s="51">
        <f t="shared" si="47"/>
        <v>1690.9347945205591</v>
      </c>
      <c r="LC32" s="51">
        <f t="shared" si="47"/>
        <v>1689.9780821917921</v>
      </c>
      <c r="LD32" s="51">
        <f t="shared" si="47"/>
        <v>1689.021369863025</v>
      </c>
      <c r="LE32" s="51">
        <f t="shared" si="47"/>
        <v>1688.064657534258</v>
      </c>
      <c r="LF32" s="51">
        <f t="shared" si="47"/>
        <v>1687.107945205491</v>
      </c>
      <c r="LG32" s="51">
        <f t="shared" si="47"/>
        <v>1686.151232876724</v>
      </c>
      <c r="LH32" s="51">
        <f t="shared" si="47"/>
        <v>1685.1945205479569</v>
      </c>
      <c r="LI32" s="51">
        <f t="shared" si="48"/>
        <v>1684.2378082191899</v>
      </c>
      <c r="LJ32" s="51">
        <f t="shared" si="48"/>
        <v>1683.2810958904229</v>
      </c>
      <c r="LK32" s="51">
        <f t="shared" si="48"/>
        <v>1682.3243835616558</v>
      </c>
      <c r="LL32" s="51">
        <f t="shared" si="48"/>
        <v>1681.3676712328888</v>
      </c>
      <c r="LM32" s="51">
        <f t="shared" si="48"/>
        <v>1680.4109589041218</v>
      </c>
      <c r="LN32" s="51">
        <f t="shared" si="48"/>
        <v>1679.4542465753548</v>
      </c>
      <c r="LO32" s="51">
        <f t="shared" si="48"/>
        <v>1678.4975342465877</v>
      </c>
      <c r="LP32" s="51">
        <f t="shared" si="48"/>
        <v>1677.5408219178207</v>
      </c>
      <c r="LQ32" s="51">
        <f t="shared" si="48"/>
        <v>1676.5841095890537</v>
      </c>
      <c r="LR32" s="51">
        <f t="shared" si="48"/>
        <v>1675.6273972602867</v>
      </c>
      <c r="LS32" s="51">
        <f t="shared" si="48"/>
        <v>1674.6706849315196</v>
      </c>
      <c r="LT32" s="51">
        <f t="shared" si="48"/>
        <v>1673.7139726027526</v>
      </c>
      <c r="LU32" s="51">
        <f t="shared" si="48"/>
        <v>1672.7572602739856</v>
      </c>
      <c r="LV32" s="51">
        <f t="shared" si="48"/>
        <v>1671.8005479452186</v>
      </c>
      <c r="LW32" s="51">
        <f t="shared" si="48"/>
        <v>1670.8438356164515</v>
      </c>
      <c r="LX32" s="51">
        <f t="shared" si="48"/>
        <v>1669.8871232876845</v>
      </c>
      <c r="LY32" s="51">
        <f t="shared" si="49"/>
        <v>1668.9304109589175</v>
      </c>
      <c r="LZ32" s="51">
        <f t="shared" si="49"/>
        <v>1667.9736986301505</v>
      </c>
      <c r="MA32" s="51">
        <f t="shared" si="49"/>
        <v>1667.0169863013834</v>
      </c>
      <c r="MB32" s="51">
        <f t="shared" si="49"/>
        <v>1666.0602739726164</v>
      </c>
      <c r="MC32" s="51">
        <f t="shared" si="49"/>
        <v>1665.1035616438494</v>
      </c>
      <c r="MD32" s="51">
        <f t="shared" si="49"/>
        <v>1664.1468493150824</v>
      </c>
      <c r="ME32" s="51">
        <f t="shared" si="49"/>
        <v>1663.1901369863153</v>
      </c>
      <c r="MF32" s="51">
        <f t="shared" si="49"/>
        <v>1662.2334246575483</v>
      </c>
      <c r="MG32" s="51">
        <f t="shared" si="49"/>
        <v>1661.2767123287813</v>
      </c>
      <c r="MH32" s="51">
        <f t="shared" si="49"/>
        <v>1660.3200000000143</v>
      </c>
      <c r="MI32" s="51">
        <f t="shared" si="49"/>
        <v>1659.3632876712472</v>
      </c>
      <c r="MJ32" s="51">
        <f t="shared" si="49"/>
        <v>1658.4065753424802</v>
      </c>
      <c r="MK32" s="51">
        <f t="shared" si="49"/>
        <v>1657.4498630137132</v>
      </c>
      <c r="ML32" s="51">
        <f t="shared" si="49"/>
        <v>1656.4931506849462</v>
      </c>
      <c r="MM32" s="51">
        <f t="shared" si="49"/>
        <v>1655.5364383561791</v>
      </c>
      <c r="MN32" s="51">
        <f t="shared" si="49"/>
        <v>1654.5797260274121</v>
      </c>
      <c r="MO32" s="51">
        <f t="shared" si="50"/>
        <v>1653.6230136986451</v>
      </c>
      <c r="MP32" s="51">
        <f t="shared" si="50"/>
        <v>1652.6663013698781</v>
      </c>
      <c r="MQ32" s="51">
        <f t="shared" si="50"/>
        <v>1651.709589041111</v>
      </c>
      <c r="MR32" s="51">
        <f t="shared" si="50"/>
        <v>1650.752876712344</v>
      </c>
      <c r="MS32" s="51">
        <f t="shared" si="50"/>
        <v>1649.796164383577</v>
      </c>
      <c r="MT32" s="51">
        <f t="shared" si="50"/>
        <v>1648.83945205481</v>
      </c>
      <c r="MU32" s="51">
        <f t="shared" si="50"/>
        <v>1647.8827397260429</v>
      </c>
      <c r="MV32" s="51">
        <f t="shared" si="50"/>
        <v>1646.9260273972759</v>
      </c>
      <c r="MW32" s="51">
        <f t="shared" si="50"/>
        <v>1645.9693150685089</v>
      </c>
      <c r="MX32" s="51">
        <f t="shared" si="50"/>
        <v>1645.0126027397419</v>
      </c>
      <c r="MY32" s="51">
        <f t="shared" si="50"/>
        <v>1644.0558904109748</v>
      </c>
      <c r="MZ32" s="51">
        <f t="shared" si="50"/>
        <v>1643.0991780822078</v>
      </c>
      <c r="NA32" s="51">
        <f t="shared" si="50"/>
        <v>1642.1424657534408</v>
      </c>
      <c r="NB32" s="51">
        <f t="shared" si="50"/>
        <v>1641.1857534246737</v>
      </c>
      <c r="NC32" s="51">
        <f t="shared" si="50"/>
        <v>1640.2290410959067</v>
      </c>
      <c r="ND32" s="51">
        <f t="shared" si="50"/>
        <v>1639.2723287671397</v>
      </c>
      <c r="NE32" s="51">
        <f t="shared" si="52"/>
        <v>1638.3156164383727</v>
      </c>
      <c r="NF32" s="51">
        <f t="shared" si="52"/>
        <v>1637.3589041096056</v>
      </c>
      <c r="NG32" s="51">
        <f t="shared" si="52"/>
        <v>1636.4021917808386</v>
      </c>
      <c r="NH32" s="51">
        <f t="shared" si="52"/>
        <v>1635.4454794520716</v>
      </c>
      <c r="NI32" s="51">
        <f t="shared" si="52"/>
        <v>1634.4887671233046</v>
      </c>
      <c r="NJ32" s="51">
        <f t="shared" si="52"/>
        <v>1633.5320547945375</v>
      </c>
      <c r="NK32" s="51">
        <f t="shared" si="52"/>
        <v>1632.5753424657705</v>
      </c>
      <c r="NL32" s="51">
        <f t="shared" si="52"/>
        <v>1631.6186301370035</v>
      </c>
      <c r="NM32" s="51">
        <f t="shared" si="52"/>
        <v>1630.6619178082365</v>
      </c>
      <c r="NN32" s="51">
        <f t="shared" si="52"/>
        <v>1629.7052054794694</v>
      </c>
      <c r="NO32" s="51">
        <f t="shared" si="52"/>
        <v>1628.7484931507024</v>
      </c>
      <c r="NP32" s="51">
        <f t="shared" si="52"/>
        <v>1627.7917808219354</v>
      </c>
      <c r="NQ32" s="51">
        <f t="shared" si="52"/>
        <v>1626.8350684931684</v>
      </c>
      <c r="NR32" s="51">
        <f t="shared" si="52"/>
        <v>1625.8783561644013</v>
      </c>
      <c r="NS32" s="51">
        <f t="shared" si="52"/>
        <v>1624.9216438356343</v>
      </c>
      <c r="NT32" s="51">
        <f t="shared" si="52"/>
        <v>1623.9649315068673</v>
      </c>
      <c r="NU32" s="51">
        <f t="shared" si="52"/>
        <v>1623.0082191781003</v>
      </c>
      <c r="NV32" s="51"/>
      <c r="NW32" s="51"/>
      <c r="NX32" s="51"/>
      <c r="NY32" s="51"/>
      <c r="NZ32" s="51"/>
      <c r="OA32" s="51"/>
      <c r="OB32" s="51"/>
      <c r="OC32" s="51"/>
      <c r="OD32" s="51"/>
      <c r="OE32" s="51"/>
      <c r="OF32" s="51"/>
      <c r="OG32" s="51"/>
      <c r="OH32" s="51"/>
      <c r="OI32" s="51"/>
      <c r="OJ32" s="51"/>
      <c r="OK32" s="51"/>
      <c r="OL32" s="51"/>
      <c r="OM32" s="51"/>
      <c r="ON32" s="51"/>
      <c r="OO32" s="51"/>
      <c r="OP32" s="51"/>
      <c r="OQ32" s="51"/>
      <c r="OR32" s="51"/>
      <c r="OS32" s="51"/>
      <c r="OT32" s="51"/>
      <c r="OU32" s="51"/>
      <c r="OV32" s="51"/>
      <c r="OW32" s="51"/>
      <c r="OX32" s="51"/>
      <c r="OY32" s="51"/>
      <c r="OZ32" s="51"/>
      <c r="PA32" s="51"/>
      <c r="PB32" s="51"/>
      <c r="PC32" s="51"/>
      <c r="PD32" s="51"/>
      <c r="PE32" s="51"/>
      <c r="PF32" s="51"/>
      <c r="PG32" s="51"/>
      <c r="PH32" s="51"/>
      <c r="PI32" s="51"/>
      <c r="PJ32" s="51"/>
      <c r="PK32" s="51"/>
      <c r="PL32" s="51"/>
      <c r="PM32" s="51"/>
      <c r="PN32" s="51"/>
      <c r="PO32" s="51"/>
      <c r="PP32" s="51"/>
      <c r="PQ32" s="51"/>
      <c r="PR32" s="51"/>
      <c r="PS32" s="51"/>
      <c r="PT32" s="51"/>
      <c r="PU32" s="51"/>
      <c r="PV32" s="51"/>
      <c r="PW32" s="51"/>
      <c r="PX32" s="51"/>
      <c r="PY32" s="51"/>
      <c r="PZ32" s="51"/>
      <c r="QA32" s="51"/>
      <c r="QB32" s="51"/>
      <c r="QC32" s="51"/>
      <c r="QD32" s="51"/>
      <c r="QE32" s="51"/>
      <c r="QF32" s="51"/>
      <c r="QG32" s="51"/>
      <c r="QH32" s="51"/>
      <c r="QI32" s="51"/>
      <c r="QJ32" s="51"/>
      <c r="QK32" s="51"/>
      <c r="QL32" s="51"/>
      <c r="QM32" s="51"/>
      <c r="QN32" s="51"/>
      <c r="QO32" s="51"/>
      <c r="QP32" s="51"/>
      <c r="QQ32" s="51"/>
      <c r="QR32" s="51"/>
      <c r="QS32" s="51"/>
      <c r="QT32" s="51"/>
      <c r="QU32" s="51"/>
      <c r="QV32" s="51"/>
      <c r="QW32" s="51"/>
      <c r="QX32" s="51"/>
      <c r="QY32" s="51"/>
      <c r="QZ32" s="51"/>
      <c r="RA32" s="51"/>
      <c r="RB32" s="51"/>
      <c r="RC32" s="51"/>
      <c r="RD32" s="51"/>
      <c r="RE32" s="51"/>
      <c r="RF32" s="51"/>
      <c r="RG32" s="51"/>
      <c r="RH32" s="51"/>
      <c r="RI32" s="51"/>
      <c r="RJ32" s="51"/>
      <c r="RK32" s="51"/>
      <c r="RL32" s="51"/>
      <c r="RM32" s="51"/>
      <c r="RN32" s="51"/>
      <c r="RO32" s="51"/>
      <c r="RP32" s="51"/>
      <c r="RQ32" s="51"/>
      <c r="RR32" s="51"/>
      <c r="RS32" s="51"/>
      <c r="RT32" s="51"/>
      <c r="RU32" s="51"/>
      <c r="RV32" s="51"/>
      <c r="RW32" s="51"/>
      <c r="RX32" s="51"/>
      <c r="RY32" s="51"/>
      <c r="RZ32" s="51"/>
      <c r="SA32" s="51"/>
      <c r="SB32" s="51"/>
      <c r="SC32" s="51"/>
      <c r="SD32" s="51"/>
      <c r="SE32" s="51"/>
      <c r="SF32" s="51"/>
      <c r="SG32" s="51"/>
      <c r="SH32" s="51"/>
      <c r="SI32" s="51"/>
      <c r="SJ32" s="51"/>
      <c r="SK32" s="51"/>
      <c r="SL32" s="51"/>
      <c r="SM32" s="51"/>
      <c r="SN32" s="51"/>
      <c r="SO32" s="51"/>
      <c r="SP32" s="51"/>
      <c r="SQ32" s="51"/>
      <c r="SR32" s="51"/>
      <c r="SS32" s="51"/>
      <c r="ST32" s="51"/>
      <c r="SU32" s="51"/>
      <c r="SV32" s="51"/>
      <c r="SW32" s="51"/>
      <c r="SX32" s="51"/>
      <c r="SY32" s="51"/>
      <c r="SZ32" s="51"/>
      <c r="TA32" s="51"/>
      <c r="TB32" s="51"/>
      <c r="TC32" s="51"/>
      <c r="TD32" s="51"/>
      <c r="TE32" s="51"/>
      <c r="TF32" s="51"/>
      <c r="TG32" s="51"/>
      <c r="TH32" s="51"/>
      <c r="TI32" s="51"/>
      <c r="TJ32" s="51"/>
      <c r="TK32" s="51"/>
      <c r="TL32" s="51"/>
      <c r="TM32" s="51"/>
      <c r="TN32" s="51"/>
      <c r="TO32" s="51"/>
      <c r="TP32" s="51"/>
      <c r="TQ32" s="51"/>
      <c r="TR32" s="51"/>
      <c r="TS32" s="51"/>
      <c r="TT32" s="51"/>
      <c r="TU32" s="51"/>
      <c r="TV32" s="51"/>
      <c r="TW32" s="51"/>
      <c r="TX32" s="51"/>
      <c r="TY32" s="51"/>
      <c r="TZ32" s="51"/>
      <c r="UA32" s="51"/>
      <c r="UB32" s="51"/>
      <c r="UC32" s="51"/>
      <c r="UD32" s="51"/>
      <c r="UE32" s="51"/>
      <c r="UF32" s="51"/>
      <c r="UG32" s="51"/>
      <c r="UH32" s="51"/>
      <c r="UI32" s="51"/>
      <c r="UJ32" s="51"/>
      <c r="UK32" s="51"/>
      <c r="UL32" s="51"/>
      <c r="UM32" s="51"/>
      <c r="UN32" s="51"/>
      <c r="UO32" s="51"/>
      <c r="UP32" s="51"/>
      <c r="UQ32" s="51"/>
      <c r="UR32" s="51"/>
      <c r="US32" s="51"/>
      <c r="UT32" s="51"/>
      <c r="UU32" s="51"/>
      <c r="UV32" s="51"/>
      <c r="UW32" s="51"/>
      <c r="UX32" s="51"/>
      <c r="UY32" s="51"/>
      <c r="UZ32" s="51"/>
      <c r="VA32" s="51"/>
      <c r="VB32" s="51"/>
      <c r="VC32" s="51"/>
      <c r="VD32" s="51"/>
      <c r="VE32" s="51"/>
      <c r="VF32" s="51"/>
      <c r="VG32" s="51"/>
      <c r="VH32" s="51"/>
      <c r="VI32" s="51"/>
      <c r="VJ32" s="51"/>
      <c r="VK32" s="51"/>
      <c r="VL32" s="51"/>
      <c r="VM32" s="51"/>
      <c r="VN32" s="51"/>
      <c r="VO32" s="51"/>
      <c r="VP32" s="51"/>
      <c r="VQ32" s="51"/>
      <c r="VR32" s="51"/>
      <c r="VS32" s="51"/>
      <c r="VT32" s="51"/>
      <c r="VU32" s="51"/>
      <c r="VV32" s="51"/>
      <c r="VW32" s="51"/>
      <c r="VX32" s="51"/>
      <c r="VY32" s="51"/>
      <c r="VZ32" s="51"/>
      <c r="WA32" s="51"/>
      <c r="WB32" s="51"/>
      <c r="WC32" s="51"/>
      <c r="WD32" s="51"/>
      <c r="WE32" s="51"/>
      <c r="WF32" s="51"/>
      <c r="WG32" s="51"/>
    </row>
    <row r="33" spans="1:385" x14ac:dyDescent="0.25">
      <c r="A33" s="28">
        <v>31</v>
      </c>
      <c r="B33" s="28" t="s">
        <v>11</v>
      </c>
      <c r="C33" s="28" t="s">
        <v>17</v>
      </c>
      <c r="D33" s="28" t="s">
        <v>598</v>
      </c>
      <c r="E33" s="28">
        <v>1</v>
      </c>
      <c r="F33" s="28">
        <v>40</v>
      </c>
      <c r="G33" s="28">
        <v>5</v>
      </c>
      <c r="H33" s="50">
        <f t="shared" si="6"/>
        <v>45</v>
      </c>
      <c r="I33" s="28">
        <v>14</v>
      </c>
      <c r="J33" s="28">
        <v>180</v>
      </c>
      <c r="K33" s="28">
        <f t="shared" si="14"/>
        <v>194</v>
      </c>
      <c r="L33" s="49">
        <f t="shared" si="7"/>
        <v>41924</v>
      </c>
      <c r="M33" s="51">
        <f t="shared" si="8"/>
        <v>170</v>
      </c>
      <c r="N33" s="51">
        <v>0</v>
      </c>
      <c r="Q33" s="52"/>
      <c r="R33" s="52"/>
    </row>
    <row r="34" spans="1:385" x14ac:dyDescent="0.25">
      <c r="A34" s="28">
        <v>32</v>
      </c>
      <c r="B34" s="28" t="s">
        <v>11</v>
      </c>
      <c r="C34" s="28" t="s">
        <v>17</v>
      </c>
      <c r="D34" s="28" t="s">
        <v>598</v>
      </c>
      <c r="E34" s="28">
        <v>1</v>
      </c>
      <c r="F34" s="28">
        <v>40</v>
      </c>
      <c r="G34" s="28">
        <v>5</v>
      </c>
      <c r="H34" s="50">
        <f t="shared" si="6"/>
        <v>45</v>
      </c>
      <c r="I34" s="28">
        <v>14</v>
      </c>
      <c r="J34" s="28">
        <v>180</v>
      </c>
      <c r="K34" s="28">
        <f t="shared" si="14"/>
        <v>194</v>
      </c>
      <c r="L34" s="49">
        <f t="shared" si="7"/>
        <v>41924</v>
      </c>
      <c r="M34" s="51">
        <f t="shared" si="8"/>
        <v>170</v>
      </c>
      <c r="N34" s="51">
        <v>0</v>
      </c>
      <c r="Q34" s="52"/>
      <c r="R34" s="52"/>
    </row>
    <row r="35" spans="1:385" x14ac:dyDescent="0.25">
      <c r="A35" s="28">
        <v>33</v>
      </c>
      <c r="B35" s="28" t="s">
        <v>11</v>
      </c>
      <c r="C35" s="28" t="s">
        <v>17</v>
      </c>
      <c r="D35" s="28" t="s">
        <v>599</v>
      </c>
      <c r="E35" s="28">
        <v>1</v>
      </c>
      <c r="F35" s="28">
        <v>30</v>
      </c>
      <c r="G35" s="28">
        <v>5</v>
      </c>
      <c r="H35" s="50">
        <f t="shared" si="6"/>
        <v>35</v>
      </c>
      <c r="I35" s="28">
        <v>14</v>
      </c>
      <c r="J35" s="28">
        <v>175</v>
      </c>
      <c r="K35" s="28">
        <f t="shared" si="14"/>
        <v>189</v>
      </c>
      <c r="L35" s="49">
        <f t="shared" si="7"/>
        <v>41919</v>
      </c>
      <c r="M35" s="51">
        <f t="shared" si="8"/>
        <v>175</v>
      </c>
      <c r="N35" s="51">
        <v>0</v>
      </c>
      <c r="Q35" s="52"/>
      <c r="R35" s="52"/>
    </row>
    <row r="36" spans="1:385" x14ac:dyDescent="0.25">
      <c r="A36" s="28">
        <v>34</v>
      </c>
      <c r="B36" s="28" t="s">
        <v>42</v>
      </c>
      <c r="C36" s="28" t="s">
        <v>17</v>
      </c>
      <c r="D36" s="28" t="s">
        <v>598</v>
      </c>
      <c r="E36" s="28">
        <v>1</v>
      </c>
      <c r="F36" s="28">
        <v>40</v>
      </c>
      <c r="G36" s="28">
        <v>5</v>
      </c>
      <c r="H36" s="50">
        <f t="shared" si="6"/>
        <v>45</v>
      </c>
      <c r="I36" s="28">
        <v>14</v>
      </c>
      <c r="J36" s="28">
        <v>190</v>
      </c>
      <c r="K36" s="28">
        <f t="shared" si="14"/>
        <v>204</v>
      </c>
      <c r="L36" s="49">
        <f t="shared" si="7"/>
        <v>41934</v>
      </c>
      <c r="M36" s="51">
        <f t="shared" si="8"/>
        <v>160</v>
      </c>
      <c r="N36" s="51">
        <v>0</v>
      </c>
      <c r="Q36" s="52"/>
      <c r="R36" s="52"/>
    </row>
    <row r="37" spans="1:385" x14ac:dyDescent="0.25">
      <c r="A37" s="28">
        <v>35</v>
      </c>
      <c r="B37" s="28" t="s">
        <v>42</v>
      </c>
      <c r="C37" s="28" t="s">
        <v>17</v>
      </c>
      <c r="D37" s="28" t="s">
        <v>598</v>
      </c>
      <c r="E37" s="28">
        <v>1</v>
      </c>
      <c r="F37" s="28">
        <v>40</v>
      </c>
      <c r="G37" s="28">
        <v>5</v>
      </c>
      <c r="H37" s="53">
        <f t="shared" si="6"/>
        <v>45</v>
      </c>
      <c r="I37" s="28">
        <v>14</v>
      </c>
      <c r="J37" s="28">
        <v>195</v>
      </c>
      <c r="K37" s="28">
        <f t="shared" si="14"/>
        <v>209</v>
      </c>
      <c r="L37" s="49">
        <f t="shared" si="7"/>
        <v>41939</v>
      </c>
      <c r="M37" s="51">
        <f t="shared" si="8"/>
        <v>155</v>
      </c>
      <c r="N37" s="51">
        <v>0</v>
      </c>
      <c r="Q37" s="52"/>
      <c r="R37" s="52"/>
    </row>
    <row r="38" spans="1:385" x14ac:dyDescent="0.25">
      <c r="A38" s="28">
        <v>36</v>
      </c>
      <c r="B38" s="28" t="s">
        <v>42</v>
      </c>
      <c r="C38" s="28" t="s">
        <v>17</v>
      </c>
      <c r="D38" s="28" t="s">
        <v>598</v>
      </c>
      <c r="E38" s="28">
        <v>1</v>
      </c>
      <c r="F38" s="28">
        <v>40</v>
      </c>
      <c r="G38" s="28">
        <v>5</v>
      </c>
      <c r="H38" s="53">
        <f t="shared" si="6"/>
        <v>45</v>
      </c>
      <c r="I38" s="28">
        <v>14</v>
      </c>
      <c r="J38" s="28">
        <v>195</v>
      </c>
      <c r="K38" s="28">
        <f t="shared" si="14"/>
        <v>209</v>
      </c>
      <c r="L38" s="49">
        <f t="shared" si="7"/>
        <v>41939</v>
      </c>
      <c r="M38" s="51">
        <f t="shared" si="8"/>
        <v>155</v>
      </c>
      <c r="N38" s="51">
        <v>0</v>
      </c>
      <c r="Q38" s="52"/>
      <c r="R38" s="52"/>
    </row>
    <row r="39" spans="1:385" x14ac:dyDescent="0.25">
      <c r="A39" s="28">
        <v>37</v>
      </c>
      <c r="B39" s="28" t="s">
        <v>11</v>
      </c>
      <c r="C39" s="28" t="s">
        <v>44</v>
      </c>
      <c r="D39" s="28" t="s">
        <v>596</v>
      </c>
      <c r="E39" s="28">
        <v>1</v>
      </c>
      <c r="F39" s="28">
        <v>100</v>
      </c>
      <c r="G39" s="28">
        <v>5</v>
      </c>
      <c r="H39" s="50">
        <f t="shared" si="6"/>
        <v>105</v>
      </c>
      <c r="I39" s="28">
        <v>14</v>
      </c>
      <c r="J39" s="28">
        <v>288</v>
      </c>
      <c r="K39" s="28">
        <f t="shared" si="14"/>
        <v>302</v>
      </c>
      <c r="L39" s="49">
        <f t="shared" si="7"/>
        <v>42032</v>
      </c>
      <c r="M39" s="51">
        <f t="shared" si="8"/>
        <v>62</v>
      </c>
      <c r="N39" s="51">
        <v>2000</v>
      </c>
      <c r="O39" s="28">
        <v>26.6</v>
      </c>
      <c r="P39" s="28">
        <f t="shared" ref="P39:P44" si="56">N39*(1-O39/100)</f>
        <v>1468</v>
      </c>
      <c r="Q39" s="52">
        <f t="shared" ref="Q39:Q44" si="57">N39*365-((S39/2)*365^2)</f>
        <v>632910</v>
      </c>
      <c r="R39" s="52">
        <f t="shared" ref="R39:R44" si="58">Q39/H39</f>
        <v>6027.7142857142853</v>
      </c>
      <c r="S39" s="28">
        <f t="shared" ref="S39:S44" si="59">(N39-P39)/365</f>
        <v>1.4575342465753425</v>
      </c>
      <c r="LK39" s="51">
        <f>N39</f>
        <v>2000</v>
      </c>
      <c r="LL39" s="51">
        <f t="shared" ref="LL39:MA43" si="60">LK39-$S39</f>
        <v>1998.5424657534247</v>
      </c>
      <c r="LM39" s="51">
        <f t="shared" si="60"/>
        <v>1997.0849315068494</v>
      </c>
      <c r="LN39" s="51">
        <f t="shared" si="60"/>
        <v>1995.6273972602742</v>
      </c>
      <c r="LO39" s="51">
        <f t="shared" si="60"/>
        <v>1994.1698630136989</v>
      </c>
      <c r="LP39" s="51">
        <f t="shared" si="60"/>
        <v>1992.7123287671236</v>
      </c>
      <c r="LQ39" s="51">
        <f t="shared" si="60"/>
        <v>1991.2547945205483</v>
      </c>
      <c r="LR39" s="51">
        <f t="shared" si="60"/>
        <v>1989.7972602739731</v>
      </c>
      <c r="LS39" s="51">
        <f t="shared" si="60"/>
        <v>1988.3397260273978</v>
      </c>
      <c r="LT39" s="51">
        <f t="shared" si="60"/>
        <v>1986.8821917808225</v>
      </c>
      <c r="LU39" s="51">
        <f t="shared" si="60"/>
        <v>1985.4246575342472</v>
      </c>
      <c r="LV39" s="51">
        <f t="shared" si="60"/>
        <v>1983.9671232876719</v>
      </c>
      <c r="LW39" s="51">
        <f t="shared" si="60"/>
        <v>1982.5095890410967</v>
      </c>
      <c r="LX39" s="51">
        <f t="shared" si="60"/>
        <v>1981.0520547945214</v>
      </c>
      <c r="LY39" s="51">
        <f t="shared" si="60"/>
        <v>1979.5945205479461</v>
      </c>
      <c r="LZ39" s="51">
        <f t="shared" si="60"/>
        <v>1978.1369863013708</v>
      </c>
      <c r="MA39" s="51">
        <f t="shared" si="60"/>
        <v>1976.6794520547955</v>
      </c>
      <c r="MB39" s="51">
        <f t="shared" ref="MB39:NU44" si="61">MA39-$S39</f>
        <v>1975.2219178082203</v>
      </c>
      <c r="MC39" s="51">
        <f t="shared" si="61"/>
        <v>1973.764383561645</v>
      </c>
      <c r="MD39" s="51">
        <f t="shared" si="61"/>
        <v>1972.3068493150697</v>
      </c>
      <c r="ME39" s="51">
        <f t="shared" si="61"/>
        <v>1970.8493150684944</v>
      </c>
      <c r="MF39" s="51">
        <f t="shared" si="61"/>
        <v>1969.3917808219192</v>
      </c>
      <c r="MG39" s="51">
        <f t="shared" si="61"/>
        <v>1967.9342465753439</v>
      </c>
      <c r="MH39" s="51">
        <f t="shared" si="61"/>
        <v>1966.4767123287686</v>
      </c>
      <c r="MI39" s="51">
        <f t="shared" si="61"/>
        <v>1965.0191780821933</v>
      </c>
      <c r="MJ39" s="51">
        <f t="shared" si="61"/>
        <v>1963.561643835618</v>
      </c>
      <c r="MK39" s="51">
        <f t="shared" si="61"/>
        <v>1962.1041095890428</v>
      </c>
      <c r="ML39" s="51">
        <f t="shared" si="61"/>
        <v>1960.6465753424675</v>
      </c>
      <c r="MM39" s="51">
        <f t="shared" si="61"/>
        <v>1959.1890410958922</v>
      </c>
      <c r="MN39" s="51">
        <f t="shared" si="61"/>
        <v>1957.7315068493169</v>
      </c>
      <c r="MO39" s="51">
        <f t="shared" si="61"/>
        <v>1956.2739726027417</v>
      </c>
      <c r="MP39" s="51">
        <f t="shared" si="61"/>
        <v>1954.8164383561664</v>
      </c>
      <c r="MQ39" s="51">
        <f t="shared" si="61"/>
        <v>1953.3589041095911</v>
      </c>
      <c r="MR39" s="51">
        <f t="shared" si="61"/>
        <v>1951.9013698630158</v>
      </c>
      <c r="MS39" s="51">
        <f t="shared" si="61"/>
        <v>1950.4438356164405</v>
      </c>
      <c r="MT39" s="51">
        <f t="shared" si="61"/>
        <v>1948.9863013698653</v>
      </c>
      <c r="MU39" s="51">
        <f t="shared" si="61"/>
        <v>1947.52876712329</v>
      </c>
      <c r="MV39" s="51">
        <f t="shared" si="61"/>
        <v>1946.0712328767147</v>
      </c>
      <c r="MW39" s="51">
        <f t="shared" si="61"/>
        <v>1944.6136986301394</v>
      </c>
      <c r="MX39" s="51">
        <f t="shared" si="61"/>
        <v>1943.1561643835641</v>
      </c>
      <c r="MY39" s="51">
        <f t="shared" si="61"/>
        <v>1941.6986301369889</v>
      </c>
      <c r="MZ39" s="51">
        <f t="shared" si="61"/>
        <v>1940.2410958904136</v>
      </c>
      <c r="NA39" s="51">
        <f t="shared" si="61"/>
        <v>1938.7835616438383</v>
      </c>
      <c r="NB39" s="51">
        <f t="shared" si="61"/>
        <v>1937.326027397263</v>
      </c>
      <c r="NC39" s="51">
        <f t="shared" si="61"/>
        <v>1935.8684931506878</v>
      </c>
      <c r="ND39" s="51">
        <f t="shared" si="61"/>
        <v>1934.4109589041125</v>
      </c>
      <c r="NE39" s="51">
        <f t="shared" si="61"/>
        <v>1932.9534246575372</v>
      </c>
      <c r="NF39" s="51">
        <f t="shared" si="61"/>
        <v>1931.4958904109619</v>
      </c>
      <c r="NG39" s="51">
        <f t="shared" si="61"/>
        <v>1930.0383561643866</v>
      </c>
      <c r="NH39" s="51">
        <f t="shared" si="61"/>
        <v>1928.5808219178114</v>
      </c>
      <c r="NI39" s="51">
        <f t="shared" si="61"/>
        <v>1927.1232876712361</v>
      </c>
      <c r="NJ39" s="51">
        <f t="shared" si="61"/>
        <v>1925.6657534246608</v>
      </c>
      <c r="NK39" s="51">
        <f t="shared" si="61"/>
        <v>1924.2082191780855</v>
      </c>
      <c r="NL39" s="51">
        <f t="shared" si="61"/>
        <v>1922.7506849315102</v>
      </c>
      <c r="NM39" s="51">
        <f t="shared" si="61"/>
        <v>1921.293150684935</v>
      </c>
      <c r="NN39" s="51">
        <f t="shared" si="61"/>
        <v>1919.8356164383597</v>
      </c>
      <c r="NO39" s="51">
        <f t="shared" si="61"/>
        <v>1918.3780821917844</v>
      </c>
      <c r="NP39" s="51">
        <f t="shared" si="61"/>
        <v>1916.9205479452091</v>
      </c>
      <c r="NQ39" s="51">
        <f t="shared" si="61"/>
        <v>1915.4630136986339</v>
      </c>
      <c r="NR39" s="51">
        <f t="shared" si="61"/>
        <v>1914.0054794520586</v>
      </c>
      <c r="NS39" s="51">
        <f t="shared" si="61"/>
        <v>1912.5479452054833</v>
      </c>
      <c r="NT39" s="51">
        <f t="shared" si="61"/>
        <v>1911.090410958908</v>
      </c>
      <c r="NU39" s="51">
        <f t="shared" si="61"/>
        <v>1909.6328767123327</v>
      </c>
    </row>
    <row r="40" spans="1:385" x14ac:dyDescent="0.25">
      <c r="A40" s="28">
        <v>38</v>
      </c>
      <c r="B40" s="28" t="s">
        <v>42</v>
      </c>
      <c r="C40" s="28" t="s">
        <v>29</v>
      </c>
      <c r="D40" s="28" t="s">
        <v>597</v>
      </c>
      <c r="E40" s="28">
        <v>1</v>
      </c>
      <c r="F40" s="28">
        <v>55</v>
      </c>
      <c r="G40" s="28">
        <v>5</v>
      </c>
      <c r="H40" s="50">
        <f t="shared" si="6"/>
        <v>60</v>
      </c>
      <c r="I40" s="28">
        <v>14</v>
      </c>
      <c r="J40" s="28">
        <v>220</v>
      </c>
      <c r="K40" s="28">
        <f t="shared" si="14"/>
        <v>234</v>
      </c>
      <c r="L40" s="49">
        <f t="shared" si="7"/>
        <v>41964</v>
      </c>
      <c r="M40" s="51">
        <f t="shared" si="8"/>
        <v>130</v>
      </c>
      <c r="N40" s="51">
        <v>1800</v>
      </c>
      <c r="O40" s="28">
        <v>19.399999999999999</v>
      </c>
      <c r="P40" s="28">
        <f t="shared" si="56"/>
        <v>1450.8000000000002</v>
      </c>
      <c r="Q40" s="52">
        <f t="shared" si="57"/>
        <v>593271</v>
      </c>
      <c r="R40" s="52">
        <f t="shared" si="58"/>
        <v>9887.85</v>
      </c>
      <c r="S40" s="28">
        <f t="shared" si="59"/>
        <v>0.95671232876712275</v>
      </c>
      <c r="IU40" s="51">
        <f>N40</f>
        <v>1800</v>
      </c>
      <c r="IV40" s="51">
        <f>IU40-$S40</f>
        <v>1799.043287671233</v>
      </c>
      <c r="IW40" s="51">
        <f t="shared" ref="IW40:LH43" si="62">IV40-$S40</f>
        <v>1798.0865753424659</v>
      </c>
      <c r="IX40" s="51">
        <f t="shared" si="62"/>
        <v>1797.1298630136989</v>
      </c>
      <c r="IY40" s="51">
        <f t="shared" si="62"/>
        <v>1796.1731506849319</v>
      </c>
      <c r="IZ40" s="51">
        <f>IY40-$S40</f>
        <v>1795.2164383561649</v>
      </c>
      <c r="JA40" s="51">
        <f t="shared" si="62"/>
        <v>1794.2597260273978</v>
      </c>
      <c r="JB40" s="51">
        <f t="shared" si="62"/>
        <v>1793.3030136986308</v>
      </c>
      <c r="JC40" s="51">
        <f t="shared" si="62"/>
        <v>1792.3463013698638</v>
      </c>
      <c r="JD40" s="51">
        <f t="shared" si="62"/>
        <v>1791.3895890410968</v>
      </c>
      <c r="JE40" s="51">
        <f t="shared" si="62"/>
        <v>1790.4328767123297</v>
      </c>
      <c r="JF40" s="51">
        <f t="shared" si="62"/>
        <v>1789.4761643835627</v>
      </c>
      <c r="JG40" s="51">
        <f t="shared" si="62"/>
        <v>1788.5194520547957</v>
      </c>
      <c r="JH40" s="51">
        <f t="shared" si="62"/>
        <v>1787.5627397260287</v>
      </c>
      <c r="JI40" s="51">
        <f t="shared" si="62"/>
        <v>1786.6060273972616</v>
      </c>
      <c r="JJ40" s="51">
        <f t="shared" si="62"/>
        <v>1785.6493150684946</v>
      </c>
      <c r="JK40" s="51">
        <f t="shared" si="62"/>
        <v>1784.6926027397276</v>
      </c>
      <c r="JL40" s="51">
        <f t="shared" si="62"/>
        <v>1783.7358904109606</v>
      </c>
      <c r="JM40" s="51">
        <f t="shared" si="62"/>
        <v>1782.7791780821935</v>
      </c>
      <c r="JN40" s="51">
        <f t="shared" si="62"/>
        <v>1781.8224657534265</v>
      </c>
      <c r="JO40" s="51">
        <f t="shared" si="62"/>
        <v>1780.8657534246595</v>
      </c>
      <c r="JP40" s="51">
        <f t="shared" si="62"/>
        <v>1779.9090410958925</v>
      </c>
      <c r="JQ40" s="51">
        <f t="shared" si="62"/>
        <v>1778.9523287671254</v>
      </c>
      <c r="JR40" s="51">
        <f t="shared" si="62"/>
        <v>1777.9956164383584</v>
      </c>
      <c r="JS40" s="51">
        <f t="shared" si="62"/>
        <v>1777.0389041095914</v>
      </c>
      <c r="JT40" s="51">
        <f t="shared" si="62"/>
        <v>1776.0821917808244</v>
      </c>
      <c r="JU40" s="51">
        <f t="shared" si="62"/>
        <v>1775.1254794520573</v>
      </c>
      <c r="JV40" s="51">
        <f t="shared" si="62"/>
        <v>1774.1687671232903</v>
      </c>
      <c r="JW40" s="51">
        <f t="shared" si="62"/>
        <v>1773.2120547945233</v>
      </c>
      <c r="JX40" s="51">
        <f t="shared" si="62"/>
        <v>1772.2553424657563</v>
      </c>
      <c r="JY40" s="51">
        <f t="shared" si="62"/>
        <v>1771.2986301369892</v>
      </c>
      <c r="JZ40" s="51">
        <f t="shared" si="62"/>
        <v>1770.3419178082222</v>
      </c>
      <c r="KA40" s="51">
        <f t="shared" si="62"/>
        <v>1769.3852054794552</v>
      </c>
      <c r="KB40" s="51">
        <f t="shared" si="62"/>
        <v>1768.4284931506882</v>
      </c>
      <c r="KC40" s="51">
        <f t="shared" si="62"/>
        <v>1767.4717808219211</v>
      </c>
      <c r="KD40" s="51">
        <f t="shared" si="62"/>
        <v>1766.5150684931541</v>
      </c>
      <c r="KE40" s="51">
        <f t="shared" si="62"/>
        <v>1765.5583561643871</v>
      </c>
      <c r="KF40" s="51">
        <f t="shared" si="62"/>
        <v>1764.6016438356201</v>
      </c>
      <c r="KG40" s="51">
        <f t="shared" si="62"/>
        <v>1763.644931506853</v>
      </c>
      <c r="KH40" s="51">
        <f t="shared" si="62"/>
        <v>1762.688219178086</v>
      </c>
      <c r="KI40" s="51">
        <f t="shared" si="62"/>
        <v>1761.731506849319</v>
      </c>
      <c r="KJ40" s="51">
        <f t="shared" si="62"/>
        <v>1760.7747945205519</v>
      </c>
      <c r="KK40" s="51">
        <f t="shared" si="62"/>
        <v>1759.8180821917849</v>
      </c>
      <c r="KL40" s="51">
        <f t="shared" si="62"/>
        <v>1758.8613698630179</v>
      </c>
      <c r="KM40" s="51">
        <f t="shared" si="62"/>
        <v>1757.9046575342509</v>
      </c>
      <c r="KN40" s="51">
        <f t="shared" si="62"/>
        <v>1756.9479452054838</v>
      </c>
      <c r="KO40" s="51">
        <f t="shared" si="62"/>
        <v>1755.9912328767168</v>
      </c>
      <c r="KP40" s="51">
        <f t="shared" si="62"/>
        <v>1755.0345205479498</v>
      </c>
      <c r="KQ40" s="51">
        <f t="shared" si="62"/>
        <v>1754.0778082191828</v>
      </c>
      <c r="KR40" s="51">
        <f t="shared" si="62"/>
        <v>1753.1210958904157</v>
      </c>
      <c r="KS40" s="51">
        <f t="shared" si="62"/>
        <v>1752.1643835616487</v>
      </c>
      <c r="KT40" s="51">
        <f t="shared" si="62"/>
        <v>1751.2076712328817</v>
      </c>
      <c r="KU40" s="51">
        <f t="shared" si="62"/>
        <v>1750.2509589041147</v>
      </c>
      <c r="KV40" s="51">
        <f t="shared" si="62"/>
        <v>1749.2942465753476</v>
      </c>
      <c r="KW40" s="51">
        <f t="shared" si="62"/>
        <v>1748.3375342465806</v>
      </c>
      <c r="KX40" s="51">
        <f t="shared" si="62"/>
        <v>1747.3808219178136</v>
      </c>
      <c r="KY40" s="51">
        <f t="shared" si="62"/>
        <v>1746.4241095890466</v>
      </c>
      <c r="KZ40" s="51">
        <f t="shared" si="62"/>
        <v>1745.4673972602795</v>
      </c>
      <c r="LA40" s="51">
        <f t="shared" si="62"/>
        <v>1744.5106849315125</v>
      </c>
      <c r="LB40" s="51">
        <f t="shared" si="62"/>
        <v>1743.5539726027455</v>
      </c>
      <c r="LC40" s="51">
        <f t="shared" si="62"/>
        <v>1742.5972602739785</v>
      </c>
      <c r="LD40" s="51">
        <f t="shared" si="62"/>
        <v>1741.6405479452114</v>
      </c>
      <c r="LE40" s="51">
        <f t="shared" si="62"/>
        <v>1740.6838356164444</v>
      </c>
      <c r="LF40" s="51">
        <f t="shared" si="62"/>
        <v>1739.7271232876774</v>
      </c>
      <c r="LG40" s="51">
        <f t="shared" si="62"/>
        <v>1738.7704109589104</v>
      </c>
      <c r="LH40" s="51">
        <f t="shared" si="62"/>
        <v>1737.8136986301433</v>
      </c>
      <c r="LI40" s="51">
        <f t="shared" ref="LI40:LL43" si="63">LH40-$S40</f>
        <v>1736.8569863013763</v>
      </c>
      <c r="LJ40" s="51">
        <f t="shared" si="63"/>
        <v>1735.9002739726093</v>
      </c>
      <c r="LK40" s="51">
        <f t="shared" si="63"/>
        <v>1734.9435616438423</v>
      </c>
      <c r="LL40" s="51">
        <f t="shared" si="63"/>
        <v>1733.9868493150752</v>
      </c>
      <c r="LM40" s="51">
        <f t="shared" si="60"/>
        <v>1733.0301369863082</v>
      </c>
      <c r="LN40" s="51">
        <f t="shared" si="60"/>
        <v>1732.0734246575412</v>
      </c>
      <c r="LO40" s="51">
        <f t="shared" si="60"/>
        <v>1731.1167123287742</v>
      </c>
      <c r="LP40" s="51">
        <f t="shared" si="60"/>
        <v>1730.1600000000071</v>
      </c>
      <c r="LQ40" s="51">
        <f t="shared" si="60"/>
        <v>1729.2032876712401</v>
      </c>
      <c r="LR40" s="51">
        <f t="shared" si="60"/>
        <v>1728.2465753424731</v>
      </c>
      <c r="LS40" s="51">
        <f t="shared" si="60"/>
        <v>1727.2898630137061</v>
      </c>
      <c r="LT40" s="51">
        <f t="shared" si="60"/>
        <v>1726.333150684939</v>
      </c>
      <c r="LU40" s="51">
        <f t="shared" si="60"/>
        <v>1725.376438356172</v>
      </c>
      <c r="LV40" s="51">
        <f t="shared" si="60"/>
        <v>1724.419726027405</v>
      </c>
      <c r="LW40" s="51">
        <f t="shared" si="60"/>
        <v>1723.463013698638</v>
      </c>
      <c r="LX40" s="51">
        <f t="shared" si="60"/>
        <v>1722.5063013698709</v>
      </c>
      <c r="LY40" s="51">
        <f t="shared" si="60"/>
        <v>1721.5495890411039</v>
      </c>
      <c r="LZ40" s="51">
        <f t="shared" si="60"/>
        <v>1720.5928767123369</v>
      </c>
      <c r="MA40" s="51">
        <f t="shared" si="60"/>
        <v>1719.6361643835698</v>
      </c>
      <c r="MB40" s="51">
        <f t="shared" si="61"/>
        <v>1718.6794520548028</v>
      </c>
      <c r="MC40" s="51">
        <f t="shared" si="61"/>
        <v>1717.7227397260358</v>
      </c>
      <c r="MD40" s="51">
        <f t="shared" si="61"/>
        <v>1716.7660273972688</v>
      </c>
      <c r="ME40" s="51">
        <f t="shared" si="61"/>
        <v>1715.8093150685017</v>
      </c>
      <c r="MF40" s="51">
        <f t="shared" si="61"/>
        <v>1714.8526027397347</v>
      </c>
      <c r="MG40" s="51">
        <f t="shared" si="61"/>
        <v>1713.8958904109677</v>
      </c>
      <c r="MH40" s="51">
        <f t="shared" si="61"/>
        <v>1712.9391780822007</v>
      </c>
      <c r="MI40" s="51">
        <f t="shared" si="61"/>
        <v>1711.9824657534336</v>
      </c>
      <c r="MJ40" s="51">
        <f t="shared" si="61"/>
        <v>1711.0257534246666</v>
      </c>
      <c r="MK40" s="51">
        <f t="shared" si="61"/>
        <v>1710.0690410958996</v>
      </c>
      <c r="ML40" s="51">
        <f t="shared" si="61"/>
        <v>1709.1123287671326</v>
      </c>
      <c r="MM40" s="51">
        <f t="shared" si="61"/>
        <v>1708.1556164383655</v>
      </c>
      <c r="MN40" s="51">
        <f t="shared" si="61"/>
        <v>1707.1989041095985</v>
      </c>
      <c r="MO40" s="51">
        <f t="shared" si="61"/>
        <v>1706.2421917808315</v>
      </c>
      <c r="MP40" s="51">
        <f t="shared" si="61"/>
        <v>1705.2854794520645</v>
      </c>
      <c r="MQ40" s="51">
        <f t="shared" si="61"/>
        <v>1704.3287671232974</v>
      </c>
      <c r="MR40" s="51">
        <f t="shared" si="61"/>
        <v>1703.3720547945304</v>
      </c>
      <c r="MS40" s="51">
        <f t="shared" si="61"/>
        <v>1702.4153424657634</v>
      </c>
      <c r="MT40" s="51">
        <f t="shared" si="61"/>
        <v>1701.4586301369964</v>
      </c>
      <c r="MU40" s="51">
        <f t="shared" si="61"/>
        <v>1700.5019178082293</v>
      </c>
      <c r="MV40" s="51">
        <f t="shared" si="61"/>
        <v>1699.5452054794623</v>
      </c>
      <c r="MW40" s="51">
        <f t="shared" si="61"/>
        <v>1698.5884931506953</v>
      </c>
      <c r="MX40" s="51">
        <f t="shared" si="61"/>
        <v>1697.6317808219283</v>
      </c>
      <c r="MY40" s="51">
        <f t="shared" si="61"/>
        <v>1696.6750684931612</v>
      </c>
      <c r="MZ40" s="51">
        <f t="shared" si="61"/>
        <v>1695.7183561643942</v>
      </c>
      <c r="NA40" s="51">
        <f t="shared" si="61"/>
        <v>1694.7616438356272</v>
      </c>
      <c r="NB40" s="51">
        <f t="shared" si="61"/>
        <v>1693.8049315068602</v>
      </c>
      <c r="NC40" s="51">
        <f t="shared" si="61"/>
        <v>1692.8482191780931</v>
      </c>
      <c r="ND40" s="51">
        <f t="shared" si="61"/>
        <v>1691.8915068493261</v>
      </c>
      <c r="NE40" s="51">
        <f t="shared" si="61"/>
        <v>1690.9347945205591</v>
      </c>
      <c r="NF40" s="51">
        <f t="shared" si="61"/>
        <v>1689.9780821917921</v>
      </c>
      <c r="NG40" s="51">
        <f t="shared" si="61"/>
        <v>1689.021369863025</v>
      </c>
      <c r="NH40" s="51">
        <f t="shared" si="61"/>
        <v>1688.064657534258</v>
      </c>
      <c r="NI40" s="51">
        <f t="shared" si="61"/>
        <v>1687.107945205491</v>
      </c>
      <c r="NJ40" s="51">
        <f t="shared" si="61"/>
        <v>1686.151232876724</v>
      </c>
      <c r="NK40" s="51">
        <f t="shared" si="61"/>
        <v>1685.1945205479569</v>
      </c>
      <c r="NL40" s="51">
        <f t="shared" si="61"/>
        <v>1684.2378082191899</v>
      </c>
      <c r="NM40" s="51">
        <f t="shared" si="61"/>
        <v>1683.2810958904229</v>
      </c>
      <c r="NN40" s="51">
        <f t="shared" si="61"/>
        <v>1682.3243835616558</v>
      </c>
      <c r="NO40" s="51">
        <f t="shared" si="61"/>
        <v>1681.3676712328888</v>
      </c>
      <c r="NP40" s="51">
        <f t="shared" si="61"/>
        <v>1680.4109589041218</v>
      </c>
      <c r="NQ40" s="51">
        <f t="shared" si="61"/>
        <v>1679.4542465753548</v>
      </c>
      <c r="NR40" s="51">
        <f t="shared" si="61"/>
        <v>1678.4975342465877</v>
      </c>
      <c r="NS40" s="51">
        <f t="shared" si="61"/>
        <v>1677.5408219178207</v>
      </c>
      <c r="NT40" s="51">
        <f t="shared" si="61"/>
        <v>1676.5841095890537</v>
      </c>
      <c r="NU40" s="51">
        <f t="shared" si="61"/>
        <v>1675.6273972602867</v>
      </c>
    </row>
    <row r="41" spans="1:385" x14ac:dyDescent="0.25">
      <c r="A41" s="28">
        <v>39</v>
      </c>
      <c r="B41" s="28" t="s">
        <v>42</v>
      </c>
      <c r="C41" s="28" t="s">
        <v>29</v>
      </c>
      <c r="D41" s="28" t="s">
        <v>597</v>
      </c>
      <c r="E41" s="28">
        <v>1</v>
      </c>
      <c r="F41" s="28">
        <v>55</v>
      </c>
      <c r="G41" s="28">
        <v>5</v>
      </c>
      <c r="H41" s="50">
        <f t="shared" si="6"/>
        <v>60</v>
      </c>
      <c r="I41" s="28">
        <v>14</v>
      </c>
      <c r="J41" s="28">
        <v>225</v>
      </c>
      <c r="K41" s="28">
        <f t="shared" si="14"/>
        <v>239</v>
      </c>
      <c r="L41" s="49">
        <f t="shared" si="7"/>
        <v>41969</v>
      </c>
      <c r="M41" s="51">
        <f t="shared" si="8"/>
        <v>125</v>
      </c>
      <c r="N41" s="51">
        <v>1800</v>
      </c>
      <c r="O41" s="28">
        <v>19.399999999999999</v>
      </c>
      <c r="P41" s="28">
        <f t="shared" si="56"/>
        <v>1450.8000000000002</v>
      </c>
      <c r="Q41" s="52">
        <f t="shared" si="57"/>
        <v>593271</v>
      </c>
      <c r="R41" s="52">
        <f t="shared" si="58"/>
        <v>9887.85</v>
      </c>
      <c r="S41" s="28">
        <f t="shared" si="59"/>
        <v>0.95671232876712275</v>
      </c>
      <c r="IZ41" s="51">
        <f>N41</f>
        <v>1800</v>
      </c>
      <c r="JA41" s="51">
        <f t="shared" si="62"/>
        <v>1799.043287671233</v>
      </c>
      <c r="JB41" s="51">
        <f t="shared" si="62"/>
        <v>1798.0865753424659</v>
      </c>
      <c r="JC41" s="51">
        <f t="shared" si="62"/>
        <v>1797.1298630136989</v>
      </c>
      <c r="JD41" s="51">
        <f t="shared" si="62"/>
        <v>1796.1731506849319</v>
      </c>
      <c r="JE41" s="51">
        <f t="shared" si="62"/>
        <v>1795.2164383561649</v>
      </c>
      <c r="JF41" s="51">
        <f t="shared" si="62"/>
        <v>1794.2597260273978</v>
      </c>
      <c r="JG41" s="51">
        <f t="shared" si="62"/>
        <v>1793.3030136986308</v>
      </c>
      <c r="JH41" s="51">
        <f t="shared" si="62"/>
        <v>1792.3463013698638</v>
      </c>
      <c r="JI41" s="51">
        <f t="shared" si="62"/>
        <v>1791.3895890410968</v>
      </c>
      <c r="JJ41" s="51">
        <f t="shared" si="62"/>
        <v>1790.4328767123297</v>
      </c>
      <c r="JK41" s="51">
        <f t="shared" si="62"/>
        <v>1789.4761643835627</v>
      </c>
      <c r="JL41" s="51">
        <f t="shared" si="62"/>
        <v>1788.5194520547957</v>
      </c>
      <c r="JM41" s="51">
        <f t="shared" si="62"/>
        <v>1787.5627397260287</v>
      </c>
      <c r="JN41" s="51">
        <f t="shared" si="62"/>
        <v>1786.6060273972616</v>
      </c>
      <c r="JO41" s="51">
        <f t="shared" si="62"/>
        <v>1785.6493150684946</v>
      </c>
      <c r="JP41" s="51">
        <f t="shared" si="62"/>
        <v>1784.6926027397276</v>
      </c>
      <c r="JQ41" s="51">
        <f t="shared" si="62"/>
        <v>1783.7358904109606</v>
      </c>
      <c r="JR41" s="51">
        <f t="shared" si="62"/>
        <v>1782.7791780821935</v>
      </c>
      <c r="JS41" s="51">
        <f t="shared" si="62"/>
        <v>1781.8224657534265</v>
      </c>
      <c r="JT41" s="51">
        <f t="shared" si="62"/>
        <v>1780.8657534246595</v>
      </c>
      <c r="JU41" s="51">
        <f t="shared" si="62"/>
        <v>1779.9090410958925</v>
      </c>
      <c r="JV41" s="51">
        <f t="shared" si="62"/>
        <v>1778.9523287671254</v>
      </c>
      <c r="JW41" s="51">
        <f t="shared" si="62"/>
        <v>1777.9956164383584</v>
      </c>
      <c r="JX41" s="51">
        <f t="shared" si="62"/>
        <v>1777.0389041095914</v>
      </c>
      <c r="JY41" s="51">
        <f t="shared" si="62"/>
        <v>1776.0821917808244</v>
      </c>
      <c r="JZ41" s="51">
        <f t="shared" si="62"/>
        <v>1775.1254794520573</v>
      </c>
      <c r="KA41" s="51">
        <f t="shared" si="62"/>
        <v>1774.1687671232903</v>
      </c>
      <c r="KB41" s="51">
        <f t="shared" si="62"/>
        <v>1773.2120547945233</v>
      </c>
      <c r="KC41" s="51">
        <f t="shared" si="62"/>
        <v>1772.2553424657563</v>
      </c>
      <c r="KD41" s="51">
        <f t="shared" si="62"/>
        <v>1771.2986301369892</v>
      </c>
      <c r="KE41" s="51">
        <f t="shared" si="62"/>
        <v>1770.3419178082222</v>
      </c>
      <c r="KF41" s="51">
        <f t="shared" si="62"/>
        <v>1769.3852054794552</v>
      </c>
      <c r="KG41" s="51">
        <f t="shared" si="62"/>
        <v>1768.4284931506882</v>
      </c>
      <c r="KH41" s="51">
        <f t="shared" si="62"/>
        <v>1767.4717808219211</v>
      </c>
      <c r="KI41" s="51">
        <f t="shared" si="62"/>
        <v>1766.5150684931541</v>
      </c>
      <c r="KJ41" s="51">
        <f t="shared" si="62"/>
        <v>1765.5583561643871</v>
      </c>
      <c r="KK41" s="51">
        <f t="shared" si="62"/>
        <v>1764.6016438356201</v>
      </c>
      <c r="KL41" s="51">
        <f t="shared" si="62"/>
        <v>1763.644931506853</v>
      </c>
      <c r="KM41" s="51">
        <f t="shared" si="62"/>
        <v>1762.688219178086</v>
      </c>
      <c r="KN41" s="51">
        <f t="shared" si="62"/>
        <v>1761.731506849319</v>
      </c>
      <c r="KO41" s="51">
        <f t="shared" si="62"/>
        <v>1760.7747945205519</v>
      </c>
      <c r="KP41" s="51">
        <f t="shared" si="62"/>
        <v>1759.8180821917849</v>
      </c>
      <c r="KQ41" s="51">
        <f t="shared" si="62"/>
        <v>1758.8613698630179</v>
      </c>
      <c r="KR41" s="51">
        <f t="shared" si="62"/>
        <v>1757.9046575342509</v>
      </c>
      <c r="KS41" s="51">
        <f t="shared" si="62"/>
        <v>1756.9479452054838</v>
      </c>
      <c r="KT41" s="51">
        <f t="shared" si="62"/>
        <v>1755.9912328767168</v>
      </c>
      <c r="KU41" s="51">
        <f t="shared" si="62"/>
        <v>1755.0345205479498</v>
      </c>
      <c r="KV41" s="51">
        <f t="shared" si="62"/>
        <v>1754.0778082191828</v>
      </c>
      <c r="KW41" s="51">
        <f t="shared" si="62"/>
        <v>1753.1210958904157</v>
      </c>
      <c r="KX41" s="51">
        <f t="shared" si="62"/>
        <v>1752.1643835616487</v>
      </c>
      <c r="KY41" s="51">
        <f t="shared" si="62"/>
        <v>1751.2076712328817</v>
      </c>
      <c r="KZ41" s="51">
        <f t="shared" si="62"/>
        <v>1750.2509589041147</v>
      </c>
      <c r="LA41" s="51">
        <f t="shared" si="62"/>
        <v>1749.2942465753476</v>
      </c>
      <c r="LB41" s="51">
        <f t="shared" si="62"/>
        <v>1748.3375342465806</v>
      </c>
      <c r="LC41" s="51">
        <f t="shared" si="62"/>
        <v>1747.3808219178136</v>
      </c>
      <c r="LD41" s="51">
        <f t="shared" si="62"/>
        <v>1746.4241095890466</v>
      </c>
      <c r="LE41" s="51">
        <f t="shared" si="62"/>
        <v>1745.4673972602795</v>
      </c>
      <c r="LF41" s="51">
        <f t="shared" si="62"/>
        <v>1744.5106849315125</v>
      </c>
      <c r="LG41" s="51">
        <f t="shared" si="62"/>
        <v>1743.5539726027455</v>
      </c>
      <c r="LH41" s="51">
        <f t="shared" si="62"/>
        <v>1742.5972602739785</v>
      </c>
      <c r="LI41" s="51">
        <f t="shared" si="63"/>
        <v>1741.6405479452114</v>
      </c>
      <c r="LJ41" s="51">
        <f t="shared" si="63"/>
        <v>1740.6838356164444</v>
      </c>
      <c r="LK41" s="51">
        <f t="shared" si="63"/>
        <v>1739.7271232876774</v>
      </c>
      <c r="LL41" s="51">
        <f t="shared" si="63"/>
        <v>1738.7704109589104</v>
      </c>
      <c r="LM41" s="51">
        <f t="shared" si="60"/>
        <v>1737.8136986301433</v>
      </c>
      <c r="LN41" s="51">
        <f t="shared" si="60"/>
        <v>1736.8569863013763</v>
      </c>
      <c r="LO41" s="51">
        <f t="shared" si="60"/>
        <v>1735.9002739726093</v>
      </c>
      <c r="LP41" s="51">
        <f t="shared" si="60"/>
        <v>1734.9435616438423</v>
      </c>
      <c r="LQ41" s="51">
        <f t="shared" si="60"/>
        <v>1733.9868493150752</v>
      </c>
      <c r="LR41" s="51">
        <f t="shared" si="60"/>
        <v>1733.0301369863082</v>
      </c>
      <c r="LS41" s="51">
        <f t="shared" si="60"/>
        <v>1732.0734246575412</v>
      </c>
      <c r="LT41" s="51">
        <f t="shared" si="60"/>
        <v>1731.1167123287742</v>
      </c>
      <c r="LU41" s="51">
        <f t="shared" si="60"/>
        <v>1730.1600000000071</v>
      </c>
      <c r="LV41" s="51">
        <f t="shared" si="60"/>
        <v>1729.2032876712401</v>
      </c>
      <c r="LW41" s="51">
        <f t="shared" si="60"/>
        <v>1728.2465753424731</v>
      </c>
      <c r="LX41" s="51">
        <f t="shared" si="60"/>
        <v>1727.2898630137061</v>
      </c>
      <c r="LY41" s="51">
        <f t="shared" si="60"/>
        <v>1726.333150684939</v>
      </c>
      <c r="LZ41" s="51">
        <f t="shared" si="60"/>
        <v>1725.376438356172</v>
      </c>
      <c r="MA41" s="51">
        <f t="shared" si="60"/>
        <v>1724.419726027405</v>
      </c>
      <c r="MB41" s="51">
        <f t="shared" si="61"/>
        <v>1723.463013698638</v>
      </c>
      <c r="MC41" s="51">
        <f t="shared" si="61"/>
        <v>1722.5063013698709</v>
      </c>
      <c r="MD41" s="51">
        <f t="shared" si="61"/>
        <v>1721.5495890411039</v>
      </c>
      <c r="ME41" s="51">
        <f t="shared" si="61"/>
        <v>1720.5928767123369</v>
      </c>
      <c r="MF41" s="51">
        <f t="shared" si="61"/>
        <v>1719.6361643835698</v>
      </c>
      <c r="MG41" s="51">
        <f t="shared" si="61"/>
        <v>1718.6794520548028</v>
      </c>
      <c r="MH41" s="51">
        <f t="shared" si="61"/>
        <v>1717.7227397260358</v>
      </c>
      <c r="MI41" s="51">
        <f t="shared" si="61"/>
        <v>1716.7660273972688</v>
      </c>
      <c r="MJ41" s="51">
        <f t="shared" si="61"/>
        <v>1715.8093150685017</v>
      </c>
      <c r="MK41" s="51">
        <f t="shared" si="61"/>
        <v>1714.8526027397347</v>
      </c>
      <c r="ML41" s="51">
        <f t="shared" si="61"/>
        <v>1713.8958904109677</v>
      </c>
      <c r="MM41" s="51">
        <f t="shared" si="61"/>
        <v>1712.9391780822007</v>
      </c>
      <c r="MN41" s="51">
        <f t="shared" si="61"/>
        <v>1711.9824657534336</v>
      </c>
      <c r="MO41" s="51">
        <f t="shared" si="61"/>
        <v>1711.0257534246666</v>
      </c>
      <c r="MP41" s="51">
        <f t="shared" si="61"/>
        <v>1710.0690410958996</v>
      </c>
      <c r="MQ41" s="51">
        <f t="shared" si="61"/>
        <v>1709.1123287671326</v>
      </c>
      <c r="MR41" s="51">
        <f t="shared" si="61"/>
        <v>1708.1556164383655</v>
      </c>
      <c r="MS41" s="51">
        <f t="shared" si="61"/>
        <v>1707.1989041095985</v>
      </c>
      <c r="MT41" s="51">
        <f t="shared" si="61"/>
        <v>1706.2421917808315</v>
      </c>
      <c r="MU41" s="51">
        <f t="shared" si="61"/>
        <v>1705.2854794520645</v>
      </c>
      <c r="MV41" s="51">
        <f t="shared" si="61"/>
        <v>1704.3287671232974</v>
      </c>
      <c r="MW41" s="51">
        <f t="shared" si="61"/>
        <v>1703.3720547945304</v>
      </c>
      <c r="MX41" s="51">
        <f t="shared" si="61"/>
        <v>1702.4153424657634</v>
      </c>
      <c r="MY41" s="51">
        <f t="shared" si="61"/>
        <v>1701.4586301369964</v>
      </c>
      <c r="MZ41" s="51">
        <f t="shared" si="61"/>
        <v>1700.5019178082293</v>
      </c>
      <c r="NA41" s="51">
        <f t="shared" si="61"/>
        <v>1699.5452054794623</v>
      </c>
      <c r="NB41" s="51">
        <f t="shared" si="61"/>
        <v>1698.5884931506953</v>
      </c>
      <c r="NC41" s="51">
        <f t="shared" si="61"/>
        <v>1697.6317808219283</v>
      </c>
      <c r="ND41" s="51">
        <f t="shared" si="61"/>
        <v>1696.6750684931612</v>
      </c>
      <c r="NE41" s="51">
        <f t="shared" si="61"/>
        <v>1695.7183561643942</v>
      </c>
      <c r="NF41" s="51">
        <f t="shared" si="61"/>
        <v>1694.7616438356272</v>
      </c>
      <c r="NG41" s="51">
        <f t="shared" si="61"/>
        <v>1693.8049315068602</v>
      </c>
      <c r="NH41" s="51">
        <f t="shared" si="61"/>
        <v>1692.8482191780931</v>
      </c>
      <c r="NI41" s="51">
        <f t="shared" si="61"/>
        <v>1691.8915068493261</v>
      </c>
      <c r="NJ41" s="51">
        <f t="shared" si="61"/>
        <v>1690.9347945205591</v>
      </c>
      <c r="NK41" s="51">
        <f t="shared" si="61"/>
        <v>1689.9780821917921</v>
      </c>
      <c r="NL41" s="51">
        <f t="shared" si="61"/>
        <v>1689.021369863025</v>
      </c>
      <c r="NM41" s="51">
        <f t="shared" si="61"/>
        <v>1688.064657534258</v>
      </c>
      <c r="NN41" s="51">
        <f t="shared" si="61"/>
        <v>1687.107945205491</v>
      </c>
      <c r="NO41" s="51">
        <f t="shared" si="61"/>
        <v>1686.151232876724</v>
      </c>
      <c r="NP41" s="51">
        <f t="shared" si="61"/>
        <v>1685.1945205479569</v>
      </c>
      <c r="NQ41" s="51">
        <f t="shared" si="61"/>
        <v>1684.2378082191899</v>
      </c>
      <c r="NR41" s="51">
        <f t="shared" si="61"/>
        <v>1683.2810958904229</v>
      </c>
      <c r="NS41" s="51">
        <f t="shared" si="61"/>
        <v>1682.3243835616558</v>
      </c>
      <c r="NT41" s="51">
        <f t="shared" si="61"/>
        <v>1681.3676712328888</v>
      </c>
      <c r="NU41" s="51">
        <f t="shared" si="61"/>
        <v>1680.4109589041218</v>
      </c>
    </row>
    <row r="42" spans="1:385" x14ac:dyDescent="0.25">
      <c r="A42" s="28">
        <v>40</v>
      </c>
      <c r="B42" s="28" t="s">
        <v>11</v>
      </c>
      <c r="C42" s="28" t="s">
        <v>29</v>
      </c>
      <c r="D42" s="28" t="s">
        <v>597</v>
      </c>
      <c r="E42" s="28">
        <v>1</v>
      </c>
      <c r="F42" s="28">
        <v>55</v>
      </c>
      <c r="G42" s="28">
        <v>5</v>
      </c>
      <c r="H42" s="50">
        <f t="shared" si="6"/>
        <v>60</v>
      </c>
      <c r="I42" s="28">
        <v>14</v>
      </c>
      <c r="J42" s="28">
        <v>225</v>
      </c>
      <c r="K42" s="28">
        <f t="shared" si="14"/>
        <v>239</v>
      </c>
      <c r="L42" s="49">
        <f t="shared" si="7"/>
        <v>41969</v>
      </c>
      <c r="M42" s="51">
        <f t="shared" si="8"/>
        <v>125</v>
      </c>
      <c r="N42" s="51">
        <v>1500</v>
      </c>
      <c r="O42" s="28">
        <v>20.2</v>
      </c>
      <c r="P42" s="28">
        <f t="shared" si="56"/>
        <v>1197</v>
      </c>
      <c r="Q42" s="52">
        <f t="shared" si="57"/>
        <v>492202.5</v>
      </c>
      <c r="R42" s="52">
        <f t="shared" si="58"/>
        <v>8203.375</v>
      </c>
      <c r="S42" s="28">
        <f t="shared" si="59"/>
        <v>0.83013698630136989</v>
      </c>
      <c r="IZ42" s="51">
        <f>N42</f>
        <v>1500</v>
      </c>
      <c r="JA42" s="51">
        <f t="shared" si="62"/>
        <v>1499.1698630136987</v>
      </c>
      <c r="JB42" s="51">
        <f t="shared" si="62"/>
        <v>1498.3397260273973</v>
      </c>
      <c r="JC42" s="51">
        <f t="shared" si="62"/>
        <v>1497.509589041096</v>
      </c>
      <c r="JD42" s="51">
        <f t="shared" si="62"/>
        <v>1496.6794520547946</v>
      </c>
      <c r="JE42" s="51">
        <f t="shared" si="62"/>
        <v>1495.8493150684933</v>
      </c>
      <c r="JF42" s="51">
        <f t="shared" si="62"/>
        <v>1495.019178082192</v>
      </c>
      <c r="JG42" s="51">
        <f t="shared" si="62"/>
        <v>1494.1890410958906</v>
      </c>
      <c r="JH42" s="51">
        <f t="shared" si="62"/>
        <v>1493.3589041095893</v>
      </c>
      <c r="JI42" s="51">
        <f t="shared" si="62"/>
        <v>1492.5287671232879</v>
      </c>
      <c r="JJ42" s="51">
        <f t="shared" si="62"/>
        <v>1491.6986301369866</v>
      </c>
      <c r="JK42" s="51">
        <f t="shared" si="62"/>
        <v>1490.8684931506853</v>
      </c>
      <c r="JL42" s="51">
        <f t="shared" si="62"/>
        <v>1490.0383561643839</v>
      </c>
      <c r="JM42" s="51">
        <f t="shared" si="62"/>
        <v>1489.2082191780826</v>
      </c>
      <c r="JN42" s="51">
        <f t="shared" si="62"/>
        <v>1488.3780821917812</v>
      </c>
      <c r="JO42" s="51">
        <f t="shared" si="62"/>
        <v>1487.5479452054799</v>
      </c>
      <c r="JP42" s="51">
        <f t="shared" si="62"/>
        <v>1486.7178082191786</v>
      </c>
      <c r="JQ42" s="51">
        <f t="shared" si="62"/>
        <v>1485.8876712328772</v>
      </c>
      <c r="JR42" s="51">
        <f t="shared" si="62"/>
        <v>1485.0575342465759</v>
      </c>
      <c r="JS42" s="51">
        <f t="shared" si="62"/>
        <v>1484.2273972602745</v>
      </c>
      <c r="JT42" s="51">
        <f t="shared" si="62"/>
        <v>1483.3972602739732</v>
      </c>
      <c r="JU42" s="51">
        <f t="shared" si="62"/>
        <v>1482.5671232876718</v>
      </c>
      <c r="JV42" s="51">
        <f t="shared" si="62"/>
        <v>1481.7369863013705</v>
      </c>
      <c r="JW42" s="51">
        <f t="shared" si="62"/>
        <v>1480.9068493150692</v>
      </c>
      <c r="JX42" s="51">
        <f t="shared" si="62"/>
        <v>1480.0767123287678</v>
      </c>
      <c r="JY42" s="51">
        <f t="shared" si="62"/>
        <v>1479.2465753424665</v>
      </c>
      <c r="JZ42" s="51">
        <f t="shared" si="62"/>
        <v>1478.4164383561651</v>
      </c>
      <c r="KA42" s="51">
        <f t="shared" si="62"/>
        <v>1477.5863013698638</v>
      </c>
      <c r="KB42" s="51">
        <f t="shared" si="62"/>
        <v>1476.7561643835625</v>
      </c>
      <c r="KC42" s="51">
        <f t="shared" si="62"/>
        <v>1475.9260273972611</v>
      </c>
      <c r="KD42" s="51">
        <f t="shared" si="62"/>
        <v>1475.0958904109598</v>
      </c>
      <c r="KE42" s="51">
        <f t="shared" si="62"/>
        <v>1474.2657534246584</v>
      </c>
      <c r="KF42" s="51">
        <f t="shared" si="62"/>
        <v>1473.4356164383571</v>
      </c>
      <c r="KG42" s="51">
        <f t="shared" si="62"/>
        <v>1472.6054794520558</v>
      </c>
      <c r="KH42" s="51">
        <f t="shared" si="62"/>
        <v>1471.7753424657544</v>
      </c>
      <c r="KI42" s="51">
        <f t="shared" si="62"/>
        <v>1470.9452054794531</v>
      </c>
      <c r="KJ42" s="51">
        <f t="shared" si="62"/>
        <v>1470.1150684931517</v>
      </c>
      <c r="KK42" s="51">
        <f t="shared" si="62"/>
        <v>1469.2849315068504</v>
      </c>
      <c r="KL42" s="51">
        <f t="shared" si="62"/>
        <v>1468.4547945205491</v>
      </c>
      <c r="KM42" s="51">
        <f t="shared" si="62"/>
        <v>1467.6246575342477</v>
      </c>
      <c r="KN42" s="51">
        <f t="shared" si="62"/>
        <v>1466.7945205479464</v>
      </c>
      <c r="KO42" s="51">
        <f t="shared" si="62"/>
        <v>1465.964383561645</v>
      </c>
      <c r="KP42" s="51">
        <f t="shared" si="62"/>
        <v>1465.1342465753437</v>
      </c>
      <c r="KQ42" s="51">
        <f t="shared" si="62"/>
        <v>1464.3041095890424</v>
      </c>
      <c r="KR42" s="51">
        <f t="shared" si="62"/>
        <v>1463.473972602741</v>
      </c>
      <c r="KS42" s="51">
        <f t="shared" si="62"/>
        <v>1462.6438356164397</v>
      </c>
      <c r="KT42" s="51">
        <f t="shared" si="62"/>
        <v>1461.8136986301383</v>
      </c>
      <c r="KU42" s="51">
        <f t="shared" si="62"/>
        <v>1460.983561643837</v>
      </c>
      <c r="KV42" s="51">
        <f t="shared" si="62"/>
        <v>1460.1534246575357</v>
      </c>
      <c r="KW42" s="51">
        <f t="shared" si="62"/>
        <v>1459.3232876712343</v>
      </c>
      <c r="KX42" s="51">
        <f t="shared" si="62"/>
        <v>1458.493150684933</v>
      </c>
      <c r="KY42" s="51">
        <f t="shared" si="62"/>
        <v>1457.6630136986316</v>
      </c>
      <c r="KZ42" s="51">
        <f t="shared" si="62"/>
        <v>1456.8328767123303</v>
      </c>
      <c r="LA42" s="51">
        <f t="shared" si="62"/>
        <v>1456.0027397260289</v>
      </c>
      <c r="LB42" s="51">
        <f t="shared" si="62"/>
        <v>1455.1726027397276</v>
      </c>
      <c r="LC42" s="51">
        <f t="shared" si="62"/>
        <v>1454.3424657534263</v>
      </c>
      <c r="LD42" s="51">
        <f t="shared" si="62"/>
        <v>1453.5123287671249</v>
      </c>
      <c r="LE42" s="51">
        <f t="shared" si="62"/>
        <v>1452.6821917808236</v>
      </c>
      <c r="LF42" s="51">
        <f t="shared" si="62"/>
        <v>1451.8520547945222</v>
      </c>
      <c r="LG42" s="51">
        <f t="shared" si="62"/>
        <v>1451.0219178082209</v>
      </c>
      <c r="LH42" s="51">
        <f t="shared" si="62"/>
        <v>1450.1917808219196</v>
      </c>
      <c r="LI42" s="51">
        <f t="shared" si="63"/>
        <v>1449.3616438356182</v>
      </c>
      <c r="LJ42" s="51">
        <f t="shared" si="63"/>
        <v>1448.5315068493169</v>
      </c>
      <c r="LK42" s="51">
        <f t="shared" si="63"/>
        <v>1447.7013698630155</v>
      </c>
      <c r="LL42" s="51">
        <f t="shared" si="63"/>
        <v>1446.8712328767142</v>
      </c>
      <c r="LM42" s="51">
        <f t="shared" si="60"/>
        <v>1446.0410958904129</v>
      </c>
      <c r="LN42" s="51">
        <f t="shared" si="60"/>
        <v>1445.2109589041115</v>
      </c>
      <c r="LO42" s="51">
        <f t="shared" si="60"/>
        <v>1444.3808219178102</v>
      </c>
      <c r="LP42" s="51">
        <f t="shared" si="60"/>
        <v>1443.5506849315088</v>
      </c>
      <c r="LQ42" s="51">
        <f t="shared" si="60"/>
        <v>1442.7205479452075</v>
      </c>
      <c r="LR42" s="51">
        <f t="shared" si="60"/>
        <v>1441.8904109589062</v>
      </c>
      <c r="LS42" s="51">
        <f t="shared" si="60"/>
        <v>1441.0602739726048</v>
      </c>
      <c r="LT42" s="51">
        <f t="shared" si="60"/>
        <v>1440.2301369863035</v>
      </c>
      <c r="LU42" s="51">
        <f t="shared" si="60"/>
        <v>1439.4000000000021</v>
      </c>
      <c r="LV42" s="51">
        <f t="shared" si="60"/>
        <v>1438.5698630137008</v>
      </c>
      <c r="LW42" s="51">
        <f t="shared" si="60"/>
        <v>1437.7397260273995</v>
      </c>
      <c r="LX42" s="51">
        <f t="shared" si="60"/>
        <v>1436.9095890410981</v>
      </c>
      <c r="LY42" s="51">
        <f t="shared" si="60"/>
        <v>1436.0794520547968</v>
      </c>
      <c r="LZ42" s="51">
        <f t="shared" si="60"/>
        <v>1435.2493150684954</v>
      </c>
      <c r="MA42" s="51">
        <f t="shared" si="60"/>
        <v>1434.4191780821941</v>
      </c>
      <c r="MB42" s="51">
        <f t="shared" si="61"/>
        <v>1433.5890410958928</v>
      </c>
      <c r="MC42" s="51">
        <f t="shared" si="61"/>
        <v>1432.7589041095914</v>
      </c>
      <c r="MD42" s="51">
        <f t="shared" si="61"/>
        <v>1431.9287671232901</v>
      </c>
      <c r="ME42" s="51">
        <f t="shared" si="61"/>
        <v>1431.0986301369887</v>
      </c>
      <c r="MF42" s="51">
        <f t="shared" si="61"/>
        <v>1430.2684931506874</v>
      </c>
      <c r="MG42" s="51">
        <f t="shared" si="61"/>
        <v>1429.4383561643861</v>
      </c>
      <c r="MH42" s="51">
        <f t="shared" si="61"/>
        <v>1428.6082191780847</v>
      </c>
      <c r="MI42" s="51">
        <f t="shared" si="61"/>
        <v>1427.7780821917834</v>
      </c>
      <c r="MJ42" s="51">
        <f t="shared" si="61"/>
        <v>1426.947945205482</v>
      </c>
      <c r="MK42" s="51">
        <f t="shared" si="61"/>
        <v>1426.1178082191807</v>
      </c>
      <c r="ML42" s="51">
        <f t="shared" si="61"/>
        <v>1425.2876712328793</v>
      </c>
      <c r="MM42" s="51">
        <f t="shared" si="61"/>
        <v>1424.457534246578</v>
      </c>
      <c r="MN42" s="51">
        <f t="shared" si="61"/>
        <v>1423.6273972602767</v>
      </c>
      <c r="MO42" s="51">
        <f t="shared" si="61"/>
        <v>1422.7972602739753</v>
      </c>
      <c r="MP42" s="51">
        <f t="shared" si="61"/>
        <v>1421.967123287674</v>
      </c>
      <c r="MQ42" s="51">
        <f t="shared" si="61"/>
        <v>1421.1369863013726</v>
      </c>
      <c r="MR42" s="51">
        <f t="shared" si="61"/>
        <v>1420.3068493150713</v>
      </c>
      <c r="MS42" s="51">
        <f t="shared" si="61"/>
        <v>1419.47671232877</v>
      </c>
      <c r="MT42" s="51">
        <f t="shared" si="61"/>
        <v>1418.6465753424686</v>
      </c>
      <c r="MU42" s="51">
        <f t="shared" si="61"/>
        <v>1417.8164383561673</v>
      </c>
      <c r="MV42" s="51">
        <f t="shared" si="61"/>
        <v>1416.9863013698659</v>
      </c>
      <c r="MW42" s="51">
        <f t="shared" si="61"/>
        <v>1416.1561643835646</v>
      </c>
      <c r="MX42" s="51">
        <f t="shared" si="61"/>
        <v>1415.3260273972633</v>
      </c>
      <c r="MY42" s="51">
        <f t="shared" si="61"/>
        <v>1414.4958904109619</v>
      </c>
      <c r="MZ42" s="51">
        <f t="shared" si="61"/>
        <v>1413.6657534246606</v>
      </c>
      <c r="NA42" s="51">
        <f t="shared" si="61"/>
        <v>1412.8356164383592</v>
      </c>
      <c r="NB42" s="51">
        <f t="shared" si="61"/>
        <v>1412.0054794520579</v>
      </c>
      <c r="NC42" s="51">
        <f t="shared" si="61"/>
        <v>1411.1753424657566</v>
      </c>
      <c r="ND42" s="51">
        <f t="shared" si="61"/>
        <v>1410.3452054794552</v>
      </c>
      <c r="NE42" s="51">
        <f t="shared" si="61"/>
        <v>1409.5150684931539</v>
      </c>
      <c r="NF42" s="51">
        <f t="shared" si="61"/>
        <v>1408.6849315068525</v>
      </c>
      <c r="NG42" s="51">
        <f t="shared" si="61"/>
        <v>1407.8547945205512</v>
      </c>
      <c r="NH42" s="51">
        <f t="shared" si="61"/>
        <v>1407.0246575342499</v>
      </c>
      <c r="NI42" s="51">
        <f t="shared" si="61"/>
        <v>1406.1945205479485</v>
      </c>
      <c r="NJ42" s="51">
        <f t="shared" si="61"/>
        <v>1405.3643835616472</v>
      </c>
      <c r="NK42" s="51">
        <f t="shared" si="61"/>
        <v>1404.5342465753458</v>
      </c>
      <c r="NL42" s="51">
        <f t="shared" si="61"/>
        <v>1403.7041095890445</v>
      </c>
      <c r="NM42" s="51">
        <f t="shared" si="61"/>
        <v>1402.8739726027432</v>
      </c>
      <c r="NN42" s="51">
        <f t="shared" si="61"/>
        <v>1402.0438356164418</v>
      </c>
      <c r="NO42" s="51">
        <f t="shared" si="61"/>
        <v>1401.2136986301405</v>
      </c>
      <c r="NP42" s="51">
        <f t="shared" si="61"/>
        <v>1400.3835616438391</v>
      </c>
      <c r="NQ42" s="51">
        <f t="shared" si="61"/>
        <v>1399.5534246575378</v>
      </c>
      <c r="NR42" s="51">
        <f t="shared" si="61"/>
        <v>1398.7232876712364</v>
      </c>
      <c r="NS42" s="51">
        <f t="shared" si="61"/>
        <v>1397.8931506849351</v>
      </c>
      <c r="NT42" s="51">
        <f t="shared" si="61"/>
        <v>1397.0630136986338</v>
      </c>
      <c r="NU42" s="51">
        <f t="shared" si="61"/>
        <v>1396.2328767123324</v>
      </c>
    </row>
    <row r="43" spans="1:385" x14ac:dyDescent="0.25">
      <c r="A43" s="28">
        <v>41</v>
      </c>
      <c r="B43" s="28" t="s">
        <v>11</v>
      </c>
      <c r="C43" s="28" t="s">
        <v>29</v>
      </c>
      <c r="D43" s="28" t="s">
        <v>597</v>
      </c>
      <c r="E43" s="28">
        <v>1</v>
      </c>
      <c r="F43" s="28">
        <v>55</v>
      </c>
      <c r="G43" s="28">
        <v>5</v>
      </c>
      <c r="H43" s="50">
        <f t="shared" si="6"/>
        <v>60</v>
      </c>
      <c r="I43" s="28">
        <v>14</v>
      </c>
      <c r="J43" s="28">
        <v>235</v>
      </c>
      <c r="K43" s="28">
        <f t="shared" si="14"/>
        <v>249</v>
      </c>
      <c r="L43" s="49">
        <f t="shared" si="7"/>
        <v>41979</v>
      </c>
      <c r="M43" s="51">
        <f t="shared" si="8"/>
        <v>115</v>
      </c>
      <c r="N43" s="51">
        <v>1500</v>
      </c>
      <c r="O43" s="28">
        <v>20.2</v>
      </c>
      <c r="P43" s="28">
        <f t="shared" si="56"/>
        <v>1197</v>
      </c>
      <c r="Q43" s="52">
        <f t="shared" si="57"/>
        <v>492202.5</v>
      </c>
      <c r="R43" s="52">
        <f t="shared" si="58"/>
        <v>8203.375</v>
      </c>
      <c r="S43" s="28">
        <f t="shared" si="59"/>
        <v>0.83013698630136989</v>
      </c>
      <c r="JJ43" s="51">
        <f>N43</f>
        <v>1500</v>
      </c>
      <c r="JK43" s="51">
        <f t="shared" si="62"/>
        <v>1499.1698630136987</v>
      </c>
      <c r="JL43" s="51">
        <f t="shared" si="62"/>
        <v>1498.3397260273973</v>
      </c>
      <c r="JM43" s="51">
        <f t="shared" si="62"/>
        <v>1497.509589041096</v>
      </c>
      <c r="JN43" s="51">
        <f t="shared" si="62"/>
        <v>1496.6794520547946</v>
      </c>
      <c r="JO43" s="51">
        <f t="shared" si="62"/>
        <v>1495.8493150684933</v>
      </c>
      <c r="JP43" s="51">
        <f t="shared" si="62"/>
        <v>1495.019178082192</v>
      </c>
      <c r="JQ43" s="51">
        <f t="shared" si="62"/>
        <v>1494.1890410958906</v>
      </c>
      <c r="JR43" s="51">
        <f t="shared" si="62"/>
        <v>1493.3589041095893</v>
      </c>
      <c r="JS43" s="51">
        <f t="shared" si="62"/>
        <v>1492.5287671232879</v>
      </c>
      <c r="JT43" s="51">
        <f t="shared" si="62"/>
        <v>1491.6986301369866</v>
      </c>
      <c r="JU43" s="51">
        <f t="shared" si="62"/>
        <v>1490.8684931506853</v>
      </c>
      <c r="JV43" s="51">
        <f t="shared" si="62"/>
        <v>1490.0383561643839</v>
      </c>
      <c r="JW43" s="51">
        <f t="shared" si="62"/>
        <v>1489.2082191780826</v>
      </c>
      <c r="JX43" s="51">
        <f t="shared" si="62"/>
        <v>1488.3780821917812</v>
      </c>
      <c r="JY43" s="51">
        <f t="shared" si="62"/>
        <v>1487.5479452054799</v>
      </c>
      <c r="JZ43" s="51">
        <f t="shared" si="62"/>
        <v>1486.7178082191786</v>
      </c>
      <c r="KA43" s="51">
        <f t="shared" si="62"/>
        <v>1485.8876712328772</v>
      </c>
      <c r="KB43" s="51">
        <f t="shared" si="62"/>
        <v>1485.0575342465759</v>
      </c>
      <c r="KC43" s="51">
        <f t="shared" si="62"/>
        <v>1484.2273972602745</v>
      </c>
      <c r="KD43" s="51">
        <f t="shared" si="62"/>
        <v>1483.3972602739732</v>
      </c>
      <c r="KE43" s="51">
        <f t="shared" si="62"/>
        <v>1482.5671232876718</v>
      </c>
      <c r="KF43" s="51">
        <f t="shared" si="62"/>
        <v>1481.7369863013705</v>
      </c>
      <c r="KG43" s="51">
        <f t="shared" si="62"/>
        <v>1480.9068493150692</v>
      </c>
      <c r="KH43" s="51">
        <f t="shared" si="62"/>
        <v>1480.0767123287678</v>
      </c>
      <c r="KI43" s="51">
        <f t="shared" si="62"/>
        <v>1479.2465753424665</v>
      </c>
      <c r="KJ43" s="51">
        <f t="shared" si="62"/>
        <v>1478.4164383561651</v>
      </c>
      <c r="KK43" s="51">
        <f t="shared" si="62"/>
        <v>1477.5863013698638</v>
      </c>
      <c r="KL43" s="51">
        <f t="shared" si="62"/>
        <v>1476.7561643835625</v>
      </c>
      <c r="KM43" s="51">
        <f t="shared" si="62"/>
        <v>1475.9260273972611</v>
      </c>
      <c r="KN43" s="51">
        <f t="shared" si="62"/>
        <v>1475.0958904109598</v>
      </c>
      <c r="KO43" s="51">
        <f t="shared" si="62"/>
        <v>1474.2657534246584</v>
      </c>
      <c r="KP43" s="51">
        <f t="shared" si="62"/>
        <v>1473.4356164383571</v>
      </c>
      <c r="KQ43" s="51">
        <f t="shared" si="62"/>
        <v>1472.6054794520558</v>
      </c>
      <c r="KR43" s="51">
        <f t="shared" si="62"/>
        <v>1471.7753424657544</v>
      </c>
      <c r="KS43" s="51">
        <f t="shared" si="62"/>
        <v>1470.9452054794531</v>
      </c>
      <c r="KT43" s="51">
        <f t="shared" si="62"/>
        <v>1470.1150684931517</v>
      </c>
      <c r="KU43" s="51">
        <f t="shared" si="62"/>
        <v>1469.2849315068504</v>
      </c>
      <c r="KV43" s="51">
        <f t="shared" si="62"/>
        <v>1468.4547945205491</v>
      </c>
      <c r="KW43" s="51">
        <f t="shared" si="62"/>
        <v>1467.6246575342477</v>
      </c>
      <c r="KX43" s="51">
        <f t="shared" si="62"/>
        <v>1466.7945205479464</v>
      </c>
      <c r="KY43" s="51">
        <f t="shared" si="62"/>
        <v>1465.964383561645</v>
      </c>
      <c r="KZ43" s="51">
        <f t="shared" si="62"/>
        <v>1465.1342465753437</v>
      </c>
      <c r="LA43" s="51">
        <f t="shared" si="62"/>
        <v>1464.3041095890424</v>
      </c>
      <c r="LB43" s="51">
        <f t="shared" si="62"/>
        <v>1463.473972602741</v>
      </c>
      <c r="LC43" s="51">
        <f t="shared" si="62"/>
        <v>1462.6438356164397</v>
      </c>
      <c r="LD43" s="51">
        <f t="shared" si="62"/>
        <v>1461.8136986301383</v>
      </c>
      <c r="LE43" s="51">
        <f t="shared" si="62"/>
        <v>1460.983561643837</v>
      </c>
      <c r="LF43" s="51">
        <f t="shared" si="62"/>
        <v>1460.1534246575357</v>
      </c>
      <c r="LG43" s="51">
        <f t="shared" si="62"/>
        <v>1459.3232876712343</v>
      </c>
      <c r="LH43" s="51">
        <f t="shared" si="62"/>
        <v>1458.493150684933</v>
      </c>
      <c r="LI43" s="51">
        <f t="shared" si="63"/>
        <v>1457.6630136986316</v>
      </c>
      <c r="LJ43" s="51">
        <f t="shared" si="63"/>
        <v>1456.8328767123303</v>
      </c>
      <c r="LK43" s="51">
        <f t="shared" si="63"/>
        <v>1456.0027397260289</v>
      </c>
      <c r="LL43" s="51">
        <f t="shared" si="63"/>
        <v>1455.1726027397276</v>
      </c>
      <c r="LM43" s="51">
        <f t="shared" si="60"/>
        <v>1454.3424657534263</v>
      </c>
      <c r="LN43" s="51">
        <f t="shared" si="60"/>
        <v>1453.5123287671249</v>
      </c>
      <c r="LO43" s="51">
        <f t="shared" si="60"/>
        <v>1452.6821917808236</v>
      </c>
      <c r="LP43" s="51">
        <f t="shared" si="60"/>
        <v>1451.8520547945222</v>
      </c>
      <c r="LQ43" s="51">
        <f t="shared" si="60"/>
        <v>1451.0219178082209</v>
      </c>
      <c r="LR43" s="51">
        <f t="shared" si="60"/>
        <v>1450.1917808219196</v>
      </c>
      <c r="LS43" s="51">
        <f t="shared" si="60"/>
        <v>1449.3616438356182</v>
      </c>
      <c r="LT43" s="51">
        <f t="shared" si="60"/>
        <v>1448.5315068493169</v>
      </c>
      <c r="LU43" s="51">
        <f t="shared" si="60"/>
        <v>1447.7013698630155</v>
      </c>
      <c r="LV43" s="51">
        <f t="shared" si="60"/>
        <v>1446.8712328767142</v>
      </c>
      <c r="LW43" s="51">
        <f t="shared" si="60"/>
        <v>1446.0410958904129</v>
      </c>
      <c r="LX43" s="51">
        <f t="shared" si="60"/>
        <v>1445.2109589041115</v>
      </c>
      <c r="LY43" s="51">
        <f t="shared" si="60"/>
        <v>1444.3808219178102</v>
      </c>
      <c r="LZ43" s="51">
        <f t="shared" si="60"/>
        <v>1443.5506849315088</v>
      </c>
      <c r="MA43" s="51">
        <f t="shared" si="60"/>
        <v>1442.7205479452075</v>
      </c>
      <c r="MB43" s="51">
        <f t="shared" si="61"/>
        <v>1441.8904109589062</v>
      </c>
      <c r="MC43" s="51">
        <f t="shared" si="61"/>
        <v>1441.0602739726048</v>
      </c>
      <c r="MD43" s="51">
        <f t="shared" si="61"/>
        <v>1440.2301369863035</v>
      </c>
      <c r="ME43" s="51">
        <f t="shared" si="61"/>
        <v>1439.4000000000021</v>
      </c>
      <c r="MF43" s="51">
        <f t="shared" si="61"/>
        <v>1438.5698630137008</v>
      </c>
      <c r="MG43" s="51">
        <f t="shared" si="61"/>
        <v>1437.7397260273995</v>
      </c>
      <c r="MH43" s="51">
        <f t="shared" si="61"/>
        <v>1436.9095890410981</v>
      </c>
      <c r="MI43" s="51">
        <f t="shared" si="61"/>
        <v>1436.0794520547968</v>
      </c>
      <c r="MJ43" s="51">
        <f t="shared" si="61"/>
        <v>1435.2493150684954</v>
      </c>
      <c r="MK43" s="51">
        <f t="shared" si="61"/>
        <v>1434.4191780821941</v>
      </c>
      <c r="ML43" s="51">
        <f t="shared" si="61"/>
        <v>1433.5890410958928</v>
      </c>
      <c r="MM43" s="51">
        <f t="shared" si="61"/>
        <v>1432.7589041095914</v>
      </c>
      <c r="MN43" s="51">
        <f t="shared" si="61"/>
        <v>1431.9287671232901</v>
      </c>
      <c r="MO43" s="51">
        <f t="shared" si="61"/>
        <v>1431.0986301369887</v>
      </c>
      <c r="MP43" s="51">
        <f t="shared" si="61"/>
        <v>1430.2684931506874</v>
      </c>
      <c r="MQ43" s="51">
        <f t="shared" si="61"/>
        <v>1429.4383561643861</v>
      </c>
      <c r="MR43" s="51">
        <f t="shared" si="61"/>
        <v>1428.6082191780847</v>
      </c>
      <c r="MS43" s="51">
        <f t="shared" si="61"/>
        <v>1427.7780821917834</v>
      </c>
      <c r="MT43" s="51">
        <f t="shared" si="61"/>
        <v>1426.947945205482</v>
      </c>
      <c r="MU43" s="51">
        <f t="shared" si="61"/>
        <v>1426.1178082191807</v>
      </c>
      <c r="MV43" s="51">
        <f t="shared" si="61"/>
        <v>1425.2876712328793</v>
      </c>
      <c r="MW43" s="51">
        <f t="shared" si="61"/>
        <v>1424.457534246578</v>
      </c>
      <c r="MX43" s="51">
        <f t="shared" si="61"/>
        <v>1423.6273972602767</v>
      </c>
      <c r="MY43" s="51">
        <f t="shared" si="61"/>
        <v>1422.7972602739753</v>
      </c>
      <c r="MZ43" s="51">
        <f t="shared" si="61"/>
        <v>1421.967123287674</v>
      </c>
      <c r="NA43" s="51">
        <f t="shared" si="61"/>
        <v>1421.1369863013726</v>
      </c>
      <c r="NB43" s="51">
        <f t="shared" si="61"/>
        <v>1420.3068493150713</v>
      </c>
      <c r="NC43" s="51">
        <f t="shared" si="61"/>
        <v>1419.47671232877</v>
      </c>
      <c r="ND43" s="51">
        <f t="shared" si="61"/>
        <v>1418.6465753424686</v>
      </c>
      <c r="NE43" s="51">
        <f t="shared" si="61"/>
        <v>1417.8164383561673</v>
      </c>
      <c r="NF43" s="51">
        <f t="shared" si="61"/>
        <v>1416.9863013698659</v>
      </c>
      <c r="NG43" s="51">
        <f t="shared" si="61"/>
        <v>1416.1561643835646</v>
      </c>
      <c r="NH43" s="51">
        <f t="shared" si="61"/>
        <v>1415.3260273972633</v>
      </c>
      <c r="NI43" s="51">
        <f t="shared" si="61"/>
        <v>1414.4958904109619</v>
      </c>
      <c r="NJ43" s="51">
        <f t="shared" si="61"/>
        <v>1413.6657534246606</v>
      </c>
      <c r="NK43" s="51">
        <f t="shared" si="61"/>
        <v>1412.8356164383592</v>
      </c>
      <c r="NL43" s="51">
        <f t="shared" si="61"/>
        <v>1412.0054794520579</v>
      </c>
      <c r="NM43" s="51">
        <f t="shared" si="61"/>
        <v>1411.1753424657566</v>
      </c>
      <c r="NN43" s="51">
        <f t="shared" si="61"/>
        <v>1410.3452054794552</v>
      </c>
      <c r="NO43" s="51">
        <f t="shared" si="61"/>
        <v>1409.5150684931539</v>
      </c>
      <c r="NP43" s="51">
        <f t="shared" si="61"/>
        <v>1408.6849315068525</v>
      </c>
      <c r="NQ43" s="51">
        <f t="shared" si="61"/>
        <v>1407.8547945205512</v>
      </c>
      <c r="NR43" s="51">
        <f t="shared" si="61"/>
        <v>1407.0246575342499</v>
      </c>
      <c r="NS43" s="51">
        <f t="shared" si="61"/>
        <v>1406.1945205479485</v>
      </c>
      <c r="NT43" s="51">
        <f t="shared" si="61"/>
        <v>1405.3643835616472</v>
      </c>
      <c r="NU43" s="51">
        <f t="shared" si="61"/>
        <v>1404.5342465753458</v>
      </c>
    </row>
    <row r="44" spans="1:385" x14ac:dyDescent="0.25">
      <c r="A44" s="28">
        <v>42</v>
      </c>
      <c r="B44" s="28" t="s">
        <v>600</v>
      </c>
      <c r="C44" s="28" t="s">
        <v>600</v>
      </c>
      <c r="D44" s="28" t="s">
        <v>596</v>
      </c>
      <c r="E44" s="28">
        <v>1</v>
      </c>
      <c r="F44" s="28">
        <v>120</v>
      </c>
      <c r="G44" s="28">
        <v>5</v>
      </c>
      <c r="H44" s="50">
        <f t="shared" si="6"/>
        <v>125</v>
      </c>
      <c r="I44" s="28">
        <v>14</v>
      </c>
      <c r="J44" s="28">
        <v>305</v>
      </c>
      <c r="K44" s="28">
        <f t="shared" si="14"/>
        <v>319</v>
      </c>
      <c r="L44" s="49">
        <f t="shared" si="7"/>
        <v>42049</v>
      </c>
      <c r="M44" s="51">
        <f t="shared" si="8"/>
        <v>45</v>
      </c>
      <c r="N44" s="51">
        <v>800</v>
      </c>
      <c r="O44" s="28">
        <v>21.4</v>
      </c>
      <c r="P44" s="28">
        <f t="shared" si="56"/>
        <v>628.80000000000007</v>
      </c>
      <c r="Q44" s="52">
        <f t="shared" si="57"/>
        <v>260756</v>
      </c>
      <c r="R44" s="52">
        <f t="shared" si="58"/>
        <v>2086.0479999999998</v>
      </c>
      <c r="S44" s="28">
        <f t="shared" si="59"/>
        <v>0.46904109589041076</v>
      </c>
      <c r="MB44" s="51">
        <f>N44</f>
        <v>800</v>
      </c>
      <c r="MC44" s="51">
        <f t="shared" si="61"/>
        <v>799.53095890410964</v>
      </c>
      <c r="MD44" s="51">
        <f t="shared" si="61"/>
        <v>799.06191780821928</v>
      </c>
      <c r="ME44" s="51">
        <f t="shared" si="61"/>
        <v>798.59287671232892</v>
      </c>
      <c r="MF44" s="51">
        <f t="shared" si="61"/>
        <v>798.12383561643856</v>
      </c>
      <c r="MG44" s="51">
        <f t="shared" si="61"/>
        <v>797.65479452054819</v>
      </c>
      <c r="MH44" s="51">
        <f t="shared" si="61"/>
        <v>797.18575342465783</v>
      </c>
      <c r="MI44" s="51">
        <f t="shared" si="61"/>
        <v>796.71671232876747</v>
      </c>
      <c r="MJ44" s="51">
        <f t="shared" si="61"/>
        <v>796.24767123287711</v>
      </c>
      <c r="MK44" s="51">
        <f t="shared" si="61"/>
        <v>795.77863013698675</v>
      </c>
      <c r="ML44" s="51">
        <f t="shared" si="61"/>
        <v>795.30958904109639</v>
      </c>
      <c r="MM44" s="51">
        <f t="shared" si="61"/>
        <v>794.84054794520603</v>
      </c>
      <c r="MN44" s="51">
        <f t="shared" si="61"/>
        <v>794.37150684931567</v>
      </c>
      <c r="MO44" s="51">
        <f t="shared" si="61"/>
        <v>793.9024657534253</v>
      </c>
      <c r="MP44" s="51">
        <f t="shared" si="61"/>
        <v>793.43342465753494</v>
      </c>
      <c r="MQ44" s="51">
        <f t="shared" si="61"/>
        <v>792.96438356164458</v>
      </c>
      <c r="MR44" s="51">
        <f t="shared" si="61"/>
        <v>792.49534246575422</v>
      </c>
      <c r="MS44" s="51">
        <f t="shared" si="61"/>
        <v>792.02630136986386</v>
      </c>
      <c r="MT44" s="51">
        <f t="shared" si="61"/>
        <v>791.5572602739735</v>
      </c>
      <c r="MU44" s="51">
        <f t="shared" si="61"/>
        <v>791.08821917808314</v>
      </c>
      <c r="MV44" s="51">
        <f t="shared" si="61"/>
        <v>790.61917808219278</v>
      </c>
      <c r="MW44" s="51">
        <f t="shared" si="61"/>
        <v>790.15013698630241</v>
      </c>
      <c r="MX44" s="51">
        <f t="shared" si="61"/>
        <v>789.68109589041205</v>
      </c>
      <c r="MY44" s="51">
        <f t="shared" si="61"/>
        <v>789.21205479452169</v>
      </c>
      <c r="MZ44" s="51">
        <f t="shared" si="61"/>
        <v>788.74301369863133</v>
      </c>
      <c r="NA44" s="51">
        <f t="shared" si="61"/>
        <v>788.27397260274097</v>
      </c>
      <c r="NB44" s="51">
        <f t="shared" ref="NB44:NU44" si="64">NA44-$S44</f>
        <v>787.80493150685061</v>
      </c>
      <c r="NC44" s="51">
        <f t="shared" si="64"/>
        <v>787.33589041096025</v>
      </c>
      <c r="ND44" s="51">
        <f t="shared" si="64"/>
        <v>786.86684931506989</v>
      </c>
      <c r="NE44" s="51">
        <f t="shared" si="64"/>
        <v>786.39780821917952</v>
      </c>
      <c r="NF44" s="51">
        <f t="shared" si="64"/>
        <v>785.92876712328916</v>
      </c>
      <c r="NG44" s="51">
        <f t="shared" si="64"/>
        <v>785.4597260273988</v>
      </c>
      <c r="NH44" s="51">
        <f t="shared" si="64"/>
        <v>784.99068493150844</v>
      </c>
      <c r="NI44" s="51">
        <f t="shared" si="64"/>
        <v>784.52164383561808</v>
      </c>
      <c r="NJ44" s="51">
        <f t="shared" si="64"/>
        <v>784.05260273972772</v>
      </c>
      <c r="NK44" s="51">
        <f t="shared" si="64"/>
        <v>783.58356164383736</v>
      </c>
      <c r="NL44" s="51">
        <f t="shared" si="64"/>
        <v>783.114520547947</v>
      </c>
      <c r="NM44" s="51">
        <f t="shared" si="64"/>
        <v>782.64547945205663</v>
      </c>
      <c r="NN44" s="51">
        <f t="shared" si="64"/>
        <v>782.17643835616627</v>
      </c>
      <c r="NO44" s="51">
        <f t="shared" si="64"/>
        <v>781.70739726027591</v>
      </c>
      <c r="NP44" s="51">
        <f t="shared" si="64"/>
        <v>781.23835616438555</v>
      </c>
      <c r="NQ44" s="51">
        <f t="shared" si="64"/>
        <v>780.76931506849519</v>
      </c>
      <c r="NR44" s="51">
        <f t="shared" si="64"/>
        <v>780.30027397260483</v>
      </c>
      <c r="NS44" s="51">
        <f t="shared" si="64"/>
        <v>779.83123287671447</v>
      </c>
      <c r="NT44" s="51">
        <f t="shared" si="64"/>
        <v>779.36219178082411</v>
      </c>
      <c r="NU44" s="51">
        <f t="shared" si="64"/>
        <v>778.89315068493374</v>
      </c>
    </row>
    <row r="45" spans="1:385" x14ac:dyDescent="0.25">
      <c r="A45" s="28">
        <v>43</v>
      </c>
      <c r="B45" s="28" t="s">
        <v>11</v>
      </c>
      <c r="C45" s="28" t="s">
        <v>17</v>
      </c>
      <c r="D45" s="28" t="s">
        <v>598</v>
      </c>
      <c r="E45" s="28">
        <v>1</v>
      </c>
      <c r="F45" s="28">
        <v>40</v>
      </c>
      <c r="G45" s="28">
        <v>5</v>
      </c>
      <c r="H45" s="50">
        <f t="shared" si="6"/>
        <v>45</v>
      </c>
      <c r="I45" s="28">
        <v>14</v>
      </c>
      <c r="J45" s="28">
        <v>225</v>
      </c>
      <c r="K45" s="28">
        <f t="shared" si="14"/>
        <v>239</v>
      </c>
      <c r="L45" s="49">
        <f t="shared" si="7"/>
        <v>41969</v>
      </c>
      <c r="M45" s="51">
        <f t="shared" si="8"/>
        <v>125</v>
      </c>
      <c r="N45" s="51">
        <v>0</v>
      </c>
    </row>
    <row r="46" spans="1:385" x14ac:dyDescent="0.25">
      <c r="A46" s="28">
        <v>44</v>
      </c>
      <c r="B46" s="28" t="s">
        <v>11</v>
      </c>
      <c r="C46" s="28" t="s">
        <v>17</v>
      </c>
      <c r="D46" s="28" t="s">
        <v>598</v>
      </c>
      <c r="E46" s="28">
        <v>1</v>
      </c>
      <c r="F46" s="28">
        <v>40</v>
      </c>
      <c r="G46" s="28">
        <v>5</v>
      </c>
      <c r="H46" s="50">
        <f t="shared" si="6"/>
        <v>45</v>
      </c>
      <c r="I46" s="28">
        <v>14</v>
      </c>
      <c r="J46" s="28">
        <v>235</v>
      </c>
      <c r="K46" s="28">
        <f t="shared" si="14"/>
        <v>249</v>
      </c>
      <c r="L46" s="49">
        <f t="shared" si="7"/>
        <v>41979</v>
      </c>
      <c r="M46" s="51">
        <f t="shared" si="8"/>
        <v>115</v>
      </c>
      <c r="N46" s="51">
        <v>0</v>
      </c>
    </row>
    <row r="47" spans="1:385" x14ac:dyDescent="0.25">
      <c r="A47" s="43">
        <v>45</v>
      </c>
      <c r="B47" s="43" t="s">
        <v>11</v>
      </c>
      <c r="C47" s="43" t="s">
        <v>17</v>
      </c>
      <c r="D47" s="43" t="s">
        <v>598</v>
      </c>
      <c r="E47" s="43">
        <v>1</v>
      </c>
      <c r="F47" s="43">
        <v>40</v>
      </c>
      <c r="G47" s="43">
        <v>5</v>
      </c>
      <c r="H47" s="50">
        <f t="shared" si="6"/>
        <v>45</v>
      </c>
      <c r="I47" s="43">
        <v>14</v>
      </c>
      <c r="J47" s="54">
        <v>240</v>
      </c>
      <c r="K47" s="28">
        <f t="shared" si="14"/>
        <v>254</v>
      </c>
      <c r="L47" s="49">
        <f t="shared" si="7"/>
        <v>41984</v>
      </c>
      <c r="M47" s="51">
        <f t="shared" si="8"/>
        <v>110</v>
      </c>
      <c r="N47" s="51">
        <v>0</v>
      </c>
    </row>
    <row r="48" spans="1:385" x14ac:dyDescent="0.25">
      <c r="A48" s="28">
        <v>46</v>
      </c>
      <c r="B48" s="28" t="s">
        <v>11</v>
      </c>
      <c r="C48" s="28" t="s">
        <v>17</v>
      </c>
      <c r="D48" s="28" t="s">
        <v>599</v>
      </c>
      <c r="E48" s="28">
        <v>1</v>
      </c>
      <c r="F48" s="28">
        <v>30</v>
      </c>
      <c r="G48" s="28">
        <v>5</v>
      </c>
      <c r="H48" s="50">
        <f t="shared" si="6"/>
        <v>35</v>
      </c>
      <c r="I48" s="28">
        <v>14</v>
      </c>
      <c r="J48" s="54">
        <v>230</v>
      </c>
      <c r="K48" s="28">
        <f t="shared" si="14"/>
        <v>244</v>
      </c>
      <c r="L48" s="49">
        <f t="shared" si="7"/>
        <v>41974</v>
      </c>
      <c r="M48" s="51">
        <f t="shared" si="8"/>
        <v>120</v>
      </c>
      <c r="N48" s="51">
        <v>0</v>
      </c>
    </row>
    <row r="49" spans="1:385" x14ac:dyDescent="0.25">
      <c r="A49" s="28">
        <v>47</v>
      </c>
      <c r="B49" s="28" t="s">
        <v>42</v>
      </c>
      <c r="C49" s="28" t="s">
        <v>17</v>
      </c>
      <c r="D49" s="28" t="s">
        <v>598</v>
      </c>
      <c r="E49" s="28">
        <v>1</v>
      </c>
      <c r="F49" s="28">
        <v>40</v>
      </c>
      <c r="G49" s="28">
        <v>5</v>
      </c>
      <c r="H49" s="50">
        <f t="shared" si="6"/>
        <v>45</v>
      </c>
      <c r="I49" s="28">
        <v>14</v>
      </c>
      <c r="J49" s="54">
        <v>250</v>
      </c>
      <c r="K49" s="28">
        <f t="shared" si="14"/>
        <v>264</v>
      </c>
      <c r="L49" s="49">
        <f t="shared" si="7"/>
        <v>41994</v>
      </c>
      <c r="M49" s="51">
        <f t="shared" si="8"/>
        <v>100</v>
      </c>
      <c r="N49" s="51">
        <v>0</v>
      </c>
    </row>
    <row r="50" spans="1:385" ht="15.75" thickBot="1" x14ac:dyDescent="0.3">
      <c r="A50" s="55">
        <v>48</v>
      </c>
      <c r="B50" s="55" t="s">
        <v>42</v>
      </c>
      <c r="C50" s="55" t="s">
        <v>17</v>
      </c>
      <c r="D50" s="55" t="s">
        <v>598</v>
      </c>
      <c r="E50" s="55">
        <v>1</v>
      </c>
      <c r="F50" s="55">
        <v>40</v>
      </c>
      <c r="G50" s="55">
        <v>5</v>
      </c>
      <c r="H50" s="50">
        <f t="shared" si="6"/>
        <v>45</v>
      </c>
      <c r="I50" s="55">
        <v>14</v>
      </c>
      <c r="J50" s="54">
        <v>250</v>
      </c>
      <c r="K50" s="28">
        <f t="shared" si="14"/>
        <v>264</v>
      </c>
      <c r="L50" s="49">
        <f t="shared" si="7"/>
        <v>41994</v>
      </c>
      <c r="M50" s="51">
        <f t="shared" si="8"/>
        <v>100</v>
      </c>
      <c r="N50" s="51">
        <v>0</v>
      </c>
    </row>
    <row r="51" spans="1:385" ht="15.75" thickTop="1" x14ac:dyDescent="0.25">
      <c r="A51" s="28">
        <v>49</v>
      </c>
      <c r="B51" s="28" t="s">
        <v>42</v>
      </c>
      <c r="C51" s="28" t="s">
        <v>17</v>
      </c>
      <c r="D51" s="28" t="s">
        <v>18</v>
      </c>
      <c r="E51" s="28">
        <v>1</v>
      </c>
      <c r="F51" s="28">
        <v>45</v>
      </c>
      <c r="G51" s="28">
        <v>5</v>
      </c>
      <c r="H51" s="50">
        <f t="shared" si="6"/>
        <v>50</v>
      </c>
      <c r="I51" s="28">
        <v>14</v>
      </c>
      <c r="J51" s="54">
        <v>255</v>
      </c>
      <c r="K51" s="28">
        <f t="shared" si="14"/>
        <v>269</v>
      </c>
      <c r="L51" s="49">
        <f t="shared" si="7"/>
        <v>41999</v>
      </c>
      <c r="M51" s="51">
        <f t="shared" si="8"/>
        <v>95</v>
      </c>
      <c r="N51" s="51">
        <v>1200</v>
      </c>
      <c r="O51" s="28">
        <v>24.4</v>
      </c>
      <c r="P51" s="28">
        <f t="shared" ref="P51:P53" si="65">N51*(1-O51/100)</f>
        <v>907.2</v>
      </c>
      <c r="Q51" s="52">
        <f t="shared" ref="Q51:Q53" si="66">N51*365-((S51/2)*365^2)</f>
        <v>384564</v>
      </c>
      <c r="R51" s="52">
        <f t="shared" ref="R51:R53" si="67">Q51/H51</f>
        <v>7691.28</v>
      </c>
      <c r="S51" s="28">
        <f t="shared" ref="S51:S53" si="68">(N51-P51)/365</f>
        <v>0.80219178082191767</v>
      </c>
      <c r="KD51" s="51">
        <f>N51</f>
        <v>1200</v>
      </c>
      <c r="KE51" s="51">
        <f>KD51-$S51</f>
        <v>1199.1978082191781</v>
      </c>
      <c r="KF51" s="51">
        <f t="shared" ref="KF51:KU52" si="69">KE51-$S51</f>
        <v>1198.3956164383562</v>
      </c>
      <c r="KG51" s="51">
        <f t="shared" si="69"/>
        <v>1197.5934246575343</v>
      </c>
      <c r="KH51" s="51">
        <f t="shared" si="69"/>
        <v>1196.7912328767125</v>
      </c>
      <c r="KI51" s="51">
        <f t="shared" si="69"/>
        <v>1195.9890410958906</v>
      </c>
      <c r="KJ51" s="51">
        <f t="shared" si="69"/>
        <v>1195.1868493150687</v>
      </c>
      <c r="KK51" s="51">
        <f t="shared" si="69"/>
        <v>1194.3846575342468</v>
      </c>
      <c r="KL51" s="51">
        <f t="shared" si="69"/>
        <v>1193.5824657534249</v>
      </c>
      <c r="KM51" s="51">
        <f t="shared" si="69"/>
        <v>1192.780273972603</v>
      </c>
      <c r="KN51" s="51">
        <f t="shared" si="69"/>
        <v>1191.9780821917811</v>
      </c>
      <c r="KO51" s="51">
        <f t="shared" si="69"/>
        <v>1191.1758904109593</v>
      </c>
      <c r="KP51" s="51">
        <f t="shared" si="69"/>
        <v>1190.3736986301374</v>
      </c>
      <c r="KQ51" s="51">
        <f t="shared" si="69"/>
        <v>1189.5715068493155</v>
      </c>
      <c r="KR51" s="51">
        <f t="shared" si="69"/>
        <v>1188.7693150684936</v>
      </c>
      <c r="KS51" s="51">
        <f t="shared" si="69"/>
        <v>1187.9671232876717</v>
      </c>
      <c r="KT51" s="51">
        <f t="shared" si="69"/>
        <v>1187.1649315068498</v>
      </c>
      <c r="KU51" s="51">
        <f t="shared" si="69"/>
        <v>1186.3627397260279</v>
      </c>
      <c r="KV51" s="51">
        <f t="shared" ref="KV51:LK53" si="70">KU51-$S51</f>
        <v>1185.5605479452061</v>
      </c>
      <c r="KW51" s="51">
        <f t="shared" si="70"/>
        <v>1184.7583561643842</v>
      </c>
      <c r="KX51" s="51">
        <f t="shared" si="70"/>
        <v>1183.9561643835623</v>
      </c>
      <c r="KY51" s="51">
        <f t="shared" si="70"/>
        <v>1183.1539726027404</v>
      </c>
      <c r="KZ51" s="51">
        <f t="shared" si="70"/>
        <v>1182.3517808219185</v>
      </c>
      <c r="LA51" s="51">
        <f t="shared" si="70"/>
        <v>1181.5495890410966</v>
      </c>
      <c r="LB51" s="51">
        <f t="shared" si="70"/>
        <v>1180.7473972602747</v>
      </c>
      <c r="LC51" s="51">
        <f t="shared" si="70"/>
        <v>1179.9452054794529</v>
      </c>
      <c r="LD51" s="51">
        <f t="shared" si="70"/>
        <v>1179.143013698631</v>
      </c>
      <c r="LE51" s="51">
        <f t="shared" si="70"/>
        <v>1178.3408219178091</v>
      </c>
      <c r="LF51" s="51">
        <f t="shared" si="70"/>
        <v>1177.5386301369872</v>
      </c>
      <c r="LG51" s="51">
        <f t="shared" si="70"/>
        <v>1176.7364383561653</v>
      </c>
      <c r="LH51" s="51">
        <f t="shared" si="70"/>
        <v>1175.9342465753434</v>
      </c>
      <c r="LI51" s="51">
        <f t="shared" si="70"/>
        <v>1175.1320547945215</v>
      </c>
      <c r="LJ51" s="51">
        <f t="shared" si="70"/>
        <v>1174.3298630136997</v>
      </c>
      <c r="LK51" s="51">
        <f t="shared" si="70"/>
        <v>1173.5276712328778</v>
      </c>
      <c r="LL51" s="51">
        <f t="shared" ref="LL51:NU53" si="71">LK51-$S51</f>
        <v>1172.7254794520559</v>
      </c>
      <c r="LM51" s="51">
        <f t="shared" si="71"/>
        <v>1171.923287671234</v>
      </c>
      <c r="LN51" s="51">
        <f t="shared" si="71"/>
        <v>1171.1210958904121</v>
      </c>
      <c r="LO51" s="51">
        <f t="shared" si="71"/>
        <v>1170.3189041095902</v>
      </c>
      <c r="LP51" s="51">
        <f t="shared" si="71"/>
        <v>1169.5167123287683</v>
      </c>
      <c r="LQ51" s="51">
        <f t="shared" si="71"/>
        <v>1168.7145205479464</v>
      </c>
      <c r="LR51" s="51">
        <f t="shared" si="71"/>
        <v>1167.9123287671246</v>
      </c>
      <c r="LS51" s="51">
        <f t="shared" si="71"/>
        <v>1167.1101369863027</v>
      </c>
      <c r="LT51" s="51">
        <f t="shared" si="71"/>
        <v>1166.3079452054808</v>
      </c>
      <c r="LU51" s="51">
        <f t="shared" si="71"/>
        <v>1165.5057534246589</v>
      </c>
      <c r="LV51" s="51">
        <f t="shared" si="71"/>
        <v>1164.703561643837</v>
      </c>
      <c r="LW51" s="51">
        <f t="shared" si="71"/>
        <v>1163.9013698630151</v>
      </c>
      <c r="LX51" s="51">
        <f t="shared" si="71"/>
        <v>1163.0991780821932</v>
      </c>
      <c r="LY51" s="51">
        <f t="shared" si="71"/>
        <v>1162.2969863013714</v>
      </c>
      <c r="LZ51" s="51">
        <f t="shared" si="71"/>
        <v>1161.4947945205495</v>
      </c>
      <c r="MA51" s="51">
        <f t="shared" si="71"/>
        <v>1160.6926027397276</v>
      </c>
      <c r="MB51" s="51">
        <f t="shared" si="71"/>
        <v>1159.8904109589057</v>
      </c>
      <c r="MC51" s="51">
        <f t="shared" si="71"/>
        <v>1159.0882191780838</v>
      </c>
      <c r="MD51" s="51">
        <f t="shared" si="71"/>
        <v>1158.2860273972619</v>
      </c>
      <c r="ME51" s="51">
        <f t="shared" si="71"/>
        <v>1157.48383561644</v>
      </c>
      <c r="MF51" s="51">
        <f t="shared" si="71"/>
        <v>1156.6816438356182</v>
      </c>
      <c r="MG51" s="51">
        <f t="shared" si="71"/>
        <v>1155.8794520547963</v>
      </c>
      <c r="MH51" s="51">
        <f t="shared" si="71"/>
        <v>1155.0772602739744</v>
      </c>
      <c r="MI51" s="51">
        <f t="shared" si="71"/>
        <v>1154.2750684931525</v>
      </c>
      <c r="MJ51" s="51">
        <f t="shared" si="71"/>
        <v>1153.4728767123306</v>
      </c>
      <c r="MK51" s="51">
        <f t="shared" si="71"/>
        <v>1152.6706849315087</v>
      </c>
      <c r="ML51" s="51">
        <f t="shared" si="71"/>
        <v>1151.8684931506868</v>
      </c>
      <c r="MM51" s="51">
        <f t="shared" si="71"/>
        <v>1151.066301369865</v>
      </c>
      <c r="MN51" s="51">
        <f t="shared" si="71"/>
        <v>1150.2641095890431</v>
      </c>
      <c r="MO51" s="51">
        <f t="shared" si="71"/>
        <v>1149.4619178082212</v>
      </c>
      <c r="MP51" s="51">
        <f t="shared" si="71"/>
        <v>1148.6597260273993</v>
      </c>
      <c r="MQ51" s="51">
        <f t="shared" si="71"/>
        <v>1147.8575342465774</v>
      </c>
      <c r="MR51" s="51">
        <f t="shared" si="71"/>
        <v>1147.0553424657555</v>
      </c>
      <c r="MS51" s="51">
        <f t="shared" si="71"/>
        <v>1146.2531506849336</v>
      </c>
      <c r="MT51" s="51">
        <f t="shared" si="71"/>
        <v>1145.4509589041118</v>
      </c>
      <c r="MU51" s="51">
        <f t="shared" si="71"/>
        <v>1144.6487671232899</v>
      </c>
      <c r="MV51" s="51">
        <f t="shared" si="71"/>
        <v>1143.846575342468</v>
      </c>
      <c r="MW51" s="51">
        <f t="shared" si="71"/>
        <v>1143.0443835616461</v>
      </c>
      <c r="MX51" s="51">
        <f t="shared" si="71"/>
        <v>1142.2421917808242</v>
      </c>
      <c r="MY51" s="51">
        <f t="shared" si="71"/>
        <v>1141.4400000000023</v>
      </c>
      <c r="MZ51" s="51">
        <f t="shared" si="71"/>
        <v>1140.6378082191804</v>
      </c>
      <c r="NA51" s="51">
        <f t="shared" si="71"/>
        <v>1139.8356164383586</v>
      </c>
      <c r="NB51" s="51">
        <f t="shared" si="71"/>
        <v>1139.0334246575367</v>
      </c>
      <c r="NC51" s="51">
        <f t="shared" si="71"/>
        <v>1138.2312328767148</v>
      </c>
      <c r="ND51" s="51">
        <f t="shared" si="71"/>
        <v>1137.4290410958929</v>
      </c>
      <c r="NE51" s="51">
        <f t="shared" si="71"/>
        <v>1136.626849315071</v>
      </c>
      <c r="NF51" s="51">
        <f t="shared" si="71"/>
        <v>1135.8246575342491</v>
      </c>
      <c r="NG51" s="51">
        <f t="shared" si="71"/>
        <v>1135.0224657534272</v>
      </c>
      <c r="NH51" s="51">
        <f t="shared" si="71"/>
        <v>1134.2202739726054</v>
      </c>
      <c r="NI51" s="51">
        <f t="shared" si="71"/>
        <v>1133.4180821917835</v>
      </c>
      <c r="NJ51" s="51">
        <f t="shared" si="71"/>
        <v>1132.6158904109616</v>
      </c>
      <c r="NK51" s="51">
        <f t="shared" si="71"/>
        <v>1131.8136986301397</v>
      </c>
      <c r="NL51" s="51">
        <f t="shared" si="71"/>
        <v>1131.0115068493178</v>
      </c>
      <c r="NM51" s="51">
        <f t="shared" si="71"/>
        <v>1130.2093150684959</v>
      </c>
      <c r="NN51" s="51">
        <f t="shared" si="71"/>
        <v>1129.407123287674</v>
      </c>
      <c r="NO51" s="51">
        <f t="shared" si="71"/>
        <v>1128.6049315068522</v>
      </c>
      <c r="NP51" s="51">
        <f t="shared" si="71"/>
        <v>1127.8027397260303</v>
      </c>
      <c r="NQ51" s="51">
        <f t="shared" si="71"/>
        <v>1127.0005479452084</v>
      </c>
      <c r="NR51" s="51">
        <f t="shared" si="71"/>
        <v>1126.1983561643865</v>
      </c>
      <c r="NS51" s="51">
        <f t="shared" si="71"/>
        <v>1125.3961643835646</v>
      </c>
      <c r="NT51" s="51">
        <f t="shared" si="71"/>
        <v>1124.5939726027427</v>
      </c>
      <c r="NU51" s="51">
        <f t="shared" si="71"/>
        <v>1123.7917808219208</v>
      </c>
    </row>
    <row r="52" spans="1:385" x14ac:dyDescent="0.25">
      <c r="A52" s="28">
        <v>50</v>
      </c>
      <c r="B52" s="28" t="s">
        <v>42</v>
      </c>
      <c r="C52" s="28" t="s">
        <v>17</v>
      </c>
      <c r="D52" s="28" t="s">
        <v>18</v>
      </c>
      <c r="E52" s="28">
        <v>1</v>
      </c>
      <c r="F52" s="28">
        <v>45</v>
      </c>
      <c r="G52" s="28">
        <v>5</v>
      </c>
      <c r="H52" s="50">
        <f t="shared" si="6"/>
        <v>50</v>
      </c>
      <c r="I52" s="28">
        <v>14</v>
      </c>
      <c r="J52" s="54">
        <v>270</v>
      </c>
      <c r="K52" s="28">
        <f t="shared" si="14"/>
        <v>284</v>
      </c>
      <c r="L52" s="49">
        <f t="shared" si="7"/>
        <v>42014</v>
      </c>
      <c r="M52" s="51">
        <f t="shared" si="8"/>
        <v>80</v>
      </c>
      <c r="N52" s="51">
        <v>1200</v>
      </c>
      <c r="O52" s="28">
        <v>24.4</v>
      </c>
      <c r="P52" s="28">
        <f t="shared" si="65"/>
        <v>907.2</v>
      </c>
      <c r="Q52" s="52">
        <f t="shared" si="66"/>
        <v>384564</v>
      </c>
      <c r="R52" s="52">
        <f t="shared" si="67"/>
        <v>7691.28</v>
      </c>
      <c r="S52" s="28">
        <f t="shared" si="68"/>
        <v>0.80219178082191767</v>
      </c>
      <c r="KS52" s="51">
        <f>N52</f>
        <v>1200</v>
      </c>
      <c r="KT52" s="51">
        <f t="shared" si="69"/>
        <v>1199.1978082191781</v>
      </c>
      <c r="KU52" s="51">
        <f t="shared" si="69"/>
        <v>1198.3956164383562</v>
      </c>
      <c r="KV52" s="51">
        <f t="shared" si="70"/>
        <v>1197.5934246575343</v>
      </c>
      <c r="KW52" s="51">
        <f t="shared" si="70"/>
        <v>1196.7912328767125</v>
      </c>
      <c r="KX52" s="51">
        <f t="shared" si="70"/>
        <v>1195.9890410958906</v>
      </c>
      <c r="KY52" s="51">
        <f t="shared" si="70"/>
        <v>1195.1868493150687</v>
      </c>
      <c r="KZ52" s="51">
        <f t="shared" si="70"/>
        <v>1194.3846575342468</v>
      </c>
      <c r="LA52" s="51">
        <f t="shared" si="70"/>
        <v>1193.5824657534249</v>
      </c>
      <c r="LB52" s="51">
        <f t="shared" si="70"/>
        <v>1192.780273972603</v>
      </c>
      <c r="LC52" s="51">
        <f t="shared" si="70"/>
        <v>1191.9780821917811</v>
      </c>
      <c r="LD52" s="51">
        <f t="shared" si="70"/>
        <v>1191.1758904109593</v>
      </c>
      <c r="LE52" s="51">
        <f t="shared" si="70"/>
        <v>1190.3736986301374</v>
      </c>
      <c r="LF52" s="51">
        <f t="shared" si="70"/>
        <v>1189.5715068493155</v>
      </c>
      <c r="LG52" s="51">
        <f t="shared" si="70"/>
        <v>1188.7693150684936</v>
      </c>
      <c r="LH52" s="51">
        <f t="shared" si="70"/>
        <v>1187.9671232876717</v>
      </c>
      <c r="LI52" s="51">
        <f t="shared" si="70"/>
        <v>1187.1649315068498</v>
      </c>
      <c r="LJ52" s="51">
        <f t="shared" si="70"/>
        <v>1186.3627397260279</v>
      </c>
      <c r="LK52" s="51">
        <f t="shared" si="70"/>
        <v>1185.5605479452061</v>
      </c>
      <c r="LL52" s="51">
        <f t="shared" si="71"/>
        <v>1184.7583561643842</v>
      </c>
      <c r="LM52" s="51">
        <f t="shared" si="71"/>
        <v>1183.9561643835623</v>
      </c>
      <c r="LN52" s="51">
        <f t="shared" si="71"/>
        <v>1183.1539726027404</v>
      </c>
      <c r="LO52" s="51">
        <f t="shared" si="71"/>
        <v>1182.3517808219185</v>
      </c>
      <c r="LP52" s="51">
        <f t="shared" si="71"/>
        <v>1181.5495890410966</v>
      </c>
      <c r="LQ52" s="51">
        <f t="shared" si="71"/>
        <v>1180.7473972602747</v>
      </c>
      <c r="LR52" s="51">
        <f t="shared" si="71"/>
        <v>1179.9452054794529</v>
      </c>
      <c r="LS52" s="51">
        <f t="shared" si="71"/>
        <v>1179.143013698631</v>
      </c>
      <c r="LT52" s="51">
        <f t="shared" si="71"/>
        <v>1178.3408219178091</v>
      </c>
      <c r="LU52" s="51">
        <f t="shared" si="71"/>
        <v>1177.5386301369872</v>
      </c>
      <c r="LV52" s="51">
        <f t="shared" si="71"/>
        <v>1176.7364383561653</v>
      </c>
      <c r="LW52" s="51">
        <f t="shared" si="71"/>
        <v>1175.9342465753434</v>
      </c>
      <c r="LX52" s="51">
        <f t="shared" si="71"/>
        <v>1175.1320547945215</v>
      </c>
      <c r="LY52" s="51">
        <f t="shared" si="71"/>
        <v>1174.3298630136997</v>
      </c>
      <c r="LZ52" s="51">
        <f t="shared" si="71"/>
        <v>1173.5276712328778</v>
      </c>
      <c r="MA52" s="51">
        <f t="shared" si="71"/>
        <v>1172.7254794520559</v>
      </c>
      <c r="MB52" s="51">
        <f t="shared" si="71"/>
        <v>1171.923287671234</v>
      </c>
      <c r="MC52" s="51">
        <f t="shared" si="71"/>
        <v>1171.1210958904121</v>
      </c>
      <c r="MD52" s="51">
        <f t="shared" si="71"/>
        <v>1170.3189041095902</v>
      </c>
      <c r="ME52" s="51">
        <f t="shared" si="71"/>
        <v>1169.5167123287683</v>
      </c>
      <c r="MF52" s="51">
        <f t="shared" si="71"/>
        <v>1168.7145205479464</v>
      </c>
      <c r="MG52" s="51">
        <f t="shared" si="71"/>
        <v>1167.9123287671246</v>
      </c>
      <c r="MH52" s="51">
        <f t="shared" si="71"/>
        <v>1167.1101369863027</v>
      </c>
      <c r="MI52" s="51">
        <f t="shared" si="71"/>
        <v>1166.3079452054808</v>
      </c>
      <c r="MJ52" s="51">
        <f t="shared" si="71"/>
        <v>1165.5057534246589</v>
      </c>
      <c r="MK52" s="51">
        <f t="shared" si="71"/>
        <v>1164.703561643837</v>
      </c>
      <c r="ML52" s="51">
        <f t="shared" si="71"/>
        <v>1163.9013698630151</v>
      </c>
      <c r="MM52" s="51">
        <f t="shared" si="71"/>
        <v>1163.0991780821932</v>
      </c>
      <c r="MN52" s="51">
        <f t="shared" si="71"/>
        <v>1162.2969863013714</v>
      </c>
      <c r="MO52" s="51">
        <f t="shared" si="71"/>
        <v>1161.4947945205495</v>
      </c>
      <c r="MP52" s="51">
        <f t="shared" si="71"/>
        <v>1160.6926027397276</v>
      </c>
      <c r="MQ52" s="51">
        <f t="shared" si="71"/>
        <v>1159.8904109589057</v>
      </c>
      <c r="MR52" s="51">
        <f t="shared" si="71"/>
        <v>1159.0882191780838</v>
      </c>
      <c r="MS52" s="51">
        <f t="shared" si="71"/>
        <v>1158.2860273972619</v>
      </c>
      <c r="MT52" s="51">
        <f t="shared" si="71"/>
        <v>1157.48383561644</v>
      </c>
      <c r="MU52" s="51">
        <f t="shared" si="71"/>
        <v>1156.6816438356182</v>
      </c>
      <c r="MV52" s="51">
        <f t="shared" si="71"/>
        <v>1155.8794520547963</v>
      </c>
      <c r="MW52" s="51">
        <f t="shared" si="71"/>
        <v>1155.0772602739744</v>
      </c>
      <c r="MX52" s="51">
        <f t="shared" si="71"/>
        <v>1154.2750684931525</v>
      </c>
      <c r="MY52" s="51">
        <f t="shared" si="71"/>
        <v>1153.4728767123306</v>
      </c>
      <c r="MZ52" s="51">
        <f t="shared" si="71"/>
        <v>1152.6706849315087</v>
      </c>
      <c r="NA52" s="51">
        <f t="shared" si="71"/>
        <v>1151.8684931506868</v>
      </c>
      <c r="NB52" s="51">
        <f t="shared" si="71"/>
        <v>1151.066301369865</v>
      </c>
      <c r="NC52" s="51">
        <f t="shared" si="71"/>
        <v>1150.2641095890431</v>
      </c>
      <c r="ND52" s="51">
        <f t="shared" si="71"/>
        <v>1149.4619178082212</v>
      </c>
      <c r="NE52" s="51">
        <f t="shared" si="71"/>
        <v>1148.6597260273993</v>
      </c>
      <c r="NF52" s="51">
        <f t="shared" si="71"/>
        <v>1147.8575342465774</v>
      </c>
      <c r="NG52" s="51">
        <f t="shared" si="71"/>
        <v>1147.0553424657555</v>
      </c>
      <c r="NH52" s="51">
        <f t="shared" si="71"/>
        <v>1146.2531506849336</v>
      </c>
      <c r="NI52" s="51">
        <f t="shared" si="71"/>
        <v>1145.4509589041118</v>
      </c>
      <c r="NJ52" s="51">
        <f t="shared" si="71"/>
        <v>1144.6487671232899</v>
      </c>
      <c r="NK52" s="51">
        <f t="shared" si="71"/>
        <v>1143.846575342468</v>
      </c>
      <c r="NL52" s="51">
        <f t="shared" si="71"/>
        <v>1143.0443835616461</v>
      </c>
      <c r="NM52" s="51">
        <f t="shared" si="71"/>
        <v>1142.2421917808242</v>
      </c>
      <c r="NN52" s="51">
        <f t="shared" si="71"/>
        <v>1141.4400000000023</v>
      </c>
      <c r="NO52" s="51">
        <f t="shared" si="71"/>
        <v>1140.6378082191804</v>
      </c>
      <c r="NP52" s="51">
        <f t="shared" si="71"/>
        <v>1139.8356164383586</v>
      </c>
      <c r="NQ52" s="51">
        <f t="shared" si="71"/>
        <v>1139.0334246575367</v>
      </c>
      <c r="NR52" s="51">
        <f t="shared" si="71"/>
        <v>1138.2312328767148</v>
      </c>
      <c r="NS52" s="51">
        <f t="shared" si="71"/>
        <v>1137.4290410958929</v>
      </c>
      <c r="NT52" s="51">
        <f t="shared" si="71"/>
        <v>1136.626849315071</v>
      </c>
      <c r="NU52" s="51">
        <f t="shared" si="71"/>
        <v>1135.8246575342491</v>
      </c>
    </row>
    <row r="53" spans="1:385" x14ac:dyDescent="0.25">
      <c r="A53" s="28">
        <v>51</v>
      </c>
      <c r="B53" s="28" t="s">
        <v>42</v>
      </c>
      <c r="C53" s="28" t="s">
        <v>17</v>
      </c>
      <c r="D53" s="28" t="s">
        <v>596</v>
      </c>
      <c r="E53" s="28">
        <v>1</v>
      </c>
      <c r="F53" s="28">
        <v>50</v>
      </c>
      <c r="G53" s="28">
        <v>5</v>
      </c>
      <c r="H53" s="50">
        <f t="shared" si="6"/>
        <v>55</v>
      </c>
      <c r="I53" s="28">
        <v>14</v>
      </c>
      <c r="J53" s="54">
        <v>280</v>
      </c>
      <c r="K53" s="28">
        <f t="shared" si="14"/>
        <v>294</v>
      </c>
      <c r="L53" s="49">
        <f t="shared" si="7"/>
        <v>42024</v>
      </c>
      <c r="M53" s="51">
        <f t="shared" si="8"/>
        <v>70</v>
      </c>
      <c r="N53" s="51">
        <v>1200</v>
      </c>
      <c r="O53" s="28">
        <v>24.4</v>
      </c>
      <c r="P53" s="28">
        <f t="shared" si="65"/>
        <v>907.2</v>
      </c>
      <c r="Q53" s="52">
        <f t="shared" si="66"/>
        <v>384564</v>
      </c>
      <c r="R53" s="52">
        <f t="shared" si="67"/>
        <v>6992.0727272727272</v>
      </c>
      <c r="S53" s="28">
        <f t="shared" si="68"/>
        <v>0.80219178082191767</v>
      </c>
      <c r="LC53" s="51">
        <f>N53</f>
        <v>1200</v>
      </c>
      <c r="LD53" s="51">
        <f t="shared" si="70"/>
        <v>1199.1978082191781</v>
      </c>
      <c r="LE53" s="51">
        <f t="shared" si="70"/>
        <v>1198.3956164383562</v>
      </c>
      <c r="LF53" s="51">
        <f t="shared" si="70"/>
        <v>1197.5934246575343</v>
      </c>
      <c r="LG53" s="51">
        <f t="shared" si="70"/>
        <v>1196.7912328767125</v>
      </c>
      <c r="LH53" s="51">
        <f t="shared" si="70"/>
        <v>1195.9890410958906</v>
      </c>
      <c r="LI53" s="51">
        <f t="shared" si="70"/>
        <v>1195.1868493150687</v>
      </c>
      <c r="LJ53" s="51">
        <f t="shared" si="70"/>
        <v>1194.3846575342468</v>
      </c>
      <c r="LK53" s="51">
        <f t="shared" si="70"/>
        <v>1193.5824657534249</v>
      </c>
      <c r="LL53" s="51">
        <f t="shared" si="71"/>
        <v>1192.780273972603</v>
      </c>
      <c r="LM53" s="51">
        <f t="shared" si="71"/>
        <v>1191.9780821917811</v>
      </c>
      <c r="LN53" s="51">
        <f t="shared" si="71"/>
        <v>1191.1758904109593</v>
      </c>
      <c r="LO53" s="51">
        <f t="shared" si="71"/>
        <v>1190.3736986301374</v>
      </c>
      <c r="LP53" s="51">
        <f t="shared" si="71"/>
        <v>1189.5715068493155</v>
      </c>
      <c r="LQ53" s="51">
        <f t="shared" si="71"/>
        <v>1188.7693150684936</v>
      </c>
      <c r="LR53" s="51">
        <f t="shared" si="71"/>
        <v>1187.9671232876717</v>
      </c>
      <c r="LS53" s="51">
        <f t="shared" si="71"/>
        <v>1187.1649315068498</v>
      </c>
      <c r="LT53" s="51">
        <f t="shared" si="71"/>
        <v>1186.3627397260279</v>
      </c>
      <c r="LU53" s="51">
        <f t="shared" si="71"/>
        <v>1185.5605479452061</v>
      </c>
      <c r="LV53" s="51">
        <f t="shared" si="71"/>
        <v>1184.7583561643842</v>
      </c>
      <c r="LW53" s="51">
        <f t="shared" si="71"/>
        <v>1183.9561643835623</v>
      </c>
      <c r="LX53" s="51">
        <f t="shared" si="71"/>
        <v>1183.1539726027404</v>
      </c>
      <c r="LY53" s="51">
        <f t="shared" si="71"/>
        <v>1182.3517808219185</v>
      </c>
      <c r="LZ53" s="51">
        <f t="shared" si="71"/>
        <v>1181.5495890410966</v>
      </c>
      <c r="MA53" s="51">
        <f t="shared" si="71"/>
        <v>1180.7473972602747</v>
      </c>
      <c r="MB53" s="51">
        <f t="shared" si="71"/>
        <v>1179.9452054794529</v>
      </c>
      <c r="MC53" s="51">
        <f t="shared" si="71"/>
        <v>1179.143013698631</v>
      </c>
      <c r="MD53" s="51">
        <f t="shared" si="71"/>
        <v>1178.3408219178091</v>
      </c>
      <c r="ME53" s="51">
        <f t="shared" si="71"/>
        <v>1177.5386301369872</v>
      </c>
      <c r="MF53" s="51">
        <f t="shared" si="71"/>
        <v>1176.7364383561653</v>
      </c>
      <c r="MG53" s="51">
        <f t="shared" si="71"/>
        <v>1175.9342465753434</v>
      </c>
      <c r="MH53" s="51">
        <f t="shared" si="71"/>
        <v>1175.1320547945215</v>
      </c>
      <c r="MI53" s="51">
        <f t="shared" si="71"/>
        <v>1174.3298630136997</v>
      </c>
      <c r="MJ53" s="51">
        <f t="shared" si="71"/>
        <v>1173.5276712328778</v>
      </c>
      <c r="MK53" s="51">
        <f t="shared" si="71"/>
        <v>1172.7254794520559</v>
      </c>
      <c r="ML53" s="51">
        <f t="shared" si="71"/>
        <v>1171.923287671234</v>
      </c>
      <c r="MM53" s="51">
        <f t="shared" si="71"/>
        <v>1171.1210958904121</v>
      </c>
      <c r="MN53" s="51">
        <f t="shared" si="71"/>
        <v>1170.3189041095902</v>
      </c>
      <c r="MO53" s="51">
        <f t="shared" si="71"/>
        <v>1169.5167123287683</v>
      </c>
      <c r="MP53" s="51">
        <f t="shared" si="71"/>
        <v>1168.7145205479464</v>
      </c>
      <c r="MQ53" s="51">
        <f t="shared" si="71"/>
        <v>1167.9123287671246</v>
      </c>
      <c r="MR53" s="51">
        <f t="shared" si="71"/>
        <v>1167.1101369863027</v>
      </c>
      <c r="MS53" s="51">
        <f t="shared" si="71"/>
        <v>1166.3079452054808</v>
      </c>
      <c r="MT53" s="51">
        <f t="shared" si="71"/>
        <v>1165.5057534246589</v>
      </c>
      <c r="MU53" s="51">
        <f t="shared" si="71"/>
        <v>1164.703561643837</v>
      </c>
      <c r="MV53" s="51">
        <f t="shared" si="71"/>
        <v>1163.9013698630151</v>
      </c>
      <c r="MW53" s="51">
        <f t="shared" si="71"/>
        <v>1163.0991780821932</v>
      </c>
      <c r="MX53" s="51">
        <f t="shared" si="71"/>
        <v>1162.2969863013714</v>
      </c>
      <c r="MY53" s="51">
        <f t="shared" si="71"/>
        <v>1161.4947945205495</v>
      </c>
      <c r="MZ53" s="51">
        <f t="shared" si="71"/>
        <v>1160.6926027397276</v>
      </c>
      <c r="NA53" s="51">
        <f t="shared" si="71"/>
        <v>1159.8904109589057</v>
      </c>
      <c r="NB53" s="51">
        <f t="shared" si="71"/>
        <v>1159.0882191780838</v>
      </c>
      <c r="NC53" s="51">
        <f t="shared" si="71"/>
        <v>1158.2860273972619</v>
      </c>
      <c r="ND53" s="51">
        <f t="shared" si="71"/>
        <v>1157.48383561644</v>
      </c>
      <c r="NE53" s="51">
        <f t="shared" si="71"/>
        <v>1156.6816438356182</v>
      </c>
      <c r="NF53" s="51">
        <f t="shared" si="71"/>
        <v>1155.8794520547963</v>
      </c>
      <c r="NG53" s="51">
        <f t="shared" si="71"/>
        <v>1155.0772602739744</v>
      </c>
      <c r="NH53" s="51">
        <f t="shared" si="71"/>
        <v>1154.2750684931525</v>
      </c>
      <c r="NI53" s="51">
        <f t="shared" si="71"/>
        <v>1153.4728767123306</v>
      </c>
      <c r="NJ53" s="51">
        <f t="shared" si="71"/>
        <v>1152.6706849315087</v>
      </c>
      <c r="NK53" s="51">
        <f t="shared" si="71"/>
        <v>1151.8684931506868</v>
      </c>
      <c r="NL53" s="51">
        <f t="shared" si="71"/>
        <v>1151.066301369865</v>
      </c>
      <c r="NM53" s="51">
        <f t="shared" si="71"/>
        <v>1150.2641095890431</v>
      </c>
      <c r="NN53" s="51">
        <f t="shared" si="71"/>
        <v>1149.4619178082212</v>
      </c>
      <c r="NO53" s="51">
        <f t="shared" si="71"/>
        <v>1148.6597260273993</v>
      </c>
      <c r="NP53" s="51">
        <f t="shared" si="71"/>
        <v>1147.8575342465774</v>
      </c>
      <c r="NQ53" s="51">
        <f t="shared" si="71"/>
        <v>1147.0553424657555</v>
      </c>
      <c r="NR53" s="51">
        <f t="shared" si="71"/>
        <v>1146.2531506849336</v>
      </c>
      <c r="NS53" s="51">
        <f t="shared" si="71"/>
        <v>1145.4509589041118</v>
      </c>
      <c r="NT53" s="51">
        <f t="shared" si="71"/>
        <v>1144.6487671232899</v>
      </c>
      <c r="NU53" s="51">
        <f t="shared" si="71"/>
        <v>1143.846575342468</v>
      </c>
    </row>
    <row r="54" spans="1:385" ht="15.75" thickBot="1" x14ac:dyDescent="0.3">
      <c r="A54" s="55">
        <v>52</v>
      </c>
      <c r="B54" s="55" t="s">
        <v>11</v>
      </c>
      <c r="C54" s="55" t="s">
        <v>17</v>
      </c>
      <c r="D54" s="55" t="s">
        <v>598</v>
      </c>
      <c r="E54" s="55">
        <v>1</v>
      </c>
      <c r="F54" s="55">
        <v>40</v>
      </c>
      <c r="G54" s="55">
        <v>5</v>
      </c>
      <c r="H54" s="50">
        <f t="shared" si="6"/>
        <v>45</v>
      </c>
      <c r="I54" s="55">
        <v>14</v>
      </c>
      <c r="J54" s="54">
        <v>270</v>
      </c>
      <c r="K54" s="28">
        <f t="shared" si="14"/>
        <v>284</v>
      </c>
      <c r="L54" s="49">
        <f t="shared" si="7"/>
        <v>42014</v>
      </c>
      <c r="M54" s="51">
        <f t="shared" si="8"/>
        <v>80</v>
      </c>
      <c r="N54" s="51">
        <v>0</v>
      </c>
    </row>
    <row r="55" spans="1:385" ht="15.75" thickTop="1" x14ac:dyDescent="0.25">
      <c r="A55" s="28">
        <v>53</v>
      </c>
      <c r="B55" s="28" t="s">
        <v>11</v>
      </c>
      <c r="C55" s="28" t="s">
        <v>17</v>
      </c>
      <c r="D55" s="28" t="s">
        <v>598</v>
      </c>
      <c r="E55" s="28">
        <v>1</v>
      </c>
      <c r="F55" s="28">
        <v>40</v>
      </c>
      <c r="G55" s="28">
        <v>5</v>
      </c>
      <c r="H55" s="50">
        <f t="shared" si="6"/>
        <v>45</v>
      </c>
      <c r="I55" s="28">
        <v>14</v>
      </c>
      <c r="J55" s="54">
        <v>270</v>
      </c>
      <c r="K55" s="28">
        <f t="shared" si="14"/>
        <v>284</v>
      </c>
      <c r="L55" s="49">
        <f t="shared" si="7"/>
        <v>42014</v>
      </c>
      <c r="M55" s="51">
        <f t="shared" si="8"/>
        <v>80</v>
      </c>
      <c r="N55" s="51">
        <v>0</v>
      </c>
    </row>
    <row r="56" spans="1:385" x14ac:dyDescent="0.25">
      <c r="A56" s="28">
        <v>54</v>
      </c>
      <c r="B56" s="28" t="s">
        <v>11</v>
      </c>
      <c r="C56" s="28" t="s">
        <v>17</v>
      </c>
      <c r="D56" s="28" t="s">
        <v>598</v>
      </c>
      <c r="E56" s="28">
        <v>1</v>
      </c>
      <c r="F56" s="28">
        <v>40</v>
      </c>
      <c r="G56" s="28">
        <v>5</v>
      </c>
      <c r="H56" s="50">
        <f t="shared" si="6"/>
        <v>45</v>
      </c>
      <c r="I56" s="28">
        <v>14</v>
      </c>
      <c r="J56" s="54">
        <v>280</v>
      </c>
      <c r="K56" s="28">
        <f t="shared" si="14"/>
        <v>294</v>
      </c>
      <c r="L56" s="49">
        <f t="shared" si="7"/>
        <v>42024</v>
      </c>
      <c r="M56" s="51">
        <f t="shared" si="8"/>
        <v>70</v>
      </c>
      <c r="N56" s="51">
        <v>0</v>
      </c>
    </row>
    <row r="57" spans="1:385" x14ac:dyDescent="0.25">
      <c r="A57" s="28">
        <v>55</v>
      </c>
      <c r="B57" s="28" t="s">
        <v>11</v>
      </c>
      <c r="C57" s="28" t="s">
        <v>17</v>
      </c>
      <c r="D57" s="28" t="s">
        <v>596</v>
      </c>
      <c r="E57" s="28">
        <v>1</v>
      </c>
      <c r="F57" s="28">
        <v>45</v>
      </c>
      <c r="G57" s="28">
        <v>5</v>
      </c>
      <c r="H57" s="50">
        <f t="shared" si="6"/>
        <v>50</v>
      </c>
      <c r="I57" s="28">
        <v>14</v>
      </c>
      <c r="J57" s="54">
        <v>280</v>
      </c>
      <c r="K57" s="28">
        <f t="shared" si="14"/>
        <v>294</v>
      </c>
      <c r="L57" s="49">
        <f t="shared" si="7"/>
        <v>42024</v>
      </c>
      <c r="M57" s="51">
        <f t="shared" si="8"/>
        <v>70</v>
      </c>
      <c r="N57" s="51">
        <v>1200</v>
      </c>
      <c r="O57" s="28">
        <v>24.9</v>
      </c>
      <c r="P57" s="28">
        <f t="shared" ref="P57:P58" si="72">N57*(1-O57/100)</f>
        <v>901.2</v>
      </c>
      <c r="Q57" s="52">
        <f t="shared" ref="Q57:Q58" si="73">N57*365-((S57/2)*365^2)</f>
        <v>383469</v>
      </c>
      <c r="R57" s="52">
        <f t="shared" ref="R57:R58" si="74">Q57/H57</f>
        <v>7669.38</v>
      </c>
      <c r="S57" s="28">
        <f t="shared" ref="S57:S58" si="75">(N57-P57)/365</f>
        <v>0.81863013698630127</v>
      </c>
      <c r="LC57" s="51">
        <f>N57</f>
        <v>1200</v>
      </c>
      <c r="LD57" s="51">
        <f>LC57-$S57</f>
        <v>1199.1813698630137</v>
      </c>
      <c r="LE57" s="51">
        <f t="shared" ref="LE57:LT58" si="76">LD57-$S57</f>
        <v>1198.3627397260275</v>
      </c>
      <c r="LF57" s="51">
        <f t="shared" si="76"/>
        <v>1197.5441095890412</v>
      </c>
      <c r="LG57" s="51">
        <f t="shared" si="76"/>
        <v>1196.725479452055</v>
      </c>
      <c r="LH57" s="51">
        <f t="shared" si="76"/>
        <v>1195.9068493150687</v>
      </c>
      <c r="LI57" s="51">
        <f t="shared" si="76"/>
        <v>1195.0882191780825</v>
      </c>
      <c r="LJ57" s="51">
        <f t="shared" si="76"/>
        <v>1194.2695890410962</v>
      </c>
      <c r="LK57" s="51">
        <f t="shared" si="76"/>
        <v>1193.4509589041099</v>
      </c>
      <c r="LL57" s="51">
        <f t="shared" si="76"/>
        <v>1192.6323287671237</v>
      </c>
      <c r="LM57" s="51">
        <f t="shared" si="76"/>
        <v>1191.8136986301374</v>
      </c>
      <c r="LN57" s="51">
        <f t="shared" si="76"/>
        <v>1190.9950684931512</v>
      </c>
      <c r="LO57" s="51">
        <f t="shared" si="76"/>
        <v>1190.1764383561649</v>
      </c>
      <c r="LP57" s="51">
        <f t="shared" si="76"/>
        <v>1189.3578082191787</v>
      </c>
      <c r="LQ57" s="51">
        <f t="shared" si="76"/>
        <v>1188.5391780821924</v>
      </c>
      <c r="LR57" s="51">
        <f t="shared" si="76"/>
        <v>1187.7205479452061</v>
      </c>
      <c r="LS57" s="51">
        <f t="shared" si="76"/>
        <v>1186.9019178082199</v>
      </c>
      <c r="LT57" s="51">
        <f t="shared" si="76"/>
        <v>1186.0832876712336</v>
      </c>
      <c r="LU57" s="51">
        <f t="shared" ref="LU57:NU62" si="77">LT57-$S57</f>
        <v>1185.2646575342474</v>
      </c>
      <c r="LV57" s="51">
        <f t="shared" si="77"/>
        <v>1184.4460273972611</v>
      </c>
      <c r="LW57" s="51">
        <f t="shared" si="77"/>
        <v>1183.6273972602748</v>
      </c>
      <c r="LX57" s="51">
        <f t="shared" si="77"/>
        <v>1182.8087671232886</v>
      </c>
      <c r="LY57" s="51">
        <f t="shared" si="77"/>
        <v>1181.9901369863023</v>
      </c>
      <c r="LZ57" s="51">
        <f t="shared" si="77"/>
        <v>1181.1715068493161</v>
      </c>
      <c r="MA57" s="51">
        <f t="shared" si="77"/>
        <v>1180.3528767123298</v>
      </c>
      <c r="MB57" s="51">
        <f t="shared" si="77"/>
        <v>1179.5342465753436</v>
      </c>
      <c r="MC57" s="51">
        <f t="shared" si="77"/>
        <v>1178.7156164383573</v>
      </c>
      <c r="MD57" s="51">
        <f t="shared" si="77"/>
        <v>1177.896986301371</v>
      </c>
      <c r="ME57" s="51">
        <f t="shared" si="77"/>
        <v>1177.0783561643848</v>
      </c>
      <c r="MF57" s="51">
        <f t="shared" si="77"/>
        <v>1176.2597260273985</v>
      </c>
      <c r="MG57" s="51">
        <f t="shared" si="77"/>
        <v>1175.4410958904123</v>
      </c>
      <c r="MH57" s="51">
        <f t="shared" si="77"/>
        <v>1174.622465753426</v>
      </c>
      <c r="MI57" s="51">
        <f t="shared" si="77"/>
        <v>1173.8038356164398</v>
      </c>
      <c r="MJ57" s="51">
        <f t="shared" si="77"/>
        <v>1172.9852054794535</v>
      </c>
      <c r="MK57" s="51">
        <f t="shared" si="77"/>
        <v>1172.1665753424672</v>
      </c>
      <c r="ML57" s="51">
        <f t="shared" si="77"/>
        <v>1171.347945205481</v>
      </c>
      <c r="MM57" s="51">
        <f t="shared" si="77"/>
        <v>1170.5293150684947</v>
      </c>
      <c r="MN57" s="51">
        <f t="shared" si="77"/>
        <v>1169.7106849315085</v>
      </c>
      <c r="MO57" s="51">
        <f t="shared" si="77"/>
        <v>1168.8920547945222</v>
      </c>
      <c r="MP57" s="51">
        <f t="shared" si="77"/>
        <v>1168.073424657536</v>
      </c>
      <c r="MQ57" s="51">
        <f t="shared" si="77"/>
        <v>1167.2547945205497</v>
      </c>
      <c r="MR57" s="51">
        <f t="shared" si="77"/>
        <v>1166.4361643835634</v>
      </c>
      <c r="MS57" s="51">
        <f t="shared" si="77"/>
        <v>1165.6175342465772</v>
      </c>
      <c r="MT57" s="51">
        <f t="shared" si="77"/>
        <v>1164.7989041095909</v>
      </c>
      <c r="MU57" s="51">
        <f t="shared" si="77"/>
        <v>1163.9802739726047</v>
      </c>
      <c r="MV57" s="51">
        <f t="shared" si="77"/>
        <v>1163.1616438356184</v>
      </c>
      <c r="MW57" s="51">
        <f t="shared" si="77"/>
        <v>1162.3430136986321</v>
      </c>
      <c r="MX57" s="51">
        <f t="shared" si="77"/>
        <v>1161.5243835616459</v>
      </c>
      <c r="MY57" s="51">
        <f t="shared" si="77"/>
        <v>1160.7057534246596</v>
      </c>
      <c r="MZ57" s="51">
        <f t="shared" si="77"/>
        <v>1159.8871232876734</v>
      </c>
      <c r="NA57" s="51">
        <f t="shared" si="77"/>
        <v>1159.0684931506871</v>
      </c>
      <c r="NB57" s="51">
        <f t="shared" si="77"/>
        <v>1158.2498630137009</v>
      </c>
      <c r="NC57" s="51">
        <f t="shared" si="77"/>
        <v>1157.4312328767146</v>
      </c>
      <c r="ND57" s="51">
        <f t="shared" si="77"/>
        <v>1156.6126027397283</v>
      </c>
      <c r="NE57" s="51">
        <f t="shared" si="77"/>
        <v>1155.7939726027421</v>
      </c>
      <c r="NF57" s="51">
        <f t="shared" si="77"/>
        <v>1154.9753424657558</v>
      </c>
      <c r="NG57" s="51">
        <f t="shared" si="77"/>
        <v>1154.1567123287696</v>
      </c>
      <c r="NH57" s="51">
        <f t="shared" si="77"/>
        <v>1153.3380821917833</v>
      </c>
      <c r="NI57" s="51">
        <f t="shared" si="77"/>
        <v>1152.5194520547971</v>
      </c>
      <c r="NJ57" s="51">
        <f t="shared" si="77"/>
        <v>1151.7008219178108</v>
      </c>
      <c r="NK57" s="51">
        <f t="shared" si="77"/>
        <v>1150.8821917808245</v>
      </c>
      <c r="NL57" s="51">
        <f t="shared" si="77"/>
        <v>1150.0635616438383</v>
      </c>
      <c r="NM57" s="51">
        <f t="shared" si="77"/>
        <v>1149.244931506852</v>
      </c>
      <c r="NN57" s="51">
        <f t="shared" si="77"/>
        <v>1148.4263013698658</v>
      </c>
      <c r="NO57" s="51">
        <f t="shared" si="77"/>
        <v>1147.6076712328795</v>
      </c>
      <c r="NP57" s="51">
        <f t="shared" si="77"/>
        <v>1146.7890410958933</v>
      </c>
      <c r="NQ57" s="51">
        <f t="shared" si="77"/>
        <v>1145.970410958907</v>
      </c>
      <c r="NR57" s="51">
        <f t="shared" si="77"/>
        <v>1145.1517808219207</v>
      </c>
      <c r="NS57" s="51">
        <f t="shared" si="77"/>
        <v>1144.3331506849345</v>
      </c>
      <c r="NT57" s="51">
        <f t="shared" si="77"/>
        <v>1143.5145205479482</v>
      </c>
      <c r="NU57" s="51">
        <f t="shared" si="77"/>
        <v>1142.695890410962</v>
      </c>
    </row>
    <row r="58" spans="1:385" x14ac:dyDescent="0.25">
      <c r="A58" s="28">
        <v>56</v>
      </c>
      <c r="B58" s="28" t="s">
        <v>11</v>
      </c>
      <c r="C58" s="28" t="s">
        <v>17</v>
      </c>
      <c r="D58" s="28" t="s">
        <v>596</v>
      </c>
      <c r="E58" s="28">
        <v>1</v>
      </c>
      <c r="F58" s="28">
        <v>45</v>
      </c>
      <c r="G58" s="28">
        <v>5</v>
      </c>
      <c r="H58" s="50">
        <f t="shared" si="6"/>
        <v>50</v>
      </c>
      <c r="I58" s="28">
        <v>14</v>
      </c>
      <c r="J58" s="54">
        <v>285</v>
      </c>
      <c r="K58" s="28">
        <f t="shared" si="14"/>
        <v>299</v>
      </c>
      <c r="L58" s="49">
        <f t="shared" si="7"/>
        <v>42029</v>
      </c>
      <c r="M58" s="51">
        <f t="shared" si="8"/>
        <v>65</v>
      </c>
      <c r="N58" s="51">
        <v>1200</v>
      </c>
      <c r="O58" s="28">
        <v>24.9</v>
      </c>
      <c r="P58" s="28">
        <f t="shared" si="72"/>
        <v>901.2</v>
      </c>
      <c r="Q58" s="52">
        <f t="shared" si="73"/>
        <v>383469</v>
      </c>
      <c r="R58" s="52">
        <f t="shared" si="74"/>
        <v>7669.38</v>
      </c>
      <c r="S58" s="28">
        <f t="shared" si="75"/>
        <v>0.81863013698630127</v>
      </c>
      <c r="LH58" s="51">
        <f>N58</f>
        <v>1200</v>
      </c>
      <c r="LI58" s="51">
        <f t="shared" si="76"/>
        <v>1199.1813698630137</v>
      </c>
      <c r="LJ58" s="51">
        <f t="shared" si="76"/>
        <v>1198.3627397260275</v>
      </c>
      <c r="LK58" s="51">
        <f t="shared" si="76"/>
        <v>1197.5441095890412</v>
      </c>
      <c r="LL58" s="51">
        <f t="shared" si="76"/>
        <v>1196.725479452055</v>
      </c>
      <c r="LM58" s="51">
        <f t="shared" si="76"/>
        <v>1195.9068493150687</v>
      </c>
      <c r="LN58" s="51">
        <f t="shared" si="76"/>
        <v>1195.0882191780825</v>
      </c>
      <c r="LO58" s="51">
        <f t="shared" si="76"/>
        <v>1194.2695890410962</v>
      </c>
      <c r="LP58" s="51">
        <f t="shared" si="76"/>
        <v>1193.4509589041099</v>
      </c>
      <c r="LQ58" s="51">
        <f t="shared" si="76"/>
        <v>1192.6323287671237</v>
      </c>
      <c r="LR58" s="51">
        <f t="shared" si="76"/>
        <v>1191.8136986301374</v>
      </c>
      <c r="LS58" s="51">
        <f t="shared" si="76"/>
        <v>1190.9950684931512</v>
      </c>
      <c r="LT58" s="51">
        <f t="shared" si="76"/>
        <v>1190.1764383561649</v>
      </c>
      <c r="LU58" s="51">
        <f t="shared" si="77"/>
        <v>1189.3578082191787</v>
      </c>
      <c r="LV58" s="51">
        <f t="shared" si="77"/>
        <v>1188.5391780821924</v>
      </c>
      <c r="LW58" s="51">
        <f t="shared" si="77"/>
        <v>1187.7205479452061</v>
      </c>
      <c r="LX58" s="51">
        <f t="shared" si="77"/>
        <v>1186.9019178082199</v>
      </c>
      <c r="LY58" s="51">
        <f t="shared" si="77"/>
        <v>1186.0832876712336</v>
      </c>
      <c r="LZ58" s="51">
        <f t="shared" si="77"/>
        <v>1185.2646575342474</v>
      </c>
      <c r="MA58" s="51">
        <f t="shared" si="77"/>
        <v>1184.4460273972611</v>
      </c>
      <c r="MB58" s="51">
        <f t="shared" si="77"/>
        <v>1183.6273972602748</v>
      </c>
      <c r="MC58" s="51">
        <f t="shared" si="77"/>
        <v>1182.8087671232886</v>
      </c>
      <c r="MD58" s="51">
        <f t="shared" si="77"/>
        <v>1181.9901369863023</v>
      </c>
      <c r="ME58" s="51">
        <f t="shared" si="77"/>
        <v>1181.1715068493161</v>
      </c>
      <c r="MF58" s="51">
        <f t="shared" si="77"/>
        <v>1180.3528767123298</v>
      </c>
      <c r="MG58" s="51">
        <f t="shared" si="77"/>
        <v>1179.5342465753436</v>
      </c>
      <c r="MH58" s="51">
        <f t="shared" si="77"/>
        <v>1178.7156164383573</v>
      </c>
      <c r="MI58" s="51">
        <f t="shared" si="77"/>
        <v>1177.896986301371</v>
      </c>
      <c r="MJ58" s="51">
        <f t="shared" si="77"/>
        <v>1177.0783561643848</v>
      </c>
      <c r="MK58" s="51">
        <f t="shared" si="77"/>
        <v>1176.2597260273985</v>
      </c>
      <c r="ML58" s="51">
        <f t="shared" si="77"/>
        <v>1175.4410958904123</v>
      </c>
      <c r="MM58" s="51">
        <f t="shared" si="77"/>
        <v>1174.622465753426</v>
      </c>
      <c r="MN58" s="51">
        <f t="shared" si="77"/>
        <v>1173.8038356164398</v>
      </c>
      <c r="MO58" s="51">
        <f t="shared" si="77"/>
        <v>1172.9852054794535</v>
      </c>
      <c r="MP58" s="51">
        <f t="shared" si="77"/>
        <v>1172.1665753424672</v>
      </c>
      <c r="MQ58" s="51">
        <f t="shared" si="77"/>
        <v>1171.347945205481</v>
      </c>
      <c r="MR58" s="51">
        <f t="shared" si="77"/>
        <v>1170.5293150684947</v>
      </c>
      <c r="MS58" s="51">
        <f t="shared" si="77"/>
        <v>1169.7106849315085</v>
      </c>
      <c r="MT58" s="51">
        <f t="shared" si="77"/>
        <v>1168.8920547945222</v>
      </c>
      <c r="MU58" s="51">
        <f t="shared" si="77"/>
        <v>1168.073424657536</v>
      </c>
      <c r="MV58" s="51">
        <f t="shared" si="77"/>
        <v>1167.2547945205497</v>
      </c>
      <c r="MW58" s="51">
        <f t="shared" si="77"/>
        <v>1166.4361643835634</v>
      </c>
      <c r="MX58" s="51">
        <f t="shared" si="77"/>
        <v>1165.6175342465772</v>
      </c>
      <c r="MY58" s="51">
        <f t="shared" si="77"/>
        <v>1164.7989041095909</v>
      </c>
      <c r="MZ58" s="51">
        <f t="shared" si="77"/>
        <v>1163.9802739726047</v>
      </c>
      <c r="NA58" s="51">
        <f t="shared" si="77"/>
        <v>1163.1616438356184</v>
      </c>
      <c r="NB58" s="51">
        <f t="shared" si="77"/>
        <v>1162.3430136986321</v>
      </c>
      <c r="NC58" s="51">
        <f t="shared" si="77"/>
        <v>1161.5243835616459</v>
      </c>
      <c r="ND58" s="51">
        <f t="shared" si="77"/>
        <v>1160.7057534246596</v>
      </c>
      <c r="NE58" s="51">
        <f t="shared" si="77"/>
        <v>1159.8871232876734</v>
      </c>
      <c r="NF58" s="51">
        <f t="shared" si="77"/>
        <v>1159.0684931506871</v>
      </c>
      <c r="NG58" s="51">
        <f t="shared" si="77"/>
        <v>1158.2498630137009</v>
      </c>
      <c r="NH58" s="51">
        <f t="shared" si="77"/>
        <v>1157.4312328767146</v>
      </c>
      <c r="NI58" s="51">
        <f t="shared" si="77"/>
        <v>1156.6126027397283</v>
      </c>
      <c r="NJ58" s="51">
        <f t="shared" si="77"/>
        <v>1155.7939726027421</v>
      </c>
      <c r="NK58" s="51">
        <f t="shared" si="77"/>
        <v>1154.9753424657558</v>
      </c>
      <c r="NL58" s="51">
        <f t="shared" si="77"/>
        <v>1154.1567123287696</v>
      </c>
      <c r="NM58" s="51">
        <f t="shared" si="77"/>
        <v>1153.3380821917833</v>
      </c>
      <c r="NN58" s="51">
        <f t="shared" si="77"/>
        <v>1152.5194520547971</v>
      </c>
      <c r="NO58" s="51">
        <f t="shared" si="77"/>
        <v>1151.7008219178108</v>
      </c>
      <c r="NP58" s="51">
        <f t="shared" si="77"/>
        <v>1150.8821917808245</v>
      </c>
      <c r="NQ58" s="51">
        <f t="shared" si="77"/>
        <v>1150.0635616438383</v>
      </c>
      <c r="NR58" s="51">
        <f t="shared" si="77"/>
        <v>1149.244931506852</v>
      </c>
      <c r="NS58" s="51">
        <f t="shared" si="77"/>
        <v>1148.4263013698658</v>
      </c>
      <c r="NT58" s="51">
        <f t="shared" si="77"/>
        <v>1147.6076712328795</v>
      </c>
      <c r="NU58" s="51">
        <f t="shared" si="77"/>
        <v>1146.7890410958933</v>
      </c>
    </row>
    <row r="59" spans="1:385" x14ac:dyDescent="0.25">
      <c r="A59" s="28">
        <v>57</v>
      </c>
      <c r="B59" s="28" t="s">
        <v>11</v>
      </c>
      <c r="C59" s="28" t="s">
        <v>17</v>
      </c>
      <c r="D59" s="28" t="s">
        <v>601</v>
      </c>
      <c r="E59" s="28">
        <v>1</v>
      </c>
      <c r="F59" s="28">
        <v>30</v>
      </c>
      <c r="G59" s="28">
        <v>5</v>
      </c>
      <c r="H59" s="50">
        <f t="shared" si="6"/>
        <v>35</v>
      </c>
      <c r="I59" s="28">
        <v>14</v>
      </c>
      <c r="J59" s="54">
        <v>275</v>
      </c>
      <c r="K59" s="28">
        <f t="shared" si="14"/>
        <v>289</v>
      </c>
      <c r="L59" s="49">
        <f t="shared" si="7"/>
        <v>42019</v>
      </c>
      <c r="M59" s="51">
        <f t="shared" si="8"/>
        <v>75</v>
      </c>
      <c r="N59" s="51">
        <v>0</v>
      </c>
    </row>
    <row r="60" spans="1:385" x14ac:dyDescent="0.25">
      <c r="A60" s="28">
        <v>58</v>
      </c>
      <c r="B60" s="28" t="s">
        <v>11</v>
      </c>
      <c r="C60" s="28" t="s">
        <v>17</v>
      </c>
      <c r="D60" s="28" t="s">
        <v>18</v>
      </c>
      <c r="E60" s="28">
        <v>1</v>
      </c>
      <c r="F60" s="28">
        <v>45</v>
      </c>
      <c r="G60" s="28">
        <v>5</v>
      </c>
      <c r="H60" s="50">
        <f t="shared" si="6"/>
        <v>50</v>
      </c>
      <c r="I60" s="28">
        <v>14</v>
      </c>
      <c r="J60" s="54">
        <v>300</v>
      </c>
      <c r="K60" s="28">
        <f t="shared" si="14"/>
        <v>314</v>
      </c>
      <c r="L60" s="49">
        <f t="shared" si="7"/>
        <v>42044</v>
      </c>
      <c r="M60" s="51">
        <f t="shared" si="8"/>
        <v>50</v>
      </c>
      <c r="N60" s="51">
        <v>1200</v>
      </c>
      <c r="O60" s="28">
        <v>24.9</v>
      </c>
      <c r="P60" s="28">
        <f t="shared" ref="P60:P62" si="78">N60*(1-O60/100)</f>
        <v>901.2</v>
      </c>
      <c r="Q60" s="52">
        <f t="shared" ref="Q60:Q62" si="79">N60*365-((S60/2)*365^2)</f>
        <v>383469</v>
      </c>
      <c r="R60" s="52">
        <f t="shared" ref="R60:R62" si="80">Q60/H60</f>
        <v>7669.38</v>
      </c>
      <c r="S60" s="28">
        <f t="shared" ref="S60:S62" si="81">(N60-P60)/365</f>
        <v>0.81863013698630127</v>
      </c>
      <c r="LW60" s="51">
        <f>N60</f>
        <v>1200</v>
      </c>
      <c r="LX60" s="51">
        <f t="shared" si="77"/>
        <v>1199.1813698630137</v>
      </c>
      <c r="LY60" s="51">
        <f t="shared" si="77"/>
        <v>1198.3627397260275</v>
      </c>
      <c r="LZ60" s="51">
        <f t="shared" si="77"/>
        <v>1197.5441095890412</v>
      </c>
      <c r="MA60" s="51">
        <f t="shared" si="77"/>
        <v>1196.725479452055</v>
      </c>
      <c r="MB60" s="51">
        <f t="shared" si="77"/>
        <v>1195.9068493150687</v>
      </c>
      <c r="MC60" s="51">
        <f t="shared" si="77"/>
        <v>1195.0882191780825</v>
      </c>
      <c r="MD60" s="51">
        <f t="shared" si="77"/>
        <v>1194.2695890410962</v>
      </c>
      <c r="ME60" s="51">
        <f t="shared" si="77"/>
        <v>1193.4509589041099</v>
      </c>
      <c r="MF60" s="51">
        <f t="shared" si="77"/>
        <v>1192.6323287671237</v>
      </c>
      <c r="MG60" s="51">
        <f t="shared" si="77"/>
        <v>1191.8136986301374</v>
      </c>
      <c r="MH60" s="51">
        <f t="shared" si="77"/>
        <v>1190.9950684931512</v>
      </c>
      <c r="MI60" s="51">
        <f t="shared" si="77"/>
        <v>1190.1764383561649</v>
      </c>
      <c r="MJ60" s="51">
        <f t="shared" si="77"/>
        <v>1189.3578082191787</v>
      </c>
      <c r="MK60" s="51">
        <f t="shared" si="77"/>
        <v>1188.5391780821924</v>
      </c>
      <c r="ML60" s="51">
        <f t="shared" si="77"/>
        <v>1187.7205479452061</v>
      </c>
      <c r="MM60" s="51">
        <f t="shared" si="77"/>
        <v>1186.9019178082199</v>
      </c>
      <c r="MN60" s="51">
        <f t="shared" si="77"/>
        <v>1186.0832876712336</v>
      </c>
      <c r="MO60" s="51">
        <f t="shared" si="77"/>
        <v>1185.2646575342474</v>
      </c>
      <c r="MP60" s="51">
        <f t="shared" si="77"/>
        <v>1184.4460273972611</v>
      </c>
      <c r="MQ60" s="51">
        <f t="shared" si="77"/>
        <v>1183.6273972602748</v>
      </c>
      <c r="MR60" s="51">
        <f t="shared" si="77"/>
        <v>1182.8087671232886</v>
      </c>
      <c r="MS60" s="51">
        <f t="shared" si="77"/>
        <v>1181.9901369863023</v>
      </c>
      <c r="MT60" s="51">
        <f t="shared" si="77"/>
        <v>1181.1715068493161</v>
      </c>
      <c r="MU60" s="51">
        <f t="shared" si="77"/>
        <v>1180.3528767123298</v>
      </c>
      <c r="MV60" s="51">
        <f t="shared" si="77"/>
        <v>1179.5342465753436</v>
      </c>
      <c r="MW60" s="51">
        <f t="shared" si="77"/>
        <v>1178.7156164383573</v>
      </c>
      <c r="MX60" s="51">
        <f t="shared" si="77"/>
        <v>1177.896986301371</v>
      </c>
      <c r="MY60" s="51">
        <f t="shared" si="77"/>
        <v>1177.0783561643848</v>
      </c>
      <c r="MZ60" s="51">
        <f t="shared" si="77"/>
        <v>1176.2597260273985</v>
      </c>
      <c r="NA60" s="51">
        <f t="shared" si="77"/>
        <v>1175.4410958904123</v>
      </c>
      <c r="NB60" s="51">
        <f t="shared" si="77"/>
        <v>1174.622465753426</v>
      </c>
      <c r="NC60" s="51">
        <f t="shared" si="77"/>
        <v>1173.8038356164398</v>
      </c>
      <c r="ND60" s="51">
        <f t="shared" si="77"/>
        <v>1172.9852054794535</v>
      </c>
      <c r="NE60" s="51">
        <f t="shared" si="77"/>
        <v>1172.1665753424672</v>
      </c>
      <c r="NF60" s="51">
        <f t="shared" si="77"/>
        <v>1171.347945205481</v>
      </c>
      <c r="NG60" s="51">
        <f t="shared" si="77"/>
        <v>1170.5293150684947</v>
      </c>
      <c r="NH60" s="51">
        <f t="shared" si="77"/>
        <v>1169.7106849315085</v>
      </c>
      <c r="NI60" s="51">
        <f t="shared" si="77"/>
        <v>1168.8920547945222</v>
      </c>
      <c r="NJ60" s="51">
        <f t="shared" si="77"/>
        <v>1168.073424657536</v>
      </c>
      <c r="NK60" s="51">
        <f t="shared" si="77"/>
        <v>1167.2547945205497</v>
      </c>
      <c r="NL60" s="51">
        <f t="shared" si="77"/>
        <v>1166.4361643835634</v>
      </c>
      <c r="NM60" s="51">
        <f t="shared" si="77"/>
        <v>1165.6175342465772</v>
      </c>
      <c r="NN60" s="51">
        <f t="shared" si="77"/>
        <v>1164.7989041095909</v>
      </c>
      <c r="NO60" s="51">
        <f t="shared" si="77"/>
        <v>1163.9802739726047</v>
      </c>
      <c r="NP60" s="51">
        <f t="shared" si="77"/>
        <v>1163.1616438356184</v>
      </c>
      <c r="NQ60" s="51">
        <f t="shared" si="77"/>
        <v>1162.3430136986321</v>
      </c>
      <c r="NR60" s="51">
        <f t="shared" si="77"/>
        <v>1161.5243835616459</v>
      </c>
      <c r="NS60" s="51">
        <f t="shared" si="77"/>
        <v>1160.7057534246596</v>
      </c>
      <c r="NT60" s="51">
        <f t="shared" si="77"/>
        <v>1159.8871232876734</v>
      </c>
      <c r="NU60" s="51">
        <f t="shared" si="77"/>
        <v>1159.0684931506871</v>
      </c>
    </row>
    <row r="61" spans="1:385" x14ac:dyDescent="0.25">
      <c r="A61" s="28">
        <v>59</v>
      </c>
      <c r="B61" s="28" t="s">
        <v>11</v>
      </c>
      <c r="C61" s="28" t="s">
        <v>17</v>
      </c>
      <c r="D61" s="28" t="s">
        <v>18</v>
      </c>
      <c r="E61" s="28">
        <v>1</v>
      </c>
      <c r="F61" s="28">
        <v>45</v>
      </c>
      <c r="G61" s="28">
        <v>5</v>
      </c>
      <c r="H61" s="50">
        <f t="shared" si="6"/>
        <v>50</v>
      </c>
      <c r="I61" s="28">
        <v>14</v>
      </c>
      <c r="J61" s="54">
        <v>300</v>
      </c>
      <c r="K61" s="28">
        <f t="shared" si="14"/>
        <v>314</v>
      </c>
      <c r="L61" s="49">
        <f t="shared" si="7"/>
        <v>42044</v>
      </c>
      <c r="M61" s="51">
        <f t="shared" si="8"/>
        <v>50</v>
      </c>
      <c r="N61" s="51">
        <v>1200</v>
      </c>
      <c r="O61" s="28">
        <v>24.9</v>
      </c>
      <c r="P61" s="28">
        <f t="shared" si="78"/>
        <v>901.2</v>
      </c>
      <c r="Q61" s="52">
        <f t="shared" si="79"/>
        <v>383469</v>
      </c>
      <c r="R61" s="52">
        <f t="shared" si="80"/>
        <v>7669.38</v>
      </c>
      <c r="S61" s="28">
        <f t="shared" si="81"/>
        <v>0.81863013698630127</v>
      </c>
      <c r="LW61" s="51">
        <f>N61</f>
        <v>1200</v>
      </c>
      <c r="LX61" s="51">
        <f t="shared" si="77"/>
        <v>1199.1813698630137</v>
      </c>
      <c r="LY61" s="51">
        <f t="shared" si="77"/>
        <v>1198.3627397260275</v>
      </c>
      <c r="LZ61" s="51">
        <f t="shared" si="77"/>
        <v>1197.5441095890412</v>
      </c>
      <c r="MA61" s="51">
        <f t="shared" si="77"/>
        <v>1196.725479452055</v>
      </c>
      <c r="MB61" s="51">
        <f t="shared" si="77"/>
        <v>1195.9068493150687</v>
      </c>
      <c r="MC61" s="51">
        <f t="shared" si="77"/>
        <v>1195.0882191780825</v>
      </c>
      <c r="MD61" s="51">
        <f t="shared" si="77"/>
        <v>1194.2695890410962</v>
      </c>
      <c r="ME61" s="51">
        <f t="shared" si="77"/>
        <v>1193.4509589041099</v>
      </c>
      <c r="MF61" s="51">
        <f t="shared" si="77"/>
        <v>1192.6323287671237</v>
      </c>
      <c r="MG61" s="51">
        <f t="shared" si="77"/>
        <v>1191.8136986301374</v>
      </c>
      <c r="MH61" s="51">
        <f t="shared" si="77"/>
        <v>1190.9950684931512</v>
      </c>
      <c r="MI61" s="51">
        <f t="shared" si="77"/>
        <v>1190.1764383561649</v>
      </c>
      <c r="MJ61" s="51">
        <f t="shared" si="77"/>
        <v>1189.3578082191787</v>
      </c>
      <c r="MK61" s="51">
        <f t="shared" si="77"/>
        <v>1188.5391780821924</v>
      </c>
      <c r="ML61" s="51">
        <f t="shared" si="77"/>
        <v>1187.7205479452061</v>
      </c>
      <c r="MM61" s="51">
        <f t="shared" si="77"/>
        <v>1186.9019178082199</v>
      </c>
      <c r="MN61" s="51">
        <f t="shared" si="77"/>
        <v>1186.0832876712336</v>
      </c>
      <c r="MO61" s="51">
        <f t="shared" si="77"/>
        <v>1185.2646575342474</v>
      </c>
      <c r="MP61" s="51">
        <f t="shared" si="77"/>
        <v>1184.4460273972611</v>
      </c>
      <c r="MQ61" s="51">
        <f t="shared" si="77"/>
        <v>1183.6273972602748</v>
      </c>
      <c r="MR61" s="51">
        <f t="shared" si="77"/>
        <v>1182.8087671232886</v>
      </c>
      <c r="MS61" s="51">
        <f t="shared" si="77"/>
        <v>1181.9901369863023</v>
      </c>
      <c r="MT61" s="51">
        <f t="shared" si="77"/>
        <v>1181.1715068493161</v>
      </c>
      <c r="MU61" s="51">
        <f t="shared" si="77"/>
        <v>1180.3528767123298</v>
      </c>
      <c r="MV61" s="51">
        <f t="shared" si="77"/>
        <v>1179.5342465753436</v>
      </c>
      <c r="MW61" s="51">
        <f t="shared" si="77"/>
        <v>1178.7156164383573</v>
      </c>
      <c r="MX61" s="51">
        <f t="shared" si="77"/>
        <v>1177.896986301371</v>
      </c>
      <c r="MY61" s="51">
        <f t="shared" si="77"/>
        <v>1177.0783561643848</v>
      </c>
      <c r="MZ61" s="51">
        <f t="shared" si="77"/>
        <v>1176.2597260273985</v>
      </c>
      <c r="NA61" s="51">
        <f t="shared" si="77"/>
        <v>1175.4410958904123</v>
      </c>
      <c r="NB61" s="51">
        <f t="shared" si="77"/>
        <v>1174.622465753426</v>
      </c>
      <c r="NC61" s="51">
        <f t="shared" si="77"/>
        <v>1173.8038356164398</v>
      </c>
      <c r="ND61" s="51">
        <f t="shared" si="77"/>
        <v>1172.9852054794535</v>
      </c>
      <c r="NE61" s="51">
        <f t="shared" si="77"/>
        <v>1172.1665753424672</v>
      </c>
      <c r="NF61" s="51">
        <f t="shared" si="77"/>
        <v>1171.347945205481</v>
      </c>
      <c r="NG61" s="51">
        <f t="shared" si="77"/>
        <v>1170.5293150684947</v>
      </c>
      <c r="NH61" s="51">
        <f t="shared" si="77"/>
        <v>1169.7106849315085</v>
      </c>
      <c r="NI61" s="51">
        <f t="shared" si="77"/>
        <v>1168.8920547945222</v>
      </c>
      <c r="NJ61" s="51">
        <f t="shared" si="77"/>
        <v>1168.073424657536</v>
      </c>
      <c r="NK61" s="51">
        <f t="shared" si="77"/>
        <v>1167.2547945205497</v>
      </c>
      <c r="NL61" s="51">
        <f t="shared" si="77"/>
        <v>1166.4361643835634</v>
      </c>
      <c r="NM61" s="51">
        <f t="shared" si="77"/>
        <v>1165.6175342465772</v>
      </c>
      <c r="NN61" s="51">
        <f t="shared" si="77"/>
        <v>1164.7989041095909</v>
      </c>
      <c r="NO61" s="51">
        <f t="shared" si="77"/>
        <v>1163.9802739726047</v>
      </c>
      <c r="NP61" s="51">
        <f t="shared" si="77"/>
        <v>1163.1616438356184</v>
      </c>
      <c r="NQ61" s="51">
        <f t="shared" si="77"/>
        <v>1162.3430136986321</v>
      </c>
      <c r="NR61" s="51">
        <f t="shared" si="77"/>
        <v>1161.5243835616459</v>
      </c>
      <c r="NS61" s="51">
        <f t="shared" si="77"/>
        <v>1160.7057534246596</v>
      </c>
      <c r="NT61" s="51">
        <f t="shared" si="77"/>
        <v>1159.8871232876734</v>
      </c>
      <c r="NU61" s="51">
        <f t="shared" si="77"/>
        <v>1159.0684931506871</v>
      </c>
    </row>
    <row r="62" spans="1:385" x14ac:dyDescent="0.25">
      <c r="A62" s="28">
        <v>60</v>
      </c>
      <c r="B62" s="28" t="s">
        <v>11</v>
      </c>
      <c r="C62" s="28" t="s">
        <v>17</v>
      </c>
      <c r="D62" s="28" t="s">
        <v>18</v>
      </c>
      <c r="E62" s="28">
        <v>1</v>
      </c>
      <c r="F62" s="28">
        <v>45</v>
      </c>
      <c r="G62" s="28">
        <v>5</v>
      </c>
      <c r="H62" s="50">
        <f t="shared" si="6"/>
        <v>50</v>
      </c>
      <c r="I62" s="28">
        <v>14</v>
      </c>
      <c r="J62" s="54">
        <v>305</v>
      </c>
      <c r="K62" s="28">
        <f t="shared" si="14"/>
        <v>319</v>
      </c>
      <c r="L62" s="49">
        <f t="shared" si="7"/>
        <v>42049</v>
      </c>
      <c r="M62" s="51">
        <f t="shared" si="8"/>
        <v>45</v>
      </c>
      <c r="N62" s="51">
        <v>1200</v>
      </c>
      <c r="O62" s="28">
        <v>24.9</v>
      </c>
      <c r="P62" s="28">
        <f t="shared" si="78"/>
        <v>901.2</v>
      </c>
      <c r="Q62" s="52">
        <f t="shared" si="79"/>
        <v>383469</v>
      </c>
      <c r="R62" s="52">
        <f t="shared" si="80"/>
        <v>7669.38</v>
      </c>
      <c r="S62" s="28">
        <f t="shared" si="81"/>
        <v>0.81863013698630127</v>
      </c>
      <c r="MB62" s="51">
        <f>N62</f>
        <v>1200</v>
      </c>
      <c r="MC62" s="51">
        <f t="shared" si="77"/>
        <v>1199.1813698630137</v>
      </c>
      <c r="MD62" s="51">
        <f t="shared" si="77"/>
        <v>1198.3627397260275</v>
      </c>
      <c r="ME62" s="51">
        <f t="shared" si="77"/>
        <v>1197.5441095890412</v>
      </c>
      <c r="MF62" s="51">
        <f t="shared" si="77"/>
        <v>1196.725479452055</v>
      </c>
      <c r="MG62" s="51">
        <f t="shared" si="77"/>
        <v>1195.9068493150687</v>
      </c>
      <c r="MH62" s="51">
        <f t="shared" si="77"/>
        <v>1195.0882191780825</v>
      </c>
      <c r="MI62" s="51">
        <f t="shared" si="77"/>
        <v>1194.2695890410962</v>
      </c>
      <c r="MJ62" s="51">
        <f t="shared" si="77"/>
        <v>1193.4509589041099</v>
      </c>
      <c r="MK62" s="51">
        <f t="shared" si="77"/>
        <v>1192.6323287671237</v>
      </c>
      <c r="ML62" s="51">
        <f t="shared" si="77"/>
        <v>1191.8136986301374</v>
      </c>
      <c r="MM62" s="51">
        <f t="shared" si="77"/>
        <v>1190.9950684931512</v>
      </c>
      <c r="MN62" s="51">
        <f t="shared" si="77"/>
        <v>1190.1764383561649</v>
      </c>
      <c r="MO62" s="51">
        <f t="shared" si="77"/>
        <v>1189.3578082191787</v>
      </c>
      <c r="MP62" s="51">
        <f t="shared" si="77"/>
        <v>1188.5391780821924</v>
      </c>
      <c r="MQ62" s="51">
        <f t="shared" si="77"/>
        <v>1187.7205479452061</v>
      </c>
      <c r="MR62" s="51">
        <f t="shared" si="77"/>
        <v>1186.9019178082199</v>
      </c>
      <c r="MS62" s="51">
        <f t="shared" si="77"/>
        <v>1186.0832876712336</v>
      </c>
      <c r="MT62" s="51">
        <f t="shared" si="77"/>
        <v>1185.2646575342474</v>
      </c>
      <c r="MU62" s="51">
        <f t="shared" si="77"/>
        <v>1184.4460273972611</v>
      </c>
      <c r="MV62" s="51">
        <f t="shared" si="77"/>
        <v>1183.6273972602748</v>
      </c>
      <c r="MW62" s="51">
        <f t="shared" si="77"/>
        <v>1182.8087671232886</v>
      </c>
      <c r="MX62" s="51">
        <f t="shared" si="77"/>
        <v>1181.9901369863023</v>
      </c>
      <c r="MY62" s="51">
        <f t="shared" si="77"/>
        <v>1181.1715068493161</v>
      </c>
      <c r="MZ62" s="51">
        <f t="shared" si="77"/>
        <v>1180.3528767123298</v>
      </c>
      <c r="NA62" s="51">
        <f t="shared" si="77"/>
        <v>1179.5342465753436</v>
      </c>
      <c r="NB62" s="51">
        <f t="shared" si="77"/>
        <v>1178.7156164383573</v>
      </c>
      <c r="NC62" s="51">
        <f t="shared" si="77"/>
        <v>1177.896986301371</v>
      </c>
      <c r="ND62" s="51">
        <f t="shared" si="77"/>
        <v>1177.0783561643848</v>
      </c>
      <c r="NE62" s="51">
        <f t="shared" si="77"/>
        <v>1176.2597260273985</v>
      </c>
      <c r="NF62" s="51">
        <f t="shared" si="77"/>
        <v>1175.4410958904123</v>
      </c>
      <c r="NG62" s="51">
        <f t="shared" si="77"/>
        <v>1174.622465753426</v>
      </c>
      <c r="NH62" s="51">
        <f t="shared" si="77"/>
        <v>1173.8038356164398</v>
      </c>
      <c r="NI62" s="51">
        <f t="shared" si="77"/>
        <v>1172.9852054794535</v>
      </c>
      <c r="NJ62" s="51">
        <f t="shared" si="77"/>
        <v>1172.1665753424672</v>
      </c>
      <c r="NK62" s="51">
        <f t="shared" si="77"/>
        <v>1171.347945205481</v>
      </c>
      <c r="NL62" s="51">
        <f t="shared" si="77"/>
        <v>1170.5293150684947</v>
      </c>
      <c r="NM62" s="51">
        <f t="shared" si="77"/>
        <v>1169.7106849315085</v>
      </c>
      <c r="NN62" s="51">
        <f t="shared" si="77"/>
        <v>1168.8920547945222</v>
      </c>
      <c r="NO62" s="51">
        <f t="shared" si="77"/>
        <v>1168.073424657536</v>
      </c>
      <c r="NP62" s="51">
        <f t="shared" si="77"/>
        <v>1167.2547945205497</v>
      </c>
      <c r="NQ62" s="51">
        <f t="shared" si="77"/>
        <v>1166.4361643835634</v>
      </c>
      <c r="NR62" s="51">
        <f t="shared" si="77"/>
        <v>1165.6175342465772</v>
      </c>
      <c r="NS62" s="51">
        <f t="shared" si="77"/>
        <v>1164.7989041095909</v>
      </c>
      <c r="NT62" s="51">
        <f t="shared" si="77"/>
        <v>1163.9802739726047</v>
      </c>
      <c r="NU62" s="51">
        <f t="shared" si="77"/>
        <v>1163.1616438356184</v>
      </c>
    </row>
    <row r="63" spans="1:385" x14ac:dyDescent="0.25">
      <c r="A63" s="43">
        <v>61</v>
      </c>
      <c r="B63" s="43" t="s">
        <v>11</v>
      </c>
      <c r="C63" s="43" t="s">
        <v>17</v>
      </c>
      <c r="D63" s="43" t="s">
        <v>599</v>
      </c>
      <c r="E63" s="43">
        <v>1</v>
      </c>
      <c r="F63" s="43">
        <v>30</v>
      </c>
      <c r="G63" s="43">
        <v>5</v>
      </c>
      <c r="H63" s="50">
        <f t="shared" si="6"/>
        <v>35</v>
      </c>
      <c r="I63" s="43">
        <v>14</v>
      </c>
      <c r="J63" s="54">
        <v>305</v>
      </c>
      <c r="K63" s="28">
        <f t="shared" si="14"/>
        <v>319</v>
      </c>
      <c r="L63" s="49">
        <f t="shared" si="7"/>
        <v>42049</v>
      </c>
      <c r="M63" s="51">
        <f t="shared" si="8"/>
        <v>45</v>
      </c>
      <c r="N63" s="51">
        <v>0</v>
      </c>
    </row>
    <row r="64" spans="1:385" x14ac:dyDescent="0.25">
      <c r="A64" s="28">
        <v>62</v>
      </c>
      <c r="B64" s="28" t="s">
        <v>11</v>
      </c>
      <c r="C64" s="28" t="s">
        <v>17</v>
      </c>
      <c r="D64" s="28" t="s">
        <v>598</v>
      </c>
      <c r="E64" s="28">
        <v>1</v>
      </c>
      <c r="F64" s="28">
        <v>40</v>
      </c>
      <c r="G64" s="28">
        <v>5</v>
      </c>
      <c r="H64" s="50">
        <f t="shared" si="6"/>
        <v>45</v>
      </c>
      <c r="I64" s="28">
        <v>14</v>
      </c>
      <c r="J64" s="54">
        <v>315</v>
      </c>
      <c r="K64" s="28">
        <f t="shared" si="14"/>
        <v>329</v>
      </c>
      <c r="L64" s="49">
        <f t="shared" si="7"/>
        <v>42059</v>
      </c>
      <c r="M64" s="51">
        <f t="shared" si="8"/>
        <v>35</v>
      </c>
      <c r="N64" s="51">
        <v>0</v>
      </c>
    </row>
    <row r="65" spans="1:385" x14ac:dyDescent="0.25">
      <c r="A65" s="28">
        <v>63</v>
      </c>
      <c r="B65" s="28" t="s">
        <v>11</v>
      </c>
      <c r="C65" s="28" t="s">
        <v>17</v>
      </c>
      <c r="D65" s="28" t="s">
        <v>18</v>
      </c>
      <c r="E65" s="28">
        <v>1</v>
      </c>
      <c r="F65" s="28">
        <v>45</v>
      </c>
      <c r="G65" s="28">
        <v>5</v>
      </c>
      <c r="H65" s="50">
        <f t="shared" si="6"/>
        <v>50</v>
      </c>
      <c r="I65" s="28">
        <v>14</v>
      </c>
      <c r="J65" s="54">
        <v>320</v>
      </c>
      <c r="K65" s="28">
        <f t="shared" si="14"/>
        <v>334</v>
      </c>
      <c r="L65" s="49">
        <f t="shared" si="7"/>
        <v>42064</v>
      </c>
      <c r="M65" s="51">
        <f t="shared" si="8"/>
        <v>30</v>
      </c>
      <c r="N65" s="51">
        <v>1200</v>
      </c>
      <c r="O65" s="28">
        <v>24.9</v>
      </c>
      <c r="P65" s="28">
        <f t="shared" ref="P65:P69" si="82">N65*(1-O65/100)</f>
        <v>901.2</v>
      </c>
      <c r="Q65" s="52">
        <f t="shared" ref="Q65:Q69" si="83">N65*365-((S65/2)*365^2)</f>
        <v>383469</v>
      </c>
      <c r="R65" s="52">
        <f t="shared" ref="R65:R69" si="84">Q65/H65</f>
        <v>7669.38</v>
      </c>
      <c r="S65" s="28">
        <f t="shared" ref="S65:S69" si="85">(N65-P65)/365</f>
        <v>0.81863013698630127</v>
      </c>
      <c r="MQ65" s="51">
        <f>N65</f>
        <v>1200</v>
      </c>
      <c r="MR65" s="51">
        <f t="shared" ref="MR65:NG68" si="86">MQ65-$S65</f>
        <v>1199.1813698630137</v>
      </c>
      <c r="MS65" s="51">
        <f t="shared" si="86"/>
        <v>1198.3627397260275</v>
      </c>
      <c r="MT65" s="51">
        <f t="shared" si="86"/>
        <v>1197.5441095890412</v>
      </c>
      <c r="MU65" s="51">
        <f t="shared" si="86"/>
        <v>1196.725479452055</v>
      </c>
      <c r="MV65" s="51">
        <f t="shared" si="86"/>
        <v>1195.9068493150687</v>
      </c>
      <c r="MW65" s="51">
        <f t="shared" si="86"/>
        <v>1195.0882191780825</v>
      </c>
      <c r="MX65" s="51">
        <f t="shared" si="86"/>
        <v>1194.2695890410962</v>
      </c>
      <c r="MY65" s="51">
        <f t="shared" si="86"/>
        <v>1193.4509589041099</v>
      </c>
      <c r="MZ65" s="51">
        <f t="shared" si="86"/>
        <v>1192.6323287671237</v>
      </c>
      <c r="NA65" s="51">
        <f t="shared" si="86"/>
        <v>1191.8136986301374</v>
      </c>
      <c r="NB65" s="51">
        <f t="shared" si="86"/>
        <v>1190.9950684931512</v>
      </c>
      <c r="NC65" s="51">
        <f t="shared" si="86"/>
        <v>1190.1764383561649</v>
      </c>
      <c r="ND65" s="51">
        <f t="shared" si="86"/>
        <v>1189.3578082191787</v>
      </c>
      <c r="NE65" s="51">
        <f t="shared" si="86"/>
        <v>1188.5391780821924</v>
      </c>
      <c r="NF65" s="51">
        <f t="shared" si="86"/>
        <v>1187.7205479452061</v>
      </c>
      <c r="NG65" s="51">
        <f t="shared" si="86"/>
        <v>1186.9019178082199</v>
      </c>
      <c r="NH65" s="51">
        <f t="shared" ref="NH65:NU69" si="87">NG65-$S65</f>
        <v>1186.0832876712336</v>
      </c>
      <c r="NI65" s="51">
        <f t="shared" si="87"/>
        <v>1185.2646575342474</v>
      </c>
      <c r="NJ65" s="51">
        <f t="shared" si="87"/>
        <v>1184.4460273972611</v>
      </c>
      <c r="NK65" s="51">
        <f t="shared" si="87"/>
        <v>1183.6273972602748</v>
      </c>
      <c r="NL65" s="51">
        <f t="shared" si="87"/>
        <v>1182.8087671232886</v>
      </c>
      <c r="NM65" s="51">
        <f t="shared" si="87"/>
        <v>1181.9901369863023</v>
      </c>
      <c r="NN65" s="51">
        <f t="shared" si="87"/>
        <v>1181.1715068493161</v>
      </c>
      <c r="NO65" s="51">
        <f t="shared" si="87"/>
        <v>1180.3528767123298</v>
      </c>
      <c r="NP65" s="51">
        <f t="shared" si="87"/>
        <v>1179.5342465753436</v>
      </c>
      <c r="NQ65" s="51">
        <f t="shared" si="87"/>
        <v>1178.7156164383573</v>
      </c>
      <c r="NR65" s="51">
        <f t="shared" si="87"/>
        <v>1177.896986301371</v>
      </c>
      <c r="NS65" s="51">
        <f t="shared" si="87"/>
        <v>1177.0783561643848</v>
      </c>
      <c r="NT65" s="51">
        <f t="shared" si="87"/>
        <v>1176.2597260273985</v>
      </c>
      <c r="NU65" s="51">
        <f t="shared" si="87"/>
        <v>1175.4410958904123</v>
      </c>
    </row>
    <row r="66" spans="1:385" x14ac:dyDescent="0.25">
      <c r="A66" s="28">
        <v>64</v>
      </c>
      <c r="B66" s="28" t="s">
        <v>11</v>
      </c>
      <c r="C66" s="28" t="s">
        <v>17</v>
      </c>
      <c r="D66" s="28" t="s">
        <v>18</v>
      </c>
      <c r="E66" s="28">
        <v>1</v>
      </c>
      <c r="F66" s="28">
        <v>45</v>
      </c>
      <c r="G66" s="28">
        <v>5</v>
      </c>
      <c r="H66" s="50">
        <f t="shared" si="6"/>
        <v>50</v>
      </c>
      <c r="I66" s="28">
        <v>14</v>
      </c>
      <c r="J66" s="54">
        <v>325</v>
      </c>
      <c r="K66" s="28">
        <f t="shared" si="14"/>
        <v>339</v>
      </c>
      <c r="L66" s="49">
        <f t="shared" si="7"/>
        <v>42069</v>
      </c>
      <c r="M66" s="51">
        <f t="shared" si="8"/>
        <v>25</v>
      </c>
      <c r="N66" s="51">
        <v>1200</v>
      </c>
      <c r="O66" s="28">
        <v>24.9</v>
      </c>
      <c r="P66" s="28">
        <f t="shared" si="82"/>
        <v>901.2</v>
      </c>
      <c r="Q66" s="52">
        <f t="shared" si="83"/>
        <v>383469</v>
      </c>
      <c r="R66" s="52">
        <f t="shared" si="84"/>
        <v>7669.38</v>
      </c>
      <c r="S66" s="28">
        <f t="shared" si="85"/>
        <v>0.81863013698630127</v>
      </c>
      <c r="MV66" s="51">
        <f>N66</f>
        <v>1200</v>
      </c>
      <c r="MW66" s="51">
        <f t="shared" si="86"/>
        <v>1199.1813698630137</v>
      </c>
      <c r="MX66" s="51">
        <f t="shared" si="86"/>
        <v>1198.3627397260275</v>
      </c>
      <c r="MY66" s="51">
        <f t="shared" si="86"/>
        <v>1197.5441095890412</v>
      </c>
      <c r="MZ66" s="51">
        <f t="shared" si="86"/>
        <v>1196.725479452055</v>
      </c>
      <c r="NA66" s="51">
        <f t="shared" si="86"/>
        <v>1195.9068493150687</v>
      </c>
      <c r="NB66" s="51">
        <f t="shared" si="86"/>
        <v>1195.0882191780825</v>
      </c>
      <c r="NC66" s="51">
        <f t="shared" si="86"/>
        <v>1194.2695890410962</v>
      </c>
      <c r="ND66" s="51">
        <f t="shared" si="86"/>
        <v>1193.4509589041099</v>
      </c>
      <c r="NE66" s="51">
        <f t="shared" si="86"/>
        <v>1192.6323287671237</v>
      </c>
      <c r="NF66" s="51">
        <f t="shared" si="86"/>
        <v>1191.8136986301374</v>
      </c>
      <c r="NG66" s="51">
        <f t="shared" si="86"/>
        <v>1190.9950684931512</v>
      </c>
      <c r="NH66" s="51">
        <f t="shared" si="87"/>
        <v>1190.1764383561649</v>
      </c>
      <c r="NI66" s="51">
        <f t="shared" si="87"/>
        <v>1189.3578082191787</v>
      </c>
      <c r="NJ66" s="51">
        <f t="shared" si="87"/>
        <v>1188.5391780821924</v>
      </c>
      <c r="NK66" s="51">
        <f t="shared" si="87"/>
        <v>1187.7205479452061</v>
      </c>
      <c r="NL66" s="51">
        <f t="shared" si="87"/>
        <v>1186.9019178082199</v>
      </c>
      <c r="NM66" s="51">
        <f t="shared" si="87"/>
        <v>1186.0832876712336</v>
      </c>
      <c r="NN66" s="51">
        <f t="shared" si="87"/>
        <v>1185.2646575342474</v>
      </c>
      <c r="NO66" s="51">
        <f t="shared" si="87"/>
        <v>1184.4460273972611</v>
      </c>
      <c r="NP66" s="51">
        <f t="shared" si="87"/>
        <v>1183.6273972602748</v>
      </c>
      <c r="NQ66" s="51">
        <f t="shared" si="87"/>
        <v>1182.8087671232886</v>
      </c>
      <c r="NR66" s="51">
        <f t="shared" si="87"/>
        <v>1181.9901369863023</v>
      </c>
      <c r="NS66" s="51">
        <f t="shared" si="87"/>
        <v>1181.1715068493161</v>
      </c>
      <c r="NT66" s="51">
        <f t="shared" si="87"/>
        <v>1180.3528767123298</v>
      </c>
      <c r="NU66" s="51">
        <f t="shared" si="87"/>
        <v>1179.5342465753436</v>
      </c>
    </row>
    <row r="67" spans="1:385" x14ac:dyDescent="0.25">
      <c r="A67" s="28">
        <v>65</v>
      </c>
      <c r="B67" s="28" t="s">
        <v>11</v>
      </c>
      <c r="C67" s="28" t="s">
        <v>17</v>
      </c>
      <c r="D67" s="28" t="s">
        <v>18</v>
      </c>
      <c r="E67" s="28">
        <v>1</v>
      </c>
      <c r="F67" s="28">
        <v>45</v>
      </c>
      <c r="G67" s="28">
        <v>5</v>
      </c>
      <c r="H67" s="50">
        <f t="shared" ref="H67:H77" si="88">F67+G67</f>
        <v>50</v>
      </c>
      <c r="I67" s="28">
        <v>14</v>
      </c>
      <c r="J67" s="54">
        <v>330</v>
      </c>
      <c r="K67" s="28">
        <f t="shared" si="14"/>
        <v>344</v>
      </c>
      <c r="L67" s="49">
        <f t="shared" ref="L67:L77" si="89">$M$1+K67</f>
        <v>42074</v>
      </c>
      <c r="M67" s="51">
        <f t="shared" ref="M67:M77" si="90">$N$1-L67</f>
        <v>20</v>
      </c>
      <c r="N67" s="51">
        <v>1200</v>
      </c>
      <c r="O67" s="28">
        <v>24.9</v>
      </c>
      <c r="P67" s="28">
        <f t="shared" si="82"/>
        <v>901.2</v>
      </c>
      <c r="Q67" s="52">
        <f t="shared" si="83"/>
        <v>383469</v>
      </c>
      <c r="R67" s="52">
        <f t="shared" si="84"/>
        <v>7669.38</v>
      </c>
      <c r="S67" s="28">
        <f t="shared" si="85"/>
        <v>0.81863013698630127</v>
      </c>
      <c r="NA67" s="51">
        <f>N67</f>
        <v>1200</v>
      </c>
      <c r="NB67" s="51">
        <f t="shared" si="86"/>
        <v>1199.1813698630137</v>
      </c>
      <c r="NC67" s="51">
        <f t="shared" si="86"/>
        <v>1198.3627397260275</v>
      </c>
      <c r="ND67" s="51">
        <f t="shared" si="86"/>
        <v>1197.5441095890412</v>
      </c>
      <c r="NE67" s="51">
        <f t="shared" si="86"/>
        <v>1196.725479452055</v>
      </c>
      <c r="NF67" s="51">
        <f t="shared" si="86"/>
        <v>1195.9068493150687</v>
      </c>
      <c r="NG67" s="51">
        <f t="shared" si="86"/>
        <v>1195.0882191780825</v>
      </c>
      <c r="NH67" s="51">
        <f t="shared" si="87"/>
        <v>1194.2695890410962</v>
      </c>
      <c r="NI67" s="51">
        <f t="shared" si="87"/>
        <v>1193.4509589041099</v>
      </c>
      <c r="NJ67" s="51">
        <f t="shared" si="87"/>
        <v>1192.6323287671237</v>
      </c>
      <c r="NK67" s="51">
        <f t="shared" si="87"/>
        <v>1191.8136986301374</v>
      </c>
      <c r="NL67" s="51">
        <f t="shared" si="87"/>
        <v>1190.9950684931512</v>
      </c>
      <c r="NM67" s="51">
        <f t="shared" si="87"/>
        <v>1190.1764383561649</v>
      </c>
      <c r="NN67" s="51">
        <f t="shared" si="87"/>
        <v>1189.3578082191787</v>
      </c>
      <c r="NO67" s="51">
        <f t="shared" si="87"/>
        <v>1188.5391780821924</v>
      </c>
      <c r="NP67" s="51">
        <f t="shared" si="87"/>
        <v>1187.7205479452061</v>
      </c>
      <c r="NQ67" s="51">
        <f t="shared" si="87"/>
        <v>1186.9019178082199</v>
      </c>
      <c r="NR67" s="51">
        <f t="shared" si="87"/>
        <v>1186.0832876712336</v>
      </c>
      <c r="NS67" s="51">
        <f t="shared" si="87"/>
        <v>1185.2646575342474</v>
      </c>
      <c r="NT67" s="51">
        <f t="shared" si="87"/>
        <v>1184.4460273972611</v>
      </c>
      <c r="NU67" s="51">
        <f t="shared" si="87"/>
        <v>1183.6273972602748</v>
      </c>
    </row>
    <row r="68" spans="1:385" x14ac:dyDescent="0.25">
      <c r="A68" s="28">
        <v>66</v>
      </c>
      <c r="B68" s="28" t="s">
        <v>11</v>
      </c>
      <c r="C68" s="28" t="s">
        <v>17</v>
      </c>
      <c r="D68" s="28" t="s">
        <v>18</v>
      </c>
      <c r="E68" s="28">
        <v>1</v>
      </c>
      <c r="F68" s="28">
        <v>45</v>
      </c>
      <c r="G68" s="28">
        <v>5</v>
      </c>
      <c r="H68" s="50">
        <f t="shared" si="88"/>
        <v>50</v>
      </c>
      <c r="I68" s="28">
        <v>14</v>
      </c>
      <c r="J68" s="54">
        <v>330</v>
      </c>
      <c r="K68" s="28">
        <f t="shared" ref="K68:K77" si="91">J68+I68</f>
        <v>344</v>
      </c>
      <c r="L68" s="49">
        <f t="shared" si="89"/>
        <v>42074</v>
      </c>
      <c r="M68" s="51">
        <f t="shared" si="90"/>
        <v>20</v>
      </c>
      <c r="N68" s="51">
        <v>1200</v>
      </c>
      <c r="O68" s="28">
        <v>24.9</v>
      </c>
      <c r="P68" s="28">
        <f t="shared" si="82"/>
        <v>901.2</v>
      </c>
      <c r="Q68" s="52">
        <f t="shared" si="83"/>
        <v>383469</v>
      </c>
      <c r="R68" s="52">
        <f t="shared" si="84"/>
        <v>7669.38</v>
      </c>
      <c r="S68" s="28">
        <f t="shared" si="85"/>
        <v>0.81863013698630127</v>
      </c>
      <c r="NA68" s="51">
        <f>N68</f>
        <v>1200</v>
      </c>
      <c r="NB68" s="51">
        <f t="shared" si="86"/>
        <v>1199.1813698630137</v>
      </c>
      <c r="NC68" s="51">
        <f t="shared" si="86"/>
        <v>1198.3627397260275</v>
      </c>
      <c r="ND68" s="51">
        <f t="shared" si="86"/>
        <v>1197.5441095890412</v>
      </c>
      <c r="NE68" s="51">
        <f t="shared" si="86"/>
        <v>1196.725479452055</v>
      </c>
      <c r="NF68" s="51">
        <f t="shared" si="86"/>
        <v>1195.9068493150687</v>
      </c>
      <c r="NG68" s="51">
        <f t="shared" si="86"/>
        <v>1195.0882191780825</v>
      </c>
      <c r="NH68" s="51">
        <f t="shared" si="87"/>
        <v>1194.2695890410962</v>
      </c>
      <c r="NI68" s="51">
        <f t="shared" si="87"/>
        <v>1193.4509589041099</v>
      </c>
      <c r="NJ68" s="51">
        <f t="shared" si="87"/>
        <v>1192.6323287671237</v>
      </c>
      <c r="NK68" s="51">
        <f t="shared" si="87"/>
        <v>1191.8136986301374</v>
      </c>
      <c r="NL68" s="51">
        <f t="shared" si="87"/>
        <v>1190.9950684931512</v>
      </c>
      <c r="NM68" s="51">
        <f t="shared" si="87"/>
        <v>1190.1764383561649</v>
      </c>
      <c r="NN68" s="51">
        <f t="shared" si="87"/>
        <v>1189.3578082191787</v>
      </c>
      <c r="NO68" s="51">
        <f t="shared" si="87"/>
        <v>1188.5391780821924</v>
      </c>
      <c r="NP68" s="51">
        <f t="shared" si="87"/>
        <v>1187.7205479452061</v>
      </c>
      <c r="NQ68" s="51">
        <f t="shared" si="87"/>
        <v>1186.9019178082199</v>
      </c>
      <c r="NR68" s="51">
        <f t="shared" si="87"/>
        <v>1186.0832876712336</v>
      </c>
      <c r="NS68" s="51">
        <f t="shared" si="87"/>
        <v>1185.2646575342474</v>
      </c>
      <c r="NT68" s="51">
        <f t="shared" si="87"/>
        <v>1184.4460273972611</v>
      </c>
      <c r="NU68" s="51">
        <f t="shared" si="87"/>
        <v>1183.6273972602748</v>
      </c>
    </row>
    <row r="69" spans="1:385" x14ac:dyDescent="0.25">
      <c r="A69" s="28">
        <v>67</v>
      </c>
      <c r="B69" s="28" t="s">
        <v>42</v>
      </c>
      <c r="C69" s="28" t="s">
        <v>44</v>
      </c>
      <c r="D69" s="28" t="s">
        <v>18</v>
      </c>
      <c r="E69" s="28">
        <v>1</v>
      </c>
      <c r="F69" s="28">
        <v>60</v>
      </c>
      <c r="G69" s="28">
        <v>5</v>
      </c>
      <c r="H69" s="50">
        <f t="shared" si="88"/>
        <v>65</v>
      </c>
      <c r="I69" s="28">
        <v>14</v>
      </c>
      <c r="J69" s="54">
        <v>345</v>
      </c>
      <c r="K69" s="28">
        <f t="shared" si="91"/>
        <v>359</v>
      </c>
      <c r="L69" s="49">
        <f t="shared" si="89"/>
        <v>42089</v>
      </c>
      <c r="M69" s="51">
        <f t="shared" si="90"/>
        <v>5</v>
      </c>
      <c r="N69" s="51">
        <v>3000</v>
      </c>
      <c r="O69" s="28">
        <v>13.8</v>
      </c>
      <c r="P69" s="28">
        <f t="shared" si="82"/>
        <v>2586</v>
      </c>
      <c r="Q69" s="52">
        <f t="shared" si="83"/>
        <v>1019445</v>
      </c>
      <c r="R69" s="52">
        <f t="shared" si="84"/>
        <v>15683.76923076923</v>
      </c>
      <c r="S69" s="28">
        <f t="shared" si="85"/>
        <v>1.1342465753424658</v>
      </c>
      <c r="NP69" s="51">
        <f>N69</f>
        <v>3000</v>
      </c>
      <c r="NQ69" s="51">
        <f t="shared" si="87"/>
        <v>2998.8657534246577</v>
      </c>
      <c r="NR69" s="51">
        <f t="shared" si="87"/>
        <v>2997.7315068493153</v>
      </c>
      <c r="NS69" s="51">
        <f t="shared" si="87"/>
        <v>2996.597260273973</v>
      </c>
      <c r="NT69" s="51">
        <f t="shared" si="87"/>
        <v>2995.4630136986307</v>
      </c>
      <c r="NU69" s="51">
        <f t="shared" si="87"/>
        <v>2994.3287671232883</v>
      </c>
    </row>
    <row r="70" spans="1:385" x14ac:dyDescent="0.25">
      <c r="A70" s="28">
        <v>68</v>
      </c>
      <c r="B70" s="28" t="s">
        <v>600</v>
      </c>
      <c r="C70" s="28" t="s">
        <v>600</v>
      </c>
      <c r="D70" s="28" t="s">
        <v>596</v>
      </c>
      <c r="E70" s="28">
        <v>1</v>
      </c>
      <c r="F70" s="28">
        <v>100</v>
      </c>
      <c r="G70" s="28">
        <v>5</v>
      </c>
      <c r="H70" s="50">
        <f t="shared" si="88"/>
        <v>105</v>
      </c>
      <c r="I70" s="28">
        <v>14</v>
      </c>
      <c r="J70" s="54">
        <v>390</v>
      </c>
      <c r="K70" s="28">
        <f t="shared" si="91"/>
        <v>404</v>
      </c>
      <c r="L70" s="49">
        <f t="shared" si="89"/>
        <v>42134</v>
      </c>
      <c r="M70" s="51">
        <f t="shared" si="90"/>
        <v>-40</v>
      </c>
      <c r="N70" s="51">
        <v>800</v>
      </c>
    </row>
    <row r="71" spans="1:385" x14ac:dyDescent="0.25">
      <c r="A71" s="43">
        <v>69</v>
      </c>
      <c r="B71" s="43" t="s">
        <v>600</v>
      </c>
      <c r="C71" s="43" t="s">
        <v>600</v>
      </c>
      <c r="D71" s="43" t="s">
        <v>596</v>
      </c>
      <c r="E71" s="43">
        <v>1</v>
      </c>
      <c r="F71" s="43">
        <v>100</v>
      </c>
      <c r="G71" s="43">
        <v>5</v>
      </c>
      <c r="H71" s="50">
        <f t="shared" si="88"/>
        <v>105</v>
      </c>
      <c r="I71" s="43">
        <v>14</v>
      </c>
      <c r="J71" s="54">
        <v>393</v>
      </c>
      <c r="K71" s="28">
        <f t="shared" si="91"/>
        <v>407</v>
      </c>
      <c r="L71" s="49">
        <f t="shared" si="89"/>
        <v>42137</v>
      </c>
      <c r="M71" s="51">
        <f t="shared" si="90"/>
        <v>-43</v>
      </c>
      <c r="N71" s="51">
        <v>800</v>
      </c>
    </row>
    <row r="72" spans="1:385" x14ac:dyDescent="0.25">
      <c r="A72" s="28">
        <v>70</v>
      </c>
      <c r="B72" s="28" t="s">
        <v>11</v>
      </c>
      <c r="C72" s="28" t="s">
        <v>13</v>
      </c>
      <c r="D72" s="28" t="s">
        <v>596</v>
      </c>
      <c r="E72" s="28">
        <v>1</v>
      </c>
      <c r="F72" s="28">
        <v>45</v>
      </c>
      <c r="G72" s="28">
        <v>5</v>
      </c>
      <c r="H72" s="50">
        <f t="shared" si="88"/>
        <v>50</v>
      </c>
      <c r="I72" s="28">
        <v>14</v>
      </c>
      <c r="J72" s="54">
        <v>350</v>
      </c>
      <c r="K72" s="28">
        <f t="shared" si="91"/>
        <v>364</v>
      </c>
      <c r="L72" s="49">
        <f t="shared" si="89"/>
        <v>42094</v>
      </c>
      <c r="M72" s="51">
        <f t="shared" si="90"/>
        <v>0</v>
      </c>
      <c r="N72" s="51">
        <v>800</v>
      </c>
      <c r="O72" s="28">
        <v>21.4</v>
      </c>
      <c r="P72" s="28">
        <f t="shared" ref="P72:P75" si="92">N72*(1-O72/100)</f>
        <v>628.80000000000007</v>
      </c>
      <c r="Q72" s="52">
        <f t="shared" ref="Q72:Q75" si="93">N72*365-((S72/2)*365^2)</f>
        <v>260756</v>
      </c>
      <c r="R72" s="52">
        <f t="shared" ref="R72:R75" si="94">Q72/H72</f>
        <v>5215.12</v>
      </c>
      <c r="S72" s="28">
        <f t="shared" ref="S72:S75" si="95">(N72-P72)/365</f>
        <v>0.46904109589041076</v>
      </c>
      <c r="NU72" s="51">
        <f>N72</f>
        <v>800</v>
      </c>
    </row>
    <row r="73" spans="1:385" x14ac:dyDescent="0.25">
      <c r="A73" s="28">
        <v>71</v>
      </c>
      <c r="B73" s="28" t="s">
        <v>11</v>
      </c>
      <c r="C73" s="28" t="s">
        <v>13</v>
      </c>
      <c r="D73" s="28" t="s">
        <v>596</v>
      </c>
      <c r="E73" s="28">
        <v>1</v>
      </c>
      <c r="F73" s="28">
        <v>45</v>
      </c>
      <c r="G73" s="28">
        <v>5</v>
      </c>
      <c r="H73" s="50">
        <f t="shared" si="88"/>
        <v>50</v>
      </c>
      <c r="I73" s="28">
        <v>14</v>
      </c>
      <c r="J73" s="54">
        <v>350</v>
      </c>
      <c r="K73" s="28">
        <f t="shared" si="91"/>
        <v>364</v>
      </c>
      <c r="L73" s="49">
        <f t="shared" si="89"/>
        <v>42094</v>
      </c>
      <c r="M73" s="51">
        <f t="shared" si="90"/>
        <v>0</v>
      </c>
      <c r="N73" s="51">
        <v>800</v>
      </c>
      <c r="O73" s="28">
        <v>21.4</v>
      </c>
      <c r="P73" s="28">
        <f t="shared" si="92"/>
        <v>628.80000000000007</v>
      </c>
      <c r="Q73" s="52">
        <f t="shared" si="93"/>
        <v>260756</v>
      </c>
      <c r="R73" s="52">
        <f t="shared" si="94"/>
        <v>5215.12</v>
      </c>
      <c r="S73" s="28">
        <f t="shared" si="95"/>
        <v>0.46904109589041076</v>
      </c>
      <c r="NU73" s="51">
        <f>N73</f>
        <v>800</v>
      </c>
    </row>
    <row r="74" spans="1:385" x14ac:dyDescent="0.25">
      <c r="A74" s="28">
        <v>72</v>
      </c>
      <c r="B74" s="28" t="s">
        <v>42</v>
      </c>
      <c r="C74" s="28" t="s">
        <v>602</v>
      </c>
      <c r="D74" s="28" t="s">
        <v>596</v>
      </c>
      <c r="E74" s="28">
        <v>1</v>
      </c>
      <c r="F74" s="28">
        <v>50</v>
      </c>
      <c r="G74" s="28">
        <v>5</v>
      </c>
      <c r="H74" s="50">
        <f t="shared" si="88"/>
        <v>55</v>
      </c>
      <c r="I74" s="28">
        <v>14</v>
      </c>
      <c r="J74" s="54">
        <v>360</v>
      </c>
      <c r="K74" s="28">
        <f t="shared" si="91"/>
        <v>374</v>
      </c>
      <c r="L74" s="49">
        <f t="shared" si="89"/>
        <v>42104</v>
      </c>
      <c r="M74" s="51">
        <f t="shared" si="90"/>
        <v>-10</v>
      </c>
      <c r="N74" s="51">
        <v>800</v>
      </c>
      <c r="O74" s="28">
        <v>21.4</v>
      </c>
      <c r="P74" s="28">
        <f t="shared" si="92"/>
        <v>628.80000000000007</v>
      </c>
      <c r="Q74" s="52">
        <f t="shared" si="93"/>
        <v>260756</v>
      </c>
      <c r="R74" s="52">
        <f t="shared" si="94"/>
        <v>4741.0181818181818</v>
      </c>
      <c r="S74" s="28">
        <f t="shared" si="95"/>
        <v>0.46904109589041076</v>
      </c>
    </row>
    <row r="75" spans="1:385" ht="15.75" thickBot="1" x14ac:dyDescent="0.3">
      <c r="A75" s="55">
        <v>73</v>
      </c>
      <c r="B75" s="55" t="s">
        <v>11</v>
      </c>
      <c r="C75" s="55" t="s">
        <v>602</v>
      </c>
      <c r="D75" s="55" t="s">
        <v>596</v>
      </c>
      <c r="E75" s="55">
        <v>1</v>
      </c>
      <c r="F75" s="55">
        <v>50</v>
      </c>
      <c r="G75" s="55">
        <v>5</v>
      </c>
      <c r="H75" s="50">
        <f t="shared" si="88"/>
        <v>55</v>
      </c>
      <c r="I75" s="55">
        <v>14</v>
      </c>
      <c r="J75" s="54">
        <v>360</v>
      </c>
      <c r="K75" s="28">
        <f t="shared" si="91"/>
        <v>374</v>
      </c>
      <c r="L75" s="49">
        <f t="shared" si="89"/>
        <v>42104</v>
      </c>
      <c r="M75" s="51">
        <f t="shared" si="90"/>
        <v>-10</v>
      </c>
      <c r="N75" s="51">
        <v>800</v>
      </c>
      <c r="O75" s="28">
        <v>21.4</v>
      </c>
      <c r="P75" s="28">
        <f t="shared" si="92"/>
        <v>628.80000000000007</v>
      </c>
      <c r="Q75" s="52">
        <f t="shared" si="93"/>
        <v>260756</v>
      </c>
      <c r="R75" s="52">
        <f t="shared" si="94"/>
        <v>4741.0181818181818</v>
      </c>
      <c r="S75" s="28">
        <f t="shared" si="95"/>
        <v>0.46904109589041076</v>
      </c>
    </row>
    <row r="76" spans="1:385" ht="15.75" thickTop="1" x14ac:dyDescent="0.25">
      <c r="A76" s="28">
        <v>74</v>
      </c>
      <c r="B76" s="28" t="s">
        <v>42</v>
      </c>
      <c r="C76" s="28" t="s">
        <v>17</v>
      </c>
      <c r="D76" s="28" t="s">
        <v>598</v>
      </c>
      <c r="E76" s="28">
        <v>2</v>
      </c>
      <c r="F76" s="28">
        <v>34</v>
      </c>
      <c r="G76" s="28">
        <v>5</v>
      </c>
      <c r="H76" s="50">
        <f t="shared" si="88"/>
        <v>39</v>
      </c>
      <c r="I76" s="28">
        <v>14</v>
      </c>
      <c r="J76" s="54">
        <v>344</v>
      </c>
      <c r="K76" s="28">
        <f t="shared" si="91"/>
        <v>358</v>
      </c>
      <c r="L76" s="49">
        <f t="shared" si="89"/>
        <v>42088</v>
      </c>
      <c r="M76" s="51">
        <f t="shared" si="90"/>
        <v>6</v>
      </c>
      <c r="N76" s="51">
        <v>0</v>
      </c>
    </row>
    <row r="77" spans="1:385" x14ac:dyDescent="0.25">
      <c r="A77" s="28">
        <v>75</v>
      </c>
      <c r="B77" s="28" t="s">
        <v>42</v>
      </c>
      <c r="C77" s="28" t="s">
        <v>17</v>
      </c>
      <c r="D77" s="28" t="s">
        <v>596</v>
      </c>
      <c r="E77" s="28">
        <v>1</v>
      </c>
      <c r="F77" s="28">
        <v>50</v>
      </c>
      <c r="G77" s="28">
        <v>5</v>
      </c>
      <c r="H77" s="28">
        <f t="shared" si="88"/>
        <v>55</v>
      </c>
      <c r="I77" s="28">
        <v>14</v>
      </c>
      <c r="J77" s="54">
        <v>370</v>
      </c>
      <c r="K77" s="28">
        <f t="shared" si="91"/>
        <v>384</v>
      </c>
      <c r="L77" s="49">
        <f t="shared" si="89"/>
        <v>42114</v>
      </c>
      <c r="M77" s="51">
        <f t="shared" si="90"/>
        <v>-20</v>
      </c>
      <c r="N77" s="51">
        <v>1200</v>
      </c>
      <c r="O77" s="28">
        <v>24.4</v>
      </c>
      <c r="P77" s="28">
        <f t="shared" ref="P77" si="96">N77*(1-O77/100)</f>
        <v>907.2</v>
      </c>
      <c r="Q77" s="52">
        <f t="shared" ref="Q77" si="97">N77*365-((S77/2)*365^2)</f>
        <v>384564</v>
      </c>
      <c r="R77" s="52">
        <f t="shared" ref="R77" si="98">Q77/H77</f>
        <v>6992.0727272727272</v>
      </c>
      <c r="S77" s="28">
        <f t="shared" ref="S77" si="99">(N77-P77)/365</f>
        <v>0.80219178082191767</v>
      </c>
    </row>
    <row r="78" spans="1:385" x14ac:dyDescent="0.25">
      <c r="A78" s="28" t="s">
        <v>464</v>
      </c>
      <c r="N78" s="51"/>
      <c r="U78" s="28">
        <f t="shared" ref="U78:CF78" si="100">SUM(U3:U77)</f>
        <v>0</v>
      </c>
      <c r="V78" s="28">
        <f t="shared" si="100"/>
        <v>0</v>
      </c>
      <c r="W78" s="28">
        <f t="shared" si="100"/>
        <v>0</v>
      </c>
      <c r="X78" s="28">
        <f t="shared" si="100"/>
        <v>0</v>
      </c>
      <c r="Y78" s="28">
        <f t="shared" si="100"/>
        <v>0</v>
      </c>
      <c r="Z78" s="28">
        <f t="shared" si="100"/>
        <v>0</v>
      </c>
      <c r="AA78" s="28">
        <f t="shared" si="100"/>
        <v>0</v>
      </c>
      <c r="AB78" s="28">
        <f t="shared" si="100"/>
        <v>0</v>
      </c>
      <c r="AC78" s="28">
        <f t="shared" si="100"/>
        <v>0</v>
      </c>
      <c r="AD78" s="28">
        <f t="shared" si="100"/>
        <v>0</v>
      </c>
      <c r="AE78" s="28">
        <f t="shared" si="100"/>
        <v>0</v>
      </c>
      <c r="AF78" s="28">
        <f t="shared" si="100"/>
        <v>0</v>
      </c>
      <c r="AG78" s="28">
        <f t="shared" si="100"/>
        <v>0</v>
      </c>
      <c r="AH78" s="28">
        <f t="shared" si="100"/>
        <v>0</v>
      </c>
      <c r="AI78" s="28">
        <f t="shared" si="100"/>
        <v>0</v>
      </c>
      <c r="AJ78" s="28">
        <f t="shared" si="100"/>
        <v>0</v>
      </c>
      <c r="AK78" s="28">
        <f t="shared" si="100"/>
        <v>0</v>
      </c>
      <c r="AL78" s="28">
        <f t="shared" si="100"/>
        <v>0</v>
      </c>
      <c r="AM78" s="28">
        <f t="shared" si="100"/>
        <v>0</v>
      </c>
      <c r="AN78" s="28">
        <f t="shared" si="100"/>
        <v>0</v>
      </c>
      <c r="AO78" s="28">
        <f t="shared" si="100"/>
        <v>0</v>
      </c>
      <c r="AP78" s="28">
        <f t="shared" si="100"/>
        <v>0</v>
      </c>
      <c r="AQ78" s="28">
        <f t="shared" si="100"/>
        <v>0</v>
      </c>
      <c r="AR78" s="28">
        <f t="shared" si="100"/>
        <v>0</v>
      </c>
      <c r="AS78" s="28">
        <f t="shared" si="100"/>
        <v>0</v>
      </c>
      <c r="AT78" s="28">
        <f t="shared" si="100"/>
        <v>0</v>
      </c>
      <c r="AU78" s="28">
        <f t="shared" si="100"/>
        <v>0</v>
      </c>
      <c r="AV78" s="28">
        <f t="shared" si="100"/>
        <v>0</v>
      </c>
      <c r="AW78" s="28">
        <f t="shared" si="100"/>
        <v>0</v>
      </c>
      <c r="AX78" s="28">
        <f t="shared" si="100"/>
        <v>0</v>
      </c>
      <c r="AY78" s="28">
        <f t="shared" si="100"/>
        <v>0</v>
      </c>
      <c r="AZ78" s="28">
        <f t="shared" si="100"/>
        <v>0</v>
      </c>
      <c r="BA78" s="28">
        <f t="shared" si="100"/>
        <v>0</v>
      </c>
      <c r="BB78" s="28">
        <f t="shared" si="100"/>
        <v>0</v>
      </c>
      <c r="BC78" s="28">
        <f t="shared" si="100"/>
        <v>0</v>
      </c>
      <c r="BD78" s="28">
        <f t="shared" si="100"/>
        <v>0</v>
      </c>
      <c r="BE78" s="28">
        <f t="shared" si="100"/>
        <v>0</v>
      </c>
      <c r="BF78" s="28">
        <f t="shared" si="100"/>
        <v>0</v>
      </c>
      <c r="BG78" s="28">
        <f t="shared" si="100"/>
        <v>0</v>
      </c>
      <c r="BH78" s="28">
        <f t="shared" si="100"/>
        <v>0</v>
      </c>
      <c r="BI78" s="28">
        <f t="shared" si="100"/>
        <v>0</v>
      </c>
      <c r="BJ78" s="28">
        <f t="shared" si="100"/>
        <v>0</v>
      </c>
      <c r="BK78" s="28">
        <f t="shared" si="100"/>
        <v>0</v>
      </c>
      <c r="BL78" s="28">
        <f t="shared" si="100"/>
        <v>0</v>
      </c>
      <c r="BM78" s="28">
        <f t="shared" si="100"/>
        <v>0</v>
      </c>
      <c r="BN78" s="28">
        <f t="shared" si="100"/>
        <v>0</v>
      </c>
      <c r="BO78" s="28">
        <f t="shared" si="100"/>
        <v>0</v>
      </c>
      <c r="BP78" s="28">
        <f t="shared" si="100"/>
        <v>0</v>
      </c>
      <c r="BQ78" s="28">
        <f t="shared" si="100"/>
        <v>0</v>
      </c>
      <c r="BR78" s="28">
        <f t="shared" si="100"/>
        <v>0</v>
      </c>
      <c r="BS78" s="28">
        <f t="shared" si="100"/>
        <v>0</v>
      </c>
      <c r="BT78" s="28">
        <f t="shared" si="100"/>
        <v>0</v>
      </c>
      <c r="BU78" s="28">
        <f t="shared" si="100"/>
        <v>0</v>
      </c>
      <c r="BV78" s="28">
        <f t="shared" si="100"/>
        <v>0</v>
      </c>
      <c r="BW78" s="28">
        <f t="shared" si="100"/>
        <v>0</v>
      </c>
      <c r="BX78" s="28">
        <f t="shared" si="100"/>
        <v>0</v>
      </c>
      <c r="BY78" s="28">
        <f t="shared" si="100"/>
        <v>0</v>
      </c>
      <c r="BZ78" s="28">
        <f t="shared" si="100"/>
        <v>0</v>
      </c>
      <c r="CA78" s="28">
        <f t="shared" si="100"/>
        <v>0</v>
      </c>
      <c r="CB78" s="28">
        <f t="shared" si="100"/>
        <v>0</v>
      </c>
      <c r="CC78" s="28">
        <f t="shared" si="100"/>
        <v>0</v>
      </c>
      <c r="CD78" s="28">
        <f t="shared" si="100"/>
        <v>0</v>
      </c>
      <c r="CE78" s="28">
        <f t="shared" si="100"/>
        <v>0</v>
      </c>
      <c r="CF78" s="28">
        <f t="shared" si="100"/>
        <v>0</v>
      </c>
      <c r="CG78" s="28">
        <f t="shared" ref="CG78:ER78" si="101">SUM(CG3:CG77)</f>
        <v>0</v>
      </c>
      <c r="CH78" s="28">
        <f t="shared" si="101"/>
        <v>0</v>
      </c>
      <c r="CI78" s="28">
        <f t="shared" si="101"/>
        <v>0</v>
      </c>
      <c r="CJ78" s="28">
        <f t="shared" si="101"/>
        <v>0</v>
      </c>
      <c r="CK78" s="28">
        <f t="shared" si="101"/>
        <v>0</v>
      </c>
      <c r="CL78" s="28">
        <f t="shared" si="101"/>
        <v>6200</v>
      </c>
      <c r="CM78" s="28">
        <f t="shared" si="101"/>
        <v>6196.1375342465753</v>
      </c>
      <c r="CN78" s="28">
        <f t="shared" si="101"/>
        <v>6192.2750684931507</v>
      </c>
      <c r="CO78" s="28">
        <f t="shared" si="101"/>
        <v>6188.412602739726</v>
      </c>
      <c r="CP78" s="28">
        <f t="shared" si="101"/>
        <v>6184.5501369863014</v>
      </c>
      <c r="CQ78" s="28">
        <f t="shared" si="101"/>
        <v>6180.6876712328767</v>
      </c>
      <c r="CR78" s="28">
        <f t="shared" si="101"/>
        <v>6176.8252054794521</v>
      </c>
      <c r="CS78" s="28">
        <f t="shared" si="101"/>
        <v>6172.9627397260274</v>
      </c>
      <c r="CT78" s="28">
        <f t="shared" si="101"/>
        <v>6169.1002739726027</v>
      </c>
      <c r="CU78" s="28">
        <f t="shared" si="101"/>
        <v>6165.2378082191781</v>
      </c>
      <c r="CV78" s="28">
        <f t="shared" si="101"/>
        <v>6161.3753424657534</v>
      </c>
      <c r="CW78" s="28">
        <f t="shared" si="101"/>
        <v>6157.5128767123288</v>
      </c>
      <c r="CX78" s="28">
        <f t="shared" si="101"/>
        <v>6153.6504109589041</v>
      </c>
      <c r="CY78" s="28">
        <f t="shared" si="101"/>
        <v>6149.7879452054794</v>
      </c>
      <c r="CZ78" s="28">
        <f t="shared" si="101"/>
        <v>6145.9254794520548</v>
      </c>
      <c r="DA78" s="28">
        <f t="shared" si="101"/>
        <v>6142.0630136986301</v>
      </c>
      <c r="DB78" s="28">
        <f t="shared" si="101"/>
        <v>6138.2005479452055</v>
      </c>
      <c r="DC78" s="28">
        <f t="shared" si="101"/>
        <v>6134.3380821917808</v>
      </c>
      <c r="DD78" s="28">
        <f t="shared" si="101"/>
        <v>6130.4756164383562</v>
      </c>
      <c r="DE78" s="28">
        <f t="shared" si="101"/>
        <v>6126.6131506849315</v>
      </c>
      <c r="DF78" s="28">
        <f t="shared" si="101"/>
        <v>6122.7506849315068</v>
      </c>
      <c r="DG78" s="28">
        <f t="shared" si="101"/>
        <v>6118.8882191780822</v>
      </c>
      <c r="DH78" s="28">
        <f t="shared" si="101"/>
        <v>6115.0257534246575</v>
      </c>
      <c r="DI78" s="28">
        <f t="shared" si="101"/>
        <v>6111.1632876712329</v>
      </c>
      <c r="DJ78" s="28">
        <f t="shared" si="101"/>
        <v>6107.3008219178082</v>
      </c>
      <c r="DK78" s="28">
        <f t="shared" si="101"/>
        <v>6103.4383561643835</v>
      </c>
      <c r="DL78" s="28">
        <f t="shared" si="101"/>
        <v>6099.5758904109589</v>
      </c>
      <c r="DM78" s="28">
        <f t="shared" si="101"/>
        <v>6095.7134246575342</v>
      </c>
      <c r="DN78" s="28">
        <f t="shared" si="101"/>
        <v>6091.8509589041096</v>
      </c>
      <c r="DO78" s="28">
        <f t="shared" si="101"/>
        <v>6087.9884931506849</v>
      </c>
      <c r="DP78" s="28">
        <f t="shared" si="101"/>
        <v>6084.1260273972603</v>
      </c>
      <c r="DQ78" s="28">
        <f t="shared" si="101"/>
        <v>6080.2635616438356</v>
      </c>
      <c r="DR78" s="28">
        <f t="shared" si="101"/>
        <v>6076.4010958904109</v>
      </c>
      <c r="DS78" s="28">
        <f t="shared" si="101"/>
        <v>6072.5386301369863</v>
      </c>
      <c r="DT78" s="28">
        <f t="shared" si="101"/>
        <v>6068.6761643835616</v>
      </c>
      <c r="DU78" s="28">
        <f t="shared" si="101"/>
        <v>6064.813698630137</v>
      </c>
      <c r="DV78" s="28">
        <f t="shared" si="101"/>
        <v>6060.9512328767123</v>
      </c>
      <c r="DW78" s="28">
        <f t="shared" si="101"/>
        <v>6057.0887671232877</v>
      </c>
      <c r="DX78" s="28">
        <f t="shared" si="101"/>
        <v>6053.226301369863</v>
      </c>
      <c r="DY78" s="28">
        <f t="shared" si="101"/>
        <v>6049.3638356164383</v>
      </c>
      <c r="DZ78" s="28">
        <f t="shared" si="101"/>
        <v>6045.5013698630137</v>
      </c>
      <c r="EA78" s="28">
        <f t="shared" si="101"/>
        <v>6041.638904109589</v>
      </c>
      <c r="EB78" s="28">
        <f t="shared" si="101"/>
        <v>6037.7764383561644</v>
      </c>
      <c r="EC78" s="28">
        <f t="shared" si="101"/>
        <v>6033.9139726027397</v>
      </c>
      <c r="ED78" s="28">
        <f t="shared" si="101"/>
        <v>6030.051506849315</v>
      </c>
      <c r="EE78" s="28">
        <f t="shared" si="101"/>
        <v>12226.189041095891</v>
      </c>
      <c r="EF78" s="28">
        <f t="shared" si="101"/>
        <v>12218.46410958904</v>
      </c>
      <c r="EG78" s="28">
        <f t="shared" si="101"/>
        <v>12210.739178082191</v>
      </c>
      <c r="EH78" s="28">
        <f t="shared" si="101"/>
        <v>12203.014246575342</v>
      </c>
      <c r="EI78" s="28">
        <f t="shared" si="101"/>
        <v>12195.289315068494</v>
      </c>
      <c r="EJ78" s="28">
        <f t="shared" si="101"/>
        <v>21187.564383561643</v>
      </c>
      <c r="EK78" s="28">
        <f t="shared" si="101"/>
        <v>21176.436712328767</v>
      </c>
      <c r="EL78" s="28">
        <f t="shared" si="101"/>
        <v>21165.309041095887</v>
      </c>
      <c r="EM78" s="28">
        <f t="shared" si="101"/>
        <v>21154.181369863014</v>
      </c>
      <c r="EN78" s="28">
        <f t="shared" si="101"/>
        <v>21143.053698630141</v>
      </c>
      <c r="EO78" s="28">
        <f t="shared" si="101"/>
        <v>21131.926027397261</v>
      </c>
      <c r="EP78" s="28">
        <f t="shared" si="101"/>
        <v>21120.798356164385</v>
      </c>
      <c r="EQ78" s="28">
        <f t="shared" si="101"/>
        <v>21109.670684931509</v>
      </c>
      <c r="ER78" s="28">
        <f t="shared" si="101"/>
        <v>21098.543013698632</v>
      </c>
      <c r="ES78" s="28">
        <f t="shared" ref="ES78:HD78" si="102">SUM(ES3:ES77)</f>
        <v>21087.415342465756</v>
      </c>
      <c r="ET78" s="28">
        <f t="shared" si="102"/>
        <v>21076.287671232876</v>
      </c>
      <c r="EU78" s="28">
        <f t="shared" si="102"/>
        <v>21065.160000000003</v>
      </c>
      <c r="EV78" s="28">
        <f t="shared" si="102"/>
        <v>21054.032328767131</v>
      </c>
      <c r="EW78" s="28">
        <f t="shared" si="102"/>
        <v>21042.904657534251</v>
      </c>
      <c r="EX78" s="28">
        <f t="shared" si="102"/>
        <v>21031.776986301375</v>
      </c>
      <c r="EY78" s="28">
        <f t="shared" si="102"/>
        <v>21020.649315068498</v>
      </c>
      <c r="EZ78" s="28">
        <f t="shared" si="102"/>
        <v>21009.521643835622</v>
      </c>
      <c r="FA78" s="28">
        <f t="shared" si="102"/>
        <v>20998.393972602746</v>
      </c>
      <c r="FB78" s="28">
        <f t="shared" si="102"/>
        <v>20987.266301369866</v>
      </c>
      <c r="FC78" s="28">
        <f t="shared" si="102"/>
        <v>20976.138630136993</v>
      </c>
      <c r="FD78" s="28">
        <f t="shared" si="102"/>
        <v>20965.01095890412</v>
      </c>
      <c r="FE78" s="28">
        <f t="shared" si="102"/>
        <v>20953.88328767124</v>
      </c>
      <c r="FF78" s="28">
        <f t="shared" si="102"/>
        <v>20942.755616438364</v>
      </c>
      <c r="FG78" s="28">
        <f t="shared" si="102"/>
        <v>20931.627945205488</v>
      </c>
      <c r="FH78" s="28">
        <f t="shared" si="102"/>
        <v>20920.500273972611</v>
      </c>
      <c r="FI78" s="28">
        <f t="shared" si="102"/>
        <v>20909.372602739735</v>
      </c>
      <c r="FJ78" s="28">
        <f t="shared" si="102"/>
        <v>20898.244931506855</v>
      </c>
      <c r="FK78" s="28">
        <f t="shared" si="102"/>
        <v>20887.117260273983</v>
      </c>
      <c r="FL78" s="28">
        <f t="shared" si="102"/>
        <v>20875.98958904111</v>
      </c>
      <c r="FM78" s="28">
        <f t="shared" si="102"/>
        <v>20864.86191780823</v>
      </c>
      <c r="FN78" s="28">
        <f t="shared" si="102"/>
        <v>20853.734246575354</v>
      </c>
      <c r="FO78" s="28">
        <f t="shared" si="102"/>
        <v>20842.606575342477</v>
      </c>
      <c r="FP78" s="28">
        <f t="shared" si="102"/>
        <v>20831.478904109601</v>
      </c>
      <c r="FQ78" s="28">
        <f t="shared" si="102"/>
        <v>20820.351232876725</v>
      </c>
      <c r="FR78" s="28">
        <f t="shared" si="102"/>
        <v>20809.223561643845</v>
      </c>
      <c r="FS78" s="28">
        <f t="shared" si="102"/>
        <v>23798.095890410972</v>
      </c>
      <c r="FT78" s="28">
        <f t="shared" si="102"/>
        <v>23785.833972602759</v>
      </c>
      <c r="FU78" s="28">
        <f t="shared" si="102"/>
        <v>23773.572054794538</v>
      </c>
      <c r="FV78" s="28">
        <f t="shared" si="102"/>
        <v>23761.310136986314</v>
      </c>
      <c r="FW78" s="28">
        <f t="shared" si="102"/>
        <v>23749.048219178097</v>
      </c>
      <c r="FX78" s="28">
        <f t="shared" si="102"/>
        <v>23736.786301369881</v>
      </c>
      <c r="FY78" s="28">
        <f t="shared" si="102"/>
        <v>23724.524383561664</v>
      </c>
      <c r="FZ78" s="28">
        <f t="shared" si="102"/>
        <v>23712.262465753436</v>
      </c>
      <c r="GA78" s="28">
        <f t="shared" si="102"/>
        <v>23700.000547945223</v>
      </c>
      <c r="GB78" s="28">
        <f t="shared" si="102"/>
        <v>23687.73863013701</v>
      </c>
      <c r="GC78" s="28">
        <f t="shared" si="102"/>
        <v>29675.476712328789</v>
      </c>
      <c r="GD78" s="28">
        <f t="shared" si="102"/>
        <v>29660.946301369884</v>
      </c>
      <c r="GE78" s="28">
        <f t="shared" si="102"/>
        <v>29646.415890410979</v>
      </c>
      <c r="GF78" s="28">
        <f t="shared" si="102"/>
        <v>29631.885479452081</v>
      </c>
      <c r="GG78" s="28">
        <f t="shared" si="102"/>
        <v>29617.355068493176</v>
      </c>
      <c r="GH78" s="28">
        <f t="shared" si="102"/>
        <v>29602.824657534267</v>
      </c>
      <c r="GI78" s="28">
        <f t="shared" si="102"/>
        <v>29588.294246575366</v>
      </c>
      <c r="GJ78" s="28">
        <f t="shared" si="102"/>
        <v>29573.763835616464</v>
      </c>
      <c r="GK78" s="28">
        <f t="shared" si="102"/>
        <v>29559.233424657563</v>
      </c>
      <c r="GL78" s="28">
        <f t="shared" si="102"/>
        <v>29544.703013698658</v>
      </c>
      <c r="GM78" s="28">
        <f t="shared" si="102"/>
        <v>31330.172602739753</v>
      </c>
      <c r="GN78" s="28">
        <f t="shared" si="102"/>
        <v>31314.226849315102</v>
      </c>
      <c r="GO78" s="28">
        <f t="shared" si="102"/>
        <v>31298.281095890445</v>
      </c>
      <c r="GP78" s="28">
        <f t="shared" si="102"/>
        <v>31282.33534246578</v>
      </c>
      <c r="GQ78" s="28">
        <f t="shared" si="102"/>
        <v>31266.389589041126</v>
      </c>
      <c r="GR78" s="28">
        <f t="shared" si="102"/>
        <v>34550.443835616476</v>
      </c>
      <c r="GS78" s="28">
        <f t="shared" si="102"/>
        <v>34532.711232876747</v>
      </c>
      <c r="GT78" s="28">
        <f t="shared" si="102"/>
        <v>34514.978630137019</v>
      </c>
      <c r="GU78" s="28">
        <f t="shared" si="102"/>
        <v>34497.246027397297</v>
      </c>
      <c r="GV78" s="28">
        <f t="shared" si="102"/>
        <v>34479.513424657576</v>
      </c>
      <c r="GW78" s="28">
        <f t="shared" si="102"/>
        <v>34461.780821917848</v>
      </c>
      <c r="GX78" s="28">
        <f t="shared" si="102"/>
        <v>34444.048219178119</v>
      </c>
      <c r="GY78" s="28">
        <f t="shared" si="102"/>
        <v>34426.315616438398</v>
      </c>
      <c r="GZ78" s="28">
        <f t="shared" si="102"/>
        <v>34408.58301369867</v>
      </c>
      <c r="HA78" s="28">
        <f t="shared" si="102"/>
        <v>34390.850410958941</v>
      </c>
      <c r="HB78" s="28">
        <f t="shared" si="102"/>
        <v>34373.11780821922</v>
      </c>
      <c r="HC78" s="28">
        <f t="shared" si="102"/>
        <v>34355.385205479499</v>
      </c>
      <c r="HD78" s="28">
        <f t="shared" si="102"/>
        <v>34337.652602739778</v>
      </c>
      <c r="HE78" s="28">
        <f t="shared" ref="HE78:JP78" si="103">SUM(HE3:HE77)</f>
        <v>34319.920000000049</v>
      </c>
      <c r="HF78" s="28">
        <f t="shared" si="103"/>
        <v>34302.187397260321</v>
      </c>
      <c r="HG78" s="28">
        <f t="shared" si="103"/>
        <v>34284.454794520592</v>
      </c>
      <c r="HH78" s="28">
        <f t="shared" si="103"/>
        <v>34266.722191780871</v>
      </c>
      <c r="HI78" s="28">
        <f t="shared" si="103"/>
        <v>34248.989589041143</v>
      </c>
      <c r="HJ78" s="28">
        <f t="shared" si="103"/>
        <v>34231.256986301421</v>
      </c>
      <c r="HK78" s="28">
        <f t="shared" si="103"/>
        <v>34213.524383561693</v>
      </c>
      <c r="HL78" s="28">
        <f t="shared" si="103"/>
        <v>34195.791780821979</v>
      </c>
      <c r="HM78" s="28">
        <f t="shared" si="103"/>
        <v>34178.059178082243</v>
      </c>
      <c r="HN78" s="28">
        <f t="shared" si="103"/>
        <v>34160.326575342515</v>
      </c>
      <c r="HO78" s="28">
        <f t="shared" si="103"/>
        <v>34142.593972602794</v>
      </c>
      <c r="HP78" s="28">
        <f t="shared" si="103"/>
        <v>34124.861369863072</v>
      </c>
      <c r="HQ78" s="28">
        <f t="shared" si="103"/>
        <v>34107.128767123344</v>
      </c>
      <c r="HR78" s="28">
        <f t="shared" si="103"/>
        <v>34089.396164383623</v>
      </c>
      <c r="HS78" s="28">
        <f t="shared" si="103"/>
        <v>34071.663561643894</v>
      </c>
      <c r="HT78" s="28">
        <f t="shared" si="103"/>
        <v>34053.930958904173</v>
      </c>
      <c r="HU78" s="28">
        <f t="shared" si="103"/>
        <v>34036.198356164445</v>
      </c>
      <c r="HV78" s="28">
        <f t="shared" si="103"/>
        <v>34018.465753424716</v>
      </c>
      <c r="HW78" s="28">
        <f t="shared" si="103"/>
        <v>34000.733150684988</v>
      </c>
      <c r="HX78" s="28">
        <f t="shared" si="103"/>
        <v>33983.000547945267</v>
      </c>
      <c r="HY78" s="28">
        <f t="shared" si="103"/>
        <v>33965.267945205545</v>
      </c>
      <c r="HZ78" s="28">
        <f t="shared" si="103"/>
        <v>33947.535342465817</v>
      </c>
      <c r="IA78" s="28">
        <f t="shared" si="103"/>
        <v>33929.802739726088</v>
      </c>
      <c r="IB78" s="28">
        <f t="shared" si="103"/>
        <v>33912.070136986375</v>
      </c>
      <c r="IC78" s="28">
        <f t="shared" si="103"/>
        <v>33894.337534246646</v>
      </c>
      <c r="ID78" s="28">
        <f t="shared" si="103"/>
        <v>33876.60493150691</v>
      </c>
      <c r="IE78" s="28">
        <f t="shared" si="103"/>
        <v>33858.872328767189</v>
      </c>
      <c r="IF78" s="28">
        <f t="shared" si="103"/>
        <v>41841.139726027475</v>
      </c>
      <c r="IG78" s="28">
        <f t="shared" si="103"/>
        <v>41819.681095890483</v>
      </c>
      <c r="IH78" s="28">
        <f t="shared" si="103"/>
        <v>41798.222465753497</v>
      </c>
      <c r="II78" s="28">
        <f t="shared" si="103"/>
        <v>41776.763835616512</v>
      </c>
      <c r="IJ78" s="28">
        <f t="shared" si="103"/>
        <v>41755.305205479526</v>
      </c>
      <c r="IK78" s="28">
        <f t="shared" si="103"/>
        <v>41733.846575342541</v>
      </c>
      <c r="IL78" s="28">
        <f t="shared" si="103"/>
        <v>41712.387945205563</v>
      </c>
      <c r="IM78" s="28">
        <f t="shared" si="103"/>
        <v>41690.92931506857</v>
      </c>
      <c r="IN78" s="28">
        <f t="shared" si="103"/>
        <v>41669.470684931599</v>
      </c>
      <c r="IO78" s="28">
        <f t="shared" si="103"/>
        <v>41648.012054794614</v>
      </c>
      <c r="IP78" s="28">
        <f t="shared" si="103"/>
        <v>41626.553424657621</v>
      </c>
      <c r="IQ78" s="28">
        <f t="shared" si="103"/>
        <v>41605.094794520628</v>
      </c>
      <c r="IR78" s="28">
        <f t="shared" si="103"/>
        <v>41583.63616438365</v>
      </c>
      <c r="IS78" s="28">
        <f t="shared" si="103"/>
        <v>41562.177534246672</v>
      </c>
      <c r="IT78" s="28">
        <f t="shared" si="103"/>
        <v>41540.718904109679</v>
      </c>
      <c r="IU78" s="28">
        <f t="shared" si="103"/>
        <v>43319.260273972686</v>
      </c>
      <c r="IV78" s="28">
        <f t="shared" si="103"/>
        <v>43296.844931506945</v>
      </c>
      <c r="IW78" s="28">
        <f t="shared" si="103"/>
        <v>43274.429589041196</v>
      </c>
      <c r="IX78" s="28">
        <f t="shared" si="103"/>
        <v>43252.014246575447</v>
      </c>
      <c r="IY78" s="28">
        <f t="shared" si="103"/>
        <v>43229.598904109676</v>
      </c>
      <c r="IZ78" s="28">
        <f t="shared" si="103"/>
        <v>46507.183561643935</v>
      </c>
      <c r="JA78" s="28">
        <f t="shared" si="103"/>
        <v>46482.981369863119</v>
      </c>
      <c r="JB78" s="28">
        <f t="shared" si="103"/>
        <v>46458.779178082288</v>
      </c>
      <c r="JC78" s="28">
        <f t="shared" si="103"/>
        <v>46434.576986301479</v>
      </c>
      <c r="JD78" s="28">
        <f t="shared" si="103"/>
        <v>46410.374794520649</v>
      </c>
      <c r="JE78" s="28">
        <f t="shared" si="103"/>
        <v>46386.17260273984</v>
      </c>
      <c r="JF78" s="28">
        <f t="shared" si="103"/>
        <v>46361.970410959017</v>
      </c>
      <c r="JG78" s="28">
        <f t="shared" si="103"/>
        <v>46337.768219178193</v>
      </c>
      <c r="JH78" s="28">
        <f t="shared" si="103"/>
        <v>46313.56602739737</v>
      </c>
      <c r="JI78" s="28">
        <f t="shared" si="103"/>
        <v>46289.363835616568</v>
      </c>
      <c r="JJ78" s="28">
        <f t="shared" si="103"/>
        <v>47765.161643835731</v>
      </c>
      <c r="JK78" s="28">
        <f t="shared" si="103"/>
        <v>47740.129315068611</v>
      </c>
      <c r="JL78" s="28">
        <f t="shared" si="103"/>
        <v>47715.096986301498</v>
      </c>
      <c r="JM78" s="28">
        <f t="shared" si="103"/>
        <v>47690.064657534364</v>
      </c>
      <c r="JN78" s="28">
        <f t="shared" si="103"/>
        <v>47665.032328767244</v>
      </c>
      <c r="JO78" s="28">
        <f t="shared" si="103"/>
        <v>47640.000000000124</v>
      </c>
      <c r="JP78" s="28">
        <f t="shared" si="103"/>
        <v>47614.967671232997</v>
      </c>
      <c r="JQ78" s="28">
        <f t="shared" ref="JQ78:MB78" si="104">SUM(JQ3:JQ77)</f>
        <v>47589.935342465877</v>
      </c>
      <c r="JR78" s="28">
        <f t="shared" si="104"/>
        <v>47564.903013698757</v>
      </c>
      <c r="JS78" s="28">
        <f t="shared" si="104"/>
        <v>47539.870684931637</v>
      </c>
      <c r="JT78" s="28">
        <f t="shared" si="104"/>
        <v>47514.838356164517</v>
      </c>
      <c r="JU78" s="28">
        <f t="shared" si="104"/>
        <v>47489.806027397404</v>
      </c>
      <c r="JV78" s="28">
        <f t="shared" si="104"/>
        <v>47464.77369863027</v>
      </c>
      <c r="JW78" s="28">
        <f t="shared" si="104"/>
        <v>47439.741369863143</v>
      </c>
      <c r="JX78" s="28">
        <f t="shared" si="104"/>
        <v>47414.70904109603</v>
      </c>
      <c r="JY78" s="28">
        <f t="shared" si="104"/>
        <v>47389.676712328917</v>
      </c>
      <c r="JZ78" s="28">
        <f t="shared" si="104"/>
        <v>47364.644383561783</v>
      </c>
      <c r="KA78" s="28">
        <f t="shared" si="104"/>
        <v>47339.612054794656</v>
      </c>
      <c r="KB78" s="28">
        <f t="shared" si="104"/>
        <v>47314.579726027543</v>
      </c>
      <c r="KC78" s="28">
        <f t="shared" si="104"/>
        <v>47289.54739726043</v>
      </c>
      <c r="KD78" s="28">
        <f t="shared" si="104"/>
        <v>48464.515068493303</v>
      </c>
      <c r="KE78" s="28">
        <f t="shared" si="104"/>
        <v>48438.680547945347</v>
      </c>
      <c r="KF78" s="28">
        <f t="shared" si="104"/>
        <v>48412.846027397412</v>
      </c>
      <c r="KG78" s="28">
        <f t="shared" si="104"/>
        <v>48387.011506849471</v>
      </c>
      <c r="KH78" s="28">
        <f t="shared" si="104"/>
        <v>48361.176986301514</v>
      </c>
      <c r="KI78" s="28">
        <f t="shared" si="104"/>
        <v>48335.342465753572</v>
      </c>
      <c r="KJ78" s="28">
        <f t="shared" si="104"/>
        <v>48309.507945205631</v>
      </c>
      <c r="KK78" s="28">
        <f t="shared" si="104"/>
        <v>48283.673424657696</v>
      </c>
      <c r="KL78" s="28">
        <f t="shared" si="104"/>
        <v>48257.838904109754</v>
      </c>
      <c r="KM78" s="28">
        <f t="shared" si="104"/>
        <v>48232.004383561805</v>
      </c>
      <c r="KN78" s="28">
        <f t="shared" si="104"/>
        <v>48206.169863013856</v>
      </c>
      <c r="KO78" s="28">
        <f t="shared" si="104"/>
        <v>48180.335342465936</v>
      </c>
      <c r="KP78" s="28">
        <f t="shared" si="104"/>
        <v>48154.500821917973</v>
      </c>
      <c r="KQ78" s="28">
        <f t="shared" si="104"/>
        <v>48128.666301370016</v>
      </c>
      <c r="KR78" s="28">
        <f t="shared" si="104"/>
        <v>48102.831780822096</v>
      </c>
      <c r="KS78" s="28">
        <f t="shared" si="104"/>
        <v>49276.99726027414</v>
      </c>
      <c r="KT78" s="28">
        <f t="shared" si="104"/>
        <v>49250.360547945376</v>
      </c>
      <c r="KU78" s="28">
        <f t="shared" si="104"/>
        <v>49223.723835616613</v>
      </c>
      <c r="KV78" s="28">
        <f t="shared" si="104"/>
        <v>49197.087123287834</v>
      </c>
      <c r="KW78" s="28">
        <f t="shared" si="104"/>
        <v>49170.450410959078</v>
      </c>
      <c r="KX78" s="28">
        <f t="shared" si="104"/>
        <v>49143.813698630314</v>
      </c>
      <c r="KY78" s="28">
        <f t="shared" si="104"/>
        <v>49117.176986301551</v>
      </c>
      <c r="KZ78" s="28">
        <f t="shared" si="104"/>
        <v>49090.540273972787</v>
      </c>
      <c r="LA78" s="28">
        <f t="shared" si="104"/>
        <v>49063.903561644031</v>
      </c>
      <c r="LB78" s="28">
        <f t="shared" si="104"/>
        <v>49037.266849315252</v>
      </c>
      <c r="LC78" s="28">
        <f t="shared" si="104"/>
        <v>51410.630136986481</v>
      </c>
      <c r="LD78" s="28">
        <f t="shared" si="104"/>
        <v>51382.372602739917</v>
      </c>
      <c r="LE78" s="28">
        <f t="shared" si="104"/>
        <v>51354.115068493353</v>
      </c>
      <c r="LF78" s="28">
        <f t="shared" si="104"/>
        <v>51325.857534246767</v>
      </c>
      <c r="LG78" s="28">
        <f t="shared" si="104"/>
        <v>51297.600000000188</v>
      </c>
      <c r="LH78" s="28">
        <f t="shared" si="104"/>
        <v>52469.342465753623</v>
      </c>
      <c r="LI78" s="28">
        <f t="shared" si="104"/>
        <v>52440.266301370073</v>
      </c>
      <c r="LJ78" s="28">
        <f t="shared" si="104"/>
        <v>52411.190136986508</v>
      </c>
      <c r="LK78" s="28">
        <f t="shared" si="104"/>
        <v>54382.113972602936</v>
      </c>
      <c r="LL78" s="28">
        <f t="shared" si="104"/>
        <v>54351.580273972817</v>
      </c>
      <c r="LM78" s="28">
        <f t="shared" si="104"/>
        <v>54321.046575342676</v>
      </c>
      <c r="LN78" s="28">
        <f t="shared" si="104"/>
        <v>54290.512876712535</v>
      </c>
      <c r="LO78" s="28">
        <f t="shared" si="104"/>
        <v>54259.979178082409</v>
      </c>
      <c r="LP78" s="28">
        <f t="shared" si="104"/>
        <v>54229.445479452268</v>
      </c>
      <c r="LQ78" s="28">
        <f t="shared" si="104"/>
        <v>54198.911780822134</v>
      </c>
      <c r="LR78" s="28">
        <f t="shared" si="104"/>
        <v>54168.378082192008</v>
      </c>
      <c r="LS78" s="28">
        <f t="shared" si="104"/>
        <v>54137.844383561853</v>
      </c>
      <c r="LT78" s="28">
        <f t="shared" si="104"/>
        <v>54107.310684931719</v>
      </c>
      <c r="LU78" s="28">
        <f t="shared" si="104"/>
        <v>54076.7769863016</v>
      </c>
      <c r="LV78" s="28">
        <f t="shared" si="104"/>
        <v>54046.243287671452</v>
      </c>
      <c r="LW78" s="28">
        <f t="shared" si="104"/>
        <v>56415.709589041311</v>
      </c>
      <c r="LX78" s="28">
        <f t="shared" si="104"/>
        <v>56383.53863013722</v>
      </c>
      <c r="LY78" s="28">
        <f t="shared" si="104"/>
        <v>56351.367671233085</v>
      </c>
      <c r="LZ78" s="28">
        <f t="shared" si="104"/>
        <v>56319.196712328972</v>
      </c>
      <c r="MA78" s="28">
        <f t="shared" si="104"/>
        <v>56287.025753424889</v>
      </c>
      <c r="MB78" s="28">
        <f t="shared" si="104"/>
        <v>58254.854794520783</v>
      </c>
      <c r="MC78" s="28">
        <f t="shared" ref="MC78:NT78" si="105">SUM(MC3:MC77)</f>
        <v>58221.39616438379</v>
      </c>
      <c r="MD78" s="28">
        <f t="shared" si="105"/>
        <v>58187.937534246819</v>
      </c>
      <c r="ME78" s="28">
        <f t="shared" si="105"/>
        <v>58154.478904109827</v>
      </c>
      <c r="MF78" s="28">
        <f t="shared" si="105"/>
        <v>58121.020273972856</v>
      </c>
      <c r="MG78" s="28">
        <f t="shared" si="105"/>
        <v>58087.56164383587</v>
      </c>
      <c r="MH78" s="28">
        <f t="shared" si="105"/>
        <v>58054.10301369887</v>
      </c>
      <c r="MI78" s="28">
        <f t="shared" si="105"/>
        <v>58020.644383561885</v>
      </c>
      <c r="MJ78" s="28">
        <f t="shared" si="105"/>
        <v>57987.185753424907</v>
      </c>
      <c r="MK78" s="28">
        <f t="shared" si="105"/>
        <v>57953.727123287936</v>
      </c>
      <c r="ML78" s="28">
        <f t="shared" si="105"/>
        <v>57920.26849315095</v>
      </c>
      <c r="MM78" s="28">
        <f t="shared" si="105"/>
        <v>57886.809863013943</v>
      </c>
      <c r="MN78" s="28">
        <f t="shared" si="105"/>
        <v>57853.351232876972</v>
      </c>
      <c r="MO78" s="28">
        <f t="shared" si="105"/>
        <v>57819.892602739987</v>
      </c>
      <c r="MP78" s="28">
        <f t="shared" si="105"/>
        <v>57786.433972602994</v>
      </c>
      <c r="MQ78" s="28">
        <f t="shared" si="105"/>
        <v>58952.975342466001</v>
      </c>
      <c r="MR78" s="28">
        <f t="shared" si="105"/>
        <v>58918.698082192044</v>
      </c>
      <c r="MS78" s="28">
        <f t="shared" si="105"/>
        <v>58884.420821918065</v>
      </c>
      <c r="MT78" s="28">
        <f t="shared" si="105"/>
        <v>58850.143561644087</v>
      </c>
      <c r="MU78" s="28">
        <f t="shared" si="105"/>
        <v>58815.866301370115</v>
      </c>
      <c r="MV78" s="28">
        <f t="shared" si="105"/>
        <v>59981.589041096151</v>
      </c>
      <c r="MW78" s="28">
        <f t="shared" si="105"/>
        <v>59946.493150685215</v>
      </c>
      <c r="MX78" s="28">
        <f t="shared" si="105"/>
        <v>59911.397260274251</v>
      </c>
      <c r="MY78" s="28">
        <f t="shared" si="105"/>
        <v>59876.3013698633</v>
      </c>
      <c r="MZ78" s="28">
        <f t="shared" si="105"/>
        <v>59841.205479452336</v>
      </c>
      <c r="NA78" s="28">
        <f t="shared" si="105"/>
        <v>62206.1095890414</v>
      </c>
      <c r="NB78" s="28">
        <f t="shared" si="105"/>
        <v>62169.376438356441</v>
      </c>
      <c r="NC78" s="28">
        <f t="shared" si="105"/>
        <v>62132.643287671512</v>
      </c>
      <c r="ND78" s="28">
        <f t="shared" si="105"/>
        <v>62095.910136986589</v>
      </c>
      <c r="NE78" s="28">
        <f t="shared" si="105"/>
        <v>62059.17698630166</v>
      </c>
      <c r="NF78" s="28">
        <f t="shared" si="105"/>
        <v>62022.443835616723</v>
      </c>
      <c r="NG78" s="28">
        <f t="shared" si="105"/>
        <v>61985.710684931808</v>
      </c>
      <c r="NH78" s="28">
        <f t="shared" si="105"/>
        <v>61948.977534246864</v>
      </c>
      <c r="NI78" s="28">
        <f t="shared" si="105"/>
        <v>61912.244383561934</v>
      </c>
      <c r="NJ78" s="28">
        <f t="shared" si="105"/>
        <v>61875.511232877019</v>
      </c>
      <c r="NK78" s="28">
        <f t="shared" si="105"/>
        <v>61838.778082192082</v>
      </c>
      <c r="NL78" s="28">
        <f t="shared" si="105"/>
        <v>61802.044931507146</v>
      </c>
      <c r="NM78" s="28">
        <f t="shared" si="105"/>
        <v>61765.311780822231</v>
      </c>
      <c r="NN78" s="28">
        <f t="shared" si="105"/>
        <v>61728.578630137301</v>
      </c>
      <c r="NO78" s="28">
        <f t="shared" si="105"/>
        <v>61691.845479452357</v>
      </c>
      <c r="NP78" s="28">
        <f t="shared" si="105"/>
        <v>64655.112328767449</v>
      </c>
      <c r="NQ78" s="28">
        <f t="shared" si="105"/>
        <v>64617.244931507172</v>
      </c>
      <c r="NR78" s="28">
        <f t="shared" si="105"/>
        <v>64579.377534246902</v>
      </c>
      <c r="NS78" s="28">
        <f t="shared" si="105"/>
        <v>64541.510136986602</v>
      </c>
      <c r="NT78" s="28">
        <f t="shared" si="105"/>
        <v>64503.64273972634</v>
      </c>
      <c r="NU78" s="28">
        <f>SUM(NU3:NU77)</f>
        <v>66065.775342466077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48"/>
  <sheetViews>
    <sheetView workbookViewId="0">
      <selection activeCell="N32" sqref="N32"/>
    </sheetView>
  </sheetViews>
  <sheetFormatPr defaultColWidth="9.140625" defaultRowHeight="15" x14ac:dyDescent="0.25"/>
  <cols>
    <col min="1" max="1" width="9.140625" style="28"/>
    <col min="2" max="2" width="9.140625" style="28" hidden="1" customWidth="1"/>
    <col min="3" max="3" width="8.5703125" style="28" bestFit="1" customWidth="1"/>
    <col min="4" max="4" width="9.85546875" style="28" bestFit="1" customWidth="1"/>
    <col min="5" max="16384" width="9.140625" style="28"/>
  </cols>
  <sheetData>
    <row r="1" spans="1:17" x14ac:dyDescent="0.25">
      <c r="C1" s="49">
        <v>41730</v>
      </c>
      <c r="D1" s="49">
        <v>42094</v>
      </c>
    </row>
    <row r="2" spans="1:17" x14ac:dyDescent="0.25">
      <c r="C2" s="28" t="s">
        <v>583</v>
      </c>
      <c r="D2" s="28" t="s">
        <v>603</v>
      </c>
      <c r="E2" s="28" t="s">
        <v>604</v>
      </c>
      <c r="F2" s="28" t="s">
        <v>605</v>
      </c>
      <c r="G2" s="28" t="s">
        <v>606</v>
      </c>
      <c r="H2" s="28" t="s">
        <v>607</v>
      </c>
      <c r="I2" s="28" t="s">
        <v>608</v>
      </c>
      <c r="J2" s="28" t="s">
        <v>609</v>
      </c>
      <c r="K2" s="28" t="s">
        <v>610</v>
      </c>
      <c r="L2" s="28" t="s">
        <v>611</v>
      </c>
      <c r="M2" s="28" t="s">
        <v>612</v>
      </c>
      <c r="N2" s="28" t="s">
        <v>613</v>
      </c>
      <c r="O2" s="28" t="s">
        <v>614</v>
      </c>
      <c r="P2" s="28" t="s">
        <v>615</v>
      </c>
      <c r="Q2" s="28" t="s">
        <v>616</v>
      </c>
    </row>
    <row r="3" spans="1:17" x14ac:dyDescent="0.25">
      <c r="A3" s="28" t="s">
        <v>617</v>
      </c>
      <c r="B3" s="28">
        <v>30.5</v>
      </c>
      <c r="C3" s="28">
        <f>B3</f>
        <v>30.5</v>
      </c>
      <c r="D3" s="28">
        <v>0</v>
      </c>
    </row>
    <row r="4" spans="1:17" x14ac:dyDescent="0.25">
      <c r="A4" s="28" t="s">
        <v>618</v>
      </c>
      <c r="B4" s="28">
        <v>30.5</v>
      </c>
      <c r="C4" s="28">
        <f>C3+B4</f>
        <v>61</v>
      </c>
      <c r="D4" s="28">
        <v>9</v>
      </c>
      <c r="H4" s="28" t="s">
        <v>619</v>
      </c>
      <c r="I4" s="28" t="s">
        <v>620</v>
      </c>
      <c r="J4" s="28" t="s">
        <v>621</v>
      </c>
      <c r="K4" s="28" t="s">
        <v>622</v>
      </c>
      <c r="L4" s="28" t="s">
        <v>623</v>
      </c>
      <c r="M4" s="28" t="s">
        <v>624</v>
      </c>
      <c r="N4" s="28" t="s">
        <v>625</v>
      </c>
      <c r="O4" s="28" t="s">
        <v>626</v>
      </c>
      <c r="P4" s="28" t="s">
        <v>627</v>
      </c>
    </row>
    <row r="5" spans="1:17" x14ac:dyDescent="0.25">
      <c r="A5" s="28" t="s">
        <v>628</v>
      </c>
      <c r="B5" s="28">
        <v>30.5</v>
      </c>
      <c r="C5" s="28">
        <f t="shared" ref="C5:C17" si="0">C4+B5</f>
        <v>91.5</v>
      </c>
      <c r="D5" s="28">
        <v>1</v>
      </c>
      <c r="J5" s="28" t="s">
        <v>629</v>
      </c>
    </row>
    <row r="6" spans="1:17" x14ac:dyDescent="0.25">
      <c r="A6" s="28" t="s">
        <v>630</v>
      </c>
      <c r="B6" s="28">
        <v>30.5</v>
      </c>
      <c r="C6" s="28">
        <f t="shared" si="0"/>
        <v>122</v>
      </c>
      <c r="D6" s="28">
        <v>8</v>
      </c>
      <c r="E6" s="28" t="s">
        <v>631</v>
      </c>
      <c r="F6" s="28" t="s">
        <v>632</v>
      </c>
      <c r="G6" s="28" t="s">
        <v>633</v>
      </c>
      <c r="H6" s="28" t="s">
        <v>634</v>
      </c>
      <c r="I6" s="28" t="s">
        <v>635</v>
      </c>
      <c r="N6" s="28" t="s">
        <v>636</v>
      </c>
      <c r="O6" s="28" t="s">
        <v>637</v>
      </c>
      <c r="P6" s="28" t="s">
        <v>638</v>
      </c>
    </row>
    <row r="7" spans="1:17" x14ac:dyDescent="0.25">
      <c r="A7" s="28" t="s">
        <v>639</v>
      </c>
      <c r="B7" s="28">
        <v>30.5</v>
      </c>
      <c r="C7" s="28">
        <f t="shared" si="0"/>
        <v>152.5</v>
      </c>
      <c r="D7" s="28">
        <v>6</v>
      </c>
      <c r="H7" s="28" t="s">
        <v>640</v>
      </c>
      <c r="I7" s="28" t="s">
        <v>641</v>
      </c>
      <c r="J7" s="28" t="s">
        <v>642</v>
      </c>
      <c r="K7" s="28" t="s">
        <v>643</v>
      </c>
      <c r="L7" s="28" t="s">
        <v>644</v>
      </c>
      <c r="M7" s="28" t="s">
        <v>645</v>
      </c>
    </row>
    <row r="8" spans="1:17" x14ac:dyDescent="0.25">
      <c r="A8" s="28" t="s">
        <v>646</v>
      </c>
      <c r="B8" s="28">
        <v>30.5</v>
      </c>
      <c r="C8" s="28">
        <f t="shared" si="0"/>
        <v>183</v>
      </c>
      <c r="D8" s="28">
        <v>6</v>
      </c>
      <c r="E8" s="28" t="s">
        <v>647</v>
      </c>
      <c r="F8" s="28" t="s">
        <v>648</v>
      </c>
      <c r="G8" s="28" t="s">
        <v>649</v>
      </c>
      <c r="H8" s="28" t="s">
        <v>650</v>
      </c>
      <c r="J8" s="28" t="s">
        <v>651</v>
      </c>
      <c r="M8" s="28" t="s">
        <v>652</v>
      </c>
    </row>
    <row r="9" spans="1:17" x14ac:dyDescent="0.25">
      <c r="A9" s="28" t="s">
        <v>653</v>
      </c>
      <c r="B9" s="28">
        <v>30.5</v>
      </c>
      <c r="C9" s="28">
        <f t="shared" si="0"/>
        <v>213.5</v>
      </c>
      <c r="D9" s="28">
        <v>6</v>
      </c>
      <c r="I9" s="28" t="s">
        <v>654</v>
      </c>
      <c r="K9" s="28" t="s">
        <v>655</v>
      </c>
      <c r="L9" s="28" t="s">
        <v>656</v>
      </c>
      <c r="N9" s="28" t="s">
        <v>657</v>
      </c>
      <c r="O9" s="28" t="s">
        <v>658</v>
      </c>
      <c r="P9" s="28" t="s">
        <v>659</v>
      </c>
    </row>
    <row r="10" spans="1:17" x14ac:dyDescent="0.25">
      <c r="A10" s="28" t="s">
        <v>660</v>
      </c>
      <c r="B10" s="28">
        <v>30.5</v>
      </c>
      <c r="C10" s="28">
        <f t="shared" si="0"/>
        <v>244</v>
      </c>
      <c r="D10" s="28">
        <v>8</v>
      </c>
      <c r="E10" s="28" t="s">
        <v>661</v>
      </c>
      <c r="F10" s="28" t="s">
        <v>662</v>
      </c>
      <c r="G10" s="28" t="s">
        <v>663</v>
      </c>
      <c r="H10" s="28" t="s">
        <v>664</v>
      </c>
      <c r="I10" s="28" t="s">
        <v>665</v>
      </c>
      <c r="K10" s="28" t="s">
        <v>666</v>
      </c>
      <c r="L10" s="28" t="s">
        <v>667</v>
      </c>
      <c r="M10" s="28" t="s">
        <v>668</v>
      </c>
    </row>
    <row r="11" spans="1:17" x14ac:dyDescent="0.25">
      <c r="A11" s="28" t="s">
        <v>669</v>
      </c>
      <c r="B11" s="28">
        <v>30.5</v>
      </c>
      <c r="C11" s="28">
        <f t="shared" si="0"/>
        <v>274.5</v>
      </c>
      <c r="D11" s="28">
        <v>7</v>
      </c>
      <c r="E11" s="28" t="s">
        <v>670</v>
      </c>
      <c r="G11" s="28" t="s">
        <v>671</v>
      </c>
      <c r="H11" s="28" t="s">
        <v>672</v>
      </c>
      <c r="K11" s="28" t="s">
        <v>673</v>
      </c>
      <c r="N11" s="28" t="s">
        <v>674</v>
      </c>
      <c r="O11" s="28" t="s">
        <v>675</v>
      </c>
      <c r="P11" s="28" t="s">
        <v>676</v>
      </c>
    </row>
    <row r="12" spans="1:17" x14ac:dyDescent="0.25">
      <c r="A12" s="28" t="s">
        <v>677</v>
      </c>
      <c r="B12" s="28">
        <v>30.5</v>
      </c>
      <c r="C12" s="28">
        <f t="shared" si="0"/>
        <v>305</v>
      </c>
      <c r="D12" s="28">
        <v>10</v>
      </c>
      <c r="E12" s="28" t="s">
        <v>678</v>
      </c>
      <c r="F12" s="28" t="s">
        <v>679</v>
      </c>
      <c r="I12" s="28" t="s">
        <v>680</v>
      </c>
      <c r="J12" s="28" t="s">
        <v>681</v>
      </c>
      <c r="L12" s="28" t="s">
        <v>682</v>
      </c>
      <c r="M12" s="28" t="s">
        <v>683</v>
      </c>
      <c r="N12" s="28" t="s">
        <v>684</v>
      </c>
      <c r="O12" s="28" t="s">
        <v>685</v>
      </c>
      <c r="P12" s="28" t="s">
        <v>686</v>
      </c>
      <c r="Q12" s="28" t="s">
        <v>687</v>
      </c>
    </row>
    <row r="13" spans="1:17" x14ac:dyDescent="0.25">
      <c r="A13" s="28" t="s">
        <v>688</v>
      </c>
      <c r="B13" s="28">
        <v>30.5</v>
      </c>
      <c r="C13" s="28">
        <f t="shared" si="0"/>
        <v>335.5</v>
      </c>
      <c r="D13" s="28">
        <v>5</v>
      </c>
      <c r="F13" s="28" t="s">
        <v>689</v>
      </c>
      <c r="G13" s="28" t="s">
        <v>690</v>
      </c>
      <c r="H13" s="28" t="s">
        <v>691</v>
      </c>
      <c r="I13" s="28" t="s">
        <v>692</v>
      </c>
      <c r="K13" s="28" t="s">
        <v>693</v>
      </c>
    </row>
    <row r="14" spans="1:17" x14ac:dyDescent="0.25">
      <c r="A14" s="28" t="s">
        <v>694</v>
      </c>
      <c r="B14" s="28">
        <v>30.5</v>
      </c>
      <c r="C14" s="28">
        <f t="shared" si="0"/>
        <v>366</v>
      </c>
      <c r="D14" s="28">
        <v>6</v>
      </c>
      <c r="E14" s="28" t="s">
        <v>695</v>
      </c>
      <c r="J14" s="28" t="s">
        <v>696</v>
      </c>
      <c r="L14" s="28" t="s">
        <v>697</v>
      </c>
      <c r="N14" s="28" t="s">
        <v>698</v>
      </c>
      <c r="O14" s="28" t="s">
        <v>699</v>
      </c>
      <c r="P14" s="28" t="s">
        <v>700</v>
      </c>
    </row>
    <row r="15" spans="1:17" x14ac:dyDescent="0.25">
      <c r="A15" s="28" t="s">
        <v>701</v>
      </c>
      <c r="B15" s="28">
        <v>30.5</v>
      </c>
      <c r="C15" s="28">
        <f t="shared" si="0"/>
        <v>396.5</v>
      </c>
      <c r="D15" s="28">
        <v>3</v>
      </c>
      <c r="G15" s="28" t="s">
        <v>702</v>
      </c>
      <c r="M15" s="28" t="s">
        <v>703</v>
      </c>
      <c r="Q15" s="28" t="s">
        <v>704</v>
      </c>
    </row>
    <row r="16" spans="1:17" x14ac:dyDescent="0.25">
      <c r="A16" s="28" t="s">
        <v>705</v>
      </c>
      <c r="B16" s="28">
        <v>30.5</v>
      </c>
      <c r="C16" s="28">
        <f t="shared" si="0"/>
        <v>427</v>
      </c>
    </row>
    <row r="17" spans="1:17" x14ac:dyDescent="0.25">
      <c r="A17" s="28" t="s">
        <v>706</v>
      </c>
      <c r="B17" s="28">
        <v>30.5</v>
      </c>
      <c r="C17" s="28">
        <f t="shared" si="0"/>
        <v>457.5</v>
      </c>
    </row>
    <row r="19" spans="1:17" x14ac:dyDescent="0.25">
      <c r="C19" s="28" t="s">
        <v>583</v>
      </c>
      <c r="D19" s="28" t="s">
        <v>603</v>
      </c>
      <c r="E19" s="28" t="s">
        <v>604</v>
      </c>
      <c r="F19" s="28" t="s">
        <v>605</v>
      </c>
      <c r="G19" s="28" t="s">
        <v>606</v>
      </c>
      <c r="H19" s="28" t="s">
        <v>607</v>
      </c>
      <c r="I19" s="28" t="s">
        <v>608</v>
      </c>
      <c r="J19" s="28" t="s">
        <v>609</v>
      </c>
      <c r="K19" s="28" t="s">
        <v>610</v>
      </c>
      <c r="L19" s="28" t="s">
        <v>611</v>
      </c>
      <c r="M19" s="28" t="s">
        <v>612</v>
      </c>
      <c r="N19" s="28" t="s">
        <v>613</v>
      </c>
      <c r="O19" s="28" t="s">
        <v>614</v>
      </c>
      <c r="P19" s="28" t="s">
        <v>615</v>
      </c>
      <c r="Q19" s="28" t="s">
        <v>616</v>
      </c>
    </row>
    <row r="20" spans="1:17" x14ac:dyDescent="0.25">
      <c r="A20" s="28" t="s">
        <v>617</v>
      </c>
      <c r="B20" s="28">
        <v>30.5</v>
      </c>
      <c r="C20" s="28">
        <f>B20</f>
        <v>30.5</v>
      </c>
      <c r="D20" s="28">
        <v>0</v>
      </c>
    </row>
    <row r="21" spans="1:17" x14ac:dyDescent="0.25">
      <c r="A21" s="28" t="s">
        <v>618</v>
      </c>
      <c r="B21" s="28">
        <v>30.5</v>
      </c>
      <c r="C21" s="28">
        <f>C20+B21</f>
        <v>61</v>
      </c>
      <c r="D21" s="28">
        <v>9</v>
      </c>
      <c r="H21" s="28" t="s">
        <v>707</v>
      </c>
      <c r="I21" s="28" t="s">
        <v>707</v>
      </c>
      <c r="J21" s="28" t="s">
        <v>707</v>
      </c>
      <c r="K21" s="28" t="s">
        <v>708</v>
      </c>
      <c r="L21" s="28" t="s">
        <v>708</v>
      </c>
      <c r="M21" s="28" t="s">
        <v>708</v>
      </c>
      <c r="N21" s="28" t="s">
        <v>709</v>
      </c>
      <c r="O21" s="28" t="s">
        <v>709</v>
      </c>
      <c r="P21" s="28" t="s">
        <v>709</v>
      </c>
    </row>
    <row r="22" spans="1:17" x14ac:dyDescent="0.25">
      <c r="A22" s="28" t="s">
        <v>628</v>
      </c>
      <c r="B22" s="28">
        <v>30.5</v>
      </c>
      <c r="C22" s="28">
        <f t="shared" ref="C22:C32" si="1">C21+B22</f>
        <v>91.5</v>
      </c>
      <c r="D22" s="28">
        <v>1</v>
      </c>
      <c r="J22" s="28" t="s">
        <v>708</v>
      </c>
    </row>
    <row r="23" spans="1:17" x14ac:dyDescent="0.25">
      <c r="A23" s="28" t="s">
        <v>630</v>
      </c>
      <c r="B23" s="28">
        <v>30.5</v>
      </c>
      <c r="C23" s="28">
        <f t="shared" si="1"/>
        <v>122</v>
      </c>
      <c r="D23" s="28">
        <v>8</v>
      </c>
      <c r="E23" s="28" t="s">
        <v>710</v>
      </c>
      <c r="F23" s="28" t="s">
        <v>710</v>
      </c>
      <c r="G23" s="28" t="s">
        <v>710</v>
      </c>
      <c r="H23" s="28" t="s">
        <v>708</v>
      </c>
      <c r="I23" s="28" t="s">
        <v>708</v>
      </c>
      <c r="N23" s="28" t="s">
        <v>707</v>
      </c>
      <c r="O23" s="28" t="s">
        <v>707</v>
      </c>
      <c r="P23" s="28" t="s">
        <v>711</v>
      </c>
    </row>
    <row r="24" spans="1:17" x14ac:dyDescent="0.25">
      <c r="A24" s="28" t="s">
        <v>639</v>
      </c>
      <c r="B24" s="28">
        <v>30.5</v>
      </c>
      <c r="C24" s="28">
        <f t="shared" si="1"/>
        <v>152.5</v>
      </c>
      <c r="D24" s="28">
        <v>6</v>
      </c>
      <c r="H24" s="28" t="s">
        <v>709</v>
      </c>
      <c r="I24" s="28" t="s">
        <v>709</v>
      </c>
      <c r="J24" s="28" t="s">
        <v>709</v>
      </c>
      <c r="K24" s="28" t="s">
        <v>710</v>
      </c>
      <c r="L24" s="28" t="s">
        <v>710</v>
      </c>
      <c r="M24" s="28" t="s">
        <v>710</v>
      </c>
    </row>
    <row r="25" spans="1:17" x14ac:dyDescent="0.25">
      <c r="A25" s="28" t="s">
        <v>646</v>
      </c>
      <c r="B25" s="28">
        <v>30.5</v>
      </c>
      <c r="C25" s="28">
        <f t="shared" si="1"/>
        <v>183</v>
      </c>
      <c r="D25" s="28">
        <v>6</v>
      </c>
      <c r="E25" s="28" t="s">
        <v>711</v>
      </c>
      <c r="F25" s="28" t="s">
        <v>712</v>
      </c>
      <c r="G25" s="28" t="s">
        <v>713</v>
      </c>
      <c r="H25" s="28" t="s">
        <v>708</v>
      </c>
      <c r="J25" s="28" t="s">
        <v>708</v>
      </c>
      <c r="M25" s="28" t="s">
        <v>708</v>
      </c>
    </row>
    <row r="26" spans="1:17" x14ac:dyDescent="0.25">
      <c r="A26" s="28" t="s">
        <v>653</v>
      </c>
      <c r="B26" s="28">
        <v>30.5</v>
      </c>
      <c r="C26" s="28">
        <f t="shared" si="1"/>
        <v>213.5</v>
      </c>
      <c r="D26" s="28">
        <v>6</v>
      </c>
      <c r="I26" s="28" t="s">
        <v>709</v>
      </c>
      <c r="K26" s="28" t="s">
        <v>709</v>
      </c>
      <c r="L26" s="28" t="s">
        <v>709</v>
      </c>
      <c r="N26" s="28" t="s">
        <v>710</v>
      </c>
      <c r="O26" s="28" t="s">
        <v>710</v>
      </c>
      <c r="P26" s="28" t="s">
        <v>714</v>
      </c>
    </row>
    <row r="27" spans="1:17" x14ac:dyDescent="0.25">
      <c r="A27" s="28" t="s">
        <v>660</v>
      </c>
      <c r="B27" s="28">
        <v>30.5</v>
      </c>
      <c r="C27" s="28">
        <f t="shared" si="1"/>
        <v>244</v>
      </c>
      <c r="D27" s="28">
        <v>8</v>
      </c>
      <c r="E27" s="28" t="s">
        <v>713</v>
      </c>
      <c r="F27" s="28" t="s">
        <v>713</v>
      </c>
      <c r="G27" s="28" t="s">
        <v>712</v>
      </c>
      <c r="H27" s="28" t="s">
        <v>708</v>
      </c>
      <c r="I27" s="28" t="s">
        <v>708</v>
      </c>
      <c r="K27" s="28" t="s">
        <v>708</v>
      </c>
      <c r="L27" s="28" t="s">
        <v>708</v>
      </c>
      <c r="M27" s="28" t="s">
        <v>712</v>
      </c>
    </row>
    <row r="28" spans="1:17" x14ac:dyDescent="0.25">
      <c r="A28" s="28" t="s">
        <v>669</v>
      </c>
      <c r="B28" s="28">
        <v>30.5</v>
      </c>
      <c r="C28" s="28">
        <f t="shared" si="1"/>
        <v>274.5</v>
      </c>
      <c r="D28" s="28">
        <v>7</v>
      </c>
      <c r="E28" s="28" t="s">
        <v>709</v>
      </c>
      <c r="G28" s="28" t="s">
        <v>708</v>
      </c>
      <c r="H28" s="28" t="s">
        <v>708</v>
      </c>
      <c r="K28" s="28" t="s">
        <v>708</v>
      </c>
      <c r="N28" s="28" t="s">
        <v>709</v>
      </c>
      <c r="O28" s="28" t="s">
        <v>709</v>
      </c>
      <c r="P28" s="28" t="s">
        <v>709</v>
      </c>
    </row>
    <row r="29" spans="1:17" x14ac:dyDescent="0.25">
      <c r="A29" s="28" t="s">
        <v>677</v>
      </c>
      <c r="B29" s="28">
        <v>30.5</v>
      </c>
      <c r="C29" s="28">
        <f t="shared" si="1"/>
        <v>305</v>
      </c>
      <c r="D29" s="28">
        <v>10</v>
      </c>
      <c r="E29" s="28" t="s">
        <v>708</v>
      </c>
      <c r="F29" s="28" t="s">
        <v>709</v>
      </c>
      <c r="I29" s="28" t="s">
        <v>708</v>
      </c>
      <c r="J29" s="28" t="s">
        <v>715</v>
      </c>
      <c r="L29" s="28" t="s">
        <v>708</v>
      </c>
      <c r="M29" s="28" t="s">
        <v>708</v>
      </c>
      <c r="N29" s="28" t="s">
        <v>708</v>
      </c>
      <c r="O29" s="28" t="s">
        <v>708</v>
      </c>
      <c r="P29" s="28" t="s">
        <v>708</v>
      </c>
      <c r="Q29" s="28" t="s">
        <v>714</v>
      </c>
    </row>
    <row r="30" spans="1:17" x14ac:dyDescent="0.25">
      <c r="A30" s="28" t="s">
        <v>688</v>
      </c>
      <c r="B30" s="28">
        <v>30.5</v>
      </c>
      <c r="C30" s="28">
        <f t="shared" si="1"/>
        <v>335.5</v>
      </c>
      <c r="D30" s="28">
        <v>5</v>
      </c>
      <c r="F30" s="28" t="s">
        <v>708</v>
      </c>
      <c r="G30" s="28" t="s">
        <v>708</v>
      </c>
      <c r="H30" s="28" t="s">
        <v>708</v>
      </c>
      <c r="I30" s="28" t="s">
        <v>708</v>
      </c>
      <c r="K30" s="28" t="s">
        <v>708</v>
      </c>
    </row>
    <row r="31" spans="1:17" x14ac:dyDescent="0.25">
      <c r="A31" s="28" t="s">
        <v>694</v>
      </c>
      <c r="B31" s="28">
        <v>30.5</v>
      </c>
      <c r="C31" s="28">
        <f t="shared" si="1"/>
        <v>366</v>
      </c>
      <c r="D31" s="28">
        <v>6</v>
      </c>
      <c r="E31" s="28" t="s">
        <v>709</v>
      </c>
      <c r="J31" s="28" t="s">
        <v>716</v>
      </c>
      <c r="L31" s="28" t="s">
        <v>710</v>
      </c>
      <c r="N31" s="28" t="s">
        <v>717</v>
      </c>
      <c r="O31" s="28" t="s">
        <v>717</v>
      </c>
      <c r="P31" s="28" t="s">
        <v>716</v>
      </c>
    </row>
    <row r="32" spans="1:17" x14ac:dyDescent="0.25">
      <c r="A32" s="28" t="s">
        <v>701</v>
      </c>
      <c r="B32" s="28">
        <v>30.5</v>
      </c>
      <c r="C32" s="28">
        <f t="shared" si="1"/>
        <v>396.5</v>
      </c>
      <c r="D32" s="28">
        <v>3</v>
      </c>
      <c r="G32" s="28" t="s">
        <v>709</v>
      </c>
      <c r="M32" s="28" t="s">
        <v>715</v>
      </c>
      <c r="Q32" s="28" t="s">
        <v>715</v>
      </c>
    </row>
    <row r="35" spans="1:27" x14ac:dyDescent="0.25">
      <c r="C35" s="28" t="s">
        <v>583</v>
      </c>
      <c r="D35" s="28" t="s">
        <v>603</v>
      </c>
      <c r="E35" s="28" t="s">
        <v>604</v>
      </c>
      <c r="F35" s="28" t="s">
        <v>605</v>
      </c>
      <c r="G35" s="28" t="s">
        <v>606</v>
      </c>
      <c r="H35" s="28" t="s">
        <v>607</v>
      </c>
      <c r="I35" s="28" t="s">
        <v>608</v>
      </c>
      <c r="J35" s="28" t="s">
        <v>609</v>
      </c>
      <c r="K35" s="28" t="s">
        <v>610</v>
      </c>
      <c r="L35" s="28" t="s">
        <v>611</v>
      </c>
      <c r="M35" s="28" t="s">
        <v>612</v>
      </c>
      <c r="N35" s="28" t="s">
        <v>613</v>
      </c>
      <c r="O35" s="28" t="s">
        <v>614</v>
      </c>
      <c r="P35" s="28" t="s">
        <v>615</v>
      </c>
      <c r="Q35" s="28" t="s">
        <v>616</v>
      </c>
      <c r="S35" s="28" t="s">
        <v>17</v>
      </c>
      <c r="T35" s="28" t="s">
        <v>13</v>
      </c>
      <c r="U35" s="28" t="s">
        <v>29</v>
      </c>
      <c r="V35" s="28" t="s">
        <v>602</v>
      </c>
      <c r="W35" s="28" t="s">
        <v>22</v>
      </c>
      <c r="X35" s="28" t="s">
        <v>44</v>
      </c>
      <c r="Y35" s="28" t="s">
        <v>715</v>
      </c>
      <c r="Z35" s="28" t="s">
        <v>464</v>
      </c>
      <c r="AA35" s="28" t="s">
        <v>465</v>
      </c>
    </row>
    <row r="36" spans="1:27" x14ac:dyDescent="0.25">
      <c r="A36" s="28" t="s">
        <v>617</v>
      </c>
      <c r="B36" s="28">
        <v>30.5</v>
      </c>
      <c r="C36" s="28">
        <f>B36</f>
        <v>30.5</v>
      </c>
      <c r="D36" s="28">
        <v>0</v>
      </c>
      <c r="R36" s="24">
        <v>41730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f>SUM(S36:Y36)</f>
        <v>0</v>
      </c>
      <c r="AA36" s="28">
        <f>Z36</f>
        <v>0</v>
      </c>
    </row>
    <row r="37" spans="1:27" x14ac:dyDescent="0.25">
      <c r="A37" s="28" t="s">
        <v>618</v>
      </c>
      <c r="B37" s="28">
        <v>30.5</v>
      </c>
      <c r="C37" s="28">
        <f>C36+B37</f>
        <v>61</v>
      </c>
      <c r="D37" s="28">
        <v>9</v>
      </c>
      <c r="H37" s="28" t="s">
        <v>22</v>
      </c>
      <c r="I37" s="28" t="s">
        <v>22</v>
      </c>
      <c r="J37" s="28" t="s">
        <v>22</v>
      </c>
      <c r="K37" s="28" t="s">
        <v>17</v>
      </c>
      <c r="L37" s="28" t="s">
        <v>17</v>
      </c>
      <c r="M37" s="28" t="s">
        <v>17</v>
      </c>
      <c r="N37" s="28" t="s">
        <v>17</v>
      </c>
      <c r="O37" s="28" t="s">
        <v>17</v>
      </c>
      <c r="P37" s="28" t="s">
        <v>17</v>
      </c>
      <c r="R37" s="24">
        <v>41760</v>
      </c>
      <c r="S37" s="28">
        <f>COUNTIF($E37:$Q37,S$35)</f>
        <v>6</v>
      </c>
      <c r="T37" s="28">
        <f t="shared" ref="T37:Y38" si="2">COUNTIF($E37:$Q37,T$35)</f>
        <v>0</v>
      </c>
      <c r="U37" s="28">
        <f t="shared" si="2"/>
        <v>0</v>
      </c>
      <c r="V37" s="28">
        <f t="shared" si="2"/>
        <v>0</v>
      </c>
      <c r="W37" s="28">
        <f t="shared" si="2"/>
        <v>3</v>
      </c>
      <c r="X37" s="28">
        <f t="shared" si="2"/>
        <v>0</v>
      </c>
      <c r="Y37" s="28">
        <f t="shared" si="2"/>
        <v>0</v>
      </c>
      <c r="Z37" s="28">
        <f t="shared" ref="Z37:Z48" si="3">SUM(S37:Y37)</f>
        <v>9</v>
      </c>
      <c r="AA37" s="28">
        <f>AA36+Z37</f>
        <v>9</v>
      </c>
    </row>
    <row r="38" spans="1:27" x14ac:dyDescent="0.25">
      <c r="A38" s="28" t="s">
        <v>628</v>
      </c>
      <c r="B38" s="28">
        <v>30.5</v>
      </c>
      <c r="C38" s="28">
        <f t="shared" ref="C38:C48" si="4">C37+B38</f>
        <v>91.5</v>
      </c>
      <c r="D38" s="28">
        <v>1</v>
      </c>
      <c r="J38" s="28" t="s">
        <v>17</v>
      </c>
      <c r="R38" s="24">
        <v>41791</v>
      </c>
      <c r="S38" s="28">
        <f>COUNTIF($E38:$Q38,S$35)</f>
        <v>1</v>
      </c>
      <c r="T38" s="28">
        <f t="shared" si="2"/>
        <v>0</v>
      </c>
      <c r="U38" s="28">
        <f t="shared" si="2"/>
        <v>0</v>
      </c>
      <c r="V38" s="28">
        <f t="shared" si="2"/>
        <v>0</v>
      </c>
      <c r="W38" s="28">
        <f t="shared" si="2"/>
        <v>0</v>
      </c>
      <c r="X38" s="28">
        <f t="shared" si="2"/>
        <v>0</v>
      </c>
      <c r="Y38" s="28">
        <f t="shared" si="2"/>
        <v>0</v>
      </c>
      <c r="Z38" s="28">
        <f t="shared" si="3"/>
        <v>1</v>
      </c>
      <c r="AA38" s="28">
        <f t="shared" ref="AA38:AA48" si="5">AA37+Z38</f>
        <v>10</v>
      </c>
    </row>
    <row r="39" spans="1:27" x14ac:dyDescent="0.25">
      <c r="A39" s="28" t="s">
        <v>630</v>
      </c>
      <c r="B39" s="28">
        <v>30.5</v>
      </c>
      <c r="C39" s="28">
        <f t="shared" si="4"/>
        <v>122</v>
      </c>
      <c r="D39" s="28">
        <v>8</v>
      </c>
      <c r="E39" s="28" t="s">
        <v>44</v>
      </c>
      <c r="F39" s="28" t="s">
        <v>44</v>
      </c>
      <c r="G39" s="28" t="s">
        <v>44</v>
      </c>
      <c r="H39" s="28" t="s">
        <v>17</v>
      </c>
      <c r="I39" s="28" t="s">
        <v>17</v>
      </c>
      <c r="N39" s="28" t="s">
        <v>22</v>
      </c>
      <c r="O39" s="28" t="s">
        <v>22</v>
      </c>
      <c r="P39" s="28" t="s">
        <v>22</v>
      </c>
      <c r="R39" s="24">
        <v>41821</v>
      </c>
      <c r="S39" s="28">
        <f t="shared" ref="S39:Y48" si="6">COUNTIF($E39:$Q39,S$35)</f>
        <v>2</v>
      </c>
      <c r="T39" s="28">
        <f t="shared" si="6"/>
        <v>0</v>
      </c>
      <c r="U39" s="28">
        <f t="shared" si="6"/>
        <v>0</v>
      </c>
      <c r="V39" s="28">
        <f t="shared" si="6"/>
        <v>0</v>
      </c>
      <c r="W39" s="28">
        <f t="shared" si="6"/>
        <v>3</v>
      </c>
      <c r="X39" s="28">
        <f t="shared" si="6"/>
        <v>3</v>
      </c>
      <c r="Y39" s="28">
        <f t="shared" si="6"/>
        <v>0</v>
      </c>
      <c r="Z39" s="28">
        <f t="shared" si="3"/>
        <v>8</v>
      </c>
      <c r="AA39" s="28">
        <f t="shared" si="5"/>
        <v>18</v>
      </c>
    </row>
    <row r="40" spans="1:27" x14ac:dyDescent="0.25">
      <c r="A40" s="28" t="s">
        <v>639</v>
      </c>
      <c r="B40" s="28">
        <v>30.5</v>
      </c>
      <c r="C40" s="28">
        <f t="shared" si="4"/>
        <v>152.5</v>
      </c>
      <c r="D40" s="28">
        <v>6</v>
      </c>
      <c r="H40" s="28" t="s">
        <v>17</v>
      </c>
      <c r="I40" s="28" t="s">
        <v>17</v>
      </c>
      <c r="J40" s="28" t="s">
        <v>17</v>
      </c>
      <c r="K40" s="28" t="s">
        <v>44</v>
      </c>
      <c r="L40" s="28" t="s">
        <v>44</v>
      </c>
      <c r="M40" s="28" t="s">
        <v>44</v>
      </c>
      <c r="R40" s="24">
        <v>41852</v>
      </c>
      <c r="S40" s="28">
        <f t="shared" si="6"/>
        <v>3</v>
      </c>
      <c r="T40" s="28">
        <f t="shared" si="6"/>
        <v>0</v>
      </c>
      <c r="U40" s="28">
        <f t="shared" si="6"/>
        <v>0</v>
      </c>
      <c r="V40" s="28">
        <f t="shared" si="6"/>
        <v>0</v>
      </c>
      <c r="W40" s="28">
        <f t="shared" si="6"/>
        <v>0</v>
      </c>
      <c r="X40" s="28">
        <f t="shared" si="6"/>
        <v>3</v>
      </c>
      <c r="Y40" s="28">
        <f t="shared" si="6"/>
        <v>0</v>
      </c>
      <c r="Z40" s="28">
        <f t="shared" si="3"/>
        <v>6</v>
      </c>
      <c r="AA40" s="28">
        <f t="shared" si="5"/>
        <v>24</v>
      </c>
    </row>
    <row r="41" spans="1:27" x14ac:dyDescent="0.25">
      <c r="A41" s="28" t="s">
        <v>646</v>
      </c>
      <c r="B41" s="28">
        <v>30.5</v>
      </c>
      <c r="C41" s="28">
        <f t="shared" si="4"/>
        <v>183</v>
      </c>
      <c r="D41" s="28">
        <v>6</v>
      </c>
      <c r="E41" s="28" t="s">
        <v>22</v>
      </c>
      <c r="F41" s="28" t="s">
        <v>29</v>
      </c>
      <c r="G41" s="28" t="s">
        <v>29</v>
      </c>
      <c r="H41" s="28" t="s">
        <v>17</v>
      </c>
      <c r="J41" s="28" t="s">
        <v>17</v>
      </c>
      <c r="M41" s="28" t="s">
        <v>17</v>
      </c>
      <c r="R41" s="24">
        <v>41883</v>
      </c>
      <c r="S41" s="28">
        <f t="shared" si="6"/>
        <v>3</v>
      </c>
      <c r="T41" s="28">
        <f t="shared" si="6"/>
        <v>0</v>
      </c>
      <c r="U41" s="28">
        <f t="shared" si="6"/>
        <v>2</v>
      </c>
      <c r="V41" s="28">
        <f t="shared" si="6"/>
        <v>0</v>
      </c>
      <c r="W41" s="28">
        <f t="shared" si="6"/>
        <v>1</v>
      </c>
      <c r="X41" s="28">
        <f t="shared" si="6"/>
        <v>0</v>
      </c>
      <c r="Y41" s="28">
        <f t="shared" si="6"/>
        <v>0</v>
      </c>
      <c r="Z41" s="28">
        <f t="shared" si="3"/>
        <v>6</v>
      </c>
      <c r="AA41" s="28">
        <f t="shared" si="5"/>
        <v>30</v>
      </c>
    </row>
    <row r="42" spans="1:27" x14ac:dyDescent="0.25">
      <c r="A42" s="28" t="s">
        <v>653</v>
      </c>
      <c r="B42" s="28">
        <v>30.5</v>
      </c>
      <c r="C42" s="28">
        <f t="shared" si="4"/>
        <v>213.5</v>
      </c>
      <c r="D42" s="28">
        <v>6</v>
      </c>
      <c r="I42" s="28" t="s">
        <v>17</v>
      </c>
      <c r="K42" s="28" t="s">
        <v>17</v>
      </c>
      <c r="L42" s="28" t="s">
        <v>17</v>
      </c>
      <c r="N42" s="28" t="s">
        <v>44</v>
      </c>
      <c r="O42" s="28" t="s">
        <v>44</v>
      </c>
      <c r="P42" s="28" t="s">
        <v>44</v>
      </c>
      <c r="R42" s="24">
        <v>41913</v>
      </c>
      <c r="S42" s="28">
        <f t="shared" si="6"/>
        <v>3</v>
      </c>
      <c r="T42" s="28">
        <f t="shared" si="6"/>
        <v>0</v>
      </c>
      <c r="U42" s="28">
        <f t="shared" si="6"/>
        <v>0</v>
      </c>
      <c r="V42" s="28">
        <f t="shared" si="6"/>
        <v>0</v>
      </c>
      <c r="W42" s="28">
        <f t="shared" si="6"/>
        <v>0</v>
      </c>
      <c r="X42" s="28">
        <f t="shared" si="6"/>
        <v>3</v>
      </c>
      <c r="Y42" s="28">
        <f t="shared" si="6"/>
        <v>0</v>
      </c>
      <c r="Z42" s="28">
        <f t="shared" si="3"/>
        <v>6</v>
      </c>
      <c r="AA42" s="28">
        <f t="shared" si="5"/>
        <v>36</v>
      </c>
    </row>
    <row r="43" spans="1:27" x14ac:dyDescent="0.25">
      <c r="A43" s="28" t="s">
        <v>660</v>
      </c>
      <c r="B43" s="28">
        <v>30.5</v>
      </c>
      <c r="C43" s="28">
        <f t="shared" si="4"/>
        <v>244</v>
      </c>
      <c r="D43" s="28">
        <v>8</v>
      </c>
      <c r="E43" s="28" t="s">
        <v>29</v>
      </c>
      <c r="F43" s="28" t="s">
        <v>29</v>
      </c>
      <c r="G43" s="28" t="s">
        <v>29</v>
      </c>
      <c r="H43" s="28" t="s">
        <v>17</v>
      </c>
      <c r="I43" s="28" t="s">
        <v>17</v>
      </c>
      <c r="K43" s="28" t="s">
        <v>17</v>
      </c>
      <c r="L43" s="28" t="s">
        <v>17</v>
      </c>
      <c r="M43" s="28" t="s">
        <v>29</v>
      </c>
      <c r="R43" s="24">
        <v>41944</v>
      </c>
      <c r="S43" s="28">
        <f t="shared" si="6"/>
        <v>4</v>
      </c>
      <c r="T43" s="28">
        <f t="shared" si="6"/>
        <v>0</v>
      </c>
      <c r="U43" s="28">
        <f t="shared" si="6"/>
        <v>4</v>
      </c>
      <c r="V43" s="28">
        <f t="shared" si="6"/>
        <v>0</v>
      </c>
      <c r="W43" s="28">
        <f t="shared" si="6"/>
        <v>0</v>
      </c>
      <c r="X43" s="28">
        <f t="shared" si="6"/>
        <v>0</v>
      </c>
      <c r="Y43" s="28">
        <f t="shared" si="6"/>
        <v>0</v>
      </c>
      <c r="Z43" s="28">
        <f t="shared" si="3"/>
        <v>8</v>
      </c>
      <c r="AA43" s="28">
        <f t="shared" si="5"/>
        <v>44</v>
      </c>
    </row>
    <row r="44" spans="1:27" x14ac:dyDescent="0.25">
      <c r="A44" s="28" t="s">
        <v>669</v>
      </c>
      <c r="B44" s="28">
        <v>30.5</v>
      </c>
      <c r="C44" s="28">
        <f t="shared" si="4"/>
        <v>274.5</v>
      </c>
      <c r="D44" s="28">
        <v>7</v>
      </c>
      <c r="E44" s="28" t="s">
        <v>17</v>
      </c>
      <c r="G44" s="28" t="s">
        <v>17</v>
      </c>
      <c r="H44" s="28" t="s">
        <v>17</v>
      </c>
      <c r="K44" s="28" t="s">
        <v>17</v>
      </c>
      <c r="N44" s="28" t="s">
        <v>17</v>
      </c>
      <c r="O44" s="28" t="s">
        <v>17</v>
      </c>
      <c r="P44" s="28" t="s">
        <v>17</v>
      </c>
      <c r="R44" s="24">
        <v>41974</v>
      </c>
      <c r="S44" s="28">
        <f t="shared" si="6"/>
        <v>7</v>
      </c>
      <c r="T44" s="28">
        <f t="shared" si="6"/>
        <v>0</v>
      </c>
      <c r="U44" s="28">
        <f t="shared" si="6"/>
        <v>0</v>
      </c>
      <c r="V44" s="28">
        <f t="shared" si="6"/>
        <v>0</v>
      </c>
      <c r="W44" s="28">
        <f t="shared" si="6"/>
        <v>0</v>
      </c>
      <c r="X44" s="28">
        <f t="shared" si="6"/>
        <v>0</v>
      </c>
      <c r="Y44" s="28">
        <f t="shared" si="6"/>
        <v>0</v>
      </c>
      <c r="Z44" s="28">
        <f t="shared" si="3"/>
        <v>7</v>
      </c>
      <c r="AA44" s="28">
        <f t="shared" si="5"/>
        <v>51</v>
      </c>
    </row>
    <row r="45" spans="1:27" x14ac:dyDescent="0.25">
      <c r="A45" s="28" t="s">
        <v>677</v>
      </c>
      <c r="B45" s="28">
        <v>30.5</v>
      </c>
      <c r="C45" s="28">
        <f t="shared" si="4"/>
        <v>305</v>
      </c>
      <c r="D45" s="28">
        <v>10</v>
      </c>
      <c r="E45" s="28" t="s">
        <v>17</v>
      </c>
      <c r="F45" s="28" t="s">
        <v>17</v>
      </c>
      <c r="I45" s="28" t="s">
        <v>17</v>
      </c>
      <c r="J45" s="28" t="s">
        <v>715</v>
      </c>
      <c r="L45" s="28" t="s">
        <v>17</v>
      </c>
      <c r="M45" s="28" t="s">
        <v>17</v>
      </c>
      <c r="N45" s="28" t="s">
        <v>17</v>
      </c>
      <c r="O45" s="28" t="s">
        <v>17</v>
      </c>
      <c r="P45" s="28" t="s">
        <v>17</v>
      </c>
      <c r="Q45" s="28" t="s">
        <v>44</v>
      </c>
      <c r="R45" s="24">
        <v>42005</v>
      </c>
      <c r="S45" s="28">
        <f t="shared" si="6"/>
        <v>8</v>
      </c>
      <c r="T45" s="28">
        <f t="shared" si="6"/>
        <v>0</v>
      </c>
      <c r="U45" s="28">
        <f t="shared" si="6"/>
        <v>0</v>
      </c>
      <c r="V45" s="28">
        <f t="shared" si="6"/>
        <v>0</v>
      </c>
      <c r="W45" s="28">
        <f t="shared" si="6"/>
        <v>0</v>
      </c>
      <c r="X45" s="28">
        <f t="shared" si="6"/>
        <v>1</v>
      </c>
      <c r="Y45" s="28">
        <f t="shared" si="6"/>
        <v>1</v>
      </c>
      <c r="Z45" s="28">
        <f t="shared" si="3"/>
        <v>10</v>
      </c>
      <c r="AA45" s="28">
        <f t="shared" si="5"/>
        <v>61</v>
      </c>
    </row>
    <row r="46" spans="1:27" x14ac:dyDescent="0.25">
      <c r="A46" s="28" t="s">
        <v>688</v>
      </c>
      <c r="B46" s="28">
        <v>30.5</v>
      </c>
      <c r="C46" s="28">
        <f t="shared" si="4"/>
        <v>335.5</v>
      </c>
      <c r="D46" s="28">
        <v>5</v>
      </c>
      <c r="F46" s="28" t="s">
        <v>17</v>
      </c>
      <c r="G46" s="28" t="s">
        <v>17</v>
      </c>
      <c r="H46" s="28" t="s">
        <v>17</v>
      </c>
      <c r="I46" s="28" t="s">
        <v>17</v>
      </c>
      <c r="K46" s="28" t="s">
        <v>17</v>
      </c>
      <c r="R46" s="24">
        <v>42036</v>
      </c>
      <c r="S46" s="28">
        <f t="shared" si="6"/>
        <v>5</v>
      </c>
      <c r="T46" s="28">
        <f t="shared" si="6"/>
        <v>0</v>
      </c>
      <c r="U46" s="28">
        <f t="shared" si="6"/>
        <v>0</v>
      </c>
      <c r="V46" s="28">
        <f t="shared" si="6"/>
        <v>0</v>
      </c>
      <c r="W46" s="28">
        <f t="shared" si="6"/>
        <v>0</v>
      </c>
      <c r="X46" s="28">
        <f t="shared" si="6"/>
        <v>0</v>
      </c>
      <c r="Y46" s="28">
        <f t="shared" si="6"/>
        <v>0</v>
      </c>
      <c r="Z46" s="28">
        <f t="shared" si="3"/>
        <v>5</v>
      </c>
      <c r="AA46" s="28">
        <f t="shared" si="5"/>
        <v>66</v>
      </c>
    </row>
    <row r="47" spans="1:27" x14ac:dyDescent="0.25">
      <c r="A47" s="28" t="s">
        <v>694</v>
      </c>
      <c r="B47" s="28">
        <v>30.5</v>
      </c>
      <c r="C47" s="28">
        <f t="shared" si="4"/>
        <v>366</v>
      </c>
      <c r="D47" s="28">
        <v>6</v>
      </c>
      <c r="E47" s="28" t="s">
        <v>17</v>
      </c>
      <c r="J47" s="28" t="s">
        <v>602</v>
      </c>
      <c r="L47" s="28" t="s">
        <v>44</v>
      </c>
      <c r="N47" s="28" t="s">
        <v>13</v>
      </c>
      <c r="O47" s="28" t="s">
        <v>13</v>
      </c>
      <c r="P47" s="28" t="s">
        <v>602</v>
      </c>
      <c r="R47" s="24">
        <v>42064</v>
      </c>
      <c r="S47" s="28">
        <f t="shared" si="6"/>
        <v>1</v>
      </c>
      <c r="T47" s="28">
        <f t="shared" si="6"/>
        <v>2</v>
      </c>
      <c r="U47" s="28">
        <f t="shared" si="6"/>
        <v>0</v>
      </c>
      <c r="V47" s="28">
        <f t="shared" si="6"/>
        <v>2</v>
      </c>
      <c r="W47" s="28">
        <f t="shared" si="6"/>
        <v>0</v>
      </c>
      <c r="X47" s="28">
        <f t="shared" si="6"/>
        <v>1</v>
      </c>
      <c r="Y47" s="28">
        <f t="shared" si="6"/>
        <v>0</v>
      </c>
      <c r="Z47" s="28">
        <f t="shared" si="3"/>
        <v>6</v>
      </c>
      <c r="AA47" s="28">
        <f t="shared" si="5"/>
        <v>72</v>
      </c>
    </row>
    <row r="48" spans="1:27" x14ac:dyDescent="0.25">
      <c r="A48" s="28" t="s">
        <v>701</v>
      </c>
      <c r="B48" s="28">
        <v>30.5</v>
      </c>
      <c r="C48" s="28">
        <f t="shared" si="4"/>
        <v>396.5</v>
      </c>
      <c r="D48" s="28">
        <v>3</v>
      </c>
      <c r="G48" s="28" t="s">
        <v>17</v>
      </c>
      <c r="M48" s="28" t="s">
        <v>715</v>
      </c>
      <c r="Q48" s="28" t="s">
        <v>715</v>
      </c>
      <c r="R48" s="24">
        <v>42095</v>
      </c>
      <c r="S48" s="28">
        <f t="shared" si="6"/>
        <v>1</v>
      </c>
      <c r="T48" s="28">
        <f t="shared" si="6"/>
        <v>0</v>
      </c>
      <c r="U48" s="28">
        <f t="shared" si="6"/>
        <v>0</v>
      </c>
      <c r="V48" s="28">
        <f t="shared" si="6"/>
        <v>0</v>
      </c>
      <c r="W48" s="28">
        <f t="shared" si="6"/>
        <v>0</v>
      </c>
      <c r="X48" s="28">
        <f t="shared" si="6"/>
        <v>0</v>
      </c>
      <c r="Y48" s="28">
        <f t="shared" si="6"/>
        <v>2</v>
      </c>
      <c r="Z48" s="28">
        <f t="shared" si="3"/>
        <v>3</v>
      </c>
      <c r="AA48" s="28">
        <f t="shared" si="5"/>
        <v>75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A142"/>
  <sheetViews>
    <sheetView workbookViewId="0">
      <selection activeCell="G4" sqref="G4"/>
    </sheetView>
  </sheetViews>
  <sheetFormatPr defaultRowHeight="15" x14ac:dyDescent="0.25"/>
  <cols>
    <col min="1" max="1" width="14.28515625" customWidth="1"/>
    <col min="2" max="2" width="16.42578125" customWidth="1"/>
    <col min="3" max="3" width="11.85546875" customWidth="1"/>
    <col min="4" max="4" width="10.85546875" customWidth="1"/>
    <col min="5" max="5" width="13.85546875" customWidth="1"/>
    <col min="6" max="6" width="13.7109375" customWidth="1"/>
    <col min="7" max="7" width="19.85546875" customWidth="1"/>
    <col min="9" max="9" width="8.42578125" style="122" customWidth="1"/>
    <col min="10" max="10" width="16.140625" customWidth="1"/>
    <col min="11" max="11" width="13.42578125" style="119" customWidth="1"/>
    <col min="12" max="27" width="16.140625" style="119" customWidth="1"/>
  </cols>
  <sheetData>
    <row r="1" spans="1:27" s="119" customFormat="1" x14ac:dyDescent="0.25">
      <c r="A1" s="590" t="s">
        <v>1056</v>
      </c>
      <c r="B1" s="590"/>
      <c r="C1" s="590"/>
      <c r="D1" s="590"/>
      <c r="E1" s="590"/>
      <c r="F1" s="590"/>
      <c r="G1" s="590"/>
      <c r="H1" s="590"/>
      <c r="I1" s="122"/>
    </row>
    <row r="2" spans="1:27" x14ac:dyDescent="0.25">
      <c r="A2" s="92" t="s">
        <v>840</v>
      </c>
      <c r="B2" s="92" t="s">
        <v>1049</v>
      </c>
      <c r="C2" s="81" t="s">
        <v>7</v>
      </c>
      <c r="D2" s="81" t="s">
        <v>8</v>
      </c>
      <c r="E2" s="81" t="s">
        <v>1050</v>
      </c>
      <c r="F2" s="81" t="s">
        <v>1055</v>
      </c>
      <c r="G2" s="81" t="s">
        <v>1054</v>
      </c>
      <c r="H2" s="81" t="s">
        <v>1287</v>
      </c>
      <c r="I2" s="123" t="s">
        <v>1057</v>
      </c>
      <c r="J2" s="89" t="s">
        <v>1058</v>
      </c>
      <c r="K2" s="89" t="s">
        <v>1322</v>
      </c>
      <c r="L2" s="89" t="s">
        <v>1321</v>
      </c>
      <c r="M2" s="89" t="s">
        <v>1323</v>
      </c>
      <c r="N2" s="89" t="s">
        <v>1324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</row>
    <row r="3" spans="1:27" x14ac:dyDescent="0.25">
      <c r="A3" s="121" t="s">
        <v>816</v>
      </c>
      <c r="B3" s="121" t="s">
        <v>815</v>
      </c>
      <c r="C3" s="121" t="s">
        <v>1059</v>
      </c>
      <c r="D3" s="121" t="s">
        <v>8</v>
      </c>
      <c r="E3" s="121" t="s">
        <v>1053</v>
      </c>
      <c r="F3" s="81" t="s">
        <v>1056</v>
      </c>
      <c r="G3" s="121"/>
      <c r="H3" s="121"/>
      <c r="I3" s="265">
        <v>80</v>
      </c>
      <c r="J3" t="s">
        <v>816</v>
      </c>
    </row>
    <row r="4" spans="1:27" x14ac:dyDescent="0.25">
      <c r="A4" s="121" t="s">
        <v>816</v>
      </c>
      <c r="B4" s="121" t="s">
        <v>815</v>
      </c>
      <c r="C4" s="121" t="s">
        <v>14</v>
      </c>
      <c r="D4" s="121" t="s">
        <v>8</v>
      </c>
      <c r="E4" s="121" t="s">
        <v>1053</v>
      </c>
      <c r="F4" s="81" t="s">
        <v>1056</v>
      </c>
      <c r="G4" s="214">
        <f t="array" ref="G4">AVERAGE(IF('Well Data-NK'!$G$109:$G$168={"ZU","RT","LB","UB","MA"},IF('Well Data-NK'!$K$109:$K$168="NW",IF('Well Data-NK'!$Q$109:$Q$168&lt;=PERCENTILE(IF('Well Data-NK'!$G$109:$G$168={"ZU","RT","LB","UB","MA"},IF('Well Data-NK'!$K$109:$K$168="NW",'Well Data-NK'!$Q$109:$Q$168)),0.25),'Well Data-NK'!$Q$109:$Q$168))))</f>
        <v>45.319333333333333</v>
      </c>
      <c r="H4" s="121">
        <f t="array" ref="H4">COUNT(IF('Well Data-NK'!$G$109:$G$168={"RT","ZU","LB","UB","MA"},IF('Well Data-NK'!$K$109:$K$168="NW",'Well Data-NK'!$Q$109:$Q$168)))</f>
        <v>21</v>
      </c>
      <c r="I4" s="265">
        <v>90</v>
      </c>
      <c r="J4" s="119" t="s">
        <v>14</v>
      </c>
    </row>
    <row r="5" spans="1:27" x14ac:dyDescent="0.25">
      <c r="A5" s="121" t="s">
        <v>816</v>
      </c>
      <c r="B5" s="121" t="s">
        <v>815</v>
      </c>
      <c r="C5" s="121" t="s">
        <v>18</v>
      </c>
      <c r="D5" s="121" t="s">
        <v>8</v>
      </c>
      <c r="E5" s="121" t="s">
        <v>1053</v>
      </c>
      <c r="F5" s="81" t="s">
        <v>1056</v>
      </c>
      <c r="G5" s="214">
        <f t="array" ref="G5">AVERAGE(IF('Well Data-NK'!$G$109:$G$168={"ZU","RT","LB","UB","MA"},IF('Well Data-NK'!$K$109:$K$168="ST",IF('Well Data-NK'!$Q$109:$Q$168&lt;=PERCENTILE(IF('Well Data-NK'!$G$109:$G$168={"ZU","RT","LB","UB","MA"},IF('Well Data-NK'!$K$109:$K$168="ST",'Well Data-NK'!$Q$109:$Q$168)),0.25),'Well Data-NK'!$Q$109:$Q$168))))</f>
        <v>28.654166533332841</v>
      </c>
      <c r="H5" s="214">
        <f t="array" ref="H5">COUNT(IF('Well Data-NK'!$G$109:$G$168={"ZU","RT","LB","UB","MA"},IF('Well Data-NK'!$K$109:$K$168="ST",IF('Well Data-NK'!$Q$109:$Q$168&lt;=PERCENTILE(IF('Well Data-NK'!$G$109:$G$168={"ZU","RT","LB","UB","MA"},IF('Well Data-NK'!$K$109:$K$168="ST",'Well Data-NK'!$Q$109:$Q$168)),0.25),'Well Data-NK'!$Q$109:$Q$168))))</f>
        <v>10</v>
      </c>
      <c r="I5" s="265">
        <v>100</v>
      </c>
      <c r="J5" s="119" t="s">
        <v>18</v>
      </c>
    </row>
    <row r="6" spans="1:27" x14ac:dyDescent="0.25">
      <c r="A6" s="121" t="s">
        <v>816</v>
      </c>
      <c r="B6" s="121" t="s">
        <v>815</v>
      </c>
      <c r="C6" s="121" t="s">
        <v>14</v>
      </c>
      <c r="D6" s="121" t="s">
        <v>298</v>
      </c>
      <c r="E6" s="121" t="s">
        <v>1053</v>
      </c>
      <c r="F6" s="81" t="s">
        <v>1056</v>
      </c>
      <c r="G6" s="214">
        <f t="array" ref="G6">AVERAGE(IF('Well Data-NK'!$G$109:$G$168={"ZU","RT","LB","UB","MA"},IF('Well Data-NK'!$K$109:$K$168="NW",IF('Well Data-NK'!$J$109:$J$168="Prod",IF('Well Data-NK'!$Q$109:$Q$168&lt;=PERCENTILE(IF('Well Data-NK'!$G$109:$G$168={"ZU","RT","LB","UB","MA"},IF('Well Data-NK'!$K$109:$K$168="NW",IF('Well Data-NK'!$J$109:$J$168="Prod",'Well Data-NK'!$Q$109:$Q$168))),0.25),'Well Data-NK'!$Q$109:$Q$168)))))</f>
        <v>45.319333333333333</v>
      </c>
      <c r="H6" s="214">
        <f t="array" ref="H6">COUNT(IF('Well Data-NK'!$G$109:$G$168={"ZU","RT","LB","UB","MA"},IF('Well Data-NK'!$K$109:$K$168="NW",IF('Well Data-NK'!$J$109:$J$168="Prod",IF('Well Data-NK'!$Q$109:$Q$168&lt;=PERCENTILE(IF('Well Data-NK'!$G$109:$G$168={"ZU","RT","LB","UB","MA"},IF('Well Data-NK'!$K$109:$K$168="NW",IF('Well Data-NK'!$J$109:$J$168="Prod",'Well Data-NK'!$Q$109:$Q$168))),0.25),'Well Data-NK'!$Q$109:$Q$168)))))</f>
        <v>6</v>
      </c>
      <c r="I6" s="263">
        <v>110</v>
      </c>
      <c r="J6" s="119" t="s">
        <v>1283</v>
      </c>
      <c r="K6" s="119">
        <f t="shared" ref="K6:K65" si="0">SUM($H$76:$H$79)</f>
        <v>60</v>
      </c>
      <c r="L6" s="119">
        <f t="shared" ref="L6:L65" si="1">H6/K6</f>
        <v>0.1</v>
      </c>
      <c r="M6" s="119">
        <f>IF(ISERROR(L6*G6),0,(L6*G6))</f>
        <v>4.5319333333333338</v>
      </c>
      <c r="N6" s="119">
        <f>SUM($M$6:$M$9)</f>
        <v>10.491308266666545</v>
      </c>
    </row>
    <row r="7" spans="1:27" x14ac:dyDescent="0.25">
      <c r="A7" s="121" t="s">
        <v>816</v>
      </c>
      <c r="B7" s="121" t="s">
        <v>815</v>
      </c>
      <c r="C7" s="121" t="s">
        <v>18</v>
      </c>
      <c r="D7" s="121" t="s">
        <v>298</v>
      </c>
      <c r="E7" s="121" t="s">
        <v>1053</v>
      </c>
      <c r="F7" s="81" t="s">
        <v>1056</v>
      </c>
      <c r="G7" s="214">
        <f t="array" ref="G7">AVERAGE(IF('Well Data-NK'!$G$109:$G$168={"ZU","RT","LB","UB","MA"},IF('Well Data-NK'!$K$109:$K$168="ST",IF('Well Data-NK'!$J$109:$J$168="Prod",IF('Well Data-NK'!$Q$109:$Q$168&lt;=PERCENTILE(IF('Well Data-NK'!$G$109:$G$168={"ZU","RT","LB","UB","MA"},IF('Well Data-NK'!$K$109:$K$168="ST",IF('Well Data-NK'!$J$109:$J$168="Prod",'Well Data-NK'!$Q$109:$Q$168))),0.25),'Well Data-NK'!$Q$109:$Q$168)))))</f>
        <v>41.578124166666058</v>
      </c>
      <c r="H7" s="214">
        <f t="array" ref="H7">COUNT(IF('Well Data-NK'!$G$109:$G$168={"ZU","RT","LB","UB","MA"},IF('Well Data-NK'!$K$109:$K$168="ST",IF('Well Data-NK'!$J$109:$J$168="Prod",IF('Well Data-NK'!$Q$109:$Q$168&lt;=PERCENTILE(IF('Well Data-NK'!$G$109:$G$168={"ZU","RT","LB","UB","MA"},IF('Well Data-NK'!$K$109:$K$168="ST",IF('Well Data-NK'!$J$109:$J$168="Prod",'Well Data-NK'!$Q$109:$Q$168))),0.25),'Well Data-NK'!$Q$109:$Q$168)))))</f>
        <v>4</v>
      </c>
      <c r="I7" s="265">
        <v>120</v>
      </c>
      <c r="J7" s="119" t="s">
        <v>1284</v>
      </c>
      <c r="K7" s="119">
        <f t="shared" si="0"/>
        <v>60</v>
      </c>
      <c r="L7" s="119">
        <f t="shared" si="1"/>
        <v>6.6666666666666666E-2</v>
      </c>
      <c r="M7" s="119">
        <f t="shared" ref="M7:M9" si="2">IF(ISERROR(L7*G7),0,(L7*G7))</f>
        <v>2.771874944444404</v>
      </c>
      <c r="N7" s="119">
        <f t="shared" ref="N7:N9" si="3">SUM($M$6:$M$9)</f>
        <v>10.491308266666545</v>
      </c>
    </row>
    <row r="8" spans="1:27" x14ac:dyDescent="0.25">
      <c r="A8" s="121" t="s">
        <v>816</v>
      </c>
      <c r="B8" s="121" t="s">
        <v>815</v>
      </c>
      <c r="C8" s="121" t="s">
        <v>14</v>
      </c>
      <c r="D8" s="121" t="s">
        <v>34</v>
      </c>
      <c r="E8" s="121" t="s">
        <v>1053</v>
      </c>
      <c r="F8" s="81" t="s">
        <v>1056</v>
      </c>
      <c r="G8" s="214" t="e">
        <f t="array" ref="G8">AVERAGE(IF('Well Data-NK'!$G$109:$G$168={"ZU","RT","LB","UB","MA"},IF('Well Data-NK'!$K$109:$K$168="NW",IF('Well Data-NK'!$J$109:$J$168="Inj",IF('Well Data-NK'!$Q$109:$Q$168&lt;=PERCENTILE(IF('Well Data-NK'!$G$109:$G$168={"ZU","RT","LB","UB","MA"},IF('Well Data-NK'!$K$109:$K$168="NW",IF('Well Data-NK'!$J$109:$J$168="Inj",'Well Data-NK'!$Q$109:$Q$168))),0.25),'Well Data-NK'!$Q$109:$Q$168)))))</f>
        <v>#DIV/0!</v>
      </c>
      <c r="H8" s="214">
        <f t="array" ref="H8">COUNT(IF('Well Data-NK'!$G$109:$G$168={"ZU","RT","LB","UB","MA"},IF('Well Data-NK'!$K$109:$K$168="NW",IF('Well Data-NK'!$J$109:$J$168="Inj",IF('Well Data-NK'!$Q$109:$Q$168&lt;=PERCENTILE(IF('Well Data-NK'!$G$109:$G$168={"ZU","RT","LB","UB","MA"},IF('Well Data-NK'!$K$109:$K$168="NW",IF('Well Data-NK'!$J$109:$J$168="Inj",'Well Data-NK'!$Q$109:$Q$168))),0.25),'Well Data-NK'!$Q$109:$Q$168)))))</f>
        <v>0</v>
      </c>
      <c r="I8" s="265">
        <v>130</v>
      </c>
      <c r="J8" s="119" t="s">
        <v>1285</v>
      </c>
      <c r="K8" s="119">
        <f t="shared" si="0"/>
        <v>60</v>
      </c>
      <c r="L8" s="119">
        <f t="shared" si="1"/>
        <v>0</v>
      </c>
      <c r="M8" s="119">
        <f t="shared" si="2"/>
        <v>0</v>
      </c>
      <c r="N8" s="119">
        <f t="shared" si="3"/>
        <v>10.491308266666545</v>
      </c>
    </row>
    <row r="9" spans="1:27" x14ac:dyDescent="0.25">
      <c r="A9" s="121" t="s">
        <v>816</v>
      </c>
      <c r="B9" s="121" t="s">
        <v>815</v>
      </c>
      <c r="C9" s="121" t="s">
        <v>18</v>
      </c>
      <c r="D9" s="121" t="s">
        <v>34</v>
      </c>
      <c r="E9" s="121" t="s">
        <v>1053</v>
      </c>
      <c r="F9" s="81" t="s">
        <v>1056</v>
      </c>
      <c r="G9" s="214">
        <f t="array" ref="G9">AVERAGE(IF('Well Data-NK'!$G$109:$G$168={"ZU","RT","LB","UB","MA"},IF('Well Data-NK'!$K$109:$K$168="ST",IF('Well Data-NK'!$J$109:$J$168="Inj",IF('Well Data-NK'!$Q$109:$Q$168&lt;=PERCENTILE(IF('Well Data-NK'!$G$109:$G$168={"ZU","RT","LB","UB","MA"},IF('Well Data-NK'!$K$109:$K$168="ST",IF('Well Data-NK'!$J$109:$J$168="Inj",'Well Data-NK'!$Q$109:$Q$168))),0.25),'Well Data-NK'!$Q$109:$Q$168)))))</f>
        <v>27.321428476189777</v>
      </c>
      <c r="H9" s="214">
        <f t="array" ref="H9">COUNT(IF('Well Data-NK'!$G$109:$G$168={"ZU","RT","LB","UB","MA"},IF('Well Data-NK'!$K$109:$K$168="ST",IF('Well Data-NK'!$J$109:$J$168="Inj",IF('Well Data-NK'!$Q$109:$Q$168&lt;=PERCENTILE(IF('Well Data-NK'!$G$109:$G$168={"ZU","RT","LB","UB","MA"},IF('Well Data-NK'!$K$109:$K$168="ST",IF('Well Data-NK'!$J$109:$J$168="Inj",'Well Data-NK'!$Q$109:$Q$168))),0.25),'Well Data-NK'!$Q$109:$Q$168)))))</f>
        <v>7</v>
      </c>
      <c r="I9" s="265">
        <v>140</v>
      </c>
      <c r="J9" s="119" t="s">
        <v>1286</v>
      </c>
      <c r="K9" s="119">
        <f t="shared" si="0"/>
        <v>60</v>
      </c>
      <c r="L9" s="119">
        <f t="shared" si="1"/>
        <v>0.11666666666666667</v>
      </c>
      <c r="M9" s="119">
        <f t="shared" si="2"/>
        <v>3.1874999888888071</v>
      </c>
      <c r="N9" s="119">
        <f t="shared" si="3"/>
        <v>10.491308266666545</v>
      </c>
    </row>
    <row r="10" spans="1:27" x14ac:dyDescent="0.25">
      <c r="A10" s="81" t="s">
        <v>816</v>
      </c>
      <c r="B10" s="81" t="s">
        <v>814</v>
      </c>
      <c r="C10" s="81" t="s">
        <v>1059</v>
      </c>
      <c r="D10" s="81" t="s">
        <v>8</v>
      </c>
      <c r="E10" s="81" t="s">
        <v>1053</v>
      </c>
      <c r="F10" s="81" t="s">
        <v>1056</v>
      </c>
      <c r="G10" s="81"/>
      <c r="H10" s="81"/>
      <c r="I10" s="265">
        <v>75</v>
      </c>
      <c r="J10" s="119" t="s">
        <v>816</v>
      </c>
    </row>
    <row r="11" spans="1:27" x14ac:dyDescent="0.25">
      <c r="A11" s="81" t="s">
        <v>816</v>
      </c>
      <c r="B11" s="81" t="s">
        <v>814</v>
      </c>
      <c r="C11" s="81" t="s">
        <v>14</v>
      </c>
      <c r="D11" s="81" t="s">
        <v>8</v>
      </c>
      <c r="E11" s="81" t="s">
        <v>1053</v>
      </c>
      <c r="F11" s="81" t="s">
        <v>1056</v>
      </c>
      <c r="G11" s="81"/>
      <c r="H11" s="81"/>
      <c r="I11" s="265">
        <v>85</v>
      </c>
      <c r="J11" s="119" t="s">
        <v>14</v>
      </c>
    </row>
    <row r="12" spans="1:27" x14ac:dyDescent="0.25">
      <c r="A12" s="81" t="s">
        <v>816</v>
      </c>
      <c r="B12" s="81" t="s">
        <v>814</v>
      </c>
      <c r="C12" s="81" t="s">
        <v>18</v>
      </c>
      <c r="D12" s="81" t="s">
        <v>8</v>
      </c>
      <c r="E12" s="81" t="s">
        <v>1053</v>
      </c>
      <c r="F12" s="81" t="s">
        <v>1056</v>
      </c>
      <c r="G12" s="81"/>
      <c r="H12" s="81"/>
      <c r="I12" s="265">
        <v>95</v>
      </c>
      <c r="J12" s="119" t="s">
        <v>18</v>
      </c>
    </row>
    <row r="13" spans="1:27" x14ac:dyDescent="0.25">
      <c r="A13" s="81" t="s">
        <v>816</v>
      </c>
      <c r="B13" s="81" t="s">
        <v>814</v>
      </c>
      <c r="C13" s="81" t="s">
        <v>14</v>
      </c>
      <c r="D13" s="81" t="s">
        <v>298</v>
      </c>
      <c r="E13" s="81" t="s">
        <v>1053</v>
      </c>
      <c r="F13" s="81" t="s">
        <v>1056</v>
      </c>
      <c r="G13" s="81"/>
      <c r="H13" s="81"/>
      <c r="I13" s="265">
        <v>105</v>
      </c>
      <c r="J13" s="119" t="s">
        <v>1283</v>
      </c>
    </row>
    <row r="14" spans="1:27" x14ac:dyDescent="0.25">
      <c r="A14" s="81" t="s">
        <v>816</v>
      </c>
      <c r="B14" s="81" t="s">
        <v>814</v>
      </c>
      <c r="C14" s="81" t="s">
        <v>18</v>
      </c>
      <c r="D14" s="81" t="s">
        <v>298</v>
      </c>
      <c r="E14" s="81" t="s">
        <v>1053</v>
      </c>
      <c r="F14" s="81" t="s">
        <v>1056</v>
      </c>
      <c r="G14" s="81"/>
      <c r="H14" s="81"/>
      <c r="I14" s="265">
        <v>115</v>
      </c>
      <c r="J14" s="119" t="s">
        <v>1284</v>
      </c>
    </row>
    <row r="15" spans="1:27" x14ac:dyDescent="0.25">
      <c r="A15" s="81" t="s">
        <v>816</v>
      </c>
      <c r="B15" s="81" t="s">
        <v>814</v>
      </c>
      <c r="C15" s="81" t="s">
        <v>14</v>
      </c>
      <c r="D15" s="81" t="s">
        <v>34</v>
      </c>
      <c r="E15" s="81" t="s">
        <v>1053</v>
      </c>
      <c r="F15" s="81" t="s">
        <v>1056</v>
      </c>
      <c r="G15" s="81"/>
      <c r="H15" s="81"/>
      <c r="I15" s="265">
        <v>125</v>
      </c>
      <c r="J15" s="119" t="s">
        <v>1285</v>
      </c>
    </row>
    <row r="16" spans="1:27" x14ac:dyDescent="0.25">
      <c r="A16" s="81" t="s">
        <v>816</v>
      </c>
      <c r="B16" s="81" t="s">
        <v>814</v>
      </c>
      <c r="C16" s="81" t="s">
        <v>18</v>
      </c>
      <c r="D16" s="81" t="s">
        <v>34</v>
      </c>
      <c r="E16" s="81" t="s">
        <v>1053</v>
      </c>
      <c r="F16" s="81" t="s">
        <v>1056</v>
      </c>
      <c r="G16" s="81"/>
      <c r="H16" s="81"/>
      <c r="I16" s="265">
        <v>135</v>
      </c>
      <c r="J16" s="119" t="s">
        <v>1286</v>
      </c>
    </row>
    <row r="17" spans="1:14" x14ac:dyDescent="0.25">
      <c r="A17" s="121" t="s">
        <v>22</v>
      </c>
      <c r="B17" s="121" t="s">
        <v>815</v>
      </c>
      <c r="C17" s="121" t="s">
        <v>1059</v>
      </c>
      <c r="D17" s="121" t="s">
        <v>8</v>
      </c>
      <c r="E17" s="121" t="s">
        <v>1053</v>
      </c>
      <c r="F17" s="81" t="s">
        <v>1056</v>
      </c>
      <c r="G17" s="121"/>
      <c r="H17" s="121"/>
      <c r="I17" s="265">
        <v>78</v>
      </c>
      <c r="J17" s="119" t="s">
        <v>816</v>
      </c>
    </row>
    <row r="18" spans="1:14" x14ac:dyDescent="0.25">
      <c r="A18" s="121" t="s">
        <v>22</v>
      </c>
      <c r="B18" s="121" t="s">
        <v>815</v>
      </c>
      <c r="C18" s="121" t="s">
        <v>14</v>
      </c>
      <c r="D18" s="121" t="s">
        <v>8</v>
      </c>
      <c r="E18" s="121" t="s">
        <v>1053</v>
      </c>
      <c r="F18" s="81" t="s">
        <v>1056</v>
      </c>
      <c r="G18" s="214">
        <f t="array" ref="G18">AVERAGE(IF('Well Data-NK'!$G$109:$G$168={"LB"},IF('Well Data-NK'!$K$109:$K$168="NW",IF('Well Data-NK'!$Q$109:$Q$168&lt;=PERCENTILE(IF('Well Data-NK'!$G$109:$G$168={"LB"},IF('Well Data-NK'!$K$109:$K$168="NW",'Well Data-NK'!$Q$109:$Q$168)),0.25),'Well Data-NK'!$Q$109:$Q$168))))</f>
        <v>42.666444444445254</v>
      </c>
      <c r="H18" s="214">
        <f t="array" ref="H18">COUNT(IF('Well Data-NK'!$G$109:$G$168={"LB"},IF('Well Data-NK'!$K$109:$K$168="NW",IF('Well Data-NK'!$Q$109:$Q$168&lt;=PERCENTILE(IF('Well Data-NK'!$G$109:$G$168={"LB"},IF('Well Data-NK'!$K$109:$K$168="NW",'Well Data-NK'!$Q$109:$Q$168)),0.25),'Well Data-NK'!$Q$109:$Q$168))))</f>
        <v>3</v>
      </c>
      <c r="I18" s="265">
        <v>88</v>
      </c>
      <c r="J18" s="119" t="s">
        <v>14</v>
      </c>
    </row>
    <row r="19" spans="1:14" x14ac:dyDescent="0.25">
      <c r="A19" s="121" t="s">
        <v>22</v>
      </c>
      <c r="B19" s="121" t="s">
        <v>815</v>
      </c>
      <c r="C19" s="121" t="s">
        <v>18</v>
      </c>
      <c r="D19" s="121" t="s">
        <v>8</v>
      </c>
      <c r="E19" s="121" t="s">
        <v>1053</v>
      </c>
      <c r="F19" s="81" t="s">
        <v>1056</v>
      </c>
      <c r="G19" s="214" t="e">
        <f t="array" ref="G19">AVERAGE(IF('Well Data-NK'!$G$109:$G$168={"LB"},IF('Well Data-NK'!$K$109:$K$168="ST",IF('Well Data-NK'!$Q$109:$Q$168&lt;=PERCENTILE(IF('Well Data-NK'!$G$109:$G$168={"LB"},IF('Well Data-NK'!$K$109:$K$168="ST",'Well Data-NK'!$Q$109:$Q$168)),0.25),'Well Data-NK'!$Q$109:$Q$168))))</f>
        <v>#DIV/0!</v>
      </c>
      <c r="H19" s="214">
        <f t="array" ref="H19">COUNT(IF('Well Data-NK'!$G$109:$G$168={"LB"},IF('Well Data-NK'!$K$109:$K$168="ST",IF('Well Data-NK'!$Q$109:$Q$168&lt;=PERCENTILE(IF('Well Data-NK'!$G$109:$G$168={"LB"},IF('Well Data-NK'!$K$109:$K$168="ST",'Well Data-NK'!$Q$109:$Q$168)),0.25),'Well Data-NK'!$Q$109:$Q$168))))</f>
        <v>0</v>
      </c>
      <c r="I19" s="265">
        <v>98</v>
      </c>
      <c r="J19" s="119" t="s">
        <v>18</v>
      </c>
    </row>
    <row r="20" spans="1:14" x14ac:dyDescent="0.25">
      <c r="A20" s="121" t="s">
        <v>22</v>
      </c>
      <c r="B20" s="121" t="s">
        <v>815</v>
      </c>
      <c r="C20" s="121" t="s">
        <v>14</v>
      </c>
      <c r="D20" s="121" t="s">
        <v>298</v>
      </c>
      <c r="E20" s="121" t="s">
        <v>1053</v>
      </c>
      <c r="F20" s="81" t="s">
        <v>1056</v>
      </c>
      <c r="G20" s="214">
        <f t="array" ref="G20">AVERAGE(IF('Well Data-NK'!$G$109:$G$168={"LB"},IF('Well Data-NK'!$K$109:$K$168="NW",IF('Well Data-NK'!$J$109:$J$168="Prod",IF('Well Data-NK'!$Q$109:$Q$168&lt;=PERCENTILE(IF('Well Data-NK'!$G$109:$G$168={"LB"},IF('Well Data-NK'!$K$109:$K$168="NW",IF('Well Data-NK'!$J$109:$J$168="Prod",'Well Data-NK'!$Q$109:$Q$168))),0.25),'Well Data-NK'!$Q$109:$Q$168)))))</f>
        <v>42.666444444445254</v>
      </c>
      <c r="H20" s="214">
        <f t="array" ref="H20">COUNT(IF('Well Data-NK'!$G$109:$G$168={"LB"},IF('Well Data-NK'!$K$109:$K$168="NW",IF('Well Data-NK'!$J$109:$J$168="Prod",IF('Well Data-NK'!$Q$109:$Q$168&lt;=PERCENTILE(IF('Well Data-NK'!$G$109:$G$168={"LB"},IF('Well Data-NK'!$K$109:$K$168="NW",IF('Well Data-NK'!$J$109:$J$168="Prod",'Well Data-NK'!$Q$109:$Q$168))),0.25),'Well Data-NK'!$Q$109:$Q$168)))))</f>
        <v>3</v>
      </c>
      <c r="I20" s="265">
        <v>108</v>
      </c>
      <c r="J20" s="119" t="s">
        <v>1283</v>
      </c>
      <c r="K20" s="119">
        <f t="shared" si="0"/>
        <v>60</v>
      </c>
      <c r="L20" s="119">
        <f t="shared" si="1"/>
        <v>0.05</v>
      </c>
      <c r="M20" s="119">
        <f>IF(ISERROR(L20*G20),0,(L20*G20))</f>
        <v>2.133322222222263</v>
      </c>
      <c r="N20" s="119">
        <f>SUM($M$20:$M$23)</f>
        <v>2.133322222222263</v>
      </c>
    </row>
    <row r="21" spans="1:14" x14ac:dyDescent="0.25">
      <c r="A21" s="121" t="s">
        <v>22</v>
      </c>
      <c r="B21" s="121" t="s">
        <v>815</v>
      </c>
      <c r="C21" s="121" t="s">
        <v>18</v>
      </c>
      <c r="D21" s="121" t="s">
        <v>298</v>
      </c>
      <c r="E21" s="121" t="s">
        <v>1053</v>
      </c>
      <c r="F21" s="81" t="s">
        <v>1056</v>
      </c>
      <c r="G21" s="214" t="e">
        <f t="array" ref="G21">AVERAGE(IF('Well Data-NK'!$G$109:$G$168={"LB"},IF('Well Data-NK'!$K$109:$K$168="ST",IF('Well Data-NK'!$J$109:$J$168="Prod",IF('Well Data-NK'!$Q$109:$Q$168&lt;=PERCENTILE(IF('Well Data-NK'!$G$109:$G$168={"LB"},IF('Well Data-NK'!$K$109:$K$168="ST",IF('Well Data-NK'!$J$109:$J$168="Prod",'Well Data-NK'!$Q$109:$Q$168))),0.25),'Well Data-NK'!$Q$109:$Q$168)))))</f>
        <v>#DIV/0!</v>
      </c>
      <c r="H21" s="214">
        <f t="array" ref="H21">COUNT(IF('Well Data-NK'!$G$109:$G$168={"LB"},IF('Well Data-NK'!$K$109:$K$168="ST",IF('Well Data-NK'!$J$109:$J$168="Prod",IF('Well Data-NK'!$Q$109:$Q$168&lt;=PERCENTILE(IF('Well Data-NK'!$G$109:$G$168={"LB"},IF('Well Data-NK'!$K$109:$K$168="ST",IF('Well Data-NK'!$J$109:$J$168="Prod",'Well Data-NK'!$Q$109:$Q$168))),0.25),'Well Data-NK'!$Q$109:$Q$168)))))</f>
        <v>0</v>
      </c>
      <c r="I21" s="265">
        <v>118</v>
      </c>
      <c r="J21" s="119" t="s">
        <v>1284</v>
      </c>
      <c r="K21" s="119">
        <f t="shared" si="0"/>
        <v>60</v>
      </c>
      <c r="L21" s="119">
        <f t="shared" si="1"/>
        <v>0</v>
      </c>
      <c r="M21" s="119">
        <f t="shared" ref="M21:M79" si="4">IF(ISERROR(L21*G21),0,(L21*G21))</f>
        <v>0</v>
      </c>
      <c r="N21" s="119">
        <f t="shared" ref="N21:N23" si="5">SUM($M$20:$M$23)</f>
        <v>2.133322222222263</v>
      </c>
    </row>
    <row r="22" spans="1:14" x14ac:dyDescent="0.25">
      <c r="A22" s="121" t="s">
        <v>22</v>
      </c>
      <c r="B22" s="121" t="s">
        <v>815</v>
      </c>
      <c r="C22" s="121" t="s">
        <v>14</v>
      </c>
      <c r="D22" s="121" t="s">
        <v>34</v>
      </c>
      <c r="E22" s="121" t="s">
        <v>1053</v>
      </c>
      <c r="F22" s="81" t="s">
        <v>1056</v>
      </c>
      <c r="G22" s="214" t="e">
        <f t="array" ref="G22">AVERAGE(IF('Well Data-NK'!$G$109:$G$168={"LB"},IF('Well Data-NK'!$K$109:$K$168="NW",IF('Well Data-NK'!$J$109:$J$168="Inj",IF('Well Data-NK'!$Q$109:$Q$168&lt;=PERCENTILE(IF('Well Data-NK'!$G$109:$G$168={"LB"},IF('Well Data-NK'!$K$109:$K$168="NW",IF('Well Data-NK'!$J$109:$J$168="Inj",'Well Data-NK'!$Q$109:$Q$168))),0.25),'Well Data-NK'!$Q$109:$Q$168)))))</f>
        <v>#DIV/0!</v>
      </c>
      <c r="H22" s="214">
        <f t="array" ref="H22">COUNT(IF('Well Data-NK'!$G$109:$G$168={"LB"},IF('Well Data-NK'!$K$109:$K$168="NW",IF('Well Data-NK'!$J$109:$J$168="Inj",IF('Well Data-NK'!$Q$109:$Q$168&lt;=PERCENTILE(IF('Well Data-NK'!$G$109:$G$168={"LB"},IF('Well Data-NK'!$K$109:$K$168="NW",IF('Well Data-NK'!$J$109:$J$168="Inj",'Well Data-NK'!$Q$109:$Q$168))),0.25),'Well Data-NK'!$Q$109:$Q$168)))))</f>
        <v>0</v>
      </c>
      <c r="I22" s="265">
        <v>128</v>
      </c>
      <c r="J22" s="119" t="s">
        <v>1285</v>
      </c>
      <c r="K22" s="119">
        <f t="shared" si="0"/>
        <v>60</v>
      </c>
      <c r="L22" s="119">
        <f t="shared" si="1"/>
        <v>0</v>
      </c>
      <c r="M22" s="119">
        <f t="shared" si="4"/>
        <v>0</v>
      </c>
      <c r="N22" s="119">
        <f t="shared" si="5"/>
        <v>2.133322222222263</v>
      </c>
    </row>
    <row r="23" spans="1:14" x14ac:dyDescent="0.25">
      <c r="A23" s="121" t="s">
        <v>22</v>
      </c>
      <c r="B23" s="121" t="s">
        <v>815</v>
      </c>
      <c r="C23" s="121" t="s">
        <v>18</v>
      </c>
      <c r="D23" s="121" t="s">
        <v>34</v>
      </c>
      <c r="E23" s="121" t="s">
        <v>1053</v>
      </c>
      <c r="F23" s="81" t="s">
        <v>1056</v>
      </c>
      <c r="G23" s="214" t="e">
        <f t="array" ref="G23">AVERAGE(IF('Well Data-NK'!$G$109:$G$168={"LB"},IF('Well Data-NK'!$K$109:$K$168="ST",IF('Well Data-NK'!$J$109:$J$168="Inj",IF('Well Data-NK'!$Q$109:$Q$168&lt;=PERCENTILE(IF('Well Data-NK'!$G$109:$G$168={"LB"},IF('Well Data-NK'!$K$109:$K$168="ST",IF('Well Data-NK'!$J$109:$J$168="Inj",'Well Data-NK'!$Q$109:$Q$168))),0.25),'Well Data-NK'!$Q$109:$Q$168)))))</f>
        <v>#DIV/0!</v>
      </c>
      <c r="H23" s="214">
        <f t="array" ref="H23">COUNT(IF('Well Data-NK'!$G$109:$G$168={"LB"},IF('Well Data-NK'!$K$109:$K$168="ST",IF('Well Data-NK'!$J$109:$J$168="Inj",IF('Well Data-NK'!$Q$109:$Q$168&lt;=PERCENTILE(IF('Well Data-NK'!$G$109:$G$168={"LB"},IF('Well Data-NK'!$K$109:$K$168="ST",IF('Well Data-NK'!$J$109:$J$168="Inj",'Well Data-NK'!$Q$109:$Q$168))),0.25),'Well Data-NK'!$Q$109:$Q$168)))))</f>
        <v>0</v>
      </c>
      <c r="I23" s="265">
        <v>138</v>
      </c>
      <c r="J23" s="119" t="s">
        <v>1286</v>
      </c>
      <c r="K23" s="119">
        <f t="shared" si="0"/>
        <v>60</v>
      </c>
      <c r="L23" s="119">
        <f t="shared" si="1"/>
        <v>0</v>
      </c>
      <c r="M23" s="119">
        <f t="shared" si="4"/>
        <v>0</v>
      </c>
      <c r="N23" s="119">
        <f t="shared" si="5"/>
        <v>2.133322222222263</v>
      </c>
    </row>
    <row r="24" spans="1:14" x14ac:dyDescent="0.25">
      <c r="A24" s="81" t="s">
        <v>22</v>
      </c>
      <c r="B24" s="81" t="s">
        <v>814</v>
      </c>
      <c r="C24" s="81" t="s">
        <v>1059</v>
      </c>
      <c r="D24" s="81" t="s">
        <v>8</v>
      </c>
      <c r="E24" s="81" t="s">
        <v>1053</v>
      </c>
      <c r="F24" s="81" t="s">
        <v>1056</v>
      </c>
      <c r="G24" s="81"/>
      <c r="H24" s="81"/>
      <c r="I24" s="265">
        <v>73</v>
      </c>
      <c r="J24" s="119" t="s">
        <v>816</v>
      </c>
    </row>
    <row r="25" spans="1:14" x14ac:dyDescent="0.25">
      <c r="A25" s="81" t="s">
        <v>22</v>
      </c>
      <c r="B25" s="81" t="s">
        <v>814</v>
      </c>
      <c r="C25" s="81" t="s">
        <v>14</v>
      </c>
      <c r="D25" s="81" t="s">
        <v>8</v>
      </c>
      <c r="E25" s="81" t="s">
        <v>1053</v>
      </c>
      <c r="F25" s="81" t="s">
        <v>1056</v>
      </c>
      <c r="G25" s="81"/>
      <c r="H25" s="81"/>
      <c r="I25" s="265">
        <v>83</v>
      </c>
      <c r="J25" s="119" t="s">
        <v>14</v>
      </c>
    </row>
    <row r="26" spans="1:14" x14ac:dyDescent="0.25">
      <c r="A26" s="81" t="s">
        <v>22</v>
      </c>
      <c r="B26" s="81" t="s">
        <v>814</v>
      </c>
      <c r="C26" s="81" t="s">
        <v>18</v>
      </c>
      <c r="D26" s="81" t="s">
        <v>8</v>
      </c>
      <c r="E26" s="81" t="s">
        <v>1053</v>
      </c>
      <c r="F26" s="81" t="s">
        <v>1056</v>
      </c>
      <c r="G26" s="81"/>
      <c r="H26" s="81"/>
      <c r="I26" s="265">
        <v>93</v>
      </c>
      <c r="J26" s="119" t="s">
        <v>18</v>
      </c>
    </row>
    <row r="27" spans="1:14" x14ac:dyDescent="0.25">
      <c r="A27" s="81" t="s">
        <v>22</v>
      </c>
      <c r="B27" s="81" t="s">
        <v>814</v>
      </c>
      <c r="C27" s="81" t="s">
        <v>14</v>
      </c>
      <c r="D27" s="81" t="s">
        <v>298</v>
      </c>
      <c r="E27" s="81" t="s">
        <v>1053</v>
      </c>
      <c r="F27" s="81" t="s">
        <v>1056</v>
      </c>
      <c r="G27" s="81"/>
      <c r="H27" s="81"/>
      <c r="I27" s="265">
        <v>103</v>
      </c>
      <c r="J27" s="119" t="s">
        <v>1283</v>
      </c>
    </row>
    <row r="28" spans="1:14" x14ac:dyDescent="0.25">
      <c r="A28" s="81" t="s">
        <v>22</v>
      </c>
      <c r="B28" s="81" t="s">
        <v>814</v>
      </c>
      <c r="C28" s="81" t="s">
        <v>18</v>
      </c>
      <c r="D28" s="81" t="s">
        <v>298</v>
      </c>
      <c r="E28" s="81" t="s">
        <v>1053</v>
      </c>
      <c r="F28" s="81" t="s">
        <v>1056</v>
      </c>
      <c r="G28" s="81"/>
      <c r="H28" s="81"/>
      <c r="I28" s="265">
        <v>113</v>
      </c>
      <c r="J28" s="119" t="s">
        <v>1284</v>
      </c>
    </row>
    <row r="29" spans="1:14" x14ac:dyDescent="0.25">
      <c r="A29" s="81" t="s">
        <v>22</v>
      </c>
      <c r="B29" s="81" t="s">
        <v>814</v>
      </c>
      <c r="C29" s="81" t="s">
        <v>14</v>
      </c>
      <c r="D29" s="81" t="s">
        <v>34</v>
      </c>
      <c r="E29" s="81" t="s">
        <v>1053</v>
      </c>
      <c r="F29" s="81" t="s">
        <v>1056</v>
      </c>
      <c r="G29" s="81"/>
      <c r="H29" s="81"/>
      <c r="I29" s="265">
        <v>123</v>
      </c>
      <c r="J29" s="119" t="s">
        <v>1285</v>
      </c>
    </row>
    <row r="30" spans="1:14" x14ac:dyDescent="0.25">
      <c r="A30" s="81" t="s">
        <v>22</v>
      </c>
      <c r="B30" s="81" t="s">
        <v>814</v>
      </c>
      <c r="C30" s="81" t="s">
        <v>18</v>
      </c>
      <c r="D30" s="81" t="s">
        <v>34</v>
      </c>
      <c r="E30" s="81" t="s">
        <v>1053</v>
      </c>
      <c r="F30" s="81" t="s">
        <v>1056</v>
      </c>
      <c r="G30" s="81"/>
      <c r="H30" s="81"/>
      <c r="I30" s="265">
        <v>133</v>
      </c>
      <c r="J30" s="119" t="s">
        <v>1286</v>
      </c>
    </row>
    <row r="31" spans="1:14" x14ac:dyDescent="0.25">
      <c r="A31" s="121" t="s">
        <v>17</v>
      </c>
      <c r="B31" s="121" t="s">
        <v>815</v>
      </c>
      <c r="C31" s="121" t="s">
        <v>1059</v>
      </c>
      <c r="D31" s="121" t="s">
        <v>8</v>
      </c>
      <c r="E31" s="121" t="s">
        <v>1053</v>
      </c>
      <c r="F31" s="81" t="s">
        <v>1056</v>
      </c>
      <c r="G31" s="121"/>
      <c r="H31" s="121"/>
      <c r="I31" s="265">
        <v>76</v>
      </c>
      <c r="J31" s="119" t="s">
        <v>816</v>
      </c>
    </row>
    <row r="32" spans="1:14" x14ac:dyDescent="0.25">
      <c r="A32" s="121" t="s">
        <v>17</v>
      </c>
      <c r="B32" s="121" t="s">
        <v>815</v>
      </c>
      <c r="C32" s="121" t="s">
        <v>14</v>
      </c>
      <c r="D32" s="121" t="s">
        <v>8</v>
      </c>
      <c r="E32" s="121" t="s">
        <v>1053</v>
      </c>
      <c r="F32" s="81" t="s">
        <v>1056</v>
      </c>
      <c r="G32" s="214">
        <f t="array" ref="G32">AVERAGE(IF('Well Data-NK'!$G$109:$G$168={"MA"},IF('Well Data-NK'!$K$109:$K$168="NW",IF('Well Data-NK'!$Q$109:$Q$168&lt;=PERCENTILE(IF('Well Data-NK'!$G$109:$G$168={"MA"},IF('Well Data-NK'!$K$109:$K$168="NW",'Well Data-NK'!$Q$109:$Q$168)),0.25),'Well Data-NK'!$Q$109:$Q$168))))</f>
        <v>47.791666666664241</v>
      </c>
      <c r="H32" s="214">
        <f t="array" ref="H32">COUNT(IF('Well Data-NK'!$G$109:$G$168={"MA"},IF('Well Data-NK'!$K$109:$K$168="NW",IF('Well Data-NK'!$Q$109:$Q$168&lt;=PERCENTILE(IF('Well Data-NK'!$G$109:$G$168={"MA"},IF('Well Data-NK'!$K$109:$K$168="NW",'Well Data-NK'!$Q$109:$Q$168)),0.25),'Well Data-NK'!$Q$109:$Q$168))))</f>
        <v>1</v>
      </c>
      <c r="I32" s="265">
        <v>86</v>
      </c>
      <c r="J32" s="119" t="s">
        <v>14</v>
      </c>
    </row>
    <row r="33" spans="1:14" x14ac:dyDescent="0.25">
      <c r="A33" s="121" t="s">
        <v>17</v>
      </c>
      <c r="B33" s="121" t="s">
        <v>815</v>
      </c>
      <c r="C33" s="121" t="s">
        <v>18</v>
      </c>
      <c r="D33" s="121" t="s">
        <v>8</v>
      </c>
      <c r="E33" s="121" t="s">
        <v>1053</v>
      </c>
      <c r="F33" s="81" t="s">
        <v>1056</v>
      </c>
      <c r="G33" s="214">
        <f t="array" ref="G33">AVERAGE(IF('Well Data-NK'!$G$109:$G$168={"MA"},IF('Well Data-NK'!$K$109:$K$168="ST",IF('Well Data-NK'!$Q$109:$Q$168&lt;=PERCENTILE(IF('Well Data-NK'!$G$109:$G$168={"MA"},IF('Well Data-NK'!$K$109:$K$168="ST",'Well Data-NK'!$Q$109:$Q$168)),0.25),'Well Data-NK'!$Q$109:$Q$168))))</f>
        <v>28.194444370369826</v>
      </c>
      <c r="H33" s="214">
        <f t="array" ref="H33">COUNT(IF('Well Data-NK'!$G$109:$G$168={"MA"},IF('Well Data-NK'!$K$109:$K$168="ST",IF('Well Data-NK'!$Q$109:$Q$168&lt;=PERCENTILE(IF('Well Data-NK'!$G$109:$G$168={"MA"},IF('Well Data-NK'!$K$109:$K$168="ST",'Well Data-NK'!$Q$109:$Q$168)),0.25),'Well Data-NK'!$Q$109:$Q$168))))</f>
        <v>9</v>
      </c>
      <c r="I33" s="265">
        <v>96</v>
      </c>
      <c r="J33" s="119" t="s">
        <v>18</v>
      </c>
    </row>
    <row r="34" spans="1:14" x14ac:dyDescent="0.25">
      <c r="A34" s="121" t="s">
        <v>17</v>
      </c>
      <c r="B34" s="121" t="s">
        <v>815</v>
      </c>
      <c r="C34" s="121" t="s">
        <v>14</v>
      </c>
      <c r="D34" s="121" t="s">
        <v>298</v>
      </c>
      <c r="E34" s="121" t="s">
        <v>1053</v>
      </c>
      <c r="F34" s="81" t="s">
        <v>1056</v>
      </c>
      <c r="G34" s="214">
        <f t="array" ref="G34">AVERAGE(IF('Well Data-NK'!$G$109:$G$168={"MA"},IF('Well Data-NK'!$K$109:$K$168="NW",IF('Well Data-NK'!$J$109:$J$168="Prod",IF('Well Data-NK'!$Q$109:$Q$168&lt;=PERCENTILE(IF('Well Data-NK'!$G$109:$G$168={"MA"},IF('Well Data-NK'!$K$109:$K$168="NW",IF('Well Data-NK'!$J$109:$J$168="Prod",'Well Data-NK'!$Q$109:$Q$168))),0.25),'Well Data-NK'!$Q$109:$Q$168)))))</f>
        <v>47.791666666664241</v>
      </c>
      <c r="H34" s="214">
        <f t="array" ref="H34">COUNT(IF('Well Data-NK'!$G$109:$G$168={"MA"},IF('Well Data-NK'!$K$109:$K$168="NW",IF('Well Data-NK'!$J$109:$J$168="Prod",IF('Well Data-NK'!$Q$109:$Q$168&lt;=PERCENTILE(IF('Well Data-NK'!$G$109:$G$168={"MA"},IF('Well Data-NK'!$K$109:$K$168="NW",IF('Well Data-NK'!$J$109:$J$168="Prod",'Well Data-NK'!$Q$109:$Q$168))),0.25),'Well Data-NK'!$Q$109:$Q$168)))))</f>
        <v>1</v>
      </c>
      <c r="I34" s="265">
        <v>106</v>
      </c>
      <c r="J34" s="119" t="s">
        <v>1283</v>
      </c>
      <c r="K34" s="119">
        <f t="shared" si="0"/>
        <v>60</v>
      </c>
      <c r="L34" s="119">
        <f t="shared" si="1"/>
        <v>1.6666666666666666E-2</v>
      </c>
      <c r="M34" s="119">
        <f t="shared" si="4"/>
        <v>0.79652777777773731</v>
      </c>
      <c r="N34" s="119">
        <f>SUM($M$34:$M$37)</f>
        <v>5.5631944333332122</v>
      </c>
    </row>
    <row r="35" spans="1:14" x14ac:dyDescent="0.25">
      <c r="A35" s="121" t="s">
        <v>17</v>
      </c>
      <c r="B35" s="121" t="s">
        <v>815</v>
      </c>
      <c r="C35" s="121" t="s">
        <v>18</v>
      </c>
      <c r="D35" s="121" t="s">
        <v>298</v>
      </c>
      <c r="E35" s="121" t="s">
        <v>1053</v>
      </c>
      <c r="F35" s="81" t="s">
        <v>1056</v>
      </c>
      <c r="G35" s="214">
        <f t="array" ref="G35">AVERAGE(IF('Well Data-NK'!$G$109:$G$168={"MA"},IF('Well Data-NK'!$K$109:$K$168="ST",IF('Well Data-NK'!$J$109:$J$168="Prod",IF('Well Data-NK'!$Q$109:$Q$168&lt;=PERCENTILE(IF('Well Data-NK'!$G$109:$G$168={"MA"},IF('Well Data-NK'!$K$109:$K$168="ST",IF('Well Data-NK'!$J$109:$J$168="Prod",'Well Data-NK'!$Q$109:$Q$168))),0.25),'Well Data-NK'!$Q$109:$Q$168)))))</f>
        <v>41.847222222221411</v>
      </c>
      <c r="H35" s="214">
        <f t="array" ref="H35">COUNT(IF('Well Data-NK'!$G$109:$G$168={"MA"},IF('Well Data-NK'!$K$109:$K$168="ST",IF('Well Data-NK'!$J$109:$J$168="Prod",IF('Well Data-NK'!$Q$109:$Q$168&lt;=PERCENTILE(IF('Well Data-NK'!$G$109:$G$168={"MA"},IF('Well Data-NK'!$K$109:$K$168="ST",IF('Well Data-NK'!$J$109:$J$168="Prod",'Well Data-NK'!$Q$109:$Q$168))),0.25),'Well Data-NK'!$Q$109:$Q$168)))))</f>
        <v>3</v>
      </c>
      <c r="I35" s="265">
        <v>116</v>
      </c>
      <c r="J35" s="119" t="s">
        <v>1284</v>
      </c>
      <c r="K35" s="119">
        <f t="shared" si="0"/>
        <v>60</v>
      </c>
      <c r="L35" s="119">
        <f t="shared" si="1"/>
        <v>0.05</v>
      </c>
      <c r="M35" s="119">
        <f t="shared" si="4"/>
        <v>2.0923611111110705</v>
      </c>
      <c r="N35" s="119">
        <f t="shared" ref="N35:N37" si="6">SUM($M$34:$M$37)</f>
        <v>5.5631944333332122</v>
      </c>
    </row>
    <row r="36" spans="1:14" x14ac:dyDescent="0.25">
      <c r="A36" s="121" t="s">
        <v>17</v>
      </c>
      <c r="B36" s="121" t="s">
        <v>815</v>
      </c>
      <c r="C36" s="121" t="s">
        <v>14</v>
      </c>
      <c r="D36" s="121" t="s">
        <v>34</v>
      </c>
      <c r="E36" s="121" t="s">
        <v>1053</v>
      </c>
      <c r="F36" s="81" t="s">
        <v>1056</v>
      </c>
      <c r="G36" s="214" t="e">
        <f t="array" ref="G36">AVERAGE(IF('Well Data-NK'!$G$109:$G$168={"MA"},IF('Well Data-NK'!$K$109:$K$168="NW",IF('Well Data-NK'!$J$109:$J$168="Inj",IF('Well Data-NK'!$Q$109:$Q$168&lt;=PERCENTILE(IF('Well Data-NK'!$G$109:$G$168={"MA"},IF('Well Data-NK'!$K$109:$K$168="NW",IF('Well Data-NK'!$J$109:$J$168="Inj",'Well Data-NK'!$Q$109:$Q$168))),0.25),'Well Data-NK'!$Q$109:$Q$168)))))</f>
        <v>#DIV/0!</v>
      </c>
      <c r="H36" s="214">
        <f t="array" ref="H36">COUNT(IF('Well Data-NK'!$G$109:$G$168={"MA"},IF('Well Data-NK'!$K$109:$K$168="NW",IF('Well Data-NK'!$J$109:$J$168="Inj",IF('Well Data-NK'!$Q$109:$Q$168&lt;=PERCENTILE(IF('Well Data-NK'!$G$109:$G$168={"MA"},IF('Well Data-NK'!$K$109:$K$168="NW",IF('Well Data-NK'!$J$109:$J$168="Inj",'Well Data-NK'!$Q$109:$Q$168))),0.25),'Well Data-NK'!$Q$109:$Q$168)))))</f>
        <v>0</v>
      </c>
      <c r="I36" s="265">
        <v>126</v>
      </c>
      <c r="J36" s="119" t="s">
        <v>1285</v>
      </c>
      <c r="K36" s="119">
        <f t="shared" si="0"/>
        <v>60</v>
      </c>
      <c r="L36" s="119">
        <f t="shared" si="1"/>
        <v>0</v>
      </c>
      <c r="M36" s="119">
        <f t="shared" si="4"/>
        <v>0</v>
      </c>
      <c r="N36" s="119">
        <f t="shared" si="6"/>
        <v>5.5631944333332122</v>
      </c>
    </row>
    <row r="37" spans="1:14" x14ac:dyDescent="0.25">
      <c r="A37" s="121" t="s">
        <v>17</v>
      </c>
      <c r="B37" s="121" t="s">
        <v>815</v>
      </c>
      <c r="C37" s="121" t="s">
        <v>18</v>
      </c>
      <c r="D37" s="121" t="s">
        <v>34</v>
      </c>
      <c r="E37" s="121" t="s">
        <v>1053</v>
      </c>
      <c r="F37" s="81" t="s">
        <v>1056</v>
      </c>
      <c r="G37" s="214">
        <f t="array" ref="G37">AVERAGE(IF('Well Data-NK'!$G$109:$G$168={"MA"},IF('Well Data-NK'!$K$109:$K$168="ST",IF('Well Data-NK'!$J$109:$J$168="Inj",IF('Well Data-NK'!$Q$109:$Q$168&lt;=PERCENTILE(IF('Well Data-NK'!$G$109:$G$168={"MA"},IF('Well Data-NK'!$K$109:$K$168="ST",IF('Well Data-NK'!$J$109:$J$168="Inj",'Well Data-NK'!$Q$109:$Q$168))),0.25),'Well Data-NK'!$Q$109:$Q$168)))))</f>
        <v>26.743055444444039</v>
      </c>
      <c r="H37" s="214">
        <f t="array" ref="H37">COUNT(IF('Well Data-NK'!$G$109:$G$168={"MA"},IF('Well Data-NK'!$K$109:$K$168="ST",IF('Well Data-NK'!$J$109:$J$168="Inj",IF('Well Data-NK'!$Q$109:$Q$168&lt;=PERCENTILE(IF('Well Data-NK'!$G$109:$G$168={"MA"},IF('Well Data-NK'!$K$109:$K$168="ST",IF('Well Data-NK'!$J$109:$J$168="Inj",'Well Data-NK'!$Q$109:$Q$168))),0.25),'Well Data-NK'!$Q$109:$Q$168)))))</f>
        <v>6</v>
      </c>
      <c r="I37" s="265">
        <v>136</v>
      </c>
      <c r="J37" s="119" t="s">
        <v>1286</v>
      </c>
      <c r="K37" s="119">
        <f t="shared" si="0"/>
        <v>60</v>
      </c>
      <c r="L37" s="119">
        <f t="shared" si="1"/>
        <v>0.1</v>
      </c>
      <c r="M37" s="119">
        <f t="shared" si="4"/>
        <v>2.6743055444444042</v>
      </c>
      <c r="N37" s="119">
        <f t="shared" si="6"/>
        <v>5.5631944333332122</v>
      </c>
    </row>
    <row r="38" spans="1:14" x14ac:dyDescent="0.25">
      <c r="A38" s="81" t="s">
        <v>17</v>
      </c>
      <c r="B38" s="81" t="s">
        <v>814</v>
      </c>
      <c r="C38" s="81" t="s">
        <v>1059</v>
      </c>
      <c r="D38" s="81" t="s">
        <v>8</v>
      </c>
      <c r="E38" s="81" t="s">
        <v>1053</v>
      </c>
      <c r="F38" s="81" t="s">
        <v>1056</v>
      </c>
      <c r="G38" s="81"/>
      <c r="H38" s="81"/>
      <c r="I38" s="265">
        <v>71</v>
      </c>
      <c r="J38" s="119" t="s">
        <v>816</v>
      </c>
    </row>
    <row r="39" spans="1:14" x14ac:dyDescent="0.25">
      <c r="A39" s="81" t="s">
        <v>17</v>
      </c>
      <c r="B39" s="81" t="s">
        <v>814</v>
      </c>
      <c r="C39" s="81" t="s">
        <v>14</v>
      </c>
      <c r="D39" s="81" t="s">
        <v>8</v>
      </c>
      <c r="E39" s="81" t="s">
        <v>1053</v>
      </c>
      <c r="F39" s="81" t="s">
        <v>1056</v>
      </c>
      <c r="G39" s="81"/>
      <c r="H39" s="81"/>
      <c r="I39" s="265">
        <v>81</v>
      </c>
      <c r="J39" s="119" t="s">
        <v>14</v>
      </c>
    </row>
    <row r="40" spans="1:14" x14ac:dyDescent="0.25">
      <c r="A40" s="81" t="s">
        <v>17</v>
      </c>
      <c r="B40" s="81" t="s">
        <v>814</v>
      </c>
      <c r="C40" s="81" t="s">
        <v>18</v>
      </c>
      <c r="D40" s="81" t="s">
        <v>8</v>
      </c>
      <c r="E40" s="81" t="s">
        <v>1053</v>
      </c>
      <c r="F40" s="81" t="s">
        <v>1056</v>
      </c>
      <c r="G40" s="81"/>
      <c r="H40" s="81"/>
      <c r="I40" s="265">
        <v>91</v>
      </c>
      <c r="J40" s="119" t="s">
        <v>18</v>
      </c>
    </row>
    <row r="41" spans="1:14" x14ac:dyDescent="0.25">
      <c r="A41" s="81" t="s">
        <v>17</v>
      </c>
      <c r="B41" s="81" t="s">
        <v>814</v>
      </c>
      <c r="C41" s="81" t="s">
        <v>14</v>
      </c>
      <c r="D41" s="81" t="s">
        <v>298</v>
      </c>
      <c r="E41" s="81" t="s">
        <v>1053</v>
      </c>
      <c r="F41" s="81" t="s">
        <v>1056</v>
      </c>
      <c r="G41" s="81"/>
      <c r="H41" s="81"/>
      <c r="I41" s="265">
        <v>101</v>
      </c>
      <c r="J41" s="119" t="s">
        <v>1283</v>
      </c>
    </row>
    <row r="42" spans="1:14" x14ac:dyDescent="0.25">
      <c r="A42" s="81" t="s">
        <v>17</v>
      </c>
      <c r="B42" s="81" t="s">
        <v>814</v>
      </c>
      <c r="C42" s="81" t="s">
        <v>18</v>
      </c>
      <c r="D42" s="81" t="s">
        <v>298</v>
      </c>
      <c r="E42" s="81" t="s">
        <v>1053</v>
      </c>
      <c r="F42" s="81" t="s">
        <v>1056</v>
      </c>
      <c r="G42" s="81"/>
      <c r="H42" s="81"/>
      <c r="I42" s="265">
        <v>111</v>
      </c>
      <c r="J42" s="119" t="s">
        <v>1284</v>
      </c>
    </row>
    <row r="43" spans="1:14" x14ac:dyDescent="0.25">
      <c r="A43" s="81" t="s">
        <v>17</v>
      </c>
      <c r="B43" s="81" t="s">
        <v>814</v>
      </c>
      <c r="C43" s="81" t="s">
        <v>14</v>
      </c>
      <c r="D43" s="81" t="s">
        <v>34</v>
      </c>
      <c r="E43" s="81" t="s">
        <v>1053</v>
      </c>
      <c r="F43" s="81" t="s">
        <v>1056</v>
      </c>
      <c r="G43" s="81"/>
      <c r="H43" s="81"/>
      <c r="I43" s="265">
        <v>121</v>
      </c>
      <c r="J43" s="119" t="s">
        <v>1285</v>
      </c>
    </row>
    <row r="44" spans="1:14" x14ac:dyDescent="0.25">
      <c r="A44" s="81" t="s">
        <v>17</v>
      </c>
      <c r="B44" s="81" t="s">
        <v>814</v>
      </c>
      <c r="C44" s="81" t="s">
        <v>18</v>
      </c>
      <c r="D44" s="81" t="s">
        <v>34</v>
      </c>
      <c r="E44" s="81" t="s">
        <v>1053</v>
      </c>
      <c r="F44" s="81" t="s">
        <v>1056</v>
      </c>
      <c r="G44" s="81"/>
      <c r="H44" s="81"/>
      <c r="I44" s="265">
        <v>131</v>
      </c>
      <c r="J44" s="119" t="s">
        <v>1286</v>
      </c>
    </row>
    <row r="45" spans="1:14" x14ac:dyDescent="0.25">
      <c r="A45" s="121" t="s">
        <v>29</v>
      </c>
      <c r="B45" s="121" t="s">
        <v>815</v>
      </c>
      <c r="C45" s="121" t="s">
        <v>1059</v>
      </c>
      <c r="D45" s="121" t="s">
        <v>8</v>
      </c>
      <c r="E45" s="121" t="s">
        <v>1053</v>
      </c>
      <c r="F45" s="81" t="s">
        <v>1056</v>
      </c>
      <c r="G45" s="121"/>
      <c r="H45" s="121"/>
      <c r="I45" s="265">
        <v>77</v>
      </c>
      <c r="J45" s="119" t="s">
        <v>816</v>
      </c>
    </row>
    <row r="46" spans="1:14" x14ac:dyDescent="0.25">
      <c r="A46" s="121" t="s">
        <v>29</v>
      </c>
      <c r="B46" s="121" t="s">
        <v>815</v>
      </c>
      <c r="C46" s="121" t="s">
        <v>14</v>
      </c>
      <c r="D46" s="121" t="s">
        <v>8</v>
      </c>
      <c r="E46" s="121" t="s">
        <v>1053</v>
      </c>
      <c r="F46" s="81" t="s">
        <v>1056</v>
      </c>
      <c r="G46" s="214">
        <f t="array" ref="G46">AVERAGE(IF('Well Data-NK'!$G$109:$G$168={"UB"},IF('Well Data-NK'!$K$109:$K$168="NW",IF('Well Data-NK'!$Q$109:$Q$168&lt;=PERCENTILE(IF('Well Data-NK'!$G$109:$G$168={"UB"},IF('Well Data-NK'!$K$109:$K$168="NW",'Well Data-NK'!$Q$109:$Q$168)),0.25),'Well Data-NK'!$Q$109:$Q$168))))</f>
        <v>48</v>
      </c>
      <c r="H46" s="214">
        <f t="array" ref="H46">COUNT(IF('Well Data-NK'!$G$109:$G$168={"UB"},IF('Well Data-NK'!$K$109:$K$168="NW",IF('Well Data-NK'!$Q$109:$Q$168&lt;=PERCENTILE(IF('Well Data-NK'!$G$109:$G$168={"UB"},IF('Well Data-NK'!$K$109:$K$168="NW",'Well Data-NK'!$Q$109:$Q$168)),0.25),'Well Data-NK'!$Q$109:$Q$168))))</f>
        <v>1</v>
      </c>
      <c r="I46" s="265">
        <v>87</v>
      </c>
      <c r="J46" s="119" t="s">
        <v>14</v>
      </c>
    </row>
    <row r="47" spans="1:14" x14ac:dyDescent="0.25">
      <c r="A47" s="121" t="s">
        <v>29</v>
      </c>
      <c r="B47" s="121" t="s">
        <v>815</v>
      </c>
      <c r="C47" s="121" t="s">
        <v>18</v>
      </c>
      <c r="D47" s="121" t="s">
        <v>8</v>
      </c>
      <c r="E47" s="121" t="s">
        <v>1053</v>
      </c>
      <c r="F47" s="81" t="s">
        <v>1056</v>
      </c>
      <c r="G47" s="214">
        <f t="array" ref="G47">AVERAGE(IF('Well Data-NK'!$G$109:$G$168={"UB"},IF('Well Data-NK'!$K$109:$K$168="ST",IF('Well Data-NK'!$Q$109:$Q$168&lt;=PERCENTILE(IF('Well Data-NK'!$G$109:$G$168={"UB"},IF('Well Data-NK'!$K$109:$K$168="ST",'Well Data-NK'!$Q$109:$Q$168)),0.25),'Well Data-NK'!$Q$109:$Q$168))))</f>
        <v>40.770829999999997</v>
      </c>
      <c r="H47" s="214">
        <f t="array" ref="H47">COUNT(IF('Well Data-NK'!$G$109:$G$168={"UB"},IF('Well Data-NK'!$K$109:$K$168="ST",IF('Well Data-NK'!$Q$109:$Q$168&lt;=PERCENTILE(IF('Well Data-NK'!$G$109:$G$168={"UB"},IF('Well Data-NK'!$K$109:$K$168="ST",'Well Data-NK'!$Q$109:$Q$168)),0.25),'Well Data-NK'!$Q$109:$Q$168))))</f>
        <v>1</v>
      </c>
      <c r="I47" s="265">
        <v>97</v>
      </c>
      <c r="J47" s="119" t="s">
        <v>18</v>
      </c>
    </row>
    <row r="48" spans="1:14" x14ac:dyDescent="0.25">
      <c r="A48" s="121" t="s">
        <v>29</v>
      </c>
      <c r="B48" s="121" t="s">
        <v>815</v>
      </c>
      <c r="C48" s="121" t="s">
        <v>14</v>
      </c>
      <c r="D48" s="121" t="s">
        <v>298</v>
      </c>
      <c r="E48" s="121" t="s">
        <v>1053</v>
      </c>
      <c r="F48" s="81" t="s">
        <v>1056</v>
      </c>
      <c r="G48" s="214">
        <f t="array" ref="G48">AVERAGE(IF('Well Data-NK'!$G$109:$G$168={"UB"},IF('Well Data-NK'!$K$109:$K$168="NW",IF('Well Data-NK'!$J$109:$J$168="Prod",IF('Well Data-NK'!$Q$109:$Q$168&lt;=PERCENTILE(IF('Well Data-NK'!$G$109:$G$168={"UB"},IF('Well Data-NK'!$K$109:$K$168="NW",IF('Well Data-NK'!$J$109:$J$168="Prod",'Well Data-NK'!$Q$109:$Q$168))),0.25),'Well Data-NK'!$Q$109:$Q$168)))))</f>
        <v>48</v>
      </c>
      <c r="H48" s="214">
        <f t="array" ref="H48">COUNT(IF('Well Data-NK'!$G$109:$G$168={"UB"},IF('Well Data-NK'!$K$109:$K$168="NW",IF('Well Data-NK'!$J$109:$J$168="Prod",IF('Well Data-NK'!$Q$109:$Q$168&lt;=PERCENTILE(IF('Well Data-NK'!$G$109:$G$168={"UB"},IF('Well Data-NK'!$K$109:$K$168="NW",IF('Well Data-NK'!$J$109:$J$168="Prod",'Well Data-NK'!$Q$109:$Q$168))),0.25),'Well Data-NK'!$Q$109:$Q$168)))))</f>
        <v>1</v>
      </c>
      <c r="I48" s="265">
        <v>107</v>
      </c>
      <c r="J48" s="119" t="s">
        <v>1283</v>
      </c>
      <c r="K48" s="119">
        <f t="shared" si="0"/>
        <v>60</v>
      </c>
      <c r="L48" s="119">
        <f t="shared" si="1"/>
        <v>1.6666666666666666E-2</v>
      </c>
      <c r="M48" s="119">
        <f t="shared" si="4"/>
        <v>0.8</v>
      </c>
      <c r="N48" s="119">
        <f>SUM($M$48:$M$51)</f>
        <v>1.4795138333333333</v>
      </c>
    </row>
    <row r="49" spans="1:14" x14ac:dyDescent="0.25">
      <c r="A49" s="121" t="s">
        <v>29</v>
      </c>
      <c r="B49" s="121" t="s">
        <v>815</v>
      </c>
      <c r="C49" s="121" t="s">
        <v>18</v>
      </c>
      <c r="D49" s="121" t="s">
        <v>298</v>
      </c>
      <c r="E49" s="121" t="s">
        <v>1053</v>
      </c>
      <c r="F49" s="81" t="s">
        <v>1056</v>
      </c>
      <c r="G49" s="214">
        <f t="array" ref="G49">AVERAGE(IF('Well Data-NK'!$G$109:$G$168={"UB"},IF('Well Data-NK'!$K$109:$K$168="ST",IF('Well Data-NK'!$J$109:$J$168="Prod",IF('Well Data-NK'!$Q$109:$Q$168&lt;=PERCENTILE(IF('Well Data-NK'!$G$109:$G$168={"UB"},IF('Well Data-NK'!$K$109:$K$168="ST",IF('Well Data-NK'!$J$109:$J$168="Prod",'Well Data-NK'!$Q$109:$Q$168))),0.25),'Well Data-NK'!$Q$109:$Q$168)))))</f>
        <v>40.770829999999997</v>
      </c>
      <c r="H49" s="214">
        <f t="array" ref="H49">COUNT(IF('Well Data-NK'!$G$109:$G$168={"UB"},IF('Well Data-NK'!$K$109:$K$168="ST",IF('Well Data-NK'!$J$109:$J$168="Prod",IF('Well Data-NK'!$Q$109:$Q$168&lt;=PERCENTILE(IF('Well Data-NK'!$G$109:$G$168={"UB"},IF('Well Data-NK'!$K$109:$K$168="ST",IF('Well Data-NK'!$J$109:$J$168="Prod",'Well Data-NK'!$Q$109:$Q$168))),0.25),'Well Data-NK'!$Q$109:$Q$168)))))</f>
        <v>1</v>
      </c>
      <c r="I49" s="265">
        <v>117</v>
      </c>
      <c r="J49" s="119" t="s">
        <v>1284</v>
      </c>
      <c r="K49" s="119">
        <f t="shared" si="0"/>
        <v>60</v>
      </c>
      <c r="L49" s="119">
        <f t="shared" si="1"/>
        <v>1.6666666666666666E-2</v>
      </c>
      <c r="M49" s="119">
        <f t="shared" si="4"/>
        <v>0.67951383333333326</v>
      </c>
      <c r="N49" s="119">
        <f t="shared" ref="N49:N51" si="7">SUM($M$48:$M$51)</f>
        <v>1.4795138333333333</v>
      </c>
    </row>
    <row r="50" spans="1:14" x14ac:dyDescent="0.25">
      <c r="A50" s="121" t="s">
        <v>29</v>
      </c>
      <c r="B50" s="121" t="s">
        <v>815</v>
      </c>
      <c r="C50" s="121" t="s">
        <v>14</v>
      </c>
      <c r="D50" s="121" t="s">
        <v>34</v>
      </c>
      <c r="E50" s="121" t="s">
        <v>1053</v>
      </c>
      <c r="F50" s="81" t="s">
        <v>1056</v>
      </c>
      <c r="G50" s="214" t="e">
        <f t="array" ref="G50">AVERAGE(IF('Well Data-NK'!$G$109:$G$168={"UB"},IF('Well Data-NK'!$K$109:$K$168="NW",IF('Well Data-NK'!$J$109:$J$168="Inj",IF('Well Data-NK'!$Q$109:$Q$168&lt;=PERCENTILE(IF('Well Data-NK'!$G$109:$G$168={"UB"},IF('Well Data-NK'!$K$109:$K$168="NW",IF('Well Data-NK'!$J$109:$J$168="Inj",'Well Data-NK'!$Q$109:$Q$168))),0.25),'Well Data-NK'!$Q$109:$Q$168)))))</f>
        <v>#DIV/0!</v>
      </c>
      <c r="H50" s="214">
        <f t="array" ref="H50">COUNT(IF('Well Data-NK'!$G$109:$G$168={"UB"},IF('Well Data-NK'!$K$109:$K$168="NW",IF('Well Data-NK'!$J$109:$J$168="Inj",IF('Well Data-NK'!$Q$109:$Q$168&lt;=PERCENTILE(IF('Well Data-NK'!$G$109:$G$168={"UB"},IF('Well Data-NK'!$K$109:$K$168="NW",IF('Well Data-NK'!$J$109:$J$168="Inj",'Well Data-NK'!$Q$109:$Q$168))),0.25),'Well Data-NK'!$Q$109:$Q$168)))))</f>
        <v>0</v>
      </c>
      <c r="I50" s="265">
        <v>127</v>
      </c>
      <c r="J50" s="119" t="s">
        <v>1285</v>
      </c>
      <c r="K50" s="119">
        <f t="shared" si="0"/>
        <v>60</v>
      </c>
      <c r="L50" s="119">
        <f t="shared" si="1"/>
        <v>0</v>
      </c>
      <c r="M50" s="119">
        <f t="shared" si="4"/>
        <v>0</v>
      </c>
      <c r="N50" s="119">
        <f t="shared" si="7"/>
        <v>1.4795138333333333</v>
      </c>
    </row>
    <row r="51" spans="1:14" x14ac:dyDescent="0.25">
      <c r="A51" s="121" t="s">
        <v>29</v>
      </c>
      <c r="B51" s="121" t="s">
        <v>815</v>
      </c>
      <c r="C51" s="121" t="s">
        <v>18</v>
      </c>
      <c r="D51" s="121" t="s">
        <v>34</v>
      </c>
      <c r="E51" s="121" t="s">
        <v>1053</v>
      </c>
      <c r="F51" s="81" t="s">
        <v>1056</v>
      </c>
      <c r="G51" s="214" t="e">
        <f t="array" ref="G51">AVERAGE(IF('Well Data-NK'!$G$109:$G$168={"UB"},IF('Well Data-NK'!$K$109:$K$168="ST",IF('Well Data-NK'!$J$109:$J$168="Inj",IF('Well Data-NK'!$Q$109:$Q$168&lt;=PERCENTILE(IF('Well Data-NK'!$G$109:$G$168={"UB"},IF('Well Data-NK'!$K$109:$K$168="ST",IF('Well Data-NK'!$J$109:$J$168="Inj",'Well Data-NK'!$Q$109:$Q$168))),0.25),'Well Data-NK'!$Q$109:$Q$168)))))</f>
        <v>#DIV/0!</v>
      </c>
      <c r="H51" s="214">
        <f t="array" ref="H51">COUNT(IF('Well Data-NK'!$G$109:$G$168={"UB"},IF('Well Data-NK'!$K$109:$K$168="ST",IF('Well Data-NK'!$J$109:$J$168="Inj",IF('Well Data-NK'!$Q$109:$Q$168&lt;=PERCENTILE(IF('Well Data-NK'!$G$109:$G$168={"UB"},IF('Well Data-NK'!$K$109:$K$168="ST",IF('Well Data-NK'!$J$109:$J$168="Inj",'Well Data-NK'!$Q$109:$Q$168))),0.25),'Well Data-NK'!$Q$109:$Q$168)))))</f>
        <v>0</v>
      </c>
      <c r="I51" s="265">
        <v>137</v>
      </c>
      <c r="J51" s="119" t="s">
        <v>1286</v>
      </c>
      <c r="K51" s="119">
        <f t="shared" si="0"/>
        <v>60</v>
      </c>
      <c r="L51" s="119">
        <f>H51/K51</f>
        <v>0</v>
      </c>
      <c r="M51" s="119">
        <f t="shared" si="4"/>
        <v>0</v>
      </c>
      <c r="N51" s="119">
        <f t="shared" si="7"/>
        <v>1.4795138333333333</v>
      </c>
    </row>
    <row r="52" spans="1:14" x14ac:dyDescent="0.25">
      <c r="A52" s="81" t="s">
        <v>29</v>
      </c>
      <c r="B52" s="81" t="s">
        <v>814</v>
      </c>
      <c r="C52" s="81" t="s">
        <v>1059</v>
      </c>
      <c r="D52" s="81" t="s">
        <v>8</v>
      </c>
      <c r="E52" s="81" t="s">
        <v>1053</v>
      </c>
      <c r="F52" s="81" t="s">
        <v>1056</v>
      </c>
      <c r="G52" s="81"/>
      <c r="H52" s="81"/>
      <c r="I52" s="265">
        <v>72</v>
      </c>
      <c r="J52" s="119" t="s">
        <v>816</v>
      </c>
    </row>
    <row r="53" spans="1:14" x14ac:dyDescent="0.25">
      <c r="A53" s="81" t="s">
        <v>29</v>
      </c>
      <c r="B53" s="81" t="s">
        <v>814</v>
      </c>
      <c r="C53" s="81" t="s">
        <v>14</v>
      </c>
      <c r="D53" s="81" t="s">
        <v>8</v>
      </c>
      <c r="E53" s="81" t="s">
        <v>1053</v>
      </c>
      <c r="F53" s="81" t="s">
        <v>1056</v>
      </c>
      <c r="G53" s="81"/>
      <c r="H53" s="81"/>
      <c r="I53" s="265">
        <v>82</v>
      </c>
      <c r="J53" s="119" t="s">
        <v>14</v>
      </c>
    </row>
    <row r="54" spans="1:14" x14ac:dyDescent="0.25">
      <c r="A54" s="81" t="s">
        <v>29</v>
      </c>
      <c r="B54" s="81" t="s">
        <v>814</v>
      </c>
      <c r="C54" s="81" t="s">
        <v>18</v>
      </c>
      <c r="D54" s="81" t="s">
        <v>8</v>
      </c>
      <c r="E54" s="81" t="s">
        <v>1053</v>
      </c>
      <c r="F54" s="81" t="s">
        <v>1056</v>
      </c>
      <c r="G54" s="81"/>
      <c r="H54" s="81"/>
      <c r="I54" s="265">
        <v>92</v>
      </c>
      <c r="J54" s="119" t="s">
        <v>18</v>
      </c>
    </row>
    <row r="55" spans="1:14" x14ac:dyDescent="0.25">
      <c r="A55" s="81" t="s">
        <v>29</v>
      </c>
      <c r="B55" s="81" t="s">
        <v>814</v>
      </c>
      <c r="C55" s="81" t="s">
        <v>14</v>
      </c>
      <c r="D55" s="81" t="s">
        <v>298</v>
      </c>
      <c r="E55" s="81" t="s">
        <v>1053</v>
      </c>
      <c r="F55" s="81" t="s">
        <v>1056</v>
      </c>
      <c r="G55" s="81"/>
      <c r="H55" s="81"/>
      <c r="I55" s="265">
        <v>102</v>
      </c>
      <c r="J55" s="119" t="s">
        <v>1283</v>
      </c>
    </row>
    <row r="56" spans="1:14" x14ac:dyDescent="0.25">
      <c r="A56" s="81" t="s">
        <v>29</v>
      </c>
      <c r="B56" s="81" t="s">
        <v>814</v>
      </c>
      <c r="C56" s="81" t="s">
        <v>18</v>
      </c>
      <c r="D56" s="81" t="s">
        <v>298</v>
      </c>
      <c r="E56" s="81" t="s">
        <v>1053</v>
      </c>
      <c r="F56" s="81" t="s">
        <v>1056</v>
      </c>
      <c r="G56" s="81"/>
      <c r="H56" s="81"/>
      <c r="I56" s="265">
        <v>112</v>
      </c>
      <c r="J56" s="119" t="s">
        <v>1284</v>
      </c>
    </row>
    <row r="57" spans="1:14" x14ac:dyDescent="0.25">
      <c r="A57" s="81" t="s">
        <v>29</v>
      </c>
      <c r="B57" s="81" t="s">
        <v>814</v>
      </c>
      <c r="C57" s="81" t="s">
        <v>14</v>
      </c>
      <c r="D57" s="81" t="s">
        <v>34</v>
      </c>
      <c r="E57" s="81" t="s">
        <v>1053</v>
      </c>
      <c r="F57" s="81" t="s">
        <v>1056</v>
      </c>
      <c r="G57" s="81"/>
      <c r="H57" s="81"/>
      <c r="I57" s="265">
        <v>122</v>
      </c>
      <c r="J57" s="119" t="s">
        <v>1285</v>
      </c>
    </row>
    <row r="58" spans="1:14" x14ac:dyDescent="0.25">
      <c r="A58" s="81" t="s">
        <v>29</v>
      </c>
      <c r="B58" s="81" t="s">
        <v>814</v>
      </c>
      <c r="C58" s="81" t="s">
        <v>18</v>
      </c>
      <c r="D58" s="81" t="s">
        <v>34</v>
      </c>
      <c r="E58" s="81" t="s">
        <v>1053</v>
      </c>
      <c r="F58" s="81" t="s">
        <v>1056</v>
      </c>
      <c r="G58" s="81"/>
      <c r="H58" s="81"/>
      <c r="I58" s="265">
        <v>132</v>
      </c>
      <c r="J58" s="119" t="s">
        <v>1286</v>
      </c>
    </row>
    <row r="59" spans="1:14" x14ac:dyDescent="0.25">
      <c r="A59" s="121" t="s">
        <v>825</v>
      </c>
      <c r="B59" s="121" t="s">
        <v>815</v>
      </c>
      <c r="C59" s="121" t="s">
        <v>1059</v>
      </c>
      <c r="D59" s="121" t="s">
        <v>8</v>
      </c>
      <c r="E59" s="121" t="s">
        <v>1053</v>
      </c>
      <c r="F59" s="81" t="s">
        <v>1056</v>
      </c>
      <c r="G59" s="121"/>
      <c r="H59" s="121"/>
      <c r="I59" s="265">
        <v>79</v>
      </c>
      <c r="J59" s="119" t="s">
        <v>816</v>
      </c>
    </row>
    <row r="60" spans="1:14" x14ac:dyDescent="0.25">
      <c r="A60" s="121" t="s">
        <v>825</v>
      </c>
      <c r="B60" s="121" t="s">
        <v>815</v>
      </c>
      <c r="C60" s="121" t="s">
        <v>14</v>
      </c>
      <c r="D60" s="121" t="s">
        <v>8</v>
      </c>
      <c r="E60" s="121" t="s">
        <v>1053</v>
      </c>
      <c r="F60" s="81" t="s">
        <v>1056</v>
      </c>
      <c r="G60" s="214">
        <f t="array" ref="G60">AVERAGE(IF('Well Data-NK'!$G$109:$G$168={"ZU","RT"},IF('Well Data-NK'!$K$109:$K$168="NW",IF('Well Data-NK'!$Q$109:$Q$168&lt;=PERCENTILE(IF('Well Data-NK'!$G$109:$G$168={"ZU","RT"},IF('Well Data-NK'!$K$109:$K$168="NW",'Well Data-NK'!$Q$109:$Q$168)),0.25),'Well Data-NK'!$Q$109:$Q$168))))</f>
        <v>66.40625</v>
      </c>
      <c r="H60" s="214">
        <f t="array" ref="H60">COUNT(IF('Well Data-NK'!$G$109:$G$168={"ZU","RT"},IF('Well Data-NK'!$K$109:$K$168="NW",IF('Well Data-NK'!$Q$109:$Q$168&lt;=PERCENTILE(IF('Well Data-NK'!$G$109:$G$168={"ZU","RT"},IF('Well Data-NK'!$K$109:$K$168="NW",'Well Data-NK'!$Q$109:$Q$168)),0.25),'Well Data-NK'!$Q$109:$Q$168))))</f>
        <v>2</v>
      </c>
      <c r="I60" s="265">
        <v>89</v>
      </c>
      <c r="J60" s="119" t="s">
        <v>14</v>
      </c>
    </row>
    <row r="61" spans="1:14" x14ac:dyDescent="0.25">
      <c r="A61" s="121" t="s">
        <v>825</v>
      </c>
      <c r="B61" s="121" t="s">
        <v>815</v>
      </c>
      <c r="C61" s="121" t="s">
        <v>18</v>
      </c>
      <c r="D61" s="121" t="s">
        <v>8</v>
      </c>
      <c r="E61" s="121" t="s">
        <v>1053</v>
      </c>
      <c r="F61" s="81" t="s">
        <v>1056</v>
      </c>
      <c r="G61" s="214">
        <f t="array" ref="G61">AVERAGE(IF('Well Data-NK'!$G$109:$G$168={"ZU","RT"},IF('Well Data-NK'!$K$109:$K$168="ST",IF('Well Data-NK'!$Q$109:$Q$168&lt;=PERCENTILE(IF('Well Data-NK'!$G$109:$G$168={"ZU","RT"},IF('Well Data-NK'!$K$109:$K$168="ST",'Well Data-NK'!$Q$109:$Q$168)),0.25),'Well Data-NK'!$Q$109:$Q$168))))</f>
        <v>36</v>
      </c>
      <c r="H61" s="214">
        <f t="array" ref="H61">COUNT(IF('Well Data-NK'!$G$109:$G$168={"ZU","RT"},IF('Well Data-NK'!$K$109:$K$168="ST",IF('Well Data-NK'!$Q$109:$Q$168&lt;=PERCENTILE(IF('Well Data-NK'!$G$109:$G$168={"ZU","RT"},IF('Well Data-NK'!$K$109:$K$168="ST",'Well Data-NK'!$Q$109:$Q$168)),0.25),'Well Data-NK'!$Q$109:$Q$168))))</f>
        <v>1</v>
      </c>
      <c r="I61" s="265">
        <v>99</v>
      </c>
      <c r="J61" s="119" t="s">
        <v>18</v>
      </c>
    </row>
    <row r="62" spans="1:14" x14ac:dyDescent="0.25">
      <c r="A62" s="121" t="s">
        <v>825</v>
      </c>
      <c r="B62" s="121" t="s">
        <v>815</v>
      </c>
      <c r="C62" s="121" t="s">
        <v>14</v>
      </c>
      <c r="D62" s="121" t="s">
        <v>298</v>
      </c>
      <c r="E62" s="121" t="s">
        <v>1053</v>
      </c>
      <c r="F62" s="81" t="s">
        <v>1056</v>
      </c>
      <c r="G62" s="214">
        <f t="array" ref="G62">AVERAGE(IF('Well Data-NK'!$G$109:$G$168={"ZU","RT"},IF('Well Data-NK'!$K$109:$K$168="NW",IF('Well Data-NK'!$J$109:$J$168="Prod",IF('Well Data-NK'!$Q$109:$Q$168&lt;=PERCENTILE(IF('Well Data-NK'!$G$109:$G$168={"ZU","RT"},IF('Well Data-NK'!$K$109:$K$168="NW",IF('Well Data-NK'!$J$109:$J$168="Prod",'Well Data-NK'!$Q$109:$Q$168))),0.25),'Well Data-NK'!$Q$109:$Q$168)))))</f>
        <v>66.40625</v>
      </c>
      <c r="H62" s="214">
        <f t="array" ref="H62">COUNT(IF('Well Data-NK'!$G$109:$G$168={"ZU","RT"},IF('Well Data-NK'!$K$109:$K$168="NW",IF('Well Data-NK'!$J$109:$J$168="Prod",IF('Well Data-NK'!$Q$109:$Q$168&lt;=PERCENTILE(IF('Well Data-NK'!$G$109:$G$168={"ZU","RT"},IF('Well Data-NK'!$K$109:$K$168="NW",IF('Well Data-NK'!$J$109:$J$168="Prod",'Well Data-NK'!$Q$109:$Q$168))),0.25),'Well Data-NK'!$Q$109:$Q$168)))))</f>
        <v>2</v>
      </c>
      <c r="I62" s="265">
        <v>109</v>
      </c>
      <c r="J62" s="119" t="s">
        <v>1283</v>
      </c>
      <c r="K62" s="119">
        <f t="shared" si="0"/>
        <v>60</v>
      </c>
      <c r="L62" s="119">
        <f>H62/K62</f>
        <v>3.3333333333333333E-2</v>
      </c>
      <c r="M62" s="119">
        <f t="shared" si="4"/>
        <v>2.2135416666666665</v>
      </c>
      <c r="N62" s="119">
        <f>SUM($M$62:$M$65)</f>
        <v>3.6802083333333333</v>
      </c>
    </row>
    <row r="63" spans="1:14" x14ac:dyDescent="0.25">
      <c r="A63" s="121" t="s">
        <v>825</v>
      </c>
      <c r="B63" s="121" t="s">
        <v>815</v>
      </c>
      <c r="C63" s="121" t="s">
        <v>18</v>
      </c>
      <c r="D63" s="121" t="s">
        <v>298</v>
      </c>
      <c r="E63" s="121" t="s">
        <v>1053</v>
      </c>
      <c r="F63" s="81" t="s">
        <v>1056</v>
      </c>
      <c r="G63" s="214">
        <f t="array" ref="G63">AVERAGE(IF('Well Data-NK'!$G$109:$G$168={"ZU","RT"},IF('Well Data-NK'!$K$109:$K$168="ST",IF('Well Data-NK'!$J$109:$J$168="Prod",IF('Well Data-NK'!$Q$109:$Q$168&lt;=PERCENTILE(IF('Well Data-NK'!$G$109:$G$168={"ZU","RT"},IF('Well Data-NK'!$K$109:$K$168="ST",IF('Well Data-NK'!$J$109:$J$168="Prod",'Well Data-NK'!$Q$109:$Q$168))),0.25),'Well Data-NK'!$Q$109:$Q$168)))))</f>
        <v>52</v>
      </c>
      <c r="H63" s="214">
        <f t="array" ref="H63">COUNT(IF('Well Data-NK'!$G$109:$G$168={"ZU","RT"},IF('Well Data-NK'!$K$109:$K$168="ST",IF('Well Data-NK'!$J$109:$J$168="Prod",IF('Well Data-NK'!$Q$109:$Q$168&lt;=PERCENTILE(IF('Well Data-NK'!$G$109:$G$168={"ZU","RT"},IF('Well Data-NK'!$K$109:$K$168="ST",IF('Well Data-NK'!$J$109:$J$168="Prod",'Well Data-NK'!$Q$109:$Q$168))),0.25),'Well Data-NK'!$Q$109:$Q$168)))))</f>
        <v>1</v>
      </c>
      <c r="I63" s="265">
        <v>119</v>
      </c>
      <c r="J63" s="119" t="s">
        <v>1284</v>
      </c>
      <c r="K63" s="119">
        <f t="shared" si="0"/>
        <v>60</v>
      </c>
      <c r="L63" s="119">
        <f t="shared" si="1"/>
        <v>1.6666666666666666E-2</v>
      </c>
      <c r="M63" s="119">
        <f t="shared" si="4"/>
        <v>0.8666666666666667</v>
      </c>
      <c r="N63" s="119">
        <f t="shared" ref="N63:N65" si="8">SUM($M$62:$M$65)</f>
        <v>3.6802083333333333</v>
      </c>
    </row>
    <row r="64" spans="1:14" x14ac:dyDescent="0.25">
      <c r="A64" s="121" t="s">
        <v>825</v>
      </c>
      <c r="B64" s="121" t="s">
        <v>815</v>
      </c>
      <c r="C64" s="121" t="s">
        <v>14</v>
      </c>
      <c r="D64" s="121" t="s">
        <v>34</v>
      </c>
      <c r="E64" s="121" t="s">
        <v>1053</v>
      </c>
      <c r="F64" s="81" t="s">
        <v>1056</v>
      </c>
      <c r="G64" s="214" t="e">
        <f t="array" ref="G64">AVERAGE(IF('Well Data-NK'!$G$109:$G$168={"ZU","RT"},IF('Well Data-NK'!$K$109:$K$168="NW",IF('Well Data-NK'!$J$109:$J$168="Inj",IF('Well Data-NK'!$Q$109:$Q$168&lt;=PERCENTILE(IF('Well Data-NK'!$G$109:$G$168={"ZU","RT"},IF('Well Data-NK'!$K$109:$K$168="NW",IF('Well Data-NK'!$J$109:$J$168="Inj",'Well Data-NK'!$Q$109:$Q$168))),0.25),'Well Data-NK'!$Q$109:$Q$168)))))</f>
        <v>#DIV/0!</v>
      </c>
      <c r="H64" s="214">
        <f t="array" ref="H64">COUNT(IF('Well Data-NK'!$G$109:$G$168={"ZU","RT"},IF('Well Data-NK'!$K$109:$K$168="NW",IF('Well Data-NK'!$J$109:$J$168="Inj",IF('Well Data-NK'!$Q$109:$Q$168&lt;=PERCENTILE(IF('Well Data-NK'!$G$109:$G$168={"ZU","RT"},IF('Well Data-NK'!$K$109:$K$168="NW",IF('Well Data-NK'!$J$109:$J$168="Inj",'Well Data-NK'!$Q$109:$Q$168))),0.25),'Well Data-NK'!$Q$109:$Q$168)))))</f>
        <v>0</v>
      </c>
      <c r="I64" s="265">
        <v>129</v>
      </c>
      <c r="J64" s="119" t="s">
        <v>1285</v>
      </c>
      <c r="K64" s="119">
        <f t="shared" si="0"/>
        <v>60</v>
      </c>
      <c r="L64" s="119">
        <f t="shared" si="1"/>
        <v>0</v>
      </c>
      <c r="M64" s="119">
        <f t="shared" si="4"/>
        <v>0</v>
      </c>
      <c r="N64" s="119">
        <f t="shared" si="8"/>
        <v>3.6802083333333333</v>
      </c>
    </row>
    <row r="65" spans="1:14" x14ac:dyDescent="0.25">
      <c r="A65" s="121" t="s">
        <v>825</v>
      </c>
      <c r="B65" s="121" t="s">
        <v>815</v>
      </c>
      <c r="C65" s="121" t="s">
        <v>18</v>
      </c>
      <c r="D65" s="121" t="s">
        <v>34</v>
      </c>
      <c r="E65" s="121" t="s">
        <v>1053</v>
      </c>
      <c r="F65" s="81" t="s">
        <v>1056</v>
      </c>
      <c r="G65" s="214">
        <f t="array" ref="G65">AVERAGE(IF('Well Data-NK'!$G$109:$G$168={"ZU","RT"},IF('Well Data-NK'!$K$109:$K$168="ST",IF('Well Data-NK'!$J$109:$J$168="Inj",IF('Well Data-NK'!$Q$109:$Q$168&lt;=PERCENTILE(IF('Well Data-NK'!$G$109:$G$168={"ZU","RT"},IF('Well Data-NK'!$K$109:$K$168="ST",IF('Well Data-NK'!$J$109:$J$168="Inj",'Well Data-NK'!$Q$109:$Q$168))),0.25),'Well Data-NK'!$Q$109:$Q$168)))))</f>
        <v>36</v>
      </c>
      <c r="H65" s="214">
        <f t="array" ref="H65">COUNT(IF('Well Data-NK'!$G$109:$G$168={"ZU","RT"},IF('Well Data-NK'!$K$109:$K$168="ST",IF('Well Data-NK'!$J$109:$J$168="Inj",IF('Well Data-NK'!$Q$109:$Q$168&lt;=PERCENTILE(IF('Well Data-NK'!$G$109:$G$168={"ZU","RT"},IF('Well Data-NK'!$K$109:$K$168="ST",IF('Well Data-NK'!$J$109:$J$168="Inj",'Well Data-NK'!$Q$109:$Q$168))),0.25),'Well Data-NK'!$Q$109:$Q$168)))))</f>
        <v>1</v>
      </c>
      <c r="I65" s="265">
        <v>139</v>
      </c>
      <c r="J65" s="119" t="s">
        <v>1286</v>
      </c>
      <c r="K65" s="119">
        <f t="shared" si="0"/>
        <v>60</v>
      </c>
      <c r="L65" s="119">
        <f t="shared" si="1"/>
        <v>1.6666666666666666E-2</v>
      </c>
      <c r="M65" s="119">
        <f t="shared" si="4"/>
        <v>0.6</v>
      </c>
      <c r="N65" s="119">
        <f t="shared" si="8"/>
        <v>3.6802083333333333</v>
      </c>
    </row>
    <row r="66" spans="1:14" x14ac:dyDescent="0.25">
      <c r="A66" s="81" t="s">
        <v>825</v>
      </c>
      <c r="B66" s="81" t="s">
        <v>814</v>
      </c>
      <c r="C66" s="81" t="s">
        <v>1059</v>
      </c>
      <c r="D66" s="81" t="s">
        <v>8</v>
      </c>
      <c r="E66" s="81" t="s">
        <v>1053</v>
      </c>
      <c r="F66" s="81" t="s">
        <v>1056</v>
      </c>
      <c r="G66" s="81"/>
      <c r="H66" s="81"/>
      <c r="I66" s="265">
        <v>74</v>
      </c>
      <c r="J66" s="119" t="s">
        <v>816</v>
      </c>
    </row>
    <row r="67" spans="1:14" x14ac:dyDescent="0.25">
      <c r="A67" s="81" t="s">
        <v>825</v>
      </c>
      <c r="B67" s="81" t="s">
        <v>814</v>
      </c>
      <c r="C67" s="81" t="s">
        <v>14</v>
      </c>
      <c r="D67" s="81" t="s">
        <v>8</v>
      </c>
      <c r="E67" s="81" t="s">
        <v>1053</v>
      </c>
      <c r="F67" s="81" t="s">
        <v>1056</v>
      </c>
      <c r="G67" s="81"/>
      <c r="H67" s="81"/>
      <c r="I67" s="265">
        <v>84</v>
      </c>
      <c r="J67" s="119" t="s">
        <v>14</v>
      </c>
    </row>
    <row r="68" spans="1:14" x14ac:dyDescent="0.25">
      <c r="A68" s="81" t="s">
        <v>825</v>
      </c>
      <c r="B68" s="81" t="s">
        <v>814</v>
      </c>
      <c r="C68" s="81" t="s">
        <v>18</v>
      </c>
      <c r="D68" s="81" t="s">
        <v>8</v>
      </c>
      <c r="E68" s="81" t="s">
        <v>1053</v>
      </c>
      <c r="F68" s="81" t="s">
        <v>1056</v>
      </c>
      <c r="G68" s="81"/>
      <c r="H68" s="81"/>
      <c r="I68" s="265">
        <v>94</v>
      </c>
      <c r="J68" s="119" t="s">
        <v>18</v>
      </c>
    </row>
    <row r="69" spans="1:14" x14ac:dyDescent="0.25">
      <c r="A69" s="81" t="s">
        <v>825</v>
      </c>
      <c r="B69" s="81" t="s">
        <v>814</v>
      </c>
      <c r="C69" s="81" t="s">
        <v>14</v>
      </c>
      <c r="D69" s="81" t="s">
        <v>298</v>
      </c>
      <c r="E69" s="81" t="s">
        <v>1053</v>
      </c>
      <c r="F69" s="81" t="s">
        <v>1056</v>
      </c>
      <c r="G69" s="81"/>
      <c r="H69" s="81"/>
      <c r="I69" s="265">
        <v>104</v>
      </c>
      <c r="J69" s="119" t="s">
        <v>1283</v>
      </c>
    </row>
    <row r="70" spans="1:14" x14ac:dyDescent="0.25">
      <c r="A70" s="81" t="s">
        <v>825</v>
      </c>
      <c r="B70" s="81" t="s">
        <v>814</v>
      </c>
      <c r="C70" s="81" t="s">
        <v>18</v>
      </c>
      <c r="D70" s="81" t="s">
        <v>298</v>
      </c>
      <c r="E70" s="81" t="s">
        <v>1053</v>
      </c>
      <c r="F70" s="81" t="s">
        <v>1056</v>
      </c>
      <c r="G70" s="81"/>
      <c r="H70" s="81"/>
      <c r="I70" s="265">
        <v>114</v>
      </c>
      <c r="J70" s="119" t="s">
        <v>1284</v>
      </c>
    </row>
    <row r="71" spans="1:14" x14ac:dyDescent="0.25">
      <c r="A71" s="81" t="s">
        <v>825</v>
      </c>
      <c r="B71" s="81" t="s">
        <v>814</v>
      </c>
      <c r="C71" s="81" t="s">
        <v>14</v>
      </c>
      <c r="D71" s="81" t="s">
        <v>34</v>
      </c>
      <c r="E71" s="81" t="s">
        <v>1053</v>
      </c>
      <c r="F71" s="81" t="s">
        <v>1056</v>
      </c>
      <c r="G71" s="81"/>
      <c r="H71" s="81"/>
      <c r="I71" s="265">
        <v>124</v>
      </c>
      <c r="J71" s="119" t="s">
        <v>1285</v>
      </c>
    </row>
    <row r="72" spans="1:14" x14ac:dyDescent="0.25">
      <c r="A72" s="81" t="s">
        <v>825</v>
      </c>
      <c r="B72" s="81" t="s">
        <v>814</v>
      </c>
      <c r="C72" s="81" t="s">
        <v>18</v>
      </c>
      <c r="D72" s="81" t="s">
        <v>34</v>
      </c>
      <c r="E72" s="81" t="s">
        <v>1053</v>
      </c>
      <c r="F72" s="81" t="s">
        <v>1056</v>
      </c>
      <c r="G72" s="81"/>
      <c r="H72" s="81"/>
      <c r="I72" s="265">
        <v>134</v>
      </c>
      <c r="J72" s="119" t="s">
        <v>1286</v>
      </c>
    </row>
    <row r="73" spans="1:14" x14ac:dyDescent="0.25">
      <c r="A73" s="121" t="s">
        <v>816</v>
      </c>
      <c r="B73" s="121" t="s">
        <v>815</v>
      </c>
      <c r="C73" s="121" t="s">
        <v>1059</v>
      </c>
      <c r="D73" s="121" t="s">
        <v>8</v>
      </c>
      <c r="E73" s="121" t="s">
        <v>1052</v>
      </c>
      <c r="F73" s="81" t="s">
        <v>1056</v>
      </c>
      <c r="G73" s="121">
        <f t="array" ref="G73">AVERAGE(IF('Well Data-NK'!$G$109:$G$168={"ZU","RT","LB","UB","MA"},'Well Data-NK'!$Q$109:$Q$168))</f>
        <v>51.788946421666544</v>
      </c>
      <c r="H73" s="121">
        <f>COUNT('Well Data-NK'!$R$109:$R$168)</f>
        <v>59</v>
      </c>
      <c r="I73" s="265">
        <v>10</v>
      </c>
      <c r="J73" s="119" t="s">
        <v>816</v>
      </c>
    </row>
    <row r="74" spans="1:14" x14ac:dyDescent="0.25">
      <c r="A74" s="121" t="s">
        <v>816</v>
      </c>
      <c r="B74" s="121" t="s">
        <v>815</v>
      </c>
      <c r="C74" s="121" t="s">
        <v>14</v>
      </c>
      <c r="D74" s="121" t="s">
        <v>8</v>
      </c>
      <c r="E74" s="121" t="s">
        <v>1052</v>
      </c>
      <c r="F74" s="81" t="s">
        <v>1056</v>
      </c>
      <c r="G74" s="121">
        <f t="array" ref="G74">AVERAGE(IF('Well Data-NK'!$G$109:$G$168={"RT","ZU","LB","UB","MA"},IF('Well Data-NK'!$K$109:$K$168="NW",'Well Data-NK'!$Q$109:$Q$168)))</f>
        <v>68.642823649206463</v>
      </c>
      <c r="H74" s="121">
        <f t="array" ref="H74">COUNT(IF('Well Data-NK'!$G$109:$G$168={"RT","ZU","LB","UB","MA"},IF('Well Data-NK'!$K$109:$K$168="NW",'Well Data-NK'!$Q$109:$Q$168)))</f>
        <v>21</v>
      </c>
      <c r="I74" s="265">
        <v>20</v>
      </c>
      <c r="J74" s="119" t="s">
        <v>14</v>
      </c>
    </row>
    <row r="75" spans="1:14" x14ac:dyDescent="0.25">
      <c r="A75" s="121" t="s">
        <v>816</v>
      </c>
      <c r="B75" s="121" t="s">
        <v>815</v>
      </c>
      <c r="C75" s="121" t="s">
        <v>18</v>
      </c>
      <c r="D75" s="121" t="s">
        <v>8</v>
      </c>
      <c r="E75" s="121" t="s">
        <v>1052</v>
      </c>
      <c r="F75" s="81" t="s">
        <v>1056</v>
      </c>
      <c r="G75" s="121">
        <f t="array" ref="G75">AVERAGE(IF('Well Data-NK'!$G$109:$G$168={"RT","ZU","LB","UB","MA"},IF('Well Data-NK'!$K$109:$K$168="ST",'Well Data-NK'!$Q$109:$Q$168)))</f>
        <v>42.71378176068351</v>
      </c>
      <c r="H75" s="121">
        <f t="array" ref="H75">COUNT(IF('Well Data-NK'!$G$109:$G$168={"RT","ZU","LB","UB","MA"},IF('Well Data-NK'!$K$109:$K$168="ST",'Well Data-NK'!$Q$109:$Q$168)))</f>
        <v>39</v>
      </c>
      <c r="I75" s="265">
        <v>30</v>
      </c>
      <c r="J75" s="119" t="s">
        <v>18</v>
      </c>
    </row>
    <row r="76" spans="1:14" x14ac:dyDescent="0.25">
      <c r="A76" s="121" t="s">
        <v>816</v>
      </c>
      <c r="B76" s="121" t="s">
        <v>815</v>
      </c>
      <c r="C76" s="121" t="s">
        <v>14</v>
      </c>
      <c r="D76" s="121" t="s">
        <v>298</v>
      </c>
      <c r="E76" s="121" t="s">
        <v>1052</v>
      </c>
      <c r="F76" s="81" t="s">
        <v>1056</v>
      </c>
      <c r="G76" s="121">
        <f t="array" ref="G76">AVERAGE(IF('Well Data-NK'!$G$109:$G$168={"ZU","RT","LB","UB","MA"},IF('Well Data-NK'!$K$109:$K$168="NW",IF('Well Data-NK'!$J$109:$J$168="Prod",'Well Data-NK'!$Q$109:$Q$168))))</f>
        <v>68.642823649206463</v>
      </c>
      <c r="H76" s="121">
        <f t="array" ref="H76">COUNT(IF('Well Data-NK'!$G$109:$G$168={"ZU","RT","LB","UB","MA"},IF('Well Data-NK'!$K$109:$K$168="NW",IF('Well Data-NK'!$J$109:$J$168="Prod",'Well Data-NK'!$Q$109:$Q$168))))</f>
        <v>21</v>
      </c>
      <c r="I76" s="265">
        <v>40</v>
      </c>
      <c r="J76" s="119" t="s">
        <v>1283</v>
      </c>
      <c r="K76" s="119">
        <f t="shared" ref="K76:K121" si="9">SUM($H$76:$H$79)</f>
        <v>60</v>
      </c>
      <c r="L76" s="119">
        <f>H76/K76</f>
        <v>0.35</v>
      </c>
      <c r="M76" s="119">
        <f t="shared" si="4"/>
        <v>24.02498827722226</v>
      </c>
      <c r="N76" s="119">
        <f>SUM($M$76:$M$79)</f>
        <v>51.788946421666537</v>
      </c>
    </row>
    <row r="77" spans="1:14" x14ac:dyDescent="0.25">
      <c r="A77" s="121" t="s">
        <v>816</v>
      </c>
      <c r="B77" s="121" t="s">
        <v>815</v>
      </c>
      <c r="C77" s="121" t="s">
        <v>18</v>
      </c>
      <c r="D77" s="121" t="s">
        <v>298</v>
      </c>
      <c r="E77" s="121" t="s">
        <v>1052</v>
      </c>
      <c r="F77" s="81" t="s">
        <v>1056</v>
      </c>
      <c r="G77" s="121">
        <f t="array" ref="G77">AVERAGE(IF('Well Data-NK'!$G$109:$G$168={"ZU","RT","LB","UB","MA"},IF('Well Data-NK'!$K$109:$K$168="ST",IF('Well Data-NK'!$J$109:$J$168="Prod",'Well Data-NK'!$Q$109:$Q$168))))</f>
        <v>52.102975714285193</v>
      </c>
      <c r="H77" s="121">
        <f t="array" ref="H77">COUNT(IF('Well Data-NK'!$G$109:$G$168={"ZU","RT","LB","UB","MA"},IF('Well Data-NK'!$K$109:$K$168="ST",IF('Well Data-NK'!$J$109:$J$168="Prod",'Well Data-NK'!$Q$109:$Q$168))))</f>
        <v>14</v>
      </c>
      <c r="I77" s="265">
        <v>50</v>
      </c>
      <c r="J77" s="119" t="s">
        <v>1284</v>
      </c>
      <c r="K77" s="119">
        <f t="shared" si="9"/>
        <v>60</v>
      </c>
      <c r="L77" s="119">
        <f t="shared" ref="L77:L78" si="10">H77/K77</f>
        <v>0.23333333333333334</v>
      </c>
      <c r="M77" s="119">
        <f t="shared" si="4"/>
        <v>12.157360999999879</v>
      </c>
      <c r="N77" s="119">
        <f t="shared" ref="N77:N79" si="11">SUM($M$76:$M$79)</f>
        <v>51.788946421666537</v>
      </c>
    </row>
    <row r="78" spans="1:14" x14ac:dyDescent="0.25">
      <c r="A78" s="121" t="s">
        <v>816</v>
      </c>
      <c r="B78" s="121" t="s">
        <v>815</v>
      </c>
      <c r="C78" s="121" t="s">
        <v>14</v>
      </c>
      <c r="D78" s="121" t="s">
        <v>34</v>
      </c>
      <c r="E78" s="121" t="s">
        <v>1052</v>
      </c>
      <c r="F78" s="81" t="s">
        <v>1056</v>
      </c>
      <c r="G78" s="121" t="e">
        <f t="array" ref="G78">AVERAGE(IF('Well Data-NK'!$G$109:$G$168={"ZU","RT","LB","UB","MA"},IF('Well Data-NK'!$K$109:$K$168="NW",IF('Well Data-NK'!$J$109:$J$168="Inj",'Well Data-NK'!$Q$109:$Q$168))))</f>
        <v>#DIV/0!</v>
      </c>
      <c r="H78" s="121">
        <f t="array" ref="H78">COUNT(IF('Well Data-NK'!$G$109:$G$168={"ZU","RT","LB","UB","MA"},IF('Well Data-NK'!$K$109:$K$168="NW",IF('Well Data-NK'!$J$109:$J$168="Inj",'Well Data-NK'!$Q$109:$Q$168))))</f>
        <v>0</v>
      </c>
      <c r="I78" s="265">
        <v>60</v>
      </c>
      <c r="J78" s="119" t="s">
        <v>1285</v>
      </c>
      <c r="K78" s="119">
        <f t="shared" si="9"/>
        <v>60</v>
      </c>
      <c r="L78" s="119">
        <f t="shared" si="10"/>
        <v>0</v>
      </c>
      <c r="M78" s="119">
        <f t="shared" si="4"/>
        <v>0</v>
      </c>
      <c r="N78" s="119">
        <f t="shared" si="11"/>
        <v>51.788946421666537</v>
      </c>
    </row>
    <row r="79" spans="1:14" x14ac:dyDescent="0.25">
      <c r="A79" s="121" t="s">
        <v>816</v>
      </c>
      <c r="B79" s="121" t="s">
        <v>815</v>
      </c>
      <c r="C79" s="121" t="s">
        <v>18</v>
      </c>
      <c r="D79" s="121" t="s">
        <v>34</v>
      </c>
      <c r="E79" s="121" t="s">
        <v>1052</v>
      </c>
      <c r="F79" s="81" t="s">
        <v>1056</v>
      </c>
      <c r="G79" s="121">
        <f t="array" ref="G79">AVERAGE(IF('Well Data-NK'!$G$109:$G$168={"ZU","RT","LB","UB","MA"},IF('Well Data-NK'!$K$109:$K$168="ST",IF('Well Data-NK'!$J$109:$J$168="Inj",'Well Data-NK'!$Q$109:$Q$168))))</f>
        <v>37.455833146666563</v>
      </c>
      <c r="H79" s="121">
        <f t="array" ref="H79">COUNT(IF('Well Data-NK'!$G$109:$G$168={"ZU","RT","LB","UB","MA"},IF('Well Data-NK'!$K$109:$K$168="ST",IF('Well Data-NK'!$J$109:$J$168="Inj",'Well Data-NK'!$Q$109:$Q$168))))</f>
        <v>25</v>
      </c>
      <c r="I79" s="265">
        <v>70</v>
      </c>
      <c r="J79" s="119" t="s">
        <v>1286</v>
      </c>
      <c r="K79" s="119">
        <f t="shared" si="9"/>
        <v>60</v>
      </c>
      <c r="L79" s="119">
        <f>H79/K79</f>
        <v>0.41666666666666669</v>
      </c>
      <c r="M79" s="119">
        <f t="shared" si="4"/>
        <v>15.606597144444402</v>
      </c>
      <c r="N79" s="119">
        <f t="shared" si="11"/>
        <v>51.788946421666537</v>
      </c>
    </row>
    <row r="80" spans="1:14" x14ac:dyDescent="0.25">
      <c r="A80" s="81" t="s">
        <v>816</v>
      </c>
      <c r="B80" s="81" t="s">
        <v>814</v>
      </c>
      <c r="C80" s="81" t="s">
        <v>1059</v>
      </c>
      <c r="D80" s="81" t="s">
        <v>8</v>
      </c>
      <c r="E80" s="81" t="s">
        <v>1052</v>
      </c>
      <c r="F80" s="81" t="s">
        <v>1056</v>
      </c>
      <c r="G80" s="120">
        <f t="array" ref="G80">AVERAGE(IF('Well Data-NK'!$G$109:$G$168={"ZU","RT","LB","UB","MA"},'Well Data-NK'!$S$109:$S$168))</f>
        <v>60.508474576271183</v>
      </c>
      <c r="H80" s="81"/>
      <c r="I80" s="265">
        <v>5</v>
      </c>
      <c r="J80" s="119" t="s">
        <v>816</v>
      </c>
    </row>
    <row r="81" spans="1:14" x14ac:dyDescent="0.25">
      <c r="A81" s="81" t="s">
        <v>816</v>
      </c>
      <c r="B81" s="81" t="s">
        <v>814</v>
      </c>
      <c r="C81" s="81" t="s">
        <v>14</v>
      </c>
      <c r="D81" s="81" t="s">
        <v>8</v>
      </c>
      <c r="E81" s="81" t="s">
        <v>1052</v>
      </c>
      <c r="F81" s="81" t="s">
        <v>1056</v>
      </c>
      <c r="G81" s="120">
        <f t="array" ref="G81">AVERAGE(IF('Well Data-NK'!$G$109:$G$168={"RT","ZU","LB","UB","MA"},IF('Well Data-NK'!$K$109:$K$168="NW",'Well Data-NK'!$S$109:$S$168)))</f>
        <v>76.666666666666671</v>
      </c>
      <c r="H81" s="120">
        <f t="array" ref="H81">COUNT(IF('Well Data-NK'!$G$109:$G$168={"RT","ZU","LB","UB","MA"},IF('Well Data-NK'!$K$109:$K$168="NW",'Well Data-NK'!$S$109:$S$168)))</f>
        <v>21</v>
      </c>
      <c r="I81" s="265">
        <v>15</v>
      </c>
      <c r="J81" s="119" t="s">
        <v>14</v>
      </c>
    </row>
    <row r="82" spans="1:14" x14ac:dyDescent="0.25">
      <c r="A82" s="81" t="s">
        <v>816</v>
      </c>
      <c r="B82" s="81" t="s">
        <v>814</v>
      </c>
      <c r="C82" s="81" t="s">
        <v>18</v>
      </c>
      <c r="D82" s="81" t="s">
        <v>8</v>
      </c>
      <c r="E82" s="81" t="s">
        <v>1052</v>
      </c>
      <c r="F82" s="81" t="s">
        <v>1056</v>
      </c>
      <c r="G82" s="120">
        <f t="array" ref="G82">AVERAGE(IF('Well Data-NK'!$G$109:$G$168={"RT","ZU","LB","UB","MA"},IF('Well Data-NK'!$K$109:$K$168="ST",'Well Data-NK'!$S$109:$S$168)))</f>
        <v>51.578947368421055</v>
      </c>
      <c r="H82" s="120">
        <f t="array" ref="H82">COUNT(IF('Well Data-NK'!$G$109:$G$168={"RT","ZU","LB","UB","MA"},IF('Well Data-NK'!$K$109:$K$168="ST",'Well Data-NK'!$S$109:$S$168)))</f>
        <v>38</v>
      </c>
      <c r="I82" s="265">
        <v>25</v>
      </c>
      <c r="J82" s="119" t="s">
        <v>18</v>
      </c>
    </row>
    <row r="83" spans="1:14" x14ac:dyDescent="0.25">
      <c r="A83" s="81" t="s">
        <v>816</v>
      </c>
      <c r="B83" s="81" t="s">
        <v>814</v>
      </c>
      <c r="C83" s="81" t="s">
        <v>14</v>
      </c>
      <c r="D83" s="81" t="s">
        <v>298</v>
      </c>
      <c r="E83" s="81" t="s">
        <v>1052</v>
      </c>
      <c r="F83" s="81" t="s">
        <v>1056</v>
      </c>
      <c r="G83" s="120">
        <f t="array" ref="G83">AVERAGE(IF('Well Data-NK'!G109:G168={"ZU","RT","LB","UB","MA"},IF('Well Data-NK'!K109:K168="NW",IF('Well Data-NK'!J109:J168="Prod",'Well Data-NK'!S109:S168))))</f>
        <v>76.666666666666671</v>
      </c>
      <c r="H83" s="81"/>
      <c r="I83" s="265">
        <v>35</v>
      </c>
      <c r="J83" s="119" t="s">
        <v>1283</v>
      </c>
    </row>
    <row r="84" spans="1:14" x14ac:dyDescent="0.25">
      <c r="A84" s="81" t="s">
        <v>816</v>
      </c>
      <c r="B84" s="81" t="s">
        <v>814</v>
      </c>
      <c r="C84" s="81" t="s">
        <v>18</v>
      </c>
      <c r="D84" s="81" t="s">
        <v>298</v>
      </c>
      <c r="E84" s="81" t="s">
        <v>1052</v>
      </c>
      <c r="F84" s="81" t="s">
        <v>1056</v>
      </c>
      <c r="G84" s="120">
        <f t="array" ref="G84">AVERAGE(IF('Well Data-NK'!$G$109:$G$168={"ZU","RT","LB","UB","MA"},IF('Well Data-NK'!$K$109:$K$168="ST",IF('Well Data-NK'!$J$109:$J$168="Prod",'Well Data-NK'!$S$109:$S$168))))</f>
        <v>56</v>
      </c>
      <c r="H84" s="81"/>
      <c r="I84" s="265">
        <v>45</v>
      </c>
      <c r="J84" s="119" t="s">
        <v>1284</v>
      </c>
    </row>
    <row r="85" spans="1:14" x14ac:dyDescent="0.25">
      <c r="A85" s="81" t="s">
        <v>816</v>
      </c>
      <c r="B85" s="81" t="s">
        <v>814</v>
      </c>
      <c r="C85" s="81" t="s">
        <v>14</v>
      </c>
      <c r="D85" s="81" t="s">
        <v>34</v>
      </c>
      <c r="E85" s="81" t="s">
        <v>1052</v>
      </c>
      <c r="F85" s="81" t="s">
        <v>1056</v>
      </c>
      <c r="G85" s="120" t="e">
        <f t="array" ref="G85">AVERAGE(IF('Well Data-NK'!$G$109:$G$168={"ZU","RT","LB","UB","MA"},IF('Well Data-NK'!$K$109:$K$168="NW",IF('Well Data-NK'!$J$109:$J$168="Inj",'Well Data-NK'!$S$109:$S$168))))</f>
        <v>#DIV/0!</v>
      </c>
      <c r="H85" s="81"/>
      <c r="I85" s="265">
        <v>55</v>
      </c>
      <c r="J85" s="119" t="s">
        <v>1285</v>
      </c>
    </row>
    <row r="86" spans="1:14" x14ac:dyDescent="0.25">
      <c r="A86" s="81" t="s">
        <v>816</v>
      </c>
      <c r="B86" s="81" t="s">
        <v>814</v>
      </c>
      <c r="C86" s="81" t="s">
        <v>18</v>
      </c>
      <c r="D86" s="81" t="s">
        <v>34</v>
      </c>
      <c r="E86" s="81" t="s">
        <v>1052</v>
      </c>
      <c r="F86" s="81" t="s">
        <v>1056</v>
      </c>
      <c r="G86" s="120">
        <f t="array" ref="G86">AVERAGE(IF('Well Data-NK'!$G$109:$G$168={"ZU","RT","LB","UB","MA"},IF('Well Data-NK'!$K$109:$K$168="ST",IF('Well Data-NK'!$J$109:$J$168="Inj",'Well Data-NK'!$S$109:$S$168))))</f>
        <v>49</v>
      </c>
      <c r="H86" s="81"/>
      <c r="I86" s="265">
        <v>65</v>
      </c>
      <c r="J86" s="119" t="s">
        <v>1286</v>
      </c>
    </row>
    <row r="87" spans="1:14" x14ac:dyDescent="0.25">
      <c r="A87" s="121" t="s">
        <v>22</v>
      </c>
      <c r="B87" s="121" t="s">
        <v>815</v>
      </c>
      <c r="C87" s="121" t="s">
        <v>1059</v>
      </c>
      <c r="D87" s="121" t="s">
        <v>8</v>
      </c>
      <c r="E87" s="121" t="s">
        <v>1052</v>
      </c>
      <c r="F87" s="81" t="s">
        <v>1056</v>
      </c>
      <c r="G87" s="121">
        <f t="array" ref="G87">AVERAGE(IF('Well Data-NK'!$G$109:$G$168={"LB"},'Well Data-NK'!$Q$109:$Q$168))</f>
        <v>55.753721209091573</v>
      </c>
      <c r="H87" s="121">
        <f>COUNTIF('Well Data-NK'!$G$109:$G$168,"LB")</f>
        <v>11</v>
      </c>
      <c r="I87" s="265">
        <v>8</v>
      </c>
      <c r="J87" s="119" t="s">
        <v>816</v>
      </c>
    </row>
    <row r="88" spans="1:14" x14ac:dyDescent="0.25">
      <c r="A88" s="121" t="s">
        <v>22</v>
      </c>
      <c r="B88" s="121" t="s">
        <v>815</v>
      </c>
      <c r="C88" s="121" t="s">
        <v>14</v>
      </c>
      <c r="D88" s="121" t="s">
        <v>8</v>
      </c>
      <c r="E88" s="121" t="s">
        <v>1052</v>
      </c>
      <c r="F88" s="81" t="s">
        <v>1056</v>
      </c>
      <c r="G88" s="121">
        <f t="array" ref="G88">AVERAGE(IF('Well Data-NK'!$G$109:$G$168={"LB"},IF('Well Data-NK'!$K$109:$K$168="NW",'Well Data-NK'!$Q$109:$Q$168)))</f>
        <v>55.753721209091573</v>
      </c>
      <c r="H88" s="121">
        <f t="array" ref="H88">COUNT(IF('Well Data-NK'!$G$109:$G$168={"LB"},IF('Well Data-NK'!$K$109:$K$168="NW",'Well Data-NK'!$Q$109:$Q$168)))</f>
        <v>11</v>
      </c>
      <c r="I88" s="265">
        <v>18</v>
      </c>
      <c r="J88" s="119" t="s">
        <v>14</v>
      </c>
    </row>
    <row r="89" spans="1:14" x14ac:dyDescent="0.25">
      <c r="A89" s="121" t="s">
        <v>22</v>
      </c>
      <c r="B89" s="121" t="s">
        <v>815</v>
      </c>
      <c r="C89" s="121" t="s">
        <v>18</v>
      </c>
      <c r="D89" s="121" t="s">
        <v>8</v>
      </c>
      <c r="E89" s="121" t="s">
        <v>1052</v>
      </c>
      <c r="F89" s="81" t="s">
        <v>1056</v>
      </c>
      <c r="G89" s="121" t="e">
        <f t="array" ref="G89">AVERAGE(IF('Well Data-NK'!$G$109:$G$168={"LB"},IF('Well Data-NK'!$K$109:$K$168="ST",'Well Data-NK'!$Q$109:$Q$168)))</f>
        <v>#DIV/0!</v>
      </c>
      <c r="H89" s="121">
        <f t="array" ref="H89">COUNT(IF('Well Data-NK'!$G$109:$G$168={"LB"},IF('Well Data-NK'!$K$109:$K$168="ST",'Well Data-NK'!$Q$109:$Q$168)))</f>
        <v>0</v>
      </c>
      <c r="I89" s="265">
        <v>28</v>
      </c>
      <c r="J89" s="119" t="s">
        <v>18</v>
      </c>
    </row>
    <row r="90" spans="1:14" x14ac:dyDescent="0.25">
      <c r="A90" s="121" t="s">
        <v>22</v>
      </c>
      <c r="B90" s="121" t="s">
        <v>815</v>
      </c>
      <c r="C90" s="121" t="s">
        <v>14</v>
      </c>
      <c r="D90" s="121" t="s">
        <v>298</v>
      </c>
      <c r="E90" s="121" t="s">
        <v>1052</v>
      </c>
      <c r="F90" s="81" t="s">
        <v>1056</v>
      </c>
      <c r="G90" s="121">
        <f t="array" ref="G90">AVERAGE(IF('Well Data-NK'!$G$109:$G$168={"LB"},IF('Well Data-NK'!$K$109:$K$168="NW",IF('Well Data-NK'!$J$109:$J$168="Prod",'Well Data-NK'!$Q$109:$Q$168))))</f>
        <v>55.753721209091573</v>
      </c>
      <c r="H90" s="121">
        <f t="array" ref="H90">COUNT(IF('Well Data-NK'!$G$109:$G$168={"LB"},IF('Well Data-NK'!$K$109:$K$168="NW",IF('Well Data-NK'!$J$109:$J$168="Prod",'Well Data-NK'!$Q$109:$Q$168))))</f>
        <v>11</v>
      </c>
      <c r="I90" s="265">
        <v>38</v>
      </c>
      <c r="J90" s="119" t="s">
        <v>1283</v>
      </c>
      <c r="K90" s="119">
        <f t="shared" si="9"/>
        <v>60</v>
      </c>
      <c r="L90" s="119">
        <f t="shared" ref="L90:L92" si="12">H90/K90</f>
        <v>0.18333333333333332</v>
      </c>
      <c r="M90" s="119">
        <f>IF(ISERROR(L90*G90),0,(L90*G90))</f>
        <v>10.221515555000121</v>
      </c>
      <c r="N90" s="119">
        <f>SUM($M$90:$M$93)</f>
        <v>10.221515555000121</v>
      </c>
    </row>
    <row r="91" spans="1:14" x14ac:dyDescent="0.25">
      <c r="A91" s="121" t="s">
        <v>22</v>
      </c>
      <c r="B91" s="121" t="s">
        <v>815</v>
      </c>
      <c r="C91" s="121" t="s">
        <v>18</v>
      </c>
      <c r="D91" s="121" t="s">
        <v>298</v>
      </c>
      <c r="E91" s="121" t="s">
        <v>1052</v>
      </c>
      <c r="F91" s="81" t="s">
        <v>1056</v>
      </c>
      <c r="G91" s="121" t="e">
        <f t="array" ref="G91">AVERAGE(IF('Well Data-NK'!$G$109:$G$168={"LB"},IF('Well Data-NK'!$K$109:$K$168="ST",IF('Well Data-NK'!$J$109:$J$168="Prod",'Well Data-NK'!$Q$109:$Q$168))))</f>
        <v>#DIV/0!</v>
      </c>
      <c r="H91" s="121">
        <f t="array" ref="H91">COUNT(IF('Well Data-NK'!$G$109:$G$168={"LB"},IF('Well Data-NK'!$K$109:$K$168="ST",IF('Well Data-NK'!$J$109:$J$168="Prod",'Well Data-NK'!$Q$109:$Q$168))))</f>
        <v>0</v>
      </c>
      <c r="I91" s="265">
        <v>48</v>
      </c>
      <c r="J91" s="119" t="s">
        <v>1284</v>
      </c>
      <c r="K91" s="119">
        <f t="shared" si="9"/>
        <v>60</v>
      </c>
      <c r="L91" s="119">
        <f t="shared" si="12"/>
        <v>0</v>
      </c>
      <c r="M91" s="119">
        <f t="shared" ref="M91:M135" si="13">IF(ISERROR(L91*G91),0,(L91*G91))</f>
        <v>0</v>
      </c>
      <c r="N91" s="119">
        <f t="shared" ref="N91:N93" si="14">SUM($M$90:$M$93)</f>
        <v>10.221515555000121</v>
      </c>
    </row>
    <row r="92" spans="1:14" x14ac:dyDescent="0.25">
      <c r="A92" s="121" t="s">
        <v>22</v>
      </c>
      <c r="B92" s="121" t="s">
        <v>815</v>
      </c>
      <c r="C92" s="121" t="s">
        <v>14</v>
      </c>
      <c r="D92" s="121" t="s">
        <v>34</v>
      </c>
      <c r="E92" s="121" t="s">
        <v>1052</v>
      </c>
      <c r="F92" s="81" t="s">
        <v>1056</v>
      </c>
      <c r="G92" s="121" t="e">
        <f t="array" ref="G92">AVERAGE(IF('Well Data-NK'!$G$109:$G$168={"LB"},IF('Well Data-NK'!$K$109:$K$168="NW",IF('Well Data-NK'!$J$109:$J$168="Inj",'Well Data-NK'!$Q$109:$Q$168))))</f>
        <v>#DIV/0!</v>
      </c>
      <c r="H92" s="121">
        <f t="array" ref="H92">COUNT(IF('Well Data-NK'!$G$109:$G$168={"LB"},IF('Well Data-NK'!$K$109:$K$168="NW",IF('Well Data-NK'!$J$109:$J$168="Inj",'Well Data-NK'!$Q$109:$Q$168))))</f>
        <v>0</v>
      </c>
      <c r="I92" s="265">
        <v>58</v>
      </c>
      <c r="J92" s="119" t="s">
        <v>1285</v>
      </c>
      <c r="K92" s="119">
        <f t="shared" si="9"/>
        <v>60</v>
      </c>
      <c r="L92" s="119">
        <f t="shared" si="12"/>
        <v>0</v>
      </c>
      <c r="M92" s="119">
        <f t="shared" si="13"/>
        <v>0</v>
      </c>
      <c r="N92" s="119">
        <f t="shared" si="14"/>
        <v>10.221515555000121</v>
      </c>
    </row>
    <row r="93" spans="1:14" x14ac:dyDescent="0.25">
      <c r="A93" s="121" t="s">
        <v>22</v>
      </c>
      <c r="B93" s="121" t="s">
        <v>815</v>
      </c>
      <c r="C93" s="121" t="s">
        <v>18</v>
      </c>
      <c r="D93" s="121" t="s">
        <v>34</v>
      </c>
      <c r="E93" s="121" t="s">
        <v>1052</v>
      </c>
      <c r="F93" s="81" t="s">
        <v>1056</v>
      </c>
      <c r="G93" s="121" t="e">
        <f t="array" ref="G93">AVERAGE(IF('Well Data-NK'!$G$109:$G$168={"LB"},IF('Well Data-NK'!$K$109:$K$168="ST",IF('Well Data-NK'!$J$109:$J$168="Inj",'Well Data-NK'!$Q$109:$Q$168))))</f>
        <v>#DIV/0!</v>
      </c>
      <c r="H93" s="121">
        <f t="array" ref="H93">COUNT(IF('Well Data-NK'!$G$109:$G$168={"LB"},IF('Well Data-NK'!$K$109:$K$168="ST",IF('Well Data-NK'!$J$109:$J$168="Inj",'Well Data-NK'!$Q$109:$Q$168))))</f>
        <v>0</v>
      </c>
      <c r="I93" s="265">
        <v>68</v>
      </c>
      <c r="J93" s="119" t="s">
        <v>1286</v>
      </c>
      <c r="K93" s="119">
        <f t="shared" si="9"/>
        <v>60</v>
      </c>
      <c r="L93" s="119">
        <f>H93/K93</f>
        <v>0</v>
      </c>
      <c r="M93" s="119">
        <f t="shared" si="13"/>
        <v>0</v>
      </c>
      <c r="N93" s="119">
        <f t="shared" si="14"/>
        <v>10.221515555000121</v>
      </c>
    </row>
    <row r="94" spans="1:14" x14ac:dyDescent="0.25">
      <c r="A94" s="81" t="s">
        <v>22</v>
      </c>
      <c r="B94" s="81" t="s">
        <v>814</v>
      </c>
      <c r="C94" s="81" t="s">
        <v>1059</v>
      </c>
      <c r="D94" s="81" t="s">
        <v>8</v>
      </c>
      <c r="E94" s="81" t="s">
        <v>1052</v>
      </c>
      <c r="F94" s="81" t="s">
        <v>1056</v>
      </c>
      <c r="G94" s="120">
        <f t="array" ref="G94">AVERAGE(IF('Well Data-NK'!$G$109:$G$168={"LB"},'Well Data-NK'!$S$109:$S$168))</f>
        <v>70</v>
      </c>
      <c r="H94" s="81"/>
      <c r="I94" s="265">
        <v>3</v>
      </c>
      <c r="J94" s="119" t="s">
        <v>816</v>
      </c>
    </row>
    <row r="95" spans="1:14" x14ac:dyDescent="0.25">
      <c r="A95" s="81" t="s">
        <v>22</v>
      </c>
      <c r="B95" s="81" t="s">
        <v>814</v>
      </c>
      <c r="C95" s="81" t="s">
        <v>14</v>
      </c>
      <c r="D95" s="81" t="s">
        <v>8</v>
      </c>
      <c r="E95" s="81" t="s">
        <v>1052</v>
      </c>
      <c r="F95" s="81" t="s">
        <v>1056</v>
      </c>
      <c r="G95" s="120">
        <f t="array" ref="G95">AVERAGE(IF('Well Data-NK'!$G$109:$G$168={"LB"},IF('Well Data-NK'!$K$109:$K$168="NW",'Well Data-NK'!$S$109:$S$168)))</f>
        <v>70</v>
      </c>
      <c r="H95" s="120">
        <f t="array" ref="H95">COUNT(IF('Well Data-NK'!$G$109:$G$168={"LB"},IF('Well Data-NK'!$K$109:$K$168="NW",'Well Data-NK'!$S$109:$S$168)))</f>
        <v>11</v>
      </c>
      <c r="I95" s="265">
        <v>13</v>
      </c>
      <c r="J95" s="119" t="s">
        <v>14</v>
      </c>
    </row>
    <row r="96" spans="1:14" x14ac:dyDescent="0.25">
      <c r="A96" s="81" t="s">
        <v>22</v>
      </c>
      <c r="B96" s="81" t="s">
        <v>814</v>
      </c>
      <c r="C96" s="81" t="s">
        <v>18</v>
      </c>
      <c r="D96" s="81" t="s">
        <v>8</v>
      </c>
      <c r="E96" s="81" t="s">
        <v>1052</v>
      </c>
      <c r="F96" s="81" t="s">
        <v>1056</v>
      </c>
      <c r="G96" s="120" t="e">
        <f t="array" ref="G96">AVERAGE(IF('Well Data-NK'!$G$109:$G$168={"LB"},IF('Well Data-NK'!$K$109:$K$168="ST",'Well Data-NK'!$S$109:$S$168)))</f>
        <v>#DIV/0!</v>
      </c>
      <c r="H96" s="120">
        <f t="array" ref="H96">COUNT(IF('Well Data-NK'!$G$109:$G$168={"LB"},IF('Well Data-NK'!$K$109:$K$168="ST",'Well Data-NK'!$S$109:$S$168)))</f>
        <v>0</v>
      </c>
      <c r="I96" s="265">
        <v>23</v>
      </c>
      <c r="J96" s="119" t="s">
        <v>18</v>
      </c>
    </row>
    <row r="97" spans="1:14" x14ac:dyDescent="0.25">
      <c r="A97" s="81" t="s">
        <v>22</v>
      </c>
      <c r="B97" s="81" t="s">
        <v>814</v>
      </c>
      <c r="C97" s="81" t="s">
        <v>14</v>
      </c>
      <c r="D97" s="81" t="s">
        <v>298</v>
      </c>
      <c r="E97" s="81" t="s">
        <v>1052</v>
      </c>
      <c r="F97" s="81" t="s">
        <v>1056</v>
      </c>
      <c r="G97" s="120">
        <f t="array" ref="G97">AVERAGE(IF('Well Data-NK'!G109:G168={"LB"},IF('Well Data-NK'!K109:K168="NW",IF('Well Data-NK'!J109:J168="Prod",'Well Data-NK'!S109:S168))))</f>
        <v>70</v>
      </c>
      <c r="H97" s="81"/>
      <c r="I97" s="265">
        <v>33</v>
      </c>
      <c r="J97" s="119" t="s">
        <v>1283</v>
      </c>
    </row>
    <row r="98" spans="1:14" x14ac:dyDescent="0.25">
      <c r="A98" s="81" t="s">
        <v>22</v>
      </c>
      <c r="B98" s="81" t="s">
        <v>814</v>
      </c>
      <c r="C98" s="81" t="s">
        <v>18</v>
      </c>
      <c r="D98" s="81" t="s">
        <v>298</v>
      </c>
      <c r="E98" s="81" t="s">
        <v>1052</v>
      </c>
      <c r="F98" s="81" t="s">
        <v>1056</v>
      </c>
      <c r="G98" s="120" t="e">
        <f t="array" ref="G98">AVERAGE(IF('Well Data-NK'!$G$109:$G$168={"LB"},IF('Well Data-NK'!$K$109:$K$168="ST",IF('Well Data-NK'!$J$109:$J$168="Prod",'Well Data-NK'!$S$109:$S$168))))</f>
        <v>#DIV/0!</v>
      </c>
      <c r="H98" s="81"/>
      <c r="I98" s="265">
        <v>43</v>
      </c>
      <c r="J98" s="119" t="s">
        <v>1284</v>
      </c>
    </row>
    <row r="99" spans="1:14" x14ac:dyDescent="0.25">
      <c r="A99" s="81" t="s">
        <v>22</v>
      </c>
      <c r="B99" s="81" t="s">
        <v>814</v>
      </c>
      <c r="C99" s="81" t="s">
        <v>14</v>
      </c>
      <c r="D99" s="81" t="s">
        <v>34</v>
      </c>
      <c r="E99" s="81" t="s">
        <v>1052</v>
      </c>
      <c r="F99" s="81" t="s">
        <v>1056</v>
      </c>
      <c r="G99" s="120" t="e">
        <f t="array" ref="G99">AVERAGE(IF('Well Data-NK'!$G$109:$G$168={"LB"},IF('Well Data-NK'!$K$109:$K$168="NW",IF('Well Data-NK'!$J$109:$J$168="Inj",'Well Data-NK'!$S$109:$S$168))))</f>
        <v>#DIV/0!</v>
      </c>
      <c r="H99" s="81"/>
      <c r="I99" s="265">
        <v>53</v>
      </c>
      <c r="J99" s="119" t="s">
        <v>1285</v>
      </c>
    </row>
    <row r="100" spans="1:14" x14ac:dyDescent="0.25">
      <c r="A100" s="81" t="s">
        <v>22</v>
      </c>
      <c r="B100" s="81" t="s">
        <v>814</v>
      </c>
      <c r="C100" s="81" t="s">
        <v>18</v>
      </c>
      <c r="D100" s="81" t="s">
        <v>34</v>
      </c>
      <c r="E100" s="81" t="s">
        <v>1052</v>
      </c>
      <c r="F100" s="81" t="s">
        <v>1056</v>
      </c>
      <c r="G100" s="120" t="e">
        <f t="array" ref="G100">AVERAGE(IF('Well Data-NK'!$G$109:$G$168={"LB"},IF('Well Data-NK'!$K$109:$K$168="ST",IF('Well Data-NK'!$J$109:$J$168="Inj",'Well Data-NK'!$S$109:$S$168))))</f>
        <v>#DIV/0!</v>
      </c>
      <c r="H100" s="81"/>
      <c r="I100" s="265">
        <v>63</v>
      </c>
      <c r="J100" s="119" t="s">
        <v>1286</v>
      </c>
    </row>
    <row r="101" spans="1:14" x14ac:dyDescent="0.25">
      <c r="A101" s="121" t="s">
        <v>17</v>
      </c>
      <c r="B101" s="121" t="s">
        <v>815</v>
      </c>
      <c r="C101" s="121" t="s">
        <v>1059</v>
      </c>
      <c r="D101" s="121" t="s">
        <v>8</v>
      </c>
      <c r="E101" s="121" t="s">
        <v>1052</v>
      </c>
      <c r="F101" s="81" t="s">
        <v>1056</v>
      </c>
      <c r="G101" s="214">
        <f t="array" ref="G101">AVERAGE(IF('Well Data-NK'!$G$109:$G$168={"MA"},'Well Data-NK'!$Q$109:$Q$168))</f>
        <v>43.09824540350845</v>
      </c>
      <c r="H101" s="121">
        <f>COUNTIF('Well Data-NK'!$G$109:$G$168,"MA")</f>
        <v>38</v>
      </c>
      <c r="I101" s="265">
        <v>6</v>
      </c>
      <c r="J101" s="119" t="s">
        <v>816</v>
      </c>
    </row>
    <row r="102" spans="1:14" x14ac:dyDescent="0.25">
      <c r="A102" s="121" t="s">
        <v>17</v>
      </c>
      <c r="B102" s="121" t="s">
        <v>815</v>
      </c>
      <c r="C102" s="121" t="s">
        <v>14</v>
      </c>
      <c r="D102" s="121" t="s">
        <v>8</v>
      </c>
      <c r="E102" s="121" t="s">
        <v>1052</v>
      </c>
      <c r="F102" s="81" t="s">
        <v>1056</v>
      </c>
      <c r="G102" s="121">
        <f t="array" ref="G102">AVERAGE(IF('Well Data-NK'!$G$109:$G$168={"MA"},IF('Well Data-NK'!$K$109:$K$168="NW",'Well Data-NK'!$Q$109:$Q$168)))</f>
        <v>55.055555555554747</v>
      </c>
      <c r="H102" s="121">
        <f t="array" ref="H102">COUNT(IF('Well Data-NK'!$G$109:$G$168={"MA"},IF('Well Data-NK'!$K$109:$K$168="NW",'Well Data-NK'!$Q$109:$Q$168)))</f>
        <v>3</v>
      </c>
      <c r="I102" s="265">
        <v>16</v>
      </c>
      <c r="J102" s="119" t="s">
        <v>14</v>
      </c>
    </row>
    <row r="103" spans="1:14" x14ac:dyDescent="0.25">
      <c r="A103" s="121" t="s">
        <v>17</v>
      </c>
      <c r="B103" s="121" t="s">
        <v>815</v>
      </c>
      <c r="C103" s="121" t="s">
        <v>18</v>
      </c>
      <c r="D103" s="121" t="s">
        <v>8</v>
      </c>
      <c r="E103" s="121" t="s">
        <v>1052</v>
      </c>
      <c r="F103" s="81" t="s">
        <v>1056</v>
      </c>
      <c r="G103" s="121">
        <f t="array" ref="G103">AVERAGE(IF('Well Data-NK'!$G$109:$G$168={"MA"},IF('Well Data-NK'!$K$109:$K$168="ST",'Well Data-NK'!$Q$109:$Q$168)))</f>
        <v>42.073333104761623</v>
      </c>
      <c r="H103" s="121">
        <f t="array" ref="H103">COUNT(IF('Well Data-NK'!$G$109:$G$168={"MA"},IF('Well Data-NK'!$K$109:$K$168="ST",'Well Data-NK'!$Q$109:$Q$168)))</f>
        <v>35</v>
      </c>
      <c r="I103" s="265">
        <v>26</v>
      </c>
      <c r="J103" s="119" t="s">
        <v>18</v>
      </c>
    </row>
    <row r="104" spans="1:14" x14ac:dyDescent="0.25">
      <c r="A104" s="121" t="s">
        <v>17</v>
      </c>
      <c r="B104" s="121" t="s">
        <v>815</v>
      </c>
      <c r="C104" s="121" t="s">
        <v>14</v>
      </c>
      <c r="D104" s="121" t="s">
        <v>298</v>
      </c>
      <c r="E104" s="121" t="s">
        <v>1052</v>
      </c>
      <c r="F104" s="81" t="s">
        <v>1056</v>
      </c>
      <c r="G104" s="121">
        <f t="array" ref="G104">AVERAGE(IF('Well Data-NK'!$G$109:$G$168={"MA"},IF('Well Data-NK'!$K$109:$K$168="NW",IF('Well Data-NK'!$J$109:$J$168="Prod",'Well Data-NK'!$Q$109:$Q$168))))</f>
        <v>55.055555555554747</v>
      </c>
      <c r="H104" s="121">
        <f t="array" ref="H104">COUNT(IF('Well Data-NK'!$G$109:$G$168={"MA"},IF('Well Data-NK'!$K$109:$K$168="NW",IF('Well Data-NK'!$J$109:$J$168="Prod",'Well Data-NK'!$Q$109:$Q$168))))</f>
        <v>3</v>
      </c>
      <c r="I104" s="265">
        <v>36</v>
      </c>
      <c r="J104" s="119" t="s">
        <v>1283</v>
      </c>
      <c r="K104" s="119">
        <f t="shared" si="9"/>
        <v>60</v>
      </c>
      <c r="L104" s="119">
        <f t="shared" ref="L104:L107" si="15">H104/K104</f>
        <v>0.05</v>
      </c>
      <c r="M104" s="119">
        <f t="shared" si="13"/>
        <v>2.7527777777777374</v>
      </c>
      <c r="N104" s="119">
        <f>SUM($M$104:$M$107)</f>
        <v>27.295555422222016</v>
      </c>
    </row>
    <row r="105" spans="1:14" x14ac:dyDescent="0.25">
      <c r="A105" s="121" t="s">
        <v>17</v>
      </c>
      <c r="B105" s="121" t="s">
        <v>815</v>
      </c>
      <c r="C105" s="121" t="s">
        <v>18</v>
      </c>
      <c r="D105" s="121" t="s">
        <v>298</v>
      </c>
      <c r="E105" s="121" t="s">
        <v>1052</v>
      </c>
      <c r="F105" s="81" t="s">
        <v>1056</v>
      </c>
      <c r="G105" s="121">
        <f t="array" ref="G105">AVERAGE(IF('Well Data-NK'!$G$109:$G$168={"MA"},IF('Well Data-NK'!$K$109:$K$168="ST",IF('Well Data-NK'!$J$109:$J$168="Prod",'Well Data-NK'!$Q$109:$Q$168))))</f>
        <v>52.015529999999337</v>
      </c>
      <c r="H105" s="121">
        <f t="array" ref="H105">COUNT(IF('Well Data-NK'!$G$109:$G$168={"MA"},IF('Well Data-NK'!$K$109:$K$168="ST",IF('Well Data-NK'!$J$109:$J$168="Prod",'Well Data-NK'!$Q$109:$Q$168))))</f>
        <v>11</v>
      </c>
      <c r="I105" s="265">
        <v>46</v>
      </c>
      <c r="J105" s="119" t="s">
        <v>1284</v>
      </c>
      <c r="K105" s="119">
        <f t="shared" si="9"/>
        <v>60</v>
      </c>
      <c r="L105" s="119">
        <f t="shared" si="15"/>
        <v>0.18333333333333332</v>
      </c>
      <c r="M105" s="119">
        <f t="shared" si="13"/>
        <v>9.5361804999998778</v>
      </c>
      <c r="N105" s="119">
        <f t="shared" ref="N105:N107" si="16">SUM($M$104:$M$107)</f>
        <v>27.295555422222016</v>
      </c>
    </row>
    <row r="106" spans="1:14" x14ac:dyDescent="0.25">
      <c r="A106" s="121" t="s">
        <v>17</v>
      </c>
      <c r="B106" s="121" t="s">
        <v>815</v>
      </c>
      <c r="C106" s="121" t="s">
        <v>14</v>
      </c>
      <c r="D106" s="121" t="s">
        <v>34</v>
      </c>
      <c r="E106" s="121" t="s">
        <v>1052</v>
      </c>
      <c r="F106" s="81" t="s">
        <v>1056</v>
      </c>
      <c r="G106" s="121" t="e">
        <f t="array" ref="G106">AVERAGE(IF('Well Data-NK'!$G$109:$G$168={"MA"},IF('Well Data-NK'!$K$109:$K$168="NW",IF('Well Data-NK'!$J$109:$J$168="Inj",'Well Data-NK'!$Q$109:$Q$168))))</f>
        <v>#DIV/0!</v>
      </c>
      <c r="H106" s="121">
        <f t="array" ref="H106">COUNT(IF('Well Data-NK'!$G$109:$G$168={"MA"},IF('Well Data-NK'!$K$109:$K$168="NW",IF('Well Data-NK'!$J$109:$J$168="Inj",'Well Data-NK'!$Q$109:$Q$168))))</f>
        <v>0</v>
      </c>
      <c r="I106" s="265">
        <v>56</v>
      </c>
      <c r="J106" s="119" t="s">
        <v>1285</v>
      </c>
      <c r="K106" s="119">
        <f t="shared" si="9"/>
        <v>60</v>
      </c>
      <c r="L106" s="119">
        <f t="shared" si="15"/>
        <v>0</v>
      </c>
      <c r="M106" s="119">
        <f t="shared" si="13"/>
        <v>0</v>
      </c>
      <c r="N106" s="119">
        <f t="shared" si="16"/>
        <v>27.295555422222016</v>
      </c>
    </row>
    <row r="107" spans="1:14" x14ac:dyDescent="0.25">
      <c r="A107" s="121" t="s">
        <v>17</v>
      </c>
      <c r="B107" s="121" t="s">
        <v>815</v>
      </c>
      <c r="C107" s="121" t="s">
        <v>18</v>
      </c>
      <c r="D107" s="121" t="s">
        <v>34</v>
      </c>
      <c r="E107" s="121" t="s">
        <v>1052</v>
      </c>
      <c r="F107" s="81" t="s">
        <v>1056</v>
      </c>
      <c r="G107" s="121">
        <f t="array" ref="G107">AVERAGE(IF('Well Data-NK'!$G$109:$G$168={"MA"},IF('Well Data-NK'!$K$109:$K$168="ST",IF('Well Data-NK'!$J$109:$J$168="Inj",'Well Data-NK'!$Q$109:$Q$168))))</f>
        <v>37.516492861111004</v>
      </c>
      <c r="H107" s="121">
        <f t="array" ref="H107">COUNT(IF('Well Data-NK'!$G$109:$G$168={"MA"},IF('Well Data-NK'!$K$109:$K$168="ST",IF('Well Data-NK'!$J$109:$J$168="Inj",'Well Data-NK'!$Q$109:$Q$168))))</f>
        <v>24</v>
      </c>
      <c r="I107" s="265">
        <v>66</v>
      </c>
      <c r="J107" s="119" t="s">
        <v>1286</v>
      </c>
      <c r="K107" s="119">
        <f t="shared" si="9"/>
        <v>60</v>
      </c>
      <c r="L107" s="119">
        <f t="shared" si="15"/>
        <v>0.4</v>
      </c>
      <c r="M107" s="119">
        <f t="shared" si="13"/>
        <v>15.006597144444402</v>
      </c>
      <c r="N107" s="119">
        <f t="shared" si="16"/>
        <v>27.295555422222016</v>
      </c>
    </row>
    <row r="108" spans="1:14" x14ac:dyDescent="0.25">
      <c r="A108" s="81" t="s">
        <v>17</v>
      </c>
      <c r="B108" s="81" t="s">
        <v>814</v>
      </c>
      <c r="C108" s="81" t="s">
        <v>1059</v>
      </c>
      <c r="D108" s="81" t="s">
        <v>8</v>
      </c>
      <c r="E108" s="81" t="s">
        <v>1052</v>
      </c>
      <c r="F108" s="81" t="s">
        <v>1056</v>
      </c>
      <c r="G108" s="120">
        <f t="array" ref="G108">AVERAGE(IF('Well Data-NK'!$G$109:$G$168={"MA"},'Well Data-NK'!$S$109:$S$168))</f>
        <v>52.684210526315788</v>
      </c>
      <c r="H108" s="81"/>
      <c r="I108" s="265">
        <v>1</v>
      </c>
      <c r="J108" s="119" t="s">
        <v>816</v>
      </c>
    </row>
    <row r="109" spans="1:14" x14ac:dyDescent="0.25">
      <c r="A109" s="81" t="s">
        <v>17</v>
      </c>
      <c r="B109" s="81" t="s">
        <v>814</v>
      </c>
      <c r="C109" s="81" t="s">
        <v>14</v>
      </c>
      <c r="D109" s="81" t="s">
        <v>8</v>
      </c>
      <c r="E109" s="81" t="s">
        <v>1052</v>
      </c>
      <c r="F109" s="81" t="s">
        <v>1056</v>
      </c>
      <c r="G109" s="120">
        <f t="array" ref="G109">AVERAGE(IF('Well Data-NK'!$G$109:$G$168={"MA"},IF('Well Data-NK'!$K$109:$K$168="NW",'Well Data-NK'!$S$109:$S$168)))</f>
        <v>70</v>
      </c>
      <c r="H109" s="120">
        <f t="array" ref="H109">COUNT(IF('Well Data-NK'!$G$109:$G$168={"MA"},IF('Well Data-NK'!$K$109:$K$168="NW",'Well Data-NK'!$S$109:$S$168)))</f>
        <v>3</v>
      </c>
      <c r="I109" s="265">
        <v>11</v>
      </c>
      <c r="J109" s="119" t="s">
        <v>14</v>
      </c>
    </row>
    <row r="110" spans="1:14" x14ac:dyDescent="0.25">
      <c r="A110" s="81" t="s">
        <v>17</v>
      </c>
      <c r="B110" s="81" t="s">
        <v>814</v>
      </c>
      <c r="C110" s="81" t="s">
        <v>18</v>
      </c>
      <c r="D110" s="81" t="s">
        <v>8</v>
      </c>
      <c r="E110" s="81" t="s">
        <v>1052</v>
      </c>
      <c r="F110" s="81" t="s">
        <v>1056</v>
      </c>
      <c r="G110" s="120">
        <f t="array" ref="G110">AVERAGE(IF('Well Data-NK'!$G$109:$G$168={"MA"},IF('Well Data-NK'!$K$109:$K$168="ST",'Well Data-NK'!$S$109:$S$168)))</f>
        <v>51.2</v>
      </c>
      <c r="H110" s="120">
        <f t="array" ref="H110">COUNT(IF('Well Data-NK'!$G$109:$G$168={"MA"},IF('Well Data-NK'!$K$109:$K$168="ST",'Well Data-NK'!$S$109:$S$168)))</f>
        <v>35</v>
      </c>
      <c r="I110" s="265">
        <v>21</v>
      </c>
      <c r="J110" s="119" t="s">
        <v>18</v>
      </c>
    </row>
    <row r="111" spans="1:14" x14ac:dyDescent="0.25">
      <c r="A111" s="81" t="s">
        <v>17</v>
      </c>
      <c r="B111" s="81" t="s">
        <v>814</v>
      </c>
      <c r="C111" s="81" t="s">
        <v>14</v>
      </c>
      <c r="D111" s="81" t="s">
        <v>298</v>
      </c>
      <c r="E111" s="81" t="s">
        <v>1052</v>
      </c>
      <c r="F111" s="81" t="s">
        <v>1056</v>
      </c>
      <c r="G111" s="120">
        <f t="array" ref="G111">AVERAGE(IF('Well Data-NK'!G109:G168={"MA"},IF('Well Data-NK'!K109:K168="NW",IF('Well Data-NK'!J109:J168="Prod",'Well Data-NK'!S109:S168))))</f>
        <v>70</v>
      </c>
      <c r="H111" s="81"/>
      <c r="I111" s="265">
        <v>31</v>
      </c>
      <c r="J111" s="119" t="s">
        <v>1283</v>
      </c>
    </row>
    <row r="112" spans="1:14" x14ac:dyDescent="0.25">
      <c r="A112" s="81" t="s">
        <v>17</v>
      </c>
      <c r="B112" s="81" t="s">
        <v>814</v>
      </c>
      <c r="C112" s="81" t="s">
        <v>18</v>
      </c>
      <c r="D112" s="81" t="s">
        <v>298</v>
      </c>
      <c r="E112" s="81" t="s">
        <v>1052</v>
      </c>
      <c r="F112" s="81" t="s">
        <v>1056</v>
      </c>
      <c r="G112" s="120">
        <f t="array" ref="G112">AVERAGE(IF('Well Data-NK'!$G$109:$G$168={"MA"},IF('Well Data-NK'!$K$109:$K$168="ST",IF('Well Data-NK'!$J$109:$J$168="Prod",'Well Data-NK'!$S$109:$S$168))))</f>
        <v>56</v>
      </c>
      <c r="H112" s="81"/>
      <c r="I112" s="265">
        <v>41</v>
      </c>
      <c r="J112" s="119" t="s">
        <v>1284</v>
      </c>
    </row>
    <row r="113" spans="1:14" x14ac:dyDescent="0.25">
      <c r="A113" s="81" t="s">
        <v>17</v>
      </c>
      <c r="B113" s="81" t="s">
        <v>814</v>
      </c>
      <c r="C113" s="81" t="s">
        <v>14</v>
      </c>
      <c r="D113" s="81" t="s">
        <v>34</v>
      </c>
      <c r="E113" s="81" t="s">
        <v>1052</v>
      </c>
      <c r="F113" s="81" t="s">
        <v>1056</v>
      </c>
      <c r="G113" s="120" t="e">
        <f t="array" ref="G113">AVERAGE(IF('Well Data-NK'!$G$109:$G$168={"MA"},IF('Well Data-NK'!$K$109:$K$168="NW",IF('Well Data-NK'!$J$109:$J$168="Inj",'Well Data-NK'!$S$109:$S$168))))</f>
        <v>#DIV/0!</v>
      </c>
      <c r="H113" s="81"/>
      <c r="I113" s="265">
        <v>51</v>
      </c>
      <c r="J113" s="119" t="s">
        <v>1285</v>
      </c>
    </row>
    <row r="114" spans="1:14" x14ac:dyDescent="0.25">
      <c r="A114" s="81" t="s">
        <v>17</v>
      </c>
      <c r="B114" s="81" t="s">
        <v>814</v>
      </c>
      <c r="C114" s="81" t="s">
        <v>18</v>
      </c>
      <c r="D114" s="81" t="s">
        <v>34</v>
      </c>
      <c r="E114" s="81" t="s">
        <v>1052</v>
      </c>
      <c r="F114" s="81" t="s">
        <v>1056</v>
      </c>
      <c r="G114" s="120">
        <f t="array" ref="G114">AVERAGE(IF('Well Data-NK'!$G$109:$G$168={"MA"},IF('Well Data-NK'!$K$109:$K$168="ST",IF('Well Data-NK'!$J$109:$J$168="Inj",'Well Data-NK'!$S$109:$S$168))))</f>
        <v>49</v>
      </c>
      <c r="H114" s="81"/>
      <c r="I114" s="265">
        <v>61</v>
      </c>
      <c r="J114" s="119" t="s">
        <v>1286</v>
      </c>
    </row>
    <row r="115" spans="1:14" x14ac:dyDescent="0.25">
      <c r="A115" s="121" t="s">
        <v>29</v>
      </c>
      <c r="B115" s="121" t="s">
        <v>815</v>
      </c>
      <c r="C115" s="121" t="s">
        <v>1059</v>
      </c>
      <c r="D115" s="121" t="s">
        <v>8</v>
      </c>
      <c r="E115" s="121" t="s">
        <v>1052</v>
      </c>
      <c r="F115" s="81" t="s">
        <v>1056</v>
      </c>
      <c r="G115" s="121">
        <f t="array" ref="G115">AVERAGE(IF('Well Data-NK'!$G$109:$G$168={"UB"},'Well Data-NK'!$Q$109:$Q$168))</f>
        <v>53.119789999999995</v>
      </c>
      <c r="H115" s="121">
        <f>COUNTIF('Well Data-NK'!$G$109:$G$168,"UB")</f>
        <v>4</v>
      </c>
      <c r="I115" s="265">
        <v>7</v>
      </c>
      <c r="J115" s="119" t="s">
        <v>816</v>
      </c>
    </row>
    <row r="116" spans="1:14" x14ac:dyDescent="0.25">
      <c r="A116" s="121" t="s">
        <v>29</v>
      </c>
      <c r="B116" s="121" t="s">
        <v>815</v>
      </c>
      <c r="C116" s="121" t="s">
        <v>14</v>
      </c>
      <c r="D116" s="121" t="s">
        <v>8</v>
      </c>
      <c r="E116" s="121" t="s">
        <v>1052</v>
      </c>
      <c r="F116" s="81" t="s">
        <v>1056</v>
      </c>
      <c r="G116" s="121">
        <f t="array" ref="G116">AVERAGE(IF('Well Data-NK'!$G$109:$G$168={"UB"},IF('Well Data-NK'!$K$109:$K$168="NW",'Well Data-NK'!$Q$109:$Q$168)))</f>
        <v>53.604164999999995</v>
      </c>
      <c r="H116" s="121">
        <f t="array" ref="H116">COUNT(IF('Well Data-NK'!$G$109:$G$168={"UB"},IF('Well Data-NK'!$K$109:$K$168="NW",'Well Data-NK'!$Q$109:$Q$168)))</f>
        <v>2</v>
      </c>
      <c r="I116" s="265">
        <v>17</v>
      </c>
      <c r="J116" s="119" t="s">
        <v>14</v>
      </c>
    </row>
    <row r="117" spans="1:14" x14ac:dyDescent="0.25">
      <c r="A117" s="121" t="s">
        <v>29</v>
      </c>
      <c r="B117" s="121" t="s">
        <v>815</v>
      </c>
      <c r="C117" s="121" t="s">
        <v>18</v>
      </c>
      <c r="D117" s="121" t="s">
        <v>8</v>
      </c>
      <c r="E117" s="121" t="s">
        <v>1052</v>
      </c>
      <c r="F117" s="81" t="s">
        <v>1056</v>
      </c>
      <c r="G117" s="121">
        <f t="array" ref="G117">AVERAGE(IF('Well Data-NK'!$G$109:$G$168={"UB"},IF('Well Data-NK'!$K$109:$K$168="ST",'Well Data-NK'!$Q$109:$Q$168)))</f>
        <v>52.635414999999995</v>
      </c>
      <c r="H117" s="121">
        <f t="array" ref="H117">COUNT(IF('Well Data-NK'!$G$109:$G$168={"UB"},IF('Well Data-NK'!$K$109:$K$168="ST",'Well Data-NK'!$Q$109:$Q$168)))</f>
        <v>2</v>
      </c>
      <c r="I117" s="265">
        <v>27</v>
      </c>
      <c r="J117" s="119" t="s">
        <v>18</v>
      </c>
    </row>
    <row r="118" spans="1:14" x14ac:dyDescent="0.25">
      <c r="A118" s="121" t="s">
        <v>29</v>
      </c>
      <c r="B118" s="121" t="s">
        <v>815</v>
      </c>
      <c r="C118" s="121" t="s">
        <v>14</v>
      </c>
      <c r="D118" s="121" t="s">
        <v>298</v>
      </c>
      <c r="E118" s="121" t="s">
        <v>1052</v>
      </c>
      <c r="F118" s="81" t="s">
        <v>1056</v>
      </c>
      <c r="G118" s="121">
        <f t="array" ref="G118">AVERAGE(IF('Well Data-NK'!$G$109:$G$168={"UB"},IF('Well Data-NK'!$K$109:$K$168="NW",IF('Well Data-NK'!$J$109:$J$168="Prod",'Well Data-NK'!$Q$109:$Q$168))))</f>
        <v>53.604164999999995</v>
      </c>
      <c r="H118" s="121">
        <f t="array" ref="H118">COUNT(IF('Well Data-NK'!$G$109:$G$168={"UB"},IF('Well Data-NK'!$K$109:$K$168="NW",IF('Well Data-NK'!$J$109:$J$168="Prod",'Well Data-NK'!$Q$109:$Q$168))))</f>
        <v>2</v>
      </c>
      <c r="I118" s="265">
        <v>37</v>
      </c>
      <c r="J118" s="119" t="s">
        <v>1283</v>
      </c>
      <c r="K118" s="119">
        <f t="shared" si="9"/>
        <v>60</v>
      </c>
      <c r="L118" s="119">
        <f t="shared" ref="L118:L133" si="17">H118/K118</f>
        <v>3.3333333333333333E-2</v>
      </c>
      <c r="M118" s="119">
        <f t="shared" si="13"/>
        <v>1.7868054999999998</v>
      </c>
      <c r="N118" s="119">
        <f>SUM($M$118:$M$121)</f>
        <v>3.541319333333333</v>
      </c>
    </row>
    <row r="119" spans="1:14" x14ac:dyDescent="0.25">
      <c r="A119" s="121" t="s">
        <v>29</v>
      </c>
      <c r="B119" s="121" t="s">
        <v>815</v>
      </c>
      <c r="C119" s="121" t="s">
        <v>18</v>
      </c>
      <c r="D119" s="121" t="s">
        <v>298</v>
      </c>
      <c r="E119" s="121" t="s">
        <v>1052</v>
      </c>
      <c r="F119" s="81" t="s">
        <v>1056</v>
      </c>
      <c r="G119" s="121">
        <f t="array" ref="G119">AVERAGE(IF('Well Data-NK'!$G$109:$G$168={"UB"},IF('Well Data-NK'!$K$109:$K$168="ST",IF('Well Data-NK'!$J$109:$J$168="Prod",'Well Data-NK'!$Q$109:$Q$168))))</f>
        <v>52.635414999999995</v>
      </c>
      <c r="H119" s="121">
        <f t="array" ref="H119">COUNT(IF('Well Data-NK'!$G$109:$G$168={"UB"},IF('Well Data-NK'!$K$109:$K$168="ST",IF('Well Data-NK'!$J$109:$J$168="Prod",'Well Data-NK'!$Q$109:$Q$168))))</f>
        <v>2</v>
      </c>
      <c r="I119" s="265">
        <v>47</v>
      </c>
      <c r="J119" s="119" t="s">
        <v>1284</v>
      </c>
      <c r="K119" s="119">
        <f t="shared" si="9"/>
        <v>60</v>
      </c>
      <c r="L119" s="119">
        <f t="shared" si="17"/>
        <v>3.3333333333333333E-2</v>
      </c>
      <c r="M119" s="119">
        <f t="shared" si="13"/>
        <v>1.7545138333333332</v>
      </c>
      <c r="N119" s="119">
        <f t="shared" ref="N119:N121" si="18">SUM($M$118:$M$121)</f>
        <v>3.541319333333333</v>
      </c>
    </row>
    <row r="120" spans="1:14" x14ac:dyDescent="0.25">
      <c r="A120" s="121" t="s">
        <v>29</v>
      </c>
      <c r="B120" s="121" t="s">
        <v>815</v>
      </c>
      <c r="C120" s="121" t="s">
        <v>14</v>
      </c>
      <c r="D120" s="121" t="s">
        <v>34</v>
      </c>
      <c r="E120" s="121" t="s">
        <v>1052</v>
      </c>
      <c r="F120" s="81" t="s">
        <v>1056</v>
      </c>
      <c r="G120" s="121" t="e">
        <f t="array" ref="G120">AVERAGE(IF('Well Data-NK'!$G$109:$G$168={"UB"},IF('Well Data-NK'!$K$109:$K$168="NW",IF('Well Data-NK'!$J$109:$J$168="Inj",'Well Data-NK'!$Q$109:$Q$168))))</f>
        <v>#DIV/0!</v>
      </c>
      <c r="H120" s="121">
        <f t="array" ref="H120">COUNT(IF('Well Data-NK'!$G$109:$G$168={"UB"},IF('Well Data-NK'!$K$109:$K$168="NW",IF('Well Data-NK'!$J$109:$J$168="Inj",'Well Data-NK'!$Q$109:$Q$168))))</f>
        <v>0</v>
      </c>
      <c r="I120" s="265">
        <v>57</v>
      </c>
      <c r="J120" s="119" t="s">
        <v>1285</v>
      </c>
      <c r="K120" s="119">
        <f t="shared" si="9"/>
        <v>60</v>
      </c>
      <c r="L120" s="119">
        <f>H120/K120</f>
        <v>0</v>
      </c>
      <c r="M120" s="119">
        <f t="shared" si="13"/>
        <v>0</v>
      </c>
      <c r="N120" s="119">
        <f t="shared" si="18"/>
        <v>3.541319333333333</v>
      </c>
    </row>
    <row r="121" spans="1:14" x14ac:dyDescent="0.25">
      <c r="A121" s="121" t="s">
        <v>29</v>
      </c>
      <c r="B121" s="121" t="s">
        <v>815</v>
      </c>
      <c r="C121" s="121" t="s">
        <v>18</v>
      </c>
      <c r="D121" s="121" t="s">
        <v>34</v>
      </c>
      <c r="E121" s="121" t="s">
        <v>1052</v>
      </c>
      <c r="F121" s="81" t="s">
        <v>1056</v>
      </c>
      <c r="G121" s="121" t="e">
        <f t="array" ref="G121">AVERAGE(IF('Well Data-NK'!$G$109:$G$168={"UB"},IF('Well Data-NK'!$K$109:$K$168="ST",IF('Well Data-NK'!$J$109:$J$168="Inj",'Well Data-NK'!$Q$109:$Q$168))))</f>
        <v>#DIV/0!</v>
      </c>
      <c r="H121" s="121">
        <f t="array" ref="H121">COUNT(IF('Well Data-NK'!$G$109:$G$168={"UB"},IF('Well Data-NK'!$K$109:$K$168="ST",IF('Well Data-NK'!$J$109:$J$168="Inj",'Well Data-NK'!$Q$109:$Q$168))))</f>
        <v>0</v>
      </c>
      <c r="I121" s="265">
        <v>67</v>
      </c>
      <c r="J121" s="119" t="s">
        <v>1286</v>
      </c>
      <c r="K121" s="119">
        <f t="shared" si="9"/>
        <v>60</v>
      </c>
      <c r="L121" s="119">
        <f t="shared" si="17"/>
        <v>0</v>
      </c>
      <c r="M121" s="119">
        <f t="shared" si="13"/>
        <v>0</v>
      </c>
      <c r="N121" s="119">
        <f t="shared" si="18"/>
        <v>3.541319333333333</v>
      </c>
    </row>
    <row r="122" spans="1:14" x14ac:dyDescent="0.25">
      <c r="A122" s="81" t="s">
        <v>29</v>
      </c>
      <c r="B122" s="81" t="s">
        <v>814</v>
      </c>
      <c r="C122" s="81" t="s">
        <v>1059</v>
      </c>
      <c r="D122" s="81" t="s">
        <v>8</v>
      </c>
      <c r="E122" s="81" t="s">
        <v>1052</v>
      </c>
      <c r="F122" s="81" t="s">
        <v>1056</v>
      </c>
      <c r="G122" s="120">
        <f t="array" ref="G122">AVERAGE(IF('Well Data-NK'!$G$109:$G$168={"UB"},'Well Data-NK'!$S$109:$S$168))</f>
        <v>63</v>
      </c>
      <c r="H122" s="81"/>
      <c r="I122" s="265">
        <v>2</v>
      </c>
      <c r="J122" s="119" t="s">
        <v>816</v>
      </c>
    </row>
    <row r="123" spans="1:14" x14ac:dyDescent="0.25">
      <c r="A123" s="81" t="s">
        <v>29</v>
      </c>
      <c r="B123" s="81" t="s">
        <v>814</v>
      </c>
      <c r="C123" s="81" t="s">
        <v>14</v>
      </c>
      <c r="D123" s="81" t="s">
        <v>8</v>
      </c>
      <c r="E123" s="81" t="s">
        <v>1052</v>
      </c>
      <c r="F123" s="81" t="s">
        <v>1056</v>
      </c>
      <c r="G123" s="120">
        <f t="array" ref="G123">AVERAGE(IF('Well Data-NK'!$G$109:$G$168={"UB"},IF('Well Data-NK'!$K$109:$K$168="NW",'Well Data-NK'!$S$109:$S$168)))</f>
        <v>70</v>
      </c>
      <c r="H123" s="120">
        <f t="array" ref="H123">COUNT(IF('Well Data-NK'!$G$109:$G$168={"UB"},IF('Well Data-NK'!$K$109:$K$168="NW",'Well Data-NK'!$S$109:$S$168)))</f>
        <v>2</v>
      </c>
      <c r="I123" s="265">
        <v>12</v>
      </c>
      <c r="J123" s="119" t="s">
        <v>14</v>
      </c>
    </row>
    <row r="124" spans="1:14" x14ac:dyDescent="0.25">
      <c r="A124" s="81" t="s">
        <v>29</v>
      </c>
      <c r="B124" s="81" t="s">
        <v>814</v>
      </c>
      <c r="C124" s="81" t="s">
        <v>18</v>
      </c>
      <c r="D124" s="81" t="s">
        <v>8</v>
      </c>
      <c r="E124" s="81" t="s">
        <v>1052</v>
      </c>
      <c r="F124" s="81" t="s">
        <v>1056</v>
      </c>
      <c r="G124" s="120">
        <f t="array" ref="G124">AVERAGE(IF('Well Data-NK'!$G$109:$G$168={"UB"},IF('Well Data-NK'!$K$109:$K$168="ST",'Well Data-NK'!$S$109:$S$168)))</f>
        <v>56</v>
      </c>
      <c r="H124" s="120">
        <f t="array" ref="H124">COUNT(IF('Well Data-NK'!$G$109:$G$168={"UB"},IF('Well Data-NK'!$K$109:$K$168="ST",'Well Data-NK'!$S$109:$S$168)))</f>
        <v>2</v>
      </c>
      <c r="I124" s="265">
        <v>22</v>
      </c>
      <c r="J124" s="119" t="s">
        <v>18</v>
      </c>
    </row>
    <row r="125" spans="1:14" x14ac:dyDescent="0.25">
      <c r="A125" s="81" t="s">
        <v>29</v>
      </c>
      <c r="B125" s="81" t="s">
        <v>814</v>
      </c>
      <c r="C125" s="81" t="s">
        <v>14</v>
      </c>
      <c r="D125" s="81" t="s">
        <v>298</v>
      </c>
      <c r="E125" s="81" t="s">
        <v>1052</v>
      </c>
      <c r="F125" s="81" t="s">
        <v>1056</v>
      </c>
      <c r="G125" s="120">
        <f t="array" ref="G125">AVERAGE(IF('Well Data-NK'!G109:G168={"UB"},IF('Well Data-NK'!K109:K168="NW",IF('Well Data-NK'!J109:J168="Prod",'Well Data-NK'!S109:S168))))</f>
        <v>70</v>
      </c>
      <c r="H125" s="81"/>
      <c r="I125" s="265">
        <v>32</v>
      </c>
      <c r="J125" s="119" t="s">
        <v>1283</v>
      </c>
    </row>
    <row r="126" spans="1:14" x14ac:dyDescent="0.25">
      <c r="A126" s="81" t="s">
        <v>29</v>
      </c>
      <c r="B126" s="81" t="s">
        <v>814</v>
      </c>
      <c r="C126" s="81" t="s">
        <v>18</v>
      </c>
      <c r="D126" s="81" t="s">
        <v>298</v>
      </c>
      <c r="E126" s="81" t="s">
        <v>1052</v>
      </c>
      <c r="F126" s="81" t="s">
        <v>1056</v>
      </c>
      <c r="G126" s="120">
        <f t="array" ref="G126">AVERAGE(IF('Well Data-NK'!$G$109:$G$168={"UB"},IF('Well Data-NK'!$K$109:$K$168="ST",IF('Well Data-NK'!$J$109:$J$168="Prod",'Well Data-NK'!$S$109:$S$168))))</f>
        <v>56</v>
      </c>
      <c r="H126" s="81"/>
      <c r="I126" s="265">
        <v>42</v>
      </c>
      <c r="J126" s="119" t="s">
        <v>1284</v>
      </c>
    </row>
    <row r="127" spans="1:14" x14ac:dyDescent="0.25">
      <c r="A127" s="81" t="s">
        <v>29</v>
      </c>
      <c r="B127" s="81" t="s">
        <v>814</v>
      </c>
      <c r="C127" s="81" t="s">
        <v>14</v>
      </c>
      <c r="D127" s="81" t="s">
        <v>34</v>
      </c>
      <c r="E127" s="81" t="s">
        <v>1052</v>
      </c>
      <c r="F127" s="81" t="s">
        <v>1056</v>
      </c>
      <c r="G127" s="120" t="e">
        <f t="array" ref="G127">AVERAGE(IF('Well Data-NK'!$G$109:$G$168={"UB"},IF('Well Data-NK'!$K$109:$K$168="NW",IF('Well Data-NK'!$J$109:$J$168="Inj",'Well Data-NK'!$S$109:$S$168))))</f>
        <v>#DIV/0!</v>
      </c>
      <c r="H127" s="81"/>
      <c r="I127" s="265">
        <v>52</v>
      </c>
      <c r="J127" s="119" t="s">
        <v>1285</v>
      </c>
    </row>
    <row r="128" spans="1:14" x14ac:dyDescent="0.25">
      <c r="A128" s="81" t="s">
        <v>29</v>
      </c>
      <c r="B128" s="81" t="s">
        <v>814</v>
      </c>
      <c r="C128" s="81" t="s">
        <v>18</v>
      </c>
      <c r="D128" s="81" t="s">
        <v>34</v>
      </c>
      <c r="E128" s="81" t="s">
        <v>1052</v>
      </c>
      <c r="F128" s="81" t="s">
        <v>1056</v>
      </c>
      <c r="G128" s="120" t="e">
        <f t="array" ref="G128">AVERAGE(IF('Well Data-NK'!$G$109:$G$168={"UB"},IF('Well Data-NK'!$K$109:$K$168="ST",IF('Well Data-NK'!$J$109:$J$168="Inj",'Well Data-NK'!$S$109:$S$168))))</f>
        <v>#DIV/0!</v>
      </c>
      <c r="H128" s="81"/>
      <c r="I128" s="265">
        <v>62</v>
      </c>
      <c r="J128" s="119" t="s">
        <v>1286</v>
      </c>
    </row>
    <row r="129" spans="1:14" x14ac:dyDescent="0.25">
      <c r="A129" s="121" t="s">
        <v>825</v>
      </c>
      <c r="B129" s="121" t="s">
        <v>815</v>
      </c>
      <c r="C129" s="121" t="s">
        <v>1059</v>
      </c>
      <c r="D129" s="121" t="s">
        <v>8</v>
      </c>
      <c r="E129" s="121" t="s">
        <v>1052</v>
      </c>
      <c r="F129" s="81" t="s">
        <v>1056</v>
      </c>
      <c r="G129" s="121">
        <f t="array" ref="G129">AVERAGE(IF('Well Data-NK'!$G$109:$G$168={"ZU","RT"},'Well Data-NK'!$Q$109:$Q$168))</f>
        <v>91.976195238094888</v>
      </c>
      <c r="H129" s="121">
        <f>COUNTIFS('Well Data-NK'!$G$109:$G$168,"ZU")+COUNTIFS('Well Data-NK'!$G$109:$G$168,"RT")</f>
        <v>7</v>
      </c>
      <c r="I129" s="265">
        <v>9</v>
      </c>
      <c r="J129" s="119" t="s">
        <v>816</v>
      </c>
    </row>
    <row r="130" spans="1:14" x14ac:dyDescent="0.25">
      <c r="A130" s="121" t="s">
        <v>825</v>
      </c>
      <c r="B130" s="121" t="s">
        <v>815</v>
      </c>
      <c r="C130" s="121" t="s">
        <v>14</v>
      </c>
      <c r="D130" s="121" t="s">
        <v>8</v>
      </c>
      <c r="E130" s="121" t="s">
        <v>1052</v>
      </c>
      <c r="F130" s="81" t="s">
        <v>1056</v>
      </c>
      <c r="G130" s="121">
        <f t="array" ref="G130">AVERAGE(IF('Well Data-NK'!$G$109:$G$168={"RT","ZU"},IF('Well Data-NK'!$K$109:$K$168="NW",'Well Data-NK'!$Q$109:$Q$168)))</f>
        <v>111.16667333333285</v>
      </c>
      <c r="H130" s="121">
        <f t="array" ref="H130">COUNT(IF('Well Data-NK'!$G$109:$G$168={"RT","ZU"},IF('Well Data-NK'!$K$109:$K$168="NW",'Well Data-NK'!$Q$109:$Q$168)))</f>
        <v>5</v>
      </c>
      <c r="I130" s="265">
        <v>19</v>
      </c>
      <c r="J130" s="119" t="s">
        <v>14</v>
      </c>
    </row>
    <row r="131" spans="1:14" x14ac:dyDescent="0.25">
      <c r="A131" s="121" t="s">
        <v>825</v>
      </c>
      <c r="B131" s="121" t="s">
        <v>815</v>
      </c>
      <c r="C131" s="121" t="s">
        <v>18</v>
      </c>
      <c r="D131" s="121" t="s">
        <v>8</v>
      </c>
      <c r="E131" s="121" t="s">
        <v>1052</v>
      </c>
      <c r="F131" s="81" t="s">
        <v>1056</v>
      </c>
      <c r="G131" s="121">
        <f t="array" ref="G131">AVERAGE(IF('Well Data-NK'!$G$109:$G$168={"RT","ZU"},IF('Well Data-NK'!$K$109:$K$168="ST",'Well Data-NK'!$Q$109:$Q$168)))</f>
        <v>44</v>
      </c>
      <c r="H131" s="121">
        <f t="array" ref="H131">COUNT(IF('Well Data-NK'!$G$109:$G$168={"RT","ZU"},IF('Well Data-NK'!$K$109:$K$168="ST",'Well Data-NK'!$Q$109:$Q$168)))</f>
        <v>2</v>
      </c>
      <c r="I131" s="265">
        <v>29</v>
      </c>
      <c r="J131" s="119" t="s">
        <v>18</v>
      </c>
    </row>
    <row r="132" spans="1:14" x14ac:dyDescent="0.25">
      <c r="A132" s="121" t="s">
        <v>825</v>
      </c>
      <c r="B132" s="121" t="s">
        <v>815</v>
      </c>
      <c r="C132" s="121" t="s">
        <v>14</v>
      </c>
      <c r="D132" s="121" t="s">
        <v>298</v>
      </c>
      <c r="E132" s="121" t="s">
        <v>1052</v>
      </c>
      <c r="F132" s="81" t="s">
        <v>1056</v>
      </c>
      <c r="G132" s="121">
        <f t="array" ref="G132">AVERAGE(IF('Well Data-NK'!$G$109:$G$168={"ZU","RT"},IF('Well Data-NK'!$K$109:$K$168="NW",IF('Well Data-NK'!$J$109:$J$168="Prod",'Well Data-NK'!$Q$109:$Q$168))))</f>
        <v>111.16667333333285</v>
      </c>
      <c r="H132" s="121">
        <f t="array" ref="H132">COUNT(IF('Well Data-NK'!$G$109:$G$168={"ZU","RT"},IF('Well Data-NK'!$K$109:$K$168="NW",IF('Well Data-NK'!$J$109:$J$168="Prod",'Well Data-NK'!$Q$109:$Q$168))))</f>
        <v>5</v>
      </c>
      <c r="I132" s="265">
        <v>39</v>
      </c>
      <c r="J132" s="119" t="s">
        <v>1283</v>
      </c>
      <c r="K132" s="119">
        <f t="shared" ref="K132:K135" si="19">SUM($H$76:$H$79)</f>
        <v>60</v>
      </c>
      <c r="L132" s="119">
        <f t="shared" si="17"/>
        <v>8.3333333333333329E-2</v>
      </c>
      <c r="M132" s="119">
        <f t="shared" si="13"/>
        <v>9.2638894444444038</v>
      </c>
      <c r="N132" s="119">
        <f>SUM($M$132:$M$135)</f>
        <v>10.730556111111071</v>
      </c>
    </row>
    <row r="133" spans="1:14" x14ac:dyDescent="0.25">
      <c r="A133" s="121" t="s">
        <v>825</v>
      </c>
      <c r="B133" s="121" t="s">
        <v>815</v>
      </c>
      <c r="C133" s="121" t="s">
        <v>18</v>
      </c>
      <c r="D133" s="121" t="s">
        <v>298</v>
      </c>
      <c r="E133" s="121" t="s">
        <v>1052</v>
      </c>
      <c r="F133" s="81" t="s">
        <v>1056</v>
      </c>
      <c r="G133" s="121">
        <f t="array" ref="G133">AVERAGE(IF('Well Data-NK'!$G$109:$G$168={"ZU","RT"},IF('Well Data-NK'!$K$109:$K$168="ST",IF('Well Data-NK'!$J$109:$J$168="Prod",'Well Data-NK'!$Q$109:$Q$168))))</f>
        <v>52</v>
      </c>
      <c r="H133" s="121">
        <f t="array" ref="H133">COUNT(IF('Well Data-NK'!$G$109:$G$168={"ZU","RT"},IF('Well Data-NK'!$K$109:$K$168="ST",IF('Well Data-NK'!$J$109:$J$168="Prod",'Well Data-NK'!$Q$109:$Q$168))))</f>
        <v>1</v>
      </c>
      <c r="I133" s="265">
        <v>49</v>
      </c>
      <c r="J133" s="119" t="s">
        <v>1284</v>
      </c>
      <c r="K133" s="119">
        <f t="shared" si="19"/>
        <v>60</v>
      </c>
      <c r="L133" s="119">
        <f t="shared" si="17"/>
        <v>1.6666666666666666E-2</v>
      </c>
      <c r="M133" s="119">
        <f t="shared" si="13"/>
        <v>0.8666666666666667</v>
      </c>
      <c r="N133" s="119">
        <f t="shared" ref="N133:N135" si="20">SUM($M$132:$M$135)</f>
        <v>10.730556111111071</v>
      </c>
    </row>
    <row r="134" spans="1:14" x14ac:dyDescent="0.25">
      <c r="A134" s="121" t="s">
        <v>825</v>
      </c>
      <c r="B134" s="121" t="s">
        <v>815</v>
      </c>
      <c r="C134" s="121" t="s">
        <v>14</v>
      </c>
      <c r="D134" s="121" t="s">
        <v>34</v>
      </c>
      <c r="E134" s="121" t="s">
        <v>1052</v>
      </c>
      <c r="F134" s="81" t="s">
        <v>1056</v>
      </c>
      <c r="G134" s="121" t="e">
        <f t="array" ref="G134">AVERAGE(IF('Well Data-NK'!$G$109:$G$168={"ZU","RT"},IF('Well Data-NK'!$K$109:$K$168="NW",IF('Well Data-NK'!$J$109:$J$168="Inj",'Well Data-NK'!$Q$109:$Q$168))))</f>
        <v>#DIV/0!</v>
      </c>
      <c r="H134" s="121">
        <f t="array" ref="H134">COUNT(IF('Well Data-NK'!$G$109:$G$168={"ZU","RT"},IF('Well Data-NK'!$K$109:$K$168="NW",IF('Well Data-NK'!$J$109:$J$168="Inj",'Well Data-NK'!$Q$109:$Q$168))))</f>
        <v>0</v>
      </c>
      <c r="I134" s="265">
        <v>59</v>
      </c>
      <c r="J134" s="119" t="s">
        <v>1285</v>
      </c>
      <c r="K134" s="119">
        <f t="shared" si="19"/>
        <v>60</v>
      </c>
      <c r="L134" s="119">
        <f>H134/K134</f>
        <v>0</v>
      </c>
      <c r="M134" s="119">
        <f t="shared" si="13"/>
        <v>0</v>
      </c>
      <c r="N134" s="119">
        <f t="shared" si="20"/>
        <v>10.730556111111071</v>
      </c>
    </row>
    <row r="135" spans="1:14" x14ac:dyDescent="0.25">
      <c r="A135" s="121" t="s">
        <v>825</v>
      </c>
      <c r="B135" s="121" t="s">
        <v>815</v>
      </c>
      <c r="C135" s="121" t="s">
        <v>18</v>
      </c>
      <c r="D135" s="121" t="s">
        <v>34</v>
      </c>
      <c r="E135" s="121" t="s">
        <v>1052</v>
      </c>
      <c r="F135" s="81" t="s">
        <v>1056</v>
      </c>
      <c r="G135" s="121">
        <f t="array" ref="G135">AVERAGE(IF('Well Data-NK'!$G$109:$G$168={"ZU","RT"},IF('Well Data-NK'!$K$109:$K$168="ST",IF('Well Data-NK'!$J$109:$J$168="Inj",'Well Data-NK'!$Q$109:$Q$168))))</f>
        <v>36</v>
      </c>
      <c r="H135" s="121">
        <f t="array" ref="H135">COUNT(IF('Well Data-NK'!$G$109:$G$168={"ZU","RT"},IF('Well Data-NK'!$K$109:$K$168="ST",IF('Well Data-NK'!$J$109:$J$168="Inj",'Well Data-NK'!$Q$109:$Q$168))))</f>
        <v>1</v>
      </c>
      <c r="I135" s="265">
        <v>69</v>
      </c>
      <c r="J135" s="119" t="s">
        <v>1286</v>
      </c>
      <c r="K135" s="119">
        <f t="shared" si="19"/>
        <v>60</v>
      </c>
      <c r="L135" s="119">
        <f t="shared" ref="L135" si="21">H135/K135</f>
        <v>1.6666666666666666E-2</v>
      </c>
      <c r="M135" s="119">
        <f t="shared" si="13"/>
        <v>0.6</v>
      </c>
      <c r="N135" s="119">
        <f t="shared" si="20"/>
        <v>10.730556111111071</v>
      </c>
    </row>
    <row r="136" spans="1:14" x14ac:dyDescent="0.25">
      <c r="A136" s="81" t="s">
        <v>825</v>
      </c>
      <c r="B136" s="81" t="s">
        <v>814</v>
      </c>
      <c r="C136" s="81" t="s">
        <v>1059</v>
      </c>
      <c r="D136" s="81" t="s">
        <v>8</v>
      </c>
      <c r="E136" s="81" t="s">
        <v>1052</v>
      </c>
      <c r="F136" s="81" t="s">
        <v>1056</v>
      </c>
      <c r="G136" s="120">
        <f t="array" ref="G136">AVERAGE(IF('Well Data-NK'!$G$109:$G$168={"ZU","RT"},'Well Data-NK'!$S$109:$S$168))</f>
        <v>91</v>
      </c>
      <c r="H136" s="81"/>
      <c r="I136" s="265">
        <v>4</v>
      </c>
      <c r="J136" s="119" t="s">
        <v>816</v>
      </c>
    </row>
    <row r="137" spans="1:14" x14ac:dyDescent="0.25">
      <c r="A137" s="81" t="s">
        <v>825</v>
      </c>
      <c r="B137" s="81" t="s">
        <v>814</v>
      </c>
      <c r="C137" s="81" t="s">
        <v>14</v>
      </c>
      <c r="D137" s="81" t="s">
        <v>8</v>
      </c>
      <c r="E137" s="81" t="s">
        <v>1052</v>
      </c>
      <c r="F137" s="81" t="s">
        <v>1056</v>
      </c>
      <c r="G137" s="120">
        <f t="array" ref="G137">AVERAGE(IF('Well Data-NK'!$G$109:$G$168={"RT","ZU"},IF('Well Data-NK'!$K$109:$K$168="NW",'Well Data-NK'!$S$109:$S$168)))</f>
        <v>98</v>
      </c>
      <c r="H137" s="120">
        <f t="array" ref="H137">COUNT(IF('Well Data-NK'!$G$109:$G$168={"RT","ZU"},IF('Well Data-NK'!$K$109:$K$168="NW",'Well Data-NK'!$S$109:$S$168)))</f>
        <v>5</v>
      </c>
      <c r="I137" s="265">
        <v>14</v>
      </c>
      <c r="J137" s="119" t="s">
        <v>14</v>
      </c>
    </row>
    <row r="138" spans="1:14" x14ac:dyDescent="0.25">
      <c r="A138" s="81" t="s">
        <v>825</v>
      </c>
      <c r="B138" s="81" t="s">
        <v>814</v>
      </c>
      <c r="C138" s="81" t="s">
        <v>18</v>
      </c>
      <c r="D138" s="81" t="s">
        <v>8</v>
      </c>
      <c r="E138" s="81" t="s">
        <v>1052</v>
      </c>
      <c r="F138" s="81" t="s">
        <v>1056</v>
      </c>
      <c r="G138" s="120">
        <f t="array" ref="G138">AVERAGE(IF('Well Data-NK'!$G$109:$G$168={"RT","ZU"},IF('Well Data-NK'!$K$109:$K$168="ST",'Well Data-NK'!$S$109:$S$168)))</f>
        <v>56</v>
      </c>
      <c r="H138" s="120">
        <f t="array" ref="H138">COUNT(IF('Well Data-NK'!$G$109:$G$168={"RT","ZU"},IF('Well Data-NK'!$K$109:$K$168="ST",'Well Data-NK'!$S$109:$S$168)))</f>
        <v>1</v>
      </c>
      <c r="I138" s="265">
        <v>24</v>
      </c>
      <c r="J138" s="119" t="s">
        <v>18</v>
      </c>
    </row>
    <row r="139" spans="1:14" x14ac:dyDescent="0.25">
      <c r="A139" s="81" t="s">
        <v>825</v>
      </c>
      <c r="B139" s="81" t="s">
        <v>814</v>
      </c>
      <c r="C139" s="81" t="s">
        <v>14</v>
      </c>
      <c r="D139" s="81" t="s">
        <v>298</v>
      </c>
      <c r="E139" s="81" t="s">
        <v>1052</v>
      </c>
      <c r="F139" s="81" t="s">
        <v>1056</v>
      </c>
      <c r="G139" s="120">
        <f t="array" ref="G139">AVERAGE(IF('Well Data-NK'!G109:G168={"ZU","RT"},IF('Well Data-NK'!K109:K168="NW",IF('Well Data-NK'!J109:J168="Prod",'Well Data-NK'!S109:S168))))</f>
        <v>98</v>
      </c>
      <c r="H139" s="81"/>
      <c r="I139" s="265">
        <v>34</v>
      </c>
      <c r="J139" s="119" t="s">
        <v>1283</v>
      </c>
    </row>
    <row r="140" spans="1:14" x14ac:dyDescent="0.25">
      <c r="A140" s="81" t="s">
        <v>825</v>
      </c>
      <c r="B140" s="81" t="s">
        <v>814</v>
      </c>
      <c r="C140" s="81" t="s">
        <v>18</v>
      </c>
      <c r="D140" s="81" t="s">
        <v>298</v>
      </c>
      <c r="E140" s="81" t="s">
        <v>1052</v>
      </c>
      <c r="F140" s="81" t="s">
        <v>1056</v>
      </c>
      <c r="G140" s="120">
        <f t="array" ref="G140">AVERAGE(IF('Well Data-NK'!$G$109:$G$168={"ZU","RT"},IF('Well Data-NK'!$K$109:$K$168="ST",IF('Well Data-NK'!$J$109:$J$168="Prod",'Well Data-NK'!$S$109:$S$168))))</f>
        <v>56</v>
      </c>
      <c r="H140" s="81"/>
      <c r="I140" s="265">
        <v>44</v>
      </c>
      <c r="J140" s="119" t="s">
        <v>1284</v>
      </c>
    </row>
    <row r="141" spans="1:14" x14ac:dyDescent="0.25">
      <c r="A141" s="81" t="s">
        <v>825</v>
      </c>
      <c r="B141" s="81" t="s">
        <v>814</v>
      </c>
      <c r="C141" s="81" t="s">
        <v>14</v>
      </c>
      <c r="D141" s="81" t="s">
        <v>34</v>
      </c>
      <c r="E141" s="81" t="s">
        <v>1052</v>
      </c>
      <c r="F141" s="81" t="s">
        <v>1056</v>
      </c>
      <c r="G141" s="120" t="e">
        <f t="array" ref="G141">AVERAGE(IF('Well Data-NK'!$G$109:$G$168={"ZU","RT"},IF('Well Data-NK'!$K$109:$K$168="NW",IF('Well Data-NK'!$J$109:$J$168="Inj",'Well Data-NK'!$S$109:$S$168))))</f>
        <v>#DIV/0!</v>
      </c>
      <c r="H141" s="81"/>
      <c r="I141" s="265">
        <v>54</v>
      </c>
      <c r="J141" s="119" t="s">
        <v>1285</v>
      </c>
    </row>
    <row r="142" spans="1:14" x14ac:dyDescent="0.25">
      <c r="A142" s="81" t="s">
        <v>825</v>
      </c>
      <c r="B142" s="81" t="s">
        <v>814</v>
      </c>
      <c r="C142" s="81" t="s">
        <v>18</v>
      </c>
      <c r="D142" s="81" t="s">
        <v>34</v>
      </c>
      <c r="E142" s="81" t="s">
        <v>1052</v>
      </c>
      <c r="F142" s="81" t="s">
        <v>1056</v>
      </c>
      <c r="G142" s="120" t="e">
        <f t="array" ref="G142">AVERAGE(IF('Well Data-NK'!$G$109:$G$168={"ZU","RT"},IF('Well Data-NK'!$K$109:$K$168="ST",IF('Well Data-NK'!$J$109:$J$168="Inj",'Well Data-NK'!$S$109:$S$168))))</f>
        <v>#DIV/0!</v>
      </c>
      <c r="H142" s="81"/>
      <c r="I142" s="265">
        <v>64</v>
      </c>
      <c r="J142" s="119" t="s">
        <v>1286</v>
      </c>
    </row>
  </sheetData>
  <autoFilter ref="A2:AA142"/>
  <sortState ref="A3:I142">
    <sortCondition ref="A3:A142"/>
  </sortState>
  <mergeCells count="1">
    <mergeCell ref="A1:H1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L16465"/>
  <sheetViews>
    <sheetView topLeftCell="M1" workbookViewId="0">
      <selection activeCell="Y12" sqref="Y12"/>
    </sheetView>
  </sheetViews>
  <sheetFormatPr defaultRowHeight="12" x14ac:dyDescent="0.2"/>
  <cols>
    <col min="1" max="1" width="13.140625" style="124" customWidth="1"/>
    <col min="2" max="2" width="4.42578125" style="124" customWidth="1"/>
    <col min="3" max="3" width="39" style="124" customWidth="1"/>
    <col min="4" max="4" width="16.140625" style="124" customWidth="1"/>
    <col min="5" max="5" width="6.5703125" style="124" bestFit="1" customWidth="1"/>
    <col min="6" max="6" width="11.28515625" style="124" bestFit="1" customWidth="1"/>
    <col min="7" max="7" width="11" style="124" bestFit="1" customWidth="1"/>
    <col min="8" max="8" width="17.28515625" style="124" bestFit="1" customWidth="1"/>
    <col min="9" max="9" width="15" style="124" bestFit="1" customWidth="1"/>
    <col min="10" max="10" width="15" style="125" customWidth="1"/>
    <col min="11" max="11" width="9.5703125" style="124" bestFit="1" customWidth="1"/>
    <col min="12" max="12" width="13.5703125" style="124" bestFit="1" customWidth="1"/>
    <col min="13" max="13" width="13.42578125" style="124" bestFit="1" customWidth="1"/>
    <col min="14" max="14" width="15" style="124" bestFit="1" customWidth="1"/>
    <col min="15" max="15" width="16.42578125" style="124" bestFit="1" customWidth="1"/>
    <col min="16" max="16" width="8.42578125" style="124" bestFit="1" customWidth="1"/>
    <col min="17" max="22" width="9.140625" style="124"/>
    <col min="23" max="24" width="9.140625" style="236"/>
    <col min="25" max="25" width="9.140625" style="124"/>
    <col min="26" max="26" width="10.85546875" style="124" customWidth="1"/>
    <col min="27" max="27" width="11" style="236" customWidth="1"/>
    <col min="28" max="28" width="16" style="236" customWidth="1"/>
    <col min="29" max="30" width="9.140625" style="236"/>
    <col min="31" max="31" width="12.28515625" style="236" customWidth="1"/>
    <col min="32" max="32" width="9.140625" style="236"/>
    <col min="33" max="33" width="17.28515625" style="236" customWidth="1"/>
    <col min="34" max="34" width="12.140625" style="236" customWidth="1"/>
    <col min="35" max="36" width="9.140625" style="236"/>
    <col min="37" max="37" width="11.140625" style="236" customWidth="1"/>
    <col min="38" max="16384" width="9.140625" style="124"/>
  </cols>
  <sheetData>
    <row r="1" spans="2:38" ht="15.95" customHeight="1" thickBot="1" x14ac:dyDescent="0.25">
      <c r="D1" s="627" t="s">
        <v>1060</v>
      </c>
      <c r="E1" s="628"/>
      <c r="F1" s="629" t="s">
        <v>1061</v>
      </c>
      <c r="G1" s="630"/>
      <c r="H1" s="631" t="s">
        <v>1062</v>
      </c>
      <c r="I1" s="632"/>
      <c r="J1" s="633" t="s">
        <v>1063</v>
      </c>
      <c r="K1" s="634"/>
      <c r="L1" s="635" t="s">
        <v>1064</v>
      </c>
      <c r="M1" s="636"/>
      <c r="AE1" s="616" t="s">
        <v>1052</v>
      </c>
      <c r="AF1" s="617"/>
      <c r="AG1" s="617"/>
      <c r="AH1" s="637"/>
      <c r="AI1" s="616" t="s">
        <v>1053</v>
      </c>
      <c r="AJ1" s="617"/>
      <c r="AK1" s="617"/>
      <c r="AL1" s="228"/>
    </row>
    <row r="2" spans="2:38" ht="15.95" customHeight="1" thickBot="1" x14ac:dyDescent="0.3">
      <c r="U2" s="34"/>
      <c r="W2" s="618" t="s">
        <v>1056</v>
      </c>
      <c r="X2" s="619"/>
      <c r="AA2" s="620" t="s">
        <v>1307</v>
      </c>
      <c r="AB2" s="620"/>
      <c r="AG2" s="241" t="s">
        <v>1317</v>
      </c>
      <c r="AH2" s="242" t="s">
        <v>1310</v>
      </c>
      <c r="AJ2" s="241" t="s">
        <v>1309</v>
      </c>
      <c r="AK2" s="242" t="s">
        <v>1310</v>
      </c>
    </row>
    <row r="3" spans="2:38" ht="15.95" customHeight="1" thickBot="1" x14ac:dyDescent="0.25">
      <c r="B3" s="621" t="s">
        <v>1065</v>
      </c>
      <c r="C3" s="622"/>
      <c r="D3" s="622"/>
      <c r="E3" s="622"/>
      <c r="F3" s="622"/>
      <c r="G3" s="622"/>
      <c r="H3" s="622"/>
      <c r="I3" s="622"/>
      <c r="J3" s="622"/>
      <c r="K3" s="622"/>
      <c r="L3" s="622"/>
      <c r="M3" s="622"/>
      <c r="N3" s="622"/>
      <c r="O3" s="622"/>
      <c r="P3" s="623"/>
      <c r="Q3" s="624" t="s">
        <v>1301</v>
      </c>
      <c r="R3" s="625"/>
      <c r="S3" s="625"/>
      <c r="T3" s="625"/>
      <c r="U3" s="625"/>
      <c r="V3" s="625"/>
      <c r="W3" s="625"/>
      <c r="X3" s="625"/>
      <c r="Y3" s="625"/>
      <c r="Z3" s="625"/>
      <c r="AA3" s="625"/>
      <c r="AB3" s="625"/>
      <c r="AC3" s="625"/>
      <c r="AD3" s="626"/>
      <c r="AE3" s="243" t="s">
        <v>1052</v>
      </c>
      <c r="AF3" s="236" t="s">
        <v>1312</v>
      </c>
      <c r="AG3" s="244">
        <f ca="1">DATE(2015,12,31)-TODAY()</f>
        <v>129</v>
      </c>
      <c r="AH3" s="245">
        <v>16</v>
      </c>
      <c r="AI3" s="243" t="s">
        <v>1053</v>
      </c>
      <c r="AJ3" s="244">
        <f ca="1">DATE(2015,12,31)-TODAY()</f>
        <v>129</v>
      </c>
      <c r="AK3" s="245">
        <v>16</v>
      </c>
    </row>
    <row r="4" spans="2:38" ht="15.95" customHeight="1" thickBot="1" x14ac:dyDescent="0.3">
      <c r="B4" s="126"/>
      <c r="C4" s="127" t="s">
        <v>456</v>
      </c>
      <c r="D4" s="128" t="s">
        <v>1066</v>
      </c>
      <c r="E4" s="129" t="s">
        <v>3</v>
      </c>
      <c r="F4" s="128" t="s">
        <v>840</v>
      </c>
      <c r="G4" s="128" t="s">
        <v>1067</v>
      </c>
      <c r="H4" s="128" t="s">
        <v>867</v>
      </c>
      <c r="I4" s="128" t="s">
        <v>1068</v>
      </c>
      <c r="J4" s="128" t="s">
        <v>1069</v>
      </c>
      <c r="K4" s="129" t="s">
        <v>575</v>
      </c>
      <c r="L4" s="129" t="s">
        <v>1070</v>
      </c>
      <c r="M4" s="129" t="s">
        <v>1071</v>
      </c>
      <c r="N4" s="129" t="s">
        <v>1072</v>
      </c>
      <c r="O4" s="130" t="s">
        <v>1073</v>
      </c>
      <c r="P4" s="221">
        <v>41988</v>
      </c>
      <c r="Q4" s="226" t="s">
        <v>867</v>
      </c>
      <c r="R4" s="226" t="s">
        <v>1067</v>
      </c>
      <c r="S4" s="226" t="s">
        <v>840</v>
      </c>
      <c r="T4" s="226" t="s">
        <v>1300</v>
      </c>
      <c r="U4" s="227" t="s">
        <v>1293</v>
      </c>
      <c r="V4" s="227" t="s">
        <v>1294</v>
      </c>
      <c r="W4" s="237" t="s">
        <v>1313</v>
      </c>
      <c r="X4" s="238" t="s">
        <v>1314</v>
      </c>
      <c r="Y4" s="227" t="s">
        <v>2</v>
      </c>
      <c r="Z4" s="227" t="s">
        <v>417</v>
      </c>
      <c r="AA4" s="246" t="s">
        <v>468</v>
      </c>
      <c r="AB4" s="246" t="s">
        <v>1304</v>
      </c>
      <c r="AC4" s="246" t="s">
        <v>1305</v>
      </c>
      <c r="AD4" s="246" t="s">
        <v>1306</v>
      </c>
      <c r="AE4" s="247" t="s">
        <v>1315</v>
      </c>
      <c r="AF4" s="248" t="s">
        <v>1308</v>
      </c>
      <c r="AG4" s="248" t="s">
        <v>1308</v>
      </c>
      <c r="AH4" s="248" t="s">
        <v>1311</v>
      </c>
      <c r="AI4" s="248" t="s">
        <v>1316</v>
      </c>
      <c r="AJ4" s="248" t="s">
        <v>1308</v>
      </c>
      <c r="AK4" s="248" t="s">
        <v>1311</v>
      </c>
    </row>
    <row r="5" spans="2:38" ht="15.95" customHeight="1" x14ac:dyDescent="0.25">
      <c r="B5" s="131">
        <v>61</v>
      </c>
      <c r="C5" s="233" t="s">
        <v>1147</v>
      </c>
      <c r="D5" s="234" t="s">
        <v>513</v>
      </c>
      <c r="E5" s="235" t="s">
        <v>11</v>
      </c>
      <c r="F5" s="132" t="s">
        <v>44</v>
      </c>
      <c r="G5" s="132" t="s">
        <v>1076</v>
      </c>
      <c r="H5" s="132" t="s">
        <v>1082</v>
      </c>
      <c r="I5" s="132" t="s">
        <v>1061</v>
      </c>
      <c r="J5" s="133" t="s">
        <v>1079</v>
      </c>
      <c r="K5" s="134">
        <v>41883</v>
      </c>
      <c r="L5" s="134">
        <v>41981</v>
      </c>
      <c r="M5" s="134">
        <v>41995</v>
      </c>
      <c r="N5" s="132">
        <v>98</v>
      </c>
      <c r="O5" s="135">
        <v>1200</v>
      </c>
      <c r="P5" s="135" t="s">
        <v>1080</v>
      </c>
      <c r="Q5" s="223" t="s">
        <v>14</v>
      </c>
      <c r="R5" s="223" t="s">
        <v>298</v>
      </c>
      <c r="S5" s="223" t="s">
        <v>44</v>
      </c>
      <c r="T5" s="224" t="str">
        <f t="shared" ref="T5:T36" si="0">IF(OR(F5="ZU",F5="RT"),"ZU/RT",F5)</f>
        <v>ZU/RT</v>
      </c>
      <c r="U5" s="223" t="str">
        <f t="shared" ref="U5:U36" si="1">CONCATENATE(F5,"-",Q5,"-",R5)</f>
        <v>ZU-NW-Prod</v>
      </c>
      <c r="V5" s="223" t="str">
        <f t="array" ref="V5">CONCATENATE(Q5,"-",R5)</f>
        <v>NW-Prod</v>
      </c>
      <c r="W5" s="239">
        <f t="array" ref="W5">IF(ISERROR(VLOOKUP(T5,'15-16_DP_Tables'!$M$2:$V$8,MATCH(V5,INDEX('15-16_DP_Tables'!$M$2:$V$8,1,0),0),0)),0,VLOOKUP(T5,'15-16_DP_Tables'!$M$2:$V$8,MATCH(V5,INDEX('15-16_DP_Tables'!$M$2:$V$8,1,0),0),0))</f>
        <v>99.088549999999998</v>
      </c>
      <c r="X5" s="239">
        <f t="array" ref="X5">IF(ISERROR(VLOOKUP(T5,'15-16_DP_Tables'!$M$12:$V$18,MATCH(V5,INDEX('15-16_DP_Tables'!$M$12:$V$18,1,0),0),0)),0,VLOOKUP(T5,'15-16_DP_Tables'!$M$12:$V$18,MATCH(V5,INDEX('15-16_DP_Tables'!$M$12:$V$18,1,0),0),0))</f>
        <v>53.375</v>
      </c>
      <c r="Y5" s="223" t="str">
        <f t="shared" ref="Y5:Y36" si="2">IF(OR(ISNUMBER(SEARCH("HST",C5)),ISNUMBER(SEARCH("Horizontal",C5)),ISNUMBER(SEARCH("H",C5))),"Horizontal",IF(OR(ISNUMBER(SEARCH("SLANT",C5))),"Slant","Unknown"))</f>
        <v>Horizontal</v>
      </c>
      <c r="Z5" s="223">
        <v>5</v>
      </c>
      <c r="AA5" s="249" t="e">
        <f>VLOOKUP(T5,'Planning and Target Times'!$A$74:$L$78,MATCH(E5&amp;"-"&amp;Q5&amp;"-"&amp;Y5&amp;"-"&amp;R5,INDEX('Planning and Target Times'!$A$74:$L$78,1,0),0),0)</f>
        <v>#N/A</v>
      </c>
      <c r="AB5" s="249" t="e">
        <f>VLOOKUP(T5,'Planning and Target Times'!$A$97:$L$101,MATCH(E5&amp;"-"&amp;Q5&amp;"-"&amp;Y5&amp;"-"&amp;R5,INDEX('Planning and Target Times'!$A$97:$L$101,1,0),0),0)</f>
        <v>#N/A</v>
      </c>
      <c r="AC5" s="250" t="s">
        <v>1489</v>
      </c>
      <c r="AD5" s="250">
        <f>IF(ISERROR(O5/X5),0,(O5/X5))</f>
        <v>22.482435597189696</v>
      </c>
      <c r="AE5" s="248">
        <f>SUM(W5)+Z5</f>
        <v>104.08855</v>
      </c>
      <c r="AF5" s="248">
        <f t="shared" ref="AF5:AF36" si="3">(30*365)-AE5</f>
        <v>10845.91145</v>
      </c>
      <c r="AG5" s="248">
        <f ca="1">(30*$AG$3)-AE5</f>
        <v>3765.9114500000001</v>
      </c>
      <c r="AH5" s="248">
        <f ca="1">($AH$3*$AG$3)-AE5</f>
        <v>1959.9114500000001</v>
      </c>
      <c r="AI5" s="248">
        <f>SUM(X5)+Z5</f>
        <v>58.375</v>
      </c>
      <c r="AJ5" s="248">
        <f ca="1">(30*$AJ$3)-AI5</f>
        <v>3811.625</v>
      </c>
      <c r="AK5" s="248">
        <f ca="1">($AJ$3*$AK$3)-AI5</f>
        <v>2005.625</v>
      </c>
    </row>
    <row r="6" spans="2:38" ht="15.95" customHeight="1" x14ac:dyDescent="0.25">
      <c r="B6" s="136">
        <v>76</v>
      </c>
      <c r="C6" s="137" t="s">
        <v>1162</v>
      </c>
      <c r="D6" s="184" t="s">
        <v>511</v>
      </c>
      <c r="E6" s="139" t="s">
        <v>11</v>
      </c>
      <c r="F6" s="140" t="s">
        <v>22</v>
      </c>
      <c r="G6" s="140" t="s">
        <v>1076</v>
      </c>
      <c r="H6" s="140" t="s">
        <v>1082</v>
      </c>
      <c r="I6" s="140" t="s">
        <v>1061</v>
      </c>
      <c r="J6" s="141" t="s">
        <v>1079</v>
      </c>
      <c r="K6" s="142">
        <v>41956</v>
      </c>
      <c r="L6" s="142">
        <v>42026</v>
      </c>
      <c r="M6" s="134">
        <v>42040</v>
      </c>
      <c r="N6" s="132">
        <v>70</v>
      </c>
      <c r="O6" s="135">
        <v>1200</v>
      </c>
      <c r="P6" s="135" t="s">
        <v>1080</v>
      </c>
      <c r="Q6" s="223" t="s">
        <v>14</v>
      </c>
      <c r="R6" s="223" t="s">
        <v>298</v>
      </c>
      <c r="S6" s="223" t="s">
        <v>22</v>
      </c>
      <c r="T6" s="224" t="str">
        <f t="shared" si="0"/>
        <v>LB</v>
      </c>
      <c r="U6" s="223" t="str">
        <f t="shared" si="1"/>
        <v>LB-NW-Prod</v>
      </c>
      <c r="V6" s="223" t="str">
        <f t="array" ref="V6">CONCATENATE(Q6,"-",R6)</f>
        <v>NW-Prod</v>
      </c>
      <c r="W6" s="239">
        <f>IF(ISERROR(VLOOKUP(T6,'15-16_DP_Tables'!$M$2:$V$8,MATCH(V6,INDEX('15-16_DP_Tables'!$M$2:$V$8,1,0),0),0)),0,VLOOKUP(T6,'15-16_DP_Tables'!$M$2:$V$8,MATCH(V6,INDEX('15-16_DP_Tables'!$M$2:$V$8,1,0),0),0))</f>
        <v>55.81537142381022</v>
      </c>
      <c r="X6" s="239">
        <f t="array" ref="X6">IF(ISERROR(VLOOKUP(T6,'15-16_DP_Tables'!$M$12:$V$18,MATCH(V6,INDEX('15-16_DP_Tables'!$M$12:$V$18,1,0),0),0)),0,VLOOKUP(T6,'15-16_DP_Tables'!$M$12:$V$18,MATCH(V6,INDEX('15-16_DP_Tables'!$M$12:$V$18,1,0),0),0))</f>
        <v>45.207999999999998</v>
      </c>
      <c r="Y6" s="223" t="str">
        <f t="shared" si="2"/>
        <v>Slant</v>
      </c>
      <c r="Z6" s="223">
        <v>5</v>
      </c>
      <c r="AA6" s="249" t="e">
        <f>VLOOKUP(T6,'Planning and Target Times'!$A$74:$L$78,MATCH(E6&amp;"-"&amp;Q6&amp;"-"&amp;Y6&amp;"-"&amp;R6,INDEX('Planning and Target Times'!$A$74:$L$78,1,0),0),0)</f>
        <v>#N/A</v>
      </c>
      <c r="AB6" s="249" t="e">
        <f>VLOOKUP(T6,'Planning and Target Times'!$A$97:$L$101,MATCH(E6&amp;"-"&amp;Q6&amp;"-"&amp;Y6&amp;"-"&amp;R6,INDEX('Planning and Target Times'!$A$97:$L$101,1,0),0),0)</f>
        <v>#N/A</v>
      </c>
      <c r="AC6" s="250">
        <f t="shared" ref="AC6:AC64" si="4">IF(ISERROR(O6/W6),0,(O6/W6))</f>
        <v>21.499453813328802</v>
      </c>
      <c r="AD6" s="250">
        <f t="shared" ref="AD6:AD64" si="5">IF(ISERROR(O6/X6),0,(O6/X6))</f>
        <v>26.543974517784463</v>
      </c>
      <c r="AE6" s="248">
        <f>SUM(AE5,W6)+Z6</f>
        <v>164.90392142381023</v>
      </c>
      <c r="AF6" s="248">
        <f t="shared" si="3"/>
        <v>10785.096078576189</v>
      </c>
      <c r="AG6" s="248">
        <f t="shared" ref="AG6:AG63" ca="1" si="6">(30*$AG$3)-AE6</f>
        <v>3705.0960785761899</v>
      </c>
      <c r="AH6" s="248">
        <f t="shared" ref="AH6:AH63" ca="1" si="7">($AH$3*$AG$3)-AE6</f>
        <v>1899.0960785761897</v>
      </c>
      <c r="AI6" s="248">
        <f>SUM(AI5,X6)+Z6</f>
        <v>108.583</v>
      </c>
      <c r="AJ6" s="248">
        <f t="shared" ref="AJ6:AJ63" ca="1" si="8">(30*$AJ$3)-AI6</f>
        <v>3761.4169999999999</v>
      </c>
      <c r="AK6" s="248">
        <f t="shared" ref="AK6:AK63" ca="1" si="9">($AJ$3*$AK$3)-AI6</f>
        <v>1955.4169999999999</v>
      </c>
    </row>
    <row r="7" spans="2:38" ht="15.95" customHeight="1" x14ac:dyDescent="0.25">
      <c r="B7" s="136">
        <v>6</v>
      </c>
      <c r="C7" s="137" t="s">
        <v>1087</v>
      </c>
      <c r="D7" s="146" t="s">
        <v>25</v>
      </c>
      <c r="E7" s="139" t="s">
        <v>42</v>
      </c>
      <c r="F7" s="140" t="s">
        <v>17</v>
      </c>
      <c r="G7" s="140" t="s">
        <v>1076</v>
      </c>
      <c r="H7" s="140" t="s">
        <v>1077</v>
      </c>
      <c r="I7" s="140" t="s">
        <v>1061</v>
      </c>
      <c r="J7" s="141" t="s">
        <v>1079</v>
      </c>
      <c r="K7" s="142">
        <v>41965</v>
      </c>
      <c r="L7" s="142">
        <v>42021</v>
      </c>
      <c r="M7" s="134">
        <v>42035</v>
      </c>
      <c r="N7" s="140">
        <v>56</v>
      </c>
      <c r="O7" s="143">
        <v>1200</v>
      </c>
      <c r="P7" s="135" t="s">
        <v>1080</v>
      </c>
      <c r="Q7" s="223" t="s">
        <v>18</v>
      </c>
      <c r="R7" s="223" t="s">
        <v>298</v>
      </c>
      <c r="S7" s="223" t="s">
        <v>17</v>
      </c>
      <c r="T7" s="224" t="str">
        <f t="shared" si="0"/>
        <v>MA</v>
      </c>
      <c r="U7" s="223" t="str">
        <f t="shared" si="1"/>
        <v>MA-ST-Prod</v>
      </c>
      <c r="V7" s="223" t="str">
        <f t="array" ref="V7">CONCATENATE(Q7,"-",R7)</f>
        <v>ST-Prod</v>
      </c>
      <c r="W7" s="239">
        <f>IF(ISERROR(VLOOKUP(T7,'15-16_DP_Tables'!$M$2:$V$8,MATCH(V7,INDEX('15-16_DP_Tables'!$M$2:$V$8,1,0),0),0)),0,VLOOKUP(T7,'15-16_DP_Tables'!$M$2:$V$8,MATCH(V7,INDEX('15-16_DP_Tables'!$M$2:$V$8,1,0),0),0))</f>
        <v>47.881547142856107</v>
      </c>
      <c r="X7" s="239">
        <f t="array" ref="X7">IF(ISERROR(VLOOKUP(T7,'15-16_DP_Tables'!$M$12:$V$18,MATCH(V7,INDEX('15-16_DP_Tables'!$M$12:$V$18,1,0),0),0)),0,VLOOKUP(T7,'15-16_DP_Tables'!$M$12:$V$18,MATCH(V7,INDEX('15-16_DP_Tables'!$M$12:$V$18,1,0),0),0))</f>
        <v>41.770833333332121</v>
      </c>
      <c r="Y7" s="223" t="str">
        <f t="shared" si="2"/>
        <v>Unknown</v>
      </c>
      <c r="Z7" s="223">
        <v>5</v>
      </c>
      <c r="AA7" s="249" t="e">
        <f>VLOOKUP(T7,'Planning and Target Times'!$A$74:$L$78,MATCH(E7&amp;"-"&amp;Q7&amp;"-"&amp;Y7&amp;"-"&amp;R7,INDEX('Planning and Target Times'!$A$74:$L$78,1,0),0),0)</f>
        <v>#N/A</v>
      </c>
      <c r="AB7" s="249" t="e">
        <f>VLOOKUP(T7,'Planning and Target Times'!$A$97:$L$101,MATCH(E7&amp;"-"&amp;Q7&amp;"-"&amp;Y7&amp;"-"&amp;R7,INDEX('Planning and Target Times'!$A$97:$L$101,1,0),0),0)</f>
        <v>#N/A</v>
      </c>
      <c r="AC7" s="250">
        <f t="shared" si="4"/>
        <v>25.061846820023632</v>
      </c>
      <c r="AD7" s="250">
        <f t="shared" si="5"/>
        <v>28.728179551123027</v>
      </c>
      <c r="AE7" s="248">
        <f t="shared" ref="AE7:AE70" si="10">SUM(AE6,W7)+Z7</f>
        <v>217.78546856666634</v>
      </c>
      <c r="AF7" s="248">
        <f t="shared" si="3"/>
        <v>10732.214531433334</v>
      </c>
      <c r="AG7" s="248">
        <f t="shared" ca="1" si="6"/>
        <v>3652.2145314333338</v>
      </c>
      <c r="AH7" s="248">
        <f t="shared" ca="1" si="7"/>
        <v>1846.2145314333336</v>
      </c>
      <c r="AI7" s="248">
        <f t="shared" ref="AI7:AI70" si="11">SUM(AI6,X7)+Z7</f>
        <v>155.35383333333212</v>
      </c>
      <c r="AJ7" s="248">
        <f t="shared" ca="1" si="8"/>
        <v>3714.6461666666678</v>
      </c>
      <c r="AK7" s="248">
        <f t="shared" ca="1" si="9"/>
        <v>1908.6461666666678</v>
      </c>
    </row>
    <row r="8" spans="2:38" ht="15.95" customHeight="1" x14ac:dyDescent="0.25">
      <c r="B8" s="136">
        <v>54</v>
      </c>
      <c r="C8" s="173" t="s">
        <v>1140</v>
      </c>
      <c r="D8" s="178" t="s">
        <v>1137</v>
      </c>
      <c r="E8" s="170" t="s">
        <v>11</v>
      </c>
      <c r="F8" s="140" t="s">
        <v>17</v>
      </c>
      <c r="G8" s="140" t="s">
        <v>1076</v>
      </c>
      <c r="H8" s="140" t="s">
        <v>1077</v>
      </c>
      <c r="I8" s="140" t="s">
        <v>1061</v>
      </c>
      <c r="J8" s="141" t="s">
        <v>1079</v>
      </c>
      <c r="K8" s="142">
        <v>41969</v>
      </c>
      <c r="L8" s="142">
        <v>42025</v>
      </c>
      <c r="M8" s="134">
        <v>42039</v>
      </c>
      <c r="N8" s="132">
        <v>56</v>
      </c>
      <c r="O8" s="135">
        <v>1200</v>
      </c>
      <c r="P8" s="135" t="s">
        <v>1080</v>
      </c>
      <c r="Q8" s="223" t="s">
        <v>18</v>
      </c>
      <c r="R8" s="223" t="s">
        <v>298</v>
      </c>
      <c r="S8" s="223" t="s">
        <v>17</v>
      </c>
      <c r="T8" s="224" t="str">
        <f t="shared" si="0"/>
        <v>MA</v>
      </c>
      <c r="U8" s="223" t="str">
        <f t="shared" si="1"/>
        <v>MA-ST-Prod</v>
      </c>
      <c r="V8" s="223" t="str">
        <f t="array" ref="V8">CONCATENATE(Q8,"-",R8)</f>
        <v>ST-Prod</v>
      </c>
      <c r="W8" s="239">
        <f>IF(ISERROR(VLOOKUP(T8,'15-16_DP_Tables'!$M$2:$V$8,MATCH(V8,INDEX('15-16_DP_Tables'!$M$2:$V$8,1,0),0),0)),0,VLOOKUP(T8,'15-16_DP_Tables'!$M$2:$V$8,MATCH(V8,INDEX('15-16_DP_Tables'!$M$2:$V$8,1,0),0),0))</f>
        <v>47.881547142856107</v>
      </c>
      <c r="X8" s="239">
        <f t="array" ref="X8">IF(ISERROR(VLOOKUP(T8,'15-16_DP_Tables'!$M$12:$V$18,MATCH(V8,INDEX('15-16_DP_Tables'!$M$12:$V$18,1,0),0),0)),0,VLOOKUP(T8,'15-16_DP_Tables'!$M$12:$V$18,MATCH(V8,INDEX('15-16_DP_Tables'!$M$12:$V$18,1,0),0),0))</f>
        <v>41.770833333332121</v>
      </c>
      <c r="Y8" s="223" t="str">
        <f t="shared" si="2"/>
        <v>Horizontal</v>
      </c>
      <c r="Z8" s="223">
        <v>5</v>
      </c>
      <c r="AA8" s="249" t="e">
        <f>VLOOKUP(T8,'Planning and Target Times'!$A$74:$L$78,MATCH(E8&amp;"-"&amp;Q8&amp;"-"&amp;Y8&amp;"-"&amp;R8,INDEX('Planning and Target Times'!$A$74:$L$78,1,0),0),0)</f>
        <v>#N/A</v>
      </c>
      <c r="AB8" s="249" t="e">
        <f>VLOOKUP(T8,'Planning and Target Times'!$A$97:$L$101,MATCH(E8&amp;"-"&amp;Q8&amp;"-"&amp;Y8&amp;"-"&amp;R8,INDEX('Planning and Target Times'!$A$97:$L$101,1,0),0),0)</f>
        <v>#N/A</v>
      </c>
      <c r="AC8" s="250">
        <f t="shared" si="4"/>
        <v>25.061846820023632</v>
      </c>
      <c r="AD8" s="250">
        <f t="shared" si="5"/>
        <v>28.728179551123027</v>
      </c>
      <c r="AE8" s="248">
        <f t="shared" si="10"/>
        <v>270.66701570952245</v>
      </c>
      <c r="AF8" s="248">
        <f t="shared" si="3"/>
        <v>10679.332984290477</v>
      </c>
      <c r="AG8" s="248">
        <f t="shared" ca="1" si="6"/>
        <v>3599.3329842904777</v>
      </c>
      <c r="AH8" s="248">
        <f t="shared" ca="1" si="7"/>
        <v>1793.3329842904775</v>
      </c>
      <c r="AI8" s="248">
        <f t="shared" si="11"/>
        <v>202.12466666666424</v>
      </c>
      <c r="AJ8" s="248">
        <f t="shared" ca="1" si="8"/>
        <v>3667.8753333333357</v>
      </c>
      <c r="AK8" s="248">
        <f t="shared" ca="1" si="9"/>
        <v>1861.8753333333357</v>
      </c>
    </row>
    <row r="9" spans="2:38" ht="15.95" customHeight="1" x14ac:dyDescent="0.25">
      <c r="B9" s="136">
        <v>9</v>
      </c>
      <c r="C9" s="137" t="s">
        <v>1090</v>
      </c>
      <c r="D9" s="147" t="s">
        <v>430</v>
      </c>
      <c r="E9" s="139" t="s">
        <v>42</v>
      </c>
      <c r="F9" s="140" t="s">
        <v>22</v>
      </c>
      <c r="G9" s="140" t="s">
        <v>1076</v>
      </c>
      <c r="H9" s="140" t="s">
        <v>1082</v>
      </c>
      <c r="I9" s="140" t="s">
        <v>1061</v>
      </c>
      <c r="J9" s="141" t="s">
        <v>1079</v>
      </c>
      <c r="K9" s="142">
        <v>41973</v>
      </c>
      <c r="L9" s="142">
        <v>42043</v>
      </c>
      <c r="M9" s="134">
        <v>42057</v>
      </c>
      <c r="N9" s="140">
        <v>70</v>
      </c>
      <c r="O9" s="143">
        <v>1800</v>
      </c>
      <c r="P9" s="135" t="s">
        <v>1080</v>
      </c>
      <c r="Q9" s="223" t="s">
        <v>14</v>
      </c>
      <c r="R9" s="223" t="s">
        <v>298</v>
      </c>
      <c r="S9" s="223" t="s">
        <v>22</v>
      </c>
      <c r="T9" s="224" t="str">
        <f t="shared" si="0"/>
        <v>LB</v>
      </c>
      <c r="U9" s="223" t="str">
        <f t="shared" si="1"/>
        <v>LB-NW-Prod</v>
      </c>
      <c r="V9" s="223" t="str">
        <f t="array" ref="V9">CONCATENATE(Q9,"-",R9)</f>
        <v>NW-Prod</v>
      </c>
      <c r="W9" s="239">
        <f>IF(ISERROR(VLOOKUP(T9,'15-16_DP_Tables'!$M$2:$V$8,MATCH(V9,INDEX('15-16_DP_Tables'!$M$2:$V$8,1,0),0),0)),0,VLOOKUP(T9,'15-16_DP_Tables'!$M$2:$V$8,MATCH(V9,INDEX('15-16_DP_Tables'!$M$2:$V$8,1,0),0),0))</f>
        <v>55.81537142381022</v>
      </c>
      <c r="X9" s="239">
        <f t="array" ref="X9">IF(ISERROR(VLOOKUP(T9,'15-16_DP_Tables'!$M$12:$V$18,MATCH(V9,INDEX('15-16_DP_Tables'!$M$12:$V$18,1,0),0),0)),0,VLOOKUP(T9,'15-16_DP_Tables'!$M$12:$V$18,MATCH(V9,INDEX('15-16_DP_Tables'!$M$12:$V$18,1,0),0),0))</f>
        <v>45.207999999999998</v>
      </c>
      <c r="Y9" s="223" t="str">
        <f t="shared" si="2"/>
        <v>Unknown</v>
      </c>
      <c r="Z9" s="223">
        <v>5</v>
      </c>
      <c r="AA9" s="249" t="e">
        <f>VLOOKUP(T9,'Planning and Target Times'!$A$74:$L$78,MATCH(E9&amp;"-"&amp;Q9&amp;"-"&amp;Y9&amp;"-"&amp;R9,INDEX('Planning and Target Times'!$A$74:$L$78,1,0),0),0)</f>
        <v>#N/A</v>
      </c>
      <c r="AB9" s="249" t="e">
        <f>VLOOKUP(T9,'Planning and Target Times'!$A$97:$L$101,MATCH(E9&amp;"-"&amp;Q9&amp;"-"&amp;Y9&amp;"-"&amp;R9,INDEX('Planning and Target Times'!$A$97:$L$101,1,0),0),0)</f>
        <v>#N/A</v>
      </c>
      <c r="AC9" s="250">
        <f t="shared" si="4"/>
        <v>32.249180719993198</v>
      </c>
      <c r="AD9" s="250">
        <f t="shared" si="5"/>
        <v>39.815961776676694</v>
      </c>
      <c r="AE9" s="248">
        <f t="shared" si="10"/>
        <v>331.48238713333268</v>
      </c>
      <c r="AF9" s="248">
        <f t="shared" si="3"/>
        <v>10618.517612866668</v>
      </c>
      <c r="AG9" s="248">
        <f t="shared" ca="1" si="6"/>
        <v>3538.5176128666672</v>
      </c>
      <c r="AH9" s="248">
        <f t="shared" ca="1" si="7"/>
        <v>1732.5176128666674</v>
      </c>
      <c r="AI9" s="248">
        <f t="shared" si="11"/>
        <v>252.33266666666424</v>
      </c>
      <c r="AJ9" s="248">
        <f t="shared" ca="1" si="8"/>
        <v>3617.6673333333356</v>
      </c>
      <c r="AK9" s="248">
        <f t="shared" ca="1" si="9"/>
        <v>1811.6673333333358</v>
      </c>
    </row>
    <row r="10" spans="2:38" ht="15.95" customHeight="1" x14ac:dyDescent="0.25">
      <c r="B10" s="136">
        <v>26</v>
      </c>
      <c r="C10" s="160" t="s">
        <v>1109</v>
      </c>
      <c r="D10" s="157" t="s">
        <v>1107</v>
      </c>
      <c r="E10" s="161" t="s">
        <v>11</v>
      </c>
      <c r="F10" s="140" t="s">
        <v>17</v>
      </c>
      <c r="G10" s="140" t="s">
        <v>1076</v>
      </c>
      <c r="H10" s="140" t="s">
        <v>1077</v>
      </c>
      <c r="I10" s="140" t="s">
        <v>1061</v>
      </c>
      <c r="J10" s="141" t="s">
        <v>1079</v>
      </c>
      <c r="K10" s="142">
        <v>41974</v>
      </c>
      <c r="L10" s="142">
        <v>42030</v>
      </c>
      <c r="M10" s="134">
        <v>42044</v>
      </c>
      <c r="N10" s="140">
        <v>56</v>
      </c>
      <c r="O10" s="143">
        <v>1200</v>
      </c>
      <c r="P10" s="135" t="s">
        <v>1080</v>
      </c>
      <c r="Q10" s="223" t="s">
        <v>18</v>
      </c>
      <c r="R10" s="223" t="s">
        <v>298</v>
      </c>
      <c r="S10" s="223" t="s">
        <v>17</v>
      </c>
      <c r="T10" s="224" t="str">
        <f t="shared" si="0"/>
        <v>MA</v>
      </c>
      <c r="U10" s="223" t="str">
        <f t="shared" si="1"/>
        <v>MA-ST-Prod</v>
      </c>
      <c r="V10" s="223" t="str">
        <f t="array" ref="V10">CONCATENATE(Q10,"-",R10)</f>
        <v>ST-Prod</v>
      </c>
      <c r="W10" s="239">
        <f>IF(ISERROR(VLOOKUP(T10,'15-16_DP_Tables'!$M$2:$V$8,MATCH(V10,INDEX('15-16_DP_Tables'!$M$2:$V$8,1,0),0),0)),0,VLOOKUP(T10,'15-16_DP_Tables'!$M$2:$V$8,MATCH(V10,INDEX('15-16_DP_Tables'!$M$2:$V$8,1,0),0),0))</f>
        <v>47.881547142856107</v>
      </c>
      <c r="X10" s="239">
        <f t="array" ref="X10">IF(ISERROR(VLOOKUP(T10,'15-16_DP_Tables'!$M$12:$V$18,MATCH(V10,INDEX('15-16_DP_Tables'!$M$12:$V$18,1,0),0),0)),0,VLOOKUP(T10,'15-16_DP_Tables'!$M$12:$V$18,MATCH(V10,INDEX('15-16_DP_Tables'!$M$12:$V$18,1,0),0),0))</f>
        <v>41.770833333332121</v>
      </c>
      <c r="Y10" s="223" t="str">
        <f t="shared" si="2"/>
        <v>Unknown</v>
      </c>
      <c r="Z10" s="223">
        <v>5</v>
      </c>
      <c r="AA10" s="249" t="e">
        <f>VLOOKUP(T10,'Planning and Target Times'!$A$74:$L$78,MATCH(E10&amp;"-"&amp;Q10&amp;"-"&amp;Y10&amp;"-"&amp;R10,INDEX('Planning and Target Times'!$A$74:$L$78,1,0),0),0)</f>
        <v>#N/A</v>
      </c>
      <c r="AB10" s="249" t="e">
        <f>VLOOKUP(T10,'Planning and Target Times'!$A$97:$L$101,MATCH(E10&amp;"-"&amp;Q10&amp;"-"&amp;Y10&amp;"-"&amp;R10,INDEX('Planning and Target Times'!$A$97:$L$101,1,0),0),0)</f>
        <v>#N/A</v>
      </c>
      <c r="AC10" s="250">
        <f t="shared" si="4"/>
        <v>25.061846820023632</v>
      </c>
      <c r="AD10" s="250">
        <f t="shared" si="5"/>
        <v>28.728179551123027</v>
      </c>
      <c r="AE10" s="248">
        <f t="shared" si="10"/>
        <v>384.36393427618879</v>
      </c>
      <c r="AF10" s="248">
        <f t="shared" si="3"/>
        <v>10565.636065723811</v>
      </c>
      <c r="AG10" s="248">
        <f t="shared" ca="1" si="6"/>
        <v>3485.636065723811</v>
      </c>
      <c r="AH10" s="248">
        <f t="shared" ca="1" si="7"/>
        <v>1679.6360657238113</v>
      </c>
      <c r="AI10" s="248">
        <f t="shared" si="11"/>
        <v>299.10349999999636</v>
      </c>
      <c r="AJ10" s="248">
        <f t="shared" ca="1" si="8"/>
        <v>3570.8965000000035</v>
      </c>
      <c r="AK10" s="248">
        <f t="shared" ca="1" si="9"/>
        <v>1764.8965000000037</v>
      </c>
    </row>
    <row r="11" spans="2:38" ht="15.95" customHeight="1" x14ac:dyDescent="0.25">
      <c r="B11" s="136">
        <v>2</v>
      </c>
      <c r="C11" s="137" t="s">
        <v>1081</v>
      </c>
      <c r="D11" s="138" t="s">
        <v>1075</v>
      </c>
      <c r="E11" s="139" t="s">
        <v>757</v>
      </c>
      <c r="F11" s="140" t="s">
        <v>44</v>
      </c>
      <c r="G11" s="140" t="s">
        <v>1076</v>
      </c>
      <c r="H11" s="140" t="s">
        <v>1082</v>
      </c>
      <c r="I11" s="140" t="s">
        <v>1061</v>
      </c>
      <c r="J11" s="141" t="s">
        <v>1079</v>
      </c>
      <c r="K11" s="142">
        <v>41976</v>
      </c>
      <c r="L11" s="142">
        <v>42074</v>
      </c>
      <c r="M11" s="134">
        <v>42088</v>
      </c>
      <c r="N11" s="140">
        <v>98</v>
      </c>
      <c r="O11" s="143"/>
      <c r="P11" s="135" t="s">
        <v>1080</v>
      </c>
      <c r="Q11" s="223" t="s">
        <v>14</v>
      </c>
      <c r="R11" s="223" t="s">
        <v>298</v>
      </c>
      <c r="S11" s="223" t="s">
        <v>44</v>
      </c>
      <c r="T11" s="224" t="str">
        <f t="shared" si="0"/>
        <v>ZU/RT</v>
      </c>
      <c r="U11" s="223" t="str">
        <f t="shared" si="1"/>
        <v>ZU-NW-Prod</v>
      </c>
      <c r="V11" s="223" t="str">
        <f t="array" ref="V11">CONCATENATE(Q11,"-",R11)</f>
        <v>NW-Prod</v>
      </c>
      <c r="W11" s="239">
        <f>IF(ISERROR(VLOOKUP(T11,'15-16_DP_Tables'!$M$2:$V$8,MATCH(V11,INDEX('15-16_DP_Tables'!$M$2:$V$8,1,0),0),0)),0,VLOOKUP(T11,'15-16_DP_Tables'!$M$2:$V$8,MATCH(V11,INDEX('15-16_DP_Tables'!$M$2:$V$8,1,0),0),0))</f>
        <v>99.088549999999998</v>
      </c>
      <c r="X11" s="239">
        <f t="array" ref="X11">IF(ISERROR(VLOOKUP(T11,'15-16_DP_Tables'!$M$12:$V$18,MATCH(V11,INDEX('15-16_DP_Tables'!$M$12:$V$18,1,0),0),0)),0,VLOOKUP(T11,'15-16_DP_Tables'!$M$12:$V$18,MATCH(V11,INDEX('15-16_DP_Tables'!$M$12:$V$18,1,0),0),0))</f>
        <v>53.375</v>
      </c>
      <c r="Y11" s="223" t="str">
        <f t="shared" si="2"/>
        <v>Unknown</v>
      </c>
      <c r="Z11" s="223">
        <v>5</v>
      </c>
      <c r="AA11" s="249" t="e">
        <f>VLOOKUP(T11,'Planning and Target Times'!$A$74:$L$78,MATCH(E11&amp;"-"&amp;Q11&amp;"-"&amp;Y11&amp;"-"&amp;R11,INDEX('Planning and Target Times'!$A$74:$L$78,1,0),0),0)</f>
        <v>#N/A</v>
      </c>
      <c r="AB11" s="249" t="e">
        <f>VLOOKUP(T11,'Planning and Target Times'!$A$97:$L$101,MATCH(E11&amp;"-"&amp;Q11&amp;"-"&amp;Y11&amp;"-"&amp;R11,INDEX('Planning and Target Times'!$A$97:$L$101,1,0),0),0)</f>
        <v>#N/A</v>
      </c>
      <c r="AC11" s="250">
        <f t="shared" si="4"/>
        <v>0</v>
      </c>
      <c r="AD11" s="250">
        <f t="shared" si="5"/>
        <v>0</v>
      </c>
      <c r="AE11" s="248">
        <f t="shared" si="10"/>
        <v>488.45248427618878</v>
      </c>
      <c r="AF11" s="248">
        <f t="shared" si="3"/>
        <v>10461.547515723811</v>
      </c>
      <c r="AG11" s="248">
        <f t="shared" ca="1" si="6"/>
        <v>3381.5475157238111</v>
      </c>
      <c r="AH11" s="248">
        <f t="shared" ca="1" si="7"/>
        <v>1575.5475157238111</v>
      </c>
      <c r="AI11" s="248">
        <f t="shared" si="11"/>
        <v>357.47849999999636</v>
      </c>
      <c r="AJ11" s="248">
        <f t="shared" ca="1" si="8"/>
        <v>3512.5215000000035</v>
      </c>
      <c r="AK11" s="248">
        <f t="shared" ca="1" si="9"/>
        <v>1706.5215000000037</v>
      </c>
    </row>
    <row r="12" spans="2:38" ht="15.95" customHeight="1" x14ac:dyDescent="0.25">
      <c r="B12" s="136">
        <v>62</v>
      </c>
      <c r="C12" s="179" t="s">
        <v>1148</v>
      </c>
      <c r="D12" s="180" t="s">
        <v>513</v>
      </c>
      <c r="E12" s="170" t="s">
        <v>11</v>
      </c>
      <c r="F12" s="140" t="s">
        <v>17</v>
      </c>
      <c r="G12" s="140" t="s">
        <v>1076</v>
      </c>
      <c r="H12" s="140" t="s">
        <v>1077</v>
      </c>
      <c r="I12" s="140" t="s">
        <v>459</v>
      </c>
      <c r="J12" s="141" t="s">
        <v>1079</v>
      </c>
      <c r="K12" s="142">
        <v>41981</v>
      </c>
      <c r="L12" s="142">
        <v>42037</v>
      </c>
      <c r="M12" s="134">
        <v>42051</v>
      </c>
      <c r="N12" s="140">
        <v>56</v>
      </c>
      <c r="O12" s="143">
        <v>1200</v>
      </c>
      <c r="P12" s="143" t="s">
        <v>1080</v>
      </c>
      <c r="Q12" s="223" t="s">
        <v>18</v>
      </c>
      <c r="R12" s="223" t="s">
        <v>298</v>
      </c>
      <c r="S12" s="223" t="s">
        <v>17</v>
      </c>
      <c r="T12" s="224" t="str">
        <f t="shared" si="0"/>
        <v>MA</v>
      </c>
      <c r="U12" s="223" t="str">
        <f t="shared" si="1"/>
        <v>MA-ST-Prod</v>
      </c>
      <c r="V12" s="223" t="str">
        <f t="array" ref="V12">CONCATENATE(Q12,"-",R12)</f>
        <v>ST-Prod</v>
      </c>
      <c r="W12" s="239">
        <f>IF(ISERROR(VLOOKUP(T12,'15-16_DP_Tables'!$M$2:$V$8,MATCH(V12,INDEX('15-16_DP_Tables'!$M$2:$V$8,1,0),0),0)),0,VLOOKUP(T12,'15-16_DP_Tables'!$M$2:$V$8,MATCH(V12,INDEX('15-16_DP_Tables'!$M$2:$V$8,1,0),0),0))</f>
        <v>47.881547142856107</v>
      </c>
      <c r="X12" s="239">
        <f t="array" ref="X12">IF(ISERROR(VLOOKUP(T12,'15-16_DP_Tables'!$M$12:$V$18,MATCH(V12,INDEX('15-16_DP_Tables'!$M$12:$V$18,1,0),0),0)),0,VLOOKUP(T12,'15-16_DP_Tables'!$M$12:$V$18,MATCH(V12,INDEX('15-16_DP_Tables'!$M$12:$V$18,1,0),0),0))</f>
        <v>41.770833333332121</v>
      </c>
      <c r="Y12" s="223" t="str">
        <f>IF(OR(ISNUMBER(SEARCH("HST",C12)),ISNUMBER(SEARCH("Horizontal",C12)),ISNUMBER(SEARCH("H",C12))),"Horizontal",IF(OR(ISNUMBER(SEARCH("SLANT",C12))),"Slant","Unknown"))</f>
        <v>Horizontal</v>
      </c>
      <c r="Z12" s="223">
        <v>5</v>
      </c>
      <c r="AA12" s="249" t="e">
        <f>VLOOKUP(T12,'Planning and Target Times'!$A$74:$L$78,MATCH(E12&amp;"-"&amp;Q12&amp;"-"&amp;Y12&amp;"-"&amp;R12,INDEX('Planning and Target Times'!$A$74:$L$78,1,0),0),0)</f>
        <v>#N/A</v>
      </c>
      <c r="AB12" s="249" t="e">
        <f>VLOOKUP(T12,'Planning and Target Times'!$A$97:$L$101,MATCH(E12&amp;"-"&amp;Q12&amp;"-"&amp;Y12&amp;"-"&amp;R12,INDEX('Planning and Target Times'!$A$97:$L$101,1,0),0),0)</f>
        <v>#N/A</v>
      </c>
      <c r="AC12" s="250">
        <f t="shared" si="4"/>
        <v>25.061846820023632</v>
      </c>
      <c r="AD12" s="250">
        <f t="shared" si="5"/>
        <v>28.728179551123027</v>
      </c>
      <c r="AE12" s="248">
        <f t="shared" si="10"/>
        <v>541.33403141904489</v>
      </c>
      <c r="AF12" s="248">
        <f t="shared" si="3"/>
        <v>10408.665968580955</v>
      </c>
      <c r="AG12" s="248">
        <f t="shared" ca="1" si="6"/>
        <v>3328.665968580955</v>
      </c>
      <c r="AH12" s="248">
        <f t="shared" ca="1" si="7"/>
        <v>1522.665968580955</v>
      </c>
      <c r="AI12" s="248">
        <f t="shared" si="11"/>
        <v>404.24933333332848</v>
      </c>
      <c r="AJ12" s="248">
        <f t="shared" ca="1" si="8"/>
        <v>3465.7506666666713</v>
      </c>
      <c r="AK12" s="248">
        <f t="shared" ca="1" si="9"/>
        <v>1659.7506666666716</v>
      </c>
    </row>
    <row r="13" spans="2:38" ht="15.95" customHeight="1" x14ac:dyDescent="0.25">
      <c r="B13" s="136">
        <v>18</v>
      </c>
      <c r="C13" s="154" t="s">
        <v>1100</v>
      </c>
      <c r="D13" s="153" t="s">
        <v>38</v>
      </c>
      <c r="E13" s="155" t="s">
        <v>42</v>
      </c>
      <c r="F13" s="140" t="s">
        <v>29</v>
      </c>
      <c r="G13" s="140" t="s">
        <v>1076</v>
      </c>
      <c r="H13" s="140" t="s">
        <v>1082</v>
      </c>
      <c r="I13" s="140" t="s">
        <v>1061</v>
      </c>
      <c r="J13" s="141" t="s">
        <v>1079</v>
      </c>
      <c r="K13" s="142">
        <v>41989</v>
      </c>
      <c r="L13" s="142">
        <v>42059</v>
      </c>
      <c r="M13" s="134">
        <v>42073</v>
      </c>
      <c r="N13" s="140">
        <v>70</v>
      </c>
      <c r="O13" s="143">
        <v>2000</v>
      </c>
      <c r="P13" s="143" t="s">
        <v>1080</v>
      </c>
      <c r="Q13" s="223" t="s">
        <v>14</v>
      </c>
      <c r="R13" s="223" t="s">
        <v>298</v>
      </c>
      <c r="S13" s="223" t="s">
        <v>29</v>
      </c>
      <c r="T13" s="224" t="str">
        <f t="shared" si="0"/>
        <v>UB</v>
      </c>
      <c r="U13" s="223" t="str">
        <f t="shared" si="1"/>
        <v>UB-NW-Prod</v>
      </c>
      <c r="V13" s="223" t="str">
        <f t="array" ref="V13">CONCATENATE(Q13,"-",R13)</f>
        <v>NW-Prod</v>
      </c>
      <c r="W13" s="239">
        <f>IF(ISERROR(VLOOKUP(T13,'15-16_DP_Tables'!$M$2:$V$8,MATCH(V13,INDEX('15-16_DP_Tables'!$M$2:$V$8,1,0),0),0)),0,VLOOKUP(T13,'15-16_DP_Tables'!$M$2:$V$8,MATCH(V13,INDEX('15-16_DP_Tables'!$M$2:$V$8,1,0),0),0))</f>
        <v>53.604164999999995</v>
      </c>
      <c r="X13" s="239">
        <f t="array" ref="X13">IF(ISERROR(VLOOKUP(T13,'15-16_DP_Tables'!$M$12:$V$18,MATCH(V13,INDEX('15-16_DP_Tables'!$M$12:$V$18,1,0),0),0)),0,VLOOKUP(T13,'15-16_DP_Tables'!$M$12:$V$18,MATCH(V13,INDEX('15-16_DP_Tables'!$M$12:$V$18,1,0),0),0))</f>
        <v>48</v>
      </c>
      <c r="Y13" s="223" t="str">
        <f t="shared" si="2"/>
        <v>Unknown</v>
      </c>
      <c r="Z13" s="223">
        <v>5</v>
      </c>
      <c r="AA13" s="249" t="e">
        <f>VLOOKUP(T13,'Planning and Target Times'!$A$74:$L$78,MATCH(E13&amp;"-"&amp;Q13&amp;"-"&amp;Y13&amp;"-"&amp;R13,INDEX('Planning and Target Times'!$A$74:$L$78,1,0),0),0)</f>
        <v>#N/A</v>
      </c>
      <c r="AB13" s="249" t="e">
        <f>VLOOKUP(T13,'Planning and Target Times'!$A$97:$L$101,MATCH(E13&amp;"-"&amp;Q13&amp;"-"&amp;Y13&amp;"-"&amp;R13,INDEX('Planning and Target Times'!$A$97:$L$101,1,0),0),0)</f>
        <v>#N/A</v>
      </c>
      <c r="AC13" s="250">
        <f t="shared" si="4"/>
        <v>37.31053361245344</v>
      </c>
      <c r="AD13" s="250">
        <f t="shared" si="5"/>
        <v>41.666666666666664</v>
      </c>
      <c r="AE13" s="248">
        <f t="shared" si="10"/>
        <v>599.93819641904486</v>
      </c>
      <c r="AF13" s="248">
        <f t="shared" si="3"/>
        <v>10350.061803580955</v>
      </c>
      <c r="AG13" s="248">
        <f t="shared" ca="1" si="6"/>
        <v>3270.0618035809553</v>
      </c>
      <c r="AH13" s="248">
        <f t="shared" ca="1" si="7"/>
        <v>1464.0618035809553</v>
      </c>
      <c r="AI13" s="248">
        <f t="shared" si="11"/>
        <v>457.24933333332848</v>
      </c>
      <c r="AJ13" s="248">
        <f t="shared" ca="1" si="8"/>
        <v>3412.7506666666713</v>
      </c>
      <c r="AK13" s="248">
        <f t="shared" ca="1" si="9"/>
        <v>1606.7506666666716</v>
      </c>
    </row>
    <row r="14" spans="2:38" ht="15.95" customHeight="1" x14ac:dyDescent="0.25">
      <c r="B14" s="136">
        <v>46</v>
      </c>
      <c r="C14" s="173" t="s">
        <v>1130</v>
      </c>
      <c r="D14" s="171" t="s">
        <v>1126</v>
      </c>
      <c r="E14" s="170" t="s">
        <v>42</v>
      </c>
      <c r="F14" s="140" t="s">
        <v>17</v>
      </c>
      <c r="G14" s="132" t="s">
        <v>1076</v>
      </c>
      <c r="H14" s="132" t="s">
        <v>1082</v>
      </c>
      <c r="I14" s="132" t="s">
        <v>1061</v>
      </c>
      <c r="J14" s="133" t="s">
        <v>1079</v>
      </c>
      <c r="K14" s="142">
        <v>41996</v>
      </c>
      <c r="L14" s="142">
        <v>42066</v>
      </c>
      <c r="M14" s="134">
        <v>42080</v>
      </c>
      <c r="N14" s="140">
        <v>70</v>
      </c>
      <c r="O14" s="143">
        <v>1500</v>
      </c>
      <c r="P14" s="135" t="s">
        <v>1080</v>
      </c>
      <c r="Q14" s="223" t="s">
        <v>14</v>
      </c>
      <c r="R14" s="223" t="s">
        <v>298</v>
      </c>
      <c r="S14" s="223" t="s">
        <v>17</v>
      </c>
      <c r="T14" s="224" t="str">
        <f t="shared" si="0"/>
        <v>MA</v>
      </c>
      <c r="U14" s="223" t="str">
        <f t="shared" si="1"/>
        <v>MA-NW-Prod</v>
      </c>
      <c r="V14" s="223" t="str">
        <f t="array" ref="V14">CONCATENATE(Q14,"-",R14)</f>
        <v>NW-Prod</v>
      </c>
      <c r="W14" s="239">
        <f>IF(ISERROR(VLOOKUP(T14,'15-16_DP_Tables'!$M$2:$V$8,MATCH(V14,INDEX('15-16_DP_Tables'!$M$2:$V$8,1,0),0),0)),0,VLOOKUP(T14,'15-16_DP_Tables'!$M$2:$V$8,MATCH(V14,INDEX('15-16_DP_Tables'!$M$2:$V$8,1,0),0),0))</f>
        <v>57.083333333332121</v>
      </c>
      <c r="X14" s="239">
        <f t="array" ref="X14">IF(ISERROR(VLOOKUP(T14,'15-16_DP_Tables'!$M$12:$V$18,MATCH(V14,INDEX('15-16_DP_Tables'!$M$12:$V$18,1,0),0),0)),0,VLOOKUP(T14,'15-16_DP_Tables'!$M$12:$V$18,MATCH(V14,INDEX('15-16_DP_Tables'!$M$12:$V$18,1,0),0),0))</f>
        <v>47.791666666664241</v>
      </c>
      <c r="Y14" s="223" t="str">
        <f t="shared" si="2"/>
        <v>Unknown</v>
      </c>
      <c r="Z14" s="223">
        <v>5</v>
      </c>
      <c r="AA14" s="249" t="e">
        <f>VLOOKUP(T14,'Planning and Target Times'!$A$74:$L$78,MATCH(E14&amp;"-"&amp;Q14&amp;"-"&amp;Y14&amp;"-"&amp;R14,INDEX('Planning and Target Times'!$A$74:$L$78,1,0),0),0)</f>
        <v>#N/A</v>
      </c>
      <c r="AB14" s="249" t="e">
        <f>VLOOKUP(T14,'Planning and Target Times'!$A$97:$L$101,MATCH(E14&amp;"-"&amp;Q14&amp;"-"&amp;Y14&amp;"-"&amp;R14,INDEX('Planning and Target Times'!$A$97:$L$101,1,0),0),0)</f>
        <v>#N/A</v>
      </c>
      <c r="AC14" s="250">
        <f t="shared" si="4"/>
        <v>26.277372262774282</v>
      </c>
      <c r="AD14" s="250">
        <f t="shared" si="5"/>
        <v>31.386224934613622</v>
      </c>
      <c r="AE14" s="248">
        <f t="shared" si="10"/>
        <v>662.02152975237698</v>
      </c>
      <c r="AF14" s="248">
        <f t="shared" si="3"/>
        <v>10287.978470247623</v>
      </c>
      <c r="AG14" s="248">
        <f t="shared" ca="1" si="6"/>
        <v>3207.9784702476231</v>
      </c>
      <c r="AH14" s="248">
        <f t="shared" ca="1" si="7"/>
        <v>1401.9784702476231</v>
      </c>
      <c r="AI14" s="248">
        <f t="shared" si="11"/>
        <v>510.04099999999272</v>
      </c>
      <c r="AJ14" s="248">
        <f t="shared" ca="1" si="8"/>
        <v>3359.9590000000071</v>
      </c>
      <c r="AK14" s="248">
        <f t="shared" ca="1" si="9"/>
        <v>1553.9590000000073</v>
      </c>
    </row>
    <row r="15" spans="2:38" ht="15.95" customHeight="1" x14ac:dyDescent="0.25">
      <c r="B15" s="136">
        <v>89</v>
      </c>
      <c r="C15" s="144" t="s">
        <v>1176</v>
      </c>
      <c r="D15" s="186" t="s">
        <v>35</v>
      </c>
      <c r="E15" s="139" t="s">
        <v>42</v>
      </c>
      <c r="F15" s="140" t="s">
        <v>44</v>
      </c>
      <c r="G15" s="140" t="s">
        <v>1076</v>
      </c>
      <c r="H15" s="140" t="s">
        <v>1082</v>
      </c>
      <c r="I15" s="140" t="s">
        <v>459</v>
      </c>
      <c r="J15" s="141" t="s">
        <v>1079</v>
      </c>
      <c r="K15" s="142">
        <v>42005</v>
      </c>
      <c r="L15" s="142">
        <v>42103</v>
      </c>
      <c r="M15" s="134">
        <v>42117</v>
      </c>
      <c r="N15" s="140">
        <v>98</v>
      </c>
      <c r="O15" s="143">
        <v>2200</v>
      </c>
      <c r="P15" s="135" t="s">
        <v>1080</v>
      </c>
      <c r="Q15" s="223" t="s">
        <v>14</v>
      </c>
      <c r="R15" s="223" t="s">
        <v>298</v>
      </c>
      <c r="S15" s="223" t="s">
        <v>44</v>
      </c>
      <c r="T15" s="224" t="str">
        <f t="shared" si="0"/>
        <v>ZU/RT</v>
      </c>
      <c r="U15" s="223" t="str">
        <f t="shared" si="1"/>
        <v>ZU-NW-Prod</v>
      </c>
      <c r="V15" s="223" t="str">
        <f t="array" ref="V15">CONCATENATE(Q15,"-",R15)</f>
        <v>NW-Prod</v>
      </c>
      <c r="W15" s="239">
        <f>IF(ISERROR(VLOOKUP(T15,'15-16_DP_Tables'!$M$2:$V$8,MATCH(V15,INDEX('15-16_DP_Tables'!$M$2:$V$8,1,0),0),0)),0,VLOOKUP(T15,'15-16_DP_Tables'!$M$2:$V$8,MATCH(V15,INDEX('15-16_DP_Tables'!$M$2:$V$8,1,0),0),0))</f>
        <v>99.088549999999998</v>
      </c>
      <c r="X15" s="239">
        <f t="array" ref="X15">IF(ISERROR(VLOOKUP(T15,'15-16_DP_Tables'!$M$12:$V$18,MATCH(V15,INDEX('15-16_DP_Tables'!$M$12:$V$18,1,0),0),0)),0,VLOOKUP(T15,'15-16_DP_Tables'!$M$12:$V$18,MATCH(V15,INDEX('15-16_DP_Tables'!$M$12:$V$18,1,0),0),0))</f>
        <v>53.375</v>
      </c>
      <c r="Y15" s="223" t="str">
        <f t="shared" si="2"/>
        <v>Horizontal</v>
      </c>
      <c r="Z15" s="223">
        <v>5</v>
      </c>
      <c r="AA15" s="249" t="e">
        <f>VLOOKUP(T15,'Planning and Target Times'!$A$74:$L$78,MATCH(E15&amp;"-"&amp;Q15&amp;"-"&amp;Y15&amp;"-"&amp;R15,INDEX('Planning and Target Times'!$A$74:$L$78,1,0),0),0)</f>
        <v>#N/A</v>
      </c>
      <c r="AB15" s="249" t="e">
        <f>VLOOKUP(T15,'Planning and Target Times'!$A$97:$L$101,MATCH(E15&amp;"-"&amp;Q15&amp;"-"&amp;Y15&amp;"-"&amp;R15,INDEX('Planning and Target Times'!$A$97:$L$101,1,0),0),0)</f>
        <v>#N/A</v>
      </c>
      <c r="AC15" s="250">
        <f t="shared" si="4"/>
        <v>22.202363441588357</v>
      </c>
      <c r="AD15" s="250">
        <f t="shared" si="5"/>
        <v>41.217798594847778</v>
      </c>
      <c r="AE15" s="248">
        <f t="shared" si="10"/>
        <v>766.11007975237703</v>
      </c>
      <c r="AF15" s="248">
        <f t="shared" si="3"/>
        <v>10183.889920247622</v>
      </c>
      <c r="AG15" s="248">
        <f t="shared" ca="1" si="6"/>
        <v>3103.8899202476232</v>
      </c>
      <c r="AH15" s="248">
        <f t="shared" ca="1" si="7"/>
        <v>1297.889920247623</v>
      </c>
      <c r="AI15" s="248">
        <f t="shared" si="11"/>
        <v>568.41599999999266</v>
      </c>
      <c r="AJ15" s="248">
        <f t="shared" ca="1" si="8"/>
        <v>3301.5840000000071</v>
      </c>
      <c r="AK15" s="248">
        <f t="shared" ca="1" si="9"/>
        <v>1495.5840000000073</v>
      </c>
    </row>
    <row r="16" spans="2:38" ht="15.95" customHeight="1" x14ac:dyDescent="0.25">
      <c r="B16" s="136">
        <v>109</v>
      </c>
      <c r="C16" s="137" t="s">
        <v>832</v>
      </c>
      <c r="D16" s="184" t="s">
        <v>839</v>
      </c>
      <c r="E16" s="139" t="s">
        <v>11</v>
      </c>
      <c r="F16" s="140" t="s">
        <v>22</v>
      </c>
      <c r="G16" s="140" t="s">
        <v>1076</v>
      </c>
      <c r="H16" s="140" t="s">
        <v>1082</v>
      </c>
      <c r="I16" s="140" t="s">
        <v>1061</v>
      </c>
      <c r="J16" s="141" t="s">
        <v>1079</v>
      </c>
      <c r="K16" s="142">
        <v>42005</v>
      </c>
      <c r="L16" s="142">
        <v>42075</v>
      </c>
      <c r="M16" s="134">
        <v>42089</v>
      </c>
      <c r="N16" s="140">
        <v>70</v>
      </c>
      <c r="O16" s="143">
        <v>1200</v>
      </c>
      <c r="P16" s="135" t="s">
        <v>1080</v>
      </c>
      <c r="Q16" s="223" t="s">
        <v>14</v>
      </c>
      <c r="R16" s="223" t="s">
        <v>298</v>
      </c>
      <c r="S16" s="223" t="s">
        <v>22</v>
      </c>
      <c r="T16" s="224" t="str">
        <f t="shared" si="0"/>
        <v>LB</v>
      </c>
      <c r="U16" s="223" t="str">
        <f t="shared" si="1"/>
        <v>LB-NW-Prod</v>
      </c>
      <c r="V16" s="223" t="str">
        <f t="array" ref="V16">CONCATENATE(Q16,"-",R16)</f>
        <v>NW-Prod</v>
      </c>
      <c r="W16" s="239">
        <f>IF(ISERROR(VLOOKUP(T16,'15-16_DP_Tables'!$M$2:$V$8,MATCH(V16,INDEX('15-16_DP_Tables'!$M$2:$V$8,1,0),0),0)),0,VLOOKUP(T16,'15-16_DP_Tables'!$M$2:$V$8,MATCH(V16,INDEX('15-16_DP_Tables'!$M$2:$V$8,1,0),0),0))</f>
        <v>55.81537142381022</v>
      </c>
      <c r="X16" s="239">
        <f t="array" ref="X16">IF(ISERROR(VLOOKUP(T16,'15-16_DP_Tables'!$M$12:$V$18,MATCH(V16,INDEX('15-16_DP_Tables'!$M$12:$V$18,1,0),0),0)),0,VLOOKUP(T16,'15-16_DP_Tables'!$M$12:$V$18,MATCH(V16,INDEX('15-16_DP_Tables'!$M$12:$V$18,1,0),0),0))</f>
        <v>45.207999999999998</v>
      </c>
      <c r="Y16" s="223" t="str">
        <f t="shared" si="2"/>
        <v>Unknown</v>
      </c>
      <c r="Z16" s="223">
        <v>5</v>
      </c>
      <c r="AA16" s="249" t="e">
        <f>VLOOKUP(T16,'Planning and Target Times'!$A$74:$L$78,MATCH(E16&amp;"-"&amp;Q16&amp;"-"&amp;Y16&amp;"-"&amp;R16,INDEX('Planning and Target Times'!$A$74:$L$78,1,0),0),0)</f>
        <v>#N/A</v>
      </c>
      <c r="AB16" s="249" t="e">
        <f>VLOOKUP(T16,'Planning and Target Times'!$A$97:$L$101,MATCH(E16&amp;"-"&amp;Q16&amp;"-"&amp;Y16&amp;"-"&amp;R16,INDEX('Planning and Target Times'!$A$97:$L$101,1,0),0),0)</f>
        <v>#N/A</v>
      </c>
      <c r="AC16" s="250">
        <f t="shared" si="4"/>
        <v>21.499453813328802</v>
      </c>
      <c r="AD16" s="250">
        <f t="shared" si="5"/>
        <v>26.543974517784463</v>
      </c>
      <c r="AE16" s="248">
        <f t="shared" si="10"/>
        <v>826.92545117618727</v>
      </c>
      <c r="AF16" s="248">
        <f t="shared" si="3"/>
        <v>10123.074548823814</v>
      </c>
      <c r="AG16" s="248">
        <f t="shared" ca="1" si="6"/>
        <v>3043.0745488238126</v>
      </c>
      <c r="AH16" s="248">
        <f t="shared" ca="1" si="7"/>
        <v>1237.0745488238126</v>
      </c>
      <c r="AI16" s="248">
        <f t="shared" si="11"/>
        <v>618.62399999999263</v>
      </c>
      <c r="AJ16" s="248">
        <f t="shared" ca="1" si="8"/>
        <v>3251.3760000000075</v>
      </c>
      <c r="AK16" s="248">
        <f t="shared" ca="1" si="9"/>
        <v>1445.3760000000075</v>
      </c>
    </row>
    <row r="17" spans="2:37" ht="15.95" customHeight="1" x14ac:dyDescent="0.25">
      <c r="B17" s="136">
        <v>117</v>
      </c>
      <c r="C17" s="137" t="s">
        <v>1203</v>
      </c>
      <c r="D17" s="165" t="s">
        <v>838</v>
      </c>
      <c r="E17" s="139" t="s">
        <v>42</v>
      </c>
      <c r="F17" s="140" t="s">
        <v>22</v>
      </c>
      <c r="G17" s="132" t="s">
        <v>1076</v>
      </c>
      <c r="H17" s="132" t="s">
        <v>1082</v>
      </c>
      <c r="I17" s="132" t="s">
        <v>1061</v>
      </c>
      <c r="J17" s="133" t="s">
        <v>1079</v>
      </c>
      <c r="K17" s="142">
        <v>42005</v>
      </c>
      <c r="L17" s="142">
        <v>42075</v>
      </c>
      <c r="M17" s="134">
        <v>42089</v>
      </c>
      <c r="N17" s="140">
        <v>70</v>
      </c>
      <c r="O17" s="143">
        <v>1800</v>
      </c>
      <c r="P17" s="135" t="s">
        <v>1080</v>
      </c>
      <c r="Q17" s="223" t="s">
        <v>14</v>
      </c>
      <c r="R17" s="223" t="s">
        <v>298</v>
      </c>
      <c r="S17" s="223" t="s">
        <v>22</v>
      </c>
      <c r="T17" s="224" t="str">
        <f t="shared" si="0"/>
        <v>LB</v>
      </c>
      <c r="U17" s="223" t="str">
        <f t="shared" si="1"/>
        <v>LB-NW-Prod</v>
      </c>
      <c r="V17" s="223" t="str">
        <f t="array" ref="V17">CONCATENATE(Q17,"-",R17)</f>
        <v>NW-Prod</v>
      </c>
      <c r="W17" s="239">
        <f>IF(ISERROR(VLOOKUP(T17,'15-16_DP_Tables'!$M$2:$V$8,MATCH(V17,INDEX('15-16_DP_Tables'!$M$2:$V$8,1,0),0),0)),0,VLOOKUP(T17,'15-16_DP_Tables'!$M$2:$V$8,MATCH(V17,INDEX('15-16_DP_Tables'!$M$2:$V$8,1,0),0),0))</f>
        <v>55.81537142381022</v>
      </c>
      <c r="X17" s="239">
        <f t="array" ref="X17">IF(ISERROR(VLOOKUP(T17,'15-16_DP_Tables'!$M$12:$V$18,MATCH(V17,INDEX('15-16_DP_Tables'!$M$12:$V$18,1,0),0),0)),0,VLOOKUP(T17,'15-16_DP_Tables'!$M$12:$V$18,MATCH(V17,INDEX('15-16_DP_Tables'!$M$12:$V$18,1,0),0),0))</f>
        <v>45.207999999999998</v>
      </c>
      <c r="Y17" s="223" t="str">
        <f t="shared" si="2"/>
        <v>Unknown</v>
      </c>
      <c r="Z17" s="223">
        <v>5</v>
      </c>
      <c r="AA17" s="249" t="e">
        <f>VLOOKUP(T17,'Planning and Target Times'!$A$74:$L$78,MATCH(E17&amp;"-"&amp;Q17&amp;"-"&amp;Y17&amp;"-"&amp;R17,INDEX('Planning and Target Times'!$A$74:$L$78,1,0),0),0)</f>
        <v>#N/A</v>
      </c>
      <c r="AB17" s="249" t="e">
        <f>VLOOKUP(T17,'Planning and Target Times'!$A$97:$L$101,MATCH(E17&amp;"-"&amp;Q17&amp;"-"&amp;Y17&amp;"-"&amp;R17,INDEX('Planning and Target Times'!$A$97:$L$101,1,0),0),0)</f>
        <v>#N/A</v>
      </c>
      <c r="AC17" s="250">
        <f t="shared" si="4"/>
        <v>32.249180719993198</v>
      </c>
      <c r="AD17" s="250">
        <f t="shared" si="5"/>
        <v>39.815961776676694</v>
      </c>
      <c r="AE17" s="248">
        <f t="shared" si="10"/>
        <v>887.7408225999975</v>
      </c>
      <c r="AF17" s="248">
        <f t="shared" si="3"/>
        <v>10062.259177400003</v>
      </c>
      <c r="AG17" s="248">
        <f t="shared" ca="1" si="6"/>
        <v>2982.2591774000025</v>
      </c>
      <c r="AH17" s="248">
        <f t="shared" ca="1" si="7"/>
        <v>1176.2591774000025</v>
      </c>
      <c r="AI17" s="248">
        <f t="shared" si="11"/>
        <v>668.8319999999926</v>
      </c>
      <c r="AJ17" s="248">
        <f t="shared" ca="1" si="8"/>
        <v>3201.1680000000074</v>
      </c>
      <c r="AK17" s="248">
        <f t="shared" ca="1" si="9"/>
        <v>1395.1680000000074</v>
      </c>
    </row>
    <row r="18" spans="2:37" ht="15.95" customHeight="1" x14ac:dyDescent="0.25">
      <c r="B18" s="136">
        <v>35</v>
      </c>
      <c r="C18" s="167" t="s">
        <v>1119</v>
      </c>
      <c r="D18" s="165" t="s">
        <v>1116</v>
      </c>
      <c r="E18" s="168" t="s">
        <v>11</v>
      </c>
      <c r="F18" s="140" t="s">
        <v>17</v>
      </c>
      <c r="G18" s="140" t="s">
        <v>1086</v>
      </c>
      <c r="H18" s="140" t="s">
        <v>1077</v>
      </c>
      <c r="I18" s="140" t="s">
        <v>1061</v>
      </c>
      <c r="J18" s="141" t="s">
        <v>1079</v>
      </c>
      <c r="K18" s="142">
        <v>42008</v>
      </c>
      <c r="L18" s="142">
        <v>42078</v>
      </c>
      <c r="M18" s="134">
        <v>42092</v>
      </c>
      <c r="N18" s="140">
        <v>70</v>
      </c>
      <c r="O18" s="143"/>
      <c r="P18" s="135" t="s">
        <v>1080</v>
      </c>
      <c r="Q18" s="223" t="s">
        <v>18</v>
      </c>
      <c r="R18" s="223" t="s">
        <v>34</v>
      </c>
      <c r="S18" s="223" t="s">
        <v>17</v>
      </c>
      <c r="T18" s="224" t="str">
        <f t="shared" si="0"/>
        <v>MA</v>
      </c>
      <c r="U18" s="223" t="str">
        <f t="shared" si="1"/>
        <v>MA-ST-Inj</v>
      </c>
      <c r="V18" s="223" t="str">
        <f t="array" ref="V18">CONCATENATE(Q18,"-",R18)</f>
        <v>ST-Inj</v>
      </c>
      <c r="W18" s="239">
        <f>IF(ISERROR(VLOOKUP(T18,'15-16_DP_Tables'!$M$2:$V$8,MATCH(V18,INDEX('15-16_DP_Tables'!$M$2:$V$8,1,0),0),0)),0,VLOOKUP(T18,'15-16_DP_Tables'!$M$2:$V$8,MATCH(V18,INDEX('15-16_DP_Tables'!$M$2:$V$8,1,0),0),0))</f>
        <v>35.545833099999626</v>
      </c>
      <c r="X18" s="239">
        <f t="array" ref="X18">IF(ISERROR(VLOOKUP(T18,'15-16_DP_Tables'!$M$12:$V$18,MATCH(V18,INDEX('15-16_DP_Tables'!$M$12:$V$18,1,0),0),0)),0,VLOOKUP(T18,'15-16_DP_Tables'!$M$12:$V$18,MATCH(V18,INDEX('15-16_DP_Tables'!$M$12:$V$18,1,0),0),0))</f>
        <v>26.054166533332847</v>
      </c>
      <c r="Y18" s="223" t="str">
        <f t="shared" si="2"/>
        <v>Horizontal</v>
      </c>
      <c r="Z18" s="223">
        <v>5</v>
      </c>
      <c r="AA18" s="249" t="e">
        <f>VLOOKUP(T18,'Planning and Target Times'!$A$74:$L$78,MATCH(E18&amp;"-"&amp;Q18&amp;"-"&amp;Y18&amp;"-"&amp;R18,INDEX('Planning and Target Times'!$A$74:$L$78,1,0),0),0)</f>
        <v>#N/A</v>
      </c>
      <c r="AB18" s="249" t="e">
        <f>VLOOKUP(T18,'Planning and Target Times'!$A$97:$L$101,MATCH(E18&amp;"-"&amp;Q18&amp;"-"&amp;Y18&amp;"-"&amp;R18,INDEX('Planning and Target Times'!$A$97:$L$101,1,0),0),0)</f>
        <v>#N/A</v>
      </c>
      <c r="AC18" s="250">
        <f t="shared" si="4"/>
        <v>0</v>
      </c>
      <c r="AD18" s="250">
        <f t="shared" si="5"/>
        <v>0</v>
      </c>
      <c r="AE18" s="248">
        <f t="shared" si="10"/>
        <v>928.28665569999714</v>
      </c>
      <c r="AF18" s="248">
        <f t="shared" si="3"/>
        <v>10021.713344300002</v>
      </c>
      <c r="AG18" s="248">
        <f t="shared" ca="1" si="6"/>
        <v>2941.713344300003</v>
      </c>
      <c r="AH18" s="248">
        <f t="shared" ca="1" si="7"/>
        <v>1135.713344300003</v>
      </c>
      <c r="AI18" s="248">
        <f t="shared" si="11"/>
        <v>699.88616653332542</v>
      </c>
      <c r="AJ18" s="248">
        <f t="shared" ca="1" si="8"/>
        <v>3170.1138334666748</v>
      </c>
      <c r="AK18" s="248">
        <f t="shared" ca="1" si="9"/>
        <v>1364.1138334666746</v>
      </c>
    </row>
    <row r="19" spans="2:37" ht="15.95" customHeight="1" x14ac:dyDescent="0.25">
      <c r="B19" s="136">
        <v>70</v>
      </c>
      <c r="C19" s="173" t="s">
        <v>1156</v>
      </c>
      <c r="D19" s="182" t="s">
        <v>512</v>
      </c>
      <c r="E19" s="170" t="s">
        <v>11</v>
      </c>
      <c r="F19" s="140" t="s">
        <v>17</v>
      </c>
      <c r="G19" s="140" t="s">
        <v>1086</v>
      </c>
      <c r="H19" s="140" t="s">
        <v>1077</v>
      </c>
      <c r="I19" s="140" t="s">
        <v>1061</v>
      </c>
      <c r="J19" s="141" t="s">
        <v>1079</v>
      </c>
      <c r="K19" s="142">
        <v>42011</v>
      </c>
      <c r="L19" s="142">
        <v>42060</v>
      </c>
      <c r="M19" s="134">
        <v>42074</v>
      </c>
      <c r="N19" s="132">
        <v>49</v>
      </c>
      <c r="O19" s="135"/>
      <c r="P19" s="135" t="s">
        <v>1080</v>
      </c>
      <c r="Q19" s="223" t="s">
        <v>18</v>
      </c>
      <c r="R19" s="223" t="s">
        <v>34</v>
      </c>
      <c r="S19" s="223" t="s">
        <v>17</v>
      </c>
      <c r="T19" s="224" t="str">
        <f t="shared" si="0"/>
        <v>MA</v>
      </c>
      <c r="U19" s="223" t="str">
        <f t="shared" si="1"/>
        <v>MA-ST-Inj</v>
      </c>
      <c r="V19" s="223" t="str">
        <f t="array" ref="V19">CONCATENATE(Q19,"-",R19)</f>
        <v>ST-Inj</v>
      </c>
      <c r="W19" s="239">
        <f>IF(ISERROR(VLOOKUP(T19,'15-16_DP_Tables'!$M$2:$V$8,MATCH(V19,INDEX('15-16_DP_Tables'!$M$2:$V$8,1,0),0),0)),0,VLOOKUP(T19,'15-16_DP_Tables'!$M$2:$V$8,MATCH(V19,INDEX('15-16_DP_Tables'!$M$2:$V$8,1,0),0),0))</f>
        <v>35.545833099999626</v>
      </c>
      <c r="X19" s="239">
        <f t="array" ref="X19">IF(ISERROR(VLOOKUP(T19,'15-16_DP_Tables'!$M$12:$V$18,MATCH(V19,INDEX('15-16_DP_Tables'!$M$12:$V$18,1,0),0),0)),0,VLOOKUP(T19,'15-16_DP_Tables'!$M$12:$V$18,MATCH(V19,INDEX('15-16_DP_Tables'!$M$12:$V$18,1,0),0),0))</f>
        <v>26.054166533332847</v>
      </c>
      <c r="Y19" s="223" t="str">
        <f t="shared" si="2"/>
        <v>Horizontal</v>
      </c>
      <c r="Z19" s="223">
        <v>5</v>
      </c>
      <c r="AA19" s="249" t="e">
        <f>VLOOKUP(T19,'Planning and Target Times'!$A$74:$L$78,MATCH(E19&amp;"-"&amp;Q19&amp;"-"&amp;Y19&amp;"-"&amp;R19,INDEX('Planning and Target Times'!$A$74:$L$78,1,0),0),0)</f>
        <v>#N/A</v>
      </c>
      <c r="AB19" s="249" t="e">
        <f>VLOOKUP(T19,'Planning and Target Times'!$A$97:$L$101,MATCH(E19&amp;"-"&amp;Q19&amp;"-"&amp;Y19&amp;"-"&amp;R19,INDEX('Planning and Target Times'!$A$97:$L$101,1,0),0),0)</f>
        <v>#N/A</v>
      </c>
      <c r="AC19" s="250">
        <f t="shared" si="4"/>
        <v>0</v>
      </c>
      <c r="AD19" s="250">
        <f t="shared" si="5"/>
        <v>0</v>
      </c>
      <c r="AE19" s="248">
        <f t="shared" si="10"/>
        <v>968.83248879999678</v>
      </c>
      <c r="AF19" s="248">
        <f t="shared" si="3"/>
        <v>9981.167511200003</v>
      </c>
      <c r="AG19" s="248">
        <f t="shared" ca="1" si="6"/>
        <v>2901.167511200003</v>
      </c>
      <c r="AH19" s="248">
        <f t="shared" ca="1" si="7"/>
        <v>1095.1675112000032</v>
      </c>
      <c r="AI19" s="248">
        <f t="shared" si="11"/>
        <v>730.94033306665824</v>
      </c>
      <c r="AJ19" s="248">
        <f t="shared" ca="1" si="8"/>
        <v>3139.0596669333418</v>
      </c>
      <c r="AK19" s="248">
        <f t="shared" ca="1" si="9"/>
        <v>1333.0596669333418</v>
      </c>
    </row>
    <row r="20" spans="2:37" ht="15.95" customHeight="1" x14ac:dyDescent="0.25">
      <c r="B20" s="136">
        <v>95</v>
      </c>
      <c r="C20" s="137" t="s">
        <v>1181</v>
      </c>
      <c r="D20" s="147" t="s">
        <v>734</v>
      </c>
      <c r="E20" s="139" t="s">
        <v>42</v>
      </c>
      <c r="F20" s="140" t="s">
        <v>17</v>
      </c>
      <c r="G20" s="140" t="s">
        <v>1076</v>
      </c>
      <c r="H20" s="140" t="s">
        <v>1077</v>
      </c>
      <c r="I20" s="140" t="s">
        <v>1061</v>
      </c>
      <c r="J20" s="141" t="s">
        <v>1079</v>
      </c>
      <c r="K20" s="142">
        <v>42016</v>
      </c>
      <c r="L20" s="142">
        <v>42072</v>
      </c>
      <c r="M20" s="134">
        <v>42086</v>
      </c>
      <c r="N20" s="140">
        <v>56</v>
      </c>
      <c r="O20" s="143">
        <v>1200</v>
      </c>
      <c r="P20" s="135" t="s">
        <v>1080</v>
      </c>
      <c r="Q20" s="223" t="s">
        <v>18</v>
      </c>
      <c r="R20" s="223" t="s">
        <v>298</v>
      </c>
      <c r="S20" s="223" t="s">
        <v>17</v>
      </c>
      <c r="T20" s="224" t="str">
        <f t="shared" si="0"/>
        <v>MA</v>
      </c>
      <c r="U20" s="223" t="str">
        <f t="shared" si="1"/>
        <v>MA-ST-Prod</v>
      </c>
      <c r="V20" s="223" t="str">
        <f t="array" ref="V20">CONCATENATE(Q20,"-",R20)</f>
        <v>ST-Prod</v>
      </c>
      <c r="W20" s="239">
        <f>IF(ISERROR(VLOOKUP(T20,'15-16_DP_Tables'!$M$2:$V$8,MATCH(V20,INDEX('15-16_DP_Tables'!$M$2:$V$8,1,0),0),0)),0,VLOOKUP(T20,'15-16_DP_Tables'!$M$2:$V$8,MATCH(V20,INDEX('15-16_DP_Tables'!$M$2:$V$8,1,0),0),0))</f>
        <v>47.881547142856107</v>
      </c>
      <c r="X20" s="239">
        <f t="array" ref="X20">IF(ISERROR(VLOOKUP(T20,'15-16_DP_Tables'!$M$12:$V$18,MATCH(V20,INDEX('15-16_DP_Tables'!$M$12:$V$18,1,0),0),0)),0,VLOOKUP(T20,'15-16_DP_Tables'!$M$12:$V$18,MATCH(V20,INDEX('15-16_DP_Tables'!$M$12:$V$18,1,0),0),0))</f>
        <v>41.770833333332121</v>
      </c>
      <c r="Y20" s="223" t="str">
        <f t="shared" si="2"/>
        <v>Horizontal</v>
      </c>
      <c r="Z20" s="223">
        <v>5</v>
      </c>
      <c r="AA20" s="249" t="e">
        <f>VLOOKUP(T20,'Planning and Target Times'!$A$74:$L$78,MATCH(E20&amp;"-"&amp;Q20&amp;"-"&amp;Y20&amp;"-"&amp;R20,INDEX('Planning and Target Times'!$A$74:$L$78,1,0),0),0)</f>
        <v>#N/A</v>
      </c>
      <c r="AB20" s="249" t="e">
        <f>VLOOKUP(T20,'Planning and Target Times'!$A$97:$L$101,MATCH(E20&amp;"-"&amp;Q20&amp;"-"&amp;Y20&amp;"-"&amp;R20,INDEX('Planning and Target Times'!$A$97:$L$101,1,0),0),0)</f>
        <v>#N/A</v>
      </c>
      <c r="AC20" s="250">
        <f t="shared" si="4"/>
        <v>25.061846820023632</v>
      </c>
      <c r="AD20" s="250">
        <f t="shared" si="5"/>
        <v>28.728179551123027</v>
      </c>
      <c r="AE20" s="248">
        <f t="shared" si="10"/>
        <v>1021.7140359428529</v>
      </c>
      <c r="AF20" s="248">
        <f t="shared" si="3"/>
        <v>9928.2859640571478</v>
      </c>
      <c r="AG20" s="248">
        <f t="shared" ca="1" si="6"/>
        <v>2848.2859640571469</v>
      </c>
      <c r="AH20" s="248">
        <f t="shared" ca="1" si="7"/>
        <v>1042.2859640571471</v>
      </c>
      <c r="AI20" s="248">
        <f t="shared" si="11"/>
        <v>777.71116639999036</v>
      </c>
      <c r="AJ20" s="248">
        <f t="shared" ca="1" si="8"/>
        <v>3092.2888336000096</v>
      </c>
      <c r="AK20" s="248">
        <f t="shared" ca="1" si="9"/>
        <v>1286.2888336000096</v>
      </c>
    </row>
    <row r="21" spans="2:37" ht="15.95" customHeight="1" x14ac:dyDescent="0.25">
      <c r="B21" s="136">
        <v>102</v>
      </c>
      <c r="C21" s="173" t="s">
        <v>1188</v>
      </c>
      <c r="D21" s="157" t="s">
        <v>735</v>
      </c>
      <c r="E21" s="170" t="s">
        <v>11</v>
      </c>
      <c r="F21" s="140" t="s">
        <v>17</v>
      </c>
      <c r="G21" s="140" t="s">
        <v>1086</v>
      </c>
      <c r="H21" s="140" t="s">
        <v>1077</v>
      </c>
      <c r="I21" s="140" t="s">
        <v>1061</v>
      </c>
      <c r="J21" s="141" t="s">
        <v>1079</v>
      </c>
      <c r="K21" s="142">
        <v>42019</v>
      </c>
      <c r="L21" s="142">
        <v>42068</v>
      </c>
      <c r="M21" s="134">
        <v>42082</v>
      </c>
      <c r="N21" s="140">
        <v>49</v>
      </c>
      <c r="O21" s="143"/>
      <c r="P21" s="135" t="s">
        <v>1080</v>
      </c>
      <c r="Q21" s="223" t="s">
        <v>18</v>
      </c>
      <c r="R21" s="223" t="s">
        <v>34</v>
      </c>
      <c r="S21" s="223" t="s">
        <v>17</v>
      </c>
      <c r="T21" s="224" t="str">
        <f t="shared" si="0"/>
        <v>MA</v>
      </c>
      <c r="U21" s="223" t="str">
        <f t="shared" si="1"/>
        <v>MA-ST-Inj</v>
      </c>
      <c r="V21" s="223" t="str">
        <f t="array" ref="V21">CONCATENATE(Q21,"-",R21)</f>
        <v>ST-Inj</v>
      </c>
      <c r="W21" s="239">
        <f>IF(ISERROR(VLOOKUP(T21,'15-16_DP_Tables'!$M$2:$V$8,MATCH(V21,INDEX('15-16_DP_Tables'!$M$2:$V$8,1,0),0),0)),0,VLOOKUP(T21,'15-16_DP_Tables'!$M$2:$V$8,MATCH(V21,INDEX('15-16_DP_Tables'!$M$2:$V$8,1,0),0),0))</f>
        <v>35.545833099999626</v>
      </c>
      <c r="X21" s="239">
        <f t="array" ref="X21">IF(ISERROR(VLOOKUP(T21,'15-16_DP_Tables'!$M$12:$V$18,MATCH(V21,INDEX('15-16_DP_Tables'!$M$12:$V$18,1,0),0),0)),0,VLOOKUP(T21,'15-16_DP_Tables'!$M$12:$V$18,MATCH(V21,INDEX('15-16_DP_Tables'!$M$12:$V$18,1,0),0),0))</f>
        <v>26.054166533332847</v>
      </c>
      <c r="Y21" s="223" t="str">
        <f t="shared" si="2"/>
        <v>Horizontal</v>
      </c>
      <c r="Z21" s="223">
        <v>5</v>
      </c>
      <c r="AA21" s="249" t="e">
        <f>VLOOKUP(T21,'Planning and Target Times'!$A$74:$L$78,MATCH(E21&amp;"-"&amp;Q21&amp;"-"&amp;Y21&amp;"-"&amp;R21,INDEX('Planning and Target Times'!$A$74:$L$78,1,0),0),0)</f>
        <v>#N/A</v>
      </c>
      <c r="AB21" s="249" t="e">
        <f>VLOOKUP(T21,'Planning and Target Times'!$A$97:$L$101,MATCH(E21&amp;"-"&amp;Q21&amp;"-"&amp;Y21&amp;"-"&amp;R21,INDEX('Planning and Target Times'!$A$97:$L$101,1,0),0),0)</f>
        <v>#N/A</v>
      </c>
      <c r="AC21" s="250">
        <f t="shared" si="4"/>
        <v>0</v>
      </c>
      <c r="AD21" s="250">
        <f t="shared" si="5"/>
        <v>0</v>
      </c>
      <c r="AE21" s="248">
        <f t="shared" si="10"/>
        <v>1062.2598690428524</v>
      </c>
      <c r="AF21" s="248">
        <f t="shared" si="3"/>
        <v>9887.7401309571469</v>
      </c>
      <c r="AG21" s="248">
        <f t="shared" ca="1" si="6"/>
        <v>2807.7401309571478</v>
      </c>
      <c r="AH21" s="248">
        <f t="shared" ca="1" si="7"/>
        <v>1001.7401309571476</v>
      </c>
      <c r="AI21" s="248">
        <f t="shared" si="11"/>
        <v>808.76533293332318</v>
      </c>
      <c r="AJ21" s="248">
        <f t="shared" ca="1" si="8"/>
        <v>3061.2346670666766</v>
      </c>
      <c r="AK21" s="248">
        <f t="shared" ca="1" si="9"/>
        <v>1255.2346670666768</v>
      </c>
    </row>
    <row r="22" spans="2:37" ht="15.95" customHeight="1" x14ac:dyDescent="0.25">
      <c r="B22" s="136">
        <v>55</v>
      </c>
      <c r="C22" s="151" t="s">
        <v>1141</v>
      </c>
      <c r="D22" s="178" t="s">
        <v>1137</v>
      </c>
      <c r="E22" s="150" t="s">
        <v>11</v>
      </c>
      <c r="F22" s="140" t="s">
        <v>17</v>
      </c>
      <c r="G22" s="132" t="s">
        <v>1076</v>
      </c>
      <c r="H22" s="132" t="s">
        <v>1082</v>
      </c>
      <c r="I22" s="132" t="s">
        <v>459</v>
      </c>
      <c r="J22" s="133" t="s">
        <v>1079</v>
      </c>
      <c r="K22" s="142">
        <v>42025</v>
      </c>
      <c r="L22" s="142">
        <v>42095</v>
      </c>
      <c r="M22" s="134">
        <v>42109</v>
      </c>
      <c r="N22" s="140">
        <v>70</v>
      </c>
      <c r="O22" s="143">
        <v>1400</v>
      </c>
      <c r="P22" s="135" t="s">
        <v>1080</v>
      </c>
      <c r="Q22" s="223" t="s">
        <v>14</v>
      </c>
      <c r="R22" s="223" t="s">
        <v>298</v>
      </c>
      <c r="S22" s="223" t="s">
        <v>17</v>
      </c>
      <c r="T22" s="224" t="str">
        <f t="shared" si="0"/>
        <v>MA</v>
      </c>
      <c r="U22" s="223" t="str">
        <f t="shared" si="1"/>
        <v>MA-NW-Prod</v>
      </c>
      <c r="V22" s="223" t="str">
        <f t="array" ref="V22">CONCATENATE(Q22,"-",R22)</f>
        <v>NW-Prod</v>
      </c>
      <c r="W22" s="239">
        <f>IF(ISERROR(VLOOKUP(T22,'15-16_DP_Tables'!$M$2:$V$8,MATCH(V22,INDEX('15-16_DP_Tables'!$M$2:$V$8,1,0),0),0)),0,VLOOKUP(T22,'15-16_DP_Tables'!$M$2:$V$8,MATCH(V22,INDEX('15-16_DP_Tables'!$M$2:$V$8,1,0),0),0))</f>
        <v>57.083333333332121</v>
      </c>
      <c r="X22" s="239">
        <f t="array" ref="X22">IF(ISERROR(VLOOKUP(T22,'15-16_DP_Tables'!$M$12:$V$18,MATCH(V22,INDEX('15-16_DP_Tables'!$M$12:$V$18,1,0),0),0)),0,VLOOKUP(T22,'15-16_DP_Tables'!$M$12:$V$18,MATCH(V22,INDEX('15-16_DP_Tables'!$M$12:$V$18,1,0),0),0))</f>
        <v>47.791666666664241</v>
      </c>
      <c r="Y22" s="223" t="str">
        <f t="shared" si="2"/>
        <v>Horizontal</v>
      </c>
      <c r="Z22" s="223">
        <v>5</v>
      </c>
      <c r="AA22" s="249" t="e">
        <f>VLOOKUP(T22,'Planning and Target Times'!$A$74:$L$78,MATCH(E22&amp;"-"&amp;Q22&amp;"-"&amp;Y22&amp;"-"&amp;R22,INDEX('Planning and Target Times'!$A$74:$L$78,1,0),0),0)</f>
        <v>#N/A</v>
      </c>
      <c r="AB22" s="249" t="e">
        <f>VLOOKUP(T22,'Planning and Target Times'!$A$97:$L$101,MATCH(E22&amp;"-"&amp;Q22&amp;"-"&amp;Y22&amp;"-"&amp;R22,INDEX('Planning and Target Times'!$A$97:$L$101,1,0),0),0)</f>
        <v>#N/A</v>
      </c>
      <c r="AC22" s="250">
        <f t="shared" si="4"/>
        <v>24.525547445255995</v>
      </c>
      <c r="AD22" s="250">
        <f t="shared" si="5"/>
        <v>29.293809938972714</v>
      </c>
      <c r="AE22" s="248">
        <f t="shared" si="10"/>
        <v>1124.3432023761845</v>
      </c>
      <c r="AF22" s="248">
        <f t="shared" si="3"/>
        <v>9825.6567976238148</v>
      </c>
      <c r="AG22" s="248">
        <f t="shared" ca="1" si="6"/>
        <v>2745.6567976238157</v>
      </c>
      <c r="AH22" s="248">
        <f t="shared" ca="1" si="7"/>
        <v>939.65679762381546</v>
      </c>
      <c r="AI22" s="248">
        <f t="shared" si="11"/>
        <v>861.55699959998742</v>
      </c>
      <c r="AJ22" s="248">
        <f t="shared" ca="1" si="8"/>
        <v>3008.4430004000124</v>
      </c>
      <c r="AK22" s="248">
        <f t="shared" ca="1" si="9"/>
        <v>1202.4430004000126</v>
      </c>
    </row>
    <row r="23" spans="2:37" ht="15.95" customHeight="1" x14ac:dyDescent="0.25">
      <c r="B23" s="136">
        <v>77</v>
      </c>
      <c r="C23" s="149" t="s">
        <v>1163</v>
      </c>
      <c r="D23" s="184" t="s">
        <v>511</v>
      </c>
      <c r="E23" s="150" t="s">
        <v>11</v>
      </c>
      <c r="F23" s="140" t="s">
        <v>17</v>
      </c>
      <c r="G23" s="132" t="s">
        <v>1086</v>
      </c>
      <c r="H23" s="132" t="s">
        <v>1077</v>
      </c>
      <c r="I23" s="132" t="s">
        <v>459</v>
      </c>
      <c r="J23" s="133" t="s">
        <v>1079</v>
      </c>
      <c r="K23" s="142">
        <v>42026</v>
      </c>
      <c r="L23" s="134">
        <v>42075</v>
      </c>
      <c r="M23" s="134">
        <v>42089</v>
      </c>
      <c r="N23" s="132">
        <v>49</v>
      </c>
      <c r="O23" s="135"/>
      <c r="P23" s="135" t="s">
        <v>1080</v>
      </c>
      <c r="Q23" s="223" t="s">
        <v>18</v>
      </c>
      <c r="R23" s="223" t="s">
        <v>34</v>
      </c>
      <c r="S23" s="223" t="s">
        <v>17</v>
      </c>
      <c r="T23" s="224" t="str">
        <f t="shared" si="0"/>
        <v>MA</v>
      </c>
      <c r="U23" s="223" t="str">
        <f t="shared" si="1"/>
        <v>MA-ST-Inj</v>
      </c>
      <c r="V23" s="223" t="str">
        <f t="array" ref="V23">CONCATENATE(Q23,"-",R23)</f>
        <v>ST-Inj</v>
      </c>
      <c r="W23" s="239">
        <f>IF(ISERROR(VLOOKUP(T23,'15-16_DP_Tables'!$M$2:$V$8,MATCH(V23,INDEX('15-16_DP_Tables'!$M$2:$V$8,1,0),0),0)),0,VLOOKUP(T23,'15-16_DP_Tables'!$M$2:$V$8,MATCH(V23,INDEX('15-16_DP_Tables'!$M$2:$V$8,1,0),0),0))</f>
        <v>35.545833099999626</v>
      </c>
      <c r="X23" s="239">
        <f t="array" ref="X23">IF(ISERROR(VLOOKUP(T23,'15-16_DP_Tables'!$M$12:$V$18,MATCH(V23,INDEX('15-16_DP_Tables'!$M$12:$V$18,1,0),0),0)),0,VLOOKUP(T23,'15-16_DP_Tables'!$M$12:$V$18,MATCH(V23,INDEX('15-16_DP_Tables'!$M$12:$V$18,1,0),0),0))</f>
        <v>26.054166533332847</v>
      </c>
      <c r="Y23" s="223" t="str">
        <f t="shared" si="2"/>
        <v>Horizontal</v>
      </c>
      <c r="Z23" s="223">
        <v>5</v>
      </c>
      <c r="AA23" s="249" t="e">
        <f>VLOOKUP(T23,'Planning and Target Times'!$A$74:$L$78,MATCH(E23&amp;"-"&amp;Q23&amp;"-"&amp;Y23&amp;"-"&amp;R23,INDEX('Planning and Target Times'!$A$74:$L$78,1,0),0),0)</f>
        <v>#N/A</v>
      </c>
      <c r="AB23" s="249" t="e">
        <f>VLOOKUP(T23,'Planning and Target Times'!$A$97:$L$101,MATCH(E23&amp;"-"&amp;Q23&amp;"-"&amp;Y23&amp;"-"&amp;R23,INDEX('Planning and Target Times'!$A$97:$L$101,1,0),0),0)</f>
        <v>#N/A</v>
      </c>
      <c r="AC23" s="250">
        <f t="shared" si="4"/>
        <v>0</v>
      </c>
      <c r="AD23" s="250">
        <f t="shared" si="5"/>
        <v>0</v>
      </c>
      <c r="AE23" s="248">
        <f t="shared" si="10"/>
        <v>1164.8890354761841</v>
      </c>
      <c r="AF23" s="248">
        <f t="shared" si="3"/>
        <v>9785.1109645238157</v>
      </c>
      <c r="AG23" s="248">
        <f t="shared" ca="1" si="6"/>
        <v>2705.1109645238157</v>
      </c>
      <c r="AH23" s="248">
        <f t="shared" ca="1" si="7"/>
        <v>899.11096452381594</v>
      </c>
      <c r="AI23" s="248">
        <f t="shared" si="11"/>
        <v>892.61116613332024</v>
      </c>
      <c r="AJ23" s="248">
        <f t="shared" ca="1" si="8"/>
        <v>2977.3888338666798</v>
      </c>
      <c r="AK23" s="248">
        <f t="shared" ca="1" si="9"/>
        <v>1171.3888338666798</v>
      </c>
    </row>
    <row r="24" spans="2:37" ht="15.95" customHeight="1" x14ac:dyDescent="0.25">
      <c r="B24" s="136">
        <v>27</v>
      </c>
      <c r="C24" s="162" t="s">
        <v>1110</v>
      </c>
      <c r="D24" s="157" t="s">
        <v>1107</v>
      </c>
      <c r="E24" s="155" t="s">
        <v>42</v>
      </c>
      <c r="F24" s="140" t="s">
        <v>17</v>
      </c>
      <c r="G24" s="140" t="s">
        <v>1086</v>
      </c>
      <c r="H24" s="140" t="s">
        <v>1077</v>
      </c>
      <c r="I24" s="140" t="s">
        <v>459</v>
      </c>
      <c r="J24" s="141" t="s">
        <v>1079</v>
      </c>
      <c r="K24" s="142">
        <v>42030</v>
      </c>
      <c r="L24" s="142">
        <v>42079</v>
      </c>
      <c r="M24" s="134">
        <v>42093</v>
      </c>
      <c r="N24" s="132">
        <v>49</v>
      </c>
      <c r="O24" s="135"/>
      <c r="P24" s="135" t="s">
        <v>1080</v>
      </c>
      <c r="Q24" s="223" t="s">
        <v>18</v>
      </c>
      <c r="R24" s="223" t="s">
        <v>34</v>
      </c>
      <c r="S24" s="223" t="s">
        <v>17</v>
      </c>
      <c r="T24" s="224" t="str">
        <f t="shared" si="0"/>
        <v>MA</v>
      </c>
      <c r="U24" s="223" t="str">
        <f t="shared" si="1"/>
        <v>MA-ST-Inj</v>
      </c>
      <c r="V24" s="223" t="str">
        <f t="array" ref="V24">CONCATENATE(Q24,"-",R24)</f>
        <v>ST-Inj</v>
      </c>
      <c r="W24" s="239">
        <f>IF(ISERROR(VLOOKUP(T24,'15-16_DP_Tables'!$M$2:$V$8,MATCH(V24,INDEX('15-16_DP_Tables'!$M$2:$V$8,1,0),0),0)),0,VLOOKUP(T24,'15-16_DP_Tables'!$M$2:$V$8,MATCH(V24,INDEX('15-16_DP_Tables'!$M$2:$V$8,1,0),0),0))</f>
        <v>35.545833099999626</v>
      </c>
      <c r="X24" s="239">
        <f t="array" ref="X24">IF(ISERROR(VLOOKUP(T24,'15-16_DP_Tables'!$M$12:$V$18,MATCH(V24,INDEX('15-16_DP_Tables'!$M$12:$V$18,1,0),0),0)),0,VLOOKUP(T24,'15-16_DP_Tables'!$M$12:$V$18,MATCH(V24,INDEX('15-16_DP_Tables'!$M$12:$V$18,1,0),0),0))</f>
        <v>26.054166533332847</v>
      </c>
      <c r="Y24" s="223" t="str">
        <f t="shared" si="2"/>
        <v>Horizontal</v>
      </c>
      <c r="Z24" s="223">
        <v>5</v>
      </c>
      <c r="AA24" s="249" t="e">
        <f>VLOOKUP(T24,'Planning and Target Times'!$A$74:$L$78,MATCH(E24&amp;"-"&amp;Q24&amp;"-"&amp;Y24&amp;"-"&amp;R24,INDEX('Planning and Target Times'!$A$74:$L$78,1,0),0),0)</f>
        <v>#N/A</v>
      </c>
      <c r="AB24" s="249" t="e">
        <f>VLOOKUP(T24,'Planning and Target Times'!$A$97:$L$101,MATCH(E24&amp;"-"&amp;Q24&amp;"-"&amp;Y24&amp;"-"&amp;R24,INDEX('Planning and Target Times'!$A$97:$L$101,1,0),0),0)</f>
        <v>#N/A</v>
      </c>
      <c r="AC24" s="250">
        <f t="shared" si="4"/>
        <v>0</v>
      </c>
      <c r="AD24" s="250">
        <f t="shared" si="5"/>
        <v>0</v>
      </c>
      <c r="AE24" s="248">
        <f t="shared" si="10"/>
        <v>1205.4348685761836</v>
      </c>
      <c r="AF24" s="248">
        <f t="shared" si="3"/>
        <v>9744.5651314238166</v>
      </c>
      <c r="AG24" s="248">
        <f t="shared" ca="1" si="6"/>
        <v>2664.5651314238166</v>
      </c>
      <c r="AH24" s="248">
        <f t="shared" ca="1" si="7"/>
        <v>858.56513142381641</v>
      </c>
      <c r="AI24" s="248">
        <f t="shared" si="11"/>
        <v>923.66533266665306</v>
      </c>
      <c r="AJ24" s="248">
        <f t="shared" ca="1" si="8"/>
        <v>2946.3346673333472</v>
      </c>
      <c r="AK24" s="248">
        <f t="shared" ca="1" si="9"/>
        <v>1140.3346673333469</v>
      </c>
    </row>
    <row r="25" spans="2:37" ht="15.95" customHeight="1" x14ac:dyDescent="0.25">
      <c r="B25" s="136">
        <v>21</v>
      </c>
      <c r="C25" s="137" t="s">
        <v>1103</v>
      </c>
      <c r="D25" s="156" t="s">
        <v>12</v>
      </c>
      <c r="E25" s="139" t="s">
        <v>42</v>
      </c>
      <c r="F25" s="140" t="s">
        <v>17</v>
      </c>
      <c r="G25" s="140" t="s">
        <v>1076</v>
      </c>
      <c r="H25" s="140" t="s">
        <v>1077</v>
      </c>
      <c r="I25" s="140" t="s">
        <v>1061</v>
      </c>
      <c r="J25" s="141" t="s">
        <v>1079</v>
      </c>
      <c r="K25" s="142">
        <v>42032</v>
      </c>
      <c r="L25" s="142">
        <v>42088</v>
      </c>
      <c r="M25" s="134">
        <v>42102</v>
      </c>
      <c r="N25" s="140">
        <v>56</v>
      </c>
      <c r="O25" s="143">
        <v>1200</v>
      </c>
      <c r="P25" s="135" t="s">
        <v>1080</v>
      </c>
      <c r="Q25" s="223" t="s">
        <v>18</v>
      </c>
      <c r="R25" s="223" t="s">
        <v>298</v>
      </c>
      <c r="S25" s="223" t="s">
        <v>17</v>
      </c>
      <c r="T25" s="224" t="str">
        <f t="shared" si="0"/>
        <v>MA</v>
      </c>
      <c r="U25" s="223" t="str">
        <f t="shared" si="1"/>
        <v>MA-ST-Prod</v>
      </c>
      <c r="V25" s="223" t="str">
        <f t="array" ref="V25">CONCATENATE(Q25,"-",R25)</f>
        <v>ST-Prod</v>
      </c>
      <c r="W25" s="239">
        <f>IF(ISERROR(VLOOKUP(T25,'15-16_DP_Tables'!$M$2:$V$8,MATCH(V25,INDEX('15-16_DP_Tables'!$M$2:$V$8,1,0),0),0)),0,VLOOKUP(T25,'15-16_DP_Tables'!$M$2:$V$8,MATCH(V25,INDEX('15-16_DP_Tables'!$M$2:$V$8,1,0),0),0))</f>
        <v>47.881547142856107</v>
      </c>
      <c r="X25" s="239">
        <f t="array" ref="X25">IF(ISERROR(VLOOKUP(T25,'15-16_DP_Tables'!$M$12:$V$18,MATCH(V25,INDEX('15-16_DP_Tables'!$M$12:$V$18,1,0),0),0)),0,VLOOKUP(T25,'15-16_DP_Tables'!$M$12:$V$18,MATCH(V25,INDEX('15-16_DP_Tables'!$M$12:$V$18,1,0),0),0))</f>
        <v>41.770833333332121</v>
      </c>
      <c r="Y25" s="223" t="str">
        <f t="shared" si="2"/>
        <v>Horizontal</v>
      </c>
      <c r="Z25" s="223">
        <v>5</v>
      </c>
      <c r="AA25" s="249" t="e">
        <f>VLOOKUP(T25,'Planning and Target Times'!$A$74:$L$78,MATCH(E25&amp;"-"&amp;Q25&amp;"-"&amp;Y25&amp;"-"&amp;R25,INDEX('Planning and Target Times'!$A$74:$L$78,1,0),0),0)</f>
        <v>#N/A</v>
      </c>
      <c r="AB25" s="249" t="e">
        <f>VLOOKUP(T25,'Planning and Target Times'!$A$97:$L$101,MATCH(E25&amp;"-"&amp;Q25&amp;"-"&amp;Y25&amp;"-"&amp;R25,INDEX('Planning and Target Times'!$A$97:$L$101,1,0),0),0)</f>
        <v>#N/A</v>
      </c>
      <c r="AC25" s="250">
        <f t="shared" si="4"/>
        <v>25.061846820023632</v>
      </c>
      <c r="AD25" s="250">
        <f t="shared" si="5"/>
        <v>28.728179551123027</v>
      </c>
      <c r="AE25" s="248">
        <f t="shared" si="10"/>
        <v>1258.3164157190397</v>
      </c>
      <c r="AF25" s="248">
        <f t="shared" si="3"/>
        <v>9691.6835842809596</v>
      </c>
      <c r="AG25" s="248">
        <f t="shared" ca="1" si="6"/>
        <v>2611.6835842809605</v>
      </c>
      <c r="AH25" s="248">
        <f t="shared" ca="1" si="7"/>
        <v>805.6835842809603</v>
      </c>
      <c r="AI25" s="248">
        <f t="shared" si="11"/>
        <v>970.43616599998518</v>
      </c>
      <c r="AJ25" s="248">
        <f t="shared" ca="1" si="8"/>
        <v>2899.563834000015</v>
      </c>
      <c r="AK25" s="248">
        <f t="shared" ca="1" si="9"/>
        <v>1093.5638340000148</v>
      </c>
    </row>
    <row r="26" spans="2:37" ht="15.95" customHeight="1" x14ac:dyDescent="0.25">
      <c r="B26" s="136">
        <v>84</v>
      </c>
      <c r="C26" s="144" t="s">
        <v>1170</v>
      </c>
      <c r="D26" s="165" t="s">
        <v>1171</v>
      </c>
      <c r="E26" s="139" t="s">
        <v>42</v>
      </c>
      <c r="F26" s="140" t="s">
        <v>29</v>
      </c>
      <c r="G26" s="140" t="s">
        <v>1076</v>
      </c>
      <c r="H26" s="140" t="s">
        <v>1082</v>
      </c>
      <c r="I26" s="140" t="s">
        <v>459</v>
      </c>
      <c r="J26" s="141" t="s">
        <v>1079</v>
      </c>
      <c r="K26" s="142">
        <v>42036</v>
      </c>
      <c r="L26" s="142">
        <v>42106</v>
      </c>
      <c r="M26" s="134">
        <v>42120</v>
      </c>
      <c r="N26" s="140">
        <v>70</v>
      </c>
      <c r="O26" s="143">
        <v>2000</v>
      </c>
      <c r="P26" s="135" t="s">
        <v>1080</v>
      </c>
      <c r="Q26" s="223" t="s">
        <v>14</v>
      </c>
      <c r="R26" s="223" t="s">
        <v>298</v>
      </c>
      <c r="S26" s="223" t="s">
        <v>29</v>
      </c>
      <c r="T26" s="224" t="str">
        <f t="shared" si="0"/>
        <v>UB</v>
      </c>
      <c r="U26" s="223" t="str">
        <f t="shared" si="1"/>
        <v>UB-NW-Prod</v>
      </c>
      <c r="V26" s="223" t="str">
        <f t="array" ref="V26">CONCATENATE(Q26,"-",R26)</f>
        <v>NW-Prod</v>
      </c>
      <c r="W26" s="239">
        <f>IF(ISERROR(VLOOKUP(T26,'15-16_DP_Tables'!$M$2:$V$8,MATCH(V26,INDEX('15-16_DP_Tables'!$M$2:$V$8,1,0),0),0)),0,VLOOKUP(T26,'15-16_DP_Tables'!$M$2:$V$8,MATCH(V26,INDEX('15-16_DP_Tables'!$M$2:$V$8,1,0),0),0))</f>
        <v>53.604164999999995</v>
      </c>
      <c r="X26" s="239">
        <f t="array" ref="X26">IF(ISERROR(VLOOKUP(T26,'15-16_DP_Tables'!$M$12:$V$18,MATCH(V26,INDEX('15-16_DP_Tables'!$M$12:$V$18,1,0),0),0)),0,VLOOKUP(T26,'15-16_DP_Tables'!$M$12:$V$18,MATCH(V26,INDEX('15-16_DP_Tables'!$M$12:$V$18,1,0),0),0))</f>
        <v>48</v>
      </c>
      <c r="Y26" s="223" t="str">
        <f t="shared" si="2"/>
        <v>Horizontal</v>
      </c>
      <c r="Z26" s="223">
        <v>5</v>
      </c>
      <c r="AA26" s="249" t="e">
        <f>VLOOKUP(T26,'Planning and Target Times'!$A$74:$L$78,MATCH(E26&amp;"-"&amp;Q26&amp;"-"&amp;Y26&amp;"-"&amp;R26,INDEX('Planning and Target Times'!$A$74:$L$78,1,0),0),0)</f>
        <v>#N/A</v>
      </c>
      <c r="AB26" s="249" t="e">
        <f>VLOOKUP(T26,'Planning and Target Times'!$A$97:$L$101,MATCH(E26&amp;"-"&amp;Q26&amp;"-"&amp;Y26&amp;"-"&amp;R26,INDEX('Planning and Target Times'!$A$97:$L$101,1,0),0),0)</f>
        <v>#N/A</v>
      </c>
      <c r="AC26" s="250">
        <f t="shared" si="4"/>
        <v>37.31053361245344</v>
      </c>
      <c r="AD26" s="250">
        <f t="shared" si="5"/>
        <v>41.666666666666664</v>
      </c>
      <c r="AE26" s="248">
        <f t="shared" si="10"/>
        <v>1316.9205807190397</v>
      </c>
      <c r="AF26" s="248">
        <f t="shared" si="3"/>
        <v>9633.0794192809608</v>
      </c>
      <c r="AG26" s="248">
        <f t="shared" ca="1" si="6"/>
        <v>2553.0794192809603</v>
      </c>
      <c r="AH26" s="248">
        <f t="shared" ca="1" si="7"/>
        <v>747.07941928096034</v>
      </c>
      <c r="AI26" s="248">
        <f t="shared" si="11"/>
        <v>1023.4361659999852</v>
      </c>
      <c r="AJ26" s="248">
        <f t="shared" ca="1" si="8"/>
        <v>2846.563834000015</v>
      </c>
      <c r="AK26" s="248">
        <f t="shared" ca="1" si="9"/>
        <v>1040.5638340000148</v>
      </c>
    </row>
    <row r="27" spans="2:37" ht="15.95" customHeight="1" x14ac:dyDescent="0.25">
      <c r="B27" s="136">
        <v>63</v>
      </c>
      <c r="C27" s="181" t="s">
        <v>1149</v>
      </c>
      <c r="D27" s="180" t="s">
        <v>513</v>
      </c>
      <c r="E27" s="170" t="s">
        <v>11</v>
      </c>
      <c r="F27" s="140" t="s">
        <v>17</v>
      </c>
      <c r="G27" s="140" t="s">
        <v>1076</v>
      </c>
      <c r="H27" s="140" t="s">
        <v>1077</v>
      </c>
      <c r="I27" s="140" t="s">
        <v>459</v>
      </c>
      <c r="J27" s="141" t="s">
        <v>1079</v>
      </c>
      <c r="K27" s="142">
        <v>42037</v>
      </c>
      <c r="L27" s="142">
        <v>42093</v>
      </c>
      <c r="M27" s="134">
        <v>42107</v>
      </c>
      <c r="N27" s="140">
        <v>56</v>
      </c>
      <c r="O27" s="143">
        <v>1200</v>
      </c>
      <c r="P27" s="135" t="s">
        <v>1080</v>
      </c>
      <c r="Q27" s="223" t="s">
        <v>18</v>
      </c>
      <c r="R27" s="223" t="s">
        <v>298</v>
      </c>
      <c r="S27" s="223" t="s">
        <v>17</v>
      </c>
      <c r="T27" s="224" t="str">
        <f t="shared" si="0"/>
        <v>MA</v>
      </c>
      <c r="U27" s="223" t="str">
        <f t="shared" si="1"/>
        <v>MA-ST-Prod</v>
      </c>
      <c r="V27" s="223" t="str">
        <f t="array" ref="V27">CONCATENATE(Q27,"-",R27)</f>
        <v>ST-Prod</v>
      </c>
      <c r="W27" s="239">
        <f>IF(ISERROR(VLOOKUP(T27,'15-16_DP_Tables'!$M$2:$V$8,MATCH(V27,INDEX('15-16_DP_Tables'!$M$2:$V$8,1,0),0),0)),0,VLOOKUP(T27,'15-16_DP_Tables'!$M$2:$V$8,MATCH(V27,INDEX('15-16_DP_Tables'!$M$2:$V$8,1,0),0),0))</f>
        <v>47.881547142856107</v>
      </c>
      <c r="X27" s="239">
        <f t="array" ref="X27">IF(ISERROR(VLOOKUP(T27,'15-16_DP_Tables'!$M$12:$V$18,MATCH(V27,INDEX('15-16_DP_Tables'!$M$12:$V$18,1,0),0),0)),0,VLOOKUP(T27,'15-16_DP_Tables'!$M$12:$V$18,MATCH(V27,INDEX('15-16_DP_Tables'!$M$12:$V$18,1,0),0),0))</f>
        <v>41.770833333332121</v>
      </c>
      <c r="Y27" s="223" t="str">
        <f t="shared" si="2"/>
        <v>Horizontal</v>
      </c>
      <c r="Z27" s="223">
        <v>5</v>
      </c>
      <c r="AA27" s="249" t="e">
        <f>VLOOKUP(T27,'Planning and Target Times'!$A$74:$L$78,MATCH(E27&amp;"-"&amp;Q27&amp;"-"&amp;Y27&amp;"-"&amp;R27,INDEX('Planning and Target Times'!$A$74:$L$78,1,0),0),0)</f>
        <v>#N/A</v>
      </c>
      <c r="AB27" s="249" t="e">
        <f>VLOOKUP(T27,'Planning and Target Times'!$A$97:$L$101,MATCH(E27&amp;"-"&amp;Q27&amp;"-"&amp;Y27&amp;"-"&amp;R27,INDEX('Planning and Target Times'!$A$97:$L$101,1,0),0),0)</f>
        <v>#N/A</v>
      </c>
      <c r="AC27" s="250">
        <f t="shared" si="4"/>
        <v>25.061846820023632</v>
      </c>
      <c r="AD27" s="250">
        <f t="shared" si="5"/>
        <v>28.728179551123027</v>
      </c>
      <c r="AE27" s="248">
        <f t="shared" si="10"/>
        <v>1369.8021278618958</v>
      </c>
      <c r="AF27" s="248">
        <f t="shared" si="3"/>
        <v>9580.1978721381038</v>
      </c>
      <c r="AG27" s="248">
        <f t="shared" ca="1" si="6"/>
        <v>2500.1978721381042</v>
      </c>
      <c r="AH27" s="248">
        <f t="shared" ca="1" si="7"/>
        <v>694.19787213810423</v>
      </c>
      <c r="AI27" s="248">
        <f t="shared" si="11"/>
        <v>1070.2069993333173</v>
      </c>
      <c r="AJ27" s="248">
        <f t="shared" ca="1" si="8"/>
        <v>2799.7930006666829</v>
      </c>
      <c r="AK27" s="248">
        <f t="shared" ca="1" si="9"/>
        <v>993.7930006666827</v>
      </c>
    </row>
    <row r="28" spans="2:37" ht="15.95" customHeight="1" x14ac:dyDescent="0.25">
      <c r="B28" s="136">
        <v>10</v>
      </c>
      <c r="C28" s="148" t="s">
        <v>1091</v>
      </c>
      <c r="D28" s="147" t="s">
        <v>430</v>
      </c>
      <c r="E28" s="139" t="s">
        <v>42</v>
      </c>
      <c r="F28" s="140" t="s">
        <v>17</v>
      </c>
      <c r="G28" s="140" t="s">
        <v>1076</v>
      </c>
      <c r="H28" s="140" t="s">
        <v>1077</v>
      </c>
      <c r="I28" s="140" t="s">
        <v>459</v>
      </c>
      <c r="J28" s="141" t="s">
        <v>1079</v>
      </c>
      <c r="K28" s="142">
        <v>42043</v>
      </c>
      <c r="L28" s="142">
        <v>42099</v>
      </c>
      <c r="M28" s="134">
        <v>42113</v>
      </c>
      <c r="N28" s="140">
        <v>56</v>
      </c>
      <c r="O28" s="143">
        <v>1200</v>
      </c>
      <c r="P28" s="135" t="s">
        <v>1080</v>
      </c>
      <c r="Q28" s="223" t="s">
        <v>18</v>
      </c>
      <c r="R28" s="223" t="s">
        <v>298</v>
      </c>
      <c r="S28" s="223" t="s">
        <v>17</v>
      </c>
      <c r="T28" s="224" t="str">
        <f t="shared" si="0"/>
        <v>MA</v>
      </c>
      <c r="U28" s="223" t="str">
        <f t="shared" si="1"/>
        <v>MA-ST-Prod</v>
      </c>
      <c r="V28" s="223" t="str">
        <f t="array" ref="V28">CONCATENATE(Q28,"-",R28)</f>
        <v>ST-Prod</v>
      </c>
      <c r="W28" s="239">
        <f>IF(ISERROR(VLOOKUP(T28,'15-16_DP_Tables'!$M$2:$V$8,MATCH(V28,INDEX('15-16_DP_Tables'!$M$2:$V$8,1,0),0),0)),0,VLOOKUP(T28,'15-16_DP_Tables'!$M$2:$V$8,MATCH(V28,INDEX('15-16_DP_Tables'!$M$2:$V$8,1,0),0),0))</f>
        <v>47.881547142856107</v>
      </c>
      <c r="X28" s="239">
        <f t="array" ref="X28">IF(ISERROR(VLOOKUP(T28,'15-16_DP_Tables'!$M$12:$V$18,MATCH(V28,INDEX('15-16_DP_Tables'!$M$12:$V$18,1,0),0),0)),0,VLOOKUP(T28,'15-16_DP_Tables'!$M$12:$V$18,MATCH(V28,INDEX('15-16_DP_Tables'!$M$12:$V$18,1,0),0),0))</f>
        <v>41.770833333332121</v>
      </c>
      <c r="Y28" s="223" t="str">
        <f t="shared" si="2"/>
        <v>Horizontal</v>
      </c>
      <c r="Z28" s="223">
        <v>5</v>
      </c>
      <c r="AA28" s="249" t="e">
        <f>VLOOKUP(T28,'Planning and Target Times'!$A$74:$L$78,MATCH(E28&amp;"-"&amp;Q28&amp;"-"&amp;Y28&amp;"-"&amp;R28,INDEX('Planning and Target Times'!$A$74:$L$78,1,0),0),0)</f>
        <v>#N/A</v>
      </c>
      <c r="AB28" s="249" t="e">
        <f>VLOOKUP(T28,'Planning and Target Times'!$A$97:$L$101,MATCH(E28&amp;"-"&amp;Q28&amp;"-"&amp;Y28&amp;"-"&amp;R28,INDEX('Planning and Target Times'!$A$97:$L$101,1,0),0),0)</f>
        <v>#N/A</v>
      </c>
      <c r="AC28" s="250">
        <f t="shared" si="4"/>
        <v>25.061846820023632</v>
      </c>
      <c r="AD28" s="250">
        <f t="shared" si="5"/>
        <v>28.728179551123027</v>
      </c>
      <c r="AE28" s="248">
        <f t="shared" si="10"/>
        <v>1422.6836750047519</v>
      </c>
      <c r="AF28" s="248">
        <f t="shared" si="3"/>
        <v>9527.3163249952486</v>
      </c>
      <c r="AG28" s="248">
        <f t="shared" ca="1" si="6"/>
        <v>2447.3163249952481</v>
      </c>
      <c r="AH28" s="248">
        <f t="shared" ca="1" si="7"/>
        <v>641.31632499524812</v>
      </c>
      <c r="AI28" s="248">
        <f t="shared" si="11"/>
        <v>1116.9778326666494</v>
      </c>
      <c r="AJ28" s="248">
        <f t="shared" ca="1" si="8"/>
        <v>2753.0221673333508</v>
      </c>
      <c r="AK28" s="248">
        <f t="shared" ca="1" si="9"/>
        <v>947.02216733335058</v>
      </c>
    </row>
    <row r="29" spans="2:37" ht="15.95" customHeight="1" x14ac:dyDescent="0.25">
      <c r="B29" s="136">
        <v>71</v>
      </c>
      <c r="C29" s="183" t="s">
        <v>1157</v>
      </c>
      <c r="D29" s="182" t="s">
        <v>512</v>
      </c>
      <c r="E29" s="139" t="s">
        <v>11</v>
      </c>
      <c r="F29" s="140" t="s">
        <v>17</v>
      </c>
      <c r="G29" s="140" t="s">
        <v>1076</v>
      </c>
      <c r="H29" s="140" t="s">
        <v>1082</v>
      </c>
      <c r="I29" s="140" t="s">
        <v>459</v>
      </c>
      <c r="J29" s="141" t="s">
        <v>1079</v>
      </c>
      <c r="K29" s="142">
        <v>42060</v>
      </c>
      <c r="L29" s="142">
        <v>42130</v>
      </c>
      <c r="M29" s="134">
        <v>42144</v>
      </c>
      <c r="N29" s="140">
        <v>70</v>
      </c>
      <c r="O29" s="143">
        <v>1400</v>
      </c>
      <c r="P29" s="135" t="s">
        <v>1080</v>
      </c>
      <c r="Q29" s="223" t="s">
        <v>14</v>
      </c>
      <c r="R29" s="223" t="s">
        <v>298</v>
      </c>
      <c r="S29" s="223" t="s">
        <v>17</v>
      </c>
      <c r="T29" s="224" t="str">
        <f t="shared" si="0"/>
        <v>MA</v>
      </c>
      <c r="U29" s="223" t="str">
        <f t="shared" si="1"/>
        <v>MA-NW-Prod</v>
      </c>
      <c r="V29" s="223" t="str">
        <f t="array" ref="V29">CONCATENATE(Q29,"-",R29)</f>
        <v>NW-Prod</v>
      </c>
      <c r="W29" s="239">
        <f>IF(ISERROR(VLOOKUP(T29,'15-16_DP_Tables'!$M$2:$V$8,MATCH(V29,INDEX('15-16_DP_Tables'!$M$2:$V$8,1,0),0),0)),0,VLOOKUP(T29,'15-16_DP_Tables'!$M$2:$V$8,MATCH(V29,INDEX('15-16_DP_Tables'!$M$2:$V$8,1,0),0),0))</f>
        <v>57.083333333332121</v>
      </c>
      <c r="X29" s="239">
        <f t="array" ref="X29">IF(ISERROR(VLOOKUP(T29,'15-16_DP_Tables'!$M$12:$V$18,MATCH(V29,INDEX('15-16_DP_Tables'!$M$12:$V$18,1,0),0),0)),0,VLOOKUP(T29,'15-16_DP_Tables'!$M$12:$V$18,MATCH(V29,INDEX('15-16_DP_Tables'!$M$12:$V$18,1,0),0),0))</f>
        <v>47.791666666664241</v>
      </c>
      <c r="Y29" s="223" t="str">
        <f t="shared" si="2"/>
        <v>Horizontal</v>
      </c>
      <c r="Z29" s="223">
        <v>5</v>
      </c>
      <c r="AA29" s="249" t="e">
        <f>VLOOKUP(T29,'Planning and Target Times'!$A$74:$L$78,MATCH(E29&amp;"-"&amp;Q29&amp;"-"&amp;Y29&amp;"-"&amp;R29,INDEX('Planning and Target Times'!$A$74:$L$78,1,0),0),0)</f>
        <v>#N/A</v>
      </c>
      <c r="AB29" s="249" t="e">
        <f>VLOOKUP(T29,'Planning and Target Times'!$A$97:$L$101,MATCH(E29&amp;"-"&amp;Q29&amp;"-"&amp;Y29&amp;"-"&amp;R29,INDEX('Planning and Target Times'!$A$97:$L$101,1,0),0),0)</f>
        <v>#N/A</v>
      </c>
      <c r="AC29" s="250">
        <f t="shared" si="4"/>
        <v>24.525547445255995</v>
      </c>
      <c r="AD29" s="250">
        <f t="shared" si="5"/>
        <v>29.293809938972714</v>
      </c>
      <c r="AE29" s="248">
        <f t="shared" si="10"/>
        <v>1484.767008338084</v>
      </c>
      <c r="AF29" s="248">
        <f t="shared" si="3"/>
        <v>9465.2329916619165</v>
      </c>
      <c r="AG29" s="248">
        <f t="shared" ca="1" si="6"/>
        <v>2385.232991661916</v>
      </c>
      <c r="AH29" s="248">
        <f t="shared" ca="1" si="7"/>
        <v>579.232991661916</v>
      </c>
      <c r="AI29" s="248">
        <f t="shared" si="11"/>
        <v>1169.7694993333137</v>
      </c>
      <c r="AJ29" s="248">
        <f t="shared" ca="1" si="8"/>
        <v>2700.2305006666866</v>
      </c>
      <c r="AK29" s="248">
        <f t="shared" ca="1" si="9"/>
        <v>894.23050066668634</v>
      </c>
    </row>
    <row r="30" spans="2:37" ht="15.95" customHeight="1" x14ac:dyDescent="0.25">
      <c r="B30" s="136">
        <v>47</v>
      </c>
      <c r="C30" s="144" t="s">
        <v>1131</v>
      </c>
      <c r="D30" s="171" t="s">
        <v>1126</v>
      </c>
      <c r="E30" s="139" t="s">
        <v>11</v>
      </c>
      <c r="F30" s="140" t="s">
        <v>44</v>
      </c>
      <c r="G30" s="132" t="s">
        <v>1076</v>
      </c>
      <c r="H30" s="132" t="s">
        <v>1082</v>
      </c>
      <c r="I30" s="132" t="s">
        <v>459</v>
      </c>
      <c r="J30" s="133" t="s">
        <v>1079</v>
      </c>
      <c r="K30" s="142">
        <v>42066</v>
      </c>
      <c r="L30" s="142">
        <v>42164</v>
      </c>
      <c r="M30" s="134">
        <v>42178</v>
      </c>
      <c r="N30" s="140">
        <v>98</v>
      </c>
      <c r="O30" s="143">
        <v>1200</v>
      </c>
      <c r="P30" s="135" t="s">
        <v>1080</v>
      </c>
      <c r="Q30" s="223" t="s">
        <v>14</v>
      </c>
      <c r="R30" s="223" t="s">
        <v>298</v>
      </c>
      <c r="S30" s="223" t="s">
        <v>44</v>
      </c>
      <c r="T30" s="224" t="str">
        <f t="shared" si="0"/>
        <v>ZU/RT</v>
      </c>
      <c r="U30" s="223" t="str">
        <f t="shared" si="1"/>
        <v>ZU-NW-Prod</v>
      </c>
      <c r="V30" s="223" t="str">
        <f t="array" ref="V30">CONCATENATE(Q30,"-",R30)</f>
        <v>NW-Prod</v>
      </c>
      <c r="W30" s="239">
        <f>IF(ISERROR(VLOOKUP(T30,'15-16_DP_Tables'!$M$2:$V$8,MATCH(V30,INDEX('15-16_DP_Tables'!$M$2:$V$8,1,0),0),0)),0,VLOOKUP(T30,'15-16_DP_Tables'!$M$2:$V$8,MATCH(V30,INDEX('15-16_DP_Tables'!$M$2:$V$8,1,0),0),0))</f>
        <v>99.088549999999998</v>
      </c>
      <c r="X30" s="239">
        <f t="array" ref="X30">IF(ISERROR(VLOOKUP(T30,'15-16_DP_Tables'!$M$12:$V$18,MATCH(V30,INDEX('15-16_DP_Tables'!$M$12:$V$18,1,0),0),0)),0,VLOOKUP(T30,'15-16_DP_Tables'!$M$12:$V$18,MATCH(V30,INDEX('15-16_DP_Tables'!$M$12:$V$18,1,0),0),0))</f>
        <v>53.375</v>
      </c>
      <c r="Y30" s="223" t="str">
        <f t="shared" si="2"/>
        <v>Horizontal</v>
      </c>
      <c r="Z30" s="223">
        <v>5</v>
      </c>
      <c r="AA30" s="249" t="e">
        <f>VLOOKUP(T30,'Planning and Target Times'!$A$74:$L$78,MATCH(E30&amp;"-"&amp;Q30&amp;"-"&amp;Y30&amp;"-"&amp;R30,INDEX('Planning and Target Times'!$A$74:$L$78,1,0),0),0)</f>
        <v>#N/A</v>
      </c>
      <c r="AB30" s="249" t="e">
        <f>VLOOKUP(T30,'Planning and Target Times'!$A$97:$L$101,MATCH(E30&amp;"-"&amp;Q30&amp;"-"&amp;Y30&amp;"-"&amp;R30,INDEX('Planning and Target Times'!$A$97:$L$101,1,0),0),0)</f>
        <v>#N/A</v>
      </c>
      <c r="AC30" s="250">
        <f t="shared" si="4"/>
        <v>12.110380059048195</v>
      </c>
      <c r="AD30" s="250">
        <f t="shared" si="5"/>
        <v>22.482435597189696</v>
      </c>
      <c r="AE30" s="248">
        <f t="shared" si="10"/>
        <v>1588.8555583380839</v>
      </c>
      <c r="AF30" s="248">
        <f t="shared" si="3"/>
        <v>9361.1444416619161</v>
      </c>
      <c r="AG30" s="248">
        <f t="shared" ca="1" si="6"/>
        <v>2281.1444416619161</v>
      </c>
      <c r="AH30" s="248">
        <f t="shared" ca="1" si="7"/>
        <v>475.14444166191606</v>
      </c>
      <c r="AI30" s="248">
        <f t="shared" si="11"/>
        <v>1228.1444993333137</v>
      </c>
      <c r="AJ30" s="248">
        <f t="shared" ca="1" si="8"/>
        <v>2641.8555006666866</v>
      </c>
      <c r="AK30" s="248">
        <f t="shared" ca="1" si="9"/>
        <v>835.85550066668634</v>
      </c>
    </row>
    <row r="31" spans="2:37" ht="15.95" customHeight="1" x14ac:dyDescent="0.25">
      <c r="B31" s="136">
        <v>103</v>
      </c>
      <c r="C31" s="148" t="s">
        <v>1189</v>
      </c>
      <c r="D31" s="157" t="s">
        <v>735</v>
      </c>
      <c r="E31" s="139" t="s">
        <v>42</v>
      </c>
      <c r="F31" s="140" t="s">
        <v>29</v>
      </c>
      <c r="G31" s="132" t="s">
        <v>1076</v>
      </c>
      <c r="H31" s="132" t="s">
        <v>1082</v>
      </c>
      <c r="I31" s="132" t="s">
        <v>459</v>
      </c>
      <c r="J31" s="133" t="s">
        <v>1079</v>
      </c>
      <c r="K31" s="142">
        <v>42068</v>
      </c>
      <c r="L31" s="142">
        <v>42138</v>
      </c>
      <c r="M31" s="134">
        <v>42152</v>
      </c>
      <c r="N31" s="140">
        <v>70</v>
      </c>
      <c r="O31" s="143">
        <v>2000</v>
      </c>
      <c r="P31" s="135" t="s">
        <v>1080</v>
      </c>
      <c r="Q31" s="223" t="s">
        <v>14</v>
      </c>
      <c r="R31" s="223" t="s">
        <v>298</v>
      </c>
      <c r="S31" s="223" t="s">
        <v>29</v>
      </c>
      <c r="T31" s="224" t="str">
        <f t="shared" si="0"/>
        <v>UB</v>
      </c>
      <c r="U31" s="223" t="str">
        <f t="shared" si="1"/>
        <v>UB-NW-Prod</v>
      </c>
      <c r="V31" s="223" t="str">
        <f t="array" ref="V31">CONCATENATE(Q31,"-",R31)</f>
        <v>NW-Prod</v>
      </c>
      <c r="W31" s="239">
        <f>IF(ISERROR(VLOOKUP(T31,'15-16_DP_Tables'!$M$2:$V$8,MATCH(V31,INDEX('15-16_DP_Tables'!$M$2:$V$8,1,0),0),0)),0,VLOOKUP(T31,'15-16_DP_Tables'!$M$2:$V$8,MATCH(V31,INDEX('15-16_DP_Tables'!$M$2:$V$8,1,0),0),0))</f>
        <v>53.604164999999995</v>
      </c>
      <c r="X31" s="239">
        <f t="array" ref="X31">IF(ISERROR(VLOOKUP(T31,'15-16_DP_Tables'!$M$12:$V$18,MATCH(V31,INDEX('15-16_DP_Tables'!$M$12:$V$18,1,0),0),0)),0,VLOOKUP(T31,'15-16_DP_Tables'!$M$12:$V$18,MATCH(V31,INDEX('15-16_DP_Tables'!$M$12:$V$18,1,0),0),0))</f>
        <v>48</v>
      </c>
      <c r="Y31" s="223" t="str">
        <f t="shared" si="2"/>
        <v>Horizontal</v>
      </c>
      <c r="Z31" s="223">
        <v>5</v>
      </c>
      <c r="AA31" s="249" t="e">
        <f>VLOOKUP(T31,'Planning and Target Times'!$A$74:$L$78,MATCH(E31&amp;"-"&amp;Q31&amp;"-"&amp;Y31&amp;"-"&amp;R31,INDEX('Planning and Target Times'!$A$74:$L$78,1,0),0),0)</f>
        <v>#N/A</v>
      </c>
      <c r="AB31" s="249" t="e">
        <f>VLOOKUP(T31,'Planning and Target Times'!$A$97:$L$101,MATCH(E31&amp;"-"&amp;Q31&amp;"-"&amp;Y31&amp;"-"&amp;R31,INDEX('Planning and Target Times'!$A$97:$L$101,1,0),0),0)</f>
        <v>#N/A</v>
      </c>
      <c r="AC31" s="250">
        <f t="shared" si="4"/>
        <v>37.31053361245344</v>
      </c>
      <c r="AD31" s="250">
        <f t="shared" si="5"/>
        <v>41.666666666666664</v>
      </c>
      <c r="AE31" s="248">
        <f t="shared" si="10"/>
        <v>1647.4597233380839</v>
      </c>
      <c r="AF31" s="248">
        <f t="shared" si="3"/>
        <v>9302.5402766619154</v>
      </c>
      <c r="AG31" s="248">
        <f t="shared" ca="1" si="6"/>
        <v>2222.5402766619163</v>
      </c>
      <c r="AH31" s="248">
        <f t="shared" ca="1" si="7"/>
        <v>416.5402766619161</v>
      </c>
      <c r="AI31" s="248">
        <f t="shared" si="11"/>
        <v>1281.1444993333137</v>
      </c>
      <c r="AJ31" s="248">
        <f t="shared" ca="1" si="8"/>
        <v>2588.8555006666866</v>
      </c>
      <c r="AK31" s="248">
        <f t="shared" ca="1" si="9"/>
        <v>782.85550066668634</v>
      </c>
    </row>
    <row r="32" spans="2:37" ht="15.95" customHeight="1" x14ac:dyDescent="0.25">
      <c r="B32" s="136">
        <v>96</v>
      </c>
      <c r="C32" s="179" t="s">
        <v>1182</v>
      </c>
      <c r="D32" s="147" t="s">
        <v>734</v>
      </c>
      <c r="E32" s="187" t="s">
        <v>11</v>
      </c>
      <c r="F32" s="140" t="s">
        <v>17</v>
      </c>
      <c r="G32" s="140" t="s">
        <v>1076</v>
      </c>
      <c r="H32" s="140" t="s">
        <v>1077</v>
      </c>
      <c r="I32" s="140" t="s">
        <v>459</v>
      </c>
      <c r="J32" s="141" t="s">
        <v>1079</v>
      </c>
      <c r="K32" s="142">
        <v>42072</v>
      </c>
      <c r="L32" s="142">
        <v>42128</v>
      </c>
      <c r="M32" s="134">
        <v>42142</v>
      </c>
      <c r="N32" s="140">
        <v>56</v>
      </c>
      <c r="O32" s="143">
        <v>1200</v>
      </c>
      <c r="P32" s="135" t="s">
        <v>1080</v>
      </c>
      <c r="Q32" s="223" t="s">
        <v>18</v>
      </c>
      <c r="R32" s="223" t="s">
        <v>298</v>
      </c>
      <c r="S32" s="223" t="s">
        <v>17</v>
      </c>
      <c r="T32" s="224" t="str">
        <f t="shared" si="0"/>
        <v>MA</v>
      </c>
      <c r="U32" s="223" t="str">
        <f t="shared" si="1"/>
        <v>MA-ST-Prod</v>
      </c>
      <c r="V32" s="223" t="str">
        <f t="array" ref="V32">CONCATENATE(Q32,"-",R32)</f>
        <v>ST-Prod</v>
      </c>
      <c r="W32" s="239">
        <f>IF(ISERROR(VLOOKUP(T32,'15-16_DP_Tables'!$M$2:$V$8,MATCH(V32,INDEX('15-16_DP_Tables'!$M$2:$V$8,1,0),0),0)),0,VLOOKUP(T32,'15-16_DP_Tables'!$M$2:$V$8,MATCH(V32,INDEX('15-16_DP_Tables'!$M$2:$V$8,1,0),0),0))</f>
        <v>47.881547142856107</v>
      </c>
      <c r="X32" s="239">
        <f t="array" ref="X32">IF(ISERROR(VLOOKUP(T32,'15-16_DP_Tables'!$M$12:$V$18,MATCH(V32,INDEX('15-16_DP_Tables'!$M$12:$V$18,1,0),0),0)),0,VLOOKUP(T32,'15-16_DP_Tables'!$M$12:$V$18,MATCH(V32,INDEX('15-16_DP_Tables'!$M$12:$V$18,1,0),0),0))</f>
        <v>41.770833333332121</v>
      </c>
      <c r="Y32" s="223" t="str">
        <f t="shared" si="2"/>
        <v>Horizontal</v>
      </c>
      <c r="Z32" s="223">
        <v>5</v>
      </c>
      <c r="AA32" s="249" t="e">
        <f>VLOOKUP(T32,'Planning and Target Times'!$A$74:$L$78,MATCH(E32&amp;"-"&amp;Q32&amp;"-"&amp;Y32&amp;"-"&amp;R32,INDEX('Planning and Target Times'!$A$74:$L$78,1,0),0),0)</f>
        <v>#N/A</v>
      </c>
      <c r="AB32" s="249" t="e">
        <f>VLOOKUP(T32,'Planning and Target Times'!$A$97:$L$101,MATCH(E32&amp;"-"&amp;Q32&amp;"-"&amp;Y32&amp;"-"&amp;R32,INDEX('Planning and Target Times'!$A$97:$L$101,1,0),0),0)</f>
        <v>#N/A</v>
      </c>
      <c r="AC32" s="250">
        <f t="shared" si="4"/>
        <v>25.061846820023632</v>
      </c>
      <c r="AD32" s="250">
        <f t="shared" si="5"/>
        <v>28.728179551123027</v>
      </c>
      <c r="AE32" s="248">
        <f t="shared" si="10"/>
        <v>1700.34127048094</v>
      </c>
      <c r="AF32" s="248">
        <f t="shared" si="3"/>
        <v>9249.6587295190602</v>
      </c>
      <c r="AG32" s="248">
        <f t="shared" ca="1" si="6"/>
        <v>2169.6587295190602</v>
      </c>
      <c r="AH32" s="248">
        <f t="shared" ca="1" si="7"/>
        <v>363.65872951905999</v>
      </c>
      <c r="AI32" s="248">
        <f t="shared" si="11"/>
        <v>1327.9153326666458</v>
      </c>
      <c r="AJ32" s="248">
        <f t="shared" ca="1" si="8"/>
        <v>2542.0846673333544</v>
      </c>
      <c r="AK32" s="248">
        <f t="shared" ca="1" si="9"/>
        <v>736.08466733335422</v>
      </c>
    </row>
    <row r="33" spans="2:37" ht="15.95" customHeight="1" x14ac:dyDescent="0.25">
      <c r="B33" s="136">
        <v>3</v>
      </c>
      <c r="C33" s="144" t="s">
        <v>1083</v>
      </c>
      <c r="D33" s="138" t="s">
        <v>1075</v>
      </c>
      <c r="E33" s="139" t="s">
        <v>757</v>
      </c>
      <c r="F33" s="140" t="s">
        <v>44</v>
      </c>
      <c r="G33" s="140" t="s">
        <v>1076</v>
      </c>
      <c r="H33" s="140" t="s">
        <v>1082</v>
      </c>
      <c r="I33" s="140" t="s">
        <v>459</v>
      </c>
      <c r="J33" s="141" t="s">
        <v>1079</v>
      </c>
      <c r="K33" s="142">
        <v>42074</v>
      </c>
      <c r="L33" s="142">
        <v>42172</v>
      </c>
      <c r="M33" s="134">
        <v>42186</v>
      </c>
      <c r="N33" s="140">
        <v>98</v>
      </c>
      <c r="O33" s="143"/>
      <c r="P33" s="135" t="s">
        <v>1080</v>
      </c>
      <c r="Q33" s="223" t="s">
        <v>14</v>
      </c>
      <c r="R33" s="223" t="s">
        <v>298</v>
      </c>
      <c r="S33" s="223" t="s">
        <v>44</v>
      </c>
      <c r="T33" s="224" t="str">
        <f t="shared" si="0"/>
        <v>ZU/RT</v>
      </c>
      <c r="U33" s="223" t="str">
        <f t="shared" si="1"/>
        <v>ZU-NW-Prod</v>
      </c>
      <c r="V33" s="223" t="str">
        <f t="array" ref="V33">CONCATENATE(Q33,"-",R33)</f>
        <v>NW-Prod</v>
      </c>
      <c r="W33" s="239">
        <f>IF(ISERROR(VLOOKUP(T33,'15-16_DP_Tables'!$M$2:$V$8,MATCH(V33,INDEX('15-16_DP_Tables'!$M$2:$V$8,1,0),0),0)),0,VLOOKUP(T33,'15-16_DP_Tables'!$M$2:$V$8,MATCH(V33,INDEX('15-16_DP_Tables'!$M$2:$V$8,1,0),0),0))</f>
        <v>99.088549999999998</v>
      </c>
      <c r="X33" s="239">
        <f t="array" ref="X33">IF(ISERROR(VLOOKUP(T33,'15-16_DP_Tables'!$M$12:$V$18,MATCH(V33,INDEX('15-16_DP_Tables'!$M$12:$V$18,1,0),0),0)),0,VLOOKUP(T33,'15-16_DP_Tables'!$M$12:$V$18,MATCH(V33,INDEX('15-16_DP_Tables'!$M$12:$V$18,1,0),0),0))</f>
        <v>53.375</v>
      </c>
      <c r="Y33" s="223" t="str">
        <f t="shared" si="2"/>
        <v>Unknown</v>
      </c>
      <c r="Z33" s="223">
        <v>5</v>
      </c>
      <c r="AA33" s="249" t="e">
        <f>VLOOKUP(T33,'Planning and Target Times'!$A$74:$L$78,MATCH(E33&amp;"-"&amp;Q33&amp;"-"&amp;Y33&amp;"-"&amp;R33,INDEX('Planning and Target Times'!$A$74:$L$78,1,0),0),0)</f>
        <v>#N/A</v>
      </c>
      <c r="AB33" s="249" t="e">
        <f>VLOOKUP(T33,'Planning and Target Times'!$A$97:$L$101,MATCH(E33&amp;"-"&amp;Q33&amp;"-"&amp;Y33&amp;"-"&amp;R33,INDEX('Planning and Target Times'!$A$97:$L$101,1,0),0),0)</f>
        <v>#N/A</v>
      </c>
      <c r="AC33" s="250">
        <f t="shared" si="4"/>
        <v>0</v>
      </c>
      <c r="AD33" s="250">
        <f t="shared" si="5"/>
        <v>0</v>
      </c>
      <c r="AE33" s="248">
        <f t="shared" si="10"/>
        <v>1804.42982048094</v>
      </c>
      <c r="AF33" s="248">
        <f t="shared" si="3"/>
        <v>9145.5701795190598</v>
      </c>
      <c r="AG33" s="248">
        <f t="shared" ca="1" si="6"/>
        <v>2065.5701795190598</v>
      </c>
      <c r="AH33" s="248">
        <f t="shared" ca="1" si="7"/>
        <v>259.57017951906005</v>
      </c>
      <c r="AI33" s="248">
        <f t="shared" si="11"/>
        <v>1386.2903326666458</v>
      </c>
      <c r="AJ33" s="248">
        <f t="shared" ca="1" si="8"/>
        <v>2483.7096673333544</v>
      </c>
      <c r="AK33" s="248">
        <f t="shared" ca="1" si="9"/>
        <v>677.70966733335422</v>
      </c>
    </row>
    <row r="34" spans="2:37" ht="15.95" customHeight="1" x14ac:dyDescent="0.25">
      <c r="B34" s="136">
        <v>78</v>
      </c>
      <c r="C34" s="185" t="s">
        <v>1164</v>
      </c>
      <c r="D34" s="184" t="s">
        <v>511</v>
      </c>
      <c r="E34" s="139" t="s">
        <v>42</v>
      </c>
      <c r="F34" s="140" t="s">
        <v>17</v>
      </c>
      <c r="G34" s="140" t="s">
        <v>1076</v>
      </c>
      <c r="H34" s="140" t="s">
        <v>1082</v>
      </c>
      <c r="I34" s="140" t="s">
        <v>459</v>
      </c>
      <c r="J34" s="141" t="s">
        <v>1079</v>
      </c>
      <c r="K34" s="142">
        <v>42075</v>
      </c>
      <c r="L34" s="142">
        <v>42145</v>
      </c>
      <c r="M34" s="134">
        <v>42159</v>
      </c>
      <c r="N34" s="140">
        <v>70</v>
      </c>
      <c r="O34" s="143">
        <v>1500</v>
      </c>
      <c r="P34" s="135" t="s">
        <v>1080</v>
      </c>
      <c r="Q34" s="223" t="s">
        <v>14</v>
      </c>
      <c r="R34" s="223" t="s">
        <v>298</v>
      </c>
      <c r="S34" s="223" t="s">
        <v>17</v>
      </c>
      <c r="T34" s="224" t="str">
        <f t="shared" si="0"/>
        <v>MA</v>
      </c>
      <c r="U34" s="223" t="str">
        <f t="shared" si="1"/>
        <v>MA-NW-Prod</v>
      </c>
      <c r="V34" s="223" t="str">
        <f t="array" ref="V34">CONCATENATE(Q34,"-",R34)</f>
        <v>NW-Prod</v>
      </c>
      <c r="W34" s="239">
        <f>IF(ISERROR(VLOOKUP(T34,'15-16_DP_Tables'!$M$2:$V$8,MATCH(V34,INDEX('15-16_DP_Tables'!$M$2:$V$8,1,0),0),0)),0,VLOOKUP(T34,'15-16_DP_Tables'!$M$2:$V$8,MATCH(V34,INDEX('15-16_DP_Tables'!$M$2:$V$8,1,0),0),0))</f>
        <v>57.083333333332121</v>
      </c>
      <c r="X34" s="239">
        <f t="array" ref="X34">IF(ISERROR(VLOOKUP(T34,'15-16_DP_Tables'!$M$12:$V$18,MATCH(V34,INDEX('15-16_DP_Tables'!$M$12:$V$18,1,0),0),0)),0,VLOOKUP(T34,'15-16_DP_Tables'!$M$12:$V$18,MATCH(V34,INDEX('15-16_DP_Tables'!$M$12:$V$18,1,0),0),0))</f>
        <v>47.791666666664241</v>
      </c>
      <c r="Y34" s="223" t="str">
        <f t="shared" si="2"/>
        <v>Horizontal</v>
      </c>
      <c r="Z34" s="223">
        <v>5</v>
      </c>
      <c r="AA34" s="249" t="e">
        <f>VLOOKUP(T34,'Planning and Target Times'!$A$74:$L$78,MATCH(E34&amp;"-"&amp;Q34&amp;"-"&amp;Y34&amp;"-"&amp;R34,INDEX('Planning and Target Times'!$A$74:$L$78,1,0),0),0)</f>
        <v>#N/A</v>
      </c>
      <c r="AB34" s="249" t="e">
        <f>VLOOKUP(T34,'Planning and Target Times'!$A$97:$L$101,MATCH(E34&amp;"-"&amp;Q34&amp;"-"&amp;Y34&amp;"-"&amp;R34,INDEX('Planning and Target Times'!$A$97:$L$101,1,0),0),0)</f>
        <v>#N/A</v>
      </c>
      <c r="AC34" s="250">
        <f t="shared" si="4"/>
        <v>26.277372262774282</v>
      </c>
      <c r="AD34" s="250">
        <f t="shared" si="5"/>
        <v>31.386224934613622</v>
      </c>
      <c r="AE34" s="248">
        <f t="shared" si="10"/>
        <v>1866.5131538142721</v>
      </c>
      <c r="AF34" s="248">
        <f t="shared" si="3"/>
        <v>9083.4868461857277</v>
      </c>
      <c r="AG34" s="248">
        <f t="shared" ca="1" si="6"/>
        <v>2003.4868461857279</v>
      </c>
      <c r="AH34" s="248">
        <f t="shared" ca="1" si="7"/>
        <v>197.48684618572793</v>
      </c>
      <c r="AI34" s="248">
        <f t="shared" si="11"/>
        <v>1439.08199933331</v>
      </c>
      <c r="AJ34" s="248">
        <f t="shared" ca="1" si="8"/>
        <v>2430.9180006666902</v>
      </c>
      <c r="AK34" s="248">
        <f t="shared" ca="1" si="9"/>
        <v>624.91800066668998</v>
      </c>
    </row>
    <row r="35" spans="2:37" ht="15.95" customHeight="1" x14ac:dyDescent="0.25">
      <c r="B35" s="136">
        <v>110</v>
      </c>
      <c r="C35" s="149" t="s">
        <v>1195</v>
      </c>
      <c r="D35" s="184" t="s">
        <v>839</v>
      </c>
      <c r="E35" s="150" t="s">
        <v>11</v>
      </c>
      <c r="F35" s="140" t="s">
        <v>17</v>
      </c>
      <c r="G35" s="140" t="s">
        <v>1086</v>
      </c>
      <c r="H35" s="140" t="s">
        <v>1077</v>
      </c>
      <c r="I35" s="140" t="s">
        <v>459</v>
      </c>
      <c r="J35" s="141" t="s">
        <v>1079</v>
      </c>
      <c r="K35" s="142">
        <v>42075</v>
      </c>
      <c r="L35" s="142">
        <v>42124</v>
      </c>
      <c r="M35" s="134">
        <v>42138</v>
      </c>
      <c r="N35" s="140">
        <v>49</v>
      </c>
      <c r="O35" s="143"/>
      <c r="P35" s="135" t="s">
        <v>1080</v>
      </c>
      <c r="Q35" s="223" t="s">
        <v>18</v>
      </c>
      <c r="R35" s="223" t="s">
        <v>34</v>
      </c>
      <c r="S35" s="223" t="s">
        <v>17</v>
      </c>
      <c r="T35" s="224" t="str">
        <f t="shared" si="0"/>
        <v>MA</v>
      </c>
      <c r="U35" s="223" t="str">
        <f t="shared" si="1"/>
        <v>MA-ST-Inj</v>
      </c>
      <c r="V35" s="223" t="str">
        <f t="array" ref="V35">CONCATENATE(Q35,"-",R35)</f>
        <v>ST-Inj</v>
      </c>
      <c r="W35" s="239">
        <f>IF(ISERROR(VLOOKUP(T35,'15-16_DP_Tables'!$M$2:$V$8,MATCH(V35,INDEX('15-16_DP_Tables'!$M$2:$V$8,1,0),0),0)),0,VLOOKUP(T35,'15-16_DP_Tables'!$M$2:$V$8,MATCH(V35,INDEX('15-16_DP_Tables'!$M$2:$V$8,1,0),0),0))</f>
        <v>35.545833099999626</v>
      </c>
      <c r="X35" s="239">
        <f t="array" ref="X35">IF(ISERROR(VLOOKUP(T35,'15-16_DP_Tables'!$M$12:$V$18,MATCH(V35,INDEX('15-16_DP_Tables'!$M$12:$V$18,1,0),0),0)),0,VLOOKUP(T35,'15-16_DP_Tables'!$M$12:$V$18,MATCH(V35,INDEX('15-16_DP_Tables'!$M$12:$V$18,1,0),0),0))</f>
        <v>26.054166533332847</v>
      </c>
      <c r="Y35" s="223" t="str">
        <f t="shared" si="2"/>
        <v>Horizontal</v>
      </c>
      <c r="Z35" s="223">
        <v>5</v>
      </c>
      <c r="AA35" s="249" t="e">
        <f>VLOOKUP(T35,'Planning and Target Times'!$A$74:$L$78,MATCH(E35&amp;"-"&amp;Q35&amp;"-"&amp;Y35&amp;"-"&amp;R35,INDEX('Planning and Target Times'!$A$74:$L$78,1,0),0),0)</f>
        <v>#N/A</v>
      </c>
      <c r="AB35" s="249" t="e">
        <f>VLOOKUP(T35,'Planning and Target Times'!$A$97:$L$101,MATCH(E35&amp;"-"&amp;Q35&amp;"-"&amp;Y35&amp;"-"&amp;R35,INDEX('Planning and Target Times'!$A$97:$L$101,1,0),0),0)</f>
        <v>#N/A</v>
      </c>
      <c r="AC35" s="250">
        <f t="shared" si="4"/>
        <v>0</v>
      </c>
      <c r="AD35" s="250">
        <f t="shared" si="5"/>
        <v>0</v>
      </c>
      <c r="AE35" s="248">
        <f t="shared" si="10"/>
        <v>1907.0589869142716</v>
      </c>
      <c r="AF35" s="248">
        <f t="shared" si="3"/>
        <v>9042.9410130857286</v>
      </c>
      <c r="AG35" s="248">
        <f t="shared" ca="1" si="6"/>
        <v>1962.9410130857284</v>
      </c>
      <c r="AH35" s="248">
        <f t="shared" ca="1" si="7"/>
        <v>156.9410130857284</v>
      </c>
      <c r="AI35" s="248">
        <f t="shared" si="11"/>
        <v>1470.1361658666428</v>
      </c>
      <c r="AJ35" s="248">
        <f t="shared" ca="1" si="8"/>
        <v>2399.8638341333572</v>
      </c>
      <c r="AK35" s="248">
        <f t="shared" ca="1" si="9"/>
        <v>593.86383413335716</v>
      </c>
    </row>
    <row r="36" spans="2:37" ht="15.95" customHeight="1" x14ac:dyDescent="0.25">
      <c r="B36" s="136">
        <v>118</v>
      </c>
      <c r="C36" s="181" t="s">
        <v>1204</v>
      </c>
      <c r="D36" s="165" t="s">
        <v>838</v>
      </c>
      <c r="E36" s="170" t="s">
        <v>11</v>
      </c>
      <c r="F36" s="140" t="s">
        <v>17</v>
      </c>
      <c r="G36" s="140" t="s">
        <v>1076</v>
      </c>
      <c r="H36" s="140" t="s">
        <v>1077</v>
      </c>
      <c r="I36" s="140" t="s">
        <v>459</v>
      </c>
      <c r="J36" s="141" t="s">
        <v>1079</v>
      </c>
      <c r="K36" s="142">
        <v>42075</v>
      </c>
      <c r="L36" s="142">
        <v>42131</v>
      </c>
      <c r="M36" s="134">
        <v>42145</v>
      </c>
      <c r="N36" s="132">
        <v>56</v>
      </c>
      <c r="O36" s="135">
        <v>1200</v>
      </c>
      <c r="P36" s="135" t="s">
        <v>1080</v>
      </c>
      <c r="Q36" s="223" t="s">
        <v>18</v>
      </c>
      <c r="R36" s="223" t="s">
        <v>298</v>
      </c>
      <c r="S36" s="223" t="s">
        <v>17</v>
      </c>
      <c r="T36" s="224" t="str">
        <f t="shared" si="0"/>
        <v>MA</v>
      </c>
      <c r="U36" s="223" t="str">
        <f t="shared" si="1"/>
        <v>MA-ST-Prod</v>
      </c>
      <c r="V36" s="223" t="str">
        <f t="array" ref="V36">CONCATENATE(Q36,"-",R36)</f>
        <v>ST-Prod</v>
      </c>
      <c r="W36" s="239">
        <f>IF(ISERROR(VLOOKUP(T36,'15-16_DP_Tables'!$M$2:$V$8,MATCH(V36,INDEX('15-16_DP_Tables'!$M$2:$V$8,1,0),0),0)),0,VLOOKUP(T36,'15-16_DP_Tables'!$M$2:$V$8,MATCH(V36,INDEX('15-16_DP_Tables'!$M$2:$V$8,1,0),0),0))</f>
        <v>47.881547142856107</v>
      </c>
      <c r="X36" s="239">
        <f t="array" ref="X36">IF(ISERROR(VLOOKUP(T36,'15-16_DP_Tables'!$M$12:$V$18,MATCH(V36,INDEX('15-16_DP_Tables'!$M$12:$V$18,1,0),0),0)),0,VLOOKUP(T36,'15-16_DP_Tables'!$M$12:$V$18,MATCH(V36,INDEX('15-16_DP_Tables'!$M$12:$V$18,1,0),0),0))</f>
        <v>41.770833333332121</v>
      </c>
      <c r="Y36" s="223" t="str">
        <f t="shared" si="2"/>
        <v>Horizontal</v>
      </c>
      <c r="Z36" s="223">
        <v>5</v>
      </c>
      <c r="AA36" s="249" t="e">
        <f>VLOOKUP(T36,'Planning and Target Times'!$A$74:$L$78,MATCH(E36&amp;"-"&amp;Q36&amp;"-"&amp;Y36&amp;"-"&amp;R36,INDEX('Planning and Target Times'!$A$74:$L$78,1,0),0),0)</f>
        <v>#N/A</v>
      </c>
      <c r="AB36" s="249" t="e">
        <f>VLOOKUP(T36,'Planning and Target Times'!$A$97:$L$101,MATCH(E36&amp;"-"&amp;Q36&amp;"-"&amp;Y36&amp;"-"&amp;R36,INDEX('Planning and Target Times'!$A$97:$L$101,1,0),0),0)</f>
        <v>#N/A</v>
      </c>
      <c r="AC36" s="250">
        <f t="shared" si="4"/>
        <v>25.061846820023632</v>
      </c>
      <c r="AD36" s="250">
        <f t="shared" si="5"/>
        <v>28.728179551123027</v>
      </c>
      <c r="AE36" s="248">
        <f t="shared" si="10"/>
        <v>1959.9405340571277</v>
      </c>
      <c r="AF36" s="248">
        <f t="shared" si="3"/>
        <v>8990.0594659428716</v>
      </c>
      <c r="AG36" s="248">
        <f t="shared" ca="1" si="6"/>
        <v>1910.0594659428723</v>
      </c>
      <c r="AH36" s="248">
        <f t="shared" ca="1" si="7"/>
        <v>104.05946594287229</v>
      </c>
      <c r="AI36" s="248">
        <f t="shared" si="11"/>
        <v>1516.906999199975</v>
      </c>
      <c r="AJ36" s="248">
        <f t="shared" ca="1" si="8"/>
        <v>2353.093000800025</v>
      </c>
      <c r="AK36" s="248">
        <f t="shared" ca="1" si="9"/>
        <v>547.09300080002504</v>
      </c>
    </row>
    <row r="37" spans="2:37" ht="15.95" customHeight="1" x14ac:dyDescent="0.25">
      <c r="B37" s="136">
        <v>36</v>
      </c>
      <c r="C37" s="164" t="s">
        <v>1120</v>
      </c>
      <c r="D37" s="165" t="s">
        <v>1116</v>
      </c>
      <c r="E37" s="139" t="s">
        <v>42</v>
      </c>
      <c r="F37" s="140" t="s">
        <v>17</v>
      </c>
      <c r="G37" s="140" t="s">
        <v>1086</v>
      </c>
      <c r="H37" s="140" t="s">
        <v>1077</v>
      </c>
      <c r="I37" s="140" t="s">
        <v>459</v>
      </c>
      <c r="J37" s="141" t="s">
        <v>1079</v>
      </c>
      <c r="K37" s="142">
        <v>42078</v>
      </c>
      <c r="L37" s="142">
        <v>42127</v>
      </c>
      <c r="M37" s="134">
        <v>42141</v>
      </c>
      <c r="N37" s="132">
        <v>49</v>
      </c>
      <c r="O37" s="135"/>
      <c r="P37" s="135" t="s">
        <v>1080</v>
      </c>
      <c r="Q37" s="223" t="s">
        <v>18</v>
      </c>
      <c r="R37" s="223" t="s">
        <v>34</v>
      </c>
      <c r="S37" s="223" t="s">
        <v>17</v>
      </c>
      <c r="T37" s="224" t="str">
        <f t="shared" ref="T37:T68" si="12">IF(OR(F37="ZU",F37="RT"),"ZU/RT",F37)</f>
        <v>MA</v>
      </c>
      <c r="U37" s="223" t="str">
        <f t="shared" ref="U37:U68" si="13">CONCATENATE(F37,"-",Q37,"-",R37)</f>
        <v>MA-ST-Inj</v>
      </c>
      <c r="V37" s="223" t="str">
        <f t="array" ref="V37">CONCATENATE(Q37,"-",R37)</f>
        <v>ST-Inj</v>
      </c>
      <c r="W37" s="239">
        <f>IF(ISERROR(VLOOKUP(T37,'15-16_DP_Tables'!$M$2:$V$8,MATCH(V37,INDEX('15-16_DP_Tables'!$M$2:$V$8,1,0),0),0)),0,VLOOKUP(T37,'15-16_DP_Tables'!$M$2:$V$8,MATCH(V37,INDEX('15-16_DP_Tables'!$M$2:$V$8,1,0),0),0))</f>
        <v>35.545833099999626</v>
      </c>
      <c r="X37" s="239">
        <f t="array" ref="X37">IF(ISERROR(VLOOKUP(T37,'15-16_DP_Tables'!$M$12:$V$18,MATCH(V37,INDEX('15-16_DP_Tables'!$M$12:$V$18,1,0),0),0)),0,VLOOKUP(T37,'15-16_DP_Tables'!$M$12:$V$18,MATCH(V37,INDEX('15-16_DP_Tables'!$M$12:$V$18,1,0),0),0))</f>
        <v>26.054166533332847</v>
      </c>
      <c r="Y37" s="223" t="str">
        <f t="shared" ref="Y37:Y68" si="14">IF(OR(ISNUMBER(SEARCH("HST",C37)),ISNUMBER(SEARCH("Horizontal",C37)),ISNUMBER(SEARCH("H",C37))),"Horizontal",IF(OR(ISNUMBER(SEARCH("SLANT",C37))),"Slant","Unknown"))</f>
        <v>Horizontal</v>
      </c>
      <c r="Z37" s="223">
        <v>5</v>
      </c>
      <c r="AA37" s="249" t="e">
        <f>VLOOKUP(T37,'Planning and Target Times'!$A$74:$L$78,MATCH(E37&amp;"-"&amp;Q37&amp;"-"&amp;Y37&amp;"-"&amp;R37,INDEX('Planning and Target Times'!$A$74:$L$78,1,0),0),0)</f>
        <v>#N/A</v>
      </c>
      <c r="AB37" s="249" t="e">
        <f>VLOOKUP(T37,'Planning and Target Times'!$A$97:$L$101,MATCH(E37&amp;"-"&amp;Q37&amp;"-"&amp;Y37&amp;"-"&amp;R37,INDEX('Planning and Target Times'!$A$97:$L$101,1,0),0),0)</f>
        <v>#N/A</v>
      </c>
      <c r="AC37" s="250">
        <f t="shared" si="4"/>
        <v>0</v>
      </c>
      <c r="AD37" s="250">
        <f t="shared" si="5"/>
        <v>0</v>
      </c>
      <c r="AE37" s="248">
        <f t="shared" si="10"/>
        <v>2000.4863671571272</v>
      </c>
      <c r="AF37" s="248">
        <f t="shared" ref="AF37:AF68" si="15">(30*365)-AE37</f>
        <v>8949.5136328428725</v>
      </c>
      <c r="AG37" s="248">
        <f t="shared" ca="1" si="6"/>
        <v>1869.5136328428728</v>
      </c>
      <c r="AH37" s="248">
        <f t="shared" ca="1" si="7"/>
        <v>63.513632842872767</v>
      </c>
      <c r="AI37" s="248">
        <f t="shared" si="11"/>
        <v>1547.9611657333078</v>
      </c>
      <c r="AJ37" s="248">
        <f t="shared" ca="1" si="8"/>
        <v>2322.038834266692</v>
      </c>
      <c r="AK37" s="248">
        <f t="shared" ca="1" si="9"/>
        <v>516.03883426669222</v>
      </c>
    </row>
    <row r="38" spans="2:37" ht="15.95" customHeight="1" x14ac:dyDescent="0.25">
      <c r="B38" s="136">
        <v>28</v>
      </c>
      <c r="C38" s="163" t="s">
        <v>1111</v>
      </c>
      <c r="D38" s="157" t="s">
        <v>1107</v>
      </c>
      <c r="E38" s="161" t="s">
        <v>11</v>
      </c>
      <c r="F38" s="140" t="s">
        <v>17</v>
      </c>
      <c r="G38" s="140" t="s">
        <v>1076</v>
      </c>
      <c r="H38" s="140" t="s">
        <v>1082</v>
      </c>
      <c r="I38" s="140" t="s">
        <v>459</v>
      </c>
      <c r="J38" s="141" t="s">
        <v>1079</v>
      </c>
      <c r="K38" s="142">
        <v>42079</v>
      </c>
      <c r="L38" s="142">
        <v>42149</v>
      </c>
      <c r="M38" s="134">
        <v>42163</v>
      </c>
      <c r="N38" s="140">
        <v>70</v>
      </c>
      <c r="O38" s="143">
        <v>1400</v>
      </c>
      <c r="P38" s="135" t="s">
        <v>1080</v>
      </c>
      <c r="Q38" s="223" t="s">
        <v>14</v>
      </c>
      <c r="R38" s="223" t="s">
        <v>298</v>
      </c>
      <c r="S38" s="223" t="s">
        <v>17</v>
      </c>
      <c r="T38" s="224" t="str">
        <f t="shared" si="12"/>
        <v>MA</v>
      </c>
      <c r="U38" s="223" t="str">
        <f t="shared" si="13"/>
        <v>MA-NW-Prod</v>
      </c>
      <c r="V38" s="223" t="str">
        <f t="array" ref="V38">CONCATENATE(Q38,"-",R38)</f>
        <v>NW-Prod</v>
      </c>
      <c r="W38" s="239">
        <f>IF(ISERROR(VLOOKUP(T38,'15-16_DP_Tables'!$M$2:$V$8,MATCH(V38,INDEX('15-16_DP_Tables'!$M$2:$V$8,1,0),0),0)),0,VLOOKUP(T38,'15-16_DP_Tables'!$M$2:$V$8,MATCH(V38,INDEX('15-16_DP_Tables'!$M$2:$V$8,1,0),0),0))</f>
        <v>57.083333333332121</v>
      </c>
      <c r="X38" s="239">
        <f t="array" ref="X38">IF(ISERROR(VLOOKUP(T38,'15-16_DP_Tables'!$M$12:$V$18,MATCH(V38,INDEX('15-16_DP_Tables'!$M$12:$V$18,1,0),0),0)),0,VLOOKUP(T38,'15-16_DP_Tables'!$M$12:$V$18,MATCH(V38,INDEX('15-16_DP_Tables'!$M$12:$V$18,1,0),0),0))</f>
        <v>47.791666666664241</v>
      </c>
      <c r="Y38" s="223" t="str">
        <f t="shared" si="14"/>
        <v>Horizontal</v>
      </c>
      <c r="Z38" s="223">
        <v>5</v>
      </c>
      <c r="AA38" s="249" t="e">
        <f>VLOOKUP(T38,'Planning and Target Times'!$A$74:$L$78,MATCH(E38&amp;"-"&amp;Q38&amp;"-"&amp;Y38&amp;"-"&amp;R38,INDEX('Planning and Target Times'!$A$74:$L$78,1,0),0),0)</f>
        <v>#N/A</v>
      </c>
      <c r="AB38" s="249" t="e">
        <f>VLOOKUP(T38,'Planning and Target Times'!$A$97:$L$101,MATCH(E38&amp;"-"&amp;Q38&amp;"-"&amp;Y38&amp;"-"&amp;R38,INDEX('Planning and Target Times'!$A$97:$L$101,1,0),0),0)</f>
        <v>#N/A</v>
      </c>
      <c r="AC38" s="250">
        <f t="shared" si="4"/>
        <v>24.525547445255995</v>
      </c>
      <c r="AD38" s="250">
        <f t="shared" si="5"/>
        <v>29.293809938972714</v>
      </c>
      <c r="AE38" s="248">
        <f t="shared" si="10"/>
        <v>2062.5697004904596</v>
      </c>
      <c r="AF38" s="248">
        <f t="shared" si="15"/>
        <v>8887.4302995095404</v>
      </c>
      <c r="AG38" s="248">
        <f t="shared" ca="1" si="6"/>
        <v>1807.4302995095404</v>
      </c>
      <c r="AH38" s="248">
        <f t="shared" ca="1" si="7"/>
        <v>1.4302995095404185</v>
      </c>
      <c r="AI38" s="248">
        <f t="shared" si="11"/>
        <v>1600.752832399972</v>
      </c>
      <c r="AJ38" s="248">
        <f t="shared" ca="1" si="8"/>
        <v>2269.2471676000278</v>
      </c>
      <c r="AK38" s="248">
        <f t="shared" ca="1" si="9"/>
        <v>463.24716760002798</v>
      </c>
    </row>
    <row r="39" spans="2:37" ht="15.95" customHeight="1" x14ac:dyDescent="0.25">
      <c r="B39" s="136">
        <v>22</v>
      </c>
      <c r="C39" s="144" t="s">
        <v>1104</v>
      </c>
      <c r="D39" s="156" t="s">
        <v>12</v>
      </c>
      <c r="E39" s="139" t="s">
        <v>11</v>
      </c>
      <c r="F39" s="140" t="s">
        <v>744</v>
      </c>
      <c r="G39" s="140" t="s">
        <v>1076</v>
      </c>
      <c r="H39" s="140" t="s">
        <v>1082</v>
      </c>
      <c r="I39" s="140" t="s">
        <v>459</v>
      </c>
      <c r="J39" s="141" t="s">
        <v>1079</v>
      </c>
      <c r="K39" s="142">
        <v>42088</v>
      </c>
      <c r="L39" s="142">
        <v>42186</v>
      </c>
      <c r="M39" s="134">
        <v>42200</v>
      </c>
      <c r="N39" s="140">
        <v>98</v>
      </c>
      <c r="O39" s="143">
        <v>1500</v>
      </c>
      <c r="P39" s="143" t="s">
        <v>1080</v>
      </c>
      <c r="Q39" s="223" t="s">
        <v>14</v>
      </c>
      <c r="R39" s="223" t="s">
        <v>298</v>
      </c>
      <c r="S39" s="223" t="s">
        <v>744</v>
      </c>
      <c r="T39" s="224" t="str">
        <f t="shared" si="12"/>
        <v>ZU/RT</v>
      </c>
      <c r="U39" s="223" t="str">
        <f t="shared" si="13"/>
        <v>RT-NW-Prod</v>
      </c>
      <c r="V39" s="223" t="str">
        <f t="array" ref="V39">CONCATENATE(Q39,"-",R39)</f>
        <v>NW-Prod</v>
      </c>
      <c r="W39" s="239">
        <f>IF(ISERROR(VLOOKUP(T39,'15-16_DP_Tables'!$M$2:$V$8,MATCH(V39,INDEX('15-16_DP_Tables'!$M$2:$V$8,1,0),0),0)),0,VLOOKUP(T39,'15-16_DP_Tables'!$M$2:$V$8,MATCH(V39,INDEX('15-16_DP_Tables'!$M$2:$V$8,1,0),0),0))</f>
        <v>99.088549999999998</v>
      </c>
      <c r="X39" s="239">
        <f t="array" ref="X39">IF(ISERROR(VLOOKUP(T39,'15-16_DP_Tables'!$M$12:$V$18,MATCH(V39,INDEX('15-16_DP_Tables'!$M$12:$V$18,1,0),0),0)),0,VLOOKUP(T39,'15-16_DP_Tables'!$M$12:$V$18,MATCH(V39,INDEX('15-16_DP_Tables'!$M$12:$V$18,1,0),0),0))</f>
        <v>53.375</v>
      </c>
      <c r="Y39" s="223" t="str">
        <f t="shared" si="14"/>
        <v>Horizontal</v>
      </c>
      <c r="Z39" s="223">
        <v>5</v>
      </c>
      <c r="AA39" s="249" t="e">
        <f>VLOOKUP(T39,'Planning and Target Times'!$A$74:$L$78,MATCH(E39&amp;"-"&amp;Q39&amp;"-"&amp;Y39&amp;"-"&amp;R39,INDEX('Planning and Target Times'!$A$74:$L$78,1,0),0),0)</f>
        <v>#N/A</v>
      </c>
      <c r="AB39" s="249" t="e">
        <f>VLOOKUP(T39,'Planning and Target Times'!$A$97:$L$101,MATCH(E39&amp;"-"&amp;Q39&amp;"-"&amp;Y39&amp;"-"&amp;R39,INDEX('Planning and Target Times'!$A$97:$L$101,1,0),0),0)</f>
        <v>#N/A</v>
      </c>
      <c r="AC39" s="250">
        <f t="shared" si="4"/>
        <v>15.137975073810244</v>
      </c>
      <c r="AD39" s="250">
        <f t="shared" si="5"/>
        <v>28.103044496487119</v>
      </c>
      <c r="AE39" s="248">
        <f t="shared" si="10"/>
        <v>2166.6582504904595</v>
      </c>
      <c r="AF39" s="248">
        <f t="shared" si="15"/>
        <v>8783.34174950954</v>
      </c>
      <c r="AG39" s="248">
        <f t="shared" ca="1" si="6"/>
        <v>1703.3417495095405</v>
      </c>
      <c r="AH39" s="248">
        <f t="shared" ca="1" si="7"/>
        <v>-102.65825049045952</v>
      </c>
      <c r="AI39" s="248">
        <f t="shared" si="11"/>
        <v>1659.127832399972</v>
      </c>
      <c r="AJ39" s="248">
        <f t="shared" ca="1" si="8"/>
        <v>2210.8721676000278</v>
      </c>
      <c r="AK39" s="248">
        <f t="shared" ca="1" si="9"/>
        <v>404.87216760002798</v>
      </c>
    </row>
    <row r="40" spans="2:37" ht="15.95" customHeight="1" x14ac:dyDescent="0.25">
      <c r="B40" s="136">
        <v>64</v>
      </c>
      <c r="C40" s="144" t="s">
        <v>1150</v>
      </c>
      <c r="D40" s="180" t="s">
        <v>513</v>
      </c>
      <c r="E40" s="139" t="s">
        <v>11</v>
      </c>
      <c r="F40" s="140" t="s">
        <v>17</v>
      </c>
      <c r="G40" s="132" t="s">
        <v>1086</v>
      </c>
      <c r="H40" s="132" t="s">
        <v>1082</v>
      </c>
      <c r="I40" s="132" t="s">
        <v>459</v>
      </c>
      <c r="J40" s="133" t="s">
        <v>1079</v>
      </c>
      <c r="K40" s="142">
        <v>42093</v>
      </c>
      <c r="L40" s="142">
        <v>42156</v>
      </c>
      <c r="M40" s="134">
        <v>42170</v>
      </c>
      <c r="N40" s="140">
        <v>63</v>
      </c>
      <c r="O40" s="143"/>
      <c r="P40" s="135" t="s">
        <v>1080</v>
      </c>
      <c r="Q40" s="223" t="s">
        <v>14</v>
      </c>
      <c r="R40" s="223" t="s">
        <v>34</v>
      </c>
      <c r="S40" s="223" t="s">
        <v>17</v>
      </c>
      <c r="T40" s="224" t="str">
        <f t="shared" si="12"/>
        <v>MA</v>
      </c>
      <c r="U40" s="223" t="str">
        <f t="shared" si="13"/>
        <v>MA-NW-Inj</v>
      </c>
      <c r="V40" s="223" t="str">
        <f t="array" ref="V40">CONCATENATE(Q40,"-",R40)</f>
        <v>NW-Inj</v>
      </c>
      <c r="W40" s="239">
        <f>IF(ISERROR(VLOOKUP(T40,'15-16_DP_Tables'!$M$2:$V$8,MATCH(V40,INDEX('15-16_DP_Tables'!$M$2:$V$8,1,0),0),0)),0,VLOOKUP(T40,'15-16_DP_Tables'!$M$2:$V$8,MATCH(V40,INDEX('15-16_DP_Tables'!$M$2:$V$8,1,0),0),0))</f>
        <v>0</v>
      </c>
      <c r="X40" s="239">
        <f t="array" ref="X40">IF(ISERROR(VLOOKUP(T40,'15-16_DP_Tables'!$M$12:$V$18,MATCH(V40,INDEX('15-16_DP_Tables'!$M$12:$V$18,1,0),0),0)),0,VLOOKUP(T40,'15-16_DP_Tables'!$M$12:$V$18,MATCH(V40,INDEX('15-16_DP_Tables'!$M$12:$V$18,1,0),0),0))</f>
        <v>0</v>
      </c>
      <c r="Y40" s="223" t="str">
        <f t="shared" si="14"/>
        <v>Horizontal</v>
      </c>
      <c r="Z40" s="223">
        <v>5</v>
      </c>
      <c r="AA40" s="249" t="e">
        <f>VLOOKUP(T40,'Planning and Target Times'!$A$74:$L$78,MATCH(E40&amp;"-"&amp;Q40&amp;"-"&amp;Y40&amp;"-"&amp;R40,INDEX('Planning and Target Times'!$A$74:$L$78,1,0),0),0)</f>
        <v>#N/A</v>
      </c>
      <c r="AB40" s="249" t="e">
        <f>VLOOKUP(T40,'Planning and Target Times'!$A$97:$L$101,MATCH(E40&amp;"-"&amp;Q40&amp;"-"&amp;Y40&amp;"-"&amp;R40,INDEX('Planning and Target Times'!$A$97:$L$101,1,0),0),0)</f>
        <v>#N/A</v>
      </c>
      <c r="AC40" s="250">
        <f t="shared" si="4"/>
        <v>0</v>
      </c>
      <c r="AD40" s="250">
        <f t="shared" si="5"/>
        <v>0</v>
      </c>
      <c r="AE40" s="248">
        <f t="shared" si="10"/>
        <v>2171.6582504904595</v>
      </c>
      <c r="AF40" s="248">
        <f t="shared" si="15"/>
        <v>8778.34174950954</v>
      </c>
      <c r="AG40" s="248">
        <f t="shared" ca="1" si="6"/>
        <v>1698.3417495095405</v>
      </c>
      <c r="AH40" s="248">
        <f t="shared" ca="1" si="7"/>
        <v>-107.65825049045952</v>
      </c>
      <c r="AI40" s="248">
        <f t="shared" si="11"/>
        <v>1664.127832399972</v>
      </c>
      <c r="AJ40" s="248">
        <f t="shared" ca="1" si="8"/>
        <v>2205.8721676000278</v>
      </c>
      <c r="AK40" s="248">
        <f t="shared" ca="1" si="9"/>
        <v>399.87216760002798</v>
      </c>
    </row>
    <row r="41" spans="2:37" ht="15.95" customHeight="1" x14ac:dyDescent="0.25">
      <c r="B41" s="136">
        <v>56</v>
      </c>
      <c r="C41" s="179" t="s">
        <v>1142</v>
      </c>
      <c r="D41" s="178" t="s">
        <v>1137</v>
      </c>
      <c r="E41" s="170" t="s">
        <v>11</v>
      </c>
      <c r="F41" s="140" t="s">
        <v>17</v>
      </c>
      <c r="G41" s="132" t="s">
        <v>1076</v>
      </c>
      <c r="H41" s="132" t="s">
        <v>1077</v>
      </c>
      <c r="I41" s="132" t="s">
        <v>459</v>
      </c>
      <c r="J41" s="133" t="s">
        <v>1079</v>
      </c>
      <c r="K41" s="142">
        <v>42095</v>
      </c>
      <c r="L41" s="142">
        <v>42151</v>
      </c>
      <c r="M41" s="134">
        <v>42165</v>
      </c>
      <c r="N41" s="140">
        <v>56</v>
      </c>
      <c r="O41" s="143">
        <v>1200</v>
      </c>
      <c r="P41" s="135" t="s">
        <v>1080</v>
      </c>
      <c r="Q41" s="223" t="s">
        <v>18</v>
      </c>
      <c r="R41" s="223" t="s">
        <v>298</v>
      </c>
      <c r="S41" s="223" t="s">
        <v>17</v>
      </c>
      <c r="T41" s="224" t="str">
        <f t="shared" si="12"/>
        <v>MA</v>
      </c>
      <c r="U41" s="223" t="str">
        <f t="shared" si="13"/>
        <v>MA-ST-Prod</v>
      </c>
      <c r="V41" s="223" t="str">
        <f t="array" ref="V41">CONCATENATE(Q41,"-",R41)</f>
        <v>ST-Prod</v>
      </c>
      <c r="W41" s="239">
        <f>IF(ISERROR(VLOOKUP(T41,'15-16_DP_Tables'!$M$2:$V$8,MATCH(V41,INDEX('15-16_DP_Tables'!$M$2:$V$8,1,0),0),0)),0,VLOOKUP(T41,'15-16_DP_Tables'!$M$2:$V$8,MATCH(V41,INDEX('15-16_DP_Tables'!$M$2:$V$8,1,0),0),0))</f>
        <v>47.881547142856107</v>
      </c>
      <c r="X41" s="239">
        <f t="array" ref="X41">IF(ISERROR(VLOOKUP(T41,'15-16_DP_Tables'!$M$12:$V$18,MATCH(V41,INDEX('15-16_DP_Tables'!$M$12:$V$18,1,0),0),0)),0,VLOOKUP(T41,'15-16_DP_Tables'!$M$12:$V$18,MATCH(V41,INDEX('15-16_DP_Tables'!$M$12:$V$18,1,0),0),0))</f>
        <v>41.770833333332121</v>
      </c>
      <c r="Y41" s="223" t="str">
        <f t="shared" si="14"/>
        <v>Horizontal</v>
      </c>
      <c r="Z41" s="223">
        <v>5</v>
      </c>
      <c r="AA41" s="249" t="e">
        <f>VLOOKUP(T41,'Planning and Target Times'!$A$74:$L$78,MATCH(E41&amp;"-"&amp;Q41&amp;"-"&amp;Y41&amp;"-"&amp;R41,INDEX('Planning and Target Times'!$A$74:$L$78,1,0),0),0)</f>
        <v>#N/A</v>
      </c>
      <c r="AB41" s="249" t="e">
        <f>VLOOKUP(T41,'Planning and Target Times'!$A$97:$L$101,MATCH(E41&amp;"-"&amp;Q41&amp;"-"&amp;Y41&amp;"-"&amp;R41,INDEX('Planning and Target Times'!$A$97:$L$101,1,0),0),0)</f>
        <v>#N/A</v>
      </c>
      <c r="AC41" s="250">
        <f t="shared" si="4"/>
        <v>25.061846820023632</v>
      </c>
      <c r="AD41" s="250">
        <f t="shared" si="5"/>
        <v>28.728179551123027</v>
      </c>
      <c r="AE41" s="248">
        <f t="shared" si="10"/>
        <v>2224.5397976333156</v>
      </c>
      <c r="AF41" s="248">
        <f t="shared" si="15"/>
        <v>8725.4602023666848</v>
      </c>
      <c r="AG41" s="248">
        <f t="shared" ca="1" si="6"/>
        <v>1645.4602023666844</v>
      </c>
      <c r="AH41" s="248">
        <f t="shared" ca="1" si="7"/>
        <v>-160.53979763331563</v>
      </c>
      <c r="AI41" s="248">
        <f t="shared" si="11"/>
        <v>1710.8986657333041</v>
      </c>
      <c r="AJ41" s="248">
        <f t="shared" ca="1" si="8"/>
        <v>2159.1013342666956</v>
      </c>
      <c r="AK41" s="248">
        <f t="shared" ca="1" si="9"/>
        <v>353.10133426669586</v>
      </c>
    </row>
    <row r="42" spans="2:37" ht="15.95" customHeight="1" x14ac:dyDescent="0.25">
      <c r="B42" s="136">
        <v>11</v>
      </c>
      <c r="C42" s="149" t="s">
        <v>1092</v>
      </c>
      <c r="D42" s="147" t="s">
        <v>430</v>
      </c>
      <c r="E42" s="150" t="s">
        <v>11</v>
      </c>
      <c r="F42" s="140" t="s">
        <v>17</v>
      </c>
      <c r="G42" s="132" t="s">
        <v>1086</v>
      </c>
      <c r="H42" s="132" t="s">
        <v>1082</v>
      </c>
      <c r="I42" s="132" t="s">
        <v>459</v>
      </c>
      <c r="J42" s="133" t="s">
        <v>1079</v>
      </c>
      <c r="K42" s="142">
        <v>42099</v>
      </c>
      <c r="L42" s="142">
        <v>42162</v>
      </c>
      <c r="M42" s="134">
        <v>42176</v>
      </c>
      <c r="N42" s="140">
        <v>63</v>
      </c>
      <c r="O42" s="143"/>
      <c r="P42" s="135" t="s">
        <v>1080</v>
      </c>
      <c r="Q42" s="223" t="s">
        <v>14</v>
      </c>
      <c r="R42" s="223" t="s">
        <v>34</v>
      </c>
      <c r="S42" s="223" t="s">
        <v>17</v>
      </c>
      <c r="T42" s="224" t="str">
        <f t="shared" si="12"/>
        <v>MA</v>
      </c>
      <c r="U42" s="223" t="str">
        <f t="shared" si="13"/>
        <v>MA-NW-Inj</v>
      </c>
      <c r="V42" s="223" t="str">
        <f t="array" ref="V42">CONCATENATE(Q42,"-",R42)</f>
        <v>NW-Inj</v>
      </c>
      <c r="W42" s="239">
        <f>IF(ISERROR(VLOOKUP(T42,'15-16_DP_Tables'!$M$2:$V$8,MATCH(V42,INDEX('15-16_DP_Tables'!$M$2:$V$8,1,0),0),0)),0,VLOOKUP(T42,'15-16_DP_Tables'!$M$2:$V$8,MATCH(V42,INDEX('15-16_DP_Tables'!$M$2:$V$8,1,0),0),0))</f>
        <v>0</v>
      </c>
      <c r="X42" s="239">
        <f t="array" ref="X42">IF(ISERROR(VLOOKUP(T42,'15-16_DP_Tables'!$M$12:$V$18,MATCH(V42,INDEX('15-16_DP_Tables'!$M$12:$V$18,1,0),0),0)),0,VLOOKUP(T42,'15-16_DP_Tables'!$M$12:$V$18,MATCH(V42,INDEX('15-16_DP_Tables'!$M$12:$V$18,1,0),0),0))</f>
        <v>0</v>
      </c>
      <c r="Y42" s="223" t="str">
        <f t="shared" si="14"/>
        <v>Horizontal</v>
      </c>
      <c r="Z42" s="223">
        <v>5</v>
      </c>
      <c r="AA42" s="249" t="e">
        <f>VLOOKUP(T42,'Planning and Target Times'!$A$74:$L$78,MATCH(E42&amp;"-"&amp;Q42&amp;"-"&amp;Y42&amp;"-"&amp;R42,INDEX('Planning and Target Times'!$A$74:$L$78,1,0),0),0)</f>
        <v>#N/A</v>
      </c>
      <c r="AB42" s="249" t="e">
        <f>VLOOKUP(T42,'Planning and Target Times'!$A$97:$L$101,MATCH(E42&amp;"-"&amp;Q42&amp;"-"&amp;Y42&amp;"-"&amp;R42,INDEX('Planning and Target Times'!$A$97:$L$101,1,0),0),0)</f>
        <v>#N/A</v>
      </c>
      <c r="AC42" s="250">
        <f t="shared" si="4"/>
        <v>0</v>
      </c>
      <c r="AD42" s="250">
        <f t="shared" si="5"/>
        <v>0</v>
      </c>
      <c r="AE42" s="248">
        <f t="shared" si="10"/>
        <v>2229.5397976333156</v>
      </c>
      <c r="AF42" s="248">
        <f t="shared" si="15"/>
        <v>8720.4602023666848</v>
      </c>
      <c r="AG42" s="248">
        <f t="shared" ca="1" si="6"/>
        <v>1640.4602023666844</v>
      </c>
      <c r="AH42" s="248">
        <f t="shared" ca="1" si="7"/>
        <v>-165.53979763331563</v>
      </c>
      <c r="AI42" s="248">
        <f t="shared" si="11"/>
        <v>1715.8986657333041</v>
      </c>
      <c r="AJ42" s="248">
        <f t="shared" ca="1" si="8"/>
        <v>2154.1013342666956</v>
      </c>
      <c r="AK42" s="248">
        <f t="shared" ca="1" si="9"/>
        <v>348.10133426669586</v>
      </c>
    </row>
    <row r="43" spans="2:37" ht="15.95" customHeight="1" x14ac:dyDescent="0.25">
      <c r="B43" s="136">
        <v>90</v>
      </c>
      <c r="C43" s="148" t="s">
        <v>1177</v>
      </c>
      <c r="D43" s="186" t="s">
        <v>35</v>
      </c>
      <c r="E43" s="139" t="s">
        <v>42</v>
      </c>
      <c r="F43" s="140" t="s">
        <v>29</v>
      </c>
      <c r="G43" s="132" t="s">
        <v>1076</v>
      </c>
      <c r="H43" s="132" t="s">
        <v>1082</v>
      </c>
      <c r="I43" s="132" t="s">
        <v>459</v>
      </c>
      <c r="J43" s="133" t="s">
        <v>1079</v>
      </c>
      <c r="K43" s="142">
        <v>42103</v>
      </c>
      <c r="L43" s="142">
        <v>42173</v>
      </c>
      <c r="M43" s="134">
        <v>42187</v>
      </c>
      <c r="N43" s="140">
        <v>70</v>
      </c>
      <c r="O43" s="143">
        <v>2000</v>
      </c>
      <c r="P43" s="135" t="s">
        <v>1080</v>
      </c>
      <c r="Q43" s="223" t="s">
        <v>14</v>
      </c>
      <c r="R43" s="223" t="s">
        <v>298</v>
      </c>
      <c r="S43" s="223" t="s">
        <v>29</v>
      </c>
      <c r="T43" s="224" t="str">
        <f t="shared" si="12"/>
        <v>UB</v>
      </c>
      <c r="U43" s="223" t="str">
        <f t="shared" si="13"/>
        <v>UB-NW-Prod</v>
      </c>
      <c r="V43" s="223" t="str">
        <f t="array" ref="V43">CONCATENATE(Q43,"-",R43)</f>
        <v>NW-Prod</v>
      </c>
      <c r="W43" s="239">
        <f>IF(ISERROR(VLOOKUP(T43,'15-16_DP_Tables'!$M$2:$V$8,MATCH(V43,INDEX('15-16_DP_Tables'!$M$2:$V$8,1,0),0),0)),0,VLOOKUP(T43,'15-16_DP_Tables'!$M$2:$V$8,MATCH(V43,INDEX('15-16_DP_Tables'!$M$2:$V$8,1,0),0),0))</f>
        <v>53.604164999999995</v>
      </c>
      <c r="X43" s="239">
        <f t="array" ref="X43">IF(ISERROR(VLOOKUP(T43,'15-16_DP_Tables'!$M$12:$V$18,MATCH(V43,INDEX('15-16_DP_Tables'!$M$12:$V$18,1,0),0),0)),0,VLOOKUP(T43,'15-16_DP_Tables'!$M$12:$V$18,MATCH(V43,INDEX('15-16_DP_Tables'!$M$12:$V$18,1,0),0),0))</f>
        <v>48</v>
      </c>
      <c r="Y43" s="223" t="str">
        <f t="shared" si="14"/>
        <v>Horizontal</v>
      </c>
      <c r="Z43" s="223">
        <v>5</v>
      </c>
      <c r="AA43" s="249" t="e">
        <f>VLOOKUP(T43,'Planning and Target Times'!$A$74:$L$78,MATCH(E43&amp;"-"&amp;Q43&amp;"-"&amp;Y43&amp;"-"&amp;R43,INDEX('Planning and Target Times'!$A$74:$L$78,1,0),0),0)</f>
        <v>#N/A</v>
      </c>
      <c r="AB43" s="249" t="e">
        <f>VLOOKUP(T43,'Planning and Target Times'!$A$97:$L$101,MATCH(E43&amp;"-"&amp;Q43&amp;"-"&amp;Y43&amp;"-"&amp;R43,INDEX('Planning and Target Times'!$A$97:$L$101,1,0),0),0)</f>
        <v>#N/A</v>
      </c>
      <c r="AC43" s="250">
        <f t="shared" si="4"/>
        <v>37.31053361245344</v>
      </c>
      <c r="AD43" s="250">
        <f t="shared" si="5"/>
        <v>41.666666666666664</v>
      </c>
      <c r="AE43" s="248">
        <f t="shared" si="10"/>
        <v>2288.1439626333158</v>
      </c>
      <c r="AF43" s="248">
        <f t="shared" si="15"/>
        <v>8661.8560373666842</v>
      </c>
      <c r="AG43" s="248">
        <f t="shared" ca="1" si="6"/>
        <v>1581.8560373666842</v>
      </c>
      <c r="AH43" s="248">
        <f t="shared" ca="1" si="7"/>
        <v>-224.14396263331582</v>
      </c>
      <c r="AI43" s="248">
        <f t="shared" si="11"/>
        <v>1768.8986657333041</v>
      </c>
      <c r="AJ43" s="248">
        <f t="shared" ca="1" si="8"/>
        <v>2101.1013342666956</v>
      </c>
      <c r="AK43" s="248">
        <f t="shared" ca="1" si="9"/>
        <v>295.10133426669586</v>
      </c>
    </row>
    <row r="44" spans="2:37" ht="15.95" customHeight="1" x14ac:dyDescent="0.25">
      <c r="B44" s="136">
        <v>85</v>
      </c>
      <c r="C44" s="164" t="s">
        <v>1172</v>
      </c>
      <c r="D44" s="165" t="s">
        <v>1171</v>
      </c>
      <c r="E44" s="139" t="s">
        <v>42</v>
      </c>
      <c r="F44" s="140" t="s">
        <v>17</v>
      </c>
      <c r="G44" s="140" t="s">
        <v>1076</v>
      </c>
      <c r="H44" s="140" t="s">
        <v>1082</v>
      </c>
      <c r="I44" s="140" t="s">
        <v>459</v>
      </c>
      <c r="J44" s="141" t="s">
        <v>1079</v>
      </c>
      <c r="K44" s="142">
        <v>42106</v>
      </c>
      <c r="L44" s="142">
        <v>42176</v>
      </c>
      <c r="M44" s="134">
        <v>42190</v>
      </c>
      <c r="N44" s="140">
        <v>70</v>
      </c>
      <c r="O44" s="143">
        <v>1500</v>
      </c>
      <c r="P44" s="135" t="s">
        <v>1080</v>
      </c>
      <c r="Q44" s="223" t="s">
        <v>14</v>
      </c>
      <c r="R44" s="223" t="s">
        <v>298</v>
      </c>
      <c r="S44" s="223" t="s">
        <v>17</v>
      </c>
      <c r="T44" s="224" t="str">
        <f t="shared" si="12"/>
        <v>MA</v>
      </c>
      <c r="U44" s="223" t="str">
        <f t="shared" si="13"/>
        <v>MA-NW-Prod</v>
      </c>
      <c r="V44" s="223" t="str">
        <f t="array" ref="V44">CONCATENATE(Q44,"-",R44)</f>
        <v>NW-Prod</v>
      </c>
      <c r="W44" s="239">
        <f>IF(ISERROR(VLOOKUP(T44,'15-16_DP_Tables'!$M$2:$V$8,MATCH(V44,INDEX('15-16_DP_Tables'!$M$2:$V$8,1,0),0),0)),0,VLOOKUP(T44,'15-16_DP_Tables'!$M$2:$V$8,MATCH(V44,INDEX('15-16_DP_Tables'!$M$2:$V$8,1,0),0),0))</f>
        <v>57.083333333332121</v>
      </c>
      <c r="X44" s="239">
        <f t="array" ref="X44">IF(ISERROR(VLOOKUP(T44,'15-16_DP_Tables'!$M$12:$V$18,MATCH(V44,INDEX('15-16_DP_Tables'!$M$12:$V$18,1,0),0),0)),0,VLOOKUP(T44,'15-16_DP_Tables'!$M$12:$V$18,MATCH(V44,INDEX('15-16_DP_Tables'!$M$12:$V$18,1,0),0),0))</f>
        <v>47.791666666664241</v>
      </c>
      <c r="Y44" s="223" t="str">
        <f t="shared" si="14"/>
        <v>Horizontal</v>
      </c>
      <c r="Z44" s="223">
        <v>5</v>
      </c>
      <c r="AA44" s="249" t="e">
        <f>VLOOKUP(T44,'Planning and Target Times'!$A$74:$L$78,MATCH(E44&amp;"-"&amp;Q44&amp;"-"&amp;Y44&amp;"-"&amp;R44,INDEX('Planning and Target Times'!$A$74:$L$78,1,0),0),0)</f>
        <v>#N/A</v>
      </c>
      <c r="AB44" s="249" t="e">
        <f>VLOOKUP(T44,'Planning and Target Times'!$A$97:$L$101,MATCH(E44&amp;"-"&amp;Q44&amp;"-"&amp;Y44&amp;"-"&amp;R44,INDEX('Planning and Target Times'!$A$97:$L$101,1,0),0),0)</f>
        <v>#N/A</v>
      </c>
      <c r="AC44" s="250">
        <f t="shared" si="4"/>
        <v>26.277372262774282</v>
      </c>
      <c r="AD44" s="250">
        <f t="shared" si="5"/>
        <v>31.386224934613622</v>
      </c>
      <c r="AE44" s="248">
        <f t="shared" si="10"/>
        <v>2350.2272959666479</v>
      </c>
      <c r="AF44" s="248">
        <f t="shared" si="15"/>
        <v>8599.7727040333521</v>
      </c>
      <c r="AG44" s="248">
        <f t="shared" ca="1" si="6"/>
        <v>1519.7727040333521</v>
      </c>
      <c r="AH44" s="248">
        <f t="shared" ca="1" si="7"/>
        <v>-286.22729596664794</v>
      </c>
      <c r="AI44" s="248">
        <f t="shared" si="11"/>
        <v>1821.6903323999684</v>
      </c>
      <c r="AJ44" s="248">
        <f t="shared" ca="1" si="8"/>
        <v>2048.3096676000314</v>
      </c>
      <c r="AK44" s="248">
        <f t="shared" ca="1" si="9"/>
        <v>242.30966760003162</v>
      </c>
    </row>
    <row r="45" spans="2:37" ht="15.95" customHeight="1" x14ac:dyDescent="0.25">
      <c r="B45" s="136">
        <v>111</v>
      </c>
      <c r="C45" s="149" t="s">
        <v>1196</v>
      </c>
      <c r="D45" s="188" t="s">
        <v>839</v>
      </c>
      <c r="E45" s="150" t="s">
        <v>42</v>
      </c>
      <c r="F45" s="189" t="s">
        <v>22</v>
      </c>
      <c r="G45" s="189" t="s">
        <v>1197</v>
      </c>
      <c r="H45" s="189" t="s">
        <v>1082</v>
      </c>
      <c r="I45" s="189" t="s">
        <v>459</v>
      </c>
      <c r="J45" s="141" t="s">
        <v>1079</v>
      </c>
      <c r="K45" s="142">
        <v>42124</v>
      </c>
      <c r="L45" s="142">
        <v>42254</v>
      </c>
      <c r="M45" s="134">
        <v>42268</v>
      </c>
      <c r="N45" s="189">
        <v>130</v>
      </c>
      <c r="O45" s="232">
        <v>8000</v>
      </c>
      <c r="P45" s="135" t="s">
        <v>1080</v>
      </c>
      <c r="Q45" s="225" t="s">
        <v>14</v>
      </c>
      <c r="R45" s="225" t="s">
        <v>1197</v>
      </c>
      <c r="S45" s="225" t="s">
        <v>22</v>
      </c>
      <c r="T45" s="224" t="str">
        <f t="shared" si="12"/>
        <v>LB</v>
      </c>
      <c r="U45" s="223" t="str">
        <f t="shared" si="13"/>
        <v>LB-NW-MLP</v>
      </c>
      <c r="V45" s="223" t="str">
        <f t="array" ref="V45">CONCATENATE(Q45,"-",R45)</f>
        <v>NW-MLP</v>
      </c>
      <c r="W45" s="239">
        <f>IF(ISERROR(VLOOKUP(T45,'15-16_DP_Tables'!$M$2:$V$8,MATCH(V45,INDEX('15-16_DP_Tables'!$M$2:$V$8,1,0),0),0)),0,VLOOKUP(T45,'15-16_DP_Tables'!$M$2:$V$8,MATCH(V45,INDEX('15-16_DP_Tables'!$M$2:$V$8,1,0),0),0))</f>
        <v>0</v>
      </c>
      <c r="X45" s="239">
        <f t="array" ref="X45">IF(ISERROR(VLOOKUP(T45,'15-16_DP_Tables'!$M$12:$V$18,MATCH(V45,INDEX('15-16_DP_Tables'!$M$12:$V$18,1,0),0),0)),0,VLOOKUP(T45,'15-16_DP_Tables'!$M$12:$V$18,MATCH(V45,INDEX('15-16_DP_Tables'!$M$12:$V$18,1,0),0),0))</f>
        <v>0</v>
      </c>
      <c r="Y45" s="223" t="str">
        <f t="shared" si="14"/>
        <v>Horizontal</v>
      </c>
      <c r="Z45" s="223">
        <v>5</v>
      </c>
      <c r="AA45" s="249" t="e">
        <f>VLOOKUP(T45,'Planning and Target Times'!$A$74:$L$78,MATCH(E45&amp;"-"&amp;Q45&amp;"-"&amp;Y45&amp;"-"&amp;R45,INDEX('Planning and Target Times'!$A$74:$L$78,1,0),0),0)</f>
        <v>#N/A</v>
      </c>
      <c r="AB45" s="249" t="e">
        <f>VLOOKUP(T45,'Planning and Target Times'!$A$97:$L$101,MATCH(E45&amp;"-"&amp;Q45&amp;"-"&amp;Y45&amp;"-"&amp;R45,INDEX('Planning and Target Times'!$A$97:$L$101,1,0),0),0)</f>
        <v>#N/A</v>
      </c>
      <c r="AC45" s="250">
        <f t="shared" si="4"/>
        <v>0</v>
      </c>
      <c r="AD45" s="250">
        <f t="shared" si="5"/>
        <v>0</v>
      </c>
      <c r="AE45" s="248">
        <f t="shared" si="10"/>
        <v>2355.2272959666479</v>
      </c>
      <c r="AF45" s="248">
        <f t="shared" si="15"/>
        <v>8594.7727040333521</v>
      </c>
      <c r="AG45" s="248">
        <f t="shared" ca="1" si="6"/>
        <v>1514.7727040333521</v>
      </c>
      <c r="AH45" s="248">
        <f t="shared" ca="1" si="7"/>
        <v>-291.22729596664794</v>
      </c>
      <c r="AI45" s="248">
        <f t="shared" si="11"/>
        <v>1826.6903323999684</v>
      </c>
      <c r="AJ45" s="248">
        <f t="shared" ca="1" si="8"/>
        <v>2043.3096676000316</v>
      </c>
      <c r="AK45" s="248">
        <f t="shared" ca="1" si="9"/>
        <v>237.30966760003162</v>
      </c>
    </row>
    <row r="46" spans="2:37" ht="15.95" customHeight="1" x14ac:dyDescent="0.25">
      <c r="B46" s="136">
        <v>37</v>
      </c>
      <c r="C46" s="169" t="s">
        <v>1121</v>
      </c>
      <c r="D46" s="165" t="s">
        <v>1116</v>
      </c>
      <c r="E46" s="170" t="s">
        <v>42</v>
      </c>
      <c r="F46" s="140" t="s">
        <v>17</v>
      </c>
      <c r="G46" s="140" t="s">
        <v>1086</v>
      </c>
      <c r="H46" s="140" t="s">
        <v>1077</v>
      </c>
      <c r="I46" s="140" t="s">
        <v>459</v>
      </c>
      <c r="J46" s="141" t="s">
        <v>1079</v>
      </c>
      <c r="K46" s="142">
        <v>42127</v>
      </c>
      <c r="L46" s="142">
        <v>42176</v>
      </c>
      <c r="M46" s="134">
        <v>42190</v>
      </c>
      <c r="N46" s="140">
        <v>49</v>
      </c>
      <c r="O46" s="143"/>
      <c r="P46" s="135" t="s">
        <v>1080</v>
      </c>
      <c r="Q46" s="223" t="s">
        <v>18</v>
      </c>
      <c r="R46" s="223" t="s">
        <v>34</v>
      </c>
      <c r="S46" s="223" t="s">
        <v>17</v>
      </c>
      <c r="T46" s="224" t="str">
        <f t="shared" si="12"/>
        <v>MA</v>
      </c>
      <c r="U46" s="223" t="str">
        <f t="shared" si="13"/>
        <v>MA-ST-Inj</v>
      </c>
      <c r="V46" s="223" t="str">
        <f t="array" ref="V46">CONCATENATE(Q46,"-",R46)</f>
        <v>ST-Inj</v>
      </c>
      <c r="W46" s="239">
        <f>IF(ISERROR(VLOOKUP(T46,'15-16_DP_Tables'!$M$2:$V$8,MATCH(V46,INDEX('15-16_DP_Tables'!$M$2:$V$8,1,0),0),0)),0,VLOOKUP(T46,'15-16_DP_Tables'!$M$2:$V$8,MATCH(V46,INDEX('15-16_DP_Tables'!$M$2:$V$8,1,0),0),0))</f>
        <v>35.545833099999626</v>
      </c>
      <c r="X46" s="239">
        <f t="array" ref="X46">IF(ISERROR(VLOOKUP(T46,'15-16_DP_Tables'!$M$12:$V$18,MATCH(V46,INDEX('15-16_DP_Tables'!$M$12:$V$18,1,0),0),0)),0,VLOOKUP(T46,'15-16_DP_Tables'!$M$12:$V$18,MATCH(V46,INDEX('15-16_DP_Tables'!$M$12:$V$18,1,0),0),0))</f>
        <v>26.054166533332847</v>
      </c>
      <c r="Y46" s="223" t="str">
        <f t="shared" si="14"/>
        <v>Horizontal</v>
      </c>
      <c r="Z46" s="223">
        <v>5</v>
      </c>
      <c r="AA46" s="249" t="e">
        <f>VLOOKUP(T46,'Planning and Target Times'!$A$74:$L$78,MATCH(E46&amp;"-"&amp;Q46&amp;"-"&amp;Y46&amp;"-"&amp;R46,INDEX('Planning and Target Times'!$A$74:$L$78,1,0),0),0)</f>
        <v>#N/A</v>
      </c>
      <c r="AB46" s="249" t="e">
        <f>VLOOKUP(T46,'Planning and Target Times'!$A$97:$L$101,MATCH(E46&amp;"-"&amp;Q46&amp;"-"&amp;Y46&amp;"-"&amp;R46,INDEX('Planning and Target Times'!$A$97:$L$101,1,0),0),0)</f>
        <v>#N/A</v>
      </c>
      <c r="AC46" s="250">
        <f t="shared" si="4"/>
        <v>0</v>
      </c>
      <c r="AD46" s="250">
        <f t="shared" si="5"/>
        <v>0</v>
      </c>
      <c r="AE46" s="248">
        <f t="shared" si="10"/>
        <v>2395.7731290666475</v>
      </c>
      <c r="AF46" s="248">
        <f t="shared" si="15"/>
        <v>8554.226870933353</v>
      </c>
      <c r="AG46" s="248">
        <f t="shared" ca="1" si="6"/>
        <v>1474.2268709333525</v>
      </c>
      <c r="AH46" s="248">
        <f t="shared" ca="1" si="7"/>
        <v>-331.77312906664747</v>
      </c>
      <c r="AI46" s="248">
        <f t="shared" si="11"/>
        <v>1857.7444989333012</v>
      </c>
      <c r="AJ46" s="248">
        <f t="shared" ca="1" si="8"/>
        <v>2012.2555010666988</v>
      </c>
      <c r="AK46" s="248">
        <f t="shared" ca="1" si="9"/>
        <v>206.2555010666988</v>
      </c>
    </row>
    <row r="47" spans="2:37" ht="15.95" customHeight="1" x14ac:dyDescent="0.25">
      <c r="B47" s="136">
        <v>97</v>
      </c>
      <c r="C47" s="148" t="s">
        <v>1183</v>
      </c>
      <c r="D47" s="147" t="s">
        <v>734</v>
      </c>
      <c r="E47" s="139" t="s">
        <v>11</v>
      </c>
      <c r="F47" s="140" t="s">
        <v>29</v>
      </c>
      <c r="G47" s="140" t="s">
        <v>1076</v>
      </c>
      <c r="H47" s="140" t="s">
        <v>1082</v>
      </c>
      <c r="I47" s="140" t="s">
        <v>459</v>
      </c>
      <c r="J47" s="141" t="s">
        <v>1079</v>
      </c>
      <c r="K47" s="142">
        <v>42128</v>
      </c>
      <c r="L47" s="142">
        <v>42198</v>
      </c>
      <c r="M47" s="134">
        <v>42212</v>
      </c>
      <c r="N47" s="140">
        <v>70</v>
      </c>
      <c r="O47" s="143">
        <v>1200</v>
      </c>
      <c r="P47" s="135" t="s">
        <v>1080</v>
      </c>
      <c r="Q47" s="223" t="s">
        <v>14</v>
      </c>
      <c r="R47" s="223" t="s">
        <v>298</v>
      </c>
      <c r="S47" s="223" t="s">
        <v>29</v>
      </c>
      <c r="T47" s="224" t="str">
        <f t="shared" si="12"/>
        <v>UB</v>
      </c>
      <c r="U47" s="223" t="str">
        <f t="shared" si="13"/>
        <v>UB-NW-Prod</v>
      </c>
      <c r="V47" s="223" t="str">
        <f t="array" ref="V47">CONCATENATE(Q47,"-",R47)</f>
        <v>NW-Prod</v>
      </c>
      <c r="W47" s="239">
        <f>IF(ISERROR(VLOOKUP(T47,'15-16_DP_Tables'!$M$2:$V$8,MATCH(V47,INDEX('15-16_DP_Tables'!$M$2:$V$8,1,0),0),0)),0,VLOOKUP(T47,'15-16_DP_Tables'!$M$2:$V$8,MATCH(V47,INDEX('15-16_DP_Tables'!$M$2:$V$8,1,0),0),0))</f>
        <v>53.604164999999995</v>
      </c>
      <c r="X47" s="239">
        <f t="array" ref="X47">IF(ISERROR(VLOOKUP(T47,'15-16_DP_Tables'!$M$12:$V$18,MATCH(V47,INDEX('15-16_DP_Tables'!$M$12:$V$18,1,0),0),0)),0,VLOOKUP(T47,'15-16_DP_Tables'!$M$12:$V$18,MATCH(V47,INDEX('15-16_DP_Tables'!$M$12:$V$18,1,0),0),0))</f>
        <v>48</v>
      </c>
      <c r="Y47" s="223" t="str">
        <f t="shared" si="14"/>
        <v>Horizontal</v>
      </c>
      <c r="Z47" s="223">
        <v>5</v>
      </c>
      <c r="AA47" s="249" t="e">
        <f>VLOOKUP(T47,'Planning and Target Times'!$A$74:$L$78,MATCH(E47&amp;"-"&amp;Q47&amp;"-"&amp;Y47&amp;"-"&amp;R47,INDEX('Planning and Target Times'!$A$74:$L$78,1,0),0),0)</f>
        <v>#N/A</v>
      </c>
      <c r="AB47" s="249" t="e">
        <f>VLOOKUP(T47,'Planning and Target Times'!$A$97:$L$101,MATCH(E47&amp;"-"&amp;Q47&amp;"-"&amp;Y47&amp;"-"&amp;R47,INDEX('Planning and Target Times'!$A$97:$L$101,1,0),0),0)</f>
        <v>#N/A</v>
      </c>
      <c r="AC47" s="250">
        <f t="shared" si="4"/>
        <v>22.386320167472064</v>
      </c>
      <c r="AD47" s="250">
        <f t="shared" si="5"/>
        <v>25</v>
      </c>
      <c r="AE47" s="248">
        <f t="shared" si="10"/>
        <v>2454.3772940666477</v>
      </c>
      <c r="AF47" s="248">
        <f t="shared" si="15"/>
        <v>8495.6227059333523</v>
      </c>
      <c r="AG47" s="248">
        <f t="shared" ca="1" si="6"/>
        <v>1415.6227059333523</v>
      </c>
      <c r="AH47" s="248">
        <f t="shared" ca="1" si="7"/>
        <v>-390.37729406664766</v>
      </c>
      <c r="AI47" s="248">
        <f t="shared" si="11"/>
        <v>1910.7444989333012</v>
      </c>
      <c r="AJ47" s="248">
        <f t="shared" ca="1" si="8"/>
        <v>1959.2555010666988</v>
      </c>
      <c r="AK47" s="248">
        <f t="shared" ca="1" si="9"/>
        <v>153.2555010666988</v>
      </c>
    </row>
    <row r="48" spans="2:37" ht="15.95" customHeight="1" x14ac:dyDescent="0.25">
      <c r="B48" s="136">
        <v>72</v>
      </c>
      <c r="C48" s="144" t="s">
        <v>1158</v>
      </c>
      <c r="D48" s="182" t="s">
        <v>512</v>
      </c>
      <c r="E48" s="155" t="s">
        <v>42</v>
      </c>
      <c r="F48" s="140" t="s">
        <v>44</v>
      </c>
      <c r="G48" s="140" t="s">
        <v>1076</v>
      </c>
      <c r="H48" s="140" t="s">
        <v>1082</v>
      </c>
      <c r="I48" s="140" t="s">
        <v>459</v>
      </c>
      <c r="J48" s="141" t="s">
        <v>1079</v>
      </c>
      <c r="K48" s="142">
        <v>42130</v>
      </c>
      <c r="L48" s="142">
        <v>42228</v>
      </c>
      <c r="M48" s="134">
        <v>42242</v>
      </c>
      <c r="N48" s="140">
        <v>98</v>
      </c>
      <c r="O48" s="143">
        <v>2200</v>
      </c>
      <c r="P48" s="143" t="s">
        <v>1080</v>
      </c>
      <c r="Q48" s="223" t="s">
        <v>14</v>
      </c>
      <c r="R48" s="223" t="s">
        <v>298</v>
      </c>
      <c r="S48" s="223" t="s">
        <v>44</v>
      </c>
      <c r="T48" s="224" t="str">
        <f t="shared" si="12"/>
        <v>ZU/RT</v>
      </c>
      <c r="U48" s="223" t="str">
        <f t="shared" si="13"/>
        <v>ZU-NW-Prod</v>
      </c>
      <c r="V48" s="223" t="str">
        <f t="array" ref="V48">CONCATENATE(Q48,"-",R48)</f>
        <v>NW-Prod</v>
      </c>
      <c r="W48" s="239">
        <f>IF(ISERROR(VLOOKUP(T48,'15-16_DP_Tables'!$M$2:$V$8,MATCH(V48,INDEX('15-16_DP_Tables'!$M$2:$V$8,1,0),0),0)),0,VLOOKUP(T48,'15-16_DP_Tables'!$M$2:$V$8,MATCH(V48,INDEX('15-16_DP_Tables'!$M$2:$V$8,1,0),0),0))</f>
        <v>99.088549999999998</v>
      </c>
      <c r="X48" s="239">
        <f t="array" ref="X48">IF(ISERROR(VLOOKUP(T48,'15-16_DP_Tables'!$M$12:$V$18,MATCH(V48,INDEX('15-16_DP_Tables'!$M$12:$V$18,1,0),0),0)),0,VLOOKUP(T48,'15-16_DP_Tables'!$M$12:$V$18,MATCH(V48,INDEX('15-16_DP_Tables'!$M$12:$V$18,1,0),0),0))</f>
        <v>53.375</v>
      </c>
      <c r="Y48" s="223" t="str">
        <f t="shared" si="14"/>
        <v>Horizontal</v>
      </c>
      <c r="Z48" s="223">
        <v>5</v>
      </c>
      <c r="AA48" s="249" t="e">
        <f>VLOOKUP(T48,'Planning and Target Times'!$A$74:$L$78,MATCH(E48&amp;"-"&amp;Q48&amp;"-"&amp;Y48&amp;"-"&amp;R48,INDEX('Planning and Target Times'!$A$74:$L$78,1,0),0),0)</f>
        <v>#N/A</v>
      </c>
      <c r="AB48" s="249" t="e">
        <f>VLOOKUP(T48,'Planning and Target Times'!$A$97:$L$101,MATCH(E48&amp;"-"&amp;Q48&amp;"-"&amp;Y48&amp;"-"&amp;R48,INDEX('Planning and Target Times'!$A$97:$L$101,1,0),0),0)</f>
        <v>#N/A</v>
      </c>
      <c r="AC48" s="250">
        <f t="shared" si="4"/>
        <v>22.202363441588357</v>
      </c>
      <c r="AD48" s="250">
        <f t="shared" si="5"/>
        <v>41.217798594847778</v>
      </c>
      <c r="AE48" s="248">
        <f t="shared" si="10"/>
        <v>2558.4658440666476</v>
      </c>
      <c r="AF48" s="248">
        <f t="shared" si="15"/>
        <v>8391.5341559333519</v>
      </c>
      <c r="AG48" s="248">
        <f t="shared" ca="1" si="6"/>
        <v>1311.5341559333524</v>
      </c>
      <c r="AH48" s="248">
        <f t="shared" ca="1" si="7"/>
        <v>-494.46584406664761</v>
      </c>
      <c r="AI48" s="248">
        <f t="shared" si="11"/>
        <v>1969.1194989333012</v>
      </c>
      <c r="AJ48" s="248">
        <f t="shared" ca="1" si="8"/>
        <v>1900.8805010666988</v>
      </c>
      <c r="AK48" s="248">
        <f t="shared" ca="1" si="9"/>
        <v>94.880501066698798</v>
      </c>
    </row>
    <row r="49" spans="2:37" ht="15.95" customHeight="1" x14ac:dyDescent="0.25">
      <c r="B49" s="136">
        <v>119</v>
      </c>
      <c r="C49" s="144" t="s">
        <v>1205</v>
      </c>
      <c r="D49" s="165" t="s">
        <v>838</v>
      </c>
      <c r="E49" s="139" t="s">
        <v>42</v>
      </c>
      <c r="F49" s="140" t="s">
        <v>29</v>
      </c>
      <c r="G49" s="132" t="s">
        <v>1076</v>
      </c>
      <c r="H49" s="132" t="s">
        <v>1082</v>
      </c>
      <c r="I49" s="132" t="s">
        <v>459</v>
      </c>
      <c r="J49" s="133" t="s">
        <v>1079</v>
      </c>
      <c r="K49" s="142">
        <v>42131</v>
      </c>
      <c r="L49" s="134">
        <v>42201</v>
      </c>
      <c r="M49" s="134">
        <v>42215</v>
      </c>
      <c r="N49" s="132">
        <v>70</v>
      </c>
      <c r="O49" s="135">
        <v>2000</v>
      </c>
      <c r="P49" s="135" t="s">
        <v>1080</v>
      </c>
      <c r="Q49" s="223" t="s">
        <v>14</v>
      </c>
      <c r="R49" s="223" t="s">
        <v>298</v>
      </c>
      <c r="S49" s="223" t="s">
        <v>29</v>
      </c>
      <c r="T49" s="224" t="str">
        <f t="shared" si="12"/>
        <v>UB</v>
      </c>
      <c r="U49" s="223" t="str">
        <f t="shared" si="13"/>
        <v>UB-NW-Prod</v>
      </c>
      <c r="V49" s="223" t="str">
        <f t="array" ref="V49">CONCATENATE(Q49,"-",R49)</f>
        <v>NW-Prod</v>
      </c>
      <c r="W49" s="239">
        <f>IF(ISERROR(VLOOKUP(T49,'15-16_DP_Tables'!$M$2:$V$8,MATCH(V49,INDEX('15-16_DP_Tables'!$M$2:$V$8,1,0),0),0)),0,VLOOKUP(T49,'15-16_DP_Tables'!$M$2:$V$8,MATCH(V49,INDEX('15-16_DP_Tables'!$M$2:$V$8,1,0),0),0))</f>
        <v>53.604164999999995</v>
      </c>
      <c r="X49" s="239">
        <f t="array" ref="X49">IF(ISERROR(VLOOKUP(T49,'15-16_DP_Tables'!$M$12:$V$18,MATCH(V49,INDEX('15-16_DP_Tables'!$M$12:$V$18,1,0),0),0)),0,VLOOKUP(T49,'15-16_DP_Tables'!$M$12:$V$18,MATCH(V49,INDEX('15-16_DP_Tables'!$M$12:$V$18,1,0),0),0))</f>
        <v>48</v>
      </c>
      <c r="Y49" s="223" t="str">
        <f t="shared" si="14"/>
        <v>Horizontal</v>
      </c>
      <c r="Z49" s="223">
        <v>5</v>
      </c>
      <c r="AA49" s="249" t="e">
        <f>VLOOKUP(T49,'Planning and Target Times'!$A$74:$L$78,MATCH(E49&amp;"-"&amp;Q49&amp;"-"&amp;Y49&amp;"-"&amp;R49,INDEX('Planning and Target Times'!$A$74:$L$78,1,0),0),0)</f>
        <v>#N/A</v>
      </c>
      <c r="AB49" s="249" t="e">
        <f>VLOOKUP(T49,'Planning and Target Times'!$A$97:$L$101,MATCH(E49&amp;"-"&amp;Q49&amp;"-"&amp;Y49&amp;"-"&amp;R49,INDEX('Planning and Target Times'!$A$97:$L$101,1,0),0),0)</f>
        <v>#N/A</v>
      </c>
      <c r="AC49" s="250">
        <f t="shared" si="4"/>
        <v>37.31053361245344</v>
      </c>
      <c r="AD49" s="250">
        <f t="shared" si="5"/>
        <v>41.666666666666664</v>
      </c>
      <c r="AE49" s="248">
        <f t="shared" si="10"/>
        <v>2617.0700090666478</v>
      </c>
      <c r="AF49" s="248">
        <f t="shared" si="15"/>
        <v>8332.9299909333531</v>
      </c>
      <c r="AG49" s="248">
        <f t="shared" ca="1" si="6"/>
        <v>1252.9299909333522</v>
      </c>
      <c r="AH49" s="248">
        <f t="shared" ca="1" si="7"/>
        <v>-553.0700090666478</v>
      </c>
      <c r="AI49" s="248">
        <f t="shared" si="11"/>
        <v>2022.1194989333012</v>
      </c>
      <c r="AJ49" s="248">
        <f t="shared" ca="1" si="8"/>
        <v>1847.8805010666988</v>
      </c>
      <c r="AK49" s="248">
        <f t="shared" ca="1" si="9"/>
        <v>41.880501066698798</v>
      </c>
    </row>
    <row r="50" spans="2:37" ht="15.95" customHeight="1" x14ac:dyDescent="0.25">
      <c r="B50" s="136">
        <v>104</v>
      </c>
      <c r="C50" s="144" t="s">
        <v>1190</v>
      </c>
      <c r="D50" s="157" t="s">
        <v>735</v>
      </c>
      <c r="E50" s="139" t="s">
        <v>42</v>
      </c>
      <c r="F50" s="140" t="s">
        <v>22</v>
      </c>
      <c r="G50" s="132" t="s">
        <v>1076</v>
      </c>
      <c r="H50" s="132" t="s">
        <v>1082</v>
      </c>
      <c r="I50" s="132" t="s">
        <v>459</v>
      </c>
      <c r="J50" s="133" t="s">
        <v>1079</v>
      </c>
      <c r="K50" s="142">
        <v>42138</v>
      </c>
      <c r="L50" s="134">
        <v>42208</v>
      </c>
      <c r="M50" s="134">
        <v>42222</v>
      </c>
      <c r="N50" s="132">
        <v>70</v>
      </c>
      <c r="O50" s="135">
        <v>1800</v>
      </c>
      <c r="P50" s="135" t="s">
        <v>1080</v>
      </c>
      <c r="Q50" s="223" t="s">
        <v>14</v>
      </c>
      <c r="R50" s="223" t="s">
        <v>298</v>
      </c>
      <c r="S50" s="223" t="s">
        <v>22</v>
      </c>
      <c r="T50" s="224" t="str">
        <f t="shared" si="12"/>
        <v>LB</v>
      </c>
      <c r="U50" s="223" t="str">
        <f t="shared" si="13"/>
        <v>LB-NW-Prod</v>
      </c>
      <c r="V50" s="223" t="str">
        <f t="array" ref="V50">CONCATENATE(Q50,"-",R50)</f>
        <v>NW-Prod</v>
      </c>
      <c r="W50" s="239">
        <f>IF(ISERROR(VLOOKUP(T50,'15-16_DP_Tables'!$M$2:$V$8,MATCH(V50,INDEX('15-16_DP_Tables'!$M$2:$V$8,1,0),0),0)),0,VLOOKUP(T50,'15-16_DP_Tables'!$M$2:$V$8,MATCH(V50,INDEX('15-16_DP_Tables'!$M$2:$V$8,1,0),0),0))</f>
        <v>55.81537142381022</v>
      </c>
      <c r="X50" s="239">
        <f t="array" ref="X50">IF(ISERROR(VLOOKUP(T50,'15-16_DP_Tables'!$M$12:$V$18,MATCH(V50,INDEX('15-16_DP_Tables'!$M$12:$V$18,1,0),0),0)),0,VLOOKUP(T50,'15-16_DP_Tables'!$M$12:$V$18,MATCH(V50,INDEX('15-16_DP_Tables'!$M$12:$V$18,1,0),0),0))</f>
        <v>45.207999999999998</v>
      </c>
      <c r="Y50" s="223" t="str">
        <f t="shared" si="14"/>
        <v>Horizontal</v>
      </c>
      <c r="Z50" s="223">
        <v>5</v>
      </c>
      <c r="AA50" s="249" t="e">
        <f>VLOOKUP(T50,'Planning and Target Times'!$A$74:$L$78,MATCH(E50&amp;"-"&amp;Q50&amp;"-"&amp;Y50&amp;"-"&amp;R50,INDEX('Planning and Target Times'!$A$74:$L$78,1,0),0),0)</f>
        <v>#N/A</v>
      </c>
      <c r="AB50" s="249" t="e">
        <f>VLOOKUP(T50,'Planning and Target Times'!$A$97:$L$101,MATCH(E50&amp;"-"&amp;Q50&amp;"-"&amp;Y50&amp;"-"&amp;R50,INDEX('Planning and Target Times'!$A$97:$L$101,1,0),0),0)</f>
        <v>#N/A</v>
      </c>
      <c r="AC50" s="250">
        <f t="shared" si="4"/>
        <v>32.249180719993198</v>
      </c>
      <c r="AD50" s="250">
        <f t="shared" si="5"/>
        <v>39.815961776676694</v>
      </c>
      <c r="AE50" s="248">
        <f t="shared" si="10"/>
        <v>2677.8853804904579</v>
      </c>
      <c r="AF50" s="248">
        <f t="shared" si="15"/>
        <v>8272.1146195095425</v>
      </c>
      <c r="AG50" s="248">
        <f t="shared" ca="1" si="6"/>
        <v>1192.1146195095421</v>
      </c>
      <c r="AH50" s="248">
        <f t="shared" ca="1" si="7"/>
        <v>-613.88538049045792</v>
      </c>
      <c r="AI50" s="248">
        <f t="shared" si="11"/>
        <v>2072.3274989333013</v>
      </c>
      <c r="AJ50" s="248">
        <f t="shared" ca="1" si="8"/>
        <v>1797.6725010666987</v>
      </c>
      <c r="AK50" s="248">
        <f t="shared" ca="1" si="9"/>
        <v>-8.3274989333012854</v>
      </c>
    </row>
    <row r="51" spans="2:37" ht="15.95" customHeight="1" x14ac:dyDescent="0.25">
      <c r="B51" s="136">
        <v>79</v>
      </c>
      <c r="C51" s="144" t="s">
        <v>1165</v>
      </c>
      <c r="D51" s="184" t="s">
        <v>511</v>
      </c>
      <c r="E51" s="139" t="s">
        <v>42</v>
      </c>
      <c r="F51" s="140" t="s">
        <v>22</v>
      </c>
      <c r="G51" s="132" t="s">
        <v>1076</v>
      </c>
      <c r="H51" s="132" t="s">
        <v>1082</v>
      </c>
      <c r="I51" s="132" t="s">
        <v>459</v>
      </c>
      <c r="J51" s="133" t="s">
        <v>1079</v>
      </c>
      <c r="K51" s="142">
        <v>42145</v>
      </c>
      <c r="L51" s="142">
        <v>42215</v>
      </c>
      <c r="M51" s="134">
        <v>42229</v>
      </c>
      <c r="N51" s="140">
        <v>70</v>
      </c>
      <c r="O51" s="143">
        <v>1800</v>
      </c>
      <c r="P51" s="135" t="s">
        <v>1080</v>
      </c>
      <c r="Q51" s="223" t="s">
        <v>14</v>
      </c>
      <c r="R51" s="223" t="s">
        <v>298</v>
      </c>
      <c r="S51" s="223" t="s">
        <v>22</v>
      </c>
      <c r="T51" s="224" t="str">
        <f t="shared" si="12"/>
        <v>LB</v>
      </c>
      <c r="U51" s="223" t="str">
        <f t="shared" si="13"/>
        <v>LB-NW-Prod</v>
      </c>
      <c r="V51" s="223" t="str">
        <f t="array" ref="V51">CONCATENATE(Q51,"-",R51)</f>
        <v>NW-Prod</v>
      </c>
      <c r="W51" s="239">
        <f>IF(ISERROR(VLOOKUP(T51,'15-16_DP_Tables'!$M$2:$V$8,MATCH(V51,INDEX('15-16_DP_Tables'!$M$2:$V$8,1,0),0),0)),0,VLOOKUP(T51,'15-16_DP_Tables'!$M$2:$V$8,MATCH(V51,INDEX('15-16_DP_Tables'!$M$2:$V$8,1,0),0),0))</f>
        <v>55.81537142381022</v>
      </c>
      <c r="X51" s="239">
        <f t="array" ref="X51">IF(ISERROR(VLOOKUP(T51,'15-16_DP_Tables'!$M$12:$V$18,MATCH(V51,INDEX('15-16_DP_Tables'!$M$12:$V$18,1,0),0),0)),0,VLOOKUP(T51,'15-16_DP_Tables'!$M$12:$V$18,MATCH(V51,INDEX('15-16_DP_Tables'!$M$12:$V$18,1,0),0),0))</f>
        <v>45.207999999999998</v>
      </c>
      <c r="Y51" s="223" t="str">
        <f t="shared" si="14"/>
        <v>Slant</v>
      </c>
      <c r="Z51" s="223">
        <v>5</v>
      </c>
      <c r="AA51" s="249" t="e">
        <f>VLOOKUP(T51,'Planning and Target Times'!$A$74:$L$78,MATCH(E51&amp;"-"&amp;Q51&amp;"-"&amp;Y51&amp;"-"&amp;R51,INDEX('Planning and Target Times'!$A$74:$L$78,1,0),0),0)</f>
        <v>#N/A</v>
      </c>
      <c r="AB51" s="249" t="e">
        <f>VLOOKUP(T51,'Planning and Target Times'!$A$97:$L$101,MATCH(E51&amp;"-"&amp;Q51&amp;"-"&amp;Y51&amp;"-"&amp;R51,INDEX('Planning and Target Times'!$A$97:$L$101,1,0),0),0)</f>
        <v>#N/A</v>
      </c>
      <c r="AC51" s="250">
        <f t="shared" si="4"/>
        <v>32.249180719993198</v>
      </c>
      <c r="AD51" s="250">
        <f t="shared" si="5"/>
        <v>39.815961776676694</v>
      </c>
      <c r="AE51" s="248">
        <f t="shared" si="10"/>
        <v>2738.700751914268</v>
      </c>
      <c r="AF51" s="248">
        <f t="shared" si="15"/>
        <v>8211.299248085732</v>
      </c>
      <c r="AG51" s="248">
        <f t="shared" ca="1" si="6"/>
        <v>1131.299248085732</v>
      </c>
      <c r="AH51" s="248">
        <f t="shared" ca="1" si="7"/>
        <v>-674.70075191426804</v>
      </c>
      <c r="AI51" s="248">
        <f t="shared" si="11"/>
        <v>2122.5354989333014</v>
      </c>
      <c r="AJ51" s="248">
        <f t="shared" ca="1" si="8"/>
        <v>1747.4645010666986</v>
      </c>
      <c r="AK51" s="248">
        <f t="shared" ca="1" si="9"/>
        <v>-58.535498933301369</v>
      </c>
    </row>
    <row r="52" spans="2:37" ht="15.95" customHeight="1" x14ac:dyDescent="0.25">
      <c r="B52" s="136">
        <v>29</v>
      </c>
      <c r="C52" s="164" t="s">
        <v>1112</v>
      </c>
      <c r="D52" s="157" t="s">
        <v>1107</v>
      </c>
      <c r="E52" s="139" t="s">
        <v>42</v>
      </c>
      <c r="F52" s="140" t="s">
        <v>17</v>
      </c>
      <c r="G52" s="140" t="s">
        <v>1076</v>
      </c>
      <c r="H52" s="140" t="s">
        <v>1082</v>
      </c>
      <c r="I52" s="140" t="s">
        <v>459</v>
      </c>
      <c r="J52" s="141" t="s">
        <v>1079</v>
      </c>
      <c r="K52" s="142">
        <v>42149</v>
      </c>
      <c r="L52" s="142">
        <v>42219</v>
      </c>
      <c r="M52" s="134">
        <v>42233</v>
      </c>
      <c r="N52" s="132">
        <v>70</v>
      </c>
      <c r="O52" s="135">
        <v>1500</v>
      </c>
      <c r="P52" s="135" t="s">
        <v>1080</v>
      </c>
      <c r="Q52" s="223" t="s">
        <v>14</v>
      </c>
      <c r="R52" s="223" t="s">
        <v>298</v>
      </c>
      <c r="S52" s="223" t="s">
        <v>17</v>
      </c>
      <c r="T52" s="224" t="str">
        <f t="shared" si="12"/>
        <v>MA</v>
      </c>
      <c r="U52" s="223" t="str">
        <f t="shared" si="13"/>
        <v>MA-NW-Prod</v>
      </c>
      <c r="V52" s="223" t="str">
        <f t="array" ref="V52">CONCATENATE(Q52,"-",R52)</f>
        <v>NW-Prod</v>
      </c>
      <c r="W52" s="239">
        <f>IF(ISERROR(VLOOKUP(T52,'15-16_DP_Tables'!$M$2:$V$8,MATCH(V52,INDEX('15-16_DP_Tables'!$M$2:$V$8,1,0),0),0)),0,VLOOKUP(T52,'15-16_DP_Tables'!$M$2:$V$8,MATCH(V52,INDEX('15-16_DP_Tables'!$M$2:$V$8,1,0),0),0))</f>
        <v>57.083333333332121</v>
      </c>
      <c r="X52" s="239">
        <f t="array" ref="X52">IF(ISERROR(VLOOKUP(T52,'15-16_DP_Tables'!$M$12:$V$18,MATCH(V52,INDEX('15-16_DP_Tables'!$M$12:$V$18,1,0),0),0)),0,VLOOKUP(T52,'15-16_DP_Tables'!$M$12:$V$18,MATCH(V52,INDEX('15-16_DP_Tables'!$M$12:$V$18,1,0),0),0))</f>
        <v>47.791666666664241</v>
      </c>
      <c r="Y52" s="223" t="str">
        <f t="shared" si="14"/>
        <v>Horizontal</v>
      </c>
      <c r="Z52" s="223">
        <v>5</v>
      </c>
      <c r="AA52" s="249" t="e">
        <f>VLOOKUP(T52,'Planning and Target Times'!$A$74:$L$78,MATCH(E52&amp;"-"&amp;Q52&amp;"-"&amp;Y52&amp;"-"&amp;R52,INDEX('Planning and Target Times'!$A$74:$L$78,1,0),0),0)</f>
        <v>#N/A</v>
      </c>
      <c r="AB52" s="249" t="e">
        <f>VLOOKUP(T52,'Planning and Target Times'!$A$97:$L$101,MATCH(E52&amp;"-"&amp;Q52&amp;"-"&amp;Y52&amp;"-"&amp;R52,INDEX('Planning and Target Times'!$A$97:$L$101,1,0),0),0)</f>
        <v>#N/A</v>
      </c>
      <c r="AC52" s="250">
        <f t="shared" si="4"/>
        <v>26.277372262774282</v>
      </c>
      <c r="AD52" s="250">
        <f t="shared" si="5"/>
        <v>31.386224934613622</v>
      </c>
      <c r="AE52" s="248">
        <f t="shared" si="10"/>
        <v>2800.7840852476002</v>
      </c>
      <c r="AF52" s="248">
        <f t="shared" si="15"/>
        <v>8149.2159147523998</v>
      </c>
      <c r="AG52" s="248">
        <f t="shared" ca="1" si="6"/>
        <v>1069.2159147523998</v>
      </c>
      <c r="AH52" s="248">
        <f t="shared" ca="1" si="7"/>
        <v>-736.78408524760016</v>
      </c>
      <c r="AI52" s="248">
        <f t="shared" si="11"/>
        <v>2175.3271655999656</v>
      </c>
      <c r="AJ52" s="248">
        <f t="shared" ca="1" si="8"/>
        <v>1694.6728344000344</v>
      </c>
      <c r="AK52" s="248">
        <f t="shared" ca="1" si="9"/>
        <v>-111.32716559996561</v>
      </c>
    </row>
    <row r="53" spans="2:37" ht="15.95" customHeight="1" x14ac:dyDescent="0.25">
      <c r="B53" s="136">
        <v>57</v>
      </c>
      <c r="C53" s="164" t="s">
        <v>1143</v>
      </c>
      <c r="D53" s="178" t="s">
        <v>1137</v>
      </c>
      <c r="E53" s="139" t="s">
        <v>11</v>
      </c>
      <c r="F53" s="140" t="s">
        <v>17</v>
      </c>
      <c r="G53" s="140" t="s">
        <v>1076</v>
      </c>
      <c r="H53" s="140" t="s">
        <v>1082</v>
      </c>
      <c r="I53" s="140" t="s">
        <v>459</v>
      </c>
      <c r="J53" s="141" t="s">
        <v>1079</v>
      </c>
      <c r="K53" s="142">
        <v>42151</v>
      </c>
      <c r="L53" s="142">
        <v>42221</v>
      </c>
      <c r="M53" s="134">
        <v>42235</v>
      </c>
      <c r="N53" s="140">
        <v>70</v>
      </c>
      <c r="O53" s="143">
        <v>1400</v>
      </c>
      <c r="P53" s="135" t="s">
        <v>1080</v>
      </c>
      <c r="Q53" s="223" t="s">
        <v>14</v>
      </c>
      <c r="R53" s="223" t="s">
        <v>298</v>
      </c>
      <c r="S53" s="223" t="s">
        <v>17</v>
      </c>
      <c r="T53" s="224" t="str">
        <f t="shared" si="12"/>
        <v>MA</v>
      </c>
      <c r="U53" s="223" t="str">
        <f t="shared" si="13"/>
        <v>MA-NW-Prod</v>
      </c>
      <c r="V53" s="223" t="str">
        <f t="array" ref="V53">CONCATENATE(Q53,"-",R53)</f>
        <v>NW-Prod</v>
      </c>
      <c r="W53" s="239">
        <f>IF(ISERROR(VLOOKUP(T53,'15-16_DP_Tables'!$M$2:$V$8,MATCH(V53,INDEX('15-16_DP_Tables'!$M$2:$V$8,1,0),0),0)),0,VLOOKUP(T53,'15-16_DP_Tables'!$M$2:$V$8,MATCH(V53,INDEX('15-16_DP_Tables'!$M$2:$V$8,1,0),0),0))</f>
        <v>57.083333333332121</v>
      </c>
      <c r="X53" s="239">
        <f t="array" ref="X53">IF(ISERROR(VLOOKUP(T53,'15-16_DP_Tables'!$M$12:$V$18,MATCH(V53,INDEX('15-16_DP_Tables'!$M$12:$V$18,1,0),0),0)),0,VLOOKUP(T53,'15-16_DP_Tables'!$M$12:$V$18,MATCH(V53,INDEX('15-16_DP_Tables'!$M$12:$V$18,1,0),0),0))</f>
        <v>47.791666666664241</v>
      </c>
      <c r="Y53" s="223" t="str">
        <f t="shared" si="14"/>
        <v>Horizontal</v>
      </c>
      <c r="Z53" s="223">
        <v>5</v>
      </c>
      <c r="AA53" s="249" t="e">
        <f>VLOOKUP(T53,'Planning and Target Times'!$A$74:$L$78,MATCH(E53&amp;"-"&amp;Q53&amp;"-"&amp;Y53&amp;"-"&amp;R53,INDEX('Planning and Target Times'!$A$74:$L$78,1,0),0),0)</f>
        <v>#N/A</v>
      </c>
      <c r="AB53" s="249" t="e">
        <f>VLOOKUP(T53,'Planning and Target Times'!$A$97:$L$101,MATCH(E53&amp;"-"&amp;Q53&amp;"-"&amp;Y53&amp;"-"&amp;R53,INDEX('Planning and Target Times'!$A$97:$L$101,1,0),0),0)</f>
        <v>#N/A</v>
      </c>
      <c r="AC53" s="250">
        <f t="shared" si="4"/>
        <v>24.525547445255995</v>
      </c>
      <c r="AD53" s="250">
        <f t="shared" si="5"/>
        <v>29.293809938972714</v>
      </c>
      <c r="AE53" s="248">
        <f t="shared" si="10"/>
        <v>2862.8674185809323</v>
      </c>
      <c r="AF53" s="248">
        <f t="shared" si="15"/>
        <v>8087.1325814190677</v>
      </c>
      <c r="AG53" s="248">
        <f t="shared" ca="1" si="6"/>
        <v>1007.1325814190677</v>
      </c>
      <c r="AH53" s="248">
        <f t="shared" ca="1" si="7"/>
        <v>-798.86741858093228</v>
      </c>
      <c r="AI53" s="248">
        <f t="shared" si="11"/>
        <v>2228.1188322666299</v>
      </c>
      <c r="AJ53" s="248">
        <f t="shared" ca="1" si="8"/>
        <v>1641.8811677333701</v>
      </c>
      <c r="AK53" s="248">
        <f t="shared" ca="1" si="9"/>
        <v>-164.11883226662985</v>
      </c>
    </row>
    <row r="54" spans="2:37" ht="15.95" customHeight="1" x14ac:dyDescent="0.25">
      <c r="B54" s="136">
        <v>65</v>
      </c>
      <c r="C54" s="144" t="s">
        <v>1151</v>
      </c>
      <c r="D54" s="180" t="s">
        <v>513</v>
      </c>
      <c r="E54" s="139" t="s">
        <v>42</v>
      </c>
      <c r="F54" s="140" t="s">
        <v>29</v>
      </c>
      <c r="G54" s="140" t="s">
        <v>1076</v>
      </c>
      <c r="H54" s="140" t="s">
        <v>1082</v>
      </c>
      <c r="I54" s="140" t="s">
        <v>459</v>
      </c>
      <c r="J54" s="141" t="s">
        <v>1079</v>
      </c>
      <c r="K54" s="142">
        <v>42156</v>
      </c>
      <c r="L54" s="142">
        <v>42226</v>
      </c>
      <c r="M54" s="134">
        <v>42240</v>
      </c>
      <c r="N54" s="132">
        <v>70</v>
      </c>
      <c r="O54" s="135">
        <v>2000</v>
      </c>
      <c r="P54" s="135" t="s">
        <v>1080</v>
      </c>
      <c r="Q54" s="223" t="s">
        <v>14</v>
      </c>
      <c r="R54" s="223" t="s">
        <v>298</v>
      </c>
      <c r="S54" s="223" t="s">
        <v>29</v>
      </c>
      <c r="T54" s="224" t="str">
        <f t="shared" si="12"/>
        <v>UB</v>
      </c>
      <c r="U54" s="223" t="str">
        <f t="shared" si="13"/>
        <v>UB-NW-Prod</v>
      </c>
      <c r="V54" s="223" t="str">
        <f t="array" ref="V54">CONCATENATE(Q54,"-",R54)</f>
        <v>NW-Prod</v>
      </c>
      <c r="W54" s="239">
        <f>IF(ISERROR(VLOOKUP(T54,'15-16_DP_Tables'!$M$2:$V$8,MATCH(V54,INDEX('15-16_DP_Tables'!$M$2:$V$8,1,0),0),0)),0,VLOOKUP(T54,'15-16_DP_Tables'!$M$2:$V$8,MATCH(V54,INDEX('15-16_DP_Tables'!$M$2:$V$8,1,0),0),0))</f>
        <v>53.604164999999995</v>
      </c>
      <c r="X54" s="239">
        <f t="array" ref="X54">IF(ISERROR(VLOOKUP(T54,'15-16_DP_Tables'!$M$12:$V$18,MATCH(V54,INDEX('15-16_DP_Tables'!$M$12:$V$18,1,0),0),0)),0,VLOOKUP(T54,'15-16_DP_Tables'!$M$12:$V$18,MATCH(V54,INDEX('15-16_DP_Tables'!$M$12:$V$18,1,0),0),0))</f>
        <v>48</v>
      </c>
      <c r="Y54" s="223" t="str">
        <f t="shared" si="14"/>
        <v>Horizontal</v>
      </c>
      <c r="Z54" s="223">
        <v>5</v>
      </c>
      <c r="AA54" s="249" t="e">
        <f>VLOOKUP(T54,'Planning and Target Times'!$A$74:$L$78,MATCH(E54&amp;"-"&amp;Q54&amp;"-"&amp;Y54&amp;"-"&amp;R54,INDEX('Planning and Target Times'!$A$74:$L$78,1,0),0),0)</f>
        <v>#N/A</v>
      </c>
      <c r="AB54" s="249" t="e">
        <f>VLOOKUP(T54,'Planning and Target Times'!$A$97:$L$101,MATCH(E54&amp;"-"&amp;Q54&amp;"-"&amp;Y54&amp;"-"&amp;R54,INDEX('Planning and Target Times'!$A$97:$L$101,1,0),0),0)</f>
        <v>#N/A</v>
      </c>
      <c r="AC54" s="250">
        <f t="shared" si="4"/>
        <v>37.31053361245344</v>
      </c>
      <c r="AD54" s="250">
        <f t="shared" si="5"/>
        <v>41.666666666666664</v>
      </c>
      <c r="AE54" s="248">
        <f t="shared" si="10"/>
        <v>2921.4715835809325</v>
      </c>
      <c r="AF54" s="248">
        <f t="shared" si="15"/>
        <v>8028.5284164190671</v>
      </c>
      <c r="AG54" s="248">
        <f t="shared" ca="1" si="6"/>
        <v>948.52841641906753</v>
      </c>
      <c r="AH54" s="248">
        <f t="shared" ca="1" si="7"/>
        <v>-857.47158358093247</v>
      </c>
      <c r="AI54" s="248">
        <f t="shared" si="11"/>
        <v>2281.1188322666299</v>
      </c>
      <c r="AJ54" s="248">
        <f t="shared" ca="1" si="8"/>
        <v>1588.8811677333701</v>
      </c>
      <c r="AK54" s="248">
        <f t="shared" ca="1" si="9"/>
        <v>-217.11883226662985</v>
      </c>
    </row>
    <row r="55" spans="2:37" ht="15.95" customHeight="1" x14ac:dyDescent="0.25">
      <c r="B55" s="136">
        <v>12</v>
      </c>
      <c r="C55" s="151" t="s">
        <v>1093</v>
      </c>
      <c r="D55" s="147" t="s">
        <v>430</v>
      </c>
      <c r="E55" s="150" t="s">
        <v>11</v>
      </c>
      <c r="F55" s="140" t="s">
        <v>17</v>
      </c>
      <c r="G55" s="140" t="s">
        <v>1076</v>
      </c>
      <c r="H55" s="140" t="s">
        <v>1082</v>
      </c>
      <c r="I55" s="140" t="s">
        <v>459</v>
      </c>
      <c r="J55" s="141" t="s">
        <v>1079</v>
      </c>
      <c r="K55" s="142">
        <v>42162</v>
      </c>
      <c r="L55" s="142">
        <v>42232</v>
      </c>
      <c r="M55" s="134">
        <v>42246</v>
      </c>
      <c r="N55" s="140">
        <v>70</v>
      </c>
      <c r="O55" s="143">
        <v>1400</v>
      </c>
      <c r="P55" s="135" t="s">
        <v>1080</v>
      </c>
      <c r="Q55" s="223" t="s">
        <v>14</v>
      </c>
      <c r="R55" s="223" t="s">
        <v>298</v>
      </c>
      <c r="S55" s="223" t="s">
        <v>17</v>
      </c>
      <c r="T55" s="224" t="str">
        <f t="shared" si="12"/>
        <v>MA</v>
      </c>
      <c r="U55" s="223" t="str">
        <f t="shared" si="13"/>
        <v>MA-NW-Prod</v>
      </c>
      <c r="V55" s="223" t="str">
        <f t="array" ref="V55">CONCATENATE(Q55,"-",R55)</f>
        <v>NW-Prod</v>
      </c>
      <c r="W55" s="239">
        <f>IF(ISERROR(VLOOKUP(T55,'15-16_DP_Tables'!$M$2:$V$8,MATCH(V55,INDEX('15-16_DP_Tables'!$M$2:$V$8,1,0),0),0)),0,VLOOKUP(T55,'15-16_DP_Tables'!$M$2:$V$8,MATCH(V55,INDEX('15-16_DP_Tables'!$M$2:$V$8,1,0),0),0))</f>
        <v>57.083333333332121</v>
      </c>
      <c r="X55" s="239">
        <f t="array" ref="X55">IF(ISERROR(VLOOKUP(T55,'15-16_DP_Tables'!$M$12:$V$18,MATCH(V55,INDEX('15-16_DP_Tables'!$M$12:$V$18,1,0),0),0)),0,VLOOKUP(T55,'15-16_DP_Tables'!$M$12:$V$18,MATCH(V55,INDEX('15-16_DP_Tables'!$M$12:$V$18,1,0),0),0))</f>
        <v>47.791666666664241</v>
      </c>
      <c r="Y55" s="223" t="str">
        <f t="shared" si="14"/>
        <v>Horizontal</v>
      </c>
      <c r="Z55" s="223">
        <v>5</v>
      </c>
      <c r="AA55" s="249" t="e">
        <f>VLOOKUP(T55,'Planning and Target Times'!$A$74:$L$78,MATCH(E55&amp;"-"&amp;Q55&amp;"-"&amp;Y55&amp;"-"&amp;R55,INDEX('Planning and Target Times'!$A$74:$L$78,1,0),0),0)</f>
        <v>#N/A</v>
      </c>
      <c r="AB55" s="249" t="e">
        <f>VLOOKUP(T55,'Planning and Target Times'!$A$97:$L$101,MATCH(E55&amp;"-"&amp;Q55&amp;"-"&amp;Y55&amp;"-"&amp;R55,INDEX('Planning and Target Times'!$A$97:$L$101,1,0),0),0)</f>
        <v>#N/A</v>
      </c>
      <c r="AC55" s="250">
        <f t="shared" si="4"/>
        <v>24.525547445255995</v>
      </c>
      <c r="AD55" s="250">
        <f t="shared" si="5"/>
        <v>29.293809938972714</v>
      </c>
      <c r="AE55" s="248">
        <f t="shared" si="10"/>
        <v>2983.5549169142646</v>
      </c>
      <c r="AF55" s="248">
        <f t="shared" si="15"/>
        <v>7966.445083085735</v>
      </c>
      <c r="AG55" s="248">
        <f t="shared" ca="1" si="6"/>
        <v>886.4450830857354</v>
      </c>
      <c r="AH55" s="248">
        <f t="shared" ca="1" si="7"/>
        <v>-919.5549169142646</v>
      </c>
      <c r="AI55" s="248">
        <f t="shared" si="11"/>
        <v>2333.9104989332941</v>
      </c>
      <c r="AJ55" s="248">
        <f t="shared" ca="1" si="8"/>
        <v>1536.0895010667059</v>
      </c>
      <c r="AK55" s="248">
        <f t="shared" ca="1" si="9"/>
        <v>-269.91049893329409</v>
      </c>
    </row>
    <row r="56" spans="2:37" ht="15.95" customHeight="1" x14ac:dyDescent="0.25">
      <c r="B56" s="136">
        <v>48</v>
      </c>
      <c r="C56" s="144" t="s">
        <v>1132</v>
      </c>
      <c r="D56" s="171" t="s">
        <v>1126</v>
      </c>
      <c r="E56" s="139" t="s">
        <v>42</v>
      </c>
      <c r="F56" s="174" t="s">
        <v>17</v>
      </c>
      <c r="G56" s="174" t="s">
        <v>1076</v>
      </c>
      <c r="H56" s="174" t="s">
        <v>1082</v>
      </c>
      <c r="I56" s="174" t="s">
        <v>459</v>
      </c>
      <c r="J56" s="175" t="s">
        <v>1079</v>
      </c>
      <c r="K56" s="142">
        <v>42164</v>
      </c>
      <c r="L56" s="142">
        <v>42234</v>
      </c>
      <c r="M56" s="134">
        <v>42248</v>
      </c>
      <c r="N56" s="174">
        <v>70</v>
      </c>
      <c r="O56" s="176">
        <v>1500</v>
      </c>
      <c r="P56" s="222" t="s">
        <v>1080</v>
      </c>
      <c r="Q56" s="223" t="s">
        <v>14</v>
      </c>
      <c r="R56" s="223" t="s">
        <v>298</v>
      </c>
      <c r="S56" s="223" t="s">
        <v>17</v>
      </c>
      <c r="T56" s="224" t="str">
        <f t="shared" si="12"/>
        <v>MA</v>
      </c>
      <c r="U56" s="223" t="str">
        <f t="shared" si="13"/>
        <v>MA-NW-Prod</v>
      </c>
      <c r="V56" s="223" t="str">
        <f t="array" ref="V56">CONCATENATE(Q56,"-",R56)</f>
        <v>NW-Prod</v>
      </c>
      <c r="W56" s="239">
        <f>IF(ISERROR(VLOOKUP(T56,'15-16_DP_Tables'!$M$2:$V$8,MATCH(V56,INDEX('15-16_DP_Tables'!$M$2:$V$8,1,0),0),0)),0,VLOOKUP(T56,'15-16_DP_Tables'!$M$2:$V$8,MATCH(V56,INDEX('15-16_DP_Tables'!$M$2:$V$8,1,0),0),0))</f>
        <v>57.083333333332121</v>
      </c>
      <c r="X56" s="239">
        <f t="array" ref="X56">IF(ISERROR(VLOOKUP(T56,'15-16_DP_Tables'!$M$12:$V$18,MATCH(V56,INDEX('15-16_DP_Tables'!$M$12:$V$18,1,0),0),0)),0,VLOOKUP(T56,'15-16_DP_Tables'!$M$12:$V$18,MATCH(V56,INDEX('15-16_DP_Tables'!$M$12:$V$18,1,0),0),0))</f>
        <v>47.791666666664241</v>
      </c>
      <c r="Y56" s="223" t="str">
        <f t="shared" si="14"/>
        <v>Horizontal</v>
      </c>
      <c r="Z56" s="223">
        <v>5</v>
      </c>
      <c r="AA56" s="249" t="e">
        <f>VLOOKUP(T56,'Planning and Target Times'!$A$74:$L$78,MATCH(E56&amp;"-"&amp;Q56&amp;"-"&amp;Y56&amp;"-"&amp;R56,INDEX('Planning and Target Times'!$A$74:$L$78,1,0),0),0)</f>
        <v>#N/A</v>
      </c>
      <c r="AB56" s="249" t="e">
        <f>VLOOKUP(T56,'Planning and Target Times'!$A$97:$L$101,MATCH(E56&amp;"-"&amp;Q56&amp;"-"&amp;Y56&amp;"-"&amp;R56,INDEX('Planning and Target Times'!$A$97:$L$101,1,0),0),0)</f>
        <v>#N/A</v>
      </c>
      <c r="AC56" s="250">
        <f t="shared" si="4"/>
        <v>26.277372262774282</v>
      </c>
      <c r="AD56" s="250">
        <f t="shared" si="5"/>
        <v>31.386224934613622</v>
      </c>
      <c r="AE56" s="248">
        <f t="shared" si="10"/>
        <v>3045.6382502475967</v>
      </c>
      <c r="AF56" s="248">
        <f t="shared" si="15"/>
        <v>7904.3617497524028</v>
      </c>
      <c r="AG56" s="248">
        <f t="shared" ca="1" si="6"/>
        <v>824.36174975240328</v>
      </c>
      <c r="AH56" s="248">
        <f t="shared" ca="1" si="7"/>
        <v>-981.63825024759672</v>
      </c>
      <c r="AI56" s="248">
        <f t="shared" si="11"/>
        <v>2386.7021655999583</v>
      </c>
      <c r="AJ56" s="248">
        <f t="shared" ca="1" si="8"/>
        <v>1483.2978344000417</v>
      </c>
      <c r="AK56" s="248">
        <f t="shared" ca="1" si="9"/>
        <v>-322.70216559995833</v>
      </c>
    </row>
    <row r="57" spans="2:37" ht="15.95" customHeight="1" x14ac:dyDescent="0.25">
      <c r="B57" s="136">
        <v>91</v>
      </c>
      <c r="C57" s="164" t="s">
        <v>1178</v>
      </c>
      <c r="D57" s="186" t="s">
        <v>35</v>
      </c>
      <c r="E57" s="139" t="s">
        <v>42</v>
      </c>
      <c r="F57" s="140" t="s">
        <v>17</v>
      </c>
      <c r="G57" s="140" t="s">
        <v>1076</v>
      </c>
      <c r="H57" s="140" t="s">
        <v>1082</v>
      </c>
      <c r="I57" s="140" t="s">
        <v>459</v>
      </c>
      <c r="J57" s="141" t="s">
        <v>1079</v>
      </c>
      <c r="K57" s="142">
        <v>42173</v>
      </c>
      <c r="L57" s="142">
        <v>42243</v>
      </c>
      <c r="M57" s="134">
        <v>42257</v>
      </c>
      <c r="N57" s="140">
        <v>70</v>
      </c>
      <c r="O57" s="143">
        <v>1500</v>
      </c>
      <c r="P57" s="135" t="s">
        <v>1080</v>
      </c>
      <c r="Q57" s="223" t="s">
        <v>14</v>
      </c>
      <c r="R57" s="223" t="s">
        <v>298</v>
      </c>
      <c r="S57" s="223" t="s">
        <v>17</v>
      </c>
      <c r="T57" s="224" t="str">
        <f t="shared" si="12"/>
        <v>MA</v>
      </c>
      <c r="U57" s="223" t="str">
        <f t="shared" si="13"/>
        <v>MA-NW-Prod</v>
      </c>
      <c r="V57" s="223" t="str">
        <f t="array" ref="V57">CONCATENATE(Q57,"-",R57)</f>
        <v>NW-Prod</v>
      </c>
      <c r="W57" s="239">
        <f>IF(ISERROR(VLOOKUP(T57,'15-16_DP_Tables'!$M$2:$V$8,MATCH(V57,INDEX('15-16_DP_Tables'!$M$2:$V$8,1,0),0),0)),0,VLOOKUP(T57,'15-16_DP_Tables'!$M$2:$V$8,MATCH(V57,INDEX('15-16_DP_Tables'!$M$2:$V$8,1,0),0),0))</f>
        <v>57.083333333332121</v>
      </c>
      <c r="X57" s="239">
        <f t="array" ref="X57">IF(ISERROR(VLOOKUP(T57,'15-16_DP_Tables'!$M$12:$V$18,MATCH(V57,INDEX('15-16_DP_Tables'!$M$12:$V$18,1,0),0),0)),0,VLOOKUP(T57,'15-16_DP_Tables'!$M$12:$V$18,MATCH(V57,INDEX('15-16_DP_Tables'!$M$12:$V$18,1,0),0),0))</f>
        <v>47.791666666664241</v>
      </c>
      <c r="Y57" s="223" t="str">
        <f t="shared" si="14"/>
        <v>Horizontal</v>
      </c>
      <c r="Z57" s="223">
        <v>5</v>
      </c>
      <c r="AA57" s="249" t="e">
        <f>VLOOKUP(T57,'Planning and Target Times'!$A$74:$L$78,MATCH(E57&amp;"-"&amp;Q57&amp;"-"&amp;Y57&amp;"-"&amp;R57,INDEX('Planning and Target Times'!$A$74:$L$78,1,0),0),0)</f>
        <v>#N/A</v>
      </c>
      <c r="AB57" s="249" t="e">
        <f>VLOOKUP(T57,'Planning and Target Times'!$A$97:$L$101,MATCH(E57&amp;"-"&amp;Q57&amp;"-"&amp;Y57&amp;"-"&amp;R57,INDEX('Planning and Target Times'!$A$97:$L$101,1,0),0),0)</f>
        <v>#N/A</v>
      </c>
      <c r="AC57" s="250">
        <f t="shared" si="4"/>
        <v>26.277372262774282</v>
      </c>
      <c r="AD57" s="250">
        <f t="shared" si="5"/>
        <v>31.386224934613622</v>
      </c>
      <c r="AE57" s="248">
        <f t="shared" si="10"/>
        <v>3107.7215835809288</v>
      </c>
      <c r="AF57" s="248">
        <f t="shared" si="15"/>
        <v>7842.2784164190707</v>
      </c>
      <c r="AG57" s="248">
        <f t="shared" ca="1" si="6"/>
        <v>762.27841641907116</v>
      </c>
      <c r="AH57" s="248">
        <f t="shared" ca="1" si="7"/>
        <v>-1043.7215835809288</v>
      </c>
      <c r="AI57" s="248">
        <f t="shared" si="11"/>
        <v>2439.4938322666226</v>
      </c>
      <c r="AJ57" s="248">
        <f t="shared" ca="1" si="8"/>
        <v>1430.5061677333774</v>
      </c>
      <c r="AK57" s="248">
        <f t="shared" ca="1" si="9"/>
        <v>-375.49383226662258</v>
      </c>
    </row>
    <row r="58" spans="2:37" ht="15.95" customHeight="1" x14ac:dyDescent="0.25">
      <c r="B58" s="136">
        <v>38</v>
      </c>
      <c r="C58" s="164" t="s">
        <v>1122</v>
      </c>
      <c r="D58" s="165" t="s">
        <v>1116</v>
      </c>
      <c r="E58" s="139" t="s">
        <v>42</v>
      </c>
      <c r="F58" s="140" t="s">
        <v>17</v>
      </c>
      <c r="G58" s="140" t="s">
        <v>1076</v>
      </c>
      <c r="H58" s="140" t="s">
        <v>1077</v>
      </c>
      <c r="I58" s="140" t="s">
        <v>459</v>
      </c>
      <c r="J58" s="141" t="s">
        <v>1079</v>
      </c>
      <c r="K58" s="142">
        <v>42176</v>
      </c>
      <c r="L58" s="142">
        <v>42232</v>
      </c>
      <c r="M58" s="134">
        <v>42246</v>
      </c>
      <c r="N58" s="140">
        <v>56</v>
      </c>
      <c r="O58" s="143">
        <v>1200</v>
      </c>
      <c r="P58" s="143" t="s">
        <v>1080</v>
      </c>
      <c r="Q58" s="223" t="s">
        <v>18</v>
      </c>
      <c r="R58" s="223" t="s">
        <v>298</v>
      </c>
      <c r="S58" s="223" t="s">
        <v>17</v>
      </c>
      <c r="T58" s="224" t="str">
        <f t="shared" si="12"/>
        <v>MA</v>
      </c>
      <c r="U58" s="223" t="str">
        <f t="shared" si="13"/>
        <v>MA-ST-Prod</v>
      </c>
      <c r="V58" s="223" t="str">
        <f t="array" ref="V58">CONCATENATE(Q58,"-",R58)</f>
        <v>ST-Prod</v>
      </c>
      <c r="W58" s="239">
        <f>IF(ISERROR(VLOOKUP(T58,'15-16_DP_Tables'!$M$2:$V$8,MATCH(V58,INDEX('15-16_DP_Tables'!$M$2:$V$8,1,0),0),0)),0,VLOOKUP(T58,'15-16_DP_Tables'!$M$2:$V$8,MATCH(V58,INDEX('15-16_DP_Tables'!$M$2:$V$8,1,0),0),0))</f>
        <v>47.881547142856107</v>
      </c>
      <c r="X58" s="239">
        <f t="array" ref="X58">IF(ISERROR(VLOOKUP(T58,'15-16_DP_Tables'!$M$12:$V$18,MATCH(V58,INDEX('15-16_DP_Tables'!$M$12:$V$18,1,0),0),0)),0,VLOOKUP(T58,'15-16_DP_Tables'!$M$12:$V$18,MATCH(V58,INDEX('15-16_DP_Tables'!$M$12:$V$18,1,0),0),0))</f>
        <v>41.770833333332121</v>
      </c>
      <c r="Y58" s="223" t="str">
        <f t="shared" si="14"/>
        <v>Horizontal</v>
      </c>
      <c r="Z58" s="223">
        <v>5</v>
      </c>
      <c r="AA58" s="249" t="e">
        <f>VLOOKUP(T58,'Planning and Target Times'!$A$74:$L$78,MATCH(E58&amp;"-"&amp;Q58&amp;"-"&amp;Y58&amp;"-"&amp;R58,INDEX('Planning and Target Times'!$A$74:$L$78,1,0),0),0)</f>
        <v>#N/A</v>
      </c>
      <c r="AB58" s="249" t="e">
        <f>VLOOKUP(T58,'Planning and Target Times'!$A$97:$L$101,MATCH(E58&amp;"-"&amp;Q58&amp;"-"&amp;Y58&amp;"-"&amp;R58,INDEX('Planning and Target Times'!$A$97:$L$101,1,0),0),0)</f>
        <v>#N/A</v>
      </c>
      <c r="AC58" s="250">
        <f t="shared" si="4"/>
        <v>25.061846820023632</v>
      </c>
      <c r="AD58" s="250">
        <f t="shared" si="5"/>
        <v>28.728179551123027</v>
      </c>
      <c r="AE58" s="248">
        <f t="shared" si="10"/>
        <v>3160.6031307237849</v>
      </c>
      <c r="AF58" s="248">
        <f t="shared" si="15"/>
        <v>7789.3968692762155</v>
      </c>
      <c r="AG58" s="248">
        <f t="shared" ca="1" si="6"/>
        <v>709.39686927621506</v>
      </c>
      <c r="AH58" s="248">
        <f t="shared" ca="1" si="7"/>
        <v>-1096.6031307237849</v>
      </c>
      <c r="AI58" s="248">
        <f t="shared" si="11"/>
        <v>2486.2646655999547</v>
      </c>
      <c r="AJ58" s="248">
        <f t="shared" ca="1" si="8"/>
        <v>1383.7353344000453</v>
      </c>
      <c r="AK58" s="248">
        <f t="shared" ca="1" si="9"/>
        <v>-422.2646655999547</v>
      </c>
    </row>
    <row r="59" spans="2:37" ht="15.95" customHeight="1" x14ac:dyDescent="0.25">
      <c r="B59" s="136">
        <v>86</v>
      </c>
      <c r="C59" s="144" t="s">
        <v>1173</v>
      </c>
      <c r="D59" s="165" t="s">
        <v>1171</v>
      </c>
      <c r="E59" s="139" t="s">
        <v>42</v>
      </c>
      <c r="F59" s="140" t="s">
        <v>29</v>
      </c>
      <c r="G59" s="140" t="s">
        <v>1076</v>
      </c>
      <c r="H59" s="140" t="s">
        <v>1082</v>
      </c>
      <c r="I59" s="140" t="s">
        <v>459</v>
      </c>
      <c r="J59" s="141" t="s">
        <v>1079</v>
      </c>
      <c r="K59" s="142">
        <v>42176</v>
      </c>
      <c r="L59" s="142">
        <v>42246</v>
      </c>
      <c r="M59" s="134">
        <v>42260</v>
      </c>
      <c r="N59" s="140">
        <v>70</v>
      </c>
      <c r="O59" s="143">
        <v>2000</v>
      </c>
      <c r="P59" s="135" t="s">
        <v>1080</v>
      </c>
      <c r="Q59" s="223" t="s">
        <v>14</v>
      </c>
      <c r="R59" s="223" t="s">
        <v>298</v>
      </c>
      <c r="S59" s="223" t="s">
        <v>29</v>
      </c>
      <c r="T59" s="224" t="str">
        <f t="shared" si="12"/>
        <v>UB</v>
      </c>
      <c r="U59" s="223" t="str">
        <f t="shared" si="13"/>
        <v>UB-NW-Prod</v>
      </c>
      <c r="V59" s="223" t="str">
        <f t="array" ref="V59">CONCATENATE(Q59,"-",R59)</f>
        <v>NW-Prod</v>
      </c>
      <c r="W59" s="239">
        <f>IF(ISERROR(VLOOKUP(T59,'15-16_DP_Tables'!$M$2:$V$8,MATCH(V59,INDEX('15-16_DP_Tables'!$M$2:$V$8,1,0),0),0)),0,VLOOKUP(T59,'15-16_DP_Tables'!$M$2:$V$8,MATCH(V59,INDEX('15-16_DP_Tables'!$M$2:$V$8,1,0),0),0))</f>
        <v>53.604164999999995</v>
      </c>
      <c r="X59" s="239">
        <f t="array" ref="X59">IF(ISERROR(VLOOKUP(T59,'15-16_DP_Tables'!$M$12:$V$18,MATCH(V59,INDEX('15-16_DP_Tables'!$M$12:$V$18,1,0),0),0)),0,VLOOKUP(T59,'15-16_DP_Tables'!$M$12:$V$18,MATCH(V59,INDEX('15-16_DP_Tables'!$M$12:$V$18,1,0),0),0))</f>
        <v>48</v>
      </c>
      <c r="Y59" s="223" t="str">
        <f t="shared" si="14"/>
        <v>Horizontal</v>
      </c>
      <c r="Z59" s="223">
        <v>5</v>
      </c>
      <c r="AA59" s="249" t="e">
        <f>VLOOKUP(T59,'Planning and Target Times'!$A$74:$L$78,MATCH(E59&amp;"-"&amp;Q59&amp;"-"&amp;Y59&amp;"-"&amp;R59,INDEX('Planning and Target Times'!$A$74:$L$78,1,0),0),0)</f>
        <v>#N/A</v>
      </c>
      <c r="AB59" s="249" t="e">
        <f>VLOOKUP(T59,'Planning and Target Times'!$A$97:$L$101,MATCH(E59&amp;"-"&amp;Q59&amp;"-"&amp;Y59&amp;"-"&amp;R59,INDEX('Planning and Target Times'!$A$97:$L$101,1,0),0),0)</f>
        <v>#N/A</v>
      </c>
      <c r="AC59" s="250">
        <f t="shared" si="4"/>
        <v>37.31053361245344</v>
      </c>
      <c r="AD59" s="250">
        <f t="shared" si="5"/>
        <v>41.666666666666664</v>
      </c>
      <c r="AE59" s="248">
        <f t="shared" si="10"/>
        <v>3219.2072957237851</v>
      </c>
      <c r="AF59" s="248">
        <f t="shared" si="15"/>
        <v>7730.7927042762149</v>
      </c>
      <c r="AG59" s="248">
        <f t="shared" ca="1" si="6"/>
        <v>650.79270427621486</v>
      </c>
      <c r="AH59" s="248">
        <f t="shared" ca="1" si="7"/>
        <v>-1155.2072957237851</v>
      </c>
      <c r="AI59" s="248">
        <f t="shared" si="11"/>
        <v>2539.2646655999547</v>
      </c>
      <c r="AJ59" s="248">
        <f t="shared" ca="1" si="8"/>
        <v>1330.7353344000453</v>
      </c>
      <c r="AK59" s="248">
        <f t="shared" ca="1" si="9"/>
        <v>-475.2646655999547</v>
      </c>
    </row>
    <row r="60" spans="2:37" ht="15.95" customHeight="1" x14ac:dyDescent="0.25">
      <c r="B60" s="136">
        <v>23</v>
      </c>
      <c r="C60" s="144" t="s">
        <v>1105</v>
      </c>
      <c r="D60" s="156" t="s">
        <v>12</v>
      </c>
      <c r="E60" s="139" t="s">
        <v>42</v>
      </c>
      <c r="F60" s="140" t="s">
        <v>17</v>
      </c>
      <c r="G60" s="140" t="s">
        <v>1076</v>
      </c>
      <c r="H60" s="140" t="s">
        <v>1082</v>
      </c>
      <c r="I60" s="140" t="s">
        <v>459</v>
      </c>
      <c r="J60" s="141" t="s">
        <v>1079</v>
      </c>
      <c r="K60" s="142">
        <v>42186</v>
      </c>
      <c r="L60" s="142">
        <v>42256</v>
      </c>
      <c r="M60" s="134">
        <v>42270</v>
      </c>
      <c r="N60" s="132">
        <v>70</v>
      </c>
      <c r="O60" s="135">
        <v>1500</v>
      </c>
      <c r="P60" s="135" t="s">
        <v>1080</v>
      </c>
      <c r="Q60" s="223" t="s">
        <v>14</v>
      </c>
      <c r="R60" s="223" t="s">
        <v>298</v>
      </c>
      <c r="S60" s="223" t="s">
        <v>17</v>
      </c>
      <c r="T60" s="224" t="str">
        <f t="shared" si="12"/>
        <v>MA</v>
      </c>
      <c r="U60" s="223" t="str">
        <f t="shared" si="13"/>
        <v>MA-NW-Prod</v>
      </c>
      <c r="V60" s="223" t="str">
        <f t="array" ref="V60">CONCATENATE(Q60,"-",R60)</f>
        <v>NW-Prod</v>
      </c>
      <c r="W60" s="239">
        <f>IF(ISERROR(VLOOKUP(T60,'15-16_DP_Tables'!$M$2:$V$8,MATCH(V60,INDEX('15-16_DP_Tables'!$M$2:$V$8,1,0),0),0)),0,VLOOKUP(T60,'15-16_DP_Tables'!$M$2:$V$8,MATCH(V60,INDEX('15-16_DP_Tables'!$M$2:$V$8,1,0),0),0))</f>
        <v>57.083333333332121</v>
      </c>
      <c r="X60" s="239">
        <f t="array" ref="X60">IF(ISERROR(VLOOKUP(T60,'15-16_DP_Tables'!$M$12:$V$18,MATCH(V60,INDEX('15-16_DP_Tables'!$M$12:$V$18,1,0),0),0)),0,VLOOKUP(T60,'15-16_DP_Tables'!$M$12:$V$18,MATCH(V60,INDEX('15-16_DP_Tables'!$M$12:$V$18,1,0),0),0))</f>
        <v>47.791666666664241</v>
      </c>
      <c r="Y60" s="223" t="str">
        <f t="shared" si="14"/>
        <v>Horizontal</v>
      </c>
      <c r="Z60" s="223">
        <v>5</v>
      </c>
      <c r="AA60" s="249" t="e">
        <f>VLOOKUP(T60,'Planning and Target Times'!$A$74:$L$78,MATCH(E60&amp;"-"&amp;Q60&amp;"-"&amp;Y60&amp;"-"&amp;R60,INDEX('Planning and Target Times'!$A$74:$L$78,1,0),0),0)</f>
        <v>#N/A</v>
      </c>
      <c r="AB60" s="249" t="e">
        <f>VLOOKUP(T60,'Planning and Target Times'!$A$97:$L$101,MATCH(E60&amp;"-"&amp;Q60&amp;"-"&amp;Y60&amp;"-"&amp;R60,INDEX('Planning and Target Times'!$A$97:$L$101,1,0),0),0)</f>
        <v>#N/A</v>
      </c>
      <c r="AC60" s="250">
        <f t="shared" si="4"/>
        <v>26.277372262774282</v>
      </c>
      <c r="AD60" s="250">
        <f t="shared" si="5"/>
        <v>31.386224934613622</v>
      </c>
      <c r="AE60" s="248">
        <f t="shared" si="10"/>
        <v>3281.2906290571173</v>
      </c>
      <c r="AF60" s="248">
        <f t="shared" si="15"/>
        <v>7668.7093709428827</v>
      </c>
      <c r="AG60" s="248">
        <f t="shared" ca="1" si="6"/>
        <v>588.70937094288274</v>
      </c>
      <c r="AH60" s="248">
        <f t="shared" ca="1" si="7"/>
        <v>-1217.2906290571173</v>
      </c>
      <c r="AI60" s="248">
        <f t="shared" si="11"/>
        <v>2592.0563322666189</v>
      </c>
      <c r="AJ60" s="248">
        <f t="shared" ca="1" si="8"/>
        <v>1277.9436677333811</v>
      </c>
      <c r="AK60" s="248">
        <f t="shared" ca="1" si="9"/>
        <v>-528.05633226661894</v>
      </c>
    </row>
    <row r="61" spans="2:37" ht="15.95" customHeight="1" x14ac:dyDescent="0.25">
      <c r="B61" s="136">
        <v>124</v>
      </c>
      <c r="C61" s="151" t="s">
        <v>1210</v>
      </c>
      <c r="D61" s="193" t="s">
        <v>1211</v>
      </c>
      <c r="E61" s="150" t="s">
        <v>42</v>
      </c>
      <c r="F61" s="140" t="s">
        <v>44</v>
      </c>
      <c r="G61" s="140" t="s">
        <v>1197</v>
      </c>
      <c r="H61" s="140" t="s">
        <v>1082</v>
      </c>
      <c r="I61" s="140" t="s">
        <v>459</v>
      </c>
      <c r="J61" s="141" t="s">
        <v>1079</v>
      </c>
      <c r="K61" s="142">
        <v>42186</v>
      </c>
      <c r="L61" s="142">
        <v>42331</v>
      </c>
      <c r="M61" s="134">
        <v>42345</v>
      </c>
      <c r="N61" s="132">
        <v>145</v>
      </c>
      <c r="O61" s="135">
        <v>5000</v>
      </c>
      <c r="P61" s="135" t="s">
        <v>1096</v>
      </c>
      <c r="Q61" s="223" t="s">
        <v>14</v>
      </c>
      <c r="R61" s="223" t="s">
        <v>1197</v>
      </c>
      <c r="S61" s="223" t="s">
        <v>44</v>
      </c>
      <c r="T61" s="224" t="str">
        <f t="shared" si="12"/>
        <v>ZU/RT</v>
      </c>
      <c r="U61" s="223" t="str">
        <f t="shared" si="13"/>
        <v>ZU-NW-MLP</v>
      </c>
      <c r="V61" s="223" t="str">
        <f t="array" ref="V61">CONCATENATE(Q61,"-",R61)</f>
        <v>NW-MLP</v>
      </c>
      <c r="W61" s="239">
        <f>IF(ISERROR(VLOOKUP(T61,'15-16_DP_Tables'!$M$2:$V$8,MATCH(V61,INDEX('15-16_DP_Tables'!$M$2:$V$8,1,0),0),0)),0,VLOOKUP(T61,'15-16_DP_Tables'!$M$2:$V$8,MATCH(V61,INDEX('15-16_DP_Tables'!$M$2:$V$8,1,0),0),0))</f>
        <v>0</v>
      </c>
      <c r="X61" s="239">
        <f t="array" ref="X61">IF(ISERROR(VLOOKUP(T61,'15-16_DP_Tables'!$M$12:$V$18,MATCH(V61,INDEX('15-16_DP_Tables'!$M$12:$V$18,1,0),0),0)),0,VLOOKUP(T61,'15-16_DP_Tables'!$M$12:$V$18,MATCH(V61,INDEX('15-16_DP_Tables'!$M$12:$V$18,1,0),0),0))</f>
        <v>0</v>
      </c>
      <c r="Y61" s="223" t="str">
        <f t="shared" si="14"/>
        <v>Horizontal</v>
      </c>
      <c r="Z61" s="223">
        <v>5</v>
      </c>
      <c r="AA61" s="249" t="e">
        <f>VLOOKUP(T61,'Planning and Target Times'!$A$74:$L$78,MATCH(E61&amp;"-"&amp;Q61&amp;"-"&amp;Y61&amp;"-"&amp;R61,INDEX('Planning and Target Times'!$A$74:$L$78,1,0),0),0)</f>
        <v>#N/A</v>
      </c>
      <c r="AB61" s="249" t="e">
        <f>VLOOKUP(T61,'Planning and Target Times'!$A$97:$L$101,MATCH(E61&amp;"-"&amp;Q61&amp;"-"&amp;Y61&amp;"-"&amp;R61,INDEX('Planning and Target Times'!$A$97:$L$101,1,0),0),0)</f>
        <v>#N/A</v>
      </c>
      <c r="AC61" s="250">
        <f t="shared" si="4"/>
        <v>0</v>
      </c>
      <c r="AD61" s="250">
        <f t="shared" si="5"/>
        <v>0</v>
      </c>
      <c r="AE61" s="248">
        <f t="shared" si="10"/>
        <v>3286.2906290571173</v>
      </c>
      <c r="AF61" s="248">
        <f t="shared" si="15"/>
        <v>7663.7093709428827</v>
      </c>
      <c r="AG61" s="248">
        <f t="shared" ca="1" si="6"/>
        <v>583.70937094288274</v>
      </c>
      <c r="AH61" s="248">
        <f t="shared" ca="1" si="7"/>
        <v>-1222.2906290571173</v>
      </c>
      <c r="AI61" s="248">
        <f t="shared" si="11"/>
        <v>2597.0563322666189</v>
      </c>
      <c r="AJ61" s="248">
        <f t="shared" ca="1" si="8"/>
        <v>1272.9436677333811</v>
      </c>
      <c r="AK61" s="248">
        <f t="shared" ca="1" si="9"/>
        <v>-533.05633226661894</v>
      </c>
    </row>
    <row r="62" spans="2:37" ht="15.95" customHeight="1" x14ac:dyDescent="0.25">
      <c r="B62" s="136">
        <v>127</v>
      </c>
      <c r="C62" s="144" t="s">
        <v>1214</v>
      </c>
      <c r="D62" s="138" t="s">
        <v>1215</v>
      </c>
      <c r="E62" s="150" t="s">
        <v>11</v>
      </c>
      <c r="F62" s="140" t="s">
        <v>17</v>
      </c>
      <c r="G62" s="140" t="s">
        <v>1076</v>
      </c>
      <c r="H62" s="140" t="s">
        <v>1082</v>
      </c>
      <c r="I62" s="140" t="s">
        <v>459</v>
      </c>
      <c r="J62" s="141" t="s">
        <v>1079</v>
      </c>
      <c r="K62" s="142">
        <v>42186</v>
      </c>
      <c r="L62" s="142">
        <v>42256</v>
      </c>
      <c r="M62" s="134">
        <v>42270</v>
      </c>
      <c r="N62" s="140">
        <v>70</v>
      </c>
      <c r="O62" s="143">
        <v>1400</v>
      </c>
      <c r="P62" s="135" t="s">
        <v>1096</v>
      </c>
      <c r="Q62" s="223" t="s">
        <v>14</v>
      </c>
      <c r="R62" s="223" t="s">
        <v>298</v>
      </c>
      <c r="S62" s="223" t="s">
        <v>17</v>
      </c>
      <c r="T62" s="224" t="str">
        <f t="shared" si="12"/>
        <v>MA</v>
      </c>
      <c r="U62" s="223" t="str">
        <f t="shared" si="13"/>
        <v>MA-NW-Prod</v>
      </c>
      <c r="V62" s="223" t="str">
        <f t="array" ref="V62">CONCATENATE(Q62,"-",R62)</f>
        <v>NW-Prod</v>
      </c>
      <c r="W62" s="239">
        <f>IF(ISERROR(VLOOKUP(T62,'15-16_DP_Tables'!$M$2:$V$8,MATCH(V62,INDEX('15-16_DP_Tables'!$M$2:$V$8,1,0),0),0)),0,VLOOKUP(T62,'15-16_DP_Tables'!$M$2:$V$8,MATCH(V62,INDEX('15-16_DP_Tables'!$M$2:$V$8,1,0),0),0))</f>
        <v>57.083333333332121</v>
      </c>
      <c r="X62" s="239">
        <f t="array" ref="X62">IF(ISERROR(VLOOKUP(T62,'15-16_DP_Tables'!$M$12:$V$18,MATCH(V62,INDEX('15-16_DP_Tables'!$M$12:$V$18,1,0),0),0)),0,VLOOKUP(T62,'15-16_DP_Tables'!$M$12:$V$18,MATCH(V62,INDEX('15-16_DP_Tables'!$M$12:$V$18,1,0),0),0))</f>
        <v>47.791666666664241</v>
      </c>
      <c r="Y62" s="223" t="str">
        <f t="shared" si="14"/>
        <v>Unknown</v>
      </c>
      <c r="Z62" s="223">
        <v>5</v>
      </c>
      <c r="AA62" s="249" t="e">
        <f>VLOOKUP(T62,'Planning and Target Times'!$A$74:$L$78,MATCH(E62&amp;"-"&amp;Q62&amp;"-"&amp;Y62&amp;"-"&amp;R62,INDEX('Planning and Target Times'!$A$74:$L$78,1,0),0),0)</f>
        <v>#N/A</v>
      </c>
      <c r="AB62" s="249" t="e">
        <f>VLOOKUP(T62,'Planning and Target Times'!$A$97:$L$101,MATCH(E62&amp;"-"&amp;Q62&amp;"-"&amp;Y62&amp;"-"&amp;R62,INDEX('Planning and Target Times'!$A$97:$L$101,1,0),0),0)</f>
        <v>#N/A</v>
      </c>
      <c r="AC62" s="250">
        <f t="shared" si="4"/>
        <v>24.525547445255995</v>
      </c>
      <c r="AD62" s="250">
        <f t="shared" si="5"/>
        <v>29.293809938972714</v>
      </c>
      <c r="AE62" s="248">
        <f t="shared" si="10"/>
        <v>3348.3739623904494</v>
      </c>
      <c r="AF62" s="248">
        <f t="shared" si="15"/>
        <v>7601.6260376095506</v>
      </c>
      <c r="AG62" s="248">
        <f t="shared" ca="1" si="6"/>
        <v>521.62603760955062</v>
      </c>
      <c r="AH62" s="248">
        <f t="shared" ca="1" si="7"/>
        <v>-1284.3739623904494</v>
      </c>
      <c r="AI62" s="248">
        <f t="shared" si="11"/>
        <v>2649.8479989332832</v>
      </c>
      <c r="AJ62" s="248">
        <f t="shared" ca="1" si="8"/>
        <v>1220.1520010667168</v>
      </c>
      <c r="AK62" s="248">
        <f t="shared" ca="1" si="9"/>
        <v>-585.84799893328318</v>
      </c>
    </row>
    <row r="63" spans="2:37" ht="15.95" customHeight="1" x14ac:dyDescent="0.25">
      <c r="B63" s="136">
        <v>132</v>
      </c>
      <c r="C63" s="151" t="s">
        <v>1220</v>
      </c>
      <c r="D63" s="171" t="s">
        <v>1221</v>
      </c>
      <c r="E63" s="150" t="s">
        <v>42</v>
      </c>
      <c r="F63" s="140" t="s">
        <v>17</v>
      </c>
      <c r="G63" s="140" t="s">
        <v>1076</v>
      </c>
      <c r="H63" s="140" t="s">
        <v>1082</v>
      </c>
      <c r="I63" s="140" t="s">
        <v>459</v>
      </c>
      <c r="J63" s="141" t="s">
        <v>1079</v>
      </c>
      <c r="K63" s="142">
        <v>42186</v>
      </c>
      <c r="L63" s="142">
        <v>42256</v>
      </c>
      <c r="M63" s="134">
        <v>42270</v>
      </c>
      <c r="N63" s="140">
        <v>70</v>
      </c>
      <c r="O63" s="143">
        <v>1500</v>
      </c>
      <c r="P63" s="135" t="s">
        <v>1080</v>
      </c>
      <c r="Q63" s="223" t="s">
        <v>14</v>
      </c>
      <c r="R63" s="223" t="s">
        <v>298</v>
      </c>
      <c r="S63" s="223" t="s">
        <v>17</v>
      </c>
      <c r="T63" s="224" t="str">
        <f t="shared" si="12"/>
        <v>MA</v>
      </c>
      <c r="U63" s="223" t="str">
        <f t="shared" si="13"/>
        <v>MA-NW-Prod</v>
      </c>
      <c r="V63" s="223" t="str">
        <f t="array" ref="V63">CONCATENATE(Q63,"-",R63)</f>
        <v>NW-Prod</v>
      </c>
      <c r="W63" s="239">
        <f>IF(ISERROR(VLOOKUP(T63,'15-16_DP_Tables'!$M$2:$V$8,MATCH(V63,INDEX('15-16_DP_Tables'!$M$2:$V$8,1,0),0),0)),0,VLOOKUP(T63,'15-16_DP_Tables'!$M$2:$V$8,MATCH(V63,INDEX('15-16_DP_Tables'!$M$2:$V$8,1,0),0),0))</f>
        <v>57.083333333332121</v>
      </c>
      <c r="X63" s="239">
        <f t="array" ref="X63">IF(ISERROR(VLOOKUP(T63,'15-16_DP_Tables'!$M$12:$V$18,MATCH(V63,INDEX('15-16_DP_Tables'!$M$12:$V$18,1,0),0),0)),0,VLOOKUP(T63,'15-16_DP_Tables'!$M$12:$V$18,MATCH(V63,INDEX('15-16_DP_Tables'!$M$12:$V$18,1,0),0),0))</f>
        <v>47.791666666664241</v>
      </c>
      <c r="Y63" s="223" t="str">
        <f t="shared" si="14"/>
        <v>Horizontal</v>
      </c>
      <c r="Z63" s="223">
        <v>5</v>
      </c>
      <c r="AA63" s="249" t="e">
        <f>VLOOKUP(T63,'Planning and Target Times'!$A$74:$L$78,MATCH(E63&amp;"-"&amp;Q63&amp;"-"&amp;Y63&amp;"-"&amp;R63,INDEX('Planning and Target Times'!$A$74:$L$78,1,0),0),0)</f>
        <v>#N/A</v>
      </c>
      <c r="AB63" s="249" t="e">
        <f>VLOOKUP(T63,'Planning and Target Times'!$A$97:$L$101,MATCH(E63&amp;"-"&amp;Q63&amp;"-"&amp;Y63&amp;"-"&amp;R63,INDEX('Planning and Target Times'!$A$97:$L$101,1,0),0),0)</f>
        <v>#N/A</v>
      </c>
      <c r="AC63" s="250">
        <f t="shared" si="4"/>
        <v>26.277372262774282</v>
      </c>
      <c r="AD63" s="250">
        <f t="shared" si="5"/>
        <v>31.386224934613622</v>
      </c>
      <c r="AE63" s="248">
        <f t="shared" si="10"/>
        <v>3410.4572957237815</v>
      </c>
      <c r="AF63" s="248">
        <f t="shared" si="15"/>
        <v>7539.5427042762185</v>
      </c>
      <c r="AG63" s="248">
        <f t="shared" ca="1" si="6"/>
        <v>459.5427042762185</v>
      </c>
      <c r="AH63" s="248">
        <f t="shared" ca="1" si="7"/>
        <v>-1346.4572957237815</v>
      </c>
      <c r="AI63" s="248">
        <f t="shared" si="11"/>
        <v>2702.6396655999474</v>
      </c>
      <c r="AJ63" s="248">
        <f t="shared" ca="1" si="8"/>
        <v>1167.3603344000526</v>
      </c>
      <c r="AK63" s="248">
        <f t="shared" ca="1" si="9"/>
        <v>-638.63966559994742</v>
      </c>
    </row>
    <row r="64" spans="2:37" ht="15.95" customHeight="1" x14ac:dyDescent="0.25">
      <c r="B64" s="136">
        <v>136</v>
      </c>
      <c r="C64" s="151" t="s">
        <v>1225</v>
      </c>
      <c r="D64" s="156" t="s">
        <v>1226</v>
      </c>
      <c r="E64" s="150" t="s">
        <v>11</v>
      </c>
      <c r="F64" s="140" t="s">
        <v>17</v>
      </c>
      <c r="G64" s="140" t="s">
        <v>1076</v>
      </c>
      <c r="H64" s="140" t="s">
        <v>1077</v>
      </c>
      <c r="I64" s="140" t="s">
        <v>459</v>
      </c>
      <c r="J64" s="141" t="s">
        <v>1079</v>
      </c>
      <c r="K64" s="142">
        <v>42186</v>
      </c>
      <c r="L64" s="142">
        <v>42242</v>
      </c>
      <c r="M64" s="134">
        <v>42256</v>
      </c>
      <c r="N64" s="140">
        <v>56</v>
      </c>
      <c r="O64" s="143">
        <v>1200</v>
      </c>
      <c r="P64" s="135" t="s">
        <v>1080</v>
      </c>
      <c r="Q64" s="223" t="s">
        <v>18</v>
      </c>
      <c r="R64" s="223" t="s">
        <v>298</v>
      </c>
      <c r="S64" s="223" t="s">
        <v>17</v>
      </c>
      <c r="T64" s="224" t="str">
        <f t="shared" si="12"/>
        <v>MA</v>
      </c>
      <c r="U64" s="223" t="str">
        <f t="shared" si="13"/>
        <v>MA-ST-Prod</v>
      </c>
      <c r="V64" s="223" t="str">
        <f t="array" ref="V64">CONCATENATE(Q64,"-",R64)</f>
        <v>ST-Prod</v>
      </c>
      <c r="W64" s="239">
        <f>IF(ISERROR(VLOOKUP(T64,'15-16_DP_Tables'!$M$2:$V$8,MATCH(V64,INDEX('15-16_DP_Tables'!$M$2:$V$8,1,0),0),0)),0,VLOOKUP(T64,'15-16_DP_Tables'!$M$2:$V$8,MATCH(V64,INDEX('15-16_DP_Tables'!$M$2:$V$8,1,0),0),0))</f>
        <v>47.881547142856107</v>
      </c>
      <c r="X64" s="239">
        <f t="array" ref="X64">IF(ISERROR(VLOOKUP(T64,'15-16_DP_Tables'!$M$12:$V$18,MATCH(V64,INDEX('15-16_DP_Tables'!$M$12:$V$18,1,0),0),0)),0,VLOOKUP(T64,'15-16_DP_Tables'!$M$12:$V$18,MATCH(V64,INDEX('15-16_DP_Tables'!$M$12:$V$18,1,0),0),0))</f>
        <v>41.770833333332121</v>
      </c>
      <c r="Y64" s="223" t="str">
        <f t="shared" si="14"/>
        <v>Horizontal</v>
      </c>
      <c r="Z64" s="223">
        <v>5</v>
      </c>
      <c r="AA64" s="249" t="e">
        <f>VLOOKUP(T64,'Planning and Target Times'!$A$74:$L$78,MATCH(E64&amp;"-"&amp;Q64&amp;"-"&amp;Y64&amp;"-"&amp;R64,INDEX('Planning and Target Times'!$A$74:$L$78,1,0),0),0)</f>
        <v>#N/A</v>
      </c>
      <c r="AB64" s="249" t="e">
        <f>VLOOKUP(T64,'Planning and Target Times'!$A$97:$L$101,MATCH(E64&amp;"-"&amp;Q64&amp;"-"&amp;Y64&amp;"-"&amp;R64,INDEX('Planning and Target Times'!$A$97:$L$101,1,0),0),0)</f>
        <v>#N/A</v>
      </c>
      <c r="AC64" s="250">
        <f t="shared" si="4"/>
        <v>25.061846820023632</v>
      </c>
      <c r="AD64" s="250">
        <f t="shared" si="5"/>
        <v>28.728179551123027</v>
      </c>
      <c r="AE64" s="248">
        <f t="shared" si="10"/>
        <v>3463.3388428666376</v>
      </c>
      <c r="AF64" s="248">
        <f t="shared" si="15"/>
        <v>7486.6611571333624</v>
      </c>
      <c r="AG64" s="248">
        <f t="shared" ref="AG64:AG127" ca="1" si="16">(30*$AG$3)-AE64</f>
        <v>406.66115713336239</v>
      </c>
      <c r="AH64" s="248">
        <f t="shared" ref="AH64:AH127" ca="1" si="17">($AH$3*$AG$3)-AE64</f>
        <v>-1399.3388428666376</v>
      </c>
      <c r="AI64" s="248">
        <f t="shared" si="11"/>
        <v>2749.4104989332795</v>
      </c>
      <c r="AJ64" s="248">
        <f t="shared" ref="AJ64:AJ127" ca="1" si="18">(30*$AJ$3)-AI64</f>
        <v>1120.5895010667205</v>
      </c>
      <c r="AK64" s="248">
        <f t="shared" ref="AK64:AK127" ca="1" si="19">($AJ$3*$AK$3)-AI64</f>
        <v>-685.41049893327954</v>
      </c>
    </row>
    <row r="65" spans="2:37" ht="15.95" customHeight="1" x14ac:dyDescent="0.25">
      <c r="B65" s="136">
        <v>98</v>
      </c>
      <c r="C65" s="179" t="s">
        <v>1184</v>
      </c>
      <c r="D65" s="147" t="s">
        <v>734</v>
      </c>
      <c r="E65" s="187" t="s">
        <v>11</v>
      </c>
      <c r="F65" s="140" t="s">
        <v>22</v>
      </c>
      <c r="G65" s="140" t="s">
        <v>1076</v>
      </c>
      <c r="H65" s="140" t="s">
        <v>1082</v>
      </c>
      <c r="I65" s="140" t="s">
        <v>459</v>
      </c>
      <c r="J65" s="141" t="s">
        <v>1079</v>
      </c>
      <c r="K65" s="142">
        <v>42198</v>
      </c>
      <c r="L65" s="142">
        <v>42268</v>
      </c>
      <c r="M65" s="134">
        <v>42282</v>
      </c>
      <c r="N65" s="140">
        <v>70</v>
      </c>
      <c r="O65" s="143">
        <v>1200</v>
      </c>
      <c r="P65" s="135" t="s">
        <v>1080</v>
      </c>
      <c r="Q65" s="223" t="s">
        <v>14</v>
      </c>
      <c r="R65" s="223" t="s">
        <v>298</v>
      </c>
      <c r="S65" s="223" t="s">
        <v>22</v>
      </c>
      <c r="T65" s="224" t="str">
        <f t="shared" si="12"/>
        <v>LB</v>
      </c>
      <c r="U65" s="223" t="str">
        <f t="shared" si="13"/>
        <v>LB-NW-Prod</v>
      </c>
      <c r="V65" s="223" t="str">
        <f t="array" ref="V65">CONCATENATE(Q65,"-",R65)</f>
        <v>NW-Prod</v>
      </c>
      <c r="W65" s="239">
        <f>IF(ISERROR(VLOOKUP(T65,'15-16_DP_Tables'!$M$2:$V$8,MATCH(V65,INDEX('15-16_DP_Tables'!$M$2:$V$8,1,0),0),0)),0,VLOOKUP(T65,'15-16_DP_Tables'!$M$2:$V$8,MATCH(V65,INDEX('15-16_DP_Tables'!$M$2:$V$8,1,0),0),0))</f>
        <v>55.81537142381022</v>
      </c>
      <c r="X65" s="239">
        <f t="array" ref="X65">IF(ISERROR(VLOOKUP(T65,'15-16_DP_Tables'!$M$12:$V$18,MATCH(V65,INDEX('15-16_DP_Tables'!$M$12:$V$18,1,0),0),0)),0,VLOOKUP(T65,'15-16_DP_Tables'!$M$12:$V$18,MATCH(V65,INDEX('15-16_DP_Tables'!$M$12:$V$18,1,0),0),0))</f>
        <v>45.207999999999998</v>
      </c>
      <c r="Y65" s="223" t="str">
        <f t="shared" si="14"/>
        <v>Horizontal</v>
      </c>
      <c r="Z65" s="223">
        <v>5</v>
      </c>
      <c r="AA65" s="249" t="e">
        <f>VLOOKUP(T65,'Planning and Target Times'!$A$74:$L$78,MATCH(E65&amp;"-"&amp;Q65&amp;"-"&amp;Y65&amp;"-"&amp;R65,INDEX('Planning and Target Times'!$A$74:$L$78,1,0),0),0)</f>
        <v>#N/A</v>
      </c>
      <c r="AB65" s="249" t="e">
        <f>VLOOKUP(T65,'Planning and Target Times'!$A$97:$L$101,MATCH(E65&amp;"-"&amp;Q65&amp;"-"&amp;Y65&amp;"-"&amp;R65,INDEX('Planning and Target Times'!$A$97:$L$101,1,0),0),0)</f>
        <v>#N/A</v>
      </c>
      <c r="AC65" s="250">
        <f t="shared" ref="AC65:AC128" si="20">IF(ISERROR(O65/W65),0,(O65/W65))</f>
        <v>21.499453813328802</v>
      </c>
      <c r="AD65" s="250">
        <f t="shared" ref="AD65:AD128" si="21">IF(ISERROR(O65/X65),0,(O65/X65))</f>
        <v>26.543974517784463</v>
      </c>
      <c r="AE65" s="248">
        <f t="shared" si="10"/>
        <v>3524.1542142904477</v>
      </c>
      <c r="AF65" s="248">
        <f t="shared" si="15"/>
        <v>7425.8457857095527</v>
      </c>
      <c r="AG65" s="248">
        <f t="shared" ca="1" si="16"/>
        <v>345.84578570955227</v>
      </c>
      <c r="AH65" s="248">
        <f t="shared" ca="1" si="17"/>
        <v>-1460.1542142904477</v>
      </c>
      <c r="AI65" s="248">
        <f t="shared" si="11"/>
        <v>2799.6184989332796</v>
      </c>
      <c r="AJ65" s="248">
        <f t="shared" ca="1" si="18"/>
        <v>1070.3815010667204</v>
      </c>
      <c r="AK65" s="248">
        <f t="shared" ca="1" si="19"/>
        <v>-735.61849893327962</v>
      </c>
    </row>
    <row r="66" spans="2:37" ht="15.95" customHeight="1" x14ac:dyDescent="0.25">
      <c r="B66" s="136">
        <v>120</v>
      </c>
      <c r="C66" s="144" t="s">
        <v>1206</v>
      </c>
      <c r="D66" s="165" t="s">
        <v>838</v>
      </c>
      <c r="E66" s="139" t="s">
        <v>42</v>
      </c>
      <c r="F66" s="140" t="s">
        <v>22</v>
      </c>
      <c r="G66" s="140" t="s">
        <v>1076</v>
      </c>
      <c r="H66" s="140" t="s">
        <v>1082</v>
      </c>
      <c r="I66" s="140" t="s">
        <v>459</v>
      </c>
      <c r="J66" s="141" t="s">
        <v>1079</v>
      </c>
      <c r="K66" s="142">
        <v>42201</v>
      </c>
      <c r="L66" s="142">
        <v>42271</v>
      </c>
      <c r="M66" s="134">
        <v>42285</v>
      </c>
      <c r="N66" s="140">
        <v>70</v>
      </c>
      <c r="O66" s="143">
        <v>1800</v>
      </c>
      <c r="P66" s="143" t="s">
        <v>1080</v>
      </c>
      <c r="Q66" s="223" t="s">
        <v>14</v>
      </c>
      <c r="R66" s="223" t="s">
        <v>298</v>
      </c>
      <c r="S66" s="223" t="s">
        <v>22</v>
      </c>
      <c r="T66" s="224" t="str">
        <f t="shared" si="12"/>
        <v>LB</v>
      </c>
      <c r="U66" s="223" t="str">
        <f t="shared" si="13"/>
        <v>LB-NW-Prod</v>
      </c>
      <c r="V66" s="223" t="str">
        <f t="array" ref="V66">CONCATENATE(Q66,"-",R66)</f>
        <v>NW-Prod</v>
      </c>
      <c r="W66" s="239">
        <f>IF(ISERROR(VLOOKUP(T66,'15-16_DP_Tables'!$M$2:$V$8,MATCH(V66,INDEX('15-16_DP_Tables'!$M$2:$V$8,1,0),0),0)),0,VLOOKUP(T66,'15-16_DP_Tables'!$M$2:$V$8,MATCH(V66,INDEX('15-16_DP_Tables'!$M$2:$V$8,1,0),0),0))</f>
        <v>55.81537142381022</v>
      </c>
      <c r="X66" s="239">
        <f t="array" ref="X66">IF(ISERROR(VLOOKUP(T66,'15-16_DP_Tables'!$M$12:$V$18,MATCH(V66,INDEX('15-16_DP_Tables'!$M$12:$V$18,1,0),0),0)),0,VLOOKUP(T66,'15-16_DP_Tables'!$M$12:$V$18,MATCH(V66,INDEX('15-16_DP_Tables'!$M$12:$V$18,1,0),0),0))</f>
        <v>45.207999999999998</v>
      </c>
      <c r="Y66" s="223" t="str">
        <f t="shared" si="14"/>
        <v>Slant</v>
      </c>
      <c r="Z66" s="223">
        <v>5</v>
      </c>
      <c r="AA66" s="249" t="e">
        <f>VLOOKUP(T66,'Planning and Target Times'!$A$74:$L$78,MATCH(E66&amp;"-"&amp;Q66&amp;"-"&amp;Y66&amp;"-"&amp;R66,INDEX('Planning and Target Times'!$A$74:$L$78,1,0),0),0)</f>
        <v>#N/A</v>
      </c>
      <c r="AB66" s="249" t="e">
        <f>VLOOKUP(T66,'Planning and Target Times'!$A$97:$L$101,MATCH(E66&amp;"-"&amp;Q66&amp;"-"&amp;Y66&amp;"-"&amp;R66,INDEX('Planning and Target Times'!$A$97:$L$101,1,0),0),0)</f>
        <v>#N/A</v>
      </c>
      <c r="AC66" s="250">
        <f t="shared" si="20"/>
        <v>32.249180719993198</v>
      </c>
      <c r="AD66" s="250">
        <f t="shared" si="21"/>
        <v>39.815961776676694</v>
      </c>
      <c r="AE66" s="248">
        <f t="shared" si="10"/>
        <v>3584.9695857142578</v>
      </c>
      <c r="AF66" s="248">
        <f t="shared" si="15"/>
        <v>7365.0304142857422</v>
      </c>
      <c r="AG66" s="248">
        <f t="shared" ca="1" si="16"/>
        <v>285.03041428574215</v>
      </c>
      <c r="AH66" s="248">
        <f t="shared" ca="1" si="17"/>
        <v>-1520.9695857142578</v>
      </c>
      <c r="AI66" s="248">
        <f t="shared" si="11"/>
        <v>2849.8264989332797</v>
      </c>
      <c r="AJ66" s="248">
        <f t="shared" ca="1" si="18"/>
        <v>1020.1735010667203</v>
      </c>
      <c r="AK66" s="248">
        <f t="shared" ca="1" si="19"/>
        <v>-785.82649893327971</v>
      </c>
    </row>
    <row r="67" spans="2:37" ht="15.95" customHeight="1" x14ac:dyDescent="0.25">
      <c r="B67" s="136">
        <v>105</v>
      </c>
      <c r="C67" s="144" t="s">
        <v>1191</v>
      </c>
      <c r="D67" s="157" t="s">
        <v>735</v>
      </c>
      <c r="E67" s="150" t="s">
        <v>42</v>
      </c>
      <c r="F67" s="140" t="s">
        <v>22</v>
      </c>
      <c r="G67" s="140" t="s">
        <v>1076</v>
      </c>
      <c r="H67" s="140" t="s">
        <v>1082</v>
      </c>
      <c r="I67" s="140" t="s">
        <v>459</v>
      </c>
      <c r="J67" s="141" t="s">
        <v>1079</v>
      </c>
      <c r="K67" s="142">
        <v>42208</v>
      </c>
      <c r="L67" s="142">
        <v>42278</v>
      </c>
      <c r="M67" s="134">
        <v>42292</v>
      </c>
      <c r="N67" s="140">
        <v>70</v>
      </c>
      <c r="O67" s="143">
        <v>1800</v>
      </c>
      <c r="P67" s="135" t="s">
        <v>1096</v>
      </c>
      <c r="Q67" s="223" t="s">
        <v>14</v>
      </c>
      <c r="R67" s="223" t="s">
        <v>298</v>
      </c>
      <c r="S67" s="223" t="s">
        <v>22</v>
      </c>
      <c r="T67" s="224" t="str">
        <f t="shared" si="12"/>
        <v>LB</v>
      </c>
      <c r="U67" s="223" t="str">
        <f t="shared" si="13"/>
        <v>LB-NW-Prod</v>
      </c>
      <c r="V67" s="223" t="str">
        <f t="array" ref="V67">CONCATENATE(Q67,"-",R67)</f>
        <v>NW-Prod</v>
      </c>
      <c r="W67" s="239">
        <f>IF(ISERROR(VLOOKUP(T67,'15-16_DP_Tables'!$M$2:$V$8,MATCH(V67,INDEX('15-16_DP_Tables'!$M$2:$V$8,1,0),0),0)),0,VLOOKUP(T67,'15-16_DP_Tables'!$M$2:$V$8,MATCH(V67,INDEX('15-16_DP_Tables'!$M$2:$V$8,1,0),0),0))</f>
        <v>55.81537142381022</v>
      </c>
      <c r="X67" s="239">
        <f t="array" ref="X67">IF(ISERROR(VLOOKUP(T67,'15-16_DP_Tables'!$M$12:$V$18,MATCH(V67,INDEX('15-16_DP_Tables'!$M$12:$V$18,1,0),0),0)),0,VLOOKUP(T67,'15-16_DP_Tables'!$M$12:$V$18,MATCH(V67,INDEX('15-16_DP_Tables'!$M$12:$V$18,1,0),0),0))</f>
        <v>45.207999999999998</v>
      </c>
      <c r="Y67" s="223" t="str">
        <f t="shared" si="14"/>
        <v>Unknown</v>
      </c>
      <c r="Z67" s="223">
        <v>5</v>
      </c>
      <c r="AA67" s="249" t="e">
        <f>VLOOKUP(T67,'Planning and Target Times'!$A$74:$L$78,MATCH(E67&amp;"-"&amp;Q67&amp;"-"&amp;Y67&amp;"-"&amp;R67,INDEX('Planning and Target Times'!$A$74:$L$78,1,0),0),0)</f>
        <v>#N/A</v>
      </c>
      <c r="AB67" s="249" t="e">
        <f>VLOOKUP(T67,'Planning and Target Times'!$A$97:$L$101,MATCH(E67&amp;"-"&amp;Q67&amp;"-"&amp;Y67&amp;"-"&amp;R67,INDEX('Planning and Target Times'!$A$97:$L$101,1,0),0),0)</f>
        <v>#N/A</v>
      </c>
      <c r="AC67" s="250">
        <f t="shared" si="20"/>
        <v>32.249180719993198</v>
      </c>
      <c r="AD67" s="250">
        <f t="shared" si="21"/>
        <v>39.815961776676694</v>
      </c>
      <c r="AE67" s="248">
        <f t="shared" si="10"/>
        <v>3645.784957138068</v>
      </c>
      <c r="AF67" s="248">
        <f t="shared" si="15"/>
        <v>7304.2150428619316</v>
      </c>
      <c r="AG67" s="248">
        <f t="shared" ca="1" si="16"/>
        <v>224.21504286193203</v>
      </c>
      <c r="AH67" s="248">
        <f t="shared" ca="1" si="17"/>
        <v>-1581.784957138068</v>
      </c>
      <c r="AI67" s="248">
        <f t="shared" si="11"/>
        <v>2900.0344989332798</v>
      </c>
      <c r="AJ67" s="248">
        <f t="shared" ca="1" si="18"/>
        <v>969.96550106672021</v>
      </c>
      <c r="AK67" s="248">
        <f t="shared" ca="1" si="19"/>
        <v>-836.03449893327979</v>
      </c>
    </row>
    <row r="68" spans="2:37" ht="15.95" customHeight="1" x14ac:dyDescent="0.25">
      <c r="B68" s="136">
        <v>80</v>
      </c>
      <c r="C68" s="144" t="s">
        <v>1166</v>
      </c>
      <c r="D68" s="184" t="s">
        <v>511</v>
      </c>
      <c r="E68" s="139" t="s">
        <v>42</v>
      </c>
      <c r="F68" s="140" t="s">
        <v>22</v>
      </c>
      <c r="G68" s="140" t="s">
        <v>1076</v>
      </c>
      <c r="H68" s="140" t="s">
        <v>1082</v>
      </c>
      <c r="I68" s="140" t="s">
        <v>459</v>
      </c>
      <c r="J68" s="141" t="s">
        <v>1079</v>
      </c>
      <c r="K68" s="142">
        <v>42215</v>
      </c>
      <c r="L68" s="142">
        <v>42285</v>
      </c>
      <c r="M68" s="134">
        <v>42299</v>
      </c>
      <c r="N68" s="140">
        <v>70</v>
      </c>
      <c r="O68" s="143">
        <v>1800</v>
      </c>
      <c r="P68" s="135" t="s">
        <v>1080</v>
      </c>
      <c r="Q68" s="223" t="s">
        <v>14</v>
      </c>
      <c r="R68" s="223" t="s">
        <v>298</v>
      </c>
      <c r="S68" s="223" t="s">
        <v>22</v>
      </c>
      <c r="T68" s="224" t="str">
        <f t="shared" si="12"/>
        <v>LB</v>
      </c>
      <c r="U68" s="223" t="str">
        <f t="shared" si="13"/>
        <v>LB-NW-Prod</v>
      </c>
      <c r="V68" s="223" t="str">
        <f t="array" ref="V68">CONCATENATE(Q68,"-",R68)</f>
        <v>NW-Prod</v>
      </c>
      <c r="W68" s="239">
        <f>IF(ISERROR(VLOOKUP(T68,'15-16_DP_Tables'!$M$2:$V$8,MATCH(V68,INDEX('15-16_DP_Tables'!$M$2:$V$8,1,0),0),0)),0,VLOOKUP(T68,'15-16_DP_Tables'!$M$2:$V$8,MATCH(V68,INDEX('15-16_DP_Tables'!$M$2:$V$8,1,0),0),0))</f>
        <v>55.81537142381022</v>
      </c>
      <c r="X68" s="239">
        <f t="array" ref="X68">IF(ISERROR(VLOOKUP(T68,'15-16_DP_Tables'!$M$12:$V$18,MATCH(V68,INDEX('15-16_DP_Tables'!$M$12:$V$18,1,0),0),0)),0,VLOOKUP(T68,'15-16_DP_Tables'!$M$12:$V$18,MATCH(V68,INDEX('15-16_DP_Tables'!$M$12:$V$18,1,0),0),0))</f>
        <v>45.207999999999998</v>
      </c>
      <c r="Y68" s="223" t="str">
        <f t="shared" si="14"/>
        <v>Unknown</v>
      </c>
      <c r="Z68" s="223">
        <v>5</v>
      </c>
      <c r="AA68" s="249" t="e">
        <f>VLOOKUP(T68,'Planning and Target Times'!$A$74:$L$78,MATCH(E68&amp;"-"&amp;Q68&amp;"-"&amp;Y68&amp;"-"&amp;R68,INDEX('Planning and Target Times'!$A$74:$L$78,1,0),0),0)</f>
        <v>#N/A</v>
      </c>
      <c r="AB68" s="249" t="e">
        <f>VLOOKUP(T68,'Planning and Target Times'!$A$97:$L$101,MATCH(E68&amp;"-"&amp;Q68&amp;"-"&amp;Y68&amp;"-"&amp;R68,INDEX('Planning and Target Times'!$A$97:$L$101,1,0),0),0)</f>
        <v>#N/A</v>
      </c>
      <c r="AC68" s="250">
        <f t="shared" si="20"/>
        <v>32.249180719993198</v>
      </c>
      <c r="AD68" s="250">
        <f t="shared" si="21"/>
        <v>39.815961776676694</v>
      </c>
      <c r="AE68" s="248">
        <f t="shared" si="10"/>
        <v>3706.6003285618781</v>
      </c>
      <c r="AF68" s="248">
        <f t="shared" si="15"/>
        <v>7243.3996714381219</v>
      </c>
      <c r="AG68" s="248">
        <f t="shared" ca="1" si="16"/>
        <v>163.39967143812191</v>
      </c>
      <c r="AH68" s="248">
        <f t="shared" ca="1" si="17"/>
        <v>-1642.6003285618781</v>
      </c>
      <c r="AI68" s="248">
        <f t="shared" si="11"/>
        <v>2950.2424989332799</v>
      </c>
      <c r="AJ68" s="248">
        <f t="shared" ca="1" si="18"/>
        <v>919.75750106672012</v>
      </c>
      <c r="AK68" s="248">
        <f t="shared" ca="1" si="19"/>
        <v>-886.24249893327988</v>
      </c>
    </row>
    <row r="69" spans="2:37" ht="15.95" customHeight="1" x14ac:dyDescent="0.25">
      <c r="B69" s="136">
        <v>143</v>
      </c>
      <c r="C69" s="151" t="s">
        <v>1233</v>
      </c>
      <c r="D69" s="193" t="s">
        <v>1234</v>
      </c>
      <c r="E69" s="139" t="s">
        <v>42</v>
      </c>
      <c r="F69" s="140" t="s">
        <v>22</v>
      </c>
      <c r="G69" s="140" t="s">
        <v>1076</v>
      </c>
      <c r="H69" s="140" t="s">
        <v>1082</v>
      </c>
      <c r="I69" s="140" t="s">
        <v>459</v>
      </c>
      <c r="J69" s="141" t="s">
        <v>1079</v>
      </c>
      <c r="K69" s="142">
        <v>42217</v>
      </c>
      <c r="L69" s="142">
        <v>42287</v>
      </c>
      <c r="M69" s="134">
        <v>42301</v>
      </c>
      <c r="N69" s="140">
        <v>70</v>
      </c>
      <c r="O69" s="143">
        <v>1800</v>
      </c>
      <c r="P69" s="135" t="s">
        <v>1080</v>
      </c>
      <c r="Q69" s="223" t="s">
        <v>14</v>
      </c>
      <c r="R69" s="223" t="s">
        <v>298</v>
      </c>
      <c r="S69" s="223" t="s">
        <v>22</v>
      </c>
      <c r="T69" s="224" t="str">
        <f t="shared" ref="T69:T100" si="22">IF(OR(F69="ZU",F69="RT"),"ZU/RT",F69)</f>
        <v>LB</v>
      </c>
      <c r="U69" s="223" t="str">
        <f t="shared" ref="U69:U100" si="23">CONCATENATE(F69,"-",Q69,"-",R69)</f>
        <v>LB-NW-Prod</v>
      </c>
      <c r="V69" s="223" t="str">
        <f t="array" ref="V69">CONCATENATE(Q69,"-",R69)</f>
        <v>NW-Prod</v>
      </c>
      <c r="W69" s="239">
        <f>IF(ISERROR(VLOOKUP(T69,'15-16_DP_Tables'!$M$2:$V$8,MATCH(V69,INDEX('15-16_DP_Tables'!$M$2:$V$8,1,0),0),0)),0,VLOOKUP(T69,'15-16_DP_Tables'!$M$2:$V$8,MATCH(V69,INDEX('15-16_DP_Tables'!$M$2:$V$8,1,0),0),0))</f>
        <v>55.81537142381022</v>
      </c>
      <c r="X69" s="239">
        <f t="array" ref="X69">IF(ISERROR(VLOOKUP(T69,'15-16_DP_Tables'!$M$12:$V$18,MATCH(V69,INDEX('15-16_DP_Tables'!$M$12:$V$18,1,0),0),0)),0,VLOOKUP(T69,'15-16_DP_Tables'!$M$12:$V$18,MATCH(V69,INDEX('15-16_DP_Tables'!$M$12:$V$18,1,0),0),0))</f>
        <v>45.207999999999998</v>
      </c>
      <c r="Y69" s="223" t="str">
        <f t="shared" ref="Y69:Y100" si="24">IF(OR(ISNUMBER(SEARCH("HST",C69)),ISNUMBER(SEARCH("Horizontal",C69)),ISNUMBER(SEARCH("H",C69))),"Horizontal",IF(OR(ISNUMBER(SEARCH("SLANT",C69))),"Slant","Unknown"))</f>
        <v>Horizontal</v>
      </c>
      <c r="Z69" s="223">
        <v>5</v>
      </c>
      <c r="AA69" s="249" t="e">
        <f>VLOOKUP(T69,'Planning and Target Times'!$A$74:$L$78,MATCH(E69&amp;"-"&amp;Q69&amp;"-"&amp;Y69&amp;"-"&amp;R69,INDEX('Planning and Target Times'!$A$74:$L$78,1,0),0),0)</f>
        <v>#N/A</v>
      </c>
      <c r="AB69" s="249" t="e">
        <f>VLOOKUP(T69,'Planning and Target Times'!$A$97:$L$101,MATCH(E69&amp;"-"&amp;Q69&amp;"-"&amp;Y69&amp;"-"&amp;R69,INDEX('Planning and Target Times'!$A$97:$L$101,1,0),0),0)</f>
        <v>#N/A</v>
      </c>
      <c r="AC69" s="250">
        <f t="shared" si="20"/>
        <v>32.249180719993198</v>
      </c>
      <c r="AD69" s="250">
        <f t="shared" si="21"/>
        <v>39.815961776676694</v>
      </c>
      <c r="AE69" s="248">
        <f t="shared" si="10"/>
        <v>3767.4156999856882</v>
      </c>
      <c r="AF69" s="248">
        <f t="shared" ref="AF69:AF100" si="25">(30*365)-AE69</f>
        <v>7182.5843000143122</v>
      </c>
      <c r="AG69" s="248">
        <f t="shared" ca="1" si="16"/>
        <v>102.58430001431179</v>
      </c>
      <c r="AH69" s="248">
        <f t="shared" ca="1" si="17"/>
        <v>-1703.4156999856882</v>
      </c>
      <c r="AI69" s="248">
        <f t="shared" si="11"/>
        <v>3000.45049893328</v>
      </c>
      <c r="AJ69" s="248">
        <f t="shared" ca="1" si="18"/>
        <v>869.54950106672004</v>
      </c>
      <c r="AK69" s="248">
        <f t="shared" ca="1" si="19"/>
        <v>-936.45049893327996</v>
      </c>
    </row>
    <row r="70" spans="2:37" ht="15.95" customHeight="1" x14ac:dyDescent="0.25">
      <c r="B70" s="136">
        <v>147</v>
      </c>
      <c r="C70" s="144" t="s">
        <v>1238</v>
      </c>
      <c r="D70" s="194" t="s">
        <v>1239</v>
      </c>
      <c r="E70" s="150" t="s">
        <v>11</v>
      </c>
      <c r="F70" s="140" t="s">
        <v>17</v>
      </c>
      <c r="G70" s="140" t="s">
        <v>1076</v>
      </c>
      <c r="H70" s="140" t="s">
        <v>1082</v>
      </c>
      <c r="I70" s="140" t="s">
        <v>459</v>
      </c>
      <c r="J70" s="141" t="s">
        <v>1079</v>
      </c>
      <c r="K70" s="142">
        <v>42217</v>
      </c>
      <c r="L70" s="142">
        <v>42287</v>
      </c>
      <c r="M70" s="134">
        <v>42301</v>
      </c>
      <c r="N70" s="140">
        <v>70</v>
      </c>
      <c r="O70" s="143">
        <v>1400</v>
      </c>
      <c r="P70" s="135" t="s">
        <v>1080</v>
      </c>
      <c r="Q70" s="223" t="s">
        <v>14</v>
      </c>
      <c r="R70" s="223" t="s">
        <v>298</v>
      </c>
      <c r="S70" s="223" t="s">
        <v>17</v>
      </c>
      <c r="T70" s="224" t="str">
        <f t="shared" si="22"/>
        <v>MA</v>
      </c>
      <c r="U70" s="223" t="str">
        <f t="shared" si="23"/>
        <v>MA-NW-Prod</v>
      </c>
      <c r="V70" s="223" t="str">
        <f t="array" ref="V70">CONCATENATE(Q70,"-",R70)</f>
        <v>NW-Prod</v>
      </c>
      <c r="W70" s="239">
        <f>IF(ISERROR(VLOOKUP(T70,'15-16_DP_Tables'!$M$2:$V$8,MATCH(V70,INDEX('15-16_DP_Tables'!$M$2:$V$8,1,0),0),0)),0,VLOOKUP(T70,'15-16_DP_Tables'!$M$2:$V$8,MATCH(V70,INDEX('15-16_DP_Tables'!$M$2:$V$8,1,0),0),0))</f>
        <v>57.083333333332121</v>
      </c>
      <c r="X70" s="239">
        <f t="array" ref="X70">IF(ISERROR(VLOOKUP(T70,'15-16_DP_Tables'!$M$12:$V$18,MATCH(V70,INDEX('15-16_DP_Tables'!$M$12:$V$18,1,0),0),0)),0,VLOOKUP(T70,'15-16_DP_Tables'!$M$12:$V$18,MATCH(V70,INDEX('15-16_DP_Tables'!$M$12:$V$18,1,0),0),0))</f>
        <v>47.791666666664241</v>
      </c>
      <c r="Y70" s="223" t="str">
        <f t="shared" si="24"/>
        <v>Horizontal</v>
      </c>
      <c r="Z70" s="223">
        <v>5</v>
      </c>
      <c r="AA70" s="249" t="e">
        <f>VLOOKUP(T70,'Planning and Target Times'!$A$74:$L$78,MATCH(E70&amp;"-"&amp;Q70&amp;"-"&amp;Y70&amp;"-"&amp;R70,INDEX('Planning and Target Times'!$A$74:$L$78,1,0),0),0)</f>
        <v>#N/A</v>
      </c>
      <c r="AB70" s="249" t="e">
        <f>VLOOKUP(T70,'Planning and Target Times'!$A$97:$L$101,MATCH(E70&amp;"-"&amp;Q70&amp;"-"&amp;Y70&amp;"-"&amp;R70,INDEX('Planning and Target Times'!$A$97:$L$101,1,0),0),0)</f>
        <v>#N/A</v>
      </c>
      <c r="AC70" s="250">
        <f t="shared" si="20"/>
        <v>24.525547445255995</v>
      </c>
      <c r="AD70" s="250">
        <f t="shared" si="21"/>
        <v>29.293809938972714</v>
      </c>
      <c r="AE70" s="248">
        <f t="shared" si="10"/>
        <v>3829.4990333190203</v>
      </c>
      <c r="AF70" s="248">
        <f t="shared" si="25"/>
        <v>7120.5009666809801</v>
      </c>
      <c r="AG70" s="248">
        <f t="shared" ca="1" si="16"/>
        <v>40.500966680979673</v>
      </c>
      <c r="AH70" s="248">
        <f t="shared" ca="1" si="17"/>
        <v>-1765.4990333190203</v>
      </c>
      <c r="AI70" s="248">
        <f t="shared" si="11"/>
        <v>3053.2421655999442</v>
      </c>
      <c r="AJ70" s="248">
        <f t="shared" ca="1" si="18"/>
        <v>816.7578344000558</v>
      </c>
      <c r="AK70" s="248">
        <f t="shared" ca="1" si="19"/>
        <v>-989.2421655999442</v>
      </c>
    </row>
    <row r="71" spans="2:37" ht="15.95" customHeight="1" x14ac:dyDescent="0.25">
      <c r="B71" s="136">
        <v>30</v>
      </c>
      <c r="C71" s="152" t="s">
        <v>1113</v>
      </c>
      <c r="D71" s="157" t="s">
        <v>1107</v>
      </c>
      <c r="E71" s="150" t="s">
        <v>42</v>
      </c>
      <c r="F71" s="140" t="s">
        <v>17</v>
      </c>
      <c r="G71" s="140" t="s">
        <v>1076</v>
      </c>
      <c r="H71" s="140" t="s">
        <v>1082</v>
      </c>
      <c r="I71" s="140" t="s">
        <v>459</v>
      </c>
      <c r="J71" s="141" t="s">
        <v>1079</v>
      </c>
      <c r="K71" s="142">
        <v>42219</v>
      </c>
      <c r="L71" s="142">
        <v>42289</v>
      </c>
      <c r="M71" s="134">
        <v>42303</v>
      </c>
      <c r="N71" s="140">
        <v>70</v>
      </c>
      <c r="O71" s="143">
        <v>1500</v>
      </c>
      <c r="P71" s="135" t="s">
        <v>1080</v>
      </c>
      <c r="Q71" s="223" t="s">
        <v>14</v>
      </c>
      <c r="R71" s="223" t="s">
        <v>298</v>
      </c>
      <c r="S71" s="223" t="s">
        <v>17</v>
      </c>
      <c r="T71" s="224" t="str">
        <f t="shared" si="22"/>
        <v>MA</v>
      </c>
      <c r="U71" s="223" t="str">
        <f t="shared" si="23"/>
        <v>MA-NW-Prod</v>
      </c>
      <c r="V71" s="223" t="str">
        <f t="array" ref="V71">CONCATENATE(Q71,"-",R71)</f>
        <v>NW-Prod</v>
      </c>
      <c r="W71" s="239">
        <f>IF(ISERROR(VLOOKUP(T71,'15-16_DP_Tables'!$M$2:$V$8,MATCH(V71,INDEX('15-16_DP_Tables'!$M$2:$V$8,1,0),0),0)),0,VLOOKUP(T71,'15-16_DP_Tables'!$M$2:$V$8,MATCH(V71,INDEX('15-16_DP_Tables'!$M$2:$V$8,1,0),0),0))</f>
        <v>57.083333333332121</v>
      </c>
      <c r="X71" s="239">
        <f t="array" ref="X71">IF(ISERROR(VLOOKUP(T71,'15-16_DP_Tables'!$M$12:$V$18,MATCH(V71,INDEX('15-16_DP_Tables'!$M$12:$V$18,1,0),0),0)),0,VLOOKUP(T71,'15-16_DP_Tables'!$M$12:$V$18,MATCH(V71,INDEX('15-16_DP_Tables'!$M$12:$V$18,1,0),0),0))</f>
        <v>47.791666666664241</v>
      </c>
      <c r="Y71" s="223" t="str">
        <f t="shared" si="24"/>
        <v>Horizontal</v>
      </c>
      <c r="Z71" s="223">
        <v>5</v>
      </c>
      <c r="AA71" s="249" t="e">
        <f>VLOOKUP(T71,'Planning and Target Times'!$A$74:$L$78,MATCH(E71&amp;"-"&amp;Q71&amp;"-"&amp;Y71&amp;"-"&amp;R71,INDEX('Planning and Target Times'!$A$74:$L$78,1,0),0),0)</f>
        <v>#N/A</v>
      </c>
      <c r="AB71" s="249" t="e">
        <f>VLOOKUP(T71,'Planning and Target Times'!$A$97:$L$101,MATCH(E71&amp;"-"&amp;Q71&amp;"-"&amp;Y71&amp;"-"&amp;R71,INDEX('Planning and Target Times'!$A$97:$L$101,1,0),0),0)</f>
        <v>#N/A</v>
      </c>
      <c r="AC71" s="250">
        <f t="shared" si="20"/>
        <v>26.277372262774282</v>
      </c>
      <c r="AD71" s="250">
        <f t="shared" si="21"/>
        <v>31.386224934613622</v>
      </c>
      <c r="AE71" s="248">
        <f t="shared" ref="AE71:AE134" si="26">SUM(AE70,W71)+Z71</f>
        <v>3891.5823666523524</v>
      </c>
      <c r="AF71" s="248">
        <f t="shared" si="25"/>
        <v>7058.417633347648</v>
      </c>
      <c r="AG71" s="248">
        <f t="shared" ca="1" si="16"/>
        <v>-21.582366652352448</v>
      </c>
      <c r="AH71" s="248">
        <f t="shared" ca="1" si="17"/>
        <v>-1827.5823666523524</v>
      </c>
      <c r="AI71" s="248">
        <f t="shared" ref="AI71:AI134" si="27">SUM(AI70,X71)+Z71</f>
        <v>3106.0338322666084</v>
      </c>
      <c r="AJ71" s="248">
        <f t="shared" ca="1" si="18"/>
        <v>763.96616773339156</v>
      </c>
      <c r="AK71" s="248">
        <f t="shared" ca="1" si="19"/>
        <v>-1042.0338322666084</v>
      </c>
    </row>
    <row r="72" spans="2:37" ht="15.95" customHeight="1" x14ac:dyDescent="0.25">
      <c r="B72" s="136">
        <v>58</v>
      </c>
      <c r="C72" s="144" t="s">
        <v>1144</v>
      </c>
      <c r="D72" s="178" t="s">
        <v>1137</v>
      </c>
      <c r="E72" s="139" t="s">
        <v>11</v>
      </c>
      <c r="F72" s="140" t="s">
        <v>17</v>
      </c>
      <c r="G72" s="140" t="s">
        <v>1076</v>
      </c>
      <c r="H72" s="140" t="s">
        <v>1082</v>
      </c>
      <c r="I72" s="140" t="s">
        <v>459</v>
      </c>
      <c r="J72" s="141" t="s">
        <v>1079</v>
      </c>
      <c r="K72" s="142">
        <v>42221</v>
      </c>
      <c r="L72" s="142">
        <v>42291</v>
      </c>
      <c r="M72" s="134">
        <v>42305</v>
      </c>
      <c r="N72" s="140">
        <v>70</v>
      </c>
      <c r="O72" s="143">
        <v>1400</v>
      </c>
      <c r="P72" s="135" t="s">
        <v>1080</v>
      </c>
      <c r="Q72" s="223" t="s">
        <v>14</v>
      </c>
      <c r="R72" s="223" t="s">
        <v>298</v>
      </c>
      <c r="S72" s="223" t="s">
        <v>17</v>
      </c>
      <c r="T72" s="224" t="str">
        <f t="shared" si="22"/>
        <v>MA</v>
      </c>
      <c r="U72" s="223" t="str">
        <f t="shared" si="23"/>
        <v>MA-NW-Prod</v>
      </c>
      <c r="V72" s="223" t="str">
        <f t="array" ref="V72">CONCATENATE(Q72,"-",R72)</f>
        <v>NW-Prod</v>
      </c>
      <c r="W72" s="239">
        <f>IF(ISERROR(VLOOKUP(T72,'15-16_DP_Tables'!$M$2:$V$8,MATCH(V72,INDEX('15-16_DP_Tables'!$M$2:$V$8,1,0),0),0)),0,VLOOKUP(T72,'15-16_DP_Tables'!$M$2:$V$8,MATCH(V72,INDEX('15-16_DP_Tables'!$M$2:$V$8,1,0),0),0))</f>
        <v>57.083333333332121</v>
      </c>
      <c r="X72" s="239">
        <f t="array" ref="X72">IF(ISERROR(VLOOKUP(T72,'15-16_DP_Tables'!$M$12:$V$18,MATCH(V72,INDEX('15-16_DP_Tables'!$M$12:$V$18,1,0),0),0)),0,VLOOKUP(T72,'15-16_DP_Tables'!$M$12:$V$18,MATCH(V72,INDEX('15-16_DP_Tables'!$M$12:$V$18,1,0),0),0))</f>
        <v>47.791666666664241</v>
      </c>
      <c r="Y72" s="223" t="str">
        <f t="shared" si="24"/>
        <v>Horizontal</v>
      </c>
      <c r="Z72" s="223">
        <v>5</v>
      </c>
      <c r="AA72" s="249" t="e">
        <f>VLOOKUP(T72,'Planning and Target Times'!$A$74:$L$78,MATCH(E72&amp;"-"&amp;Q72&amp;"-"&amp;Y72&amp;"-"&amp;R72,INDEX('Planning and Target Times'!$A$74:$L$78,1,0),0),0)</f>
        <v>#N/A</v>
      </c>
      <c r="AB72" s="249" t="e">
        <f>VLOOKUP(T72,'Planning and Target Times'!$A$97:$L$101,MATCH(E72&amp;"-"&amp;Q72&amp;"-"&amp;Y72&amp;"-"&amp;R72,INDEX('Planning and Target Times'!$A$97:$L$101,1,0),0),0)</f>
        <v>#N/A</v>
      </c>
      <c r="AC72" s="250">
        <f t="shared" si="20"/>
        <v>24.525547445255995</v>
      </c>
      <c r="AD72" s="250">
        <f t="shared" si="21"/>
        <v>29.293809938972714</v>
      </c>
      <c r="AE72" s="248">
        <f t="shared" si="26"/>
        <v>3953.6656999856846</v>
      </c>
      <c r="AF72" s="248">
        <f t="shared" si="25"/>
        <v>6996.3343000143159</v>
      </c>
      <c r="AG72" s="248">
        <f t="shared" ca="1" si="16"/>
        <v>-83.665699985684569</v>
      </c>
      <c r="AH72" s="248">
        <f t="shared" ca="1" si="17"/>
        <v>-1889.6656999856846</v>
      </c>
      <c r="AI72" s="248">
        <f t="shared" si="27"/>
        <v>3158.8254989332727</v>
      </c>
      <c r="AJ72" s="248">
        <f t="shared" ca="1" si="18"/>
        <v>711.17450106672732</v>
      </c>
      <c r="AK72" s="248">
        <f t="shared" ca="1" si="19"/>
        <v>-1094.8254989332727</v>
      </c>
    </row>
    <row r="73" spans="2:37" ht="15.95" customHeight="1" x14ac:dyDescent="0.25">
      <c r="B73" s="136">
        <v>66</v>
      </c>
      <c r="C73" s="144" t="s">
        <v>1152</v>
      </c>
      <c r="D73" s="180" t="s">
        <v>513</v>
      </c>
      <c r="E73" s="139" t="s">
        <v>11</v>
      </c>
      <c r="F73" s="140" t="s">
        <v>17</v>
      </c>
      <c r="G73" s="140" t="s">
        <v>1076</v>
      </c>
      <c r="H73" s="140" t="s">
        <v>1082</v>
      </c>
      <c r="I73" s="140" t="s">
        <v>459</v>
      </c>
      <c r="J73" s="141" t="s">
        <v>1079</v>
      </c>
      <c r="K73" s="142">
        <v>42226</v>
      </c>
      <c r="L73" s="142">
        <v>42296</v>
      </c>
      <c r="M73" s="134">
        <v>42310</v>
      </c>
      <c r="N73" s="140">
        <v>70</v>
      </c>
      <c r="O73" s="143">
        <v>1400</v>
      </c>
      <c r="P73" s="143" t="s">
        <v>1080</v>
      </c>
      <c r="Q73" s="223" t="s">
        <v>14</v>
      </c>
      <c r="R73" s="223" t="s">
        <v>298</v>
      </c>
      <c r="S73" s="223" t="s">
        <v>17</v>
      </c>
      <c r="T73" s="224" t="str">
        <f t="shared" si="22"/>
        <v>MA</v>
      </c>
      <c r="U73" s="223" t="str">
        <f t="shared" si="23"/>
        <v>MA-NW-Prod</v>
      </c>
      <c r="V73" s="223" t="str">
        <f t="array" ref="V73">CONCATENATE(Q73,"-",R73)</f>
        <v>NW-Prod</v>
      </c>
      <c r="W73" s="239">
        <f>IF(ISERROR(VLOOKUP(T73,'15-16_DP_Tables'!$M$2:$V$8,MATCH(V73,INDEX('15-16_DP_Tables'!$M$2:$V$8,1,0),0),0)),0,VLOOKUP(T73,'15-16_DP_Tables'!$M$2:$V$8,MATCH(V73,INDEX('15-16_DP_Tables'!$M$2:$V$8,1,0),0),0))</f>
        <v>57.083333333332121</v>
      </c>
      <c r="X73" s="239">
        <f t="array" ref="X73">IF(ISERROR(VLOOKUP(T73,'15-16_DP_Tables'!$M$12:$V$18,MATCH(V73,INDEX('15-16_DP_Tables'!$M$12:$V$18,1,0),0),0)),0,VLOOKUP(T73,'15-16_DP_Tables'!$M$12:$V$18,MATCH(V73,INDEX('15-16_DP_Tables'!$M$12:$V$18,1,0),0),0))</f>
        <v>47.791666666664241</v>
      </c>
      <c r="Y73" s="223" t="str">
        <f t="shared" si="24"/>
        <v>Horizontal</v>
      </c>
      <c r="Z73" s="223">
        <v>5</v>
      </c>
      <c r="AA73" s="249" t="e">
        <f>VLOOKUP(T73,'Planning and Target Times'!$A$74:$L$78,MATCH(E73&amp;"-"&amp;Q73&amp;"-"&amp;Y73&amp;"-"&amp;R73,INDEX('Planning and Target Times'!$A$74:$L$78,1,0),0),0)</f>
        <v>#N/A</v>
      </c>
      <c r="AB73" s="249" t="e">
        <f>VLOOKUP(T73,'Planning and Target Times'!$A$97:$L$101,MATCH(E73&amp;"-"&amp;Q73&amp;"-"&amp;Y73&amp;"-"&amp;R73,INDEX('Planning and Target Times'!$A$97:$L$101,1,0),0),0)</f>
        <v>#N/A</v>
      </c>
      <c r="AC73" s="250">
        <f t="shared" si="20"/>
        <v>24.525547445255995</v>
      </c>
      <c r="AD73" s="250">
        <f t="shared" si="21"/>
        <v>29.293809938972714</v>
      </c>
      <c r="AE73" s="248">
        <f t="shared" si="26"/>
        <v>4015.7490333190167</v>
      </c>
      <c r="AF73" s="248">
        <f t="shared" si="25"/>
        <v>6934.2509666809838</v>
      </c>
      <c r="AG73" s="248">
        <f t="shared" ca="1" si="16"/>
        <v>-145.74903331901669</v>
      </c>
      <c r="AH73" s="248">
        <f t="shared" ca="1" si="17"/>
        <v>-1951.7490333190167</v>
      </c>
      <c r="AI73" s="248">
        <f t="shared" si="27"/>
        <v>3211.6171655999369</v>
      </c>
      <c r="AJ73" s="248">
        <f t="shared" ca="1" si="18"/>
        <v>658.38283440006308</v>
      </c>
      <c r="AK73" s="248">
        <f t="shared" ca="1" si="19"/>
        <v>-1147.6171655999369</v>
      </c>
    </row>
    <row r="74" spans="2:37" ht="15.95" customHeight="1" x14ac:dyDescent="0.25">
      <c r="B74" s="136">
        <v>73</v>
      </c>
      <c r="C74" s="164" t="s">
        <v>1159</v>
      </c>
      <c r="D74" s="182" t="s">
        <v>512</v>
      </c>
      <c r="E74" s="139" t="s">
        <v>42</v>
      </c>
      <c r="F74" s="140" t="s">
        <v>17</v>
      </c>
      <c r="G74" s="140" t="s">
        <v>1076</v>
      </c>
      <c r="H74" s="140" t="s">
        <v>1082</v>
      </c>
      <c r="I74" s="140" t="s">
        <v>459</v>
      </c>
      <c r="J74" s="141" t="s">
        <v>1079</v>
      </c>
      <c r="K74" s="142">
        <v>42228</v>
      </c>
      <c r="L74" s="142">
        <v>42298</v>
      </c>
      <c r="M74" s="134">
        <v>42312</v>
      </c>
      <c r="N74" s="140">
        <v>70</v>
      </c>
      <c r="O74" s="143">
        <v>1500</v>
      </c>
      <c r="P74" s="135" t="s">
        <v>1080</v>
      </c>
      <c r="Q74" s="223" t="s">
        <v>14</v>
      </c>
      <c r="R74" s="223" t="s">
        <v>298</v>
      </c>
      <c r="S74" s="223" t="s">
        <v>17</v>
      </c>
      <c r="T74" s="224" t="str">
        <f t="shared" si="22"/>
        <v>MA</v>
      </c>
      <c r="U74" s="223" t="str">
        <f t="shared" si="23"/>
        <v>MA-NW-Prod</v>
      </c>
      <c r="V74" s="223" t="str">
        <f t="array" ref="V74">CONCATENATE(Q74,"-",R74)</f>
        <v>NW-Prod</v>
      </c>
      <c r="W74" s="239">
        <f>IF(ISERROR(VLOOKUP(T74,'15-16_DP_Tables'!$M$2:$V$8,MATCH(V74,INDEX('15-16_DP_Tables'!$M$2:$V$8,1,0),0),0)),0,VLOOKUP(T74,'15-16_DP_Tables'!$M$2:$V$8,MATCH(V74,INDEX('15-16_DP_Tables'!$M$2:$V$8,1,0),0),0))</f>
        <v>57.083333333332121</v>
      </c>
      <c r="X74" s="239">
        <f t="array" ref="X74">IF(ISERROR(VLOOKUP(T74,'15-16_DP_Tables'!$M$12:$V$18,MATCH(V74,INDEX('15-16_DP_Tables'!$M$12:$V$18,1,0),0),0)),0,VLOOKUP(T74,'15-16_DP_Tables'!$M$12:$V$18,MATCH(V74,INDEX('15-16_DP_Tables'!$M$12:$V$18,1,0),0),0))</f>
        <v>47.791666666664241</v>
      </c>
      <c r="Y74" s="223" t="str">
        <f t="shared" si="24"/>
        <v>Horizontal</v>
      </c>
      <c r="Z74" s="223">
        <v>5</v>
      </c>
      <c r="AA74" s="249" t="e">
        <f>VLOOKUP(T74,'Planning and Target Times'!$A$74:$L$78,MATCH(E74&amp;"-"&amp;Q74&amp;"-"&amp;Y74&amp;"-"&amp;R74,INDEX('Planning and Target Times'!$A$74:$L$78,1,0),0),0)</f>
        <v>#N/A</v>
      </c>
      <c r="AB74" s="249" t="e">
        <f>VLOOKUP(T74,'Planning and Target Times'!$A$97:$L$101,MATCH(E74&amp;"-"&amp;Q74&amp;"-"&amp;Y74&amp;"-"&amp;R74,INDEX('Planning and Target Times'!$A$97:$L$101,1,0),0),0)</f>
        <v>#N/A</v>
      </c>
      <c r="AC74" s="250">
        <f t="shared" si="20"/>
        <v>26.277372262774282</v>
      </c>
      <c r="AD74" s="250">
        <f t="shared" si="21"/>
        <v>31.386224934613622</v>
      </c>
      <c r="AE74" s="248">
        <f t="shared" si="26"/>
        <v>4077.8323666523488</v>
      </c>
      <c r="AF74" s="248">
        <f t="shared" si="25"/>
        <v>6872.1676333476516</v>
      </c>
      <c r="AG74" s="248">
        <f t="shared" ca="1" si="16"/>
        <v>-207.83236665234881</v>
      </c>
      <c r="AH74" s="248">
        <f t="shared" ca="1" si="17"/>
        <v>-2013.8323666523488</v>
      </c>
      <c r="AI74" s="248">
        <f t="shared" si="27"/>
        <v>3264.4088322666012</v>
      </c>
      <c r="AJ74" s="248">
        <f t="shared" ca="1" si="18"/>
        <v>605.59116773339883</v>
      </c>
      <c r="AK74" s="248">
        <f t="shared" ca="1" si="19"/>
        <v>-1200.4088322666012</v>
      </c>
    </row>
    <row r="75" spans="2:37" ht="15.95" customHeight="1" x14ac:dyDescent="0.25">
      <c r="B75" s="136">
        <v>13</v>
      </c>
      <c r="C75" s="152" t="s">
        <v>1094</v>
      </c>
      <c r="D75" s="147" t="s">
        <v>430</v>
      </c>
      <c r="E75" s="150" t="s">
        <v>11</v>
      </c>
      <c r="F75" s="140" t="s">
        <v>17</v>
      </c>
      <c r="G75" s="140" t="s">
        <v>1076</v>
      </c>
      <c r="H75" s="140" t="s">
        <v>1082</v>
      </c>
      <c r="I75" s="140" t="s">
        <v>459</v>
      </c>
      <c r="J75" s="141" t="s">
        <v>1079</v>
      </c>
      <c r="K75" s="142">
        <v>42232</v>
      </c>
      <c r="L75" s="142">
        <v>42302</v>
      </c>
      <c r="M75" s="134">
        <v>42316</v>
      </c>
      <c r="N75" s="140">
        <v>70</v>
      </c>
      <c r="O75" s="143">
        <v>1400</v>
      </c>
      <c r="P75" s="135" t="s">
        <v>1080</v>
      </c>
      <c r="Q75" s="223" t="s">
        <v>14</v>
      </c>
      <c r="R75" s="223" t="s">
        <v>298</v>
      </c>
      <c r="S75" s="223" t="s">
        <v>17</v>
      </c>
      <c r="T75" s="224" t="str">
        <f t="shared" si="22"/>
        <v>MA</v>
      </c>
      <c r="U75" s="223" t="str">
        <f t="shared" si="23"/>
        <v>MA-NW-Prod</v>
      </c>
      <c r="V75" s="223" t="str">
        <f t="array" ref="V75">CONCATENATE(Q75,"-",R75)</f>
        <v>NW-Prod</v>
      </c>
      <c r="W75" s="239">
        <f>IF(ISERROR(VLOOKUP(T75,'15-16_DP_Tables'!$M$2:$V$8,MATCH(V75,INDEX('15-16_DP_Tables'!$M$2:$V$8,1,0),0),0)),0,VLOOKUP(T75,'15-16_DP_Tables'!$M$2:$V$8,MATCH(V75,INDEX('15-16_DP_Tables'!$M$2:$V$8,1,0),0),0))</f>
        <v>57.083333333332121</v>
      </c>
      <c r="X75" s="239">
        <f t="array" ref="X75">IF(ISERROR(VLOOKUP(T75,'15-16_DP_Tables'!$M$12:$V$18,MATCH(V75,INDEX('15-16_DP_Tables'!$M$12:$V$18,1,0),0),0)),0,VLOOKUP(T75,'15-16_DP_Tables'!$M$12:$V$18,MATCH(V75,INDEX('15-16_DP_Tables'!$M$12:$V$18,1,0),0),0))</f>
        <v>47.791666666664241</v>
      </c>
      <c r="Y75" s="223" t="str">
        <f t="shared" si="24"/>
        <v>Horizontal</v>
      </c>
      <c r="Z75" s="223">
        <v>5</v>
      </c>
      <c r="AA75" s="249" t="e">
        <f>VLOOKUP(T75,'Planning and Target Times'!$A$74:$L$78,MATCH(E75&amp;"-"&amp;Q75&amp;"-"&amp;Y75&amp;"-"&amp;R75,INDEX('Planning and Target Times'!$A$74:$L$78,1,0),0),0)</f>
        <v>#N/A</v>
      </c>
      <c r="AB75" s="249" t="e">
        <f>VLOOKUP(T75,'Planning and Target Times'!$A$97:$L$101,MATCH(E75&amp;"-"&amp;Q75&amp;"-"&amp;Y75&amp;"-"&amp;R75,INDEX('Planning and Target Times'!$A$97:$L$101,1,0),0),0)</f>
        <v>#N/A</v>
      </c>
      <c r="AC75" s="250">
        <f t="shared" si="20"/>
        <v>24.525547445255995</v>
      </c>
      <c r="AD75" s="250">
        <f t="shared" si="21"/>
        <v>29.293809938972714</v>
      </c>
      <c r="AE75" s="248">
        <f t="shared" si="26"/>
        <v>4139.9156999856805</v>
      </c>
      <c r="AF75" s="248">
        <f t="shared" si="25"/>
        <v>6810.0843000143195</v>
      </c>
      <c r="AG75" s="248">
        <f t="shared" ca="1" si="16"/>
        <v>-269.91569998568048</v>
      </c>
      <c r="AH75" s="248">
        <f t="shared" ca="1" si="17"/>
        <v>-2075.9156999856805</v>
      </c>
      <c r="AI75" s="248">
        <f t="shared" si="27"/>
        <v>3317.2004989332654</v>
      </c>
      <c r="AJ75" s="248">
        <f t="shared" ca="1" si="18"/>
        <v>552.79950106673459</v>
      </c>
      <c r="AK75" s="248">
        <f t="shared" ca="1" si="19"/>
        <v>-1253.2004989332654</v>
      </c>
    </row>
    <row r="76" spans="2:37" ht="15.95" customHeight="1" x14ac:dyDescent="0.25">
      <c r="B76" s="136">
        <v>39</v>
      </c>
      <c r="C76" s="152" t="s">
        <v>1123</v>
      </c>
      <c r="D76" s="165" t="s">
        <v>1116</v>
      </c>
      <c r="E76" s="150" t="s">
        <v>42</v>
      </c>
      <c r="F76" s="140" t="s">
        <v>17</v>
      </c>
      <c r="G76" s="140" t="s">
        <v>1076</v>
      </c>
      <c r="H76" s="140" t="s">
        <v>1077</v>
      </c>
      <c r="I76" s="140" t="s">
        <v>459</v>
      </c>
      <c r="J76" s="141" t="s">
        <v>1079</v>
      </c>
      <c r="K76" s="142">
        <v>42232</v>
      </c>
      <c r="L76" s="142">
        <v>42288</v>
      </c>
      <c r="M76" s="134">
        <v>42302</v>
      </c>
      <c r="N76" s="140">
        <v>56</v>
      </c>
      <c r="O76" s="143">
        <v>1200</v>
      </c>
      <c r="P76" s="135" t="s">
        <v>1080</v>
      </c>
      <c r="Q76" s="223" t="s">
        <v>18</v>
      </c>
      <c r="R76" s="223" t="s">
        <v>298</v>
      </c>
      <c r="S76" s="223" t="s">
        <v>17</v>
      </c>
      <c r="T76" s="224" t="str">
        <f t="shared" si="22"/>
        <v>MA</v>
      </c>
      <c r="U76" s="223" t="str">
        <f t="shared" si="23"/>
        <v>MA-ST-Prod</v>
      </c>
      <c r="V76" s="223" t="str">
        <f t="array" ref="V76">CONCATENATE(Q76,"-",R76)</f>
        <v>ST-Prod</v>
      </c>
      <c r="W76" s="239">
        <f>IF(ISERROR(VLOOKUP(T76,'15-16_DP_Tables'!$M$2:$V$8,MATCH(V76,INDEX('15-16_DP_Tables'!$M$2:$V$8,1,0),0),0)),0,VLOOKUP(T76,'15-16_DP_Tables'!$M$2:$V$8,MATCH(V76,INDEX('15-16_DP_Tables'!$M$2:$V$8,1,0),0),0))</f>
        <v>47.881547142856107</v>
      </c>
      <c r="X76" s="239">
        <f t="array" ref="X76">IF(ISERROR(VLOOKUP(T76,'15-16_DP_Tables'!$M$12:$V$18,MATCH(V76,INDEX('15-16_DP_Tables'!$M$12:$V$18,1,0),0),0)),0,VLOOKUP(T76,'15-16_DP_Tables'!$M$12:$V$18,MATCH(V76,INDEX('15-16_DP_Tables'!$M$12:$V$18,1,0),0),0))</f>
        <v>41.770833333332121</v>
      </c>
      <c r="Y76" s="223" t="str">
        <f t="shared" si="24"/>
        <v>Horizontal</v>
      </c>
      <c r="Z76" s="223">
        <v>5</v>
      </c>
      <c r="AA76" s="249" t="e">
        <f>VLOOKUP(T76,'Planning and Target Times'!$A$74:$L$78,MATCH(E76&amp;"-"&amp;Q76&amp;"-"&amp;Y76&amp;"-"&amp;R76,INDEX('Planning and Target Times'!$A$74:$L$78,1,0),0),0)</f>
        <v>#N/A</v>
      </c>
      <c r="AB76" s="249" t="e">
        <f>VLOOKUP(T76,'Planning and Target Times'!$A$97:$L$101,MATCH(E76&amp;"-"&amp;Q76&amp;"-"&amp;Y76&amp;"-"&amp;R76,INDEX('Planning and Target Times'!$A$97:$L$101,1,0),0),0)</f>
        <v>#N/A</v>
      </c>
      <c r="AC76" s="250">
        <f t="shared" si="20"/>
        <v>25.061846820023632</v>
      </c>
      <c r="AD76" s="250">
        <f t="shared" si="21"/>
        <v>28.728179551123027</v>
      </c>
      <c r="AE76" s="248">
        <f t="shared" si="26"/>
        <v>4192.7972471285366</v>
      </c>
      <c r="AF76" s="248">
        <f t="shared" si="25"/>
        <v>6757.2027528714634</v>
      </c>
      <c r="AG76" s="248">
        <f t="shared" ca="1" si="16"/>
        <v>-322.79724712853658</v>
      </c>
      <c r="AH76" s="248">
        <f t="shared" ca="1" si="17"/>
        <v>-2128.7972471285366</v>
      </c>
      <c r="AI76" s="248">
        <f t="shared" si="27"/>
        <v>3363.9713322665975</v>
      </c>
      <c r="AJ76" s="248">
        <f t="shared" ca="1" si="18"/>
        <v>506.02866773340247</v>
      </c>
      <c r="AK76" s="248">
        <f t="shared" ca="1" si="19"/>
        <v>-1299.9713322665975</v>
      </c>
    </row>
    <row r="77" spans="2:37" ht="15.95" customHeight="1" x14ac:dyDescent="0.25">
      <c r="B77" s="136">
        <v>49</v>
      </c>
      <c r="C77" s="144" t="s">
        <v>1133</v>
      </c>
      <c r="D77" s="171" t="s">
        <v>1126</v>
      </c>
      <c r="E77" s="139" t="s">
        <v>42</v>
      </c>
      <c r="F77" s="174" t="s">
        <v>22</v>
      </c>
      <c r="G77" s="174" t="s">
        <v>1076</v>
      </c>
      <c r="H77" s="174" t="s">
        <v>1082</v>
      </c>
      <c r="I77" s="174" t="s">
        <v>459</v>
      </c>
      <c r="J77" s="175" t="s">
        <v>1079</v>
      </c>
      <c r="K77" s="142">
        <v>42234</v>
      </c>
      <c r="L77" s="142">
        <v>42304</v>
      </c>
      <c r="M77" s="134">
        <v>42318</v>
      </c>
      <c r="N77" s="174">
        <v>70</v>
      </c>
      <c r="O77" s="176">
        <v>1800</v>
      </c>
      <c r="P77" s="222" t="s">
        <v>1080</v>
      </c>
      <c r="Q77" s="223" t="s">
        <v>14</v>
      </c>
      <c r="R77" s="223" t="s">
        <v>298</v>
      </c>
      <c r="S77" s="223" t="s">
        <v>22</v>
      </c>
      <c r="T77" s="224" t="str">
        <f t="shared" si="22"/>
        <v>LB</v>
      </c>
      <c r="U77" s="223" t="str">
        <f t="shared" si="23"/>
        <v>LB-NW-Prod</v>
      </c>
      <c r="V77" s="223" t="str">
        <f t="array" ref="V77">CONCATENATE(Q77,"-",R77)</f>
        <v>NW-Prod</v>
      </c>
      <c r="W77" s="239">
        <f>IF(ISERROR(VLOOKUP(T77,'15-16_DP_Tables'!$M$2:$V$8,MATCH(V77,INDEX('15-16_DP_Tables'!$M$2:$V$8,1,0),0),0)),0,VLOOKUP(T77,'15-16_DP_Tables'!$M$2:$V$8,MATCH(V77,INDEX('15-16_DP_Tables'!$M$2:$V$8,1,0),0),0))</f>
        <v>55.81537142381022</v>
      </c>
      <c r="X77" s="239">
        <f t="array" ref="X77">IF(ISERROR(VLOOKUP(T77,'15-16_DP_Tables'!$M$12:$V$18,MATCH(V77,INDEX('15-16_DP_Tables'!$M$12:$V$18,1,0),0),0)),0,VLOOKUP(T77,'15-16_DP_Tables'!$M$12:$V$18,MATCH(V77,INDEX('15-16_DP_Tables'!$M$12:$V$18,1,0),0),0))</f>
        <v>45.207999999999998</v>
      </c>
      <c r="Y77" s="223" t="str">
        <f t="shared" si="24"/>
        <v>Unknown</v>
      </c>
      <c r="Z77" s="223">
        <v>5</v>
      </c>
      <c r="AA77" s="249" t="e">
        <f>VLOOKUP(T77,'Planning and Target Times'!$A$74:$L$78,MATCH(E77&amp;"-"&amp;Q77&amp;"-"&amp;Y77&amp;"-"&amp;R77,INDEX('Planning and Target Times'!$A$74:$L$78,1,0),0),0)</f>
        <v>#N/A</v>
      </c>
      <c r="AB77" s="249" t="e">
        <f>VLOOKUP(T77,'Planning and Target Times'!$A$97:$L$101,MATCH(E77&amp;"-"&amp;Q77&amp;"-"&amp;Y77&amp;"-"&amp;R77,INDEX('Planning and Target Times'!$A$97:$L$101,1,0),0),0)</f>
        <v>#N/A</v>
      </c>
      <c r="AC77" s="250">
        <f t="shared" si="20"/>
        <v>32.249180719993198</v>
      </c>
      <c r="AD77" s="250">
        <f t="shared" si="21"/>
        <v>39.815961776676694</v>
      </c>
      <c r="AE77" s="248">
        <f t="shared" si="26"/>
        <v>4253.6126185523472</v>
      </c>
      <c r="AF77" s="248">
        <f t="shared" si="25"/>
        <v>6696.3873814476528</v>
      </c>
      <c r="AG77" s="248">
        <f t="shared" ca="1" si="16"/>
        <v>-383.61261855234716</v>
      </c>
      <c r="AH77" s="248">
        <f t="shared" ca="1" si="17"/>
        <v>-2189.6126185523472</v>
      </c>
      <c r="AI77" s="248">
        <f t="shared" si="27"/>
        <v>3414.1793322665976</v>
      </c>
      <c r="AJ77" s="248">
        <f t="shared" ca="1" si="18"/>
        <v>455.82066773340239</v>
      </c>
      <c r="AK77" s="248">
        <f t="shared" ca="1" si="19"/>
        <v>-1350.1793322665976</v>
      </c>
    </row>
    <row r="78" spans="2:37" ht="15.95" customHeight="1" x14ac:dyDescent="0.25">
      <c r="B78" s="136">
        <v>137</v>
      </c>
      <c r="C78" s="144" t="s">
        <v>1227</v>
      </c>
      <c r="D78" s="156" t="s">
        <v>1226</v>
      </c>
      <c r="E78" s="150" t="s">
        <v>42</v>
      </c>
      <c r="F78" s="140" t="s">
        <v>22</v>
      </c>
      <c r="G78" s="140" t="s">
        <v>1076</v>
      </c>
      <c r="H78" s="140" t="s">
        <v>1082</v>
      </c>
      <c r="I78" s="140" t="s">
        <v>459</v>
      </c>
      <c r="J78" s="141" t="s">
        <v>1079</v>
      </c>
      <c r="K78" s="142">
        <v>42242</v>
      </c>
      <c r="L78" s="142">
        <v>42312</v>
      </c>
      <c r="M78" s="134">
        <v>42326</v>
      </c>
      <c r="N78" s="140">
        <v>70</v>
      </c>
      <c r="O78" s="143">
        <v>1800</v>
      </c>
      <c r="P78" s="135" t="s">
        <v>1096</v>
      </c>
      <c r="Q78" s="223" t="s">
        <v>14</v>
      </c>
      <c r="R78" s="223" t="s">
        <v>298</v>
      </c>
      <c r="S78" s="223" t="s">
        <v>22</v>
      </c>
      <c r="T78" s="224" t="str">
        <f t="shared" si="22"/>
        <v>LB</v>
      </c>
      <c r="U78" s="223" t="str">
        <f t="shared" si="23"/>
        <v>LB-NW-Prod</v>
      </c>
      <c r="V78" s="223" t="str">
        <f t="array" ref="V78">CONCATENATE(Q78,"-",R78)</f>
        <v>NW-Prod</v>
      </c>
      <c r="W78" s="239">
        <f>IF(ISERROR(VLOOKUP(T78,'15-16_DP_Tables'!$M$2:$V$8,MATCH(V78,INDEX('15-16_DP_Tables'!$M$2:$V$8,1,0),0),0)),0,VLOOKUP(T78,'15-16_DP_Tables'!$M$2:$V$8,MATCH(V78,INDEX('15-16_DP_Tables'!$M$2:$V$8,1,0),0),0))</f>
        <v>55.81537142381022</v>
      </c>
      <c r="X78" s="239">
        <f t="array" ref="X78">IF(ISERROR(VLOOKUP(T78,'15-16_DP_Tables'!$M$12:$V$18,MATCH(V78,INDEX('15-16_DP_Tables'!$M$12:$V$18,1,0),0),0)),0,VLOOKUP(T78,'15-16_DP_Tables'!$M$12:$V$18,MATCH(V78,INDEX('15-16_DP_Tables'!$M$12:$V$18,1,0),0),0))</f>
        <v>45.207999999999998</v>
      </c>
      <c r="Y78" s="223" t="str">
        <f t="shared" si="24"/>
        <v>Unknown</v>
      </c>
      <c r="Z78" s="223">
        <v>5</v>
      </c>
      <c r="AA78" s="249" t="e">
        <f>VLOOKUP(T78,'Planning and Target Times'!$A$74:$L$78,MATCH(E78&amp;"-"&amp;Q78&amp;"-"&amp;Y78&amp;"-"&amp;R78,INDEX('Planning and Target Times'!$A$74:$L$78,1,0),0),0)</f>
        <v>#N/A</v>
      </c>
      <c r="AB78" s="249" t="e">
        <f>VLOOKUP(T78,'Planning and Target Times'!$A$97:$L$101,MATCH(E78&amp;"-"&amp;Q78&amp;"-"&amp;Y78&amp;"-"&amp;R78,INDEX('Planning and Target Times'!$A$97:$L$101,1,0),0),0)</f>
        <v>#N/A</v>
      </c>
      <c r="AC78" s="250">
        <f t="shared" si="20"/>
        <v>32.249180719993198</v>
      </c>
      <c r="AD78" s="250">
        <f t="shared" si="21"/>
        <v>39.815961776676694</v>
      </c>
      <c r="AE78" s="248">
        <f t="shared" si="26"/>
        <v>4314.4279899761577</v>
      </c>
      <c r="AF78" s="248">
        <f t="shared" si="25"/>
        <v>6635.5720100238423</v>
      </c>
      <c r="AG78" s="248">
        <f t="shared" ca="1" si="16"/>
        <v>-444.42798997615773</v>
      </c>
      <c r="AH78" s="248">
        <f t="shared" ca="1" si="17"/>
        <v>-2250.4279899761577</v>
      </c>
      <c r="AI78" s="248">
        <f t="shared" si="27"/>
        <v>3464.3873322665977</v>
      </c>
      <c r="AJ78" s="248">
        <f t="shared" ca="1" si="18"/>
        <v>405.6126677334023</v>
      </c>
      <c r="AK78" s="248">
        <f t="shared" ca="1" si="19"/>
        <v>-1400.3873322665977</v>
      </c>
    </row>
    <row r="79" spans="2:37" ht="15.95" customHeight="1" x14ac:dyDescent="0.25">
      <c r="B79" s="136">
        <v>92</v>
      </c>
      <c r="C79" s="144" t="s">
        <v>1179</v>
      </c>
      <c r="D79" s="186" t="s">
        <v>35</v>
      </c>
      <c r="E79" s="150" t="s">
        <v>11</v>
      </c>
      <c r="F79" s="140" t="s">
        <v>17</v>
      </c>
      <c r="G79" s="140" t="s">
        <v>1076</v>
      </c>
      <c r="H79" s="140" t="s">
        <v>1082</v>
      </c>
      <c r="I79" s="140" t="s">
        <v>459</v>
      </c>
      <c r="J79" s="141" t="s">
        <v>1079</v>
      </c>
      <c r="K79" s="142">
        <v>42243</v>
      </c>
      <c r="L79" s="142">
        <v>42313</v>
      </c>
      <c r="M79" s="134">
        <v>42327</v>
      </c>
      <c r="N79" s="140">
        <v>70</v>
      </c>
      <c r="O79" s="143">
        <v>1400</v>
      </c>
      <c r="P79" s="135" t="s">
        <v>1096</v>
      </c>
      <c r="Q79" s="223" t="s">
        <v>14</v>
      </c>
      <c r="R79" s="223" t="s">
        <v>298</v>
      </c>
      <c r="S79" s="223" t="s">
        <v>17</v>
      </c>
      <c r="T79" s="224" t="str">
        <f t="shared" si="22"/>
        <v>MA</v>
      </c>
      <c r="U79" s="223" t="str">
        <f t="shared" si="23"/>
        <v>MA-NW-Prod</v>
      </c>
      <c r="V79" s="223" t="str">
        <f t="array" ref="V79">CONCATENATE(Q79,"-",R79)</f>
        <v>NW-Prod</v>
      </c>
      <c r="W79" s="239">
        <f>IF(ISERROR(VLOOKUP(T79,'15-16_DP_Tables'!$M$2:$V$8,MATCH(V79,INDEX('15-16_DP_Tables'!$M$2:$V$8,1,0),0),0)),0,VLOOKUP(T79,'15-16_DP_Tables'!$M$2:$V$8,MATCH(V79,INDEX('15-16_DP_Tables'!$M$2:$V$8,1,0),0),0))</f>
        <v>57.083333333332121</v>
      </c>
      <c r="X79" s="239">
        <f t="array" ref="X79">IF(ISERROR(VLOOKUP(T79,'15-16_DP_Tables'!$M$12:$V$18,MATCH(V79,INDEX('15-16_DP_Tables'!$M$12:$V$18,1,0),0),0)),0,VLOOKUP(T79,'15-16_DP_Tables'!$M$12:$V$18,MATCH(V79,INDEX('15-16_DP_Tables'!$M$12:$V$18,1,0),0),0))</f>
        <v>47.791666666664241</v>
      </c>
      <c r="Y79" s="223" t="str">
        <f t="shared" si="24"/>
        <v>Unknown</v>
      </c>
      <c r="Z79" s="223">
        <v>5</v>
      </c>
      <c r="AA79" s="249" t="e">
        <f>VLOOKUP(T79,'Planning and Target Times'!$A$74:$L$78,MATCH(E79&amp;"-"&amp;Q79&amp;"-"&amp;Y79&amp;"-"&amp;R79,INDEX('Planning and Target Times'!$A$74:$L$78,1,0),0),0)</f>
        <v>#N/A</v>
      </c>
      <c r="AB79" s="249" t="e">
        <f>VLOOKUP(T79,'Planning and Target Times'!$A$97:$L$101,MATCH(E79&amp;"-"&amp;Q79&amp;"-"&amp;Y79&amp;"-"&amp;R79,INDEX('Planning and Target Times'!$A$97:$L$101,1,0),0),0)</f>
        <v>#N/A</v>
      </c>
      <c r="AC79" s="250">
        <f t="shared" si="20"/>
        <v>24.525547445255995</v>
      </c>
      <c r="AD79" s="250">
        <f t="shared" si="21"/>
        <v>29.293809938972714</v>
      </c>
      <c r="AE79" s="248">
        <f t="shared" si="26"/>
        <v>4376.5113233094899</v>
      </c>
      <c r="AF79" s="248">
        <f t="shared" si="25"/>
        <v>6573.4886766905101</v>
      </c>
      <c r="AG79" s="248">
        <f t="shared" ca="1" si="16"/>
        <v>-506.51132330948985</v>
      </c>
      <c r="AH79" s="248">
        <f t="shared" ca="1" si="17"/>
        <v>-2312.5113233094899</v>
      </c>
      <c r="AI79" s="248">
        <f t="shared" si="27"/>
        <v>3517.1789989332619</v>
      </c>
      <c r="AJ79" s="248">
        <f t="shared" ca="1" si="18"/>
        <v>352.82100106673806</v>
      </c>
      <c r="AK79" s="248">
        <f t="shared" ca="1" si="19"/>
        <v>-1453.1789989332619</v>
      </c>
    </row>
    <row r="80" spans="2:37" ht="15.95" customHeight="1" x14ac:dyDescent="0.25">
      <c r="B80" s="136">
        <v>87</v>
      </c>
      <c r="C80" s="164" t="s">
        <v>1174</v>
      </c>
      <c r="D80" s="165" t="s">
        <v>1171</v>
      </c>
      <c r="E80" s="139" t="s">
        <v>42</v>
      </c>
      <c r="F80" s="140" t="s">
        <v>17</v>
      </c>
      <c r="G80" s="140" t="s">
        <v>1076</v>
      </c>
      <c r="H80" s="140" t="s">
        <v>1082</v>
      </c>
      <c r="I80" s="140" t="s">
        <v>459</v>
      </c>
      <c r="J80" s="141" t="s">
        <v>1079</v>
      </c>
      <c r="K80" s="142">
        <v>42246</v>
      </c>
      <c r="L80" s="142">
        <v>42316</v>
      </c>
      <c r="M80" s="134">
        <v>42330</v>
      </c>
      <c r="N80" s="140">
        <v>70</v>
      </c>
      <c r="O80" s="143">
        <v>1500</v>
      </c>
      <c r="P80" s="143" t="s">
        <v>1080</v>
      </c>
      <c r="Q80" s="223" t="s">
        <v>14</v>
      </c>
      <c r="R80" s="223" t="s">
        <v>298</v>
      </c>
      <c r="S80" s="223" t="s">
        <v>17</v>
      </c>
      <c r="T80" s="224" t="str">
        <f t="shared" si="22"/>
        <v>MA</v>
      </c>
      <c r="U80" s="223" t="str">
        <f t="shared" si="23"/>
        <v>MA-NW-Prod</v>
      </c>
      <c r="V80" s="223" t="str">
        <f t="array" ref="V80">CONCATENATE(Q80,"-",R80)</f>
        <v>NW-Prod</v>
      </c>
      <c r="W80" s="239">
        <f>IF(ISERROR(VLOOKUP(T80,'15-16_DP_Tables'!$M$2:$V$8,MATCH(V80,INDEX('15-16_DP_Tables'!$M$2:$V$8,1,0),0),0)),0,VLOOKUP(T80,'15-16_DP_Tables'!$M$2:$V$8,MATCH(V80,INDEX('15-16_DP_Tables'!$M$2:$V$8,1,0),0),0))</f>
        <v>57.083333333332121</v>
      </c>
      <c r="X80" s="239">
        <f t="array" ref="X80">IF(ISERROR(VLOOKUP(T80,'15-16_DP_Tables'!$M$12:$V$18,MATCH(V80,INDEX('15-16_DP_Tables'!$M$12:$V$18,1,0),0),0)),0,VLOOKUP(T80,'15-16_DP_Tables'!$M$12:$V$18,MATCH(V80,INDEX('15-16_DP_Tables'!$M$12:$V$18,1,0),0),0))</f>
        <v>47.791666666664241</v>
      </c>
      <c r="Y80" s="223" t="str">
        <f t="shared" si="24"/>
        <v>Horizontal</v>
      </c>
      <c r="Z80" s="223">
        <v>5</v>
      </c>
      <c r="AA80" s="249" t="e">
        <f>VLOOKUP(T80,'Planning and Target Times'!$A$74:$L$78,MATCH(E80&amp;"-"&amp;Q80&amp;"-"&amp;Y80&amp;"-"&amp;R80,INDEX('Planning and Target Times'!$A$74:$L$78,1,0),0),0)</f>
        <v>#N/A</v>
      </c>
      <c r="AB80" s="249" t="e">
        <f>VLOOKUP(T80,'Planning and Target Times'!$A$97:$L$101,MATCH(E80&amp;"-"&amp;Q80&amp;"-"&amp;Y80&amp;"-"&amp;R80,INDEX('Planning and Target Times'!$A$97:$L$101,1,0),0),0)</f>
        <v>#N/A</v>
      </c>
      <c r="AC80" s="250">
        <f t="shared" si="20"/>
        <v>26.277372262774282</v>
      </c>
      <c r="AD80" s="250">
        <f t="shared" si="21"/>
        <v>31.386224934613622</v>
      </c>
      <c r="AE80" s="248">
        <f t="shared" si="26"/>
        <v>4438.594656642822</v>
      </c>
      <c r="AF80" s="248">
        <f t="shared" si="25"/>
        <v>6511.405343357178</v>
      </c>
      <c r="AG80" s="248">
        <f t="shared" ca="1" si="16"/>
        <v>-568.59465664282197</v>
      </c>
      <c r="AH80" s="248">
        <f t="shared" ca="1" si="17"/>
        <v>-2374.594656642822</v>
      </c>
      <c r="AI80" s="248">
        <f t="shared" si="27"/>
        <v>3569.9706655999262</v>
      </c>
      <c r="AJ80" s="248">
        <f t="shared" ca="1" si="18"/>
        <v>300.02933440007382</v>
      </c>
      <c r="AK80" s="248">
        <f t="shared" ca="1" si="19"/>
        <v>-1505.9706655999262</v>
      </c>
    </row>
    <row r="81" spans="2:37" ht="15.95" customHeight="1" x14ac:dyDescent="0.25">
      <c r="B81" s="136">
        <v>151</v>
      </c>
      <c r="C81" s="144" t="s">
        <v>1243</v>
      </c>
      <c r="D81" s="153" t="s">
        <v>1244</v>
      </c>
      <c r="E81" s="150" t="s">
        <v>11</v>
      </c>
      <c r="F81" s="140" t="s">
        <v>22</v>
      </c>
      <c r="G81" s="140" t="s">
        <v>1076</v>
      </c>
      <c r="H81" s="140" t="s">
        <v>1082</v>
      </c>
      <c r="I81" s="140" t="s">
        <v>459</v>
      </c>
      <c r="J81" s="141" t="s">
        <v>1079</v>
      </c>
      <c r="K81" s="142">
        <v>42248</v>
      </c>
      <c r="L81" s="142">
        <v>42318</v>
      </c>
      <c r="M81" s="134">
        <v>42332</v>
      </c>
      <c r="N81" s="140">
        <v>70</v>
      </c>
      <c r="O81" s="143">
        <v>1200</v>
      </c>
      <c r="P81" s="143" t="s">
        <v>1080</v>
      </c>
      <c r="Q81" s="223" t="s">
        <v>14</v>
      </c>
      <c r="R81" s="223" t="s">
        <v>298</v>
      </c>
      <c r="S81" s="223" t="s">
        <v>22</v>
      </c>
      <c r="T81" s="224" t="str">
        <f t="shared" si="22"/>
        <v>LB</v>
      </c>
      <c r="U81" s="223" t="str">
        <f t="shared" si="23"/>
        <v>LB-NW-Prod</v>
      </c>
      <c r="V81" s="223" t="str">
        <f t="array" ref="V81">CONCATENATE(Q81,"-",R81)</f>
        <v>NW-Prod</v>
      </c>
      <c r="W81" s="239">
        <f>IF(ISERROR(VLOOKUP(T81,'15-16_DP_Tables'!$M$2:$V$8,MATCH(V81,INDEX('15-16_DP_Tables'!$M$2:$V$8,1,0),0),0)),0,VLOOKUP(T81,'15-16_DP_Tables'!$M$2:$V$8,MATCH(V81,INDEX('15-16_DP_Tables'!$M$2:$V$8,1,0),0),0))</f>
        <v>55.81537142381022</v>
      </c>
      <c r="X81" s="239">
        <f t="array" ref="X81">IF(ISERROR(VLOOKUP(T81,'15-16_DP_Tables'!$M$12:$V$18,MATCH(V81,INDEX('15-16_DP_Tables'!$M$12:$V$18,1,0),0),0)),0,VLOOKUP(T81,'15-16_DP_Tables'!$M$12:$V$18,MATCH(V81,INDEX('15-16_DP_Tables'!$M$12:$V$18,1,0),0),0))</f>
        <v>45.207999999999998</v>
      </c>
      <c r="Y81" s="223" t="str">
        <f t="shared" si="24"/>
        <v>Horizontal</v>
      </c>
      <c r="Z81" s="223">
        <v>5</v>
      </c>
      <c r="AA81" s="249" t="e">
        <f>VLOOKUP(T81,'Planning and Target Times'!$A$74:$L$78,MATCH(E81&amp;"-"&amp;Q81&amp;"-"&amp;Y81&amp;"-"&amp;R81,INDEX('Planning and Target Times'!$A$74:$L$78,1,0),0),0)</f>
        <v>#N/A</v>
      </c>
      <c r="AB81" s="249" t="e">
        <f>VLOOKUP(T81,'Planning and Target Times'!$A$97:$L$101,MATCH(E81&amp;"-"&amp;Q81&amp;"-"&amp;Y81&amp;"-"&amp;R81,INDEX('Planning and Target Times'!$A$97:$L$101,1,0),0),0)</f>
        <v>#N/A</v>
      </c>
      <c r="AC81" s="250">
        <f t="shared" si="20"/>
        <v>21.499453813328802</v>
      </c>
      <c r="AD81" s="250">
        <f t="shared" si="21"/>
        <v>26.543974517784463</v>
      </c>
      <c r="AE81" s="248">
        <f t="shared" si="26"/>
        <v>4499.4100280666325</v>
      </c>
      <c r="AF81" s="248">
        <f t="shared" si="25"/>
        <v>6450.5899719333675</v>
      </c>
      <c r="AG81" s="248">
        <f t="shared" ca="1" si="16"/>
        <v>-629.41002806663255</v>
      </c>
      <c r="AH81" s="248">
        <f t="shared" ca="1" si="17"/>
        <v>-2435.4100280666325</v>
      </c>
      <c r="AI81" s="248">
        <f t="shared" si="27"/>
        <v>3620.1786655999263</v>
      </c>
      <c r="AJ81" s="248">
        <f t="shared" ca="1" si="18"/>
        <v>249.82133440007374</v>
      </c>
      <c r="AK81" s="248">
        <f t="shared" ca="1" si="19"/>
        <v>-1556.1786655999263</v>
      </c>
    </row>
    <row r="82" spans="2:37" ht="15.95" customHeight="1" x14ac:dyDescent="0.25">
      <c r="B82" s="136">
        <v>154</v>
      </c>
      <c r="C82" s="144" t="s">
        <v>1247</v>
      </c>
      <c r="D82" s="195" t="s">
        <v>1248</v>
      </c>
      <c r="E82" s="150" t="s">
        <v>11</v>
      </c>
      <c r="F82" s="140" t="s">
        <v>17</v>
      </c>
      <c r="G82" s="140" t="s">
        <v>1076</v>
      </c>
      <c r="H82" s="140" t="s">
        <v>1082</v>
      </c>
      <c r="I82" s="140" t="s">
        <v>459</v>
      </c>
      <c r="J82" s="141" t="s">
        <v>1079</v>
      </c>
      <c r="K82" s="142">
        <v>42248</v>
      </c>
      <c r="L82" s="142">
        <v>42318</v>
      </c>
      <c r="M82" s="134">
        <v>42332</v>
      </c>
      <c r="N82" s="140">
        <v>70</v>
      </c>
      <c r="O82" s="143">
        <v>1400</v>
      </c>
      <c r="P82" s="135" t="s">
        <v>1080</v>
      </c>
      <c r="Q82" s="223" t="s">
        <v>14</v>
      </c>
      <c r="R82" s="223" t="s">
        <v>298</v>
      </c>
      <c r="S82" s="223" t="s">
        <v>17</v>
      </c>
      <c r="T82" s="224" t="str">
        <f t="shared" si="22"/>
        <v>MA</v>
      </c>
      <c r="U82" s="223" t="str">
        <f t="shared" si="23"/>
        <v>MA-NW-Prod</v>
      </c>
      <c r="V82" s="223" t="str">
        <f t="array" ref="V82">CONCATENATE(Q82,"-",R82)</f>
        <v>NW-Prod</v>
      </c>
      <c r="W82" s="239">
        <f>IF(ISERROR(VLOOKUP(T82,'15-16_DP_Tables'!$M$2:$V$8,MATCH(V82,INDEX('15-16_DP_Tables'!$M$2:$V$8,1,0),0),0)),0,VLOOKUP(T82,'15-16_DP_Tables'!$M$2:$V$8,MATCH(V82,INDEX('15-16_DP_Tables'!$M$2:$V$8,1,0),0),0))</f>
        <v>57.083333333332121</v>
      </c>
      <c r="X82" s="239">
        <f t="array" ref="X82">IF(ISERROR(VLOOKUP(T82,'15-16_DP_Tables'!$M$12:$V$18,MATCH(V82,INDEX('15-16_DP_Tables'!$M$12:$V$18,1,0),0),0)),0,VLOOKUP(T82,'15-16_DP_Tables'!$M$12:$V$18,MATCH(V82,INDEX('15-16_DP_Tables'!$M$12:$V$18,1,0),0),0))</f>
        <v>47.791666666664241</v>
      </c>
      <c r="Y82" s="223" t="str">
        <f t="shared" si="24"/>
        <v>Horizontal</v>
      </c>
      <c r="Z82" s="223">
        <v>5</v>
      </c>
      <c r="AA82" s="249" t="e">
        <f>VLOOKUP(T82,'Planning and Target Times'!$A$74:$L$78,MATCH(E82&amp;"-"&amp;Q82&amp;"-"&amp;Y82&amp;"-"&amp;R82,INDEX('Planning and Target Times'!$A$74:$L$78,1,0),0),0)</f>
        <v>#N/A</v>
      </c>
      <c r="AB82" s="249" t="e">
        <f>VLOOKUP(T82,'Planning and Target Times'!$A$97:$L$101,MATCH(E82&amp;"-"&amp;Q82&amp;"-"&amp;Y82&amp;"-"&amp;R82,INDEX('Planning and Target Times'!$A$97:$L$101,1,0),0),0)</f>
        <v>#N/A</v>
      </c>
      <c r="AC82" s="250">
        <f t="shared" si="20"/>
        <v>24.525547445255995</v>
      </c>
      <c r="AD82" s="250">
        <f t="shared" si="21"/>
        <v>29.293809938972714</v>
      </c>
      <c r="AE82" s="248">
        <f t="shared" si="26"/>
        <v>4561.4933613999647</v>
      </c>
      <c r="AF82" s="248">
        <f t="shared" si="25"/>
        <v>6388.5066386000353</v>
      </c>
      <c r="AG82" s="248">
        <f t="shared" ca="1" si="16"/>
        <v>-691.49336139996467</v>
      </c>
      <c r="AH82" s="248">
        <f t="shared" ca="1" si="17"/>
        <v>-2497.4933613999647</v>
      </c>
      <c r="AI82" s="248">
        <f t="shared" si="27"/>
        <v>3672.9703322665905</v>
      </c>
      <c r="AJ82" s="248">
        <f t="shared" ca="1" si="18"/>
        <v>197.0296677334095</v>
      </c>
      <c r="AK82" s="248">
        <f t="shared" ca="1" si="19"/>
        <v>-1608.9703322665905</v>
      </c>
    </row>
    <row r="83" spans="2:37" ht="15.95" customHeight="1" x14ac:dyDescent="0.25">
      <c r="B83" s="136">
        <v>156</v>
      </c>
      <c r="C83" s="144" t="s">
        <v>1250</v>
      </c>
      <c r="D83" s="196" t="s">
        <v>1251</v>
      </c>
      <c r="E83" s="150" t="s">
        <v>11</v>
      </c>
      <c r="F83" s="140" t="s">
        <v>22</v>
      </c>
      <c r="G83" s="140" t="s">
        <v>1076</v>
      </c>
      <c r="H83" s="140" t="s">
        <v>1082</v>
      </c>
      <c r="I83" s="140" t="s">
        <v>459</v>
      </c>
      <c r="J83" s="141" t="s">
        <v>1079</v>
      </c>
      <c r="K83" s="142">
        <v>42248</v>
      </c>
      <c r="L83" s="142">
        <v>42318</v>
      </c>
      <c r="M83" s="134">
        <v>42332</v>
      </c>
      <c r="N83" s="140">
        <v>70</v>
      </c>
      <c r="O83" s="143">
        <v>1200</v>
      </c>
      <c r="P83" s="135" t="s">
        <v>1080</v>
      </c>
      <c r="Q83" s="223" t="s">
        <v>14</v>
      </c>
      <c r="R83" s="223" t="s">
        <v>298</v>
      </c>
      <c r="S83" s="223" t="s">
        <v>22</v>
      </c>
      <c r="T83" s="224" t="str">
        <f t="shared" si="22"/>
        <v>LB</v>
      </c>
      <c r="U83" s="223" t="str">
        <f t="shared" si="23"/>
        <v>LB-NW-Prod</v>
      </c>
      <c r="V83" s="223" t="str">
        <f t="array" ref="V83">CONCATENATE(Q83,"-",R83)</f>
        <v>NW-Prod</v>
      </c>
      <c r="W83" s="239">
        <f>IF(ISERROR(VLOOKUP(T83,'15-16_DP_Tables'!$M$2:$V$8,MATCH(V83,INDEX('15-16_DP_Tables'!$M$2:$V$8,1,0),0),0)),0,VLOOKUP(T83,'15-16_DP_Tables'!$M$2:$V$8,MATCH(V83,INDEX('15-16_DP_Tables'!$M$2:$V$8,1,0),0),0))</f>
        <v>55.81537142381022</v>
      </c>
      <c r="X83" s="239">
        <f t="array" ref="X83">IF(ISERROR(VLOOKUP(T83,'15-16_DP_Tables'!$M$12:$V$18,MATCH(V83,INDEX('15-16_DP_Tables'!$M$12:$V$18,1,0),0),0)),0,VLOOKUP(T83,'15-16_DP_Tables'!$M$12:$V$18,MATCH(V83,INDEX('15-16_DP_Tables'!$M$12:$V$18,1,0),0),0))</f>
        <v>45.207999999999998</v>
      </c>
      <c r="Y83" s="223" t="str">
        <f t="shared" si="24"/>
        <v>Horizontal</v>
      </c>
      <c r="Z83" s="223">
        <v>5</v>
      </c>
      <c r="AA83" s="249" t="e">
        <f>VLOOKUP(T83,'Planning and Target Times'!$A$74:$L$78,MATCH(E83&amp;"-"&amp;Q83&amp;"-"&amp;Y83&amp;"-"&amp;R83,INDEX('Planning and Target Times'!$A$74:$L$78,1,0),0),0)</f>
        <v>#N/A</v>
      </c>
      <c r="AB83" s="249" t="e">
        <f>VLOOKUP(T83,'Planning and Target Times'!$A$97:$L$101,MATCH(E83&amp;"-"&amp;Q83&amp;"-"&amp;Y83&amp;"-"&amp;R83,INDEX('Planning and Target Times'!$A$97:$L$101,1,0),0),0)</f>
        <v>#N/A</v>
      </c>
      <c r="AC83" s="250">
        <f t="shared" si="20"/>
        <v>21.499453813328802</v>
      </c>
      <c r="AD83" s="250">
        <f t="shared" si="21"/>
        <v>26.543974517784463</v>
      </c>
      <c r="AE83" s="248">
        <f t="shared" si="26"/>
        <v>4622.3087328237752</v>
      </c>
      <c r="AF83" s="248">
        <f t="shared" si="25"/>
        <v>6327.6912671762248</v>
      </c>
      <c r="AG83" s="248">
        <f t="shared" ca="1" si="16"/>
        <v>-752.30873282377524</v>
      </c>
      <c r="AH83" s="248">
        <f t="shared" ca="1" si="17"/>
        <v>-2558.3087328237752</v>
      </c>
      <c r="AI83" s="248">
        <f t="shared" si="27"/>
        <v>3723.1783322665906</v>
      </c>
      <c r="AJ83" s="248">
        <f t="shared" ca="1" si="18"/>
        <v>146.82166773340941</v>
      </c>
      <c r="AK83" s="248">
        <f t="shared" ca="1" si="19"/>
        <v>-1659.1783322665906</v>
      </c>
    </row>
    <row r="84" spans="2:37" ht="15.95" customHeight="1" x14ac:dyDescent="0.25">
      <c r="B84" s="136">
        <v>159</v>
      </c>
      <c r="C84" s="144" t="s">
        <v>1254</v>
      </c>
      <c r="D84" s="193" t="s">
        <v>1255</v>
      </c>
      <c r="E84" s="150" t="s">
        <v>42</v>
      </c>
      <c r="F84" s="140" t="s">
        <v>22</v>
      </c>
      <c r="G84" s="140" t="s">
        <v>1076</v>
      </c>
      <c r="H84" s="140" t="s">
        <v>1082</v>
      </c>
      <c r="I84" s="140" t="s">
        <v>459</v>
      </c>
      <c r="J84" s="141" t="s">
        <v>1079</v>
      </c>
      <c r="K84" s="142">
        <v>42248</v>
      </c>
      <c r="L84" s="142">
        <v>42318</v>
      </c>
      <c r="M84" s="134">
        <v>42332</v>
      </c>
      <c r="N84" s="140">
        <v>70</v>
      </c>
      <c r="O84" s="143">
        <v>1800</v>
      </c>
      <c r="P84" s="135" t="s">
        <v>1080</v>
      </c>
      <c r="Q84" s="223" t="s">
        <v>14</v>
      </c>
      <c r="R84" s="223" t="s">
        <v>298</v>
      </c>
      <c r="S84" s="223" t="s">
        <v>22</v>
      </c>
      <c r="T84" s="224" t="str">
        <f t="shared" si="22"/>
        <v>LB</v>
      </c>
      <c r="U84" s="223" t="str">
        <f t="shared" si="23"/>
        <v>LB-NW-Prod</v>
      </c>
      <c r="V84" s="223" t="str">
        <f t="array" ref="V84">CONCATENATE(Q84,"-",R84)</f>
        <v>NW-Prod</v>
      </c>
      <c r="W84" s="239">
        <f>IF(ISERROR(VLOOKUP(T84,'15-16_DP_Tables'!$M$2:$V$8,MATCH(V84,INDEX('15-16_DP_Tables'!$M$2:$V$8,1,0),0),0)),0,VLOOKUP(T84,'15-16_DP_Tables'!$M$2:$V$8,MATCH(V84,INDEX('15-16_DP_Tables'!$M$2:$V$8,1,0),0),0))</f>
        <v>55.81537142381022</v>
      </c>
      <c r="X84" s="239">
        <f t="array" ref="X84">IF(ISERROR(VLOOKUP(T84,'15-16_DP_Tables'!$M$12:$V$18,MATCH(V84,INDEX('15-16_DP_Tables'!$M$12:$V$18,1,0),0),0)),0,VLOOKUP(T84,'15-16_DP_Tables'!$M$12:$V$18,MATCH(V84,INDEX('15-16_DP_Tables'!$M$12:$V$18,1,0),0),0))</f>
        <v>45.207999999999998</v>
      </c>
      <c r="Y84" s="223" t="str">
        <f t="shared" si="24"/>
        <v>Horizontal</v>
      </c>
      <c r="Z84" s="223">
        <v>5</v>
      </c>
      <c r="AA84" s="249" t="e">
        <f>VLOOKUP(T84,'Planning and Target Times'!$A$74:$L$78,MATCH(E84&amp;"-"&amp;Q84&amp;"-"&amp;Y84&amp;"-"&amp;R84,INDEX('Planning and Target Times'!$A$74:$L$78,1,0),0),0)</f>
        <v>#N/A</v>
      </c>
      <c r="AB84" s="249" t="e">
        <f>VLOOKUP(T84,'Planning and Target Times'!$A$97:$L$101,MATCH(E84&amp;"-"&amp;Q84&amp;"-"&amp;Y84&amp;"-"&amp;R84,INDEX('Planning and Target Times'!$A$97:$L$101,1,0),0),0)</f>
        <v>#N/A</v>
      </c>
      <c r="AC84" s="250">
        <f t="shared" si="20"/>
        <v>32.249180719993198</v>
      </c>
      <c r="AD84" s="250">
        <f t="shared" si="21"/>
        <v>39.815961776676694</v>
      </c>
      <c r="AE84" s="248">
        <f t="shared" si="26"/>
        <v>4683.1241042475858</v>
      </c>
      <c r="AF84" s="248">
        <f t="shared" si="25"/>
        <v>6266.8758957524142</v>
      </c>
      <c r="AG84" s="248">
        <f t="shared" ca="1" si="16"/>
        <v>-813.12410424758582</v>
      </c>
      <c r="AH84" s="248">
        <f t="shared" ca="1" si="17"/>
        <v>-2619.1241042475858</v>
      </c>
      <c r="AI84" s="248">
        <f t="shared" si="27"/>
        <v>3773.3863322665907</v>
      </c>
      <c r="AJ84" s="248">
        <f t="shared" ca="1" si="18"/>
        <v>96.613667733409329</v>
      </c>
      <c r="AK84" s="248">
        <f t="shared" ca="1" si="19"/>
        <v>-1709.3863322665907</v>
      </c>
    </row>
    <row r="85" spans="2:37" ht="15.95" customHeight="1" x14ac:dyDescent="0.25">
      <c r="B85" s="136">
        <v>162</v>
      </c>
      <c r="C85" s="144" t="s">
        <v>1258</v>
      </c>
      <c r="D85" s="197" t="s">
        <v>1259</v>
      </c>
      <c r="E85" s="150" t="s">
        <v>42</v>
      </c>
      <c r="F85" s="140" t="s">
        <v>17</v>
      </c>
      <c r="G85" s="140" t="s">
        <v>1086</v>
      </c>
      <c r="H85" s="140" t="s">
        <v>1082</v>
      </c>
      <c r="I85" s="140" t="s">
        <v>459</v>
      </c>
      <c r="J85" s="141" t="s">
        <v>1079</v>
      </c>
      <c r="K85" s="142">
        <v>42248</v>
      </c>
      <c r="L85" s="142">
        <v>42311</v>
      </c>
      <c r="M85" s="134">
        <v>42325</v>
      </c>
      <c r="N85" s="140">
        <v>63</v>
      </c>
      <c r="O85" s="143"/>
      <c r="P85" s="135" t="s">
        <v>1080</v>
      </c>
      <c r="Q85" s="223" t="s">
        <v>14</v>
      </c>
      <c r="R85" s="223" t="s">
        <v>34</v>
      </c>
      <c r="S85" s="223" t="s">
        <v>17</v>
      </c>
      <c r="T85" s="224" t="str">
        <f t="shared" si="22"/>
        <v>MA</v>
      </c>
      <c r="U85" s="223" t="str">
        <f t="shared" si="23"/>
        <v>MA-NW-Inj</v>
      </c>
      <c r="V85" s="223" t="str">
        <f t="array" ref="V85">CONCATENATE(Q85,"-",R85)</f>
        <v>NW-Inj</v>
      </c>
      <c r="W85" s="239">
        <f>IF(ISERROR(VLOOKUP(T85,'15-16_DP_Tables'!$M$2:$V$8,MATCH(V85,INDEX('15-16_DP_Tables'!$M$2:$V$8,1,0),0),0)),0,VLOOKUP(T85,'15-16_DP_Tables'!$M$2:$V$8,MATCH(V85,INDEX('15-16_DP_Tables'!$M$2:$V$8,1,0),0),0))</f>
        <v>0</v>
      </c>
      <c r="X85" s="239">
        <f t="array" ref="X85">IF(ISERROR(VLOOKUP(T85,'15-16_DP_Tables'!$M$12:$V$18,MATCH(V85,INDEX('15-16_DP_Tables'!$M$12:$V$18,1,0),0),0)),0,VLOOKUP(T85,'15-16_DP_Tables'!$M$12:$V$18,MATCH(V85,INDEX('15-16_DP_Tables'!$M$12:$V$18,1,0),0),0))</f>
        <v>0</v>
      </c>
      <c r="Y85" s="223" t="str">
        <f t="shared" si="24"/>
        <v>Horizontal</v>
      </c>
      <c r="Z85" s="223">
        <v>5</v>
      </c>
      <c r="AA85" s="249" t="e">
        <f>VLOOKUP(T85,'Planning and Target Times'!$A$74:$L$78,MATCH(E85&amp;"-"&amp;Q85&amp;"-"&amp;Y85&amp;"-"&amp;R85,INDEX('Planning and Target Times'!$A$74:$L$78,1,0),0),0)</f>
        <v>#N/A</v>
      </c>
      <c r="AB85" s="249" t="e">
        <f>VLOOKUP(T85,'Planning and Target Times'!$A$97:$L$101,MATCH(E85&amp;"-"&amp;Q85&amp;"-"&amp;Y85&amp;"-"&amp;R85,INDEX('Planning and Target Times'!$A$97:$L$101,1,0),0),0)</f>
        <v>#N/A</v>
      </c>
      <c r="AC85" s="250">
        <f t="shared" si="20"/>
        <v>0</v>
      </c>
      <c r="AD85" s="250">
        <f t="shared" si="21"/>
        <v>0</v>
      </c>
      <c r="AE85" s="248">
        <f t="shared" si="26"/>
        <v>4688.1241042475858</v>
      </c>
      <c r="AF85" s="248">
        <f t="shared" si="25"/>
        <v>6261.8758957524142</v>
      </c>
      <c r="AG85" s="248">
        <f t="shared" ca="1" si="16"/>
        <v>-818.12410424758582</v>
      </c>
      <c r="AH85" s="248">
        <f t="shared" ca="1" si="17"/>
        <v>-2624.1241042475858</v>
      </c>
      <c r="AI85" s="248">
        <f t="shared" si="27"/>
        <v>3778.3863322665907</v>
      </c>
      <c r="AJ85" s="248">
        <f t="shared" ca="1" si="18"/>
        <v>91.613667733409329</v>
      </c>
      <c r="AK85" s="248">
        <f t="shared" ca="1" si="19"/>
        <v>-1714.3863322665907</v>
      </c>
    </row>
    <row r="86" spans="2:37" ht="15.95" customHeight="1" x14ac:dyDescent="0.25">
      <c r="B86" s="136">
        <v>166</v>
      </c>
      <c r="C86" s="144" t="s">
        <v>1263</v>
      </c>
      <c r="D86" s="198" t="s">
        <v>1264</v>
      </c>
      <c r="E86" s="150" t="s">
        <v>11</v>
      </c>
      <c r="F86" s="140" t="s">
        <v>22</v>
      </c>
      <c r="G86" s="140" t="s">
        <v>1076</v>
      </c>
      <c r="H86" s="140" t="s">
        <v>1082</v>
      </c>
      <c r="I86" s="140" t="s">
        <v>459</v>
      </c>
      <c r="J86" s="141" t="s">
        <v>1079</v>
      </c>
      <c r="K86" s="142">
        <v>42248</v>
      </c>
      <c r="L86" s="142">
        <v>42318</v>
      </c>
      <c r="M86" s="134">
        <v>42332</v>
      </c>
      <c r="N86" s="140">
        <v>70</v>
      </c>
      <c r="O86" s="143">
        <v>1200</v>
      </c>
      <c r="P86" s="143" t="s">
        <v>1080</v>
      </c>
      <c r="Q86" s="223" t="s">
        <v>14</v>
      </c>
      <c r="R86" s="223" t="s">
        <v>298</v>
      </c>
      <c r="S86" s="223" t="s">
        <v>22</v>
      </c>
      <c r="T86" s="224" t="str">
        <f t="shared" si="22"/>
        <v>LB</v>
      </c>
      <c r="U86" s="223" t="str">
        <f t="shared" si="23"/>
        <v>LB-NW-Prod</v>
      </c>
      <c r="V86" s="223" t="str">
        <f t="array" ref="V86">CONCATENATE(Q86,"-",R86)</f>
        <v>NW-Prod</v>
      </c>
      <c r="W86" s="239">
        <f>IF(ISERROR(VLOOKUP(T86,'15-16_DP_Tables'!$M$2:$V$8,MATCH(V86,INDEX('15-16_DP_Tables'!$M$2:$V$8,1,0),0),0)),0,VLOOKUP(T86,'15-16_DP_Tables'!$M$2:$V$8,MATCH(V86,INDEX('15-16_DP_Tables'!$M$2:$V$8,1,0),0),0))</f>
        <v>55.81537142381022</v>
      </c>
      <c r="X86" s="239">
        <f t="array" ref="X86">IF(ISERROR(VLOOKUP(T86,'15-16_DP_Tables'!$M$12:$V$18,MATCH(V86,INDEX('15-16_DP_Tables'!$M$12:$V$18,1,0),0),0)),0,VLOOKUP(T86,'15-16_DP_Tables'!$M$12:$V$18,MATCH(V86,INDEX('15-16_DP_Tables'!$M$12:$V$18,1,0),0),0))</f>
        <v>45.207999999999998</v>
      </c>
      <c r="Y86" s="223" t="str">
        <f t="shared" si="24"/>
        <v>Horizontal</v>
      </c>
      <c r="Z86" s="223">
        <v>5</v>
      </c>
      <c r="AA86" s="249" t="e">
        <f>VLOOKUP(T86,'Planning and Target Times'!$A$74:$L$78,MATCH(E86&amp;"-"&amp;Q86&amp;"-"&amp;Y86&amp;"-"&amp;R86,INDEX('Planning and Target Times'!$A$74:$L$78,1,0),0),0)</f>
        <v>#N/A</v>
      </c>
      <c r="AB86" s="249" t="e">
        <f>VLOOKUP(T86,'Planning and Target Times'!$A$97:$L$101,MATCH(E86&amp;"-"&amp;Q86&amp;"-"&amp;Y86&amp;"-"&amp;R86,INDEX('Planning and Target Times'!$A$97:$L$101,1,0),0),0)</f>
        <v>#N/A</v>
      </c>
      <c r="AC86" s="250">
        <f t="shared" si="20"/>
        <v>21.499453813328802</v>
      </c>
      <c r="AD86" s="250">
        <f t="shared" si="21"/>
        <v>26.543974517784463</v>
      </c>
      <c r="AE86" s="248">
        <f t="shared" si="26"/>
        <v>4748.9394756713964</v>
      </c>
      <c r="AF86" s="248">
        <f t="shared" si="25"/>
        <v>6201.0605243286036</v>
      </c>
      <c r="AG86" s="248">
        <f t="shared" ca="1" si="16"/>
        <v>-878.93947567139639</v>
      </c>
      <c r="AH86" s="248">
        <f t="shared" ca="1" si="17"/>
        <v>-2684.9394756713964</v>
      </c>
      <c r="AI86" s="248">
        <f t="shared" si="27"/>
        <v>3828.5943322665908</v>
      </c>
      <c r="AJ86" s="248">
        <f t="shared" ca="1" si="18"/>
        <v>41.405667733409246</v>
      </c>
      <c r="AK86" s="248">
        <f t="shared" ca="1" si="19"/>
        <v>-1764.5943322665908</v>
      </c>
    </row>
    <row r="87" spans="2:37" ht="15.95" customHeight="1" x14ac:dyDescent="0.25">
      <c r="B87" s="136">
        <v>169</v>
      </c>
      <c r="C87" s="144" t="s">
        <v>1267</v>
      </c>
      <c r="D87" s="184" t="s">
        <v>1268</v>
      </c>
      <c r="E87" s="150" t="s">
        <v>11</v>
      </c>
      <c r="F87" s="140" t="s">
        <v>17</v>
      </c>
      <c r="G87" s="140" t="s">
        <v>1076</v>
      </c>
      <c r="H87" s="140" t="s">
        <v>1082</v>
      </c>
      <c r="I87" s="140" t="s">
        <v>459</v>
      </c>
      <c r="J87" s="141" t="s">
        <v>1079</v>
      </c>
      <c r="K87" s="142">
        <v>42248</v>
      </c>
      <c r="L87" s="142">
        <v>42318</v>
      </c>
      <c r="M87" s="134">
        <v>42332</v>
      </c>
      <c r="N87" s="140">
        <v>70</v>
      </c>
      <c r="O87" s="143">
        <v>1400</v>
      </c>
      <c r="P87" s="135" t="s">
        <v>1080</v>
      </c>
      <c r="Q87" s="223" t="s">
        <v>14</v>
      </c>
      <c r="R87" s="223" t="s">
        <v>298</v>
      </c>
      <c r="S87" s="223" t="s">
        <v>17</v>
      </c>
      <c r="T87" s="224" t="str">
        <f t="shared" si="22"/>
        <v>MA</v>
      </c>
      <c r="U87" s="223" t="str">
        <f t="shared" si="23"/>
        <v>MA-NW-Prod</v>
      </c>
      <c r="V87" s="223" t="str">
        <f t="array" ref="V87">CONCATENATE(Q87,"-",R87)</f>
        <v>NW-Prod</v>
      </c>
      <c r="W87" s="239">
        <f>IF(ISERROR(VLOOKUP(T87,'15-16_DP_Tables'!$M$2:$V$8,MATCH(V87,INDEX('15-16_DP_Tables'!$M$2:$V$8,1,0),0),0)),0,VLOOKUP(T87,'15-16_DP_Tables'!$M$2:$V$8,MATCH(V87,INDEX('15-16_DP_Tables'!$M$2:$V$8,1,0),0),0))</f>
        <v>57.083333333332121</v>
      </c>
      <c r="X87" s="239">
        <f t="array" ref="X87">IF(ISERROR(VLOOKUP(T87,'15-16_DP_Tables'!$M$12:$V$18,MATCH(V87,INDEX('15-16_DP_Tables'!$M$12:$V$18,1,0),0),0)),0,VLOOKUP(T87,'15-16_DP_Tables'!$M$12:$V$18,MATCH(V87,INDEX('15-16_DP_Tables'!$M$12:$V$18,1,0),0),0))</f>
        <v>47.791666666664241</v>
      </c>
      <c r="Y87" s="223" t="str">
        <f t="shared" si="24"/>
        <v>Horizontal</v>
      </c>
      <c r="Z87" s="223">
        <v>5</v>
      </c>
      <c r="AA87" s="249" t="e">
        <f>VLOOKUP(T87,'Planning and Target Times'!$A$74:$L$78,MATCH(E87&amp;"-"&amp;Q87&amp;"-"&amp;Y87&amp;"-"&amp;R87,INDEX('Planning and Target Times'!$A$74:$L$78,1,0),0),0)</f>
        <v>#N/A</v>
      </c>
      <c r="AB87" s="249" t="e">
        <f>VLOOKUP(T87,'Planning and Target Times'!$A$97:$L$101,MATCH(E87&amp;"-"&amp;Q87&amp;"-"&amp;Y87&amp;"-"&amp;R87,INDEX('Planning and Target Times'!$A$97:$L$101,1,0),0),0)</f>
        <v>#N/A</v>
      </c>
      <c r="AC87" s="250">
        <f t="shared" si="20"/>
        <v>24.525547445255995</v>
      </c>
      <c r="AD87" s="250">
        <f t="shared" si="21"/>
        <v>29.293809938972714</v>
      </c>
      <c r="AE87" s="248">
        <f t="shared" si="26"/>
        <v>4811.0228090047285</v>
      </c>
      <c r="AF87" s="248">
        <f t="shared" si="25"/>
        <v>6138.9771909952715</v>
      </c>
      <c r="AG87" s="248">
        <f t="shared" ca="1" si="16"/>
        <v>-941.02280900472851</v>
      </c>
      <c r="AH87" s="248">
        <f t="shared" ca="1" si="17"/>
        <v>-2747.0228090047285</v>
      </c>
      <c r="AI87" s="248">
        <f t="shared" si="27"/>
        <v>3881.385998933255</v>
      </c>
      <c r="AJ87" s="248">
        <f t="shared" ca="1" si="18"/>
        <v>-11.385998933254996</v>
      </c>
      <c r="AK87" s="248">
        <f t="shared" ca="1" si="19"/>
        <v>-1817.385998933255</v>
      </c>
    </row>
    <row r="88" spans="2:37" ht="15.95" customHeight="1" x14ac:dyDescent="0.25">
      <c r="B88" s="136">
        <v>172</v>
      </c>
      <c r="C88" s="152" t="s">
        <v>1271</v>
      </c>
      <c r="D88" s="182" t="s">
        <v>1272</v>
      </c>
      <c r="E88" s="150" t="s">
        <v>42</v>
      </c>
      <c r="F88" s="140" t="s">
        <v>17</v>
      </c>
      <c r="G88" s="140" t="s">
        <v>1076</v>
      </c>
      <c r="H88" s="140" t="s">
        <v>1082</v>
      </c>
      <c r="I88" s="140" t="s">
        <v>459</v>
      </c>
      <c r="J88" s="141" t="s">
        <v>1079</v>
      </c>
      <c r="K88" s="142">
        <v>42248</v>
      </c>
      <c r="L88" s="142">
        <v>42318</v>
      </c>
      <c r="M88" s="134">
        <v>42332</v>
      </c>
      <c r="N88" s="140">
        <v>70</v>
      </c>
      <c r="O88" s="143">
        <v>1500</v>
      </c>
      <c r="P88" s="135" t="s">
        <v>1080</v>
      </c>
      <c r="Q88" s="223" t="s">
        <v>14</v>
      </c>
      <c r="R88" s="223" t="s">
        <v>298</v>
      </c>
      <c r="S88" s="223" t="s">
        <v>17</v>
      </c>
      <c r="T88" s="224" t="str">
        <f t="shared" si="22"/>
        <v>MA</v>
      </c>
      <c r="U88" s="223" t="str">
        <f t="shared" si="23"/>
        <v>MA-NW-Prod</v>
      </c>
      <c r="V88" s="223" t="str">
        <f t="array" ref="V88">CONCATENATE(Q88,"-",R88)</f>
        <v>NW-Prod</v>
      </c>
      <c r="W88" s="239">
        <f>IF(ISERROR(VLOOKUP(T88,'15-16_DP_Tables'!$M$2:$V$8,MATCH(V88,INDEX('15-16_DP_Tables'!$M$2:$V$8,1,0),0),0)),0,VLOOKUP(T88,'15-16_DP_Tables'!$M$2:$V$8,MATCH(V88,INDEX('15-16_DP_Tables'!$M$2:$V$8,1,0),0),0))</f>
        <v>57.083333333332121</v>
      </c>
      <c r="X88" s="239">
        <f t="array" ref="X88">IF(ISERROR(VLOOKUP(T88,'15-16_DP_Tables'!$M$12:$V$18,MATCH(V88,INDEX('15-16_DP_Tables'!$M$12:$V$18,1,0),0),0)),0,VLOOKUP(T88,'15-16_DP_Tables'!$M$12:$V$18,MATCH(V88,INDEX('15-16_DP_Tables'!$M$12:$V$18,1,0),0),0))</f>
        <v>47.791666666664241</v>
      </c>
      <c r="Y88" s="223" t="str">
        <f t="shared" si="24"/>
        <v>Horizontal</v>
      </c>
      <c r="Z88" s="223">
        <v>5</v>
      </c>
      <c r="AA88" s="249" t="e">
        <f>VLOOKUP(T88,'Planning and Target Times'!$A$74:$L$78,MATCH(E88&amp;"-"&amp;Q88&amp;"-"&amp;Y88&amp;"-"&amp;R88,INDEX('Planning and Target Times'!$A$74:$L$78,1,0),0),0)</f>
        <v>#N/A</v>
      </c>
      <c r="AB88" s="249" t="e">
        <f>VLOOKUP(T88,'Planning and Target Times'!$A$97:$L$101,MATCH(E88&amp;"-"&amp;Q88&amp;"-"&amp;Y88&amp;"-"&amp;R88,INDEX('Planning and Target Times'!$A$97:$L$101,1,0),0),0)</f>
        <v>#N/A</v>
      </c>
      <c r="AC88" s="250">
        <f t="shared" si="20"/>
        <v>26.277372262774282</v>
      </c>
      <c r="AD88" s="250">
        <f t="shared" si="21"/>
        <v>31.386224934613622</v>
      </c>
      <c r="AE88" s="248">
        <f t="shared" si="26"/>
        <v>4873.1061423380606</v>
      </c>
      <c r="AF88" s="248">
        <f t="shared" si="25"/>
        <v>6076.8938576619394</v>
      </c>
      <c r="AG88" s="248">
        <f t="shared" ca="1" si="16"/>
        <v>-1003.1061423380606</v>
      </c>
      <c r="AH88" s="248">
        <f t="shared" ca="1" si="17"/>
        <v>-2809.1061423380606</v>
      </c>
      <c r="AI88" s="248">
        <f t="shared" si="27"/>
        <v>3934.1776655999192</v>
      </c>
      <c r="AJ88" s="248">
        <f t="shared" ca="1" si="18"/>
        <v>-64.177665599919237</v>
      </c>
      <c r="AK88" s="248">
        <f t="shared" ca="1" si="19"/>
        <v>-1870.1776655999192</v>
      </c>
    </row>
    <row r="89" spans="2:37" ht="15.95" customHeight="1" x14ac:dyDescent="0.25">
      <c r="B89" s="136">
        <v>175</v>
      </c>
      <c r="C89" s="144" t="s">
        <v>1275</v>
      </c>
      <c r="D89" s="156" t="s">
        <v>1276</v>
      </c>
      <c r="E89" s="139" t="s">
        <v>11</v>
      </c>
      <c r="F89" s="140" t="s">
        <v>22</v>
      </c>
      <c r="G89" s="140" t="s">
        <v>1076</v>
      </c>
      <c r="H89" s="140" t="s">
        <v>1082</v>
      </c>
      <c r="I89" s="140" t="s">
        <v>459</v>
      </c>
      <c r="J89" s="141" t="s">
        <v>1079</v>
      </c>
      <c r="K89" s="142">
        <v>42248</v>
      </c>
      <c r="L89" s="142">
        <v>42318</v>
      </c>
      <c r="M89" s="134">
        <v>42332</v>
      </c>
      <c r="N89" s="140">
        <v>70</v>
      </c>
      <c r="O89" s="143">
        <v>1200</v>
      </c>
      <c r="P89" s="135" t="s">
        <v>1080</v>
      </c>
      <c r="Q89" s="223" t="s">
        <v>14</v>
      </c>
      <c r="R89" s="223" t="s">
        <v>298</v>
      </c>
      <c r="S89" s="223" t="s">
        <v>22</v>
      </c>
      <c r="T89" s="224" t="str">
        <f t="shared" si="22"/>
        <v>LB</v>
      </c>
      <c r="U89" s="223" t="str">
        <f t="shared" si="23"/>
        <v>LB-NW-Prod</v>
      </c>
      <c r="V89" s="223" t="str">
        <f t="array" ref="V89">CONCATENATE(Q89,"-",R89)</f>
        <v>NW-Prod</v>
      </c>
      <c r="W89" s="239">
        <f>IF(ISERROR(VLOOKUP(T89,'15-16_DP_Tables'!$M$2:$V$8,MATCH(V89,INDEX('15-16_DP_Tables'!$M$2:$V$8,1,0),0),0)),0,VLOOKUP(T89,'15-16_DP_Tables'!$M$2:$V$8,MATCH(V89,INDEX('15-16_DP_Tables'!$M$2:$V$8,1,0),0),0))</f>
        <v>55.81537142381022</v>
      </c>
      <c r="X89" s="239">
        <f t="array" ref="X89">IF(ISERROR(VLOOKUP(T89,'15-16_DP_Tables'!$M$12:$V$18,MATCH(V89,INDEX('15-16_DP_Tables'!$M$12:$V$18,1,0),0),0)),0,VLOOKUP(T89,'15-16_DP_Tables'!$M$12:$V$18,MATCH(V89,INDEX('15-16_DP_Tables'!$M$12:$V$18,1,0),0),0))</f>
        <v>45.207999999999998</v>
      </c>
      <c r="Y89" s="223" t="str">
        <f t="shared" si="24"/>
        <v>Slant</v>
      </c>
      <c r="Z89" s="223">
        <v>5</v>
      </c>
      <c r="AA89" s="249" t="e">
        <f>VLOOKUP(T89,'Planning and Target Times'!$A$74:$L$78,MATCH(E89&amp;"-"&amp;Q89&amp;"-"&amp;Y89&amp;"-"&amp;R89,INDEX('Planning and Target Times'!$A$74:$L$78,1,0),0),0)</f>
        <v>#N/A</v>
      </c>
      <c r="AB89" s="249" t="e">
        <f>VLOOKUP(T89,'Planning and Target Times'!$A$97:$L$101,MATCH(E89&amp;"-"&amp;Q89&amp;"-"&amp;Y89&amp;"-"&amp;R89,INDEX('Planning and Target Times'!$A$97:$L$101,1,0),0),0)</f>
        <v>#N/A</v>
      </c>
      <c r="AC89" s="250">
        <f t="shared" si="20"/>
        <v>21.499453813328802</v>
      </c>
      <c r="AD89" s="250">
        <f t="shared" si="21"/>
        <v>26.543974517784463</v>
      </c>
      <c r="AE89" s="248">
        <f t="shared" si="26"/>
        <v>4933.9215137618712</v>
      </c>
      <c r="AF89" s="248">
        <f t="shared" si="25"/>
        <v>6016.0784862381288</v>
      </c>
      <c r="AG89" s="248">
        <f t="shared" ca="1" si="16"/>
        <v>-1063.9215137618712</v>
      </c>
      <c r="AH89" s="248">
        <f t="shared" ca="1" si="17"/>
        <v>-2869.9215137618712</v>
      </c>
      <c r="AI89" s="248">
        <f t="shared" si="27"/>
        <v>3984.3856655999193</v>
      </c>
      <c r="AJ89" s="248">
        <f t="shared" ca="1" si="18"/>
        <v>-114.38566559991932</v>
      </c>
      <c r="AK89" s="248">
        <f t="shared" ca="1" si="19"/>
        <v>-1920.3856655999193</v>
      </c>
    </row>
    <row r="90" spans="2:37" ht="15.95" customHeight="1" x14ac:dyDescent="0.25">
      <c r="B90" s="136">
        <v>178</v>
      </c>
      <c r="C90" s="144" t="s">
        <v>1279</v>
      </c>
      <c r="D90" s="199" t="s">
        <v>1280</v>
      </c>
      <c r="E90" s="150" t="s">
        <v>42</v>
      </c>
      <c r="F90" s="140" t="s">
        <v>17</v>
      </c>
      <c r="G90" s="140" t="s">
        <v>1076</v>
      </c>
      <c r="H90" s="140" t="s">
        <v>1082</v>
      </c>
      <c r="I90" s="140" t="s">
        <v>459</v>
      </c>
      <c r="J90" s="141" t="s">
        <v>1079</v>
      </c>
      <c r="K90" s="142">
        <v>42248</v>
      </c>
      <c r="L90" s="142">
        <v>42318</v>
      </c>
      <c r="M90" s="134">
        <v>42332</v>
      </c>
      <c r="N90" s="140">
        <v>70</v>
      </c>
      <c r="O90" s="143">
        <v>1500</v>
      </c>
      <c r="P90" s="143" t="s">
        <v>1080</v>
      </c>
      <c r="Q90" s="223" t="s">
        <v>14</v>
      </c>
      <c r="R90" s="223" t="s">
        <v>298</v>
      </c>
      <c r="S90" s="223" t="s">
        <v>17</v>
      </c>
      <c r="T90" s="224" t="str">
        <f t="shared" si="22"/>
        <v>MA</v>
      </c>
      <c r="U90" s="223" t="str">
        <f t="shared" si="23"/>
        <v>MA-NW-Prod</v>
      </c>
      <c r="V90" s="223" t="str">
        <f t="array" ref="V90">CONCATENATE(Q90,"-",R90)</f>
        <v>NW-Prod</v>
      </c>
      <c r="W90" s="239">
        <f>IF(ISERROR(VLOOKUP(T90,'15-16_DP_Tables'!$M$2:$V$8,MATCH(V90,INDEX('15-16_DP_Tables'!$M$2:$V$8,1,0),0),0)),0,VLOOKUP(T90,'15-16_DP_Tables'!$M$2:$V$8,MATCH(V90,INDEX('15-16_DP_Tables'!$M$2:$V$8,1,0),0),0))</f>
        <v>57.083333333332121</v>
      </c>
      <c r="X90" s="239">
        <f t="array" ref="X90">IF(ISERROR(VLOOKUP(T90,'15-16_DP_Tables'!$M$12:$V$18,MATCH(V90,INDEX('15-16_DP_Tables'!$M$12:$V$18,1,0),0),0)),0,VLOOKUP(T90,'15-16_DP_Tables'!$M$12:$V$18,MATCH(V90,INDEX('15-16_DP_Tables'!$M$12:$V$18,1,0),0),0))</f>
        <v>47.791666666664241</v>
      </c>
      <c r="Y90" s="223" t="str">
        <f t="shared" si="24"/>
        <v>Unknown</v>
      </c>
      <c r="Z90" s="223">
        <v>5</v>
      </c>
      <c r="AA90" s="249" t="e">
        <f>VLOOKUP(T90,'Planning and Target Times'!$A$74:$L$78,MATCH(E90&amp;"-"&amp;Q90&amp;"-"&amp;Y90&amp;"-"&amp;R90,INDEX('Planning and Target Times'!$A$74:$L$78,1,0),0),0)</f>
        <v>#N/A</v>
      </c>
      <c r="AB90" s="249" t="e">
        <f>VLOOKUP(T90,'Planning and Target Times'!$A$97:$L$101,MATCH(E90&amp;"-"&amp;Q90&amp;"-"&amp;Y90&amp;"-"&amp;R90,INDEX('Planning and Target Times'!$A$97:$L$101,1,0),0),0)</f>
        <v>#N/A</v>
      </c>
      <c r="AC90" s="250">
        <f t="shared" si="20"/>
        <v>26.277372262774282</v>
      </c>
      <c r="AD90" s="250">
        <f t="shared" si="21"/>
        <v>31.386224934613622</v>
      </c>
      <c r="AE90" s="248">
        <f t="shared" si="26"/>
        <v>4996.0048470952033</v>
      </c>
      <c r="AF90" s="248">
        <f t="shared" si="25"/>
        <v>5953.9951529047967</v>
      </c>
      <c r="AG90" s="248">
        <f t="shared" ca="1" si="16"/>
        <v>-1126.0048470952033</v>
      </c>
      <c r="AH90" s="248">
        <f t="shared" ca="1" si="17"/>
        <v>-2932.0048470952033</v>
      </c>
      <c r="AI90" s="248">
        <f t="shared" si="27"/>
        <v>4037.1773322665836</v>
      </c>
      <c r="AJ90" s="248">
        <f t="shared" ca="1" si="18"/>
        <v>-167.17733226658356</v>
      </c>
      <c r="AK90" s="248">
        <f t="shared" ca="1" si="19"/>
        <v>-1973.1773322665836</v>
      </c>
    </row>
    <row r="91" spans="2:37" ht="15.95" customHeight="1" x14ac:dyDescent="0.25">
      <c r="B91" s="136">
        <v>112</v>
      </c>
      <c r="C91" s="190" t="s">
        <v>1198</v>
      </c>
      <c r="D91" s="188" t="s">
        <v>839</v>
      </c>
      <c r="E91" s="150" t="s">
        <v>42</v>
      </c>
      <c r="F91" s="140" t="s">
        <v>22</v>
      </c>
      <c r="G91" s="140" t="s">
        <v>1076</v>
      </c>
      <c r="H91" s="140" t="s">
        <v>1082</v>
      </c>
      <c r="I91" s="140" t="s">
        <v>459</v>
      </c>
      <c r="J91" s="141" t="s">
        <v>1079</v>
      </c>
      <c r="K91" s="142">
        <v>42254</v>
      </c>
      <c r="L91" s="142">
        <v>42324</v>
      </c>
      <c r="M91" s="134">
        <v>42338</v>
      </c>
      <c r="N91" s="140">
        <v>70</v>
      </c>
      <c r="O91" s="143">
        <v>1800</v>
      </c>
      <c r="P91" s="135" t="s">
        <v>1096</v>
      </c>
      <c r="Q91" s="223" t="s">
        <v>14</v>
      </c>
      <c r="R91" s="223" t="s">
        <v>298</v>
      </c>
      <c r="S91" s="223" t="s">
        <v>22</v>
      </c>
      <c r="T91" s="224" t="str">
        <f t="shared" si="22"/>
        <v>LB</v>
      </c>
      <c r="U91" s="223" t="str">
        <f t="shared" si="23"/>
        <v>LB-NW-Prod</v>
      </c>
      <c r="V91" s="223" t="str">
        <f t="array" ref="V91">CONCATENATE(Q91,"-",R91)</f>
        <v>NW-Prod</v>
      </c>
      <c r="W91" s="239">
        <f>IF(ISERROR(VLOOKUP(T91,'15-16_DP_Tables'!$M$2:$V$8,MATCH(V91,INDEX('15-16_DP_Tables'!$M$2:$V$8,1,0),0),0)),0,VLOOKUP(T91,'15-16_DP_Tables'!$M$2:$V$8,MATCH(V91,INDEX('15-16_DP_Tables'!$M$2:$V$8,1,0),0),0))</f>
        <v>55.81537142381022</v>
      </c>
      <c r="X91" s="239">
        <f t="array" ref="X91">IF(ISERROR(VLOOKUP(T91,'15-16_DP_Tables'!$M$12:$V$18,MATCH(V91,INDEX('15-16_DP_Tables'!$M$12:$V$18,1,0),0),0)),0,VLOOKUP(T91,'15-16_DP_Tables'!$M$12:$V$18,MATCH(V91,INDEX('15-16_DP_Tables'!$M$12:$V$18,1,0),0),0))</f>
        <v>45.207999999999998</v>
      </c>
      <c r="Y91" s="223" t="str">
        <f t="shared" si="24"/>
        <v>Horizontal</v>
      </c>
      <c r="Z91" s="223">
        <v>5</v>
      </c>
      <c r="AA91" s="249" t="e">
        <f>VLOOKUP(T91,'Planning and Target Times'!$A$74:$L$78,MATCH(E91&amp;"-"&amp;Q91&amp;"-"&amp;Y91&amp;"-"&amp;R91,INDEX('Planning and Target Times'!$A$74:$L$78,1,0),0),0)</f>
        <v>#N/A</v>
      </c>
      <c r="AB91" s="249" t="e">
        <f>VLOOKUP(T91,'Planning and Target Times'!$A$97:$L$101,MATCH(E91&amp;"-"&amp;Q91&amp;"-"&amp;Y91&amp;"-"&amp;R91,INDEX('Planning and Target Times'!$A$97:$L$101,1,0),0),0)</f>
        <v>#N/A</v>
      </c>
      <c r="AC91" s="250">
        <f t="shared" si="20"/>
        <v>32.249180719993198</v>
      </c>
      <c r="AD91" s="250">
        <f t="shared" si="21"/>
        <v>39.815961776676694</v>
      </c>
      <c r="AE91" s="248">
        <f t="shared" si="26"/>
        <v>5056.8202185190139</v>
      </c>
      <c r="AF91" s="248">
        <f t="shared" si="25"/>
        <v>5893.1797814809861</v>
      </c>
      <c r="AG91" s="248">
        <f t="shared" ca="1" si="16"/>
        <v>-1186.8202185190139</v>
      </c>
      <c r="AH91" s="248">
        <f t="shared" ca="1" si="17"/>
        <v>-2992.8202185190139</v>
      </c>
      <c r="AI91" s="248">
        <f t="shared" si="27"/>
        <v>4087.3853322665836</v>
      </c>
      <c r="AJ91" s="248">
        <f t="shared" ca="1" si="18"/>
        <v>-217.38533226658365</v>
      </c>
      <c r="AK91" s="248">
        <f t="shared" ca="1" si="19"/>
        <v>-2023.3853322665836</v>
      </c>
    </row>
    <row r="92" spans="2:37" ht="15.95" customHeight="1" x14ac:dyDescent="0.25">
      <c r="B92" s="136">
        <v>128</v>
      </c>
      <c r="C92" s="144" t="s">
        <v>1216</v>
      </c>
      <c r="D92" s="138" t="s">
        <v>1215</v>
      </c>
      <c r="E92" s="139" t="s">
        <v>11</v>
      </c>
      <c r="F92" s="140" t="s">
        <v>22</v>
      </c>
      <c r="G92" s="140" t="s">
        <v>1076</v>
      </c>
      <c r="H92" s="140" t="s">
        <v>1082</v>
      </c>
      <c r="I92" s="140" t="s">
        <v>459</v>
      </c>
      <c r="J92" s="141" t="s">
        <v>1079</v>
      </c>
      <c r="K92" s="142">
        <v>42256</v>
      </c>
      <c r="L92" s="142">
        <v>42326</v>
      </c>
      <c r="M92" s="134">
        <v>42340</v>
      </c>
      <c r="N92" s="132">
        <v>70</v>
      </c>
      <c r="O92" s="135">
        <v>1200</v>
      </c>
      <c r="P92" s="135" t="s">
        <v>1080</v>
      </c>
      <c r="Q92" s="223" t="s">
        <v>14</v>
      </c>
      <c r="R92" s="223" t="s">
        <v>298</v>
      </c>
      <c r="S92" s="223" t="s">
        <v>22</v>
      </c>
      <c r="T92" s="224" t="str">
        <f t="shared" si="22"/>
        <v>LB</v>
      </c>
      <c r="U92" s="223" t="str">
        <f t="shared" si="23"/>
        <v>LB-NW-Prod</v>
      </c>
      <c r="V92" s="223" t="str">
        <f t="array" ref="V92">CONCATENATE(Q92,"-",R92)</f>
        <v>NW-Prod</v>
      </c>
      <c r="W92" s="239">
        <f>IF(ISERROR(VLOOKUP(T92,'15-16_DP_Tables'!$M$2:$V$8,MATCH(V92,INDEX('15-16_DP_Tables'!$M$2:$V$8,1,0),0),0)),0,VLOOKUP(T92,'15-16_DP_Tables'!$M$2:$V$8,MATCH(V92,INDEX('15-16_DP_Tables'!$M$2:$V$8,1,0),0),0))</f>
        <v>55.81537142381022</v>
      </c>
      <c r="X92" s="239">
        <f t="array" ref="X92">IF(ISERROR(VLOOKUP(T92,'15-16_DP_Tables'!$M$12:$V$18,MATCH(V92,INDEX('15-16_DP_Tables'!$M$12:$V$18,1,0),0),0)),0,VLOOKUP(T92,'15-16_DP_Tables'!$M$12:$V$18,MATCH(V92,INDEX('15-16_DP_Tables'!$M$12:$V$18,1,0),0),0))</f>
        <v>45.207999999999998</v>
      </c>
      <c r="Y92" s="223" t="str">
        <f t="shared" si="24"/>
        <v>Horizontal</v>
      </c>
      <c r="Z92" s="223">
        <v>5</v>
      </c>
      <c r="AA92" s="249" t="e">
        <f>VLOOKUP(T92,'Planning and Target Times'!$A$74:$L$78,MATCH(E92&amp;"-"&amp;Q92&amp;"-"&amp;Y92&amp;"-"&amp;R92,INDEX('Planning and Target Times'!$A$74:$L$78,1,0),0),0)</f>
        <v>#N/A</v>
      </c>
      <c r="AB92" s="249" t="e">
        <f>VLOOKUP(T92,'Planning and Target Times'!$A$97:$L$101,MATCH(E92&amp;"-"&amp;Q92&amp;"-"&amp;Y92&amp;"-"&amp;R92,INDEX('Planning and Target Times'!$A$97:$L$101,1,0),0),0)</f>
        <v>#N/A</v>
      </c>
      <c r="AC92" s="250">
        <f t="shared" si="20"/>
        <v>21.499453813328802</v>
      </c>
      <c r="AD92" s="250">
        <f t="shared" si="21"/>
        <v>26.543974517784463</v>
      </c>
      <c r="AE92" s="248">
        <f t="shared" si="26"/>
        <v>5117.6355899428245</v>
      </c>
      <c r="AF92" s="248">
        <f t="shared" si="25"/>
        <v>5832.3644100571755</v>
      </c>
      <c r="AG92" s="248">
        <f t="shared" ca="1" si="16"/>
        <v>-1247.6355899428245</v>
      </c>
      <c r="AH92" s="248">
        <f t="shared" ca="1" si="17"/>
        <v>-3053.6355899428245</v>
      </c>
      <c r="AI92" s="248">
        <f t="shared" si="27"/>
        <v>4137.5933322665833</v>
      </c>
      <c r="AJ92" s="248">
        <f t="shared" ca="1" si="18"/>
        <v>-267.59333226658327</v>
      </c>
      <c r="AK92" s="248">
        <f t="shared" ca="1" si="19"/>
        <v>-2073.5933322665833</v>
      </c>
    </row>
    <row r="93" spans="2:37" ht="15.95" customHeight="1" x14ac:dyDescent="0.25">
      <c r="B93" s="136">
        <v>133</v>
      </c>
      <c r="C93" s="144" t="s">
        <v>1222</v>
      </c>
      <c r="D93" s="171" t="s">
        <v>1221</v>
      </c>
      <c r="E93" s="139" t="s">
        <v>11</v>
      </c>
      <c r="F93" s="140" t="s">
        <v>44</v>
      </c>
      <c r="G93" s="140" t="s">
        <v>1076</v>
      </c>
      <c r="H93" s="140" t="s">
        <v>1082</v>
      </c>
      <c r="I93" s="140" t="s">
        <v>459</v>
      </c>
      <c r="J93" s="141" t="s">
        <v>1079</v>
      </c>
      <c r="K93" s="142">
        <v>42256</v>
      </c>
      <c r="L93" s="142">
        <v>42354</v>
      </c>
      <c r="M93" s="134">
        <v>42368</v>
      </c>
      <c r="N93" s="132">
        <v>98</v>
      </c>
      <c r="O93" s="135">
        <v>1200</v>
      </c>
      <c r="P93" s="135" t="s">
        <v>1080</v>
      </c>
      <c r="Q93" s="223" t="s">
        <v>14</v>
      </c>
      <c r="R93" s="223" t="s">
        <v>298</v>
      </c>
      <c r="S93" s="223" t="s">
        <v>44</v>
      </c>
      <c r="T93" s="224" t="str">
        <f t="shared" si="22"/>
        <v>ZU/RT</v>
      </c>
      <c r="U93" s="223" t="str">
        <f t="shared" si="23"/>
        <v>ZU-NW-Prod</v>
      </c>
      <c r="V93" s="223" t="str">
        <f t="array" ref="V93">CONCATENATE(Q93,"-",R93)</f>
        <v>NW-Prod</v>
      </c>
      <c r="W93" s="239">
        <f>IF(ISERROR(VLOOKUP(T93,'15-16_DP_Tables'!$M$2:$V$8,MATCH(V93,INDEX('15-16_DP_Tables'!$M$2:$V$8,1,0),0),0)),0,VLOOKUP(T93,'15-16_DP_Tables'!$M$2:$V$8,MATCH(V93,INDEX('15-16_DP_Tables'!$M$2:$V$8,1,0),0),0))</f>
        <v>99.088549999999998</v>
      </c>
      <c r="X93" s="239">
        <f t="array" ref="X93">IF(ISERROR(VLOOKUP(T93,'15-16_DP_Tables'!$M$12:$V$18,MATCH(V93,INDEX('15-16_DP_Tables'!$M$12:$V$18,1,0),0),0)),0,VLOOKUP(T93,'15-16_DP_Tables'!$M$12:$V$18,MATCH(V93,INDEX('15-16_DP_Tables'!$M$12:$V$18,1,0),0),0))</f>
        <v>53.375</v>
      </c>
      <c r="Y93" s="223" t="str">
        <f t="shared" si="24"/>
        <v>Horizontal</v>
      </c>
      <c r="Z93" s="223">
        <v>5</v>
      </c>
      <c r="AA93" s="249" t="e">
        <f>VLOOKUP(T93,'Planning and Target Times'!$A$74:$L$78,MATCH(E93&amp;"-"&amp;Q93&amp;"-"&amp;Y93&amp;"-"&amp;R93,INDEX('Planning and Target Times'!$A$74:$L$78,1,0),0),0)</f>
        <v>#N/A</v>
      </c>
      <c r="AB93" s="249" t="e">
        <f>VLOOKUP(T93,'Planning and Target Times'!$A$97:$L$101,MATCH(E93&amp;"-"&amp;Q93&amp;"-"&amp;Y93&amp;"-"&amp;R93,INDEX('Planning and Target Times'!$A$97:$L$101,1,0),0),0)</f>
        <v>#N/A</v>
      </c>
      <c r="AC93" s="250">
        <f t="shared" si="20"/>
        <v>12.110380059048195</v>
      </c>
      <c r="AD93" s="250">
        <f t="shared" si="21"/>
        <v>22.482435597189696</v>
      </c>
      <c r="AE93" s="248">
        <f t="shared" si="26"/>
        <v>5221.7241399428249</v>
      </c>
      <c r="AF93" s="248">
        <f t="shared" si="25"/>
        <v>5728.2758600571751</v>
      </c>
      <c r="AG93" s="248">
        <f t="shared" ca="1" si="16"/>
        <v>-1351.7241399428249</v>
      </c>
      <c r="AH93" s="248">
        <f t="shared" ca="1" si="17"/>
        <v>-3157.7241399428249</v>
      </c>
      <c r="AI93" s="248">
        <f t="shared" si="27"/>
        <v>4195.9683322665833</v>
      </c>
      <c r="AJ93" s="248">
        <f t="shared" ca="1" si="18"/>
        <v>-325.96833226658327</v>
      </c>
      <c r="AK93" s="248">
        <f t="shared" ca="1" si="19"/>
        <v>-2131.9683322665833</v>
      </c>
    </row>
    <row r="94" spans="2:37" ht="15.95" customHeight="1" x14ac:dyDescent="0.25">
      <c r="B94" s="136">
        <v>99</v>
      </c>
      <c r="C94" s="164" t="s">
        <v>1185</v>
      </c>
      <c r="D94" s="147" t="s">
        <v>734</v>
      </c>
      <c r="E94" s="139" t="s">
        <v>11</v>
      </c>
      <c r="F94" s="140" t="s">
        <v>17</v>
      </c>
      <c r="G94" s="140" t="s">
        <v>1076</v>
      </c>
      <c r="H94" s="140" t="s">
        <v>1082</v>
      </c>
      <c r="I94" s="140" t="s">
        <v>459</v>
      </c>
      <c r="J94" s="141" t="s">
        <v>1079</v>
      </c>
      <c r="K94" s="142">
        <v>42268</v>
      </c>
      <c r="L94" s="142">
        <v>42338</v>
      </c>
      <c r="M94" s="134">
        <v>42352</v>
      </c>
      <c r="N94" s="132">
        <v>70</v>
      </c>
      <c r="O94" s="135">
        <v>1400</v>
      </c>
      <c r="P94" s="135" t="s">
        <v>1080</v>
      </c>
      <c r="Q94" s="223" t="s">
        <v>14</v>
      </c>
      <c r="R94" s="223" t="s">
        <v>298</v>
      </c>
      <c r="S94" s="223" t="s">
        <v>17</v>
      </c>
      <c r="T94" s="224" t="str">
        <f t="shared" si="22"/>
        <v>MA</v>
      </c>
      <c r="U94" s="223" t="str">
        <f t="shared" si="23"/>
        <v>MA-NW-Prod</v>
      </c>
      <c r="V94" s="223" t="str">
        <f t="array" ref="V94">CONCATENATE(Q94,"-",R94)</f>
        <v>NW-Prod</v>
      </c>
      <c r="W94" s="239">
        <f>IF(ISERROR(VLOOKUP(T94,'15-16_DP_Tables'!$M$2:$V$8,MATCH(V94,INDEX('15-16_DP_Tables'!$M$2:$V$8,1,0),0),0)),0,VLOOKUP(T94,'15-16_DP_Tables'!$M$2:$V$8,MATCH(V94,INDEX('15-16_DP_Tables'!$M$2:$V$8,1,0),0),0))</f>
        <v>57.083333333332121</v>
      </c>
      <c r="X94" s="239">
        <f t="array" ref="X94">IF(ISERROR(VLOOKUP(T94,'15-16_DP_Tables'!$M$12:$V$18,MATCH(V94,INDEX('15-16_DP_Tables'!$M$12:$V$18,1,0),0),0)),0,VLOOKUP(T94,'15-16_DP_Tables'!$M$12:$V$18,MATCH(V94,INDEX('15-16_DP_Tables'!$M$12:$V$18,1,0),0),0))</f>
        <v>47.791666666664241</v>
      </c>
      <c r="Y94" s="223" t="str">
        <f t="shared" si="24"/>
        <v>Horizontal</v>
      </c>
      <c r="Z94" s="223">
        <v>5</v>
      </c>
      <c r="AA94" s="249" t="e">
        <f>VLOOKUP(T94,'Planning and Target Times'!$A$74:$L$78,MATCH(E94&amp;"-"&amp;Q94&amp;"-"&amp;Y94&amp;"-"&amp;R94,INDEX('Planning and Target Times'!$A$74:$L$78,1,0),0),0)</f>
        <v>#N/A</v>
      </c>
      <c r="AB94" s="249" t="e">
        <f>VLOOKUP(T94,'Planning and Target Times'!$A$97:$L$101,MATCH(E94&amp;"-"&amp;Q94&amp;"-"&amp;Y94&amp;"-"&amp;R94,INDEX('Planning and Target Times'!$A$97:$L$101,1,0),0),0)</f>
        <v>#N/A</v>
      </c>
      <c r="AC94" s="250">
        <f t="shared" si="20"/>
        <v>24.525547445255995</v>
      </c>
      <c r="AD94" s="250">
        <f t="shared" si="21"/>
        <v>29.293809938972714</v>
      </c>
      <c r="AE94" s="248">
        <f t="shared" si="26"/>
        <v>5283.807473276157</v>
      </c>
      <c r="AF94" s="248">
        <f t="shared" si="25"/>
        <v>5666.192526723843</v>
      </c>
      <c r="AG94" s="248">
        <f t="shared" ca="1" si="16"/>
        <v>-1413.807473276157</v>
      </c>
      <c r="AH94" s="248">
        <f t="shared" ca="1" si="17"/>
        <v>-3219.807473276157</v>
      </c>
      <c r="AI94" s="248">
        <f t="shared" si="27"/>
        <v>4248.7599989332475</v>
      </c>
      <c r="AJ94" s="248">
        <f t="shared" ca="1" si="18"/>
        <v>-378.75999893324752</v>
      </c>
      <c r="AK94" s="248">
        <f t="shared" ca="1" si="19"/>
        <v>-2184.7599989332475</v>
      </c>
    </row>
    <row r="95" spans="2:37" ht="15.95" customHeight="1" x14ac:dyDescent="0.25">
      <c r="B95" s="136">
        <v>121</v>
      </c>
      <c r="C95" s="164" t="s">
        <v>1207</v>
      </c>
      <c r="D95" s="165" t="s">
        <v>838</v>
      </c>
      <c r="E95" s="139" t="s">
        <v>11</v>
      </c>
      <c r="F95" s="140" t="s">
        <v>17</v>
      </c>
      <c r="G95" s="140" t="s">
        <v>1076</v>
      </c>
      <c r="H95" s="140" t="s">
        <v>1082</v>
      </c>
      <c r="I95" s="140" t="s">
        <v>459</v>
      </c>
      <c r="J95" s="141" t="s">
        <v>1079</v>
      </c>
      <c r="K95" s="142">
        <v>42271</v>
      </c>
      <c r="L95" s="142">
        <v>42341</v>
      </c>
      <c r="M95" s="134">
        <v>42355</v>
      </c>
      <c r="N95" s="140">
        <v>70</v>
      </c>
      <c r="O95" s="143">
        <v>1400</v>
      </c>
      <c r="P95" s="135" t="s">
        <v>1096</v>
      </c>
      <c r="Q95" s="223" t="s">
        <v>14</v>
      </c>
      <c r="R95" s="223" t="s">
        <v>298</v>
      </c>
      <c r="S95" s="223" t="s">
        <v>17</v>
      </c>
      <c r="T95" s="224" t="str">
        <f t="shared" si="22"/>
        <v>MA</v>
      </c>
      <c r="U95" s="223" t="str">
        <f t="shared" si="23"/>
        <v>MA-NW-Prod</v>
      </c>
      <c r="V95" s="223" t="str">
        <f t="array" ref="V95">CONCATENATE(Q95,"-",R95)</f>
        <v>NW-Prod</v>
      </c>
      <c r="W95" s="239">
        <f>IF(ISERROR(VLOOKUP(T95,'15-16_DP_Tables'!$M$2:$V$8,MATCH(V95,INDEX('15-16_DP_Tables'!$M$2:$V$8,1,0),0),0)),0,VLOOKUP(T95,'15-16_DP_Tables'!$M$2:$V$8,MATCH(V95,INDEX('15-16_DP_Tables'!$M$2:$V$8,1,0),0),0))</f>
        <v>57.083333333332121</v>
      </c>
      <c r="X95" s="239">
        <f t="array" ref="X95">IF(ISERROR(VLOOKUP(T95,'15-16_DP_Tables'!$M$12:$V$18,MATCH(V95,INDEX('15-16_DP_Tables'!$M$12:$V$18,1,0),0),0)),0,VLOOKUP(T95,'15-16_DP_Tables'!$M$12:$V$18,MATCH(V95,INDEX('15-16_DP_Tables'!$M$12:$V$18,1,0),0),0))</f>
        <v>47.791666666664241</v>
      </c>
      <c r="Y95" s="223" t="str">
        <f t="shared" si="24"/>
        <v>Horizontal</v>
      </c>
      <c r="Z95" s="223">
        <v>5</v>
      </c>
      <c r="AA95" s="249" t="e">
        <f>VLOOKUP(T95,'Planning and Target Times'!$A$74:$L$78,MATCH(E95&amp;"-"&amp;Q95&amp;"-"&amp;Y95&amp;"-"&amp;R95,INDEX('Planning and Target Times'!$A$74:$L$78,1,0),0),0)</f>
        <v>#N/A</v>
      </c>
      <c r="AB95" s="249" t="e">
        <f>VLOOKUP(T95,'Planning and Target Times'!$A$97:$L$101,MATCH(E95&amp;"-"&amp;Q95&amp;"-"&amp;Y95&amp;"-"&amp;R95,INDEX('Planning and Target Times'!$A$97:$L$101,1,0),0),0)</f>
        <v>#N/A</v>
      </c>
      <c r="AC95" s="250">
        <f t="shared" si="20"/>
        <v>24.525547445255995</v>
      </c>
      <c r="AD95" s="250">
        <f t="shared" si="21"/>
        <v>29.293809938972714</v>
      </c>
      <c r="AE95" s="248">
        <f t="shared" si="26"/>
        <v>5345.8908066094891</v>
      </c>
      <c r="AF95" s="248">
        <f t="shared" si="25"/>
        <v>5604.1091933905109</v>
      </c>
      <c r="AG95" s="248">
        <f t="shared" ca="1" si="16"/>
        <v>-1475.8908066094891</v>
      </c>
      <c r="AH95" s="248">
        <f t="shared" ca="1" si="17"/>
        <v>-3281.8908066094891</v>
      </c>
      <c r="AI95" s="248">
        <f t="shared" si="27"/>
        <v>4301.5516655999118</v>
      </c>
      <c r="AJ95" s="248">
        <f t="shared" ca="1" si="18"/>
        <v>-431.55166559991176</v>
      </c>
      <c r="AK95" s="248">
        <f t="shared" ca="1" si="19"/>
        <v>-2237.5516655999118</v>
      </c>
    </row>
    <row r="96" spans="2:37" ht="15.95" customHeight="1" x14ac:dyDescent="0.25">
      <c r="B96" s="136">
        <v>106</v>
      </c>
      <c r="C96" s="144" t="s">
        <v>1192</v>
      </c>
      <c r="D96" s="157" t="s">
        <v>735</v>
      </c>
      <c r="E96" s="139" t="s">
        <v>11</v>
      </c>
      <c r="F96" s="140" t="s">
        <v>29</v>
      </c>
      <c r="G96" s="140" t="s">
        <v>1076</v>
      </c>
      <c r="H96" s="140" t="s">
        <v>1082</v>
      </c>
      <c r="I96" s="140" t="s">
        <v>459</v>
      </c>
      <c r="J96" s="141" t="s">
        <v>1079</v>
      </c>
      <c r="K96" s="142">
        <v>42278</v>
      </c>
      <c r="L96" s="142">
        <v>42348</v>
      </c>
      <c r="M96" s="134">
        <v>42362</v>
      </c>
      <c r="N96" s="140">
        <v>70</v>
      </c>
      <c r="O96" s="143">
        <v>1200</v>
      </c>
      <c r="P96" s="135" t="s">
        <v>1080</v>
      </c>
      <c r="Q96" s="223" t="s">
        <v>14</v>
      </c>
      <c r="R96" s="223" t="s">
        <v>298</v>
      </c>
      <c r="S96" s="223" t="s">
        <v>29</v>
      </c>
      <c r="T96" s="224" t="str">
        <f t="shared" si="22"/>
        <v>UB</v>
      </c>
      <c r="U96" s="223" t="str">
        <f t="shared" si="23"/>
        <v>UB-NW-Prod</v>
      </c>
      <c r="V96" s="223" t="str">
        <f t="array" ref="V96">CONCATENATE(Q96,"-",R96)</f>
        <v>NW-Prod</v>
      </c>
      <c r="W96" s="239">
        <f>IF(ISERROR(VLOOKUP(T96,'15-16_DP_Tables'!$M$2:$V$8,MATCH(V96,INDEX('15-16_DP_Tables'!$M$2:$V$8,1,0),0),0)),0,VLOOKUP(T96,'15-16_DP_Tables'!$M$2:$V$8,MATCH(V96,INDEX('15-16_DP_Tables'!$M$2:$V$8,1,0),0),0))</f>
        <v>53.604164999999995</v>
      </c>
      <c r="X96" s="239">
        <f t="array" ref="X96">IF(ISERROR(VLOOKUP(T96,'15-16_DP_Tables'!$M$12:$V$18,MATCH(V96,INDEX('15-16_DP_Tables'!$M$12:$V$18,1,0),0),0)),0,VLOOKUP(T96,'15-16_DP_Tables'!$M$12:$V$18,MATCH(V96,INDEX('15-16_DP_Tables'!$M$12:$V$18,1,0),0),0))</f>
        <v>48</v>
      </c>
      <c r="Y96" s="223" t="str">
        <f t="shared" si="24"/>
        <v>Horizontal</v>
      </c>
      <c r="Z96" s="223">
        <v>5</v>
      </c>
      <c r="AA96" s="249" t="e">
        <f>VLOOKUP(T96,'Planning and Target Times'!$A$74:$L$78,MATCH(E96&amp;"-"&amp;Q96&amp;"-"&amp;Y96&amp;"-"&amp;R96,INDEX('Planning and Target Times'!$A$74:$L$78,1,0),0),0)</f>
        <v>#N/A</v>
      </c>
      <c r="AB96" s="249" t="e">
        <f>VLOOKUP(T96,'Planning and Target Times'!$A$97:$L$101,MATCH(E96&amp;"-"&amp;Q96&amp;"-"&amp;Y96&amp;"-"&amp;R96,INDEX('Planning and Target Times'!$A$97:$L$101,1,0),0),0)</f>
        <v>#N/A</v>
      </c>
      <c r="AC96" s="250">
        <f t="shared" si="20"/>
        <v>22.386320167472064</v>
      </c>
      <c r="AD96" s="250">
        <f t="shared" si="21"/>
        <v>25</v>
      </c>
      <c r="AE96" s="248">
        <f t="shared" si="26"/>
        <v>5404.4949716094889</v>
      </c>
      <c r="AF96" s="248">
        <f t="shared" si="25"/>
        <v>5545.5050283905111</v>
      </c>
      <c r="AG96" s="248">
        <f t="shared" ca="1" si="16"/>
        <v>-1534.4949716094889</v>
      </c>
      <c r="AH96" s="248">
        <f t="shared" ca="1" si="17"/>
        <v>-3340.4949716094889</v>
      </c>
      <c r="AI96" s="248">
        <f t="shared" si="27"/>
        <v>4354.5516655999118</v>
      </c>
      <c r="AJ96" s="248">
        <f t="shared" ca="1" si="18"/>
        <v>-484.55166559991176</v>
      </c>
      <c r="AK96" s="248">
        <f t="shared" ca="1" si="19"/>
        <v>-2290.5516655999118</v>
      </c>
    </row>
    <row r="97" spans="2:37" ht="15.95" customHeight="1" x14ac:dyDescent="0.25">
      <c r="B97" s="136">
        <v>140</v>
      </c>
      <c r="C97" s="144" t="s">
        <v>1230</v>
      </c>
      <c r="D97" s="165" t="s">
        <v>19</v>
      </c>
      <c r="E97" s="139" t="s">
        <v>11</v>
      </c>
      <c r="F97" s="140" t="s">
        <v>17</v>
      </c>
      <c r="G97" s="140" t="s">
        <v>1086</v>
      </c>
      <c r="H97" s="140" t="s">
        <v>1082</v>
      </c>
      <c r="I97" s="140" t="s">
        <v>459</v>
      </c>
      <c r="J97" s="141" t="s">
        <v>1079</v>
      </c>
      <c r="K97" s="142">
        <v>42278</v>
      </c>
      <c r="L97" s="142">
        <v>42341</v>
      </c>
      <c r="M97" s="134">
        <v>42355</v>
      </c>
      <c r="N97" s="140">
        <v>63</v>
      </c>
      <c r="O97" s="143"/>
      <c r="P97" s="135" t="s">
        <v>1080</v>
      </c>
      <c r="Q97" s="223" t="s">
        <v>14</v>
      </c>
      <c r="R97" s="223" t="s">
        <v>34</v>
      </c>
      <c r="S97" s="223" t="s">
        <v>17</v>
      </c>
      <c r="T97" s="224" t="str">
        <f t="shared" si="22"/>
        <v>MA</v>
      </c>
      <c r="U97" s="223" t="str">
        <f t="shared" si="23"/>
        <v>MA-NW-Inj</v>
      </c>
      <c r="V97" s="223" t="str">
        <f t="array" ref="V97">CONCATENATE(Q97,"-",R97)</f>
        <v>NW-Inj</v>
      </c>
      <c r="W97" s="239">
        <f>IF(ISERROR(VLOOKUP(T97,'15-16_DP_Tables'!$M$2:$V$8,MATCH(V97,INDEX('15-16_DP_Tables'!$M$2:$V$8,1,0),0),0)),0,VLOOKUP(T97,'15-16_DP_Tables'!$M$2:$V$8,MATCH(V97,INDEX('15-16_DP_Tables'!$M$2:$V$8,1,0),0),0))</f>
        <v>0</v>
      </c>
      <c r="X97" s="239">
        <f t="array" ref="X97">IF(ISERROR(VLOOKUP(T97,'15-16_DP_Tables'!$M$12:$V$18,MATCH(V97,INDEX('15-16_DP_Tables'!$M$12:$V$18,1,0),0),0)),0,VLOOKUP(T97,'15-16_DP_Tables'!$M$12:$V$18,MATCH(V97,INDEX('15-16_DP_Tables'!$M$12:$V$18,1,0),0),0))</f>
        <v>0</v>
      </c>
      <c r="Y97" s="223" t="str">
        <f t="shared" si="24"/>
        <v>Horizontal</v>
      </c>
      <c r="Z97" s="223">
        <v>5</v>
      </c>
      <c r="AA97" s="249" t="e">
        <f>VLOOKUP(T97,'Planning and Target Times'!$A$74:$L$78,MATCH(E97&amp;"-"&amp;Q97&amp;"-"&amp;Y97&amp;"-"&amp;R97,INDEX('Planning and Target Times'!$A$74:$L$78,1,0),0),0)</f>
        <v>#N/A</v>
      </c>
      <c r="AB97" s="249" t="e">
        <f>VLOOKUP(T97,'Planning and Target Times'!$A$97:$L$101,MATCH(E97&amp;"-"&amp;Q97&amp;"-"&amp;Y97&amp;"-"&amp;R97,INDEX('Planning and Target Times'!$A$97:$L$101,1,0),0),0)</f>
        <v>#N/A</v>
      </c>
      <c r="AC97" s="250">
        <f t="shared" si="20"/>
        <v>0</v>
      </c>
      <c r="AD97" s="250">
        <f t="shared" si="21"/>
        <v>0</v>
      </c>
      <c r="AE97" s="248">
        <f t="shared" si="26"/>
        <v>5409.4949716094889</v>
      </c>
      <c r="AF97" s="248">
        <f t="shared" si="25"/>
        <v>5540.5050283905111</v>
      </c>
      <c r="AG97" s="248">
        <f t="shared" ca="1" si="16"/>
        <v>-1539.4949716094889</v>
      </c>
      <c r="AH97" s="248">
        <f t="shared" ca="1" si="17"/>
        <v>-3345.4949716094889</v>
      </c>
      <c r="AI97" s="248">
        <f t="shared" si="27"/>
        <v>4359.5516655999118</v>
      </c>
      <c r="AJ97" s="248">
        <f t="shared" ca="1" si="18"/>
        <v>-489.55166559991176</v>
      </c>
      <c r="AK97" s="248">
        <f t="shared" ca="1" si="19"/>
        <v>-2295.5516655999118</v>
      </c>
    </row>
    <row r="98" spans="2:37" ht="15.95" customHeight="1" x14ac:dyDescent="0.25">
      <c r="B98" s="136">
        <v>81</v>
      </c>
      <c r="C98" s="144" t="s">
        <v>1167</v>
      </c>
      <c r="D98" s="184" t="s">
        <v>511</v>
      </c>
      <c r="E98" s="150" t="s">
        <v>42</v>
      </c>
      <c r="F98" s="140" t="s">
        <v>17</v>
      </c>
      <c r="G98" s="140" t="s">
        <v>1076</v>
      </c>
      <c r="H98" s="140" t="s">
        <v>1082</v>
      </c>
      <c r="I98" s="140" t="s">
        <v>459</v>
      </c>
      <c r="J98" s="141" t="s">
        <v>1079</v>
      </c>
      <c r="K98" s="142">
        <v>42285</v>
      </c>
      <c r="L98" s="142">
        <v>42355</v>
      </c>
      <c r="M98" s="134">
        <v>42369</v>
      </c>
      <c r="N98" s="140">
        <v>70</v>
      </c>
      <c r="O98" s="143">
        <v>1500</v>
      </c>
      <c r="P98" s="143" t="s">
        <v>1080</v>
      </c>
      <c r="Q98" s="223" t="s">
        <v>14</v>
      </c>
      <c r="R98" s="223" t="s">
        <v>298</v>
      </c>
      <c r="S98" s="223" t="s">
        <v>17</v>
      </c>
      <c r="T98" s="224" t="str">
        <f t="shared" si="22"/>
        <v>MA</v>
      </c>
      <c r="U98" s="223" t="str">
        <f t="shared" si="23"/>
        <v>MA-NW-Prod</v>
      </c>
      <c r="V98" s="223" t="str">
        <f t="array" ref="V98">CONCATENATE(Q98,"-",R98)</f>
        <v>NW-Prod</v>
      </c>
      <c r="W98" s="239">
        <f>IF(ISERROR(VLOOKUP(T98,'15-16_DP_Tables'!$M$2:$V$8,MATCH(V98,INDEX('15-16_DP_Tables'!$M$2:$V$8,1,0),0),0)),0,VLOOKUP(T98,'15-16_DP_Tables'!$M$2:$V$8,MATCH(V98,INDEX('15-16_DP_Tables'!$M$2:$V$8,1,0),0),0))</f>
        <v>57.083333333332121</v>
      </c>
      <c r="X98" s="239">
        <f t="array" ref="X98">IF(ISERROR(VLOOKUP(T98,'15-16_DP_Tables'!$M$12:$V$18,MATCH(V98,INDEX('15-16_DP_Tables'!$M$12:$V$18,1,0),0),0)),0,VLOOKUP(T98,'15-16_DP_Tables'!$M$12:$V$18,MATCH(V98,INDEX('15-16_DP_Tables'!$M$12:$V$18,1,0),0),0))</f>
        <v>47.791666666664241</v>
      </c>
      <c r="Y98" s="223" t="str">
        <f t="shared" si="24"/>
        <v>Unknown</v>
      </c>
      <c r="Z98" s="223">
        <v>5</v>
      </c>
      <c r="AA98" s="249" t="e">
        <f>VLOOKUP(T98,'Planning and Target Times'!$A$74:$L$78,MATCH(E98&amp;"-"&amp;Q98&amp;"-"&amp;Y98&amp;"-"&amp;R98,INDEX('Planning and Target Times'!$A$74:$L$78,1,0),0),0)</f>
        <v>#N/A</v>
      </c>
      <c r="AB98" s="249" t="e">
        <f>VLOOKUP(T98,'Planning and Target Times'!$A$97:$L$101,MATCH(E98&amp;"-"&amp;Q98&amp;"-"&amp;Y98&amp;"-"&amp;R98,INDEX('Planning and Target Times'!$A$97:$L$101,1,0),0),0)</f>
        <v>#N/A</v>
      </c>
      <c r="AC98" s="250">
        <f t="shared" si="20"/>
        <v>26.277372262774282</v>
      </c>
      <c r="AD98" s="250">
        <f t="shared" si="21"/>
        <v>31.386224934613622</v>
      </c>
      <c r="AE98" s="248">
        <f t="shared" si="26"/>
        <v>5471.578304942821</v>
      </c>
      <c r="AF98" s="248">
        <f t="shared" si="25"/>
        <v>5478.421695057179</v>
      </c>
      <c r="AG98" s="248">
        <f t="shared" ca="1" si="16"/>
        <v>-1601.578304942821</v>
      </c>
      <c r="AH98" s="248">
        <f t="shared" ca="1" si="17"/>
        <v>-3407.578304942821</v>
      </c>
      <c r="AI98" s="248">
        <f t="shared" si="27"/>
        <v>4412.343332266576</v>
      </c>
      <c r="AJ98" s="248">
        <f t="shared" ca="1" si="18"/>
        <v>-542.343332266576</v>
      </c>
      <c r="AK98" s="248">
        <f t="shared" ca="1" si="19"/>
        <v>-2348.343332266576</v>
      </c>
    </row>
    <row r="99" spans="2:37" ht="15.95" customHeight="1" x14ac:dyDescent="0.25">
      <c r="B99" s="136">
        <v>144</v>
      </c>
      <c r="C99" s="144" t="s">
        <v>1235</v>
      </c>
      <c r="D99" s="193" t="s">
        <v>1234</v>
      </c>
      <c r="E99" s="139" t="s">
        <v>11</v>
      </c>
      <c r="F99" s="140" t="s">
        <v>17</v>
      </c>
      <c r="G99" s="140" t="s">
        <v>1086</v>
      </c>
      <c r="H99" s="140" t="s">
        <v>1077</v>
      </c>
      <c r="I99" s="140" t="s">
        <v>459</v>
      </c>
      <c r="J99" s="141" t="s">
        <v>1079</v>
      </c>
      <c r="K99" s="142">
        <v>42287</v>
      </c>
      <c r="L99" s="142">
        <v>42336</v>
      </c>
      <c r="M99" s="134">
        <v>42350</v>
      </c>
      <c r="N99" s="140">
        <v>49</v>
      </c>
      <c r="O99" s="143"/>
      <c r="P99" s="135" t="s">
        <v>1080</v>
      </c>
      <c r="Q99" s="223" t="s">
        <v>18</v>
      </c>
      <c r="R99" s="223" t="s">
        <v>34</v>
      </c>
      <c r="S99" s="223" t="s">
        <v>17</v>
      </c>
      <c r="T99" s="224" t="str">
        <f t="shared" si="22"/>
        <v>MA</v>
      </c>
      <c r="U99" s="223" t="str">
        <f t="shared" si="23"/>
        <v>MA-ST-Inj</v>
      </c>
      <c r="V99" s="223" t="str">
        <f t="array" ref="V99">CONCATENATE(Q99,"-",R99)</f>
        <v>ST-Inj</v>
      </c>
      <c r="W99" s="239">
        <f>IF(ISERROR(VLOOKUP(T99,'15-16_DP_Tables'!$M$2:$V$8,MATCH(V99,INDEX('15-16_DP_Tables'!$M$2:$V$8,1,0),0),0)),0,VLOOKUP(T99,'15-16_DP_Tables'!$M$2:$V$8,MATCH(V99,INDEX('15-16_DP_Tables'!$M$2:$V$8,1,0),0),0))</f>
        <v>35.545833099999626</v>
      </c>
      <c r="X99" s="239">
        <f t="array" ref="X99">IF(ISERROR(VLOOKUP(T99,'15-16_DP_Tables'!$M$12:$V$18,MATCH(V99,INDEX('15-16_DP_Tables'!$M$12:$V$18,1,0),0),0)),0,VLOOKUP(T99,'15-16_DP_Tables'!$M$12:$V$18,MATCH(V99,INDEX('15-16_DP_Tables'!$M$12:$V$18,1,0),0),0))</f>
        <v>26.054166533332847</v>
      </c>
      <c r="Y99" s="223" t="str">
        <f t="shared" si="24"/>
        <v>Horizontal</v>
      </c>
      <c r="Z99" s="223">
        <v>5</v>
      </c>
      <c r="AA99" s="249" t="e">
        <f>VLOOKUP(T99,'Planning and Target Times'!$A$74:$L$78,MATCH(E99&amp;"-"&amp;Q99&amp;"-"&amp;Y99&amp;"-"&amp;R99,INDEX('Planning and Target Times'!$A$74:$L$78,1,0),0),0)</f>
        <v>#N/A</v>
      </c>
      <c r="AB99" s="249" t="e">
        <f>VLOOKUP(T99,'Planning and Target Times'!$A$97:$L$101,MATCH(E99&amp;"-"&amp;Q99&amp;"-"&amp;Y99&amp;"-"&amp;R99,INDEX('Planning and Target Times'!$A$97:$L$101,1,0),0),0)</f>
        <v>#N/A</v>
      </c>
      <c r="AC99" s="250">
        <f t="shared" si="20"/>
        <v>0</v>
      </c>
      <c r="AD99" s="250">
        <f t="shared" si="21"/>
        <v>0</v>
      </c>
      <c r="AE99" s="248">
        <f t="shared" si="26"/>
        <v>5512.124138042821</v>
      </c>
      <c r="AF99" s="248">
        <f t="shared" si="25"/>
        <v>5437.875861957179</v>
      </c>
      <c r="AG99" s="248">
        <f t="shared" ca="1" si="16"/>
        <v>-1642.124138042821</v>
      </c>
      <c r="AH99" s="248">
        <f t="shared" ca="1" si="17"/>
        <v>-3448.124138042821</v>
      </c>
      <c r="AI99" s="248">
        <f t="shared" si="27"/>
        <v>4443.397498799909</v>
      </c>
      <c r="AJ99" s="248">
        <f t="shared" ca="1" si="18"/>
        <v>-573.39749879990904</v>
      </c>
      <c r="AK99" s="248">
        <f t="shared" ca="1" si="19"/>
        <v>-2379.397498799909</v>
      </c>
    </row>
    <row r="100" spans="2:37" ht="15.95" customHeight="1" x14ac:dyDescent="0.25">
      <c r="B100" s="136">
        <v>148</v>
      </c>
      <c r="C100" s="144" t="s">
        <v>1240</v>
      </c>
      <c r="D100" s="194" t="s">
        <v>1239</v>
      </c>
      <c r="E100" s="150" t="s">
        <v>42</v>
      </c>
      <c r="F100" s="140" t="s">
        <v>22</v>
      </c>
      <c r="G100" s="140" t="s">
        <v>1076</v>
      </c>
      <c r="H100" s="140" t="s">
        <v>1082</v>
      </c>
      <c r="I100" s="140" t="s">
        <v>459</v>
      </c>
      <c r="J100" s="141" t="s">
        <v>1079</v>
      </c>
      <c r="K100" s="142">
        <v>42287</v>
      </c>
      <c r="L100" s="142">
        <v>42357</v>
      </c>
      <c r="M100" s="134">
        <v>42371</v>
      </c>
      <c r="N100" s="140">
        <v>70</v>
      </c>
      <c r="O100" s="143">
        <v>1800</v>
      </c>
      <c r="P100" s="135" t="s">
        <v>1080</v>
      </c>
      <c r="Q100" s="223" t="s">
        <v>14</v>
      </c>
      <c r="R100" s="223" t="s">
        <v>298</v>
      </c>
      <c r="S100" s="223" t="s">
        <v>22</v>
      </c>
      <c r="T100" s="224" t="str">
        <f t="shared" si="22"/>
        <v>LB</v>
      </c>
      <c r="U100" s="223" t="str">
        <f t="shared" si="23"/>
        <v>LB-NW-Prod</v>
      </c>
      <c r="V100" s="223" t="str">
        <f t="array" ref="V100">CONCATENATE(Q100,"-",R100)</f>
        <v>NW-Prod</v>
      </c>
      <c r="W100" s="239">
        <f>IF(ISERROR(VLOOKUP(T100,'15-16_DP_Tables'!$M$2:$V$8,MATCH(V100,INDEX('15-16_DP_Tables'!$M$2:$V$8,1,0),0),0)),0,VLOOKUP(T100,'15-16_DP_Tables'!$M$2:$V$8,MATCH(V100,INDEX('15-16_DP_Tables'!$M$2:$V$8,1,0),0),0))</f>
        <v>55.81537142381022</v>
      </c>
      <c r="X100" s="239">
        <f t="array" ref="X100">IF(ISERROR(VLOOKUP(T100,'15-16_DP_Tables'!$M$12:$V$18,MATCH(V100,INDEX('15-16_DP_Tables'!$M$12:$V$18,1,0),0),0)),0,VLOOKUP(T100,'15-16_DP_Tables'!$M$12:$V$18,MATCH(V100,INDEX('15-16_DP_Tables'!$M$12:$V$18,1,0),0),0))</f>
        <v>45.207999999999998</v>
      </c>
      <c r="Y100" s="223" t="str">
        <f t="shared" si="24"/>
        <v>Horizontal</v>
      </c>
      <c r="Z100" s="223">
        <v>5</v>
      </c>
      <c r="AA100" s="249" t="e">
        <f>VLOOKUP(T100,'Planning and Target Times'!$A$74:$L$78,MATCH(E100&amp;"-"&amp;Q100&amp;"-"&amp;Y100&amp;"-"&amp;R100,INDEX('Planning and Target Times'!$A$74:$L$78,1,0),0),0)</f>
        <v>#N/A</v>
      </c>
      <c r="AB100" s="249" t="e">
        <f>VLOOKUP(T100,'Planning and Target Times'!$A$97:$L$101,MATCH(E100&amp;"-"&amp;Q100&amp;"-"&amp;Y100&amp;"-"&amp;R100,INDEX('Planning and Target Times'!$A$97:$L$101,1,0),0),0)</f>
        <v>#N/A</v>
      </c>
      <c r="AC100" s="250">
        <f t="shared" si="20"/>
        <v>32.249180719993198</v>
      </c>
      <c r="AD100" s="250">
        <f t="shared" si="21"/>
        <v>39.815961776676694</v>
      </c>
      <c r="AE100" s="248">
        <f t="shared" si="26"/>
        <v>5572.9395094666315</v>
      </c>
      <c r="AF100" s="248">
        <f t="shared" si="25"/>
        <v>5377.0604905333685</v>
      </c>
      <c r="AG100" s="248">
        <f t="shared" ca="1" si="16"/>
        <v>-1702.9395094666315</v>
      </c>
      <c r="AH100" s="248">
        <f t="shared" ca="1" si="17"/>
        <v>-3508.9395094666315</v>
      </c>
      <c r="AI100" s="248">
        <f t="shared" si="27"/>
        <v>4493.6054987999087</v>
      </c>
      <c r="AJ100" s="248">
        <f t="shared" ca="1" si="18"/>
        <v>-623.60549879990867</v>
      </c>
      <c r="AK100" s="248">
        <f t="shared" ca="1" si="19"/>
        <v>-2429.6054987999087</v>
      </c>
    </row>
    <row r="101" spans="2:37" ht="15.95" customHeight="1" x14ac:dyDescent="0.25">
      <c r="B101" s="136">
        <v>40</v>
      </c>
      <c r="C101" s="151" t="s">
        <v>1124</v>
      </c>
      <c r="D101" s="165" t="s">
        <v>1116</v>
      </c>
      <c r="E101" s="150" t="s">
        <v>11</v>
      </c>
      <c r="F101" s="140" t="s">
        <v>17</v>
      </c>
      <c r="G101" s="140" t="s">
        <v>1076</v>
      </c>
      <c r="H101" s="140" t="s">
        <v>1082</v>
      </c>
      <c r="I101" s="140" t="s">
        <v>459</v>
      </c>
      <c r="J101" s="141" t="s">
        <v>1079</v>
      </c>
      <c r="K101" s="142">
        <v>42288</v>
      </c>
      <c r="L101" s="142">
        <v>42358</v>
      </c>
      <c r="M101" s="134">
        <v>42372</v>
      </c>
      <c r="N101" s="140">
        <v>70</v>
      </c>
      <c r="O101" s="143">
        <v>1400</v>
      </c>
      <c r="P101" s="135" t="s">
        <v>1080</v>
      </c>
      <c r="Q101" s="223" t="s">
        <v>14</v>
      </c>
      <c r="R101" s="223" t="s">
        <v>298</v>
      </c>
      <c r="S101" s="223" t="s">
        <v>17</v>
      </c>
      <c r="T101" s="224" t="str">
        <f t="shared" ref="T101:T132" si="28">IF(OR(F101="ZU",F101="RT"),"ZU/RT",F101)</f>
        <v>MA</v>
      </c>
      <c r="U101" s="223" t="str">
        <f t="shared" ref="U101:U132" si="29">CONCATENATE(F101,"-",Q101,"-",R101)</f>
        <v>MA-NW-Prod</v>
      </c>
      <c r="V101" s="223" t="str">
        <f t="array" ref="V101">CONCATENATE(Q101,"-",R101)</f>
        <v>NW-Prod</v>
      </c>
      <c r="W101" s="239">
        <f>IF(ISERROR(VLOOKUP(T101,'15-16_DP_Tables'!$M$2:$V$8,MATCH(V101,INDEX('15-16_DP_Tables'!$M$2:$V$8,1,0),0),0)),0,VLOOKUP(T101,'15-16_DP_Tables'!$M$2:$V$8,MATCH(V101,INDEX('15-16_DP_Tables'!$M$2:$V$8,1,0),0),0))</f>
        <v>57.083333333332121</v>
      </c>
      <c r="X101" s="239">
        <f t="array" ref="X101">IF(ISERROR(VLOOKUP(T101,'15-16_DP_Tables'!$M$12:$V$18,MATCH(V101,INDEX('15-16_DP_Tables'!$M$12:$V$18,1,0),0),0)),0,VLOOKUP(T101,'15-16_DP_Tables'!$M$12:$V$18,MATCH(V101,INDEX('15-16_DP_Tables'!$M$12:$V$18,1,0),0),0))</f>
        <v>47.791666666664241</v>
      </c>
      <c r="Y101" s="223" t="str">
        <f t="shared" ref="Y101:Y132" si="30">IF(OR(ISNUMBER(SEARCH("HST",C101)),ISNUMBER(SEARCH("Horizontal",C101)),ISNUMBER(SEARCH("H",C101))),"Horizontal",IF(OR(ISNUMBER(SEARCH("SLANT",C101))),"Slant","Unknown"))</f>
        <v>Horizontal</v>
      </c>
      <c r="Z101" s="223">
        <v>5</v>
      </c>
      <c r="AA101" s="249" t="e">
        <f>VLOOKUP(T101,'Planning and Target Times'!$A$74:$L$78,MATCH(E101&amp;"-"&amp;Q101&amp;"-"&amp;Y101&amp;"-"&amp;R101,INDEX('Planning and Target Times'!$A$74:$L$78,1,0),0),0)</f>
        <v>#N/A</v>
      </c>
      <c r="AB101" s="249" t="e">
        <f>VLOOKUP(T101,'Planning and Target Times'!$A$97:$L$101,MATCH(E101&amp;"-"&amp;Q101&amp;"-"&amp;Y101&amp;"-"&amp;R101,INDEX('Planning and Target Times'!$A$97:$L$101,1,0),0),0)</f>
        <v>#N/A</v>
      </c>
      <c r="AC101" s="250">
        <f t="shared" si="20"/>
        <v>24.525547445255995</v>
      </c>
      <c r="AD101" s="250">
        <f t="shared" si="21"/>
        <v>29.293809938972714</v>
      </c>
      <c r="AE101" s="248">
        <f t="shared" si="26"/>
        <v>5635.0228427999637</v>
      </c>
      <c r="AF101" s="248">
        <f t="shared" ref="AF101:AF132" si="31">(30*365)-AE101</f>
        <v>5314.9771572000363</v>
      </c>
      <c r="AG101" s="248">
        <f t="shared" ca="1" si="16"/>
        <v>-1765.0228427999637</v>
      </c>
      <c r="AH101" s="248">
        <f t="shared" ca="1" si="17"/>
        <v>-3571.0228427999637</v>
      </c>
      <c r="AI101" s="248">
        <f t="shared" si="27"/>
        <v>4546.3971654665729</v>
      </c>
      <c r="AJ101" s="248">
        <f t="shared" ca="1" si="18"/>
        <v>-676.39716546657291</v>
      </c>
      <c r="AK101" s="248">
        <f t="shared" ca="1" si="19"/>
        <v>-2482.3971654665729</v>
      </c>
    </row>
    <row r="102" spans="2:37" ht="15.95" customHeight="1" x14ac:dyDescent="0.25">
      <c r="B102" s="136">
        <v>31</v>
      </c>
      <c r="C102" s="144" t="s">
        <v>1114</v>
      </c>
      <c r="D102" s="157" t="s">
        <v>1107</v>
      </c>
      <c r="E102" s="150" t="s">
        <v>42</v>
      </c>
      <c r="F102" s="140" t="s">
        <v>29</v>
      </c>
      <c r="G102" s="140" t="s">
        <v>1076</v>
      </c>
      <c r="H102" s="140" t="s">
        <v>1082</v>
      </c>
      <c r="I102" s="140" t="s">
        <v>459</v>
      </c>
      <c r="J102" s="141" t="s">
        <v>1079</v>
      </c>
      <c r="K102" s="142">
        <v>42289</v>
      </c>
      <c r="L102" s="142">
        <v>42359</v>
      </c>
      <c r="M102" s="134">
        <v>42373</v>
      </c>
      <c r="N102" s="140">
        <v>70</v>
      </c>
      <c r="O102" s="143">
        <v>2000</v>
      </c>
      <c r="P102" s="135" t="s">
        <v>1080</v>
      </c>
      <c r="Q102" s="223" t="s">
        <v>14</v>
      </c>
      <c r="R102" s="223" t="s">
        <v>298</v>
      </c>
      <c r="S102" s="223" t="s">
        <v>29</v>
      </c>
      <c r="T102" s="224" t="str">
        <f t="shared" si="28"/>
        <v>UB</v>
      </c>
      <c r="U102" s="223" t="str">
        <f t="shared" si="29"/>
        <v>UB-NW-Prod</v>
      </c>
      <c r="V102" s="223" t="str">
        <f t="array" ref="V102">CONCATENATE(Q102,"-",R102)</f>
        <v>NW-Prod</v>
      </c>
      <c r="W102" s="239">
        <f>IF(ISERROR(VLOOKUP(T102,'15-16_DP_Tables'!$M$2:$V$8,MATCH(V102,INDEX('15-16_DP_Tables'!$M$2:$V$8,1,0),0),0)),0,VLOOKUP(T102,'15-16_DP_Tables'!$M$2:$V$8,MATCH(V102,INDEX('15-16_DP_Tables'!$M$2:$V$8,1,0),0),0))</f>
        <v>53.604164999999995</v>
      </c>
      <c r="X102" s="239">
        <f t="array" ref="X102">IF(ISERROR(VLOOKUP(T102,'15-16_DP_Tables'!$M$12:$V$18,MATCH(V102,INDEX('15-16_DP_Tables'!$M$12:$V$18,1,0),0),0)),0,VLOOKUP(T102,'15-16_DP_Tables'!$M$12:$V$18,MATCH(V102,INDEX('15-16_DP_Tables'!$M$12:$V$18,1,0),0),0))</f>
        <v>48</v>
      </c>
      <c r="Y102" s="223" t="str">
        <f t="shared" si="30"/>
        <v>Unknown</v>
      </c>
      <c r="Z102" s="223">
        <v>5</v>
      </c>
      <c r="AA102" s="249" t="e">
        <f>VLOOKUP(T102,'Planning and Target Times'!$A$74:$L$78,MATCH(E102&amp;"-"&amp;Q102&amp;"-"&amp;Y102&amp;"-"&amp;R102,INDEX('Planning and Target Times'!$A$74:$L$78,1,0),0),0)</f>
        <v>#N/A</v>
      </c>
      <c r="AB102" s="249" t="e">
        <f>VLOOKUP(T102,'Planning and Target Times'!$A$97:$L$101,MATCH(E102&amp;"-"&amp;Q102&amp;"-"&amp;Y102&amp;"-"&amp;R102,INDEX('Planning and Target Times'!$A$97:$L$101,1,0),0),0)</f>
        <v>#N/A</v>
      </c>
      <c r="AC102" s="250">
        <f t="shared" si="20"/>
        <v>37.31053361245344</v>
      </c>
      <c r="AD102" s="250">
        <f t="shared" si="21"/>
        <v>41.666666666666664</v>
      </c>
      <c r="AE102" s="248">
        <f t="shared" si="26"/>
        <v>5693.6270077999634</v>
      </c>
      <c r="AF102" s="248">
        <f t="shared" si="31"/>
        <v>5256.3729922000366</v>
      </c>
      <c r="AG102" s="248">
        <f t="shared" ca="1" si="16"/>
        <v>-1823.6270077999634</v>
      </c>
      <c r="AH102" s="248">
        <f t="shared" ca="1" si="17"/>
        <v>-3629.6270077999634</v>
      </c>
      <c r="AI102" s="248">
        <f t="shared" si="27"/>
        <v>4599.3971654665729</v>
      </c>
      <c r="AJ102" s="248">
        <f t="shared" ca="1" si="18"/>
        <v>-729.39716546657291</v>
      </c>
      <c r="AK102" s="248">
        <f t="shared" ca="1" si="19"/>
        <v>-2535.3971654665729</v>
      </c>
    </row>
    <row r="103" spans="2:37" ht="15.95" customHeight="1" x14ac:dyDescent="0.25">
      <c r="B103" s="136">
        <v>59</v>
      </c>
      <c r="C103" s="144" t="s">
        <v>1145</v>
      </c>
      <c r="D103" s="178" t="s">
        <v>1137</v>
      </c>
      <c r="E103" s="139" t="s">
        <v>42</v>
      </c>
      <c r="F103" s="140" t="s">
        <v>17</v>
      </c>
      <c r="G103" s="140" t="s">
        <v>1076</v>
      </c>
      <c r="H103" s="140" t="s">
        <v>1082</v>
      </c>
      <c r="I103" s="140" t="s">
        <v>459</v>
      </c>
      <c r="J103" s="141" t="s">
        <v>1079</v>
      </c>
      <c r="K103" s="142">
        <v>42291</v>
      </c>
      <c r="L103" s="142">
        <v>42361</v>
      </c>
      <c r="M103" s="134">
        <v>42375</v>
      </c>
      <c r="N103" s="140">
        <v>70</v>
      </c>
      <c r="O103" s="143">
        <v>1500</v>
      </c>
      <c r="P103" s="143" t="s">
        <v>1080</v>
      </c>
      <c r="Q103" s="223" t="s">
        <v>14</v>
      </c>
      <c r="R103" s="223" t="s">
        <v>298</v>
      </c>
      <c r="S103" s="223" t="s">
        <v>17</v>
      </c>
      <c r="T103" s="224" t="str">
        <f t="shared" si="28"/>
        <v>MA</v>
      </c>
      <c r="U103" s="223" t="str">
        <f t="shared" si="29"/>
        <v>MA-NW-Prod</v>
      </c>
      <c r="V103" s="223" t="str">
        <f t="array" ref="V103">CONCATENATE(Q103,"-",R103)</f>
        <v>NW-Prod</v>
      </c>
      <c r="W103" s="239">
        <f>IF(ISERROR(VLOOKUP(T103,'15-16_DP_Tables'!$M$2:$V$8,MATCH(V103,INDEX('15-16_DP_Tables'!$M$2:$V$8,1,0),0),0)),0,VLOOKUP(T103,'15-16_DP_Tables'!$M$2:$V$8,MATCH(V103,INDEX('15-16_DP_Tables'!$M$2:$V$8,1,0),0),0))</f>
        <v>57.083333333332121</v>
      </c>
      <c r="X103" s="239">
        <f t="array" ref="X103">IF(ISERROR(VLOOKUP(T103,'15-16_DP_Tables'!$M$12:$V$18,MATCH(V103,INDEX('15-16_DP_Tables'!$M$12:$V$18,1,0),0),0)),0,VLOOKUP(T103,'15-16_DP_Tables'!$M$12:$V$18,MATCH(V103,INDEX('15-16_DP_Tables'!$M$12:$V$18,1,0),0),0))</f>
        <v>47.791666666664241</v>
      </c>
      <c r="Y103" s="223" t="str">
        <f t="shared" si="30"/>
        <v>Horizontal</v>
      </c>
      <c r="Z103" s="223">
        <v>5</v>
      </c>
      <c r="AA103" s="249" t="e">
        <f>VLOOKUP(T103,'Planning and Target Times'!$A$74:$L$78,MATCH(E103&amp;"-"&amp;Q103&amp;"-"&amp;Y103&amp;"-"&amp;R103,INDEX('Planning and Target Times'!$A$74:$L$78,1,0),0),0)</f>
        <v>#N/A</v>
      </c>
      <c r="AB103" s="249" t="e">
        <f>VLOOKUP(T103,'Planning and Target Times'!$A$97:$L$101,MATCH(E103&amp;"-"&amp;Q103&amp;"-"&amp;Y103&amp;"-"&amp;R103,INDEX('Planning and Target Times'!$A$97:$L$101,1,0),0),0)</f>
        <v>#N/A</v>
      </c>
      <c r="AC103" s="250">
        <f t="shared" si="20"/>
        <v>26.277372262774282</v>
      </c>
      <c r="AD103" s="250">
        <f t="shared" si="21"/>
        <v>31.386224934613622</v>
      </c>
      <c r="AE103" s="248">
        <f t="shared" si="26"/>
        <v>5755.7103411332955</v>
      </c>
      <c r="AF103" s="248">
        <f t="shared" si="31"/>
        <v>5194.2896588667045</v>
      </c>
      <c r="AG103" s="248">
        <f t="shared" ca="1" si="16"/>
        <v>-1885.7103411332955</v>
      </c>
      <c r="AH103" s="248">
        <f t="shared" ca="1" si="17"/>
        <v>-3691.7103411332955</v>
      </c>
      <c r="AI103" s="248">
        <f t="shared" si="27"/>
        <v>4652.1888321332372</v>
      </c>
      <c r="AJ103" s="248">
        <f t="shared" ca="1" si="18"/>
        <v>-782.18883213323716</v>
      </c>
      <c r="AK103" s="248">
        <f t="shared" ca="1" si="19"/>
        <v>-2588.1888321332372</v>
      </c>
    </row>
    <row r="104" spans="2:37" ht="15.95" customHeight="1" x14ac:dyDescent="0.25">
      <c r="B104" s="136">
        <v>67</v>
      </c>
      <c r="C104" s="144" t="s">
        <v>1153</v>
      </c>
      <c r="D104" s="180" t="s">
        <v>513</v>
      </c>
      <c r="E104" s="139" t="s">
        <v>11</v>
      </c>
      <c r="F104" s="140" t="s">
        <v>29</v>
      </c>
      <c r="G104" s="140" t="s">
        <v>1076</v>
      </c>
      <c r="H104" s="140" t="s">
        <v>1082</v>
      </c>
      <c r="I104" s="140" t="s">
        <v>459</v>
      </c>
      <c r="J104" s="141" t="s">
        <v>1079</v>
      </c>
      <c r="K104" s="142">
        <v>42296</v>
      </c>
      <c r="L104" s="142">
        <v>42366</v>
      </c>
      <c r="M104" s="134">
        <v>42380</v>
      </c>
      <c r="N104" s="140">
        <v>70</v>
      </c>
      <c r="O104" s="143">
        <v>1200</v>
      </c>
      <c r="P104" s="135" t="s">
        <v>1080</v>
      </c>
      <c r="Q104" s="223" t="s">
        <v>14</v>
      </c>
      <c r="R104" s="223" t="s">
        <v>298</v>
      </c>
      <c r="S104" s="223" t="s">
        <v>29</v>
      </c>
      <c r="T104" s="224" t="str">
        <f t="shared" si="28"/>
        <v>UB</v>
      </c>
      <c r="U104" s="223" t="str">
        <f t="shared" si="29"/>
        <v>UB-NW-Prod</v>
      </c>
      <c r="V104" s="223" t="str">
        <f t="array" ref="V104">CONCATENATE(Q104,"-",R104)</f>
        <v>NW-Prod</v>
      </c>
      <c r="W104" s="239">
        <f>IF(ISERROR(VLOOKUP(T104,'15-16_DP_Tables'!$M$2:$V$8,MATCH(V104,INDEX('15-16_DP_Tables'!$M$2:$V$8,1,0),0),0)),0,VLOOKUP(T104,'15-16_DP_Tables'!$M$2:$V$8,MATCH(V104,INDEX('15-16_DP_Tables'!$M$2:$V$8,1,0),0),0))</f>
        <v>53.604164999999995</v>
      </c>
      <c r="X104" s="239">
        <f t="array" ref="X104">IF(ISERROR(VLOOKUP(T104,'15-16_DP_Tables'!$M$12:$V$18,MATCH(V104,INDEX('15-16_DP_Tables'!$M$12:$V$18,1,0),0),0)),0,VLOOKUP(T104,'15-16_DP_Tables'!$M$12:$V$18,MATCH(V104,INDEX('15-16_DP_Tables'!$M$12:$V$18,1,0),0),0))</f>
        <v>48</v>
      </c>
      <c r="Y104" s="223" t="str">
        <f t="shared" si="30"/>
        <v>Slant</v>
      </c>
      <c r="Z104" s="223">
        <v>5</v>
      </c>
      <c r="AA104" s="249" t="e">
        <f>VLOOKUP(T104,'Planning and Target Times'!$A$74:$L$78,MATCH(E104&amp;"-"&amp;Q104&amp;"-"&amp;Y104&amp;"-"&amp;R104,INDEX('Planning and Target Times'!$A$74:$L$78,1,0),0),0)</f>
        <v>#N/A</v>
      </c>
      <c r="AB104" s="249" t="e">
        <f>VLOOKUP(T104,'Planning and Target Times'!$A$97:$L$101,MATCH(E104&amp;"-"&amp;Q104&amp;"-"&amp;Y104&amp;"-"&amp;R104,INDEX('Planning and Target Times'!$A$97:$L$101,1,0),0),0)</f>
        <v>#N/A</v>
      </c>
      <c r="AC104" s="250">
        <f t="shared" si="20"/>
        <v>22.386320167472064</v>
      </c>
      <c r="AD104" s="250">
        <f t="shared" si="21"/>
        <v>25</v>
      </c>
      <c r="AE104" s="248">
        <f t="shared" si="26"/>
        <v>5814.3145061332953</v>
      </c>
      <c r="AF104" s="248">
        <f t="shared" si="31"/>
        <v>5135.6854938667047</v>
      </c>
      <c r="AG104" s="248">
        <f t="shared" ca="1" si="16"/>
        <v>-1944.3145061332953</v>
      </c>
      <c r="AH104" s="248">
        <f t="shared" ca="1" si="17"/>
        <v>-3750.3145061332953</v>
      </c>
      <c r="AI104" s="248">
        <f t="shared" si="27"/>
        <v>4705.1888321332372</v>
      </c>
      <c r="AJ104" s="248">
        <f t="shared" ca="1" si="18"/>
        <v>-835.18883213323716</v>
      </c>
      <c r="AK104" s="248">
        <f t="shared" ca="1" si="19"/>
        <v>-2641.1888321332372</v>
      </c>
    </row>
    <row r="105" spans="2:37" ht="15.95" customHeight="1" x14ac:dyDescent="0.25">
      <c r="B105" s="136">
        <v>74</v>
      </c>
      <c r="C105" s="164" t="s">
        <v>1160</v>
      </c>
      <c r="D105" s="182" t="s">
        <v>512</v>
      </c>
      <c r="E105" s="139" t="s">
        <v>42</v>
      </c>
      <c r="F105" s="140" t="s">
        <v>17</v>
      </c>
      <c r="G105" s="140" t="s">
        <v>1076</v>
      </c>
      <c r="H105" s="140" t="s">
        <v>1082</v>
      </c>
      <c r="I105" s="140" t="s">
        <v>459</v>
      </c>
      <c r="J105" s="141" t="s">
        <v>1079</v>
      </c>
      <c r="K105" s="142">
        <v>42298</v>
      </c>
      <c r="L105" s="142">
        <v>42368</v>
      </c>
      <c r="M105" s="134">
        <v>42382</v>
      </c>
      <c r="N105" s="140">
        <v>70</v>
      </c>
      <c r="O105" s="143">
        <v>1500</v>
      </c>
      <c r="P105" s="135" t="s">
        <v>1080</v>
      </c>
      <c r="Q105" s="223" t="s">
        <v>14</v>
      </c>
      <c r="R105" s="223" t="s">
        <v>298</v>
      </c>
      <c r="S105" s="223" t="s">
        <v>17</v>
      </c>
      <c r="T105" s="224" t="str">
        <f t="shared" si="28"/>
        <v>MA</v>
      </c>
      <c r="U105" s="223" t="str">
        <f t="shared" si="29"/>
        <v>MA-NW-Prod</v>
      </c>
      <c r="V105" s="223" t="str">
        <f t="array" ref="V105">CONCATENATE(Q105,"-",R105)</f>
        <v>NW-Prod</v>
      </c>
      <c r="W105" s="239">
        <f>IF(ISERROR(VLOOKUP(T105,'15-16_DP_Tables'!$M$2:$V$8,MATCH(V105,INDEX('15-16_DP_Tables'!$M$2:$V$8,1,0),0),0)),0,VLOOKUP(T105,'15-16_DP_Tables'!$M$2:$V$8,MATCH(V105,INDEX('15-16_DP_Tables'!$M$2:$V$8,1,0),0),0))</f>
        <v>57.083333333332121</v>
      </c>
      <c r="X105" s="239">
        <f t="array" ref="X105">IF(ISERROR(VLOOKUP(T105,'15-16_DP_Tables'!$M$12:$V$18,MATCH(V105,INDEX('15-16_DP_Tables'!$M$12:$V$18,1,0),0),0)),0,VLOOKUP(T105,'15-16_DP_Tables'!$M$12:$V$18,MATCH(V105,INDEX('15-16_DP_Tables'!$M$12:$V$18,1,0),0),0))</f>
        <v>47.791666666664241</v>
      </c>
      <c r="Y105" s="223" t="str">
        <f t="shared" si="30"/>
        <v>Horizontal</v>
      </c>
      <c r="Z105" s="223">
        <v>5</v>
      </c>
      <c r="AA105" s="249" t="e">
        <f>VLOOKUP(T105,'Planning and Target Times'!$A$74:$L$78,MATCH(E105&amp;"-"&amp;Q105&amp;"-"&amp;Y105&amp;"-"&amp;R105,INDEX('Planning and Target Times'!$A$74:$L$78,1,0),0),0)</f>
        <v>#N/A</v>
      </c>
      <c r="AB105" s="249" t="e">
        <f>VLOOKUP(T105,'Planning and Target Times'!$A$97:$L$101,MATCH(E105&amp;"-"&amp;Q105&amp;"-"&amp;Y105&amp;"-"&amp;R105,INDEX('Planning and Target Times'!$A$97:$L$101,1,0),0),0)</f>
        <v>#N/A</v>
      </c>
      <c r="AC105" s="250">
        <f t="shared" si="20"/>
        <v>26.277372262774282</v>
      </c>
      <c r="AD105" s="250">
        <f t="shared" si="21"/>
        <v>31.386224934613622</v>
      </c>
      <c r="AE105" s="248">
        <f t="shared" si="26"/>
        <v>5876.3978394666274</v>
      </c>
      <c r="AF105" s="248">
        <f t="shared" si="31"/>
        <v>5073.6021605333726</v>
      </c>
      <c r="AG105" s="248">
        <f t="shared" ca="1" si="16"/>
        <v>-2006.3978394666274</v>
      </c>
      <c r="AH105" s="248">
        <f t="shared" ca="1" si="17"/>
        <v>-3812.3978394666274</v>
      </c>
      <c r="AI105" s="248">
        <f t="shared" si="27"/>
        <v>4757.9804987999014</v>
      </c>
      <c r="AJ105" s="248">
        <f t="shared" ca="1" si="18"/>
        <v>-887.9804987999014</v>
      </c>
      <c r="AK105" s="248">
        <f t="shared" ca="1" si="19"/>
        <v>-2693.9804987999014</v>
      </c>
    </row>
    <row r="106" spans="2:37" ht="15.95" customHeight="1" x14ac:dyDescent="0.25">
      <c r="B106" s="136">
        <v>14</v>
      </c>
      <c r="C106" s="152" t="s">
        <v>1095</v>
      </c>
      <c r="D106" s="147" t="s">
        <v>430</v>
      </c>
      <c r="E106" s="150" t="s">
        <v>11</v>
      </c>
      <c r="F106" s="140" t="s">
        <v>17</v>
      </c>
      <c r="G106" s="140" t="s">
        <v>1076</v>
      </c>
      <c r="H106" s="140" t="s">
        <v>1082</v>
      </c>
      <c r="I106" s="140" t="s">
        <v>459</v>
      </c>
      <c r="J106" s="141" t="s">
        <v>1079</v>
      </c>
      <c r="K106" s="142">
        <v>42302</v>
      </c>
      <c r="L106" s="142">
        <v>42372</v>
      </c>
      <c r="M106" s="134">
        <v>42386</v>
      </c>
      <c r="N106" s="140">
        <v>70</v>
      </c>
      <c r="O106" s="143">
        <v>1400</v>
      </c>
      <c r="P106" s="143" t="s">
        <v>1096</v>
      </c>
      <c r="Q106" s="223" t="s">
        <v>14</v>
      </c>
      <c r="R106" s="223" t="s">
        <v>298</v>
      </c>
      <c r="S106" s="223" t="s">
        <v>17</v>
      </c>
      <c r="T106" s="224" t="str">
        <f t="shared" si="28"/>
        <v>MA</v>
      </c>
      <c r="U106" s="223" t="str">
        <f t="shared" si="29"/>
        <v>MA-NW-Prod</v>
      </c>
      <c r="V106" s="223" t="str">
        <f t="array" ref="V106">CONCATENATE(Q106,"-",R106)</f>
        <v>NW-Prod</v>
      </c>
      <c r="W106" s="239">
        <f>IF(ISERROR(VLOOKUP(T106,'15-16_DP_Tables'!$M$2:$V$8,MATCH(V106,INDEX('15-16_DP_Tables'!$M$2:$V$8,1,0),0),0)),0,VLOOKUP(T106,'15-16_DP_Tables'!$M$2:$V$8,MATCH(V106,INDEX('15-16_DP_Tables'!$M$2:$V$8,1,0),0),0))</f>
        <v>57.083333333332121</v>
      </c>
      <c r="X106" s="239">
        <f t="array" ref="X106">IF(ISERROR(VLOOKUP(T106,'15-16_DP_Tables'!$M$12:$V$18,MATCH(V106,INDEX('15-16_DP_Tables'!$M$12:$V$18,1,0),0),0)),0,VLOOKUP(T106,'15-16_DP_Tables'!$M$12:$V$18,MATCH(V106,INDEX('15-16_DP_Tables'!$M$12:$V$18,1,0),0),0))</f>
        <v>47.791666666664241</v>
      </c>
      <c r="Y106" s="223" t="str">
        <f t="shared" si="30"/>
        <v>Horizontal</v>
      </c>
      <c r="Z106" s="223">
        <v>5</v>
      </c>
      <c r="AA106" s="249" t="e">
        <f>VLOOKUP(T106,'Planning and Target Times'!$A$74:$L$78,MATCH(E106&amp;"-"&amp;Q106&amp;"-"&amp;Y106&amp;"-"&amp;R106,INDEX('Planning and Target Times'!$A$74:$L$78,1,0),0),0)</f>
        <v>#N/A</v>
      </c>
      <c r="AB106" s="249" t="e">
        <f>VLOOKUP(T106,'Planning and Target Times'!$A$97:$L$101,MATCH(E106&amp;"-"&amp;Q106&amp;"-"&amp;Y106&amp;"-"&amp;R106,INDEX('Planning and Target Times'!$A$97:$L$101,1,0),0),0)</f>
        <v>#N/A</v>
      </c>
      <c r="AC106" s="250">
        <f t="shared" si="20"/>
        <v>24.525547445255995</v>
      </c>
      <c r="AD106" s="250">
        <f t="shared" si="21"/>
        <v>29.293809938972714</v>
      </c>
      <c r="AE106" s="248">
        <f t="shared" si="26"/>
        <v>5938.4811727999595</v>
      </c>
      <c r="AF106" s="248">
        <f t="shared" si="31"/>
        <v>5011.5188272000405</v>
      </c>
      <c r="AG106" s="248">
        <f t="shared" ca="1" si="16"/>
        <v>-2068.4811727999595</v>
      </c>
      <c r="AH106" s="248">
        <f t="shared" ca="1" si="17"/>
        <v>-3874.4811727999595</v>
      </c>
      <c r="AI106" s="248">
        <f t="shared" si="27"/>
        <v>4810.7721654665656</v>
      </c>
      <c r="AJ106" s="248">
        <f t="shared" ca="1" si="18"/>
        <v>-940.77216546656564</v>
      </c>
      <c r="AK106" s="248">
        <f t="shared" ca="1" si="19"/>
        <v>-2746.7721654665656</v>
      </c>
    </row>
    <row r="107" spans="2:37" ht="15.95" customHeight="1" x14ac:dyDescent="0.25">
      <c r="B107" s="136">
        <v>163</v>
      </c>
      <c r="C107" s="144" t="s">
        <v>1260</v>
      </c>
      <c r="D107" s="197" t="s">
        <v>1259</v>
      </c>
      <c r="E107" s="150" t="s">
        <v>42</v>
      </c>
      <c r="F107" s="140" t="s">
        <v>17</v>
      </c>
      <c r="G107" s="140" t="s">
        <v>1086</v>
      </c>
      <c r="H107" s="140" t="s">
        <v>1082</v>
      </c>
      <c r="I107" s="140" t="s">
        <v>459</v>
      </c>
      <c r="J107" s="141" t="s">
        <v>1079</v>
      </c>
      <c r="K107" s="142">
        <v>42311</v>
      </c>
      <c r="L107" s="142">
        <v>42374</v>
      </c>
      <c r="M107" s="134">
        <v>42388</v>
      </c>
      <c r="N107" s="140">
        <v>63</v>
      </c>
      <c r="O107" s="143"/>
      <c r="P107" s="135" t="s">
        <v>1096</v>
      </c>
      <c r="Q107" s="223" t="s">
        <v>14</v>
      </c>
      <c r="R107" s="223" t="s">
        <v>34</v>
      </c>
      <c r="S107" s="223" t="s">
        <v>17</v>
      </c>
      <c r="T107" s="224" t="str">
        <f t="shared" si="28"/>
        <v>MA</v>
      </c>
      <c r="U107" s="223" t="str">
        <f t="shared" si="29"/>
        <v>MA-NW-Inj</v>
      </c>
      <c r="V107" s="223" t="str">
        <f t="array" ref="V107">CONCATENATE(Q107,"-",R107)</f>
        <v>NW-Inj</v>
      </c>
      <c r="W107" s="239">
        <f>IF(ISERROR(VLOOKUP(T107,'15-16_DP_Tables'!$M$2:$V$8,MATCH(V107,INDEX('15-16_DP_Tables'!$M$2:$V$8,1,0),0),0)),0,VLOOKUP(T107,'15-16_DP_Tables'!$M$2:$V$8,MATCH(V107,INDEX('15-16_DP_Tables'!$M$2:$V$8,1,0),0),0))</f>
        <v>0</v>
      </c>
      <c r="X107" s="239">
        <f t="array" ref="X107">IF(ISERROR(VLOOKUP(T107,'15-16_DP_Tables'!$M$12:$V$18,MATCH(V107,INDEX('15-16_DP_Tables'!$M$12:$V$18,1,0),0),0)),0,VLOOKUP(T107,'15-16_DP_Tables'!$M$12:$V$18,MATCH(V107,INDEX('15-16_DP_Tables'!$M$12:$V$18,1,0),0),0))</f>
        <v>0</v>
      </c>
      <c r="Y107" s="223" t="str">
        <f t="shared" si="30"/>
        <v>Horizontal</v>
      </c>
      <c r="Z107" s="223">
        <v>5</v>
      </c>
      <c r="AA107" s="249" t="e">
        <f>VLOOKUP(T107,'Planning and Target Times'!$A$74:$L$78,MATCH(E107&amp;"-"&amp;Q107&amp;"-"&amp;Y107&amp;"-"&amp;R107,INDEX('Planning and Target Times'!$A$74:$L$78,1,0),0),0)</f>
        <v>#N/A</v>
      </c>
      <c r="AB107" s="249" t="e">
        <f>VLOOKUP(T107,'Planning and Target Times'!$A$97:$L$101,MATCH(E107&amp;"-"&amp;Q107&amp;"-"&amp;Y107&amp;"-"&amp;R107,INDEX('Planning and Target Times'!$A$97:$L$101,1,0),0),0)</f>
        <v>#N/A</v>
      </c>
      <c r="AC107" s="250">
        <f t="shared" si="20"/>
        <v>0</v>
      </c>
      <c r="AD107" s="250">
        <f t="shared" si="21"/>
        <v>0</v>
      </c>
      <c r="AE107" s="248">
        <f t="shared" si="26"/>
        <v>5943.4811727999595</v>
      </c>
      <c r="AF107" s="248">
        <f t="shared" si="31"/>
        <v>5006.5188272000405</v>
      </c>
      <c r="AG107" s="248">
        <f t="shared" ca="1" si="16"/>
        <v>-2073.4811727999595</v>
      </c>
      <c r="AH107" s="248">
        <f t="shared" ca="1" si="17"/>
        <v>-3879.4811727999595</v>
      </c>
      <c r="AI107" s="248">
        <f t="shared" si="27"/>
        <v>4815.7721654665656</v>
      </c>
      <c r="AJ107" s="248">
        <f t="shared" ca="1" si="18"/>
        <v>-945.77216546656564</v>
      </c>
      <c r="AK107" s="248">
        <f t="shared" ca="1" si="19"/>
        <v>-2751.7721654665656</v>
      </c>
    </row>
    <row r="108" spans="2:37" ht="15.95" customHeight="1" x14ac:dyDescent="0.25">
      <c r="B108" s="136">
        <v>138</v>
      </c>
      <c r="C108" s="151" t="s">
        <v>1228</v>
      </c>
      <c r="D108" s="156" t="s">
        <v>1226</v>
      </c>
      <c r="E108" s="150" t="s">
        <v>42</v>
      </c>
      <c r="F108" s="140" t="s">
        <v>17</v>
      </c>
      <c r="G108" s="140" t="s">
        <v>1086</v>
      </c>
      <c r="H108" s="140" t="s">
        <v>1082</v>
      </c>
      <c r="I108" s="140" t="s">
        <v>459</v>
      </c>
      <c r="J108" s="141" t="s">
        <v>1079</v>
      </c>
      <c r="K108" s="142">
        <v>42312</v>
      </c>
      <c r="L108" s="142">
        <v>42375</v>
      </c>
      <c r="M108" s="134">
        <v>42389</v>
      </c>
      <c r="N108" s="140">
        <v>63</v>
      </c>
      <c r="O108" s="143"/>
      <c r="P108" s="135" t="s">
        <v>1080</v>
      </c>
      <c r="Q108" s="223" t="s">
        <v>14</v>
      </c>
      <c r="R108" s="223" t="s">
        <v>34</v>
      </c>
      <c r="S108" s="223" t="s">
        <v>17</v>
      </c>
      <c r="T108" s="224" t="str">
        <f t="shared" si="28"/>
        <v>MA</v>
      </c>
      <c r="U108" s="223" t="str">
        <f t="shared" si="29"/>
        <v>MA-NW-Inj</v>
      </c>
      <c r="V108" s="223" t="str">
        <f t="array" ref="V108">CONCATENATE(Q108,"-",R108)</f>
        <v>NW-Inj</v>
      </c>
      <c r="W108" s="239">
        <f>IF(ISERROR(VLOOKUP(T108,'15-16_DP_Tables'!$M$2:$V$8,MATCH(V108,INDEX('15-16_DP_Tables'!$M$2:$V$8,1,0),0),0)),0,VLOOKUP(T108,'15-16_DP_Tables'!$M$2:$V$8,MATCH(V108,INDEX('15-16_DP_Tables'!$M$2:$V$8,1,0),0),0))</f>
        <v>0</v>
      </c>
      <c r="X108" s="239">
        <f t="array" ref="X108">IF(ISERROR(VLOOKUP(T108,'15-16_DP_Tables'!$M$12:$V$18,MATCH(V108,INDEX('15-16_DP_Tables'!$M$12:$V$18,1,0),0),0)),0,VLOOKUP(T108,'15-16_DP_Tables'!$M$12:$V$18,MATCH(V108,INDEX('15-16_DP_Tables'!$M$12:$V$18,1,0),0),0))</f>
        <v>0</v>
      </c>
      <c r="Y108" s="223" t="str">
        <f t="shared" si="30"/>
        <v>Horizontal</v>
      </c>
      <c r="Z108" s="223">
        <v>5</v>
      </c>
      <c r="AA108" s="249" t="e">
        <f>VLOOKUP(T108,'Planning and Target Times'!$A$74:$L$78,MATCH(E108&amp;"-"&amp;Q108&amp;"-"&amp;Y108&amp;"-"&amp;R108,INDEX('Planning and Target Times'!$A$74:$L$78,1,0),0),0)</f>
        <v>#N/A</v>
      </c>
      <c r="AB108" s="249" t="e">
        <f>VLOOKUP(T108,'Planning and Target Times'!$A$97:$L$101,MATCH(E108&amp;"-"&amp;Q108&amp;"-"&amp;Y108&amp;"-"&amp;R108,INDEX('Planning and Target Times'!$A$97:$L$101,1,0),0),0)</f>
        <v>#N/A</v>
      </c>
      <c r="AC108" s="250">
        <f t="shared" si="20"/>
        <v>0</v>
      </c>
      <c r="AD108" s="250">
        <f t="shared" si="21"/>
        <v>0</v>
      </c>
      <c r="AE108" s="248">
        <f t="shared" si="26"/>
        <v>5948.4811727999595</v>
      </c>
      <c r="AF108" s="248">
        <f t="shared" si="31"/>
        <v>5001.5188272000405</v>
      </c>
      <c r="AG108" s="248">
        <f t="shared" ca="1" si="16"/>
        <v>-2078.4811727999595</v>
      </c>
      <c r="AH108" s="248">
        <f t="shared" ca="1" si="17"/>
        <v>-3884.4811727999595</v>
      </c>
      <c r="AI108" s="248">
        <f t="shared" si="27"/>
        <v>4820.7721654665656</v>
      </c>
      <c r="AJ108" s="248">
        <f t="shared" ca="1" si="18"/>
        <v>-950.77216546656564</v>
      </c>
      <c r="AK108" s="248">
        <f t="shared" ca="1" si="19"/>
        <v>-2756.7721654665656</v>
      </c>
    </row>
    <row r="109" spans="2:37" ht="15.95" customHeight="1" x14ac:dyDescent="0.25">
      <c r="B109" s="136">
        <v>93</v>
      </c>
      <c r="C109" s="144" t="s">
        <v>1180</v>
      </c>
      <c r="D109" s="186" t="s">
        <v>35</v>
      </c>
      <c r="E109" s="150" t="s">
        <v>42</v>
      </c>
      <c r="F109" s="140" t="s">
        <v>44</v>
      </c>
      <c r="G109" s="140" t="s">
        <v>1076</v>
      </c>
      <c r="H109" s="140" t="s">
        <v>1082</v>
      </c>
      <c r="I109" s="140" t="s">
        <v>459</v>
      </c>
      <c r="J109" s="141" t="s">
        <v>1079</v>
      </c>
      <c r="K109" s="142">
        <v>42313</v>
      </c>
      <c r="L109" s="142">
        <v>42411</v>
      </c>
      <c r="M109" s="134">
        <v>42425</v>
      </c>
      <c r="N109" s="140">
        <v>98</v>
      </c>
      <c r="O109" s="140">
        <v>2200</v>
      </c>
      <c r="P109" s="135" t="s">
        <v>1080</v>
      </c>
      <c r="Q109" s="223" t="s">
        <v>14</v>
      </c>
      <c r="R109" s="223" t="s">
        <v>298</v>
      </c>
      <c r="S109" s="223" t="s">
        <v>44</v>
      </c>
      <c r="T109" s="224" t="str">
        <f t="shared" si="28"/>
        <v>ZU/RT</v>
      </c>
      <c r="U109" s="223" t="str">
        <f t="shared" si="29"/>
        <v>ZU-NW-Prod</v>
      </c>
      <c r="V109" s="223" t="str">
        <f t="array" ref="V109">CONCATENATE(Q109,"-",R109)</f>
        <v>NW-Prod</v>
      </c>
      <c r="W109" s="239">
        <f>IF(ISERROR(VLOOKUP(T109,'15-16_DP_Tables'!$M$2:$V$8,MATCH(V109,INDEX('15-16_DP_Tables'!$M$2:$V$8,1,0),0),0)),0,VLOOKUP(T109,'15-16_DP_Tables'!$M$2:$V$8,MATCH(V109,INDEX('15-16_DP_Tables'!$M$2:$V$8,1,0),0),0))</f>
        <v>99.088549999999998</v>
      </c>
      <c r="X109" s="239">
        <f t="array" ref="X109">IF(ISERROR(VLOOKUP(T109,'15-16_DP_Tables'!$M$12:$V$18,MATCH(V109,INDEX('15-16_DP_Tables'!$M$12:$V$18,1,0),0),0)),0,VLOOKUP(T109,'15-16_DP_Tables'!$M$12:$V$18,MATCH(V109,INDEX('15-16_DP_Tables'!$M$12:$V$18,1,0),0),0))</f>
        <v>53.375</v>
      </c>
      <c r="Y109" s="223" t="str">
        <f t="shared" si="30"/>
        <v>Unknown</v>
      </c>
      <c r="Z109" s="223">
        <v>5</v>
      </c>
      <c r="AA109" s="249" t="e">
        <f>VLOOKUP(T109,'Planning and Target Times'!$A$74:$L$78,MATCH(E109&amp;"-"&amp;Q109&amp;"-"&amp;Y109&amp;"-"&amp;R109,INDEX('Planning and Target Times'!$A$74:$L$78,1,0),0),0)</f>
        <v>#N/A</v>
      </c>
      <c r="AB109" s="249" t="e">
        <f>VLOOKUP(T109,'Planning and Target Times'!$A$97:$L$101,MATCH(E109&amp;"-"&amp;Q109&amp;"-"&amp;Y109&amp;"-"&amp;R109,INDEX('Planning and Target Times'!$A$97:$L$101,1,0),0),0)</f>
        <v>#N/A</v>
      </c>
      <c r="AC109" s="250">
        <f t="shared" si="20"/>
        <v>22.202363441588357</v>
      </c>
      <c r="AD109" s="250">
        <f t="shared" si="21"/>
        <v>41.217798594847778</v>
      </c>
      <c r="AE109" s="248">
        <f t="shared" si="26"/>
        <v>6052.5697227999599</v>
      </c>
      <c r="AF109" s="248">
        <f t="shared" si="31"/>
        <v>4897.4302772000401</v>
      </c>
      <c r="AG109" s="248">
        <f t="shared" ca="1" si="16"/>
        <v>-2182.5697227999599</v>
      </c>
      <c r="AH109" s="248">
        <f t="shared" ca="1" si="17"/>
        <v>-3988.5697227999599</v>
      </c>
      <c r="AI109" s="248">
        <f t="shared" si="27"/>
        <v>4879.1471654665656</v>
      </c>
      <c r="AJ109" s="248">
        <f t="shared" ca="1" si="18"/>
        <v>-1009.1471654665656</v>
      </c>
      <c r="AK109" s="248">
        <f t="shared" ca="1" si="19"/>
        <v>-2815.1471654665656</v>
      </c>
    </row>
    <row r="110" spans="2:37" ht="15.95" customHeight="1" x14ac:dyDescent="0.25">
      <c r="B110" s="136">
        <v>88</v>
      </c>
      <c r="C110" s="144" t="s">
        <v>1175</v>
      </c>
      <c r="D110" s="165" t="s">
        <v>1171</v>
      </c>
      <c r="E110" s="150" t="s">
        <v>11</v>
      </c>
      <c r="F110" s="140" t="s">
        <v>17</v>
      </c>
      <c r="G110" s="140" t="s">
        <v>1076</v>
      </c>
      <c r="H110" s="140" t="s">
        <v>1082</v>
      </c>
      <c r="I110" s="140" t="s">
        <v>459</v>
      </c>
      <c r="J110" s="141" t="s">
        <v>1079</v>
      </c>
      <c r="K110" s="142">
        <v>42316</v>
      </c>
      <c r="L110" s="142">
        <v>42386</v>
      </c>
      <c r="M110" s="134">
        <v>42400</v>
      </c>
      <c r="N110" s="140">
        <v>70</v>
      </c>
      <c r="O110" s="143">
        <v>1400</v>
      </c>
      <c r="P110" s="143" t="s">
        <v>1096</v>
      </c>
      <c r="Q110" s="223" t="s">
        <v>14</v>
      </c>
      <c r="R110" s="223" t="s">
        <v>298</v>
      </c>
      <c r="S110" s="223" t="s">
        <v>17</v>
      </c>
      <c r="T110" s="224" t="str">
        <f t="shared" si="28"/>
        <v>MA</v>
      </c>
      <c r="U110" s="223" t="str">
        <f t="shared" si="29"/>
        <v>MA-NW-Prod</v>
      </c>
      <c r="V110" s="223" t="str">
        <f t="array" ref="V110">CONCATENATE(Q110,"-",R110)</f>
        <v>NW-Prod</v>
      </c>
      <c r="W110" s="239">
        <f>IF(ISERROR(VLOOKUP(T110,'15-16_DP_Tables'!$M$2:$V$8,MATCH(V110,INDEX('15-16_DP_Tables'!$M$2:$V$8,1,0),0),0)),0,VLOOKUP(T110,'15-16_DP_Tables'!$M$2:$V$8,MATCH(V110,INDEX('15-16_DP_Tables'!$M$2:$V$8,1,0),0),0))</f>
        <v>57.083333333332121</v>
      </c>
      <c r="X110" s="239">
        <f t="array" ref="X110">IF(ISERROR(VLOOKUP(T110,'15-16_DP_Tables'!$M$12:$V$18,MATCH(V110,INDEX('15-16_DP_Tables'!$M$12:$V$18,1,0),0),0)),0,VLOOKUP(T110,'15-16_DP_Tables'!$M$12:$V$18,MATCH(V110,INDEX('15-16_DP_Tables'!$M$12:$V$18,1,0),0),0))</f>
        <v>47.791666666664241</v>
      </c>
      <c r="Y110" s="223" t="str">
        <f t="shared" si="30"/>
        <v>Unknown</v>
      </c>
      <c r="Z110" s="223">
        <v>5</v>
      </c>
      <c r="AA110" s="249" t="e">
        <f>VLOOKUP(T110,'Planning and Target Times'!$A$74:$L$78,MATCH(E110&amp;"-"&amp;Q110&amp;"-"&amp;Y110&amp;"-"&amp;R110,INDEX('Planning and Target Times'!$A$74:$L$78,1,0),0),0)</f>
        <v>#N/A</v>
      </c>
      <c r="AB110" s="249" t="e">
        <f>VLOOKUP(T110,'Planning and Target Times'!$A$97:$L$101,MATCH(E110&amp;"-"&amp;Q110&amp;"-"&amp;Y110&amp;"-"&amp;R110,INDEX('Planning and Target Times'!$A$97:$L$101,1,0),0),0)</f>
        <v>#N/A</v>
      </c>
      <c r="AC110" s="250">
        <f t="shared" si="20"/>
        <v>24.525547445255995</v>
      </c>
      <c r="AD110" s="250">
        <f t="shared" si="21"/>
        <v>29.293809938972714</v>
      </c>
      <c r="AE110" s="248">
        <f t="shared" si="26"/>
        <v>6114.653056133292</v>
      </c>
      <c r="AF110" s="248">
        <f t="shared" si="31"/>
        <v>4835.346943866708</v>
      </c>
      <c r="AG110" s="248">
        <f t="shared" ca="1" si="16"/>
        <v>-2244.653056133292</v>
      </c>
      <c r="AH110" s="248">
        <f t="shared" ca="1" si="17"/>
        <v>-4050.653056133292</v>
      </c>
      <c r="AI110" s="248">
        <f t="shared" si="27"/>
        <v>4931.9388321332299</v>
      </c>
      <c r="AJ110" s="248">
        <f t="shared" ca="1" si="18"/>
        <v>-1061.9388321332299</v>
      </c>
      <c r="AK110" s="248">
        <f t="shared" ca="1" si="19"/>
        <v>-2867.9388321332299</v>
      </c>
    </row>
    <row r="111" spans="2:37" ht="15.95" customHeight="1" x14ac:dyDescent="0.25">
      <c r="B111" s="136">
        <v>152</v>
      </c>
      <c r="C111" s="144" t="s">
        <v>1245</v>
      </c>
      <c r="D111" s="153" t="s">
        <v>1244</v>
      </c>
      <c r="E111" s="150" t="s">
        <v>11</v>
      </c>
      <c r="F111" s="140" t="s">
        <v>17</v>
      </c>
      <c r="G111" s="140" t="s">
        <v>1076</v>
      </c>
      <c r="H111" s="140" t="s">
        <v>1082</v>
      </c>
      <c r="I111" s="140" t="s">
        <v>459</v>
      </c>
      <c r="J111" s="141" t="s">
        <v>1079</v>
      </c>
      <c r="K111" s="142">
        <v>42318</v>
      </c>
      <c r="L111" s="142">
        <v>42388</v>
      </c>
      <c r="M111" s="134">
        <v>42402</v>
      </c>
      <c r="N111" s="140">
        <v>70</v>
      </c>
      <c r="O111" s="143">
        <v>1400</v>
      </c>
      <c r="P111" s="135" t="s">
        <v>1096</v>
      </c>
      <c r="Q111" s="223" t="s">
        <v>14</v>
      </c>
      <c r="R111" s="223" t="s">
        <v>298</v>
      </c>
      <c r="S111" s="223" t="s">
        <v>17</v>
      </c>
      <c r="T111" s="224" t="str">
        <f t="shared" si="28"/>
        <v>MA</v>
      </c>
      <c r="U111" s="223" t="str">
        <f t="shared" si="29"/>
        <v>MA-NW-Prod</v>
      </c>
      <c r="V111" s="223" t="str">
        <f t="array" ref="V111">CONCATENATE(Q111,"-",R111)</f>
        <v>NW-Prod</v>
      </c>
      <c r="W111" s="239">
        <f>IF(ISERROR(VLOOKUP(T111,'15-16_DP_Tables'!$M$2:$V$8,MATCH(V111,INDEX('15-16_DP_Tables'!$M$2:$V$8,1,0),0),0)),0,VLOOKUP(T111,'15-16_DP_Tables'!$M$2:$V$8,MATCH(V111,INDEX('15-16_DP_Tables'!$M$2:$V$8,1,0),0),0))</f>
        <v>57.083333333332121</v>
      </c>
      <c r="X111" s="239">
        <f t="array" ref="X111">IF(ISERROR(VLOOKUP(T111,'15-16_DP_Tables'!$M$12:$V$18,MATCH(V111,INDEX('15-16_DP_Tables'!$M$12:$V$18,1,0),0),0)),0,VLOOKUP(T111,'15-16_DP_Tables'!$M$12:$V$18,MATCH(V111,INDEX('15-16_DP_Tables'!$M$12:$V$18,1,0),0),0))</f>
        <v>47.791666666664241</v>
      </c>
      <c r="Y111" s="223" t="str">
        <f t="shared" si="30"/>
        <v>Horizontal</v>
      </c>
      <c r="Z111" s="223">
        <v>5</v>
      </c>
      <c r="AA111" s="249" t="e">
        <f>VLOOKUP(T111,'Planning and Target Times'!$A$74:$L$78,MATCH(E111&amp;"-"&amp;Q111&amp;"-"&amp;Y111&amp;"-"&amp;R111,INDEX('Planning and Target Times'!$A$74:$L$78,1,0),0),0)</f>
        <v>#N/A</v>
      </c>
      <c r="AB111" s="249" t="e">
        <f>VLOOKUP(T111,'Planning and Target Times'!$A$97:$L$101,MATCH(E111&amp;"-"&amp;Q111&amp;"-"&amp;Y111&amp;"-"&amp;R111,INDEX('Planning and Target Times'!$A$97:$L$101,1,0),0),0)</f>
        <v>#N/A</v>
      </c>
      <c r="AC111" s="250">
        <f t="shared" si="20"/>
        <v>24.525547445255995</v>
      </c>
      <c r="AD111" s="250">
        <f t="shared" si="21"/>
        <v>29.293809938972714</v>
      </c>
      <c r="AE111" s="248">
        <f t="shared" si="26"/>
        <v>6176.7363894666241</v>
      </c>
      <c r="AF111" s="248">
        <f t="shared" si="31"/>
        <v>4773.2636105333759</v>
      </c>
      <c r="AG111" s="248">
        <f t="shared" ca="1" si="16"/>
        <v>-2306.7363894666241</v>
      </c>
      <c r="AH111" s="248">
        <f t="shared" ca="1" si="17"/>
        <v>-4112.7363894666241</v>
      </c>
      <c r="AI111" s="248">
        <f t="shared" si="27"/>
        <v>4984.7304987998941</v>
      </c>
      <c r="AJ111" s="248">
        <f t="shared" ca="1" si="18"/>
        <v>-1114.7304987998941</v>
      </c>
      <c r="AK111" s="248">
        <f t="shared" ca="1" si="19"/>
        <v>-2920.7304987998941</v>
      </c>
    </row>
    <row r="112" spans="2:37" ht="15.95" customHeight="1" x14ac:dyDescent="0.25">
      <c r="B112" s="136">
        <v>155</v>
      </c>
      <c r="C112" s="144" t="s">
        <v>1249</v>
      </c>
      <c r="D112" s="195" t="s">
        <v>1248</v>
      </c>
      <c r="E112" s="150" t="s">
        <v>42</v>
      </c>
      <c r="F112" s="140" t="s">
        <v>44</v>
      </c>
      <c r="G112" s="140" t="s">
        <v>1076</v>
      </c>
      <c r="H112" s="140" t="s">
        <v>1082</v>
      </c>
      <c r="I112" s="140" t="s">
        <v>459</v>
      </c>
      <c r="J112" s="141" t="s">
        <v>1079</v>
      </c>
      <c r="K112" s="142">
        <v>42318</v>
      </c>
      <c r="L112" s="142">
        <v>42416</v>
      </c>
      <c r="M112" s="134">
        <v>42430</v>
      </c>
      <c r="N112" s="140">
        <v>98</v>
      </c>
      <c r="O112" s="143">
        <v>2200</v>
      </c>
      <c r="P112" s="143" t="s">
        <v>1096</v>
      </c>
      <c r="Q112" s="223" t="s">
        <v>14</v>
      </c>
      <c r="R112" s="223" t="s">
        <v>298</v>
      </c>
      <c r="S112" s="223" t="s">
        <v>44</v>
      </c>
      <c r="T112" s="224" t="str">
        <f t="shared" si="28"/>
        <v>ZU/RT</v>
      </c>
      <c r="U112" s="223" t="str">
        <f t="shared" si="29"/>
        <v>ZU-NW-Prod</v>
      </c>
      <c r="V112" s="223" t="str">
        <f t="array" ref="V112">CONCATENATE(Q112,"-",R112)</f>
        <v>NW-Prod</v>
      </c>
      <c r="W112" s="239">
        <f>IF(ISERROR(VLOOKUP(T112,'15-16_DP_Tables'!$M$2:$V$8,MATCH(V112,INDEX('15-16_DP_Tables'!$M$2:$V$8,1,0),0),0)),0,VLOOKUP(T112,'15-16_DP_Tables'!$M$2:$V$8,MATCH(V112,INDEX('15-16_DP_Tables'!$M$2:$V$8,1,0),0),0))</f>
        <v>99.088549999999998</v>
      </c>
      <c r="X112" s="239">
        <f t="array" ref="X112">IF(ISERROR(VLOOKUP(T112,'15-16_DP_Tables'!$M$12:$V$18,MATCH(V112,INDEX('15-16_DP_Tables'!$M$12:$V$18,1,0),0),0)),0,VLOOKUP(T112,'15-16_DP_Tables'!$M$12:$V$18,MATCH(V112,INDEX('15-16_DP_Tables'!$M$12:$V$18,1,0),0),0))</f>
        <v>53.375</v>
      </c>
      <c r="Y112" s="223" t="str">
        <f t="shared" si="30"/>
        <v>Unknown</v>
      </c>
      <c r="Z112" s="223">
        <v>5</v>
      </c>
      <c r="AA112" s="249" t="e">
        <f>VLOOKUP(T112,'Planning and Target Times'!$A$74:$L$78,MATCH(E112&amp;"-"&amp;Q112&amp;"-"&amp;Y112&amp;"-"&amp;R112,INDEX('Planning and Target Times'!$A$74:$L$78,1,0),0),0)</f>
        <v>#N/A</v>
      </c>
      <c r="AB112" s="249" t="e">
        <f>VLOOKUP(T112,'Planning and Target Times'!$A$97:$L$101,MATCH(E112&amp;"-"&amp;Q112&amp;"-"&amp;Y112&amp;"-"&amp;R112,INDEX('Planning and Target Times'!$A$97:$L$101,1,0),0),0)</f>
        <v>#N/A</v>
      </c>
      <c r="AC112" s="250">
        <f t="shared" si="20"/>
        <v>22.202363441588357</v>
      </c>
      <c r="AD112" s="250">
        <f t="shared" si="21"/>
        <v>41.217798594847778</v>
      </c>
      <c r="AE112" s="248">
        <f t="shared" si="26"/>
        <v>6280.8249394666245</v>
      </c>
      <c r="AF112" s="248">
        <f t="shared" si="31"/>
        <v>4669.1750605333755</v>
      </c>
      <c r="AG112" s="248">
        <f t="shared" ca="1" si="16"/>
        <v>-2410.8249394666245</v>
      </c>
      <c r="AH112" s="248">
        <f t="shared" ca="1" si="17"/>
        <v>-4216.8249394666245</v>
      </c>
      <c r="AI112" s="248">
        <f t="shared" si="27"/>
        <v>5043.1054987998941</v>
      </c>
      <c r="AJ112" s="248">
        <f t="shared" ca="1" si="18"/>
        <v>-1173.1054987998941</v>
      </c>
      <c r="AK112" s="248">
        <f t="shared" ca="1" si="19"/>
        <v>-2979.1054987998941</v>
      </c>
    </row>
    <row r="113" spans="2:37" ht="15.95" customHeight="1" x14ac:dyDescent="0.25">
      <c r="B113" s="136">
        <v>157</v>
      </c>
      <c r="C113" s="144" t="s">
        <v>1252</v>
      </c>
      <c r="D113" s="196" t="s">
        <v>1251</v>
      </c>
      <c r="E113" s="150" t="s">
        <v>11</v>
      </c>
      <c r="F113" s="140" t="s">
        <v>17</v>
      </c>
      <c r="G113" s="140" t="s">
        <v>1086</v>
      </c>
      <c r="H113" s="140" t="s">
        <v>1082</v>
      </c>
      <c r="I113" s="140" t="s">
        <v>459</v>
      </c>
      <c r="J113" s="141" t="s">
        <v>1079</v>
      </c>
      <c r="K113" s="142">
        <v>42318</v>
      </c>
      <c r="L113" s="142">
        <v>42381</v>
      </c>
      <c r="M113" s="134">
        <v>42395</v>
      </c>
      <c r="N113" s="140">
        <v>63</v>
      </c>
      <c r="O113" s="143"/>
      <c r="P113" s="143" t="s">
        <v>1096</v>
      </c>
      <c r="Q113" s="223" t="s">
        <v>14</v>
      </c>
      <c r="R113" s="223" t="s">
        <v>34</v>
      </c>
      <c r="S113" s="223" t="s">
        <v>17</v>
      </c>
      <c r="T113" s="224" t="str">
        <f t="shared" si="28"/>
        <v>MA</v>
      </c>
      <c r="U113" s="223" t="str">
        <f t="shared" si="29"/>
        <v>MA-NW-Inj</v>
      </c>
      <c r="V113" s="223" t="str">
        <f t="array" ref="V113">CONCATENATE(Q113,"-",R113)</f>
        <v>NW-Inj</v>
      </c>
      <c r="W113" s="239">
        <f>IF(ISERROR(VLOOKUP(T113,'15-16_DP_Tables'!$M$2:$V$8,MATCH(V113,INDEX('15-16_DP_Tables'!$M$2:$V$8,1,0),0),0)),0,VLOOKUP(T113,'15-16_DP_Tables'!$M$2:$V$8,MATCH(V113,INDEX('15-16_DP_Tables'!$M$2:$V$8,1,0),0),0))</f>
        <v>0</v>
      </c>
      <c r="X113" s="239">
        <f t="array" ref="X113">IF(ISERROR(VLOOKUP(T113,'15-16_DP_Tables'!$M$12:$V$18,MATCH(V113,INDEX('15-16_DP_Tables'!$M$12:$V$18,1,0),0),0)),0,VLOOKUP(T113,'15-16_DP_Tables'!$M$12:$V$18,MATCH(V113,INDEX('15-16_DP_Tables'!$M$12:$V$18,1,0),0),0))</f>
        <v>0</v>
      </c>
      <c r="Y113" s="223" t="str">
        <f t="shared" si="30"/>
        <v>Horizontal</v>
      </c>
      <c r="Z113" s="223">
        <v>5</v>
      </c>
      <c r="AA113" s="249" t="e">
        <f>VLOOKUP(T113,'Planning and Target Times'!$A$74:$L$78,MATCH(E113&amp;"-"&amp;Q113&amp;"-"&amp;Y113&amp;"-"&amp;R113,INDEX('Planning and Target Times'!$A$74:$L$78,1,0),0),0)</f>
        <v>#N/A</v>
      </c>
      <c r="AB113" s="249" t="e">
        <f>VLOOKUP(T113,'Planning and Target Times'!$A$97:$L$101,MATCH(E113&amp;"-"&amp;Q113&amp;"-"&amp;Y113&amp;"-"&amp;R113,INDEX('Planning and Target Times'!$A$97:$L$101,1,0),0),0)</f>
        <v>#N/A</v>
      </c>
      <c r="AC113" s="250">
        <f t="shared" si="20"/>
        <v>0</v>
      </c>
      <c r="AD113" s="250">
        <f t="shared" si="21"/>
        <v>0</v>
      </c>
      <c r="AE113" s="248">
        <f t="shared" si="26"/>
        <v>6285.8249394666245</v>
      </c>
      <c r="AF113" s="248">
        <f t="shared" si="31"/>
        <v>4664.1750605333755</v>
      </c>
      <c r="AG113" s="248">
        <f t="shared" ca="1" si="16"/>
        <v>-2415.8249394666245</v>
      </c>
      <c r="AH113" s="248">
        <f t="shared" ca="1" si="17"/>
        <v>-4221.8249394666245</v>
      </c>
      <c r="AI113" s="248">
        <f t="shared" si="27"/>
        <v>5048.1054987998941</v>
      </c>
      <c r="AJ113" s="248">
        <f t="shared" ca="1" si="18"/>
        <v>-1178.1054987998941</v>
      </c>
      <c r="AK113" s="248">
        <f t="shared" ca="1" si="19"/>
        <v>-2984.1054987998941</v>
      </c>
    </row>
    <row r="114" spans="2:37" ht="15.95" customHeight="1" x14ac:dyDescent="0.25">
      <c r="B114" s="136">
        <v>160</v>
      </c>
      <c r="C114" s="144" t="s">
        <v>1256</v>
      </c>
      <c r="D114" s="193" t="s">
        <v>1255</v>
      </c>
      <c r="E114" s="150" t="s">
        <v>42</v>
      </c>
      <c r="F114" s="140" t="s">
        <v>17</v>
      </c>
      <c r="G114" s="140" t="s">
        <v>1086</v>
      </c>
      <c r="H114" s="140" t="s">
        <v>1082</v>
      </c>
      <c r="I114" s="140" t="s">
        <v>459</v>
      </c>
      <c r="J114" s="141" t="s">
        <v>1079</v>
      </c>
      <c r="K114" s="142">
        <v>42318</v>
      </c>
      <c r="L114" s="142">
        <v>42381</v>
      </c>
      <c r="M114" s="134">
        <v>42395</v>
      </c>
      <c r="N114" s="140">
        <v>63</v>
      </c>
      <c r="O114" s="143"/>
      <c r="P114" s="143" t="s">
        <v>1096</v>
      </c>
      <c r="Q114" s="223" t="s">
        <v>14</v>
      </c>
      <c r="R114" s="223" t="s">
        <v>34</v>
      </c>
      <c r="S114" s="223" t="s">
        <v>17</v>
      </c>
      <c r="T114" s="224" t="str">
        <f t="shared" si="28"/>
        <v>MA</v>
      </c>
      <c r="U114" s="223" t="str">
        <f t="shared" si="29"/>
        <v>MA-NW-Inj</v>
      </c>
      <c r="V114" s="223" t="str">
        <f t="array" ref="V114">CONCATENATE(Q114,"-",R114)</f>
        <v>NW-Inj</v>
      </c>
      <c r="W114" s="239">
        <f>IF(ISERROR(VLOOKUP(T114,'15-16_DP_Tables'!$M$2:$V$8,MATCH(V114,INDEX('15-16_DP_Tables'!$M$2:$V$8,1,0),0),0)),0,VLOOKUP(T114,'15-16_DP_Tables'!$M$2:$V$8,MATCH(V114,INDEX('15-16_DP_Tables'!$M$2:$V$8,1,0),0),0))</f>
        <v>0</v>
      </c>
      <c r="X114" s="239">
        <f t="array" ref="X114">IF(ISERROR(VLOOKUP(T114,'15-16_DP_Tables'!$M$12:$V$18,MATCH(V114,INDEX('15-16_DP_Tables'!$M$12:$V$18,1,0),0),0)),0,VLOOKUP(T114,'15-16_DP_Tables'!$M$12:$V$18,MATCH(V114,INDEX('15-16_DP_Tables'!$M$12:$V$18,1,0),0),0))</f>
        <v>0</v>
      </c>
      <c r="Y114" s="223" t="str">
        <f t="shared" si="30"/>
        <v>Horizontal</v>
      </c>
      <c r="Z114" s="223">
        <v>5</v>
      </c>
      <c r="AA114" s="249" t="e">
        <f>VLOOKUP(T114,'Planning and Target Times'!$A$74:$L$78,MATCH(E114&amp;"-"&amp;Q114&amp;"-"&amp;Y114&amp;"-"&amp;R114,INDEX('Planning and Target Times'!$A$74:$L$78,1,0),0),0)</f>
        <v>#N/A</v>
      </c>
      <c r="AB114" s="249" t="e">
        <f>VLOOKUP(T114,'Planning and Target Times'!$A$97:$L$101,MATCH(E114&amp;"-"&amp;Q114&amp;"-"&amp;Y114&amp;"-"&amp;R114,INDEX('Planning and Target Times'!$A$97:$L$101,1,0),0),0)</f>
        <v>#N/A</v>
      </c>
      <c r="AC114" s="250">
        <f t="shared" si="20"/>
        <v>0</v>
      </c>
      <c r="AD114" s="250">
        <f t="shared" si="21"/>
        <v>0</v>
      </c>
      <c r="AE114" s="248">
        <f t="shared" si="26"/>
        <v>6290.8249394666245</v>
      </c>
      <c r="AF114" s="248">
        <f t="shared" si="31"/>
        <v>4659.1750605333755</v>
      </c>
      <c r="AG114" s="248">
        <f t="shared" ca="1" si="16"/>
        <v>-2420.8249394666245</v>
      </c>
      <c r="AH114" s="248">
        <f t="shared" ca="1" si="17"/>
        <v>-4226.8249394666245</v>
      </c>
      <c r="AI114" s="248">
        <f t="shared" si="27"/>
        <v>5053.1054987998941</v>
      </c>
      <c r="AJ114" s="248">
        <f t="shared" ca="1" si="18"/>
        <v>-1183.1054987998941</v>
      </c>
      <c r="AK114" s="248">
        <f t="shared" ca="1" si="19"/>
        <v>-2989.1054987998941</v>
      </c>
    </row>
    <row r="115" spans="2:37" ht="15.95" customHeight="1" x14ac:dyDescent="0.25">
      <c r="B115" s="136">
        <v>167</v>
      </c>
      <c r="C115" s="144" t="s">
        <v>1265</v>
      </c>
      <c r="D115" s="198" t="s">
        <v>1264</v>
      </c>
      <c r="E115" s="150" t="s">
        <v>11</v>
      </c>
      <c r="F115" s="140" t="s">
        <v>17</v>
      </c>
      <c r="G115" s="140" t="s">
        <v>1076</v>
      </c>
      <c r="H115" s="140" t="s">
        <v>1082</v>
      </c>
      <c r="I115" s="140" t="s">
        <v>459</v>
      </c>
      <c r="J115" s="141" t="s">
        <v>1079</v>
      </c>
      <c r="K115" s="142">
        <v>42318</v>
      </c>
      <c r="L115" s="142">
        <v>42388</v>
      </c>
      <c r="M115" s="134">
        <v>42402</v>
      </c>
      <c r="N115" s="140">
        <v>70</v>
      </c>
      <c r="O115" s="143">
        <v>1400</v>
      </c>
      <c r="P115" s="135" t="s">
        <v>1096</v>
      </c>
      <c r="Q115" s="223" t="s">
        <v>14</v>
      </c>
      <c r="R115" s="223" t="s">
        <v>298</v>
      </c>
      <c r="S115" s="223" t="s">
        <v>17</v>
      </c>
      <c r="T115" s="224" t="str">
        <f t="shared" si="28"/>
        <v>MA</v>
      </c>
      <c r="U115" s="223" t="str">
        <f t="shared" si="29"/>
        <v>MA-NW-Prod</v>
      </c>
      <c r="V115" s="223" t="str">
        <f t="array" ref="V115">CONCATENATE(Q115,"-",R115)</f>
        <v>NW-Prod</v>
      </c>
      <c r="W115" s="239">
        <f>IF(ISERROR(VLOOKUP(T115,'15-16_DP_Tables'!$M$2:$V$8,MATCH(V115,INDEX('15-16_DP_Tables'!$M$2:$V$8,1,0),0),0)),0,VLOOKUP(T115,'15-16_DP_Tables'!$M$2:$V$8,MATCH(V115,INDEX('15-16_DP_Tables'!$M$2:$V$8,1,0),0),0))</f>
        <v>57.083333333332121</v>
      </c>
      <c r="X115" s="239">
        <f t="array" ref="X115">IF(ISERROR(VLOOKUP(T115,'15-16_DP_Tables'!$M$12:$V$18,MATCH(V115,INDEX('15-16_DP_Tables'!$M$12:$V$18,1,0),0),0)),0,VLOOKUP(T115,'15-16_DP_Tables'!$M$12:$V$18,MATCH(V115,INDEX('15-16_DP_Tables'!$M$12:$V$18,1,0),0),0))</f>
        <v>47.791666666664241</v>
      </c>
      <c r="Y115" s="223" t="str">
        <f t="shared" si="30"/>
        <v>Horizontal</v>
      </c>
      <c r="Z115" s="223">
        <v>5</v>
      </c>
      <c r="AA115" s="249" t="e">
        <f>VLOOKUP(T115,'Planning and Target Times'!$A$74:$L$78,MATCH(E115&amp;"-"&amp;Q115&amp;"-"&amp;Y115&amp;"-"&amp;R115,INDEX('Planning and Target Times'!$A$74:$L$78,1,0),0),0)</f>
        <v>#N/A</v>
      </c>
      <c r="AB115" s="249" t="e">
        <f>VLOOKUP(T115,'Planning and Target Times'!$A$97:$L$101,MATCH(E115&amp;"-"&amp;Q115&amp;"-"&amp;Y115&amp;"-"&amp;R115,INDEX('Planning and Target Times'!$A$97:$L$101,1,0),0),0)</f>
        <v>#N/A</v>
      </c>
      <c r="AC115" s="250">
        <f t="shared" si="20"/>
        <v>24.525547445255995</v>
      </c>
      <c r="AD115" s="250">
        <f t="shared" si="21"/>
        <v>29.293809938972714</v>
      </c>
      <c r="AE115" s="248">
        <f t="shared" si="26"/>
        <v>6352.9082727999566</v>
      </c>
      <c r="AF115" s="248">
        <f t="shared" si="31"/>
        <v>4597.0917272000434</v>
      </c>
      <c r="AG115" s="248">
        <f t="shared" ca="1" si="16"/>
        <v>-2482.9082727999566</v>
      </c>
      <c r="AH115" s="248">
        <f t="shared" ca="1" si="17"/>
        <v>-4288.9082727999566</v>
      </c>
      <c r="AI115" s="248">
        <f t="shared" si="27"/>
        <v>5105.8971654665584</v>
      </c>
      <c r="AJ115" s="248">
        <f t="shared" ca="1" si="18"/>
        <v>-1235.8971654665584</v>
      </c>
      <c r="AK115" s="248">
        <f t="shared" ca="1" si="19"/>
        <v>-3041.8971654665584</v>
      </c>
    </row>
    <row r="116" spans="2:37" ht="15.95" customHeight="1" x14ac:dyDescent="0.25">
      <c r="B116" s="136">
        <v>170</v>
      </c>
      <c r="C116" s="144" t="s">
        <v>1269</v>
      </c>
      <c r="D116" s="184" t="s">
        <v>1268</v>
      </c>
      <c r="E116" s="150" t="s">
        <v>11</v>
      </c>
      <c r="F116" s="140" t="s">
        <v>17</v>
      </c>
      <c r="G116" s="140" t="s">
        <v>1076</v>
      </c>
      <c r="H116" s="140" t="s">
        <v>1082</v>
      </c>
      <c r="I116" s="140" t="s">
        <v>459</v>
      </c>
      <c r="J116" s="141" t="s">
        <v>1079</v>
      </c>
      <c r="K116" s="142">
        <v>42318</v>
      </c>
      <c r="L116" s="142">
        <v>42388</v>
      </c>
      <c r="M116" s="134">
        <v>42402</v>
      </c>
      <c r="N116" s="132">
        <v>70</v>
      </c>
      <c r="O116" s="135">
        <v>1400</v>
      </c>
      <c r="P116" s="135" t="s">
        <v>1096</v>
      </c>
      <c r="Q116" s="223" t="s">
        <v>14</v>
      </c>
      <c r="R116" s="223" t="s">
        <v>298</v>
      </c>
      <c r="S116" s="223" t="s">
        <v>17</v>
      </c>
      <c r="T116" s="224" t="str">
        <f t="shared" si="28"/>
        <v>MA</v>
      </c>
      <c r="U116" s="223" t="str">
        <f t="shared" si="29"/>
        <v>MA-NW-Prod</v>
      </c>
      <c r="V116" s="223" t="str">
        <f t="array" ref="V116">CONCATENATE(Q116,"-",R116)</f>
        <v>NW-Prod</v>
      </c>
      <c r="W116" s="239">
        <f>IF(ISERROR(VLOOKUP(T116,'15-16_DP_Tables'!$M$2:$V$8,MATCH(V116,INDEX('15-16_DP_Tables'!$M$2:$V$8,1,0),0),0)),0,VLOOKUP(T116,'15-16_DP_Tables'!$M$2:$V$8,MATCH(V116,INDEX('15-16_DP_Tables'!$M$2:$V$8,1,0),0),0))</f>
        <v>57.083333333332121</v>
      </c>
      <c r="X116" s="239">
        <f t="array" ref="X116">IF(ISERROR(VLOOKUP(T116,'15-16_DP_Tables'!$M$12:$V$18,MATCH(V116,INDEX('15-16_DP_Tables'!$M$12:$V$18,1,0),0),0)),0,VLOOKUP(T116,'15-16_DP_Tables'!$M$12:$V$18,MATCH(V116,INDEX('15-16_DP_Tables'!$M$12:$V$18,1,0),0),0))</f>
        <v>47.791666666664241</v>
      </c>
      <c r="Y116" s="223" t="str">
        <f t="shared" si="30"/>
        <v>Horizontal</v>
      </c>
      <c r="Z116" s="223">
        <v>5</v>
      </c>
      <c r="AA116" s="249" t="e">
        <f>VLOOKUP(T116,'Planning and Target Times'!$A$74:$L$78,MATCH(E116&amp;"-"&amp;Q116&amp;"-"&amp;Y116&amp;"-"&amp;R116,INDEX('Planning and Target Times'!$A$74:$L$78,1,0),0),0)</f>
        <v>#N/A</v>
      </c>
      <c r="AB116" s="249" t="e">
        <f>VLOOKUP(T116,'Planning and Target Times'!$A$97:$L$101,MATCH(E116&amp;"-"&amp;Q116&amp;"-"&amp;Y116&amp;"-"&amp;R116,INDEX('Planning and Target Times'!$A$97:$L$101,1,0),0),0)</f>
        <v>#N/A</v>
      </c>
      <c r="AC116" s="250">
        <f t="shared" si="20"/>
        <v>24.525547445255995</v>
      </c>
      <c r="AD116" s="250">
        <f t="shared" si="21"/>
        <v>29.293809938972714</v>
      </c>
      <c r="AE116" s="248">
        <f t="shared" si="26"/>
        <v>6414.9916061332888</v>
      </c>
      <c r="AF116" s="248">
        <f t="shared" si="31"/>
        <v>4535.0083938667112</v>
      </c>
      <c r="AG116" s="248">
        <f t="shared" ca="1" si="16"/>
        <v>-2544.9916061332888</v>
      </c>
      <c r="AH116" s="248">
        <f t="shared" ca="1" si="17"/>
        <v>-4350.9916061332888</v>
      </c>
      <c r="AI116" s="248">
        <f t="shared" si="27"/>
        <v>5158.6888321332226</v>
      </c>
      <c r="AJ116" s="248">
        <f t="shared" ca="1" si="18"/>
        <v>-1288.6888321332226</v>
      </c>
      <c r="AK116" s="248">
        <f t="shared" ca="1" si="19"/>
        <v>-3094.6888321332226</v>
      </c>
    </row>
    <row r="117" spans="2:37" ht="15.95" customHeight="1" x14ac:dyDescent="0.25">
      <c r="B117" s="136">
        <v>173</v>
      </c>
      <c r="C117" s="151" t="s">
        <v>1273</v>
      </c>
      <c r="D117" s="182" t="s">
        <v>1272</v>
      </c>
      <c r="E117" s="150" t="s">
        <v>11</v>
      </c>
      <c r="F117" s="140" t="s">
        <v>17</v>
      </c>
      <c r="G117" s="140" t="s">
        <v>1076</v>
      </c>
      <c r="H117" s="140" t="s">
        <v>1082</v>
      </c>
      <c r="I117" s="140" t="s">
        <v>459</v>
      </c>
      <c r="J117" s="141" t="s">
        <v>1079</v>
      </c>
      <c r="K117" s="142">
        <v>42318</v>
      </c>
      <c r="L117" s="142">
        <v>42388</v>
      </c>
      <c r="M117" s="134">
        <v>42402</v>
      </c>
      <c r="N117" s="140">
        <v>70</v>
      </c>
      <c r="O117" s="143">
        <v>1400</v>
      </c>
      <c r="P117" s="135" t="s">
        <v>1096</v>
      </c>
      <c r="Q117" s="223" t="s">
        <v>14</v>
      </c>
      <c r="R117" s="223" t="s">
        <v>298</v>
      </c>
      <c r="S117" s="223" t="s">
        <v>17</v>
      </c>
      <c r="T117" s="224" t="str">
        <f t="shared" si="28"/>
        <v>MA</v>
      </c>
      <c r="U117" s="223" t="str">
        <f t="shared" si="29"/>
        <v>MA-NW-Prod</v>
      </c>
      <c r="V117" s="223" t="str">
        <f t="array" ref="V117">CONCATENATE(Q117,"-",R117)</f>
        <v>NW-Prod</v>
      </c>
      <c r="W117" s="239">
        <f>IF(ISERROR(VLOOKUP(T117,'15-16_DP_Tables'!$M$2:$V$8,MATCH(V117,INDEX('15-16_DP_Tables'!$M$2:$V$8,1,0),0),0)),0,VLOOKUP(T117,'15-16_DP_Tables'!$M$2:$V$8,MATCH(V117,INDEX('15-16_DP_Tables'!$M$2:$V$8,1,0),0),0))</f>
        <v>57.083333333332121</v>
      </c>
      <c r="X117" s="239">
        <f t="array" ref="X117">IF(ISERROR(VLOOKUP(T117,'15-16_DP_Tables'!$M$12:$V$18,MATCH(V117,INDEX('15-16_DP_Tables'!$M$12:$V$18,1,0),0),0)),0,VLOOKUP(T117,'15-16_DP_Tables'!$M$12:$V$18,MATCH(V117,INDEX('15-16_DP_Tables'!$M$12:$V$18,1,0),0),0))</f>
        <v>47.791666666664241</v>
      </c>
      <c r="Y117" s="223" t="str">
        <f t="shared" si="30"/>
        <v>Horizontal</v>
      </c>
      <c r="Z117" s="223">
        <v>5</v>
      </c>
      <c r="AA117" s="249" t="e">
        <f>VLOOKUP(T117,'Planning and Target Times'!$A$74:$L$78,MATCH(E117&amp;"-"&amp;Q117&amp;"-"&amp;Y117&amp;"-"&amp;R117,INDEX('Planning and Target Times'!$A$74:$L$78,1,0),0),0)</f>
        <v>#N/A</v>
      </c>
      <c r="AB117" s="249" t="e">
        <f>VLOOKUP(T117,'Planning and Target Times'!$A$97:$L$101,MATCH(E117&amp;"-"&amp;Q117&amp;"-"&amp;Y117&amp;"-"&amp;R117,INDEX('Planning and Target Times'!$A$97:$L$101,1,0),0),0)</f>
        <v>#N/A</v>
      </c>
      <c r="AC117" s="250">
        <f t="shared" si="20"/>
        <v>24.525547445255995</v>
      </c>
      <c r="AD117" s="250">
        <f t="shared" si="21"/>
        <v>29.293809938972714</v>
      </c>
      <c r="AE117" s="248">
        <f t="shared" si="26"/>
        <v>6477.0749394666209</v>
      </c>
      <c r="AF117" s="248">
        <f t="shared" si="31"/>
        <v>4472.9250605333791</v>
      </c>
      <c r="AG117" s="248">
        <f t="shared" ca="1" si="16"/>
        <v>-2607.0749394666209</v>
      </c>
      <c r="AH117" s="248">
        <f t="shared" ca="1" si="17"/>
        <v>-4413.0749394666209</v>
      </c>
      <c r="AI117" s="248">
        <f t="shared" si="27"/>
        <v>5211.4804987998868</v>
      </c>
      <c r="AJ117" s="248">
        <f t="shared" ca="1" si="18"/>
        <v>-1341.4804987998868</v>
      </c>
      <c r="AK117" s="248">
        <f t="shared" ca="1" si="19"/>
        <v>-3147.4804987998868</v>
      </c>
    </row>
    <row r="118" spans="2:37" ht="15.95" customHeight="1" x14ac:dyDescent="0.25">
      <c r="B118" s="136">
        <v>176</v>
      </c>
      <c r="C118" s="144" t="s">
        <v>1277</v>
      </c>
      <c r="D118" s="156" t="s">
        <v>1276</v>
      </c>
      <c r="E118" s="150" t="s">
        <v>11</v>
      </c>
      <c r="F118" s="140" t="s">
        <v>17</v>
      </c>
      <c r="G118" s="140" t="s">
        <v>1076</v>
      </c>
      <c r="H118" s="140" t="s">
        <v>1082</v>
      </c>
      <c r="I118" s="140" t="s">
        <v>459</v>
      </c>
      <c r="J118" s="141" t="s">
        <v>1079</v>
      </c>
      <c r="K118" s="142">
        <v>42318</v>
      </c>
      <c r="L118" s="142">
        <v>42388</v>
      </c>
      <c r="M118" s="134">
        <v>42402</v>
      </c>
      <c r="N118" s="140">
        <v>70</v>
      </c>
      <c r="O118" s="143">
        <v>1400</v>
      </c>
      <c r="P118" s="135" t="s">
        <v>1096</v>
      </c>
      <c r="Q118" s="223" t="s">
        <v>14</v>
      </c>
      <c r="R118" s="223" t="s">
        <v>298</v>
      </c>
      <c r="S118" s="223" t="s">
        <v>17</v>
      </c>
      <c r="T118" s="224" t="str">
        <f t="shared" si="28"/>
        <v>MA</v>
      </c>
      <c r="U118" s="223" t="str">
        <f t="shared" si="29"/>
        <v>MA-NW-Prod</v>
      </c>
      <c r="V118" s="223" t="str">
        <f t="array" ref="V118">CONCATENATE(Q118,"-",R118)</f>
        <v>NW-Prod</v>
      </c>
      <c r="W118" s="239">
        <f>IF(ISERROR(VLOOKUP(T118,'15-16_DP_Tables'!$M$2:$V$8,MATCH(V118,INDEX('15-16_DP_Tables'!$M$2:$V$8,1,0),0),0)),0,VLOOKUP(T118,'15-16_DP_Tables'!$M$2:$V$8,MATCH(V118,INDEX('15-16_DP_Tables'!$M$2:$V$8,1,0),0),0))</f>
        <v>57.083333333332121</v>
      </c>
      <c r="X118" s="239">
        <f t="array" ref="X118">IF(ISERROR(VLOOKUP(T118,'15-16_DP_Tables'!$M$12:$V$18,MATCH(V118,INDEX('15-16_DP_Tables'!$M$12:$V$18,1,0),0),0)),0,VLOOKUP(T118,'15-16_DP_Tables'!$M$12:$V$18,MATCH(V118,INDEX('15-16_DP_Tables'!$M$12:$V$18,1,0),0),0))</f>
        <v>47.791666666664241</v>
      </c>
      <c r="Y118" s="223" t="str">
        <f t="shared" si="30"/>
        <v>Unknown</v>
      </c>
      <c r="Z118" s="223">
        <v>5</v>
      </c>
      <c r="AA118" s="249" t="e">
        <f>VLOOKUP(T118,'Planning and Target Times'!$A$74:$L$78,MATCH(E118&amp;"-"&amp;Q118&amp;"-"&amp;Y118&amp;"-"&amp;R118,INDEX('Planning and Target Times'!$A$74:$L$78,1,0),0),0)</f>
        <v>#N/A</v>
      </c>
      <c r="AB118" s="249" t="e">
        <f>VLOOKUP(T118,'Planning and Target Times'!$A$97:$L$101,MATCH(E118&amp;"-"&amp;Q118&amp;"-"&amp;Y118&amp;"-"&amp;R118,INDEX('Planning and Target Times'!$A$97:$L$101,1,0),0),0)</f>
        <v>#N/A</v>
      </c>
      <c r="AC118" s="250">
        <f t="shared" si="20"/>
        <v>24.525547445255995</v>
      </c>
      <c r="AD118" s="250">
        <f t="shared" si="21"/>
        <v>29.293809938972714</v>
      </c>
      <c r="AE118" s="248">
        <f t="shared" si="26"/>
        <v>6539.158272799953</v>
      </c>
      <c r="AF118" s="248">
        <f t="shared" si="31"/>
        <v>4410.841727200047</v>
      </c>
      <c r="AG118" s="248">
        <f t="shared" ca="1" si="16"/>
        <v>-2669.158272799953</v>
      </c>
      <c r="AH118" s="248">
        <f t="shared" ca="1" si="17"/>
        <v>-4475.158272799953</v>
      </c>
      <c r="AI118" s="248">
        <f t="shared" si="27"/>
        <v>5264.2721654665511</v>
      </c>
      <c r="AJ118" s="248">
        <f t="shared" ca="1" si="18"/>
        <v>-1394.2721654665511</v>
      </c>
      <c r="AK118" s="248">
        <f t="shared" ca="1" si="19"/>
        <v>-3200.2721654665511</v>
      </c>
    </row>
    <row r="119" spans="2:37" ht="15.95" customHeight="1" x14ac:dyDescent="0.25">
      <c r="B119" s="136">
        <v>179</v>
      </c>
      <c r="C119" s="144" t="s">
        <v>1281</v>
      </c>
      <c r="D119" s="199" t="s">
        <v>1280</v>
      </c>
      <c r="E119" s="150" t="s">
        <v>42</v>
      </c>
      <c r="F119" s="140" t="s">
        <v>22</v>
      </c>
      <c r="G119" s="140" t="s">
        <v>1076</v>
      </c>
      <c r="H119" s="140" t="s">
        <v>1082</v>
      </c>
      <c r="I119" s="140" t="s">
        <v>459</v>
      </c>
      <c r="J119" s="141" t="s">
        <v>1079</v>
      </c>
      <c r="K119" s="142">
        <v>42318</v>
      </c>
      <c r="L119" s="142">
        <v>42388</v>
      </c>
      <c r="M119" s="134">
        <v>42402</v>
      </c>
      <c r="N119" s="140">
        <v>70</v>
      </c>
      <c r="O119" s="143">
        <v>1800</v>
      </c>
      <c r="P119" s="143" t="s">
        <v>1096</v>
      </c>
      <c r="Q119" s="223" t="s">
        <v>14</v>
      </c>
      <c r="R119" s="223" t="s">
        <v>298</v>
      </c>
      <c r="S119" s="223" t="s">
        <v>22</v>
      </c>
      <c r="T119" s="224" t="str">
        <f t="shared" si="28"/>
        <v>LB</v>
      </c>
      <c r="U119" s="223" t="str">
        <f t="shared" si="29"/>
        <v>LB-NW-Prod</v>
      </c>
      <c r="V119" s="223" t="str">
        <f t="array" ref="V119">CONCATENATE(Q119,"-",R119)</f>
        <v>NW-Prod</v>
      </c>
      <c r="W119" s="239">
        <f>IF(ISERROR(VLOOKUP(T119,'15-16_DP_Tables'!$M$2:$V$8,MATCH(V119,INDEX('15-16_DP_Tables'!$M$2:$V$8,1,0),0),0)),0,VLOOKUP(T119,'15-16_DP_Tables'!$M$2:$V$8,MATCH(V119,INDEX('15-16_DP_Tables'!$M$2:$V$8,1,0),0),0))</f>
        <v>55.81537142381022</v>
      </c>
      <c r="X119" s="239">
        <f t="array" ref="X119">IF(ISERROR(VLOOKUP(T119,'15-16_DP_Tables'!$M$12:$V$18,MATCH(V119,INDEX('15-16_DP_Tables'!$M$12:$V$18,1,0),0),0)),0,VLOOKUP(T119,'15-16_DP_Tables'!$M$12:$V$18,MATCH(V119,INDEX('15-16_DP_Tables'!$M$12:$V$18,1,0),0),0))</f>
        <v>45.207999999999998</v>
      </c>
      <c r="Y119" s="223" t="str">
        <f t="shared" si="30"/>
        <v>Horizontal</v>
      </c>
      <c r="Z119" s="223">
        <v>5</v>
      </c>
      <c r="AA119" s="249" t="e">
        <f>VLOOKUP(T119,'Planning and Target Times'!$A$74:$L$78,MATCH(E119&amp;"-"&amp;Q119&amp;"-"&amp;Y119&amp;"-"&amp;R119,INDEX('Planning and Target Times'!$A$74:$L$78,1,0),0),0)</f>
        <v>#N/A</v>
      </c>
      <c r="AB119" s="249" t="e">
        <f>VLOOKUP(T119,'Planning and Target Times'!$A$97:$L$101,MATCH(E119&amp;"-"&amp;Q119&amp;"-"&amp;Y119&amp;"-"&amp;R119,INDEX('Planning and Target Times'!$A$97:$L$101,1,0),0),0)</f>
        <v>#N/A</v>
      </c>
      <c r="AC119" s="250">
        <f t="shared" si="20"/>
        <v>32.249180719993198</v>
      </c>
      <c r="AD119" s="250">
        <f t="shared" si="21"/>
        <v>39.815961776676694</v>
      </c>
      <c r="AE119" s="248">
        <f t="shared" si="26"/>
        <v>6599.9736442237636</v>
      </c>
      <c r="AF119" s="248">
        <f t="shared" si="31"/>
        <v>4350.0263557762364</v>
      </c>
      <c r="AG119" s="248">
        <f t="shared" ca="1" si="16"/>
        <v>-2729.9736442237636</v>
      </c>
      <c r="AH119" s="248">
        <f t="shared" ca="1" si="17"/>
        <v>-4535.9736442237636</v>
      </c>
      <c r="AI119" s="248">
        <f t="shared" si="27"/>
        <v>5314.4801654665507</v>
      </c>
      <c r="AJ119" s="248">
        <f t="shared" ca="1" si="18"/>
        <v>-1444.4801654665507</v>
      </c>
      <c r="AK119" s="248">
        <f t="shared" ca="1" si="19"/>
        <v>-3250.4801654665507</v>
      </c>
    </row>
    <row r="120" spans="2:37" ht="15.95" customHeight="1" x14ac:dyDescent="0.25">
      <c r="B120" s="136">
        <v>113</v>
      </c>
      <c r="C120" s="191" t="s">
        <v>1199</v>
      </c>
      <c r="D120" s="184" t="s">
        <v>839</v>
      </c>
      <c r="E120" s="192" t="s">
        <v>42</v>
      </c>
      <c r="F120" s="140" t="s">
        <v>17</v>
      </c>
      <c r="G120" s="140" t="s">
        <v>1086</v>
      </c>
      <c r="H120" s="140" t="s">
        <v>1077</v>
      </c>
      <c r="I120" s="140" t="s">
        <v>459</v>
      </c>
      <c r="J120" s="141" t="s">
        <v>1079</v>
      </c>
      <c r="K120" s="142">
        <v>42324</v>
      </c>
      <c r="L120" s="142">
        <v>42373</v>
      </c>
      <c r="M120" s="134">
        <v>42387</v>
      </c>
      <c r="N120" s="140">
        <v>49</v>
      </c>
      <c r="O120" s="143"/>
      <c r="P120" s="135" t="s">
        <v>1080</v>
      </c>
      <c r="Q120" s="223" t="s">
        <v>18</v>
      </c>
      <c r="R120" s="223" t="s">
        <v>34</v>
      </c>
      <c r="S120" s="223" t="s">
        <v>17</v>
      </c>
      <c r="T120" s="224" t="str">
        <f t="shared" si="28"/>
        <v>MA</v>
      </c>
      <c r="U120" s="223" t="str">
        <f t="shared" si="29"/>
        <v>MA-ST-Inj</v>
      </c>
      <c r="V120" s="223" t="str">
        <f t="array" ref="V120">CONCATENATE(Q120,"-",R120)</f>
        <v>ST-Inj</v>
      </c>
      <c r="W120" s="239">
        <f>IF(ISERROR(VLOOKUP(T120,'15-16_DP_Tables'!$M$2:$V$8,MATCH(V120,INDEX('15-16_DP_Tables'!$M$2:$V$8,1,0),0),0)),0,VLOOKUP(T120,'15-16_DP_Tables'!$M$2:$V$8,MATCH(V120,INDEX('15-16_DP_Tables'!$M$2:$V$8,1,0),0),0))</f>
        <v>35.545833099999626</v>
      </c>
      <c r="X120" s="239">
        <f t="array" ref="X120">IF(ISERROR(VLOOKUP(T120,'15-16_DP_Tables'!$M$12:$V$18,MATCH(V120,INDEX('15-16_DP_Tables'!$M$12:$V$18,1,0),0),0)),0,VLOOKUP(T120,'15-16_DP_Tables'!$M$12:$V$18,MATCH(V120,INDEX('15-16_DP_Tables'!$M$12:$V$18,1,0),0),0))</f>
        <v>26.054166533332847</v>
      </c>
      <c r="Y120" s="223" t="str">
        <f t="shared" si="30"/>
        <v>Horizontal</v>
      </c>
      <c r="Z120" s="223">
        <v>5</v>
      </c>
      <c r="AA120" s="249" t="e">
        <f>VLOOKUP(T120,'Planning and Target Times'!$A$74:$L$78,MATCH(E120&amp;"-"&amp;Q120&amp;"-"&amp;Y120&amp;"-"&amp;R120,INDEX('Planning and Target Times'!$A$74:$L$78,1,0),0),0)</f>
        <v>#N/A</v>
      </c>
      <c r="AB120" s="249" t="e">
        <f>VLOOKUP(T120,'Planning and Target Times'!$A$97:$L$101,MATCH(E120&amp;"-"&amp;Q120&amp;"-"&amp;Y120&amp;"-"&amp;R120,INDEX('Planning and Target Times'!$A$97:$L$101,1,0),0),0)</f>
        <v>#N/A</v>
      </c>
      <c r="AC120" s="250">
        <f t="shared" si="20"/>
        <v>0</v>
      </c>
      <c r="AD120" s="250">
        <f t="shared" si="21"/>
        <v>0</v>
      </c>
      <c r="AE120" s="248">
        <f t="shared" si="26"/>
        <v>6640.5194773237636</v>
      </c>
      <c r="AF120" s="248">
        <f t="shared" si="31"/>
        <v>4309.4805226762364</v>
      </c>
      <c r="AG120" s="248">
        <f t="shared" ca="1" si="16"/>
        <v>-2770.5194773237636</v>
      </c>
      <c r="AH120" s="248">
        <f t="shared" ca="1" si="17"/>
        <v>-4576.5194773237636</v>
      </c>
      <c r="AI120" s="248">
        <f t="shared" si="27"/>
        <v>5345.5343319998838</v>
      </c>
      <c r="AJ120" s="248">
        <f t="shared" ca="1" si="18"/>
        <v>-1475.5343319998838</v>
      </c>
      <c r="AK120" s="248">
        <f t="shared" ca="1" si="19"/>
        <v>-3281.5343319998838</v>
      </c>
    </row>
    <row r="121" spans="2:37" ht="15.95" customHeight="1" x14ac:dyDescent="0.25">
      <c r="B121" s="136">
        <v>129</v>
      </c>
      <c r="C121" s="151" t="s">
        <v>1217</v>
      </c>
      <c r="D121" s="138" t="s">
        <v>1215</v>
      </c>
      <c r="E121" s="150" t="s">
        <v>42</v>
      </c>
      <c r="F121" s="140" t="s">
        <v>17</v>
      </c>
      <c r="G121" s="140" t="s">
        <v>1086</v>
      </c>
      <c r="H121" s="140" t="s">
        <v>1077</v>
      </c>
      <c r="I121" s="140" t="s">
        <v>459</v>
      </c>
      <c r="J121" s="141" t="s">
        <v>1079</v>
      </c>
      <c r="K121" s="142">
        <v>42326</v>
      </c>
      <c r="L121" s="142">
        <v>42375</v>
      </c>
      <c r="M121" s="134">
        <v>42389</v>
      </c>
      <c r="N121" s="140">
        <v>49</v>
      </c>
      <c r="O121" s="143"/>
      <c r="P121" s="143" t="s">
        <v>1080</v>
      </c>
      <c r="Q121" s="223" t="s">
        <v>18</v>
      </c>
      <c r="R121" s="223" t="s">
        <v>34</v>
      </c>
      <c r="S121" s="223" t="s">
        <v>17</v>
      </c>
      <c r="T121" s="224" t="str">
        <f t="shared" si="28"/>
        <v>MA</v>
      </c>
      <c r="U121" s="223" t="str">
        <f t="shared" si="29"/>
        <v>MA-ST-Inj</v>
      </c>
      <c r="V121" s="223" t="str">
        <f t="array" ref="V121">CONCATENATE(Q121,"-",R121)</f>
        <v>ST-Inj</v>
      </c>
      <c r="W121" s="239">
        <f>IF(ISERROR(VLOOKUP(T121,'15-16_DP_Tables'!$M$2:$V$8,MATCH(V121,INDEX('15-16_DP_Tables'!$M$2:$V$8,1,0),0),0)),0,VLOOKUP(T121,'15-16_DP_Tables'!$M$2:$V$8,MATCH(V121,INDEX('15-16_DP_Tables'!$M$2:$V$8,1,0),0),0))</f>
        <v>35.545833099999626</v>
      </c>
      <c r="X121" s="239">
        <f t="array" ref="X121">IF(ISERROR(VLOOKUP(T121,'15-16_DP_Tables'!$M$12:$V$18,MATCH(V121,INDEX('15-16_DP_Tables'!$M$12:$V$18,1,0),0),0)),0,VLOOKUP(T121,'15-16_DP_Tables'!$M$12:$V$18,MATCH(V121,INDEX('15-16_DP_Tables'!$M$12:$V$18,1,0),0),0))</f>
        <v>26.054166533332847</v>
      </c>
      <c r="Y121" s="223" t="str">
        <f t="shared" si="30"/>
        <v>Horizontal</v>
      </c>
      <c r="Z121" s="223">
        <v>5</v>
      </c>
      <c r="AA121" s="249" t="e">
        <f>VLOOKUP(T121,'Planning and Target Times'!$A$74:$L$78,MATCH(E121&amp;"-"&amp;Q121&amp;"-"&amp;Y121&amp;"-"&amp;R121,INDEX('Planning and Target Times'!$A$74:$L$78,1,0),0),0)</f>
        <v>#N/A</v>
      </c>
      <c r="AB121" s="249" t="e">
        <f>VLOOKUP(T121,'Planning and Target Times'!$A$97:$L$101,MATCH(E121&amp;"-"&amp;Q121&amp;"-"&amp;Y121&amp;"-"&amp;R121,INDEX('Planning and Target Times'!$A$97:$L$101,1,0),0),0)</f>
        <v>#N/A</v>
      </c>
      <c r="AC121" s="250">
        <f t="shared" si="20"/>
        <v>0</v>
      </c>
      <c r="AD121" s="250">
        <f t="shared" si="21"/>
        <v>0</v>
      </c>
      <c r="AE121" s="248">
        <f t="shared" si="26"/>
        <v>6681.0653104237635</v>
      </c>
      <c r="AF121" s="248">
        <f t="shared" si="31"/>
        <v>4268.9346895762365</v>
      </c>
      <c r="AG121" s="248">
        <f t="shared" ca="1" si="16"/>
        <v>-2811.0653104237635</v>
      </c>
      <c r="AH121" s="248">
        <f t="shared" ca="1" si="17"/>
        <v>-4617.0653104237635</v>
      </c>
      <c r="AI121" s="248">
        <f t="shared" si="27"/>
        <v>5376.5884985332168</v>
      </c>
      <c r="AJ121" s="248">
        <f t="shared" ca="1" si="18"/>
        <v>-1506.5884985332168</v>
      </c>
      <c r="AK121" s="248">
        <f t="shared" ca="1" si="19"/>
        <v>-3312.5884985332168</v>
      </c>
    </row>
    <row r="122" spans="2:37" ht="15.95" customHeight="1" x14ac:dyDescent="0.25">
      <c r="B122" s="136">
        <v>125</v>
      </c>
      <c r="C122" s="144" t="s">
        <v>1212</v>
      </c>
      <c r="D122" s="193" t="s">
        <v>1211</v>
      </c>
      <c r="E122" s="150" t="s">
        <v>11</v>
      </c>
      <c r="F122" s="140" t="s">
        <v>17</v>
      </c>
      <c r="G122" s="140" t="s">
        <v>1076</v>
      </c>
      <c r="H122" s="140" t="s">
        <v>1082</v>
      </c>
      <c r="I122" s="140" t="s">
        <v>459</v>
      </c>
      <c r="J122" s="141" t="s">
        <v>1079</v>
      </c>
      <c r="K122" s="142">
        <v>42331</v>
      </c>
      <c r="L122" s="142">
        <v>42401</v>
      </c>
      <c r="M122" s="134">
        <v>42415</v>
      </c>
      <c r="N122" s="140">
        <v>70</v>
      </c>
      <c r="O122" s="143">
        <v>1400</v>
      </c>
      <c r="P122" s="143" t="s">
        <v>1096</v>
      </c>
      <c r="Q122" s="223" t="s">
        <v>14</v>
      </c>
      <c r="R122" s="223" t="s">
        <v>298</v>
      </c>
      <c r="S122" s="223" t="s">
        <v>17</v>
      </c>
      <c r="T122" s="224" t="str">
        <f t="shared" si="28"/>
        <v>MA</v>
      </c>
      <c r="U122" s="223" t="str">
        <f t="shared" si="29"/>
        <v>MA-NW-Prod</v>
      </c>
      <c r="V122" s="223" t="str">
        <f t="array" ref="V122">CONCATENATE(Q122,"-",R122)</f>
        <v>NW-Prod</v>
      </c>
      <c r="W122" s="239">
        <f>IF(ISERROR(VLOOKUP(T122,'15-16_DP_Tables'!$M$2:$V$8,MATCH(V122,INDEX('15-16_DP_Tables'!$M$2:$V$8,1,0),0),0)),0,VLOOKUP(T122,'15-16_DP_Tables'!$M$2:$V$8,MATCH(V122,INDEX('15-16_DP_Tables'!$M$2:$V$8,1,0),0),0))</f>
        <v>57.083333333332121</v>
      </c>
      <c r="X122" s="239">
        <f t="array" ref="X122">IF(ISERROR(VLOOKUP(T122,'15-16_DP_Tables'!$M$12:$V$18,MATCH(V122,INDEX('15-16_DP_Tables'!$M$12:$V$18,1,0),0),0)),0,VLOOKUP(T122,'15-16_DP_Tables'!$M$12:$V$18,MATCH(V122,INDEX('15-16_DP_Tables'!$M$12:$V$18,1,0),0),0))</f>
        <v>47.791666666664241</v>
      </c>
      <c r="Y122" s="223" t="str">
        <f t="shared" si="30"/>
        <v>Unknown</v>
      </c>
      <c r="Z122" s="223">
        <v>5</v>
      </c>
      <c r="AA122" s="249" t="e">
        <f>VLOOKUP(T122,'Planning and Target Times'!$A$74:$L$78,MATCH(E122&amp;"-"&amp;Q122&amp;"-"&amp;Y122&amp;"-"&amp;R122,INDEX('Planning and Target Times'!$A$74:$L$78,1,0),0),0)</f>
        <v>#N/A</v>
      </c>
      <c r="AB122" s="249" t="e">
        <f>VLOOKUP(T122,'Planning and Target Times'!$A$97:$L$101,MATCH(E122&amp;"-"&amp;Q122&amp;"-"&amp;Y122&amp;"-"&amp;R122,INDEX('Planning and Target Times'!$A$97:$L$101,1,0),0),0)</f>
        <v>#N/A</v>
      </c>
      <c r="AC122" s="250">
        <f t="shared" si="20"/>
        <v>24.525547445255995</v>
      </c>
      <c r="AD122" s="250">
        <f t="shared" si="21"/>
        <v>29.293809938972714</v>
      </c>
      <c r="AE122" s="248">
        <f t="shared" si="26"/>
        <v>6743.1486437570957</v>
      </c>
      <c r="AF122" s="248">
        <f t="shared" si="31"/>
        <v>4206.8513562429043</v>
      </c>
      <c r="AG122" s="248">
        <f t="shared" ca="1" si="16"/>
        <v>-2873.1486437570957</v>
      </c>
      <c r="AH122" s="248">
        <f t="shared" ca="1" si="17"/>
        <v>-4679.1486437570957</v>
      </c>
      <c r="AI122" s="248">
        <f t="shared" si="27"/>
        <v>5429.380165199881</v>
      </c>
      <c r="AJ122" s="248">
        <f t="shared" ca="1" si="18"/>
        <v>-1559.380165199881</v>
      </c>
      <c r="AK122" s="248">
        <f t="shared" ca="1" si="19"/>
        <v>-3365.380165199881</v>
      </c>
    </row>
    <row r="123" spans="2:37" ht="15.95" customHeight="1" x14ac:dyDescent="0.25">
      <c r="B123" s="136">
        <v>145</v>
      </c>
      <c r="C123" s="151" t="s">
        <v>1236</v>
      </c>
      <c r="D123" s="193" t="s">
        <v>1234</v>
      </c>
      <c r="E123" s="150" t="s">
        <v>11</v>
      </c>
      <c r="F123" s="140" t="s">
        <v>17</v>
      </c>
      <c r="G123" s="140" t="s">
        <v>1086</v>
      </c>
      <c r="H123" s="140" t="s">
        <v>1082</v>
      </c>
      <c r="I123" s="140" t="s">
        <v>459</v>
      </c>
      <c r="J123" s="141" t="s">
        <v>1079</v>
      </c>
      <c r="K123" s="142">
        <v>42336</v>
      </c>
      <c r="L123" s="142">
        <v>42399</v>
      </c>
      <c r="M123" s="134">
        <v>42413</v>
      </c>
      <c r="N123" s="140">
        <v>63</v>
      </c>
      <c r="O123" s="143"/>
      <c r="P123" s="143" t="s">
        <v>1080</v>
      </c>
      <c r="Q123" s="223" t="s">
        <v>14</v>
      </c>
      <c r="R123" s="223" t="s">
        <v>34</v>
      </c>
      <c r="S123" s="223" t="s">
        <v>17</v>
      </c>
      <c r="T123" s="224" t="str">
        <f t="shared" si="28"/>
        <v>MA</v>
      </c>
      <c r="U123" s="223" t="str">
        <f t="shared" si="29"/>
        <v>MA-NW-Inj</v>
      </c>
      <c r="V123" s="223" t="str">
        <f t="array" ref="V123">CONCATENATE(Q123,"-",R123)</f>
        <v>NW-Inj</v>
      </c>
      <c r="W123" s="239">
        <f>IF(ISERROR(VLOOKUP(T123,'15-16_DP_Tables'!$M$2:$V$8,MATCH(V123,INDEX('15-16_DP_Tables'!$M$2:$V$8,1,0),0),0)),0,VLOOKUP(T123,'15-16_DP_Tables'!$M$2:$V$8,MATCH(V123,INDEX('15-16_DP_Tables'!$M$2:$V$8,1,0),0),0))</f>
        <v>0</v>
      </c>
      <c r="X123" s="239">
        <f t="array" ref="X123">IF(ISERROR(VLOOKUP(T123,'15-16_DP_Tables'!$M$12:$V$18,MATCH(V123,INDEX('15-16_DP_Tables'!$M$12:$V$18,1,0),0),0)),0,VLOOKUP(T123,'15-16_DP_Tables'!$M$12:$V$18,MATCH(V123,INDEX('15-16_DP_Tables'!$M$12:$V$18,1,0),0),0))</f>
        <v>0</v>
      </c>
      <c r="Y123" s="223" t="str">
        <f t="shared" si="30"/>
        <v>Horizontal</v>
      </c>
      <c r="Z123" s="223">
        <v>5</v>
      </c>
      <c r="AA123" s="249" t="e">
        <f>VLOOKUP(T123,'Planning and Target Times'!$A$74:$L$78,MATCH(E123&amp;"-"&amp;Q123&amp;"-"&amp;Y123&amp;"-"&amp;R123,INDEX('Planning and Target Times'!$A$74:$L$78,1,0),0),0)</f>
        <v>#N/A</v>
      </c>
      <c r="AB123" s="249" t="e">
        <f>VLOOKUP(T123,'Planning and Target Times'!$A$97:$L$101,MATCH(E123&amp;"-"&amp;Q123&amp;"-"&amp;Y123&amp;"-"&amp;R123,INDEX('Planning and Target Times'!$A$97:$L$101,1,0),0),0)</f>
        <v>#N/A</v>
      </c>
      <c r="AC123" s="250">
        <f t="shared" si="20"/>
        <v>0</v>
      </c>
      <c r="AD123" s="250">
        <f t="shared" si="21"/>
        <v>0</v>
      </c>
      <c r="AE123" s="248">
        <f t="shared" si="26"/>
        <v>6748.1486437570957</v>
      </c>
      <c r="AF123" s="248">
        <f t="shared" si="31"/>
        <v>4201.8513562429043</v>
      </c>
      <c r="AG123" s="248">
        <f t="shared" ca="1" si="16"/>
        <v>-2878.1486437570957</v>
      </c>
      <c r="AH123" s="248">
        <f t="shared" ca="1" si="17"/>
        <v>-4684.1486437570957</v>
      </c>
      <c r="AI123" s="248">
        <f t="shared" si="27"/>
        <v>5434.380165199881</v>
      </c>
      <c r="AJ123" s="248">
        <f t="shared" ca="1" si="18"/>
        <v>-1564.380165199881</v>
      </c>
      <c r="AK123" s="248">
        <f t="shared" ca="1" si="19"/>
        <v>-3370.380165199881</v>
      </c>
    </row>
    <row r="124" spans="2:37" ht="15.95" customHeight="1" x14ac:dyDescent="0.25">
      <c r="B124" s="136">
        <v>100</v>
      </c>
      <c r="C124" s="144" t="s">
        <v>1186</v>
      </c>
      <c r="D124" s="147" t="s">
        <v>734</v>
      </c>
      <c r="E124" s="150" t="s">
        <v>11</v>
      </c>
      <c r="F124" s="140" t="s">
        <v>13</v>
      </c>
      <c r="G124" s="140" t="s">
        <v>1076</v>
      </c>
      <c r="H124" s="140" t="s">
        <v>1082</v>
      </c>
      <c r="I124" s="140" t="s">
        <v>459</v>
      </c>
      <c r="J124" s="141" t="s">
        <v>1079</v>
      </c>
      <c r="K124" s="142">
        <v>42338</v>
      </c>
      <c r="L124" s="142">
        <v>42408</v>
      </c>
      <c r="M124" s="134">
        <v>42422</v>
      </c>
      <c r="N124" s="140">
        <v>70</v>
      </c>
      <c r="O124" s="143">
        <v>800</v>
      </c>
      <c r="P124" s="143" t="s">
        <v>1096</v>
      </c>
      <c r="Q124" s="223" t="s">
        <v>14</v>
      </c>
      <c r="R124" s="223" t="s">
        <v>298</v>
      </c>
      <c r="S124" s="223" t="s">
        <v>13</v>
      </c>
      <c r="T124" s="224" t="str">
        <f t="shared" si="28"/>
        <v>TU</v>
      </c>
      <c r="U124" s="223" t="str">
        <f t="shared" si="29"/>
        <v>TU-NW-Prod</v>
      </c>
      <c r="V124" s="223" t="str">
        <f t="array" ref="V124">CONCATENATE(Q124,"-",R124)</f>
        <v>NW-Prod</v>
      </c>
      <c r="W124" s="239">
        <f>IF(ISERROR(VLOOKUP(T124,'15-16_DP_Tables'!$M$2:$V$8,MATCH(V124,INDEX('15-16_DP_Tables'!$M$2:$V$8,1,0),0),0)),0,VLOOKUP(T124,'15-16_DP_Tables'!$M$2:$V$8,MATCH(V124,INDEX('15-16_DP_Tables'!$M$2:$V$8,1,0),0),0))</f>
        <v>0</v>
      </c>
      <c r="X124" s="239">
        <f t="array" ref="X124">IF(ISERROR(VLOOKUP(T124,'15-16_DP_Tables'!$M$12:$V$18,MATCH(V124,INDEX('15-16_DP_Tables'!$M$12:$V$18,1,0),0),0)),0,VLOOKUP(T124,'15-16_DP_Tables'!$M$12:$V$18,MATCH(V124,INDEX('15-16_DP_Tables'!$M$12:$V$18,1,0),0),0))</f>
        <v>0</v>
      </c>
      <c r="Y124" s="223" t="str">
        <f t="shared" si="30"/>
        <v>Unknown</v>
      </c>
      <c r="Z124" s="223">
        <v>5</v>
      </c>
      <c r="AA124" s="249" t="e">
        <f>VLOOKUP(T124,'Planning and Target Times'!$A$74:$L$78,MATCH(E124&amp;"-"&amp;Q124&amp;"-"&amp;Y124&amp;"-"&amp;R124,INDEX('Planning and Target Times'!$A$74:$L$78,1,0),0),0)</f>
        <v>#N/A</v>
      </c>
      <c r="AB124" s="249" t="e">
        <f>VLOOKUP(T124,'Planning and Target Times'!$A$97:$L$101,MATCH(E124&amp;"-"&amp;Q124&amp;"-"&amp;Y124&amp;"-"&amp;R124,INDEX('Planning and Target Times'!$A$97:$L$101,1,0),0),0)</f>
        <v>#N/A</v>
      </c>
      <c r="AC124" s="250">
        <f t="shared" si="20"/>
        <v>0</v>
      </c>
      <c r="AD124" s="250">
        <f t="shared" si="21"/>
        <v>0</v>
      </c>
      <c r="AE124" s="248">
        <f t="shared" si="26"/>
        <v>6753.1486437570957</v>
      </c>
      <c r="AF124" s="248">
        <f t="shared" si="31"/>
        <v>4196.8513562429043</v>
      </c>
      <c r="AG124" s="248">
        <f t="shared" ca="1" si="16"/>
        <v>-2883.1486437570957</v>
      </c>
      <c r="AH124" s="248">
        <f t="shared" ca="1" si="17"/>
        <v>-4689.1486437570957</v>
      </c>
      <c r="AI124" s="248">
        <f t="shared" si="27"/>
        <v>5439.380165199881</v>
      </c>
      <c r="AJ124" s="248">
        <f t="shared" ca="1" si="18"/>
        <v>-1569.380165199881</v>
      </c>
      <c r="AK124" s="248">
        <f t="shared" ca="1" si="19"/>
        <v>-3375.380165199881</v>
      </c>
    </row>
    <row r="125" spans="2:37" ht="15.95" customHeight="1" x14ac:dyDescent="0.25">
      <c r="B125" s="136">
        <v>122</v>
      </c>
      <c r="C125" s="144" t="s">
        <v>1208</v>
      </c>
      <c r="D125" s="165" t="s">
        <v>838</v>
      </c>
      <c r="E125" s="139" t="s">
        <v>11</v>
      </c>
      <c r="F125" s="140" t="s">
        <v>22</v>
      </c>
      <c r="G125" s="140" t="s">
        <v>1076</v>
      </c>
      <c r="H125" s="140" t="s">
        <v>1082</v>
      </c>
      <c r="I125" s="140" t="s">
        <v>459</v>
      </c>
      <c r="J125" s="141" t="s">
        <v>1079</v>
      </c>
      <c r="K125" s="142">
        <v>42341</v>
      </c>
      <c r="L125" s="142">
        <v>42411</v>
      </c>
      <c r="M125" s="134">
        <v>42425</v>
      </c>
      <c r="N125" s="140">
        <v>70</v>
      </c>
      <c r="O125" s="143">
        <v>1200</v>
      </c>
      <c r="P125" s="143" t="s">
        <v>1080</v>
      </c>
      <c r="Q125" s="223" t="s">
        <v>14</v>
      </c>
      <c r="R125" s="223" t="s">
        <v>298</v>
      </c>
      <c r="S125" s="223" t="s">
        <v>22</v>
      </c>
      <c r="T125" s="224" t="str">
        <f t="shared" si="28"/>
        <v>LB</v>
      </c>
      <c r="U125" s="223" t="str">
        <f t="shared" si="29"/>
        <v>LB-NW-Prod</v>
      </c>
      <c r="V125" s="223" t="str">
        <f t="array" ref="V125">CONCATENATE(Q125,"-",R125)</f>
        <v>NW-Prod</v>
      </c>
      <c r="W125" s="239">
        <f>IF(ISERROR(VLOOKUP(T125,'15-16_DP_Tables'!$M$2:$V$8,MATCH(V125,INDEX('15-16_DP_Tables'!$M$2:$V$8,1,0),0),0)),0,VLOOKUP(T125,'15-16_DP_Tables'!$M$2:$V$8,MATCH(V125,INDEX('15-16_DP_Tables'!$M$2:$V$8,1,0),0),0))</f>
        <v>55.81537142381022</v>
      </c>
      <c r="X125" s="239">
        <f t="array" ref="X125">IF(ISERROR(VLOOKUP(T125,'15-16_DP_Tables'!$M$12:$V$18,MATCH(V125,INDEX('15-16_DP_Tables'!$M$12:$V$18,1,0),0),0)),0,VLOOKUP(T125,'15-16_DP_Tables'!$M$12:$V$18,MATCH(V125,INDEX('15-16_DP_Tables'!$M$12:$V$18,1,0),0),0))</f>
        <v>45.207999999999998</v>
      </c>
      <c r="Y125" s="223" t="str">
        <f t="shared" si="30"/>
        <v>Slant</v>
      </c>
      <c r="Z125" s="223">
        <v>5</v>
      </c>
      <c r="AA125" s="249" t="e">
        <f>VLOOKUP(T125,'Planning and Target Times'!$A$74:$L$78,MATCH(E125&amp;"-"&amp;Q125&amp;"-"&amp;Y125&amp;"-"&amp;R125,INDEX('Planning and Target Times'!$A$74:$L$78,1,0),0),0)</f>
        <v>#N/A</v>
      </c>
      <c r="AB125" s="249" t="e">
        <f>VLOOKUP(T125,'Planning and Target Times'!$A$97:$L$101,MATCH(E125&amp;"-"&amp;Q125&amp;"-"&amp;Y125&amp;"-"&amp;R125,INDEX('Planning and Target Times'!$A$97:$L$101,1,0),0),0)</f>
        <v>#N/A</v>
      </c>
      <c r="AC125" s="250">
        <f t="shared" si="20"/>
        <v>21.499453813328802</v>
      </c>
      <c r="AD125" s="250">
        <f t="shared" si="21"/>
        <v>26.543974517784463</v>
      </c>
      <c r="AE125" s="248">
        <f t="shared" si="26"/>
        <v>6813.9640151809062</v>
      </c>
      <c r="AF125" s="248">
        <f t="shared" si="31"/>
        <v>4136.0359848190938</v>
      </c>
      <c r="AG125" s="248">
        <f t="shared" ca="1" si="16"/>
        <v>-2943.9640151809062</v>
      </c>
      <c r="AH125" s="248">
        <f t="shared" ca="1" si="17"/>
        <v>-4749.9640151809062</v>
      </c>
      <c r="AI125" s="248">
        <f t="shared" si="27"/>
        <v>5489.5881651998807</v>
      </c>
      <c r="AJ125" s="248">
        <f t="shared" ca="1" si="18"/>
        <v>-1619.5881651998807</v>
      </c>
      <c r="AK125" s="248">
        <f t="shared" ca="1" si="19"/>
        <v>-3425.5881651998807</v>
      </c>
    </row>
    <row r="126" spans="2:37" ht="15.95" customHeight="1" x14ac:dyDescent="0.25">
      <c r="B126" s="136">
        <v>141</v>
      </c>
      <c r="C126" s="144" t="s">
        <v>1231</v>
      </c>
      <c r="D126" s="165" t="s">
        <v>19</v>
      </c>
      <c r="E126" s="150" t="s">
        <v>42</v>
      </c>
      <c r="F126" s="140" t="s">
        <v>44</v>
      </c>
      <c r="G126" s="140" t="s">
        <v>1076</v>
      </c>
      <c r="H126" s="140" t="s">
        <v>1082</v>
      </c>
      <c r="I126" s="140" t="s">
        <v>459</v>
      </c>
      <c r="J126" s="141" t="s">
        <v>1079</v>
      </c>
      <c r="K126" s="142">
        <v>42341</v>
      </c>
      <c r="L126" s="142">
        <v>42439</v>
      </c>
      <c r="M126" s="134">
        <v>42453</v>
      </c>
      <c r="N126" s="140">
        <v>98</v>
      </c>
      <c r="O126" s="143">
        <v>2200</v>
      </c>
      <c r="P126" s="135" t="s">
        <v>1096</v>
      </c>
      <c r="Q126" s="223" t="s">
        <v>14</v>
      </c>
      <c r="R126" s="223" t="s">
        <v>298</v>
      </c>
      <c r="S126" s="223" t="s">
        <v>44</v>
      </c>
      <c r="T126" s="224" t="str">
        <f t="shared" si="28"/>
        <v>ZU/RT</v>
      </c>
      <c r="U126" s="223" t="str">
        <f t="shared" si="29"/>
        <v>ZU-NW-Prod</v>
      </c>
      <c r="V126" s="223" t="str">
        <f t="array" ref="V126">CONCATENATE(Q126,"-",R126)</f>
        <v>NW-Prod</v>
      </c>
      <c r="W126" s="239">
        <f>IF(ISERROR(VLOOKUP(T126,'15-16_DP_Tables'!$M$2:$V$8,MATCH(V126,INDEX('15-16_DP_Tables'!$M$2:$V$8,1,0),0),0)),0,VLOOKUP(T126,'15-16_DP_Tables'!$M$2:$V$8,MATCH(V126,INDEX('15-16_DP_Tables'!$M$2:$V$8,1,0),0),0))</f>
        <v>99.088549999999998</v>
      </c>
      <c r="X126" s="239">
        <f t="array" ref="X126">IF(ISERROR(VLOOKUP(T126,'15-16_DP_Tables'!$M$12:$V$18,MATCH(V126,INDEX('15-16_DP_Tables'!$M$12:$V$18,1,0),0),0)),0,VLOOKUP(T126,'15-16_DP_Tables'!$M$12:$V$18,MATCH(V126,INDEX('15-16_DP_Tables'!$M$12:$V$18,1,0),0),0))</f>
        <v>53.375</v>
      </c>
      <c r="Y126" s="223" t="str">
        <f t="shared" si="30"/>
        <v>Unknown</v>
      </c>
      <c r="Z126" s="223">
        <v>5</v>
      </c>
      <c r="AA126" s="249" t="e">
        <f>VLOOKUP(T126,'Planning and Target Times'!$A$74:$L$78,MATCH(E126&amp;"-"&amp;Q126&amp;"-"&amp;Y126&amp;"-"&amp;R126,INDEX('Planning and Target Times'!$A$74:$L$78,1,0),0),0)</f>
        <v>#N/A</v>
      </c>
      <c r="AB126" s="249" t="e">
        <f>VLOOKUP(T126,'Planning and Target Times'!$A$97:$L$101,MATCH(E126&amp;"-"&amp;Q126&amp;"-"&amp;Y126&amp;"-"&amp;R126,INDEX('Planning and Target Times'!$A$97:$L$101,1,0),0),0)</f>
        <v>#N/A</v>
      </c>
      <c r="AC126" s="250">
        <f t="shared" si="20"/>
        <v>22.202363441588357</v>
      </c>
      <c r="AD126" s="250">
        <f t="shared" si="21"/>
        <v>41.217798594847778</v>
      </c>
      <c r="AE126" s="248">
        <f t="shared" si="26"/>
        <v>6918.0525651809066</v>
      </c>
      <c r="AF126" s="248">
        <f t="shared" si="31"/>
        <v>4031.9474348190934</v>
      </c>
      <c r="AG126" s="248">
        <f t="shared" ca="1" si="16"/>
        <v>-3048.0525651809066</v>
      </c>
      <c r="AH126" s="248">
        <f t="shared" ca="1" si="17"/>
        <v>-4854.0525651809066</v>
      </c>
      <c r="AI126" s="248">
        <f t="shared" si="27"/>
        <v>5547.9631651998807</v>
      </c>
      <c r="AJ126" s="248">
        <f t="shared" ca="1" si="18"/>
        <v>-1677.9631651998807</v>
      </c>
      <c r="AK126" s="248">
        <f t="shared" ca="1" si="19"/>
        <v>-3483.9631651998807</v>
      </c>
    </row>
    <row r="127" spans="2:37" ht="15.95" customHeight="1" x14ac:dyDescent="0.25">
      <c r="B127" s="136">
        <v>107</v>
      </c>
      <c r="C127" s="144" t="s">
        <v>1193</v>
      </c>
      <c r="D127" s="157" t="s">
        <v>735</v>
      </c>
      <c r="E127" s="139" t="s">
        <v>11</v>
      </c>
      <c r="F127" s="140" t="s">
        <v>29</v>
      </c>
      <c r="G127" s="140" t="s">
        <v>1076</v>
      </c>
      <c r="H127" s="140" t="s">
        <v>1082</v>
      </c>
      <c r="I127" s="140" t="s">
        <v>459</v>
      </c>
      <c r="J127" s="141" t="s">
        <v>1079</v>
      </c>
      <c r="K127" s="142">
        <v>42348</v>
      </c>
      <c r="L127" s="142">
        <v>42418</v>
      </c>
      <c r="M127" s="134">
        <v>42432</v>
      </c>
      <c r="N127" s="140">
        <v>70</v>
      </c>
      <c r="O127" s="143">
        <v>1200</v>
      </c>
      <c r="P127" s="135" t="s">
        <v>1080</v>
      </c>
      <c r="Q127" s="223" t="s">
        <v>14</v>
      </c>
      <c r="R127" s="223" t="s">
        <v>298</v>
      </c>
      <c r="S127" s="223" t="s">
        <v>29</v>
      </c>
      <c r="T127" s="224" t="str">
        <f t="shared" si="28"/>
        <v>UB</v>
      </c>
      <c r="U127" s="223" t="str">
        <f t="shared" si="29"/>
        <v>UB-NW-Prod</v>
      </c>
      <c r="V127" s="223" t="str">
        <f t="array" ref="V127">CONCATENATE(Q127,"-",R127)</f>
        <v>NW-Prod</v>
      </c>
      <c r="W127" s="239">
        <f>IF(ISERROR(VLOOKUP(T127,'15-16_DP_Tables'!$M$2:$V$8,MATCH(V127,INDEX('15-16_DP_Tables'!$M$2:$V$8,1,0),0),0)),0,VLOOKUP(T127,'15-16_DP_Tables'!$M$2:$V$8,MATCH(V127,INDEX('15-16_DP_Tables'!$M$2:$V$8,1,0),0),0))</f>
        <v>53.604164999999995</v>
      </c>
      <c r="X127" s="239">
        <f t="array" ref="X127">IF(ISERROR(VLOOKUP(T127,'15-16_DP_Tables'!$M$12:$V$18,MATCH(V127,INDEX('15-16_DP_Tables'!$M$12:$V$18,1,0),0),0)),0,VLOOKUP(T127,'15-16_DP_Tables'!$M$12:$V$18,MATCH(V127,INDEX('15-16_DP_Tables'!$M$12:$V$18,1,0),0),0))</f>
        <v>48</v>
      </c>
      <c r="Y127" s="223" t="str">
        <f t="shared" si="30"/>
        <v>Horizontal</v>
      </c>
      <c r="Z127" s="223">
        <v>5</v>
      </c>
      <c r="AA127" s="249" t="e">
        <f>VLOOKUP(T127,'Planning and Target Times'!$A$74:$L$78,MATCH(E127&amp;"-"&amp;Q127&amp;"-"&amp;Y127&amp;"-"&amp;R127,INDEX('Planning and Target Times'!$A$74:$L$78,1,0),0),0)</f>
        <v>#N/A</v>
      </c>
      <c r="AB127" s="249" t="e">
        <f>VLOOKUP(T127,'Planning and Target Times'!$A$97:$L$101,MATCH(E127&amp;"-"&amp;Q127&amp;"-"&amp;Y127&amp;"-"&amp;R127,INDEX('Planning and Target Times'!$A$97:$L$101,1,0),0),0)</f>
        <v>#N/A</v>
      </c>
      <c r="AC127" s="250">
        <f t="shared" si="20"/>
        <v>22.386320167472064</v>
      </c>
      <c r="AD127" s="250">
        <f t="shared" si="21"/>
        <v>25</v>
      </c>
      <c r="AE127" s="248">
        <f t="shared" si="26"/>
        <v>6976.6567301809064</v>
      </c>
      <c r="AF127" s="248">
        <f t="shared" si="31"/>
        <v>3973.3432698190936</v>
      </c>
      <c r="AG127" s="248">
        <f t="shared" ca="1" si="16"/>
        <v>-3106.6567301809064</v>
      </c>
      <c r="AH127" s="248">
        <f t="shared" ca="1" si="17"/>
        <v>-4912.6567301809064</v>
      </c>
      <c r="AI127" s="248">
        <f t="shared" si="27"/>
        <v>5600.9631651998807</v>
      </c>
      <c r="AJ127" s="248">
        <f t="shared" ca="1" si="18"/>
        <v>-1730.9631651998807</v>
      </c>
      <c r="AK127" s="248">
        <f t="shared" ca="1" si="19"/>
        <v>-3536.9631651998807</v>
      </c>
    </row>
    <row r="128" spans="2:37" ht="15.95" customHeight="1" x14ac:dyDescent="0.25">
      <c r="B128" s="136">
        <v>134</v>
      </c>
      <c r="C128" s="164" t="s">
        <v>1223</v>
      </c>
      <c r="D128" s="171" t="s">
        <v>1221</v>
      </c>
      <c r="E128" s="139" t="s">
        <v>42</v>
      </c>
      <c r="F128" s="140" t="s">
        <v>17</v>
      </c>
      <c r="G128" s="140" t="s">
        <v>1076</v>
      </c>
      <c r="H128" s="140" t="s">
        <v>1082</v>
      </c>
      <c r="I128" s="140" t="s">
        <v>459</v>
      </c>
      <c r="J128" s="141" t="s">
        <v>1079</v>
      </c>
      <c r="K128" s="142">
        <v>42354</v>
      </c>
      <c r="L128" s="142">
        <v>42424</v>
      </c>
      <c r="M128" s="134">
        <v>42438</v>
      </c>
      <c r="N128" s="140">
        <v>70</v>
      </c>
      <c r="O128" s="143">
        <v>1500</v>
      </c>
      <c r="P128" s="135" t="s">
        <v>1096</v>
      </c>
      <c r="Q128" s="223" t="s">
        <v>14</v>
      </c>
      <c r="R128" s="223" t="s">
        <v>298</v>
      </c>
      <c r="S128" s="223" t="s">
        <v>17</v>
      </c>
      <c r="T128" s="224" t="str">
        <f t="shared" si="28"/>
        <v>MA</v>
      </c>
      <c r="U128" s="223" t="str">
        <f t="shared" si="29"/>
        <v>MA-NW-Prod</v>
      </c>
      <c r="V128" s="223" t="str">
        <f t="array" ref="V128">CONCATENATE(Q128,"-",R128)</f>
        <v>NW-Prod</v>
      </c>
      <c r="W128" s="239">
        <f>IF(ISERROR(VLOOKUP(T128,'15-16_DP_Tables'!$M$2:$V$8,MATCH(V128,INDEX('15-16_DP_Tables'!$M$2:$V$8,1,0),0),0)),0,VLOOKUP(T128,'15-16_DP_Tables'!$M$2:$V$8,MATCH(V128,INDEX('15-16_DP_Tables'!$M$2:$V$8,1,0),0),0))</f>
        <v>57.083333333332121</v>
      </c>
      <c r="X128" s="239">
        <f t="array" ref="X128">IF(ISERROR(VLOOKUP(T128,'15-16_DP_Tables'!$M$12:$V$18,MATCH(V128,INDEX('15-16_DP_Tables'!$M$12:$V$18,1,0),0),0)),0,VLOOKUP(T128,'15-16_DP_Tables'!$M$12:$V$18,MATCH(V128,INDEX('15-16_DP_Tables'!$M$12:$V$18,1,0),0),0))</f>
        <v>47.791666666664241</v>
      </c>
      <c r="Y128" s="223" t="str">
        <f t="shared" si="30"/>
        <v>Horizontal</v>
      </c>
      <c r="Z128" s="223">
        <v>5</v>
      </c>
      <c r="AA128" s="249" t="e">
        <f>VLOOKUP(T128,'Planning and Target Times'!$A$74:$L$78,MATCH(E128&amp;"-"&amp;Q128&amp;"-"&amp;Y128&amp;"-"&amp;R128,INDEX('Planning and Target Times'!$A$74:$L$78,1,0),0),0)</f>
        <v>#N/A</v>
      </c>
      <c r="AB128" s="249" t="e">
        <f>VLOOKUP(T128,'Planning and Target Times'!$A$97:$L$101,MATCH(E128&amp;"-"&amp;Q128&amp;"-"&amp;Y128&amp;"-"&amp;R128,INDEX('Planning and Target Times'!$A$97:$L$101,1,0),0),0)</f>
        <v>#N/A</v>
      </c>
      <c r="AC128" s="250">
        <f t="shared" si="20"/>
        <v>26.277372262774282</v>
      </c>
      <c r="AD128" s="250">
        <f t="shared" si="21"/>
        <v>31.386224934613622</v>
      </c>
      <c r="AE128" s="248">
        <f t="shared" si="26"/>
        <v>7038.7400635142385</v>
      </c>
      <c r="AF128" s="248">
        <f t="shared" si="31"/>
        <v>3911.2599364857615</v>
      </c>
      <c r="AG128" s="248">
        <f t="shared" ref="AG128:AG160" ca="1" si="32">(30*$AG$3)-AE128</f>
        <v>-3168.7400635142385</v>
      </c>
      <c r="AH128" s="248">
        <f t="shared" ref="AH128:AH160" ca="1" si="33">($AH$3*$AG$3)-AE128</f>
        <v>-4974.7400635142385</v>
      </c>
      <c r="AI128" s="248">
        <f t="shared" si="27"/>
        <v>5653.7548318665449</v>
      </c>
      <c r="AJ128" s="248">
        <f t="shared" ref="AJ128:AJ160" ca="1" si="34">(30*$AJ$3)-AI128</f>
        <v>-1783.7548318665449</v>
      </c>
      <c r="AK128" s="248">
        <f t="shared" ref="AK128:AK160" ca="1" si="35">($AJ$3*$AK$3)-AI128</f>
        <v>-3589.7548318665449</v>
      </c>
    </row>
    <row r="129" spans="2:37" ht="15.95" customHeight="1" x14ac:dyDescent="0.25">
      <c r="B129" s="136">
        <v>82</v>
      </c>
      <c r="C129" s="144" t="s">
        <v>1168</v>
      </c>
      <c r="D129" s="184" t="s">
        <v>511</v>
      </c>
      <c r="E129" s="150" t="s">
        <v>42</v>
      </c>
      <c r="F129" s="140" t="s">
        <v>29</v>
      </c>
      <c r="G129" s="140" t="s">
        <v>1076</v>
      </c>
      <c r="H129" s="140" t="s">
        <v>1082</v>
      </c>
      <c r="I129" s="140" t="s">
        <v>459</v>
      </c>
      <c r="J129" s="141" t="s">
        <v>1079</v>
      </c>
      <c r="K129" s="142">
        <v>42355</v>
      </c>
      <c r="L129" s="142">
        <v>42425</v>
      </c>
      <c r="M129" s="134">
        <v>42439</v>
      </c>
      <c r="N129" s="140">
        <v>70</v>
      </c>
      <c r="O129" s="143">
        <v>2000</v>
      </c>
      <c r="P129" s="143" t="s">
        <v>1096</v>
      </c>
      <c r="Q129" s="223" t="s">
        <v>14</v>
      </c>
      <c r="R129" s="223" t="s">
        <v>298</v>
      </c>
      <c r="S129" s="223" t="s">
        <v>29</v>
      </c>
      <c r="T129" s="224" t="str">
        <f t="shared" si="28"/>
        <v>UB</v>
      </c>
      <c r="U129" s="223" t="str">
        <f t="shared" si="29"/>
        <v>UB-NW-Prod</v>
      </c>
      <c r="V129" s="223" t="str">
        <f t="array" ref="V129">CONCATENATE(Q129,"-",R129)</f>
        <v>NW-Prod</v>
      </c>
      <c r="W129" s="239">
        <f>IF(ISERROR(VLOOKUP(T129,'15-16_DP_Tables'!$M$2:$V$8,MATCH(V129,INDEX('15-16_DP_Tables'!$M$2:$V$8,1,0),0),0)),0,VLOOKUP(T129,'15-16_DP_Tables'!$M$2:$V$8,MATCH(V129,INDEX('15-16_DP_Tables'!$M$2:$V$8,1,0),0),0))</f>
        <v>53.604164999999995</v>
      </c>
      <c r="X129" s="239">
        <f t="array" ref="X129">IF(ISERROR(VLOOKUP(T129,'15-16_DP_Tables'!$M$12:$V$18,MATCH(V129,INDEX('15-16_DP_Tables'!$M$12:$V$18,1,0),0),0)),0,VLOOKUP(T129,'15-16_DP_Tables'!$M$12:$V$18,MATCH(V129,INDEX('15-16_DP_Tables'!$M$12:$V$18,1,0),0),0))</f>
        <v>48</v>
      </c>
      <c r="Y129" s="223" t="str">
        <f t="shared" si="30"/>
        <v>Unknown</v>
      </c>
      <c r="Z129" s="223">
        <v>5</v>
      </c>
      <c r="AA129" s="249" t="e">
        <f>VLOOKUP(T129,'Planning and Target Times'!$A$74:$L$78,MATCH(E129&amp;"-"&amp;Q129&amp;"-"&amp;Y129&amp;"-"&amp;R129,INDEX('Planning and Target Times'!$A$74:$L$78,1,0),0),0)</f>
        <v>#N/A</v>
      </c>
      <c r="AB129" s="249" t="e">
        <f>VLOOKUP(T129,'Planning and Target Times'!$A$97:$L$101,MATCH(E129&amp;"-"&amp;Q129&amp;"-"&amp;Y129&amp;"-"&amp;R129,INDEX('Planning and Target Times'!$A$97:$L$101,1,0),0),0)</f>
        <v>#N/A</v>
      </c>
      <c r="AC129" s="250">
        <f t="shared" ref="AC129:AC160" si="36">IF(ISERROR(O129/W129),0,(O129/W129))</f>
        <v>37.31053361245344</v>
      </c>
      <c r="AD129" s="250">
        <f t="shared" ref="AD129:AD160" si="37">IF(ISERROR(O129/X129),0,(O129/X129))</f>
        <v>41.666666666666664</v>
      </c>
      <c r="AE129" s="248">
        <f t="shared" si="26"/>
        <v>7097.3442285142382</v>
      </c>
      <c r="AF129" s="248">
        <f t="shared" si="31"/>
        <v>3852.6557714857618</v>
      </c>
      <c r="AG129" s="248">
        <f t="shared" ca="1" si="32"/>
        <v>-3227.3442285142382</v>
      </c>
      <c r="AH129" s="248">
        <f t="shared" ca="1" si="33"/>
        <v>-5033.3442285142382</v>
      </c>
      <c r="AI129" s="248">
        <f t="shared" si="27"/>
        <v>5706.7548318665449</v>
      </c>
      <c r="AJ129" s="248">
        <f t="shared" ca="1" si="34"/>
        <v>-1836.7548318665449</v>
      </c>
      <c r="AK129" s="248">
        <f t="shared" ca="1" si="35"/>
        <v>-3642.7548318665449</v>
      </c>
    </row>
    <row r="130" spans="2:37" ht="15.95" customHeight="1" x14ac:dyDescent="0.25">
      <c r="B130" s="136">
        <v>149</v>
      </c>
      <c r="C130" s="144" t="s">
        <v>1241</v>
      </c>
      <c r="D130" s="194" t="s">
        <v>1239</v>
      </c>
      <c r="E130" s="150" t="s">
        <v>11</v>
      </c>
      <c r="F130" s="140" t="s">
        <v>17</v>
      </c>
      <c r="G130" s="140" t="s">
        <v>1076</v>
      </c>
      <c r="H130" s="140" t="s">
        <v>1082</v>
      </c>
      <c r="I130" s="140" t="s">
        <v>459</v>
      </c>
      <c r="J130" s="141" t="s">
        <v>1079</v>
      </c>
      <c r="K130" s="142">
        <v>42357</v>
      </c>
      <c r="L130" s="142">
        <v>42427</v>
      </c>
      <c r="M130" s="134">
        <v>42441</v>
      </c>
      <c r="N130" s="140">
        <v>70</v>
      </c>
      <c r="O130" s="143">
        <v>1400</v>
      </c>
      <c r="P130" s="135" t="s">
        <v>1096</v>
      </c>
      <c r="Q130" s="223" t="s">
        <v>14</v>
      </c>
      <c r="R130" s="223" t="s">
        <v>298</v>
      </c>
      <c r="S130" s="223" t="s">
        <v>17</v>
      </c>
      <c r="T130" s="224" t="str">
        <f t="shared" si="28"/>
        <v>MA</v>
      </c>
      <c r="U130" s="223" t="str">
        <f t="shared" si="29"/>
        <v>MA-NW-Prod</v>
      </c>
      <c r="V130" s="223" t="str">
        <f t="array" ref="V130">CONCATENATE(Q130,"-",R130)</f>
        <v>NW-Prod</v>
      </c>
      <c r="W130" s="239">
        <f>IF(ISERROR(VLOOKUP(T130,'15-16_DP_Tables'!$M$2:$V$8,MATCH(V130,INDEX('15-16_DP_Tables'!$M$2:$V$8,1,0),0),0)),0,VLOOKUP(T130,'15-16_DP_Tables'!$M$2:$V$8,MATCH(V130,INDEX('15-16_DP_Tables'!$M$2:$V$8,1,0),0),0))</f>
        <v>57.083333333332121</v>
      </c>
      <c r="X130" s="239">
        <f t="array" ref="X130">IF(ISERROR(VLOOKUP(T130,'15-16_DP_Tables'!$M$12:$V$18,MATCH(V130,INDEX('15-16_DP_Tables'!$M$12:$V$18,1,0),0),0)),0,VLOOKUP(T130,'15-16_DP_Tables'!$M$12:$V$18,MATCH(V130,INDEX('15-16_DP_Tables'!$M$12:$V$18,1,0),0),0))</f>
        <v>47.791666666664241</v>
      </c>
      <c r="Y130" s="223" t="str">
        <f t="shared" si="30"/>
        <v>Horizontal</v>
      </c>
      <c r="Z130" s="223">
        <v>5</v>
      </c>
      <c r="AA130" s="249" t="e">
        <f>VLOOKUP(T130,'Planning and Target Times'!$A$74:$L$78,MATCH(E130&amp;"-"&amp;Q130&amp;"-"&amp;Y130&amp;"-"&amp;R130,INDEX('Planning and Target Times'!$A$74:$L$78,1,0),0),0)</f>
        <v>#N/A</v>
      </c>
      <c r="AB130" s="249" t="e">
        <f>VLOOKUP(T130,'Planning and Target Times'!$A$97:$L$101,MATCH(E130&amp;"-"&amp;Q130&amp;"-"&amp;Y130&amp;"-"&amp;R130,INDEX('Planning and Target Times'!$A$97:$L$101,1,0),0),0)</f>
        <v>#N/A</v>
      </c>
      <c r="AC130" s="250">
        <f t="shared" si="36"/>
        <v>24.525547445255995</v>
      </c>
      <c r="AD130" s="250">
        <f t="shared" si="37"/>
        <v>29.293809938972714</v>
      </c>
      <c r="AE130" s="248">
        <f t="shared" si="26"/>
        <v>7159.4275618475704</v>
      </c>
      <c r="AF130" s="248">
        <f t="shared" si="31"/>
        <v>3790.5724381524296</v>
      </c>
      <c r="AG130" s="248">
        <f t="shared" ca="1" si="32"/>
        <v>-3289.4275618475704</v>
      </c>
      <c r="AH130" s="248">
        <f t="shared" ca="1" si="33"/>
        <v>-5095.4275618475704</v>
      </c>
      <c r="AI130" s="248">
        <f t="shared" si="27"/>
        <v>5759.5464985332092</v>
      </c>
      <c r="AJ130" s="248">
        <f t="shared" ca="1" si="34"/>
        <v>-1889.5464985332092</v>
      </c>
      <c r="AK130" s="248">
        <f t="shared" ca="1" si="35"/>
        <v>-3695.5464985332092</v>
      </c>
    </row>
    <row r="131" spans="2:37" ht="15.95" customHeight="1" x14ac:dyDescent="0.25">
      <c r="B131" s="136">
        <v>41</v>
      </c>
      <c r="C131" s="144" t="s">
        <v>1125</v>
      </c>
      <c r="D131" s="165" t="s">
        <v>1116</v>
      </c>
      <c r="E131" s="139" t="s">
        <v>42</v>
      </c>
      <c r="F131" s="140" t="s">
        <v>17</v>
      </c>
      <c r="G131" s="140" t="s">
        <v>1076</v>
      </c>
      <c r="H131" s="140" t="s">
        <v>1082</v>
      </c>
      <c r="I131" s="140" t="s">
        <v>459</v>
      </c>
      <c r="J131" s="141" t="s">
        <v>1079</v>
      </c>
      <c r="K131" s="142">
        <v>42358</v>
      </c>
      <c r="L131" s="142">
        <v>42428</v>
      </c>
      <c r="M131" s="134">
        <v>42442</v>
      </c>
      <c r="N131" s="140">
        <v>70</v>
      </c>
      <c r="O131" s="143">
        <v>1500</v>
      </c>
      <c r="P131" s="135" t="s">
        <v>1096</v>
      </c>
      <c r="Q131" s="223" t="s">
        <v>14</v>
      </c>
      <c r="R131" s="223" t="s">
        <v>298</v>
      </c>
      <c r="S131" s="223" t="s">
        <v>17</v>
      </c>
      <c r="T131" s="224" t="str">
        <f t="shared" si="28"/>
        <v>MA</v>
      </c>
      <c r="U131" s="223" t="str">
        <f t="shared" si="29"/>
        <v>MA-NW-Prod</v>
      </c>
      <c r="V131" s="223" t="str">
        <f t="array" ref="V131">CONCATENATE(Q131,"-",R131)</f>
        <v>NW-Prod</v>
      </c>
      <c r="W131" s="239">
        <f>IF(ISERROR(VLOOKUP(T131,'15-16_DP_Tables'!$M$2:$V$8,MATCH(V131,INDEX('15-16_DP_Tables'!$M$2:$V$8,1,0),0),0)),0,VLOOKUP(T131,'15-16_DP_Tables'!$M$2:$V$8,MATCH(V131,INDEX('15-16_DP_Tables'!$M$2:$V$8,1,0),0),0))</f>
        <v>57.083333333332121</v>
      </c>
      <c r="X131" s="239">
        <f t="array" ref="X131">IF(ISERROR(VLOOKUP(T131,'15-16_DP_Tables'!$M$12:$V$18,MATCH(V131,INDEX('15-16_DP_Tables'!$M$12:$V$18,1,0),0),0)),0,VLOOKUP(T131,'15-16_DP_Tables'!$M$12:$V$18,MATCH(V131,INDEX('15-16_DP_Tables'!$M$12:$V$18,1,0),0),0))</f>
        <v>47.791666666664241</v>
      </c>
      <c r="Y131" s="223" t="str">
        <f t="shared" si="30"/>
        <v>Horizontal</v>
      </c>
      <c r="Z131" s="223">
        <v>5</v>
      </c>
      <c r="AA131" s="249" t="e">
        <f>VLOOKUP(T131,'Planning and Target Times'!$A$74:$L$78,MATCH(E131&amp;"-"&amp;Q131&amp;"-"&amp;Y131&amp;"-"&amp;R131,INDEX('Planning and Target Times'!$A$74:$L$78,1,0),0),0)</f>
        <v>#N/A</v>
      </c>
      <c r="AB131" s="249" t="e">
        <f>VLOOKUP(T131,'Planning and Target Times'!$A$97:$L$101,MATCH(E131&amp;"-"&amp;Q131&amp;"-"&amp;Y131&amp;"-"&amp;R131,INDEX('Planning and Target Times'!$A$97:$L$101,1,0),0),0)</f>
        <v>#N/A</v>
      </c>
      <c r="AC131" s="250">
        <f t="shared" si="36"/>
        <v>26.277372262774282</v>
      </c>
      <c r="AD131" s="250">
        <f t="shared" si="37"/>
        <v>31.386224934613622</v>
      </c>
      <c r="AE131" s="248">
        <f t="shared" si="26"/>
        <v>7221.5108951809025</v>
      </c>
      <c r="AF131" s="248">
        <f t="shared" si="31"/>
        <v>3728.4891048190975</v>
      </c>
      <c r="AG131" s="248">
        <f t="shared" ca="1" si="32"/>
        <v>-3351.5108951809025</v>
      </c>
      <c r="AH131" s="248">
        <f t="shared" ca="1" si="33"/>
        <v>-5157.5108951809025</v>
      </c>
      <c r="AI131" s="248">
        <f t="shared" si="27"/>
        <v>5812.3381651998734</v>
      </c>
      <c r="AJ131" s="248">
        <f t="shared" ca="1" si="34"/>
        <v>-1942.3381651998734</v>
      </c>
      <c r="AK131" s="248">
        <f t="shared" ca="1" si="35"/>
        <v>-3748.3381651998734</v>
      </c>
    </row>
    <row r="132" spans="2:37" ht="15.95" customHeight="1" x14ac:dyDescent="0.25">
      <c r="B132" s="136">
        <v>60</v>
      </c>
      <c r="C132" s="144" t="s">
        <v>1146</v>
      </c>
      <c r="D132" s="178" t="s">
        <v>1137</v>
      </c>
      <c r="E132" s="150" t="s">
        <v>11</v>
      </c>
      <c r="F132" s="140" t="s">
        <v>29</v>
      </c>
      <c r="G132" s="140" t="s">
        <v>1086</v>
      </c>
      <c r="H132" s="140" t="s">
        <v>1082</v>
      </c>
      <c r="I132" s="140" t="s">
        <v>459</v>
      </c>
      <c r="J132" s="141" t="s">
        <v>1079</v>
      </c>
      <c r="K132" s="142">
        <v>42361</v>
      </c>
      <c r="L132" s="142">
        <v>42424</v>
      </c>
      <c r="M132" s="134">
        <v>42438</v>
      </c>
      <c r="N132" s="140">
        <v>63</v>
      </c>
      <c r="O132" s="143"/>
      <c r="P132" s="143" t="s">
        <v>1096</v>
      </c>
      <c r="Q132" s="223" t="s">
        <v>14</v>
      </c>
      <c r="R132" s="223" t="s">
        <v>34</v>
      </c>
      <c r="S132" s="223" t="s">
        <v>29</v>
      </c>
      <c r="T132" s="224" t="str">
        <f t="shared" si="28"/>
        <v>UB</v>
      </c>
      <c r="U132" s="223" t="str">
        <f t="shared" si="29"/>
        <v>UB-NW-Inj</v>
      </c>
      <c r="V132" s="223" t="str">
        <f t="array" ref="V132">CONCATENATE(Q132,"-",R132)</f>
        <v>NW-Inj</v>
      </c>
      <c r="W132" s="239">
        <f>IF(ISERROR(VLOOKUP(T132,'15-16_DP_Tables'!$M$2:$V$8,MATCH(V132,INDEX('15-16_DP_Tables'!$M$2:$V$8,1,0),0),0)),0,VLOOKUP(T132,'15-16_DP_Tables'!$M$2:$V$8,MATCH(V132,INDEX('15-16_DP_Tables'!$M$2:$V$8,1,0),0),0))</f>
        <v>0</v>
      </c>
      <c r="X132" s="239">
        <f t="array" ref="X132">IF(ISERROR(VLOOKUP(T132,'15-16_DP_Tables'!$M$12:$V$18,MATCH(V132,INDEX('15-16_DP_Tables'!$M$12:$V$18,1,0),0),0)),0,VLOOKUP(T132,'15-16_DP_Tables'!$M$12:$V$18,MATCH(V132,INDEX('15-16_DP_Tables'!$M$12:$V$18,1,0),0),0))</f>
        <v>0</v>
      </c>
      <c r="Y132" s="223" t="str">
        <f t="shared" si="30"/>
        <v>Unknown</v>
      </c>
      <c r="Z132" s="223">
        <v>5</v>
      </c>
      <c r="AA132" s="249" t="e">
        <f>VLOOKUP(T132,'Planning and Target Times'!$A$74:$L$78,MATCH(E132&amp;"-"&amp;Q132&amp;"-"&amp;Y132&amp;"-"&amp;R132,INDEX('Planning and Target Times'!$A$74:$L$78,1,0),0),0)</f>
        <v>#N/A</v>
      </c>
      <c r="AB132" s="249" t="e">
        <f>VLOOKUP(T132,'Planning and Target Times'!$A$97:$L$101,MATCH(E132&amp;"-"&amp;Q132&amp;"-"&amp;Y132&amp;"-"&amp;R132,INDEX('Planning and Target Times'!$A$97:$L$101,1,0),0),0)</f>
        <v>#N/A</v>
      </c>
      <c r="AC132" s="250">
        <f t="shared" si="36"/>
        <v>0</v>
      </c>
      <c r="AD132" s="250">
        <f t="shared" si="37"/>
        <v>0</v>
      </c>
      <c r="AE132" s="248">
        <f t="shared" si="26"/>
        <v>7226.5108951809025</v>
      </c>
      <c r="AF132" s="248">
        <f t="shared" si="31"/>
        <v>3723.4891048190975</v>
      </c>
      <c r="AG132" s="248">
        <f t="shared" ca="1" si="32"/>
        <v>-3356.5108951809025</v>
      </c>
      <c r="AH132" s="248">
        <f t="shared" ca="1" si="33"/>
        <v>-5162.5108951809025</v>
      </c>
      <c r="AI132" s="248">
        <f t="shared" si="27"/>
        <v>5817.3381651998734</v>
      </c>
      <c r="AJ132" s="248">
        <f t="shared" ca="1" si="34"/>
        <v>-1947.3381651998734</v>
      </c>
      <c r="AK132" s="248">
        <f t="shared" ca="1" si="35"/>
        <v>-3753.3381651998734</v>
      </c>
    </row>
    <row r="133" spans="2:37" ht="15.95" customHeight="1" x14ac:dyDescent="0.25">
      <c r="B133" s="136">
        <v>68</v>
      </c>
      <c r="C133" s="144" t="s">
        <v>1154</v>
      </c>
      <c r="D133" s="180" t="s">
        <v>513</v>
      </c>
      <c r="E133" s="150" t="s">
        <v>11</v>
      </c>
      <c r="F133" s="140" t="s">
        <v>22</v>
      </c>
      <c r="G133" s="140" t="s">
        <v>1076</v>
      </c>
      <c r="H133" s="140" t="s">
        <v>1082</v>
      </c>
      <c r="I133" s="140" t="s">
        <v>459</v>
      </c>
      <c r="J133" s="141" t="s">
        <v>1079</v>
      </c>
      <c r="K133" s="142">
        <v>42366</v>
      </c>
      <c r="L133" s="142">
        <v>42436</v>
      </c>
      <c r="M133" s="134">
        <v>42450</v>
      </c>
      <c r="N133" s="140">
        <v>70</v>
      </c>
      <c r="O133" s="143">
        <v>1200</v>
      </c>
      <c r="P133" s="143" t="s">
        <v>1096</v>
      </c>
      <c r="Q133" s="223" t="s">
        <v>14</v>
      </c>
      <c r="R133" s="223" t="s">
        <v>298</v>
      </c>
      <c r="S133" s="223" t="s">
        <v>22</v>
      </c>
      <c r="T133" s="224" t="str">
        <f t="shared" ref="T133:T160" si="38">IF(OR(F133="ZU",F133="RT"),"ZU/RT",F133)</f>
        <v>LB</v>
      </c>
      <c r="U133" s="223" t="str">
        <f t="shared" ref="U133:U160" si="39">CONCATENATE(F133,"-",Q133,"-",R133)</f>
        <v>LB-NW-Prod</v>
      </c>
      <c r="V133" s="223" t="str">
        <f t="array" ref="V133">CONCATENATE(Q133,"-",R133)</f>
        <v>NW-Prod</v>
      </c>
      <c r="W133" s="239">
        <f>IF(ISERROR(VLOOKUP(T133,'15-16_DP_Tables'!$M$2:$V$8,MATCH(V133,INDEX('15-16_DP_Tables'!$M$2:$V$8,1,0),0),0)),0,VLOOKUP(T133,'15-16_DP_Tables'!$M$2:$V$8,MATCH(V133,INDEX('15-16_DP_Tables'!$M$2:$V$8,1,0),0),0))</f>
        <v>55.81537142381022</v>
      </c>
      <c r="X133" s="239">
        <f t="array" ref="X133">IF(ISERROR(VLOOKUP(T133,'15-16_DP_Tables'!$M$12:$V$18,MATCH(V133,INDEX('15-16_DP_Tables'!$M$12:$V$18,1,0),0),0)),0,VLOOKUP(T133,'15-16_DP_Tables'!$M$12:$V$18,MATCH(V133,INDEX('15-16_DP_Tables'!$M$12:$V$18,1,0),0),0))</f>
        <v>45.207999999999998</v>
      </c>
      <c r="Y133" s="223" t="str">
        <f t="shared" ref="Y133:Y160" si="40">IF(OR(ISNUMBER(SEARCH("HST",C133)),ISNUMBER(SEARCH("Horizontal",C133)),ISNUMBER(SEARCH("H",C133))),"Horizontal",IF(OR(ISNUMBER(SEARCH("SLANT",C133))),"Slant","Unknown"))</f>
        <v>Unknown</v>
      </c>
      <c r="Z133" s="223">
        <v>5</v>
      </c>
      <c r="AA133" s="249" t="e">
        <f>VLOOKUP(T133,'Planning and Target Times'!$A$74:$L$78,MATCH(E133&amp;"-"&amp;Q133&amp;"-"&amp;Y133&amp;"-"&amp;R133,INDEX('Planning and Target Times'!$A$74:$L$78,1,0),0),0)</f>
        <v>#N/A</v>
      </c>
      <c r="AB133" s="249" t="e">
        <f>VLOOKUP(T133,'Planning and Target Times'!$A$97:$L$101,MATCH(E133&amp;"-"&amp;Q133&amp;"-"&amp;Y133&amp;"-"&amp;R133,INDEX('Planning and Target Times'!$A$97:$L$101,1,0),0),0)</f>
        <v>#N/A</v>
      </c>
      <c r="AC133" s="250">
        <f t="shared" si="36"/>
        <v>21.499453813328802</v>
      </c>
      <c r="AD133" s="250">
        <f t="shared" si="37"/>
        <v>26.543974517784463</v>
      </c>
      <c r="AE133" s="248">
        <f t="shared" si="26"/>
        <v>7287.3262666047131</v>
      </c>
      <c r="AF133" s="248">
        <f t="shared" ref="AF133:AF160" si="41">(30*365)-AE133</f>
        <v>3662.6737333952869</v>
      </c>
      <c r="AG133" s="248">
        <f t="shared" ca="1" si="32"/>
        <v>-3417.3262666047131</v>
      </c>
      <c r="AH133" s="248">
        <f t="shared" ca="1" si="33"/>
        <v>-5223.3262666047131</v>
      </c>
      <c r="AI133" s="248">
        <f t="shared" si="27"/>
        <v>5867.546165199873</v>
      </c>
      <c r="AJ133" s="248">
        <f t="shared" ca="1" si="34"/>
        <v>-1997.546165199873</v>
      </c>
      <c r="AK133" s="248">
        <f t="shared" ca="1" si="35"/>
        <v>-3803.546165199873</v>
      </c>
    </row>
    <row r="134" spans="2:37" ht="15.95" customHeight="1" x14ac:dyDescent="0.25">
      <c r="B134" s="136">
        <v>75</v>
      </c>
      <c r="C134" s="144" t="s">
        <v>1161</v>
      </c>
      <c r="D134" s="182" t="s">
        <v>512</v>
      </c>
      <c r="E134" s="150" t="s">
        <v>11</v>
      </c>
      <c r="F134" s="140" t="s">
        <v>17</v>
      </c>
      <c r="G134" s="140" t="s">
        <v>1076</v>
      </c>
      <c r="H134" s="140" t="s">
        <v>1082</v>
      </c>
      <c r="I134" s="140" t="s">
        <v>459</v>
      </c>
      <c r="J134" s="141" t="s">
        <v>1079</v>
      </c>
      <c r="K134" s="142">
        <v>42368</v>
      </c>
      <c r="L134" s="142">
        <v>42438</v>
      </c>
      <c r="M134" s="134">
        <v>42452</v>
      </c>
      <c r="N134" s="132">
        <v>70</v>
      </c>
      <c r="O134" s="135">
        <v>1400</v>
      </c>
      <c r="P134" s="135" t="s">
        <v>1096</v>
      </c>
      <c r="Q134" s="223" t="s">
        <v>14</v>
      </c>
      <c r="R134" s="223" t="s">
        <v>298</v>
      </c>
      <c r="S134" s="223" t="s">
        <v>17</v>
      </c>
      <c r="T134" s="224" t="str">
        <f t="shared" si="38"/>
        <v>MA</v>
      </c>
      <c r="U134" s="223" t="str">
        <f t="shared" si="39"/>
        <v>MA-NW-Prod</v>
      </c>
      <c r="V134" s="223" t="str">
        <f t="array" ref="V134">CONCATENATE(Q134,"-",R134)</f>
        <v>NW-Prod</v>
      </c>
      <c r="W134" s="239">
        <f>IF(ISERROR(VLOOKUP(T134,'15-16_DP_Tables'!$M$2:$V$8,MATCH(V134,INDEX('15-16_DP_Tables'!$M$2:$V$8,1,0),0),0)),0,VLOOKUP(T134,'15-16_DP_Tables'!$M$2:$V$8,MATCH(V134,INDEX('15-16_DP_Tables'!$M$2:$V$8,1,0),0),0))</f>
        <v>57.083333333332121</v>
      </c>
      <c r="X134" s="239">
        <f t="array" ref="X134">IF(ISERROR(VLOOKUP(T134,'15-16_DP_Tables'!$M$12:$V$18,MATCH(V134,INDEX('15-16_DP_Tables'!$M$12:$V$18,1,0),0),0)),0,VLOOKUP(T134,'15-16_DP_Tables'!$M$12:$V$18,MATCH(V134,INDEX('15-16_DP_Tables'!$M$12:$V$18,1,0),0),0))</f>
        <v>47.791666666664241</v>
      </c>
      <c r="Y134" s="223" t="str">
        <f t="shared" si="40"/>
        <v>Unknown</v>
      </c>
      <c r="Z134" s="223">
        <v>5</v>
      </c>
      <c r="AA134" s="249" t="e">
        <f>VLOOKUP(T134,'Planning and Target Times'!$A$74:$L$78,MATCH(E134&amp;"-"&amp;Q134&amp;"-"&amp;Y134&amp;"-"&amp;R134,INDEX('Planning and Target Times'!$A$74:$L$78,1,0),0),0)</f>
        <v>#N/A</v>
      </c>
      <c r="AB134" s="249" t="e">
        <f>VLOOKUP(T134,'Planning and Target Times'!$A$97:$L$101,MATCH(E134&amp;"-"&amp;Q134&amp;"-"&amp;Y134&amp;"-"&amp;R134,INDEX('Planning and Target Times'!$A$97:$L$101,1,0),0),0)</f>
        <v>#N/A</v>
      </c>
      <c r="AC134" s="250">
        <f t="shared" si="36"/>
        <v>24.525547445255995</v>
      </c>
      <c r="AD134" s="250">
        <f t="shared" si="37"/>
        <v>29.293809938972714</v>
      </c>
      <c r="AE134" s="248">
        <f t="shared" si="26"/>
        <v>7349.4095999380452</v>
      </c>
      <c r="AF134" s="248">
        <f t="shared" si="41"/>
        <v>3600.5904000619548</v>
      </c>
      <c r="AG134" s="248">
        <f t="shared" ca="1" si="32"/>
        <v>-3479.4095999380452</v>
      </c>
      <c r="AH134" s="248">
        <f t="shared" ca="1" si="33"/>
        <v>-5285.4095999380452</v>
      </c>
      <c r="AI134" s="248">
        <f t="shared" si="27"/>
        <v>5920.3378318665373</v>
      </c>
      <c r="AJ134" s="248">
        <f t="shared" ca="1" si="34"/>
        <v>-2050.3378318665373</v>
      </c>
      <c r="AK134" s="248">
        <f t="shared" ca="1" si="35"/>
        <v>-3856.3378318665373</v>
      </c>
    </row>
    <row r="135" spans="2:37" ht="15.95" customHeight="1" x14ac:dyDescent="0.25">
      <c r="B135" s="136">
        <v>15</v>
      </c>
      <c r="C135" s="144" t="s">
        <v>1097</v>
      </c>
      <c r="D135" s="147" t="s">
        <v>430</v>
      </c>
      <c r="E135" s="150" t="s">
        <v>42</v>
      </c>
      <c r="F135" s="140" t="s">
        <v>17</v>
      </c>
      <c r="G135" s="140" t="s">
        <v>1076</v>
      </c>
      <c r="H135" s="140" t="s">
        <v>1082</v>
      </c>
      <c r="I135" s="140" t="s">
        <v>459</v>
      </c>
      <c r="J135" s="141" t="s">
        <v>1079</v>
      </c>
      <c r="K135" s="142">
        <v>42372</v>
      </c>
      <c r="L135" s="142">
        <v>42442</v>
      </c>
      <c r="M135" s="134">
        <v>42456</v>
      </c>
      <c r="N135" s="140">
        <v>70</v>
      </c>
      <c r="O135" s="143">
        <v>1500</v>
      </c>
      <c r="P135" s="143" t="s">
        <v>1096</v>
      </c>
      <c r="Q135" s="223" t="s">
        <v>14</v>
      </c>
      <c r="R135" s="223" t="s">
        <v>298</v>
      </c>
      <c r="S135" s="223" t="s">
        <v>17</v>
      </c>
      <c r="T135" s="224" t="str">
        <f t="shared" si="38"/>
        <v>MA</v>
      </c>
      <c r="U135" s="223" t="str">
        <f t="shared" si="39"/>
        <v>MA-NW-Prod</v>
      </c>
      <c r="V135" s="223" t="str">
        <f t="array" ref="V135">CONCATENATE(Q135,"-",R135)</f>
        <v>NW-Prod</v>
      </c>
      <c r="W135" s="239">
        <f>IF(ISERROR(VLOOKUP(T135,'15-16_DP_Tables'!$M$2:$V$8,MATCH(V135,INDEX('15-16_DP_Tables'!$M$2:$V$8,1,0),0),0)),0,VLOOKUP(T135,'15-16_DP_Tables'!$M$2:$V$8,MATCH(V135,INDEX('15-16_DP_Tables'!$M$2:$V$8,1,0),0),0))</f>
        <v>57.083333333332121</v>
      </c>
      <c r="X135" s="239">
        <f t="array" ref="X135">IF(ISERROR(VLOOKUP(T135,'15-16_DP_Tables'!$M$12:$V$18,MATCH(V135,INDEX('15-16_DP_Tables'!$M$12:$V$18,1,0),0),0)),0,VLOOKUP(T135,'15-16_DP_Tables'!$M$12:$V$18,MATCH(V135,INDEX('15-16_DP_Tables'!$M$12:$V$18,1,0),0),0))</f>
        <v>47.791666666664241</v>
      </c>
      <c r="Y135" s="223" t="str">
        <f t="shared" si="40"/>
        <v>Unknown</v>
      </c>
      <c r="Z135" s="223">
        <v>5</v>
      </c>
      <c r="AA135" s="249" t="e">
        <f>VLOOKUP(T135,'Planning and Target Times'!$A$74:$L$78,MATCH(E135&amp;"-"&amp;Q135&amp;"-"&amp;Y135&amp;"-"&amp;R135,INDEX('Planning and Target Times'!$A$74:$L$78,1,0),0),0)</f>
        <v>#N/A</v>
      </c>
      <c r="AB135" s="249" t="e">
        <f>VLOOKUP(T135,'Planning and Target Times'!$A$97:$L$101,MATCH(E135&amp;"-"&amp;Q135&amp;"-"&amp;Y135&amp;"-"&amp;R135,INDEX('Planning and Target Times'!$A$97:$L$101,1,0),0),0)</f>
        <v>#N/A</v>
      </c>
      <c r="AC135" s="250">
        <f t="shared" si="36"/>
        <v>26.277372262774282</v>
      </c>
      <c r="AD135" s="250">
        <f t="shared" si="37"/>
        <v>31.386224934613622</v>
      </c>
      <c r="AE135" s="248">
        <f t="shared" ref="AE135:AE160" si="42">SUM(AE134,W135)+Z135</f>
        <v>7411.4929332713773</v>
      </c>
      <c r="AF135" s="248">
        <f t="shared" si="41"/>
        <v>3538.5070667286227</v>
      </c>
      <c r="AG135" s="248">
        <f t="shared" ca="1" si="32"/>
        <v>-3541.4929332713773</v>
      </c>
      <c r="AH135" s="248">
        <f t="shared" ca="1" si="33"/>
        <v>-5347.4929332713773</v>
      </c>
      <c r="AI135" s="248">
        <f t="shared" ref="AI135:AI160" si="43">SUM(AI134,X135)+Z135</f>
        <v>5973.1294985332015</v>
      </c>
      <c r="AJ135" s="248">
        <f t="shared" ca="1" si="34"/>
        <v>-2103.1294985332015</v>
      </c>
      <c r="AK135" s="248">
        <f t="shared" ca="1" si="35"/>
        <v>-3909.1294985332015</v>
      </c>
    </row>
    <row r="136" spans="2:37" ht="15.95" customHeight="1" x14ac:dyDescent="0.25">
      <c r="B136" s="136">
        <v>114</v>
      </c>
      <c r="C136" s="151" t="s">
        <v>1200</v>
      </c>
      <c r="D136" s="184" t="s">
        <v>839</v>
      </c>
      <c r="E136" s="150" t="s">
        <v>11</v>
      </c>
      <c r="F136" s="140" t="s">
        <v>17</v>
      </c>
      <c r="G136" s="140" t="s">
        <v>599</v>
      </c>
      <c r="H136" s="140" t="s">
        <v>1082</v>
      </c>
      <c r="I136" s="140" t="s">
        <v>459</v>
      </c>
      <c r="J136" s="141" t="s">
        <v>1079</v>
      </c>
      <c r="K136" s="142">
        <v>42373</v>
      </c>
      <c r="L136" s="142">
        <v>42429</v>
      </c>
      <c r="M136" s="134">
        <v>42443</v>
      </c>
      <c r="N136" s="140">
        <v>56</v>
      </c>
      <c r="O136" s="143"/>
      <c r="P136" s="135" t="s">
        <v>1096</v>
      </c>
      <c r="Q136" s="223" t="s">
        <v>14</v>
      </c>
      <c r="R136" s="223" t="s">
        <v>599</v>
      </c>
      <c r="S136" s="223" t="s">
        <v>17</v>
      </c>
      <c r="T136" s="224" t="str">
        <f t="shared" si="38"/>
        <v>MA</v>
      </c>
      <c r="U136" s="223" t="str">
        <f t="shared" si="39"/>
        <v>MA-NW-EOR</v>
      </c>
      <c r="V136" s="223" t="str">
        <f t="array" ref="V136">CONCATENATE(Q136,"-",R136)</f>
        <v>NW-EOR</v>
      </c>
      <c r="W136" s="239">
        <f>IF(ISERROR(VLOOKUP(T136,'15-16_DP_Tables'!$M$2:$V$8,MATCH(V136,INDEX('15-16_DP_Tables'!$M$2:$V$8,1,0),0),0)),0,VLOOKUP(T136,'15-16_DP_Tables'!$M$2:$V$8,MATCH(V136,INDEX('15-16_DP_Tables'!$M$2:$V$8,1,0),0),0))</f>
        <v>0</v>
      </c>
      <c r="X136" s="239">
        <f t="array" ref="X136">IF(ISERROR(VLOOKUP(T136,'15-16_DP_Tables'!$M$12:$V$18,MATCH(V136,INDEX('15-16_DP_Tables'!$M$12:$V$18,1,0),0),0)),0,VLOOKUP(T136,'15-16_DP_Tables'!$M$12:$V$18,MATCH(V136,INDEX('15-16_DP_Tables'!$M$12:$V$18,1,0),0),0))</f>
        <v>0</v>
      </c>
      <c r="Y136" s="223" t="str">
        <f t="shared" si="40"/>
        <v>Unknown</v>
      </c>
      <c r="Z136" s="223">
        <v>5</v>
      </c>
      <c r="AA136" s="249" t="e">
        <f>VLOOKUP(T136,'Planning and Target Times'!$A$74:$L$78,MATCH(E136&amp;"-"&amp;Q136&amp;"-"&amp;Y136&amp;"-"&amp;R136,INDEX('Planning and Target Times'!$A$74:$L$78,1,0),0),0)</f>
        <v>#N/A</v>
      </c>
      <c r="AB136" s="249" t="e">
        <f>VLOOKUP(T136,'Planning and Target Times'!$A$97:$L$101,MATCH(E136&amp;"-"&amp;Q136&amp;"-"&amp;Y136&amp;"-"&amp;R136,INDEX('Planning and Target Times'!$A$97:$L$101,1,0),0),0)</f>
        <v>#N/A</v>
      </c>
      <c r="AC136" s="250">
        <f t="shared" si="36"/>
        <v>0</v>
      </c>
      <c r="AD136" s="250">
        <f t="shared" si="37"/>
        <v>0</v>
      </c>
      <c r="AE136" s="248">
        <f t="shared" si="42"/>
        <v>7416.4929332713773</v>
      </c>
      <c r="AF136" s="248">
        <f t="shared" si="41"/>
        <v>3533.5070667286227</v>
      </c>
      <c r="AG136" s="248">
        <f t="shared" ca="1" si="32"/>
        <v>-3546.4929332713773</v>
      </c>
      <c r="AH136" s="248">
        <f t="shared" ca="1" si="33"/>
        <v>-5352.4929332713773</v>
      </c>
      <c r="AI136" s="248">
        <f t="shared" si="43"/>
        <v>5978.1294985332015</v>
      </c>
      <c r="AJ136" s="248">
        <f t="shared" ca="1" si="34"/>
        <v>-2108.1294985332015</v>
      </c>
      <c r="AK136" s="248">
        <f t="shared" ca="1" si="35"/>
        <v>-3914.1294985332015</v>
      </c>
    </row>
    <row r="137" spans="2:37" ht="15.95" customHeight="1" x14ac:dyDescent="0.25">
      <c r="B137" s="136">
        <v>164</v>
      </c>
      <c r="C137" s="144" t="s">
        <v>1261</v>
      </c>
      <c r="D137" s="197" t="s">
        <v>1259</v>
      </c>
      <c r="E137" s="150" t="s">
        <v>11</v>
      </c>
      <c r="F137" s="140" t="s">
        <v>17</v>
      </c>
      <c r="G137" s="140" t="s">
        <v>1086</v>
      </c>
      <c r="H137" s="140" t="s">
        <v>1082</v>
      </c>
      <c r="I137" s="140" t="s">
        <v>459</v>
      </c>
      <c r="J137" s="141" t="s">
        <v>1079</v>
      </c>
      <c r="K137" s="142">
        <v>42374</v>
      </c>
      <c r="L137" s="142">
        <v>42437</v>
      </c>
      <c r="M137" s="134">
        <v>42451</v>
      </c>
      <c r="N137" s="140">
        <v>63</v>
      </c>
      <c r="O137" s="143"/>
      <c r="P137" s="143" t="s">
        <v>1096</v>
      </c>
      <c r="Q137" s="223" t="s">
        <v>14</v>
      </c>
      <c r="R137" s="223" t="s">
        <v>34</v>
      </c>
      <c r="S137" s="223" t="s">
        <v>17</v>
      </c>
      <c r="T137" s="224" t="str">
        <f t="shared" si="38"/>
        <v>MA</v>
      </c>
      <c r="U137" s="223" t="str">
        <f t="shared" si="39"/>
        <v>MA-NW-Inj</v>
      </c>
      <c r="V137" s="223" t="str">
        <f t="array" ref="V137">CONCATENATE(Q137,"-",R137)</f>
        <v>NW-Inj</v>
      </c>
      <c r="W137" s="239">
        <f>IF(ISERROR(VLOOKUP(T137,'15-16_DP_Tables'!$M$2:$V$8,MATCH(V137,INDEX('15-16_DP_Tables'!$M$2:$V$8,1,0),0),0)),0,VLOOKUP(T137,'15-16_DP_Tables'!$M$2:$V$8,MATCH(V137,INDEX('15-16_DP_Tables'!$M$2:$V$8,1,0),0),0))</f>
        <v>0</v>
      </c>
      <c r="X137" s="239">
        <f t="array" ref="X137">IF(ISERROR(VLOOKUP(T137,'15-16_DP_Tables'!$M$12:$V$18,MATCH(V137,INDEX('15-16_DP_Tables'!$M$12:$V$18,1,0),0),0)),0,VLOOKUP(T137,'15-16_DP_Tables'!$M$12:$V$18,MATCH(V137,INDEX('15-16_DP_Tables'!$M$12:$V$18,1,0),0),0))</f>
        <v>0</v>
      </c>
      <c r="Y137" s="223" t="str">
        <f t="shared" si="40"/>
        <v>Horizontal</v>
      </c>
      <c r="Z137" s="223">
        <v>5</v>
      </c>
      <c r="AA137" s="249" t="e">
        <f>VLOOKUP(T137,'Planning and Target Times'!$A$74:$L$78,MATCH(E137&amp;"-"&amp;Q137&amp;"-"&amp;Y137&amp;"-"&amp;R137,INDEX('Planning and Target Times'!$A$74:$L$78,1,0),0),0)</f>
        <v>#N/A</v>
      </c>
      <c r="AB137" s="249" t="e">
        <f>VLOOKUP(T137,'Planning and Target Times'!$A$97:$L$101,MATCH(E137&amp;"-"&amp;Q137&amp;"-"&amp;Y137&amp;"-"&amp;R137,INDEX('Planning and Target Times'!$A$97:$L$101,1,0),0),0)</f>
        <v>#N/A</v>
      </c>
      <c r="AC137" s="250">
        <f t="shared" si="36"/>
        <v>0</v>
      </c>
      <c r="AD137" s="250">
        <f t="shared" si="37"/>
        <v>0</v>
      </c>
      <c r="AE137" s="248">
        <f t="shared" si="42"/>
        <v>7421.4929332713773</v>
      </c>
      <c r="AF137" s="248">
        <f t="shared" si="41"/>
        <v>3528.5070667286227</v>
      </c>
      <c r="AG137" s="248">
        <f t="shared" ca="1" si="32"/>
        <v>-3551.4929332713773</v>
      </c>
      <c r="AH137" s="248">
        <f t="shared" ca="1" si="33"/>
        <v>-5357.4929332713773</v>
      </c>
      <c r="AI137" s="248">
        <f t="shared" si="43"/>
        <v>5983.1294985332015</v>
      </c>
      <c r="AJ137" s="248">
        <f t="shared" ca="1" si="34"/>
        <v>-2113.1294985332015</v>
      </c>
      <c r="AK137" s="248">
        <f t="shared" ca="1" si="35"/>
        <v>-3919.1294985332015</v>
      </c>
    </row>
    <row r="138" spans="2:37" ht="15.95" customHeight="1" x14ac:dyDescent="0.25">
      <c r="B138" s="136">
        <v>130</v>
      </c>
      <c r="C138" s="144" t="s">
        <v>1218</v>
      </c>
      <c r="D138" s="138" t="s">
        <v>1215</v>
      </c>
      <c r="E138" s="139" t="s">
        <v>42</v>
      </c>
      <c r="F138" s="140" t="s">
        <v>17</v>
      </c>
      <c r="G138" s="140" t="s">
        <v>1086</v>
      </c>
      <c r="H138" s="140" t="s">
        <v>1077</v>
      </c>
      <c r="I138" s="140" t="s">
        <v>459</v>
      </c>
      <c r="J138" s="141" t="s">
        <v>1079</v>
      </c>
      <c r="K138" s="142">
        <v>42375</v>
      </c>
      <c r="L138" s="142">
        <v>42424</v>
      </c>
      <c r="M138" s="134">
        <v>42438</v>
      </c>
      <c r="N138" s="140">
        <v>49</v>
      </c>
      <c r="O138" s="143"/>
      <c r="P138" s="135" t="s">
        <v>1080</v>
      </c>
      <c r="Q138" s="223" t="s">
        <v>18</v>
      </c>
      <c r="R138" s="223" t="s">
        <v>34</v>
      </c>
      <c r="S138" s="223" t="s">
        <v>17</v>
      </c>
      <c r="T138" s="224" t="str">
        <f t="shared" si="38"/>
        <v>MA</v>
      </c>
      <c r="U138" s="223" t="str">
        <f t="shared" si="39"/>
        <v>MA-ST-Inj</v>
      </c>
      <c r="V138" s="223" t="str">
        <f t="array" ref="V138">CONCATENATE(Q138,"-",R138)</f>
        <v>ST-Inj</v>
      </c>
      <c r="W138" s="239">
        <f>IF(ISERROR(VLOOKUP(T138,'15-16_DP_Tables'!$M$2:$V$8,MATCH(V138,INDEX('15-16_DP_Tables'!$M$2:$V$8,1,0),0),0)),0,VLOOKUP(T138,'15-16_DP_Tables'!$M$2:$V$8,MATCH(V138,INDEX('15-16_DP_Tables'!$M$2:$V$8,1,0),0),0))</f>
        <v>35.545833099999626</v>
      </c>
      <c r="X138" s="239">
        <f t="array" ref="X138">IF(ISERROR(VLOOKUP(T138,'15-16_DP_Tables'!$M$12:$V$18,MATCH(V138,INDEX('15-16_DP_Tables'!$M$12:$V$18,1,0),0),0)),0,VLOOKUP(T138,'15-16_DP_Tables'!$M$12:$V$18,MATCH(V138,INDEX('15-16_DP_Tables'!$M$12:$V$18,1,0),0),0))</f>
        <v>26.054166533332847</v>
      </c>
      <c r="Y138" s="223" t="str">
        <f t="shared" si="40"/>
        <v>Horizontal</v>
      </c>
      <c r="Z138" s="223">
        <v>5</v>
      </c>
      <c r="AA138" s="249" t="e">
        <f>VLOOKUP(T138,'Planning and Target Times'!$A$74:$L$78,MATCH(E138&amp;"-"&amp;Q138&amp;"-"&amp;Y138&amp;"-"&amp;R138,INDEX('Planning and Target Times'!$A$74:$L$78,1,0),0),0)</f>
        <v>#N/A</v>
      </c>
      <c r="AB138" s="249" t="e">
        <f>VLOOKUP(T138,'Planning and Target Times'!$A$97:$L$101,MATCH(E138&amp;"-"&amp;Q138&amp;"-"&amp;Y138&amp;"-"&amp;R138,INDEX('Planning and Target Times'!$A$97:$L$101,1,0),0),0)</f>
        <v>#N/A</v>
      </c>
      <c r="AC138" s="250">
        <f t="shared" si="36"/>
        <v>0</v>
      </c>
      <c r="AD138" s="250">
        <f t="shared" si="37"/>
        <v>0</v>
      </c>
      <c r="AE138" s="248">
        <f t="shared" si="42"/>
        <v>7462.0387663713773</v>
      </c>
      <c r="AF138" s="248">
        <f t="shared" si="41"/>
        <v>3487.9612336286227</v>
      </c>
      <c r="AG138" s="248">
        <f t="shared" ca="1" si="32"/>
        <v>-3592.0387663713773</v>
      </c>
      <c r="AH138" s="248">
        <f t="shared" ca="1" si="33"/>
        <v>-5398.0387663713773</v>
      </c>
      <c r="AI138" s="248">
        <f t="shared" si="43"/>
        <v>6014.1836650665346</v>
      </c>
      <c r="AJ138" s="248">
        <f t="shared" ca="1" si="34"/>
        <v>-2144.1836650665346</v>
      </c>
      <c r="AK138" s="248">
        <f t="shared" ca="1" si="35"/>
        <v>-3950.1836650665346</v>
      </c>
    </row>
    <row r="139" spans="2:37" ht="15.95" customHeight="1" x14ac:dyDescent="0.25">
      <c r="B139" s="136">
        <v>139</v>
      </c>
      <c r="C139" s="164" t="s">
        <v>1229</v>
      </c>
      <c r="D139" s="156" t="s">
        <v>1226</v>
      </c>
      <c r="E139" s="139" t="s">
        <v>11</v>
      </c>
      <c r="F139" s="140" t="s">
        <v>17</v>
      </c>
      <c r="G139" s="140" t="s">
        <v>1076</v>
      </c>
      <c r="H139" s="140" t="s">
        <v>1082</v>
      </c>
      <c r="I139" s="140" t="s">
        <v>459</v>
      </c>
      <c r="J139" s="141" t="s">
        <v>1079</v>
      </c>
      <c r="K139" s="142">
        <v>42375</v>
      </c>
      <c r="L139" s="142">
        <v>42445</v>
      </c>
      <c r="M139" s="134">
        <v>42459</v>
      </c>
      <c r="N139" s="140">
        <v>70</v>
      </c>
      <c r="O139" s="143">
        <v>1400</v>
      </c>
      <c r="P139" s="143" t="s">
        <v>1096</v>
      </c>
      <c r="Q139" s="223" t="s">
        <v>14</v>
      </c>
      <c r="R139" s="223" t="s">
        <v>298</v>
      </c>
      <c r="S139" s="223" t="s">
        <v>17</v>
      </c>
      <c r="T139" s="224" t="str">
        <f t="shared" si="38"/>
        <v>MA</v>
      </c>
      <c r="U139" s="223" t="str">
        <f t="shared" si="39"/>
        <v>MA-NW-Prod</v>
      </c>
      <c r="V139" s="223" t="str">
        <f t="array" ref="V139">CONCATENATE(Q139,"-",R139)</f>
        <v>NW-Prod</v>
      </c>
      <c r="W139" s="239">
        <f>IF(ISERROR(VLOOKUP(T139,'15-16_DP_Tables'!$M$2:$V$8,MATCH(V139,INDEX('15-16_DP_Tables'!$M$2:$V$8,1,0),0),0)),0,VLOOKUP(T139,'15-16_DP_Tables'!$M$2:$V$8,MATCH(V139,INDEX('15-16_DP_Tables'!$M$2:$V$8,1,0),0),0))</f>
        <v>57.083333333332121</v>
      </c>
      <c r="X139" s="239">
        <f t="array" ref="X139">IF(ISERROR(VLOOKUP(T139,'15-16_DP_Tables'!$M$12:$V$18,MATCH(V139,INDEX('15-16_DP_Tables'!$M$12:$V$18,1,0),0),0)),0,VLOOKUP(T139,'15-16_DP_Tables'!$M$12:$V$18,MATCH(V139,INDEX('15-16_DP_Tables'!$M$12:$V$18,1,0),0),0))</f>
        <v>47.791666666664241</v>
      </c>
      <c r="Y139" s="223" t="str">
        <f t="shared" si="40"/>
        <v>Horizontal</v>
      </c>
      <c r="Z139" s="223">
        <v>5</v>
      </c>
      <c r="AA139" s="249" t="e">
        <f>VLOOKUP(T139,'Planning and Target Times'!$A$74:$L$78,MATCH(E139&amp;"-"&amp;Q139&amp;"-"&amp;Y139&amp;"-"&amp;R139,INDEX('Planning and Target Times'!$A$74:$L$78,1,0),0),0)</f>
        <v>#N/A</v>
      </c>
      <c r="AB139" s="249" t="e">
        <f>VLOOKUP(T139,'Planning and Target Times'!$A$97:$L$101,MATCH(E139&amp;"-"&amp;Q139&amp;"-"&amp;Y139&amp;"-"&amp;R139,INDEX('Planning and Target Times'!$A$97:$L$101,1,0),0),0)</f>
        <v>#N/A</v>
      </c>
      <c r="AC139" s="250">
        <f t="shared" si="36"/>
        <v>24.525547445255995</v>
      </c>
      <c r="AD139" s="250">
        <f t="shared" si="37"/>
        <v>29.293809938972714</v>
      </c>
      <c r="AE139" s="248">
        <f t="shared" si="42"/>
        <v>7524.1220997047094</v>
      </c>
      <c r="AF139" s="248">
        <f t="shared" si="41"/>
        <v>3425.8779002952906</v>
      </c>
      <c r="AG139" s="248">
        <f t="shared" ca="1" si="32"/>
        <v>-3654.1220997047094</v>
      </c>
      <c r="AH139" s="248">
        <f t="shared" ca="1" si="33"/>
        <v>-5460.1220997047094</v>
      </c>
      <c r="AI139" s="248">
        <f t="shared" si="43"/>
        <v>6066.9753317331988</v>
      </c>
      <c r="AJ139" s="248">
        <f t="shared" ca="1" si="34"/>
        <v>-2196.9753317331988</v>
      </c>
      <c r="AK139" s="248">
        <f t="shared" ca="1" si="35"/>
        <v>-4002.9753317331988</v>
      </c>
    </row>
    <row r="140" spans="2:37" ht="15.95" customHeight="1" x14ac:dyDescent="0.25">
      <c r="B140" s="136">
        <v>158</v>
      </c>
      <c r="C140" s="144" t="s">
        <v>1253</v>
      </c>
      <c r="D140" s="196" t="s">
        <v>1251</v>
      </c>
      <c r="E140" s="150" t="s">
        <v>11</v>
      </c>
      <c r="F140" s="140" t="s">
        <v>17</v>
      </c>
      <c r="G140" s="140" t="s">
        <v>1076</v>
      </c>
      <c r="H140" s="140" t="s">
        <v>1082</v>
      </c>
      <c r="I140" s="140" t="s">
        <v>459</v>
      </c>
      <c r="J140" s="141" t="s">
        <v>1079</v>
      </c>
      <c r="K140" s="142">
        <v>42381</v>
      </c>
      <c r="L140" s="142">
        <v>42451</v>
      </c>
      <c r="M140" s="134">
        <v>42465</v>
      </c>
      <c r="N140" s="140">
        <v>70</v>
      </c>
      <c r="O140" s="143">
        <v>1400</v>
      </c>
      <c r="P140" s="143" t="s">
        <v>1096</v>
      </c>
      <c r="Q140" s="223" t="s">
        <v>14</v>
      </c>
      <c r="R140" s="223" t="s">
        <v>298</v>
      </c>
      <c r="S140" s="223" t="s">
        <v>17</v>
      </c>
      <c r="T140" s="224" t="str">
        <f t="shared" si="38"/>
        <v>MA</v>
      </c>
      <c r="U140" s="223" t="str">
        <f t="shared" si="39"/>
        <v>MA-NW-Prod</v>
      </c>
      <c r="V140" s="223" t="str">
        <f t="array" ref="V140">CONCATENATE(Q140,"-",R140)</f>
        <v>NW-Prod</v>
      </c>
      <c r="W140" s="239">
        <f>IF(ISERROR(VLOOKUP(T140,'15-16_DP_Tables'!$M$2:$V$8,MATCH(V140,INDEX('15-16_DP_Tables'!$M$2:$V$8,1,0),0),0)),0,VLOOKUP(T140,'15-16_DP_Tables'!$M$2:$V$8,MATCH(V140,INDEX('15-16_DP_Tables'!$M$2:$V$8,1,0),0),0))</f>
        <v>57.083333333332121</v>
      </c>
      <c r="X140" s="239">
        <f t="array" ref="X140">IF(ISERROR(VLOOKUP(T140,'15-16_DP_Tables'!$M$12:$V$18,MATCH(V140,INDEX('15-16_DP_Tables'!$M$12:$V$18,1,0),0),0)),0,VLOOKUP(T140,'15-16_DP_Tables'!$M$12:$V$18,MATCH(V140,INDEX('15-16_DP_Tables'!$M$12:$V$18,1,0),0),0))</f>
        <v>47.791666666664241</v>
      </c>
      <c r="Y140" s="223" t="str">
        <f t="shared" si="40"/>
        <v>Horizontal</v>
      </c>
      <c r="Z140" s="223">
        <v>5</v>
      </c>
      <c r="AA140" s="249" t="e">
        <f>VLOOKUP(T140,'Planning and Target Times'!$A$74:$L$78,MATCH(E140&amp;"-"&amp;Q140&amp;"-"&amp;Y140&amp;"-"&amp;R140,INDEX('Planning and Target Times'!$A$74:$L$78,1,0),0),0)</f>
        <v>#N/A</v>
      </c>
      <c r="AB140" s="249" t="e">
        <f>VLOOKUP(T140,'Planning and Target Times'!$A$97:$L$101,MATCH(E140&amp;"-"&amp;Q140&amp;"-"&amp;Y140&amp;"-"&amp;R140,INDEX('Planning and Target Times'!$A$97:$L$101,1,0),0),0)</f>
        <v>#N/A</v>
      </c>
      <c r="AC140" s="250">
        <f t="shared" si="36"/>
        <v>24.525547445255995</v>
      </c>
      <c r="AD140" s="250">
        <f t="shared" si="37"/>
        <v>29.293809938972714</v>
      </c>
      <c r="AE140" s="248">
        <f t="shared" si="42"/>
        <v>7586.2054330380415</v>
      </c>
      <c r="AF140" s="248">
        <f t="shared" si="41"/>
        <v>3363.7945669619585</v>
      </c>
      <c r="AG140" s="248">
        <f t="shared" ca="1" si="32"/>
        <v>-3716.2054330380415</v>
      </c>
      <c r="AH140" s="248">
        <f t="shared" ca="1" si="33"/>
        <v>-5522.2054330380415</v>
      </c>
      <c r="AI140" s="248">
        <f t="shared" si="43"/>
        <v>6119.766998399863</v>
      </c>
      <c r="AJ140" s="248">
        <f t="shared" ca="1" si="34"/>
        <v>-2249.766998399863</v>
      </c>
      <c r="AK140" s="248">
        <f t="shared" ca="1" si="35"/>
        <v>-4055.766998399863</v>
      </c>
    </row>
    <row r="141" spans="2:37" ht="15.95" customHeight="1" x14ac:dyDescent="0.25">
      <c r="B141" s="136">
        <v>161</v>
      </c>
      <c r="C141" s="144" t="s">
        <v>1257</v>
      </c>
      <c r="D141" s="193" t="s">
        <v>1255</v>
      </c>
      <c r="E141" s="150" t="s">
        <v>11</v>
      </c>
      <c r="F141" s="140" t="s">
        <v>29</v>
      </c>
      <c r="G141" s="140" t="s">
        <v>1076</v>
      </c>
      <c r="H141" s="140" t="s">
        <v>1082</v>
      </c>
      <c r="I141" s="140" t="s">
        <v>459</v>
      </c>
      <c r="J141" s="141" t="s">
        <v>1079</v>
      </c>
      <c r="K141" s="142">
        <v>42381</v>
      </c>
      <c r="L141" s="142">
        <v>42451</v>
      </c>
      <c r="M141" s="134">
        <v>42465</v>
      </c>
      <c r="N141" s="140">
        <v>70</v>
      </c>
      <c r="O141" s="143">
        <v>1200</v>
      </c>
      <c r="P141" s="135" t="s">
        <v>1096</v>
      </c>
      <c r="Q141" s="223" t="s">
        <v>14</v>
      </c>
      <c r="R141" s="223" t="s">
        <v>298</v>
      </c>
      <c r="S141" s="223" t="s">
        <v>29</v>
      </c>
      <c r="T141" s="224" t="str">
        <f t="shared" si="38"/>
        <v>UB</v>
      </c>
      <c r="U141" s="223" t="str">
        <f t="shared" si="39"/>
        <v>UB-NW-Prod</v>
      </c>
      <c r="V141" s="223" t="str">
        <f t="array" ref="V141">CONCATENATE(Q141,"-",R141)</f>
        <v>NW-Prod</v>
      </c>
      <c r="W141" s="239">
        <f>IF(ISERROR(VLOOKUP(T141,'15-16_DP_Tables'!$M$2:$V$8,MATCH(V141,INDEX('15-16_DP_Tables'!$M$2:$V$8,1,0),0),0)),0,VLOOKUP(T141,'15-16_DP_Tables'!$M$2:$V$8,MATCH(V141,INDEX('15-16_DP_Tables'!$M$2:$V$8,1,0),0),0))</f>
        <v>53.604164999999995</v>
      </c>
      <c r="X141" s="239">
        <f t="array" ref="X141">IF(ISERROR(VLOOKUP(T141,'15-16_DP_Tables'!$M$12:$V$18,MATCH(V141,INDEX('15-16_DP_Tables'!$M$12:$V$18,1,0),0),0)),0,VLOOKUP(T141,'15-16_DP_Tables'!$M$12:$V$18,MATCH(V141,INDEX('15-16_DP_Tables'!$M$12:$V$18,1,0),0),0))</f>
        <v>48</v>
      </c>
      <c r="Y141" s="223" t="str">
        <f t="shared" si="40"/>
        <v>Unknown</v>
      </c>
      <c r="Z141" s="223">
        <v>5</v>
      </c>
      <c r="AA141" s="249" t="e">
        <f>VLOOKUP(T141,'Planning and Target Times'!$A$74:$L$78,MATCH(E141&amp;"-"&amp;Q141&amp;"-"&amp;Y141&amp;"-"&amp;R141,INDEX('Planning and Target Times'!$A$74:$L$78,1,0),0),0)</f>
        <v>#N/A</v>
      </c>
      <c r="AB141" s="249" t="e">
        <f>VLOOKUP(T141,'Planning and Target Times'!$A$97:$L$101,MATCH(E141&amp;"-"&amp;Q141&amp;"-"&amp;Y141&amp;"-"&amp;R141,INDEX('Planning and Target Times'!$A$97:$L$101,1,0),0),0)</f>
        <v>#N/A</v>
      </c>
      <c r="AC141" s="250">
        <f t="shared" si="36"/>
        <v>22.386320167472064</v>
      </c>
      <c r="AD141" s="250">
        <f t="shared" si="37"/>
        <v>25</v>
      </c>
      <c r="AE141" s="248">
        <f t="shared" si="42"/>
        <v>7644.8095980380413</v>
      </c>
      <c r="AF141" s="248">
        <f t="shared" si="41"/>
        <v>3305.1904019619587</v>
      </c>
      <c r="AG141" s="248">
        <f t="shared" ca="1" si="32"/>
        <v>-3774.8095980380413</v>
      </c>
      <c r="AH141" s="248">
        <f t="shared" ca="1" si="33"/>
        <v>-5580.8095980380413</v>
      </c>
      <c r="AI141" s="248">
        <f t="shared" si="43"/>
        <v>6172.766998399863</v>
      </c>
      <c r="AJ141" s="248">
        <f t="shared" ca="1" si="34"/>
        <v>-2302.766998399863</v>
      </c>
      <c r="AK141" s="248">
        <f t="shared" ca="1" si="35"/>
        <v>-4108.766998399863</v>
      </c>
    </row>
    <row r="142" spans="2:37" ht="15.95" customHeight="1" x14ac:dyDescent="0.25">
      <c r="B142" s="136">
        <v>153</v>
      </c>
      <c r="C142" s="144" t="s">
        <v>1246</v>
      </c>
      <c r="D142" s="153" t="s">
        <v>1244</v>
      </c>
      <c r="E142" s="150" t="s">
        <v>11</v>
      </c>
      <c r="F142" s="140" t="s">
        <v>17</v>
      </c>
      <c r="G142" s="140" t="s">
        <v>1076</v>
      </c>
      <c r="H142" s="140" t="s">
        <v>1082</v>
      </c>
      <c r="I142" s="140" t="s">
        <v>459</v>
      </c>
      <c r="J142" s="141" t="s">
        <v>1079</v>
      </c>
      <c r="K142" s="142">
        <v>42388</v>
      </c>
      <c r="L142" s="142">
        <v>42458</v>
      </c>
      <c r="M142" s="134">
        <v>42472</v>
      </c>
      <c r="N142" s="140">
        <v>70</v>
      </c>
      <c r="O142" s="143">
        <v>1400</v>
      </c>
      <c r="P142" s="135" t="s">
        <v>1096</v>
      </c>
      <c r="Q142" s="223" t="s">
        <v>14</v>
      </c>
      <c r="R142" s="223" t="s">
        <v>298</v>
      </c>
      <c r="S142" s="223" t="s">
        <v>17</v>
      </c>
      <c r="T142" s="224" t="str">
        <f t="shared" si="38"/>
        <v>MA</v>
      </c>
      <c r="U142" s="223" t="str">
        <f t="shared" si="39"/>
        <v>MA-NW-Prod</v>
      </c>
      <c r="V142" s="223" t="str">
        <f t="array" ref="V142">CONCATENATE(Q142,"-",R142)</f>
        <v>NW-Prod</v>
      </c>
      <c r="W142" s="239">
        <f>IF(ISERROR(VLOOKUP(T142,'15-16_DP_Tables'!$M$2:$V$8,MATCH(V142,INDEX('15-16_DP_Tables'!$M$2:$V$8,1,0),0),0)),0,VLOOKUP(T142,'15-16_DP_Tables'!$M$2:$V$8,MATCH(V142,INDEX('15-16_DP_Tables'!$M$2:$V$8,1,0),0),0))</f>
        <v>57.083333333332121</v>
      </c>
      <c r="X142" s="239">
        <f t="array" ref="X142">IF(ISERROR(VLOOKUP(T142,'15-16_DP_Tables'!$M$12:$V$18,MATCH(V142,INDEX('15-16_DP_Tables'!$M$12:$V$18,1,0),0),0)),0,VLOOKUP(T142,'15-16_DP_Tables'!$M$12:$V$18,MATCH(V142,INDEX('15-16_DP_Tables'!$M$12:$V$18,1,0),0),0))</f>
        <v>47.791666666664241</v>
      </c>
      <c r="Y142" s="223" t="str">
        <f t="shared" si="40"/>
        <v>Unknown</v>
      </c>
      <c r="Z142" s="223">
        <v>5</v>
      </c>
      <c r="AA142" s="249" t="e">
        <f>VLOOKUP(T142,'Planning and Target Times'!$A$74:$L$78,MATCH(E142&amp;"-"&amp;Q142&amp;"-"&amp;Y142&amp;"-"&amp;R142,INDEX('Planning and Target Times'!$A$74:$L$78,1,0),0),0)</f>
        <v>#N/A</v>
      </c>
      <c r="AB142" s="249" t="e">
        <f>VLOOKUP(T142,'Planning and Target Times'!$A$97:$L$101,MATCH(E142&amp;"-"&amp;Q142&amp;"-"&amp;Y142&amp;"-"&amp;R142,INDEX('Planning and Target Times'!$A$97:$L$101,1,0),0),0)</f>
        <v>#N/A</v>
      </c>
      <c r="AC142" s="250">
        <f t="shared" si="36"/>
        <v>24.525547445255995</v>
      </c>
      <c r="AD142" s="250">
        <f t="shared" si="37"/>
        <v>29.293809938972714</v>
      </c>
      <c r="AE142" s="248">
        <f t="shared" si="42"/>
        <v>7706.8929313713734</v>
      </c>
      <c r="AF142" s="248">
        <f t="shared" si="41"/>
        <v>3243.1070686286266</v>
      </c>
      <c r="AG142" s="248">
        <f t="shared" ca="1" si="32"/>
        <v>-3836.8929313713734</v>
      </c>
      <c r="AH142" s="248">
        <f t="shared" ca="1" si="33"/>
        <v>-5642.8929313713734</v>
      </c>
      <c r="AI142" s="248">
        <f t="shared" si="43"/>
        <v>6225.5586650665273</v>
      </c>
      <c r="AJ142" s="248">
        <f t="shared" ca="1" si="34"/>
        <v>-2355.5586650665273</v>
      </c>
      <c r="AK142" s="248">
        <f t="shared" ca="1" si="35"/>
        <v>-4161.5586650665273</v>
      </c>
    </row>
    <row r="143" spans="2:37" ht="15.95" customHeight="1" x14ac:dyDescent="0.25">
      <c r="B143" s="136">
        <v>168</v>
      </c>
      <c r="C143" s="144" t="s">
        <v>1266</v>
      </c>
      <c r="D143" s="198" t="s">
        <v>1264</v>
      </c>
      <c r="E143" s="150" t="s">
        <v>11</v>
      </c>
      <c r="F143" s="140" t="s">
        <v>22</v>
      </c>
      <c r="G143" s="140" t="s">
        <v>1076</v>
      </c>
      <c r="H143" s="140" t="s">
        <v>1082</v>
      </c>
      <c r="I143" s="140" t="s">
        <v>459</v>
      </c>
      <c r="J143" s="141" t="s">
        <v>1079</v>
      </c>
      <c r="K143" s="142">
        <v>42388</v>
      </c>
      <c r="L143" s="142">
        <v>42458</v>
      </c>
      <c r="M143" s="134">
        <v>42472</v>
      </c>
      <c r="N143" s="140">
        <v>70</v>
      </c>
      <c r="O143" s="143">
        <v>1200</v>
      </c>
      <c r="P143" s="135" t="s">
        <v>1096</v>
      </c>
      <c r="Q143" s="223" t="s">
        <v>14</v>
      </c>
      <c r="R143" s="223" t="s">
        <v>298</v>
      </c>
      <c r="S143" s="223" t="s">
        <v>22</v>
      </c>
      <c r="T143" s="224" t="str">
        <f t="shared" si="38"/>
        <v>LB</v>
      </c>
      <c r="U143" s="223" t="str">
        <f t="shared" si="39"/>
        <v>LB-NW-Prod</v>
      </c>
      <c r="V143" s="223" t="str">
        <f t="array" ref="V143">CONCATENATE(Q143,"-",R143)</f>
        <v>NW-Prod</v>
      </c>
      <c r="W143" s="239">
        <f>IF(ISERROR(VLOOKUP(T143,'15-16_DP_Tables'!$M$2:$V$8,MATCH(V143,INDEX('15-16_DP_Tables'!$M$2:$V$8,1,0),0),0)),0,VLOOKUP(T143,'15-16_DP_Tables'!$M$2:$V$8,MATCH(V143,INDEX('15-16_DP_Tables'!$M$2:$V$8,1,0),0),0))</f>
        <v>55.81537142381022</v>
      </c>
      <c r="X143" s="239">
        <f t="array" ref="X143">IF(ISERROR(VLOOKUP(T143,'15-16_DP_Tables'!$M$12:$V$18,MATCH(V143,INDEX('15-16_DP_Tables'!$M$12:$V$18,1,0),0),0)),0,VLOOKUP(T143,'15-16_DP_Tables'!$M$12:$V$18,MATCH(V143,INDEX('15-16_DP_Tables'!$M$12:$V$18,1,0),0),0))</f>
        <v>45.207999999999998</v>
      </c>
      <c r="Y143" s="223" t="str">
        <f t="shared" si="40"/>
        <v>Horizontal</v>
      </c>
      <c r="Z143" s="223">
        <v>5</v>
      </c>
      <c r="AA143" s="249" t="e">
        <f>VLOOKUP(T143,'Planning and Target Times'!$A$74:$L$78,MATCH(E143&amp;"-"&amp;Q143&amp;"-"&amp;Y143&amp;"-"&amp;R143,INDEX('Planning and Target Times'!$A$74:$L$78,1,0),0),0)</f>
        <v>#N/A</v>
      </c>
      <c r="AB143" s="249" t="e">
        <f>VLOOKUP(T143,'Planning and Target Times'!$A$97:$L$101,MATCH(E143&amp;"-"&amp;Q143&amp;"-"&amp;Y143&amp;"-"&amp;R143,INDEX('Planning and Target Times'!$A$97:$L$101,1,0),0),0)</f>
        <v>#N/A</v>
      </c>
      <c r="AC143" s="250">
        <f t="shared" si="36"/>
        <v>21.499453813328802</v>
      </c>
      <c r="AD143" s="250">
        <f t="shared" si="37"/>
        <v>26.543974517784463</v>
      </c>
      <c r="AE143" s="248">
        <f t="shared" si="42"/>
        <v>7767.708302795184</v>
      </c>
      <c r="AF143" s="248">
        <f t="shared" si="41"/>
        <v>3182.291697204816</v>
      </c>
      <c r="AG143" s="248">
        <f t="shared" ca="1" si="32"/>
        <v>-3897.708302795184</v>
      </c>
      <c r="AH143" s="248">
        <f t="shared" ca="1" si="33"/>
        <v>-5703.708302795184</v>
      </c>
      <c r="AI143" s="248">
        <f t="shared" si="43"/>
        <v>6275.7666650665269</v>
      </c>
      <c r="AJ143" s="248">
        <f t="shared" ca="1" si="34"/>
        <v>-2405.7666650665269</v>
      </c>
      <c r="AK143" s="248">
        <f t="shared" ca="1" si="35"/>
        <v>-4211.7666650665269</v>
      </c>
    </row>
    <row r="144" spans="2:37" ht="15.95" customHeight="1" x14ac:dyDescent="0.25">
      <c r="B144" s="136">
        <v>171</v>
      </c>
      <c r="C144" s="144" t="s">
        <v>1270</v>
      </c>
      <c r="D144" s="184" t="s">
        <v>1268</v>
      </c>
      <c r="E144" s="150" t="s">
        <v>742</v>
      </c>
      <c r="F144" s="140" t="s">
        <v>44</v>
      </c>
      <c r="G144" s="140" t="s">
        <v>1076</v>
      </c>
      <c r="H144" s="140" t="s">
        <v>1082</v>
      </c>
      <c r="I144" s="140" t="s">
        <v>459</v>
      </c>
      <c r="J144" s="141" t="s">
        <v>1079</v>
      </c>
      <c r="K144" s="142">
        <v>42388</v>
      </c>
      <c r="L144" s="142">
        <v>42486</v>
      </c>
      <c r="M144" s="134">
        <v>42500</v>
      </c>
      <c r="N144" s="140">
        <v>98</v>
      </c>
      <c r="O144" s="143"/>
      <c r="P144" s="143" t="s">
        <v>1096</v>
      </c>
      <c r="Q144" s="223" t="s">
        <v>14</v>
      </c>
      <c r="R144" s="223" t="s">
        <v>298</v>
      </c>
      <c r="S144" s="223" t="s">
        <v>44</v>
      </c>
      <c r="T144" s="224" t="str">
        <f t="shared" si="38"/>
        <v>ZU/RT</v>
      </c>
      <c r="U144" s="223" t="str">
        <f t="shared" si="39"/>
        <v>ZU-NW-Prod</v>
      </c>
      <c r="V144" s="223" t="str">
        <f t="array" ref="V144">CONCATENATE(Q144,"-",R144)</f>
        <v>NW-Prod</v>
      </c>
      <c r="W144" s="239">
        <f>IF(ISERROR(VLOOKUP(T144,'15-16_DP_Tables'!$M$2:$V$8,MATCH(V144,INDEX('15-16_DP_Tables'!$M$2:$V$8,1,0),0),0)),0,VLOOKUP(T144,'15-16_DP_Tables'!$M$2:$V$8,MATCH(V144,INDEX('15-16_DP_Tables'!$M$2:$V$8,1,0),0),0))</f>
        <v>99.088549999999998</v>
      </c>
      <c r="X144" s="239">
        <f t="array" ref="X144">IF(ISERROR(VLOOKUP(T144,'15-16_DP_Tables'!$M$12:$V$18,MATCH(V144,INDEX('15-16_DP_Tables'!$M$12:$V$18,1,0),0),0)),0,VLOOKUP(T144,'15-16_DP_Tables'!$M$12:$V$18,MATCH(V144,INDEX('15-16_DP_Tables'!$M$12:$V$18,1,0),0),0))</f>
        <v>53.375</v>
      </c>
      <c r="Y144" s="223" t="str">
        <f t="shared" si="40"/>
        <v>Unknown</v>
      </c>
      <c r="Z144" s="223">
        <v>5</v>
      </c>
      <c r="AA144" s="249" t="e">
        <f>VLOOKUP(T144,'Planning and Target Times'!$A$74:$L$78,MATCH(E144&amp;"-"&amp;Q144&amp;"-"&amp;Y144&amp;"-"&amp;R144,INDEX('Planning and Target Times'!$A$74:$L$78,1,0),0),0)</f>
        <v>#N/A</v>
      </c>
      <c r="AB144" s="249" t="e">
        <f>VLOOKUP(T144,'Planning and Target Times'!$A$97:$L$101,MATCH(E144&amp;"-"&amp;Q144&amp;"-"&amp;Y144&amp;"-"&amp;R144,INDEX('Planning and Target Times'!$A$97:$L$101,1,0),0),0)</f>
        <v>#N/A</v>
      </c>
      <c r="AC144" s="250">
        <f t="shared" si="36"/>
        <v>0</v>
      </c>
      <c r="AD144" s="250">
        <f t="shared" si="37"/>
        <v>0</v>
      </c>
      <c r="AE144" s="248">
        <f t="shared" si="42"/>
        <v>7871.7968527951843</v>
      </c>
      <c r="AF144" s="248">
        <f t="shared" si="41"/>
        <v>3078.2031472048157</v>
      </c>
      <c r="AG144" s="248">
        <f t="shared" ca="1" si="32"/>
        <v>-4001.7968527951843</v>
      </c>
      <c r="AH144" s="248">
        <f t="shared" ca="1" si="33"/>
        <v>-5807.7968527951843</v>
      </c>
      <c r="AI144" s="248">
        <f t="shared" si="43"/>
        <v>6334.1416650665269</v>
      </c>
      <c r="AJ144" s="248">
        <f t="shared" ca="1" si="34"/>
        <v>-2464.1416650665269</v>
      </c>
      <c r="AK144" s="248">
        <f t="shared" ca="1" si="35"/>
        <v>-4270.1416650665269</v>
      </c>
    </row>
    <row r="145" spans="2:37" ht="15.95" customHeight="1" x14ac:dyDescent="0.25">
      <c r="B145" s="136">
        <v>174</v>
      </c>
      <c r="C145" s="144" t="s">
        <v>1274</v>
      </c>
      <c r="D145" s="182" t="s">
        <v>1272</v>
      </c>
      <c r="E145" s="150" t="s">
        <v>11</v>
      </c>
      <c r="F145" s="140" t="s">
        <v>17</v>
      </c>
      <c r="G145" s="140" t="s">
        <v>1076</v>
      </c>
      <c r="H145" s="140" t="s">
        <v>1082</v>
      </c>
      <c r="I145" s="140" t="s">
        <v>459</v>
      </c>
      <c r="J145" s="141" t="s">
        <v>1079</v>
      </c>
      <c r="K145" s="142">
        <v>42388</v>
      </c>
      <c r="L145" s="142">
        <v>42458</v>
      </c>
      <c r="M145" s="134">
        <v>42472</v>
      </c>
      <c r="N145" s="140">
        <v>70</v>
      </c>
      <c r="O145" s="143">
        <v>1400</v>
      </c>
      <c r="P145" s="135" t="s">
        <v>1096</v>
      </c>
      <c r="Q145" s="223" t="s">
        <v>14</v>
      </c>
      <c r="R145" s="223" t="s">
        <v>298</v>
      </c>
      <c r="S145" s="223" t="s">
        <v>17</v>
      </c>
      <c r="T145" s="224" t="str">
        <f t="shared" si="38"/>
        <v>MA</v>
      </c>
      <c r="U145" s="223" t="str">
        <f t="shared" si="39"/>
        <v>MA-NW-Prod</v>
      </c>
      <c r="V145" s="223" t="str">
        <f t="array" ref="V145">CONCATENATE(Q145,"-",R145)</f>
        <v>NW-Prod</v>
      </c>
      <c r="W145" s="239">
        <f>IF(ISERROR(VLOOKUP(T145,'15-16_DP_Tables'!$M$2:$V$8,MATCH(V145,INDEX('15-16_DP_Tables'!$M$2:$V$8,1,0),0),0)),0,VLOOKUP(T145,'15-16_DP_Tables'!$M$2:$V$8,MATCH(V145,INDEX('15-16_DP_Tables'!$M$2:$V$8,1,0),0),0))</f>
        <v>57.083333333332121</v>
      </c>
      <c r="X145" s="239">
        <f t="array" ref="X145">IF(ISERROR(VLOOKUP(T145,'15-16_DP_Tables'!$M$12:$V$18,MATCH(V145,INDEX('15-16_DP_Tables'!$M$12:$V$18,1,0),0),0)),0,VLOOKUP(T145,'15-16_DP_Tables'!$M$12:$V$18,MATCH(V145,INDEX('15-16_DP_Tables'!$M$12:$V$18,1,0),0),0))</f>
        <v>47.791666666664241</v>
      </c>
      <c r="Y145" s="223" t="str">
        <f t="shared" si="40"/>
        <v>Unknown</v>
      </c>
      <c r="Z145" s="223">
        <v>5</v>
      </c>
      <c r="AA145" s="249" t="e">
        <f>VLOOKUP(T145,'Planning and Target Times'!$A$74:$L$78,MATCH(E145&amp;"-"&amp;Q145&amp;"-"&amp;Y145&amp;"-"&amp;R145,INDEX('Planning and Target Times'!$A$74:$L$78,1,0),0),0)</f>
        <v>#N/A</v>
      </c>
      <c r="AB145" s="249" t="e">
        <f>VLOOKUP(T145,'Planning and Target Times'!$A$97:$L$101,MATCH(E145&amp;"-"&amp;Q145&amp;"-"&amp;Y145&amp;"-"&amp;R145,INDEX('Planning and Target Times'!$A$97:$L$101,1,0),0),0)</f>
        <v>#N/A</v>
      </c>
      <c r="AC145" s="250">
        <f t="shared" si="36"/>
        <v>24.525547445255995</v>
      </c>
      <c r="AD145" s="250">
        <f t="shared" si="37"/>
        <v>29.293809938972714</v>
      </c>
      <c r="AE145" s="248">
        <f t="shared" si="42"/>
        <v>7933.8801861285165</v>
      </c>
      <c r="AF145" s="248">
        <f t="shared" si="41"/>
        <v>3016.1198138714835</v>
      </c>
      <c r="AG145" s="248">
        <f t="shared" ca="1" si="32"/>
        <v>-4063.8801861285165</v>
      </c>
      <c r="AH145" s="248">
        <f t="shared" ca="1" si="33"/>
        <v>-5869.8801861285165</v>
      </c>
      <c r="AI145" s="248">
        <f t="shared" si="43"/>
        <v>6386.9333317331912</v>
      </c>
      <c r="AJ145" s="248">
        <f t="shared" ca="1" si="34"/>
        <v>-2516.9333317331912</v>
      </c>
      <c r="AK145" s="248">
        <f t="shared" ca="1" si="35"/>
        <v>-4322.9333317331912</v>
      </c>
    </row>
    <row r="146" spans="2:37" ht="15.95" customHeight="1" x14ac:dyDescent="0.25">
      <c r="B146" s="136">
        <v>177</v>
      </c>
      <c r="C146" s="144" t="s">
        <v>1278</v>
      </c>
      <c r="D146" s="156" t="s">
        <v>1276</v>
      </c>
      <c r="E146" s="150" t="s">
        <v>11</v>
      </c>
      <c r="F146" s="140" t="s">
        <v>29</v>
      </c>
      <c r="G146" s="140" t="s">
        <v>1076</v>
      </c>
      <c r="H146" s="140" t="s">
        <v>1082</v>
      </c>
      <c r="I146" s="140" t="s">
        <v>459</v>
      </c>
      <c r="J146" s="141" t="s">
        <v>1079</v>
      </c>
      <c r="K146" s="142">
        <v>42388</v>
      </c>
      <c r="L146" s="142">
        <v>42458</v>
      </c>
      <c r="M146" s="134">
        <v>42472</v>
      </c>
      <c r="N146" s="140">
        <v>70</v>
      </c>
      <c r="O146" s="143">
        <v>1200</v>
      </c>
      <c r="P146" s="135" t="s">
        <v>1096</v>
      </c>
      <c r="Q146" s="223" t="s">
        <v>14</v>
      </c>
      <c r="R146" s="223" t="s">
        <v>298</v>
      </c>
      <c r="S146" s="223" t="s">
        <v>29</v>
      </c>
      <c r="T146" s="224" t="str">
        <f t="shared" si="38"/>
        <v>UB</v>
      </c>
      <c r="U146" s="223" t="str">
        <f t="shared" si="39"/>
        <v>UB-NW-Prod</v>
      </c>
      <c r="V146" s="223" t="str">
        <f t="array" ref="V146">CONCATENATE(Q146,"-",R146)</f>
        <v>NW-Prod</v>
      </c>
      <c r="W146" s="239">
        <f>IF(ISERROR(VLOOKUP(T146,'15-16_DP_Tables'!$M$2:$V$8,MATCH(V146,INDEX('15-16_DP_Tables'!$M$2:$V$8,1,0),0),0)),0,VLOOKUP(T146,'15-16_DP_Tables'!$M$2:$V$8,MATCH(V146,INDEX('15-16_DP_Tables'!$M$2:$V$8,1,0),0),0))</f>
        <v>53.604164999999995</v>
      </c>
      <c r="X146" s="239">
        <f t="array" ref="X146">IF(ISERROR(VLOOKUP(T146,'15-16_DP_Tables'!$M$12:$V$18,MATCH(V146,INDEX('15-16_DP_Tables'!$M$12:$V$18,1,0),0),0)),0,VLOOKUP(T146,'15-16_DP_Tables'!$M$12:$V$18,MATCH(V146,INDEX('15-16_DP_Tables'!$M$12:$V$18,1,0),0),0))</f>
        <v>48</v>
      </c>
      <c r="Y146" s="223" t="str">
        <f t="shared" si="40"/>
        <v>Unknown</v>
      </c>
      <c r="Z146" s="223">
        <v>5</v>
      </c>
      <c r="AA146" s="249" t="e">
        <f>VLOOKUP(T146,'Planning and Target Times'!$A$74:$L$78,MATCH(E146&amp;"-"&amp;Q146&amp;"-"&amp;Y146&amp;"-"&amp;R146,INDEX('Planning and Target Times'!$A$74:$L$78,1,0),0),0)</f>
        <v>#N/A</v>
      </c>
      <c r="AB146" s="249" t="e">
        <f>VLOOKUP(T146,'Planning and Target Times'!$A$97:$L$101,MATCH(E146&amp;"-"&amp;Q146&amp;"-"&amp;Y146&amp;"-"&amp;R146,INDEX('Planning and Target Times'!$A$97:$L$101,1,0),0),0)</f>
        <v>#N/A</v>
      </c>
      <c r="AC146" s="250">
        <f t="shared" si="36"/>
        <v>22.386320167472064</v>
      </c>
      <c r="AD146" s="250">
        <f t="shared" si="37"/>
        <v>25</v>
      </c>
      <c r="AE146" s="248">
        <f t="shared" si="42"/>
        <v>7992.4843511285162</v>
      </c>
      <c r="AF146" s="248">
        <f t="shared" si="41"/>
        <v>2957.5156488714838</v>
      </c>
      <c r="AG146" s="248">
        <f t="shared" ca="1" si="32"/>
        <v>-4122.4843511285162</v>
      </c>
      <c r="AH146" s="248">
        <f t="shared" ca="1" si="33"/>
        <v>-5928.4843511285162</v>
      </c>
      <c r="AI146" s="248">
        <f t="shared" si="43"/>
        <v>6439.9333317331912</v>
      </c>
      <c r="AJ146" s="248">
        <f t="shared" ca="1" si="34"/>
        <v>-2569.9333317331912</v>
      </c>
      <c r="AK146" s="248">
        <f t="shared" ca="1" si="35"/>
        <v>-4375.9333317331912</v>
      </c>
    </row>
    <row r="147" spans="2:37" ht="15.95" customHeight="1" x14ac:dyDescent="0.25">
      <c r="B147" s="136">
        <v>180</v>
      </c>
      <c r="C147" s="144" t="s">
        <v>1282</v>
      </c>
      <c r="D147" s="199" t="s">
        <v>1280</v>
      </c>
      <c r="E147" s="150" t="s">
        <v>42</v>
      </c>
      <c r="F147" s="140" t="s">
        <v>22</v>
      </c>
      <c r="G147" s="140" t="s">
        <v>1076</v>
      </c>
      <c r="H147" s="140" t="s">
        <v>1082</v>
      </c>
      <c r="I147" s="140" t="s">
        <v>459</v>
      </c>
      <c r="J147" s="141" t="s">
        <v>1079</v>
      </c>
      <c r="K147" s="142">
        <v>42388</v>
      </c>
      <c r="L147" s="142">
        <v>42458</v>
      </c>
      <c r="M147" s="134">
        <v>42472</v>
      </c>
      <c r="N147" s="140">
        <v>70</v>
      </c>
      <c r="O147" s="143">
        <v>1800</v>
      </c>
      <c r="P147" s="143" t="s">
        <v>1096</v>
      </c>
      <c r="Q147" s="223" t="s">
        <v>14</v>
      </c>
      <c r="R147" s="223" t="s">
        <v>298</v>
      </c>
      <c r="S147" s="223" t="s">
        <v>22</v>
      </c>
      <c r="T147" s="224" t="str">
        <f t="shared" si="38"/>
        <v>LB</v>
      </c>
      <c r="U147" s="223" t="str">
        <f t="shared" si="39"/>
        <v>LB-NW-Prod</v>
      </c>
      <c r="V147" s="223" t="str">
        <f t="array" ref="V147">CONCATENATE(Q147,"-",R147)</f>
        <v>NW-Prod</v>
      </c>
      <c r="W147" s="239">
        <f>IF(ISERROR(VLOOKUP(T147,'15-16_DP_Tables'!$M$2:$V$8,MATCH(V147,INDEX('15-16_DP_Tables'!$M$2:$V$8,1,0),0),0)),0,VLOOKUP(T147,'15-16_DP_Tables'!$M$2:$V$8,MATCH(V147,INDEX('15-16_DP_Tables'!$M$2:$V$8,1,0),0),0))</f>
        <v>55.81537142381022</v>
      </c>
      <c r="X147" s="239">
        <f t="array" ref="X147">IF(ISERROR(VLOOKUP(T147,'15-16_DP_Tables'!$M$12:$V$18,MATCH(V147,INDEX('15-16_DP_Tables'!$M$12:$V$18,1,0),0),0)),0,VLOOKUP(T147,'15-16_DP_Tables'!$M$12:$V$18,MATCH(V147,INDEX('15-16_DP_Tables'!$M$12:$V$18,1,0),0),0))</f>
        <v>45.207999999999998</v>
      </c>
      <c r="Y147" s="223" t="str">
        <f t="shared" si="40"/>
        <v>Horizontal</v>
      </c>
      <c r="Z147" s="223">
        <v>5</v>
      </c>
      <c r="AA147" s="249" t="e">
        <f>VLOOKUP(T147,'Planning and Target Times'!$A$74:$L$78,MATCH(E147&amp;"-"&amp;Q147&amp;"-"&amp;Y147&amp;"-"&amp;R147,INDEX('Planning and Target Times'!$A$74:$L$78,1,0),0),0)</f>
        <v>#N/A</v>
      </c>
      <c r="AB147" s="249" t="e">
        <f>VLOOKUP(T147,'Planning and Target Times'!$A$97:$L$101,MATCH(E147&amp;"-"&amp;Q147&amp;"-"&amp;Y147&amp;"-"&amp;R147,INDEX('Planning and Target Times'!$A$97:$L$101,1,0),0),0)</f>
        <v>#N/A</v>
      </c>
      <c r="AC147" s="250">
        <f t="shared" si="36"/>
        <v>32.249180719993198</v>
      </c>
      <c r="AD147" s="250">
        <f t="shared" si="37"/>
        <v>39.815961776676694</v>
      </c>
      <c r="AE147" s="248">
        <f t="shared" si="42"/>
        <v>8053.2997225523268</v>
      </c>
      <c r="AF147" s="248">
        <f t="shared" si="41"/>
        <v>2896.7002774476732</v>
      </c>
      <c r="AG147" s="248">
        <f t="shared" ca="1" si="32"/>
        <v>-4183.2997225523268</v>
      </c>
      <c r="AH147" s="248">
        <f t="shared" ca="1" si="33"/>
        <v>-5989.2997225523268</v>
      </c>
      <c r="AI147" s="248">
        <f t="shared" si="43"/>
        <v>6490.1413317331908</v>
      </c>
      <c r="AJ147" s="248">
        <f t="shared" ca="1" si="34"/>
        <v>-2620.1413317331908</v>
      </c>
      <c r="AK147" s="248">
        <f t="shared" ca="1" si="35"/>
        <v>-4426.1413317331908</v>
      </c>
    </row>
    <row r="148" spans="2:37" ht="15.95" customHeight="1" x14ac:dyDescent="0.25">
      <c r="B148" s="136">
        <v>146</v>
      </c>
      <c r="C148" s="144" t="s">
        <v>1237</v>
      </c>
      <c r="D148" s="193" t="s">
        <v>1234</v>
      </c>
      <c r="E148" s="150" t="s">
        <v>11</v>
      </c>
      <c r="F148" s="140" t="s">
        <v>17</v>
      </c>
      <c r="G148" s="140" t="s">
        <v>1076</v>
      </c>
      <c r="H148" s="140" t="s">
        <v>1082</v>
      </c>
      <c r="I148" s="140" t="s">
        <v>459</v>
      </c>
      <c r="J148" s="141" t="s">
        <v>1079</v>
      </c>
      <c r="K148" s="142">
        <v>42399</v>
      </c>
      <c r="L148" s="142">
        <v>42469</v>
      </c>
      <c r="M148" s="134">
        <v>42483</v>
      </c>
      <c r="N148" s="140">
        <v>70</v>
      </c>
      <c r="O148" s="143">
        <v>1400</v>
      </c>
      <c r="P148" s="143" t="s">
        <v>1096</v>
      </c>
      <c r="Q148" s="223" t="s">
        <v>14</v>
      </c>
      <c r="R148" s="223" t="s">
        <v>298</v>
      </c>
      <c r="S148" s="223" t="s">
        <v>17</v>
      </c>
      <c r="T148" s="224" t="str">
        <f t="shared" si="38"/>
        <v>MA</v>
      </c>
      <c r="U148" s="223" t="str">
        <f t="shared" si="39"/>
        <v>MA-NW-Prod</v>
      </c>
      <c r="V148" s="223" t="str">
        <f t="array" ref="V148">CONCATENATE(Q148,"-",R148)</f>
        <v>NW-Prod</v>
      </c>
      <c r="W148" s="239">
        <f>IF(ISERROR(VLOOKUP(T148,'15-16_DP_Tables'!$M$2:$V$8,MATCH(V148,INDEX('15-16_DP_Tables'!$M$2:$V$8,1,0),0),0)),0,VLOOKUP(T148,'15-16_DP_Tables'!$M$2:$V$8,MATCH(V148,INDEX('15-16_DP_Tables'!$M$2:$V$8,1,0),0),0))</f>
        <v>57.083333333332121</v>
      </c>
      <c r="X148" s="239">
        <f t="array" ref="X148">IF(ISERROR(VLOOKUP(T148,'15-16_DP_Tables'!$M$12:$V$18,MATCH(V148,INDEX('15-16_DP_Tables'!$M$12:$V$18,1,0),0),0)),0,VLOOKUP(T148,'15-16_DP_Tables'!$M$12:$V$18,MATCH(V148,INDEX('15-16_DP_Tables'!$M$12:$V$18,1,0),0),0))</f>
        <v>47.791666666664241</v>
      </c>
      <c r="Y148" s="223" t="str">
        <f t="shared" si="40"/>
        <v>Horizontal</v>
      </c>
      <c r="Z148" s="223">
        <v>5</v>
      </c>
      <c r="AA148" s="249" t="e">
        <f>VLOOKUP(T148,'Planning and Target Times'!$A$74:$L$78,MATCH(E148&amp;"-"&amp;Q148&amp;"-"&amp;Y148&amp;"-"&amp;R148,INDEX('Planning and Target Times'!$A$74:$L$78,1,0),0),0)</f>
        <v>#N/A</v>
      </c>
      <c r="AB148" s="249" t="e">
        <f>VLOOKUP(T148,'Planning and Target Times'!$A$97:$L$101,MATCH(E148&amp;"-"&amp;Q148&amp;"-"&amp;Y148&amp;"-"&amp;R148,INDEX('Planning and Target Times'!$A$97:$L$101,1,0),0),0)</f>
        <v>#N/A</v>
      </c>
      <c r="AC148" s="250">
        <f t="shared" si="36"/>
        <v>24.525547445255995</v>
      </c>
      <c r="AD148" s="250">
        <f t="shared" si="37"/>
        <v>29.293809938972714</v>
      </c>
      <c r="AE148" s="248">
        <f t="shared" si="42"/>
        <v>8115.3830558856589</v>
      </c>
      <c r="AF148" s="248">
        <f t="shared" si="41"/>
        <v>2834.6169441143411</v>
      </c>
      <c r="AG148" s="248">
        <f t="shared" ca="1" si="32"/>
        <v>-4245.3830558856589</v>
      </c>
      <c r="AH148" s="248">
        <f t="shared" ca="1" si="33"/>
        <v>-6051.3830558856589</v>
      </c>
      <c r="AI148" s="248">
        <f t="shared" si="43"/>
        <v>6542.932998399855</v>
      </c>
      <c r="AJ148" s="248">
        <f t="shared" ca="1" si="34"/>
        <v>-2672.932998399855</v>
      </c>
      <c r="AK148" s="248">
        <f t="shared" ca="1" si="35"/>
        <v>-4478.932998399855</v>
      </c>
    </row>
    <row r="149" spans="2:37" ht="15.95" customHeight="1" x14ac:dyDescent="0.25">
      <c r="B149" s="136">
        <v>126</v>
      </c>
      <c r="C149" s="144" t="s">
        <v>1213</v>
      </c>
      <c r="D149" s="193" t="s">
        <v>1211</v>
      </c>
      <c r="E149" s="150" t="s">
        <v>11</v>
      </c>
      <c r="F149" s="140" t="s">
        <v>29</v>
      </c>
      <c r="G149" s="140" t="s">
        <v>1086</v>
      </c>
      <c r="H149" s="140" t="s">
        <v>1082</v>
      </c>
      <c r="I149" s="140" t="s">
        <v>459</v>
      </c>
      <c r="J149" s="141" t="s">
        <v>1079</v>
      </c>
      <c r="K149" s="142">
        <v>42401</v>
      </c>
      <c r="L149" s="142">
        <v>42464</v>
      </c>
      <c r="M149" s="134">
        <v>42478</v>
      </c>
      <c r="N149" s="140">
        <v>63</v>
      </c>
      <c r="O149" s="143"/>
      <c r="P149" s="135" t="s">
        <v>1096</v>
      </c>
      <c r="Q149" s="223" t="s">
        <v>14</v>
      </c>
      <c r="R149" s="223" t="s">
        <v>34</v>
      </c>
      <c r="S149" s="223" t="s">
        <v>29</v>
      </c>
      <c r="T149" s="224" t="str">
        <f t="shared" si="38"/>
        <v>UB</v>
      </c>
      <c r="U149" s="223" t="str">
        <f t="shared" si="39"/>
        <v>UB-NW-Inj</v>
      </c>
      <c r="V149" s="223" t="str">
        <f t="array" ref="V149">CONCATENATE(Q149,"-",R149)</f>
        <v>NW-Inj</v>
      </c>
      <c r="W149" s="239">
        <f>IF(ISERROR(VLOOKUP(T149,'15-16_DP_Tables'!$M$2:$V$8,MATCH(V149,INDEX('15-16_DP_Tables'!$M$2:$V$8,1,0),0),0)),0,VLOOKUP(T149,'15-16_DP_Tables'!$M$2:$V$8,MATCH(V149,INDEX('15-16_DP_Tables'!$M$2:$V$8,1,0),0),0))</f>
        <v>0</v>
      </c>
      <c r="X149" s="239">
        <f t="array" ref="X149">IF(ISERROR(VLOOKUP(T149,'15-16_DP_Tables'!$M$12:$V$18,MATCH(V149,INDEX('15-16_DP_Tables'!$M$12:$V$18,1,0),0),0)),0,VLOOKUP(T149,'15-16_DP_Tables'!$M$12:$V$18,MATCH(V149,INDEX('15-16_DP_Tables'!$M$12:$V$18,1,0),0),0))</f>
        <v>0</v>
      </c>
      <c r="Y149" s="223" t="str">
        <f t="shared" si="40"/>
        <v>Unknown</v>
      </c>
      <c r="Z149" s="223">
        <v>5</v>
      </c>
      <c r="AA149" s="249" t="e">
        <f>VLOOKUP(T149,'Planning and Target Times'!$A$74:$L$78,MATCH(E149&amp;"-"&amp;Q149&amp;"-"&amp;Y149&amp;"-"&amp;R149,INDEX('Planning and Target Times'!$A$74:$L$78,1,0),0),0)</f>
        <v>#N/A</v>
      </c>
      <c r="AB149" s="249" t="e">
        <f>VLOOKUP(T149,'Planning and Target Times'!$A$97:$L$101,MATCH(E149&amp;"-"&amp;Q149&amp;"-"&amp;Y149&amp;"-"&amp;R149,INDEX('Planning and Target Times'!$A$97:$L$101,1,0),0),0)</f>
        <v>#N/A</v>
      </c>
      <c r="AC149" s="250">
        <f t="shared" si="36"/>
        <v>0</v>
      </c>
      <c r="AD149" s="250">
        <f t="shared" si="37"/>
        <v>0</v>
      </c>
      <c r="AE149" s="248">
        <f t="shared" si="42"/>
        <v>8120.3830558856589</v>
      </c>
      <c r="AF149" s="248">
        <f t="shared" si="41"/>
        <v>2829.6169441143411</v>
      </c>
      <c r="AG149" s="248">
        <f t="shared" ca="1" si="32"/>
        <v>-4250.3830558856589</v>
      </c>
      <c r="AH149" s="248">
        <f t="shared" ca="1" si="33"/>
        <v>-6056.3830558856589</v>
      </c>
      <c r="AI149" s="248">
        <f t="shared" si="43"/>
        <v>6547.932998399855</v>
      </c>
      <c r="AJ149" s="248">
        <f t="shared" ca="1" si="34"/>
        <v>-2677.932998399855</v>
      </c>
      <c r="AK149" s="248">
        <f t="shared" ca="1" si="35"/>
        <v>-4483.932998399855</v>
      </c>
    </row>
    <row r="150" spans="2:37" ht="15.95" customHeight="1" x14ac:dyDescent="0.25">
      <c r="B150" s="136">
        <v>123</v>
      </c>
      <c r="C150" s="144" t="s">
        <v>1209</v>
      </c>
      <c r="D150" s="165" t="s">
        <v>838</v>
      </c>
      <c r="E150" s="150" t="s">
        <v>42</v>
      </c>
      <c r="F150" s="140" t="s">
        <v>17</v>
      </c>
      <c r="G150" s="140" t="s">
        <v>1076</v>
      </c>
      <c r="H150" s="140" t="s">
        <v>1082</v>
      </c>
      <c r="I150" s="140" t="s">
        <v>459</v>
      </c>
      <c r="J150" s="141" t="s">
        <v>1079</v>
      </c>
      <c r="K150" s="142">
        <v>42411</v>
      </c>
      <c r="L150" s="142">
        <v>42481</v>
      </c>
      <c r="M150" s="134">
        <v>42495</v>
      </c>
      <c r="N150" s="140">
        <v>70</v>
      </c>
      <c r="O150" s="143">
        <v>1500</v>
      </c>
      <c r="P150" s="143" t="s">
        <v>1096</v>
      </c>
      <c r="Q150" s="223" t="s">
        <v>14</v>
      </c>
      <c r="R150" s="223" t="s">
        <v>298</v>
      </c>
      <c r="S150" s="223" t="s">
        <v>17</v>
      </c>
      <c r="T150" s="224" t="str">
        <f t="shared" si="38"/>
        <v>MA</v>
      </c>
      <c r="U150" s="223" t="str">
        <f t="shared" si="39"/>
        <v>MA-NW-Prod</v>
      </c>
      <c r="V150" s="223" t="str">
        <f t="array" ref="V150">CONCATENATE(Q150,"-",R150)</f>
        <v>NW-Prod</v>
      </c>
      <c r="W150" s="239">
        <f>IF(ISERROR(VLOOKUP(T150,'15-16_DP_Tables'!$M$2:$V$8,MATCH(V150,INDEX('15-16_DP_Tables'!$M$2:$V$8,1,0),0),0)),0,VLOOKUP(T150,'15-16_DP_Tables'!$M$2:$V$8,MATCH(V150,INDEX('15-16_DP_Tables'!$M$2:$V$8,1,0),0),0))</f>
        <v>57.083333333332121</v>
      </c>
      <c r="X150" s="239">
        <f t="array" ref="X150">IF(ISERROR(VLOOKUP(T150,'15-16_DP_Tables'!$M$12:$V$18,MATCH(V150,INDEX('15-16_DP_Tables'!$M$12:$V$18,1,0),0),0)),0,VLOOKUP(T150,'15-16_DP_Tables'!$M$12:$V$18,MATCH(V150,INDEX('15-16_DP_Tables'!$M$12:$V$18,1,0),0),0))</f>
        <v>47.791666666664241</v>
      </c>
      <c r="Y150" s="223" t="str">
        <f t="shared" si="40"/>
        <v>Unknown</v>
      </c>
      <c r="Z150" s="223">
        <v>5</v>
      </c>
      <c r="AA150" s="249" t="e">
        <f>VLOOKUP(T150,'Planning and Target Times'!$A$74:$L$78,MATCH(E150&amp;"-"&amp;Q150&amp;"-"&amp;Y150&amp;"-"&amp;R150,INDEX('Planning and Target Times'!$A$74:$L$78,1,0),0),0)</f>
        <v>#N/A</v>
      </c>
      <c r="AB150" s="249" t="e">
        <f>VLOOKUP(T150,'Planning and Target Times'!$A$97:$L$101,MATCH(E150&amp;"-"&amp;Q150&amp;"-"&amp;Y150&amp;"-"&amp;R150,INDEX('Planning and Target Times'!$A$97:$L$101,1,0),0),0)</f>
        <v>#N/A</v>
      </c>
      <c r="AC150" s="250">
        <f t="shared" si="36"/>
        <v>26.277372262774282</v>
      </c>
      <c r="AD150" s="250">
        <f t="shared" si="37"/>
        <v>31.386224934613622</v>
      </c>
      <c r="AE150" s="248">
        <f t="shared" si="42"/>
        <v>8182.466389218991</v>
      </c>
      <c r="AF150" s="248">
        <f t="shared" si="41"/>
        <v>2767.533610781009</v>
      </c>
      <c r="AG150" s="248">
        <f t="shared" ca="1" si="32"/>
        <v>-4312.466389218991</v>
      </c>
      <c r="AH150" s="248">
        <f t="shared" ca="1" si="33"/>
        <v>-6118.466389218991</v>
      </c>
      <c r="AI150" s="248">
        <f t="shared" si="43"/>
        <v>6600.7246650665193</v>
      </c>
      <c r="AJ150" s="248">
        <f t="shared" ca="1" si="34"/>
        <v>-2730.7246650665193</v>
      </c>
      <c r="AK150" s="248">
        <f t="shared" ca="1" si="35"/>
        <v>-4536.7246650665193</v>
      </c>
    </row>
    <row r="151" spans="2:37" ht="15.95" customHeight="1" x14ac:dyDescent="0.25">
      <c r="B151" s="136">
        <v>108</v>
      </c>
      <c r="C151" s="144" t="s">
        <v>1194</v>
      </c>
      <c r="D151" s="157" t="s">
        <v>735</v>
      </c>
      <c r="E151" s="139" t="s">
        <v>11</v>
      </c>
      <c r="F151" s="140" t="s">
        <v>22</v>
      </c>
      <c r="G151" s="140" t="s">
        <v>1076</v>
      </c>
      <c r="H151" s="140" t="s">
        <v>1082</v>
      </c>
      <c r="I151" s="140" t="s">
        <v>459</v>
      </c>
      <c r="J151" s="141" t="s">
        <v>1079</v>
      </c>
      <c r="K151" s="142">
        <v>42418</v>
      </c>
      <c r="L151" s="142">
        <v>42488</v>
      </c>
      <c r="M151" s="134">
        <v>42502</v>
      </c>
      <c r="N151" s="140">
        <v>70</v>
      </c>
      <c r="O151" s="143">
        <v>1200</v>
      </c>
      <c r="P151" s="143" t="s">
        <v>1096</v>
      </c>
      <c r="Q151" s="223" t="s">
        <v>14</v>
      </c>
      <c r="R151" s="223" t="s">
        <v>298</v>
      </c>
      <c r="S151" s="223" t="s">
        <v>22</v>
      </c>
      <c r="T151" s="224" t="str">
        <f t="shared" si="38"/>
        <v>LB</v>
      </c>
      <c r="U151" s="223" t="str">
        <f t="shared" si="39"/>
        <v>LB-NW-Prod</v>
      </c>
      <c r="V151" s="223" t="str">
        <f t="array" ref="V151">CONCATENATE(Q151,"-",R151)</f>
        <v>NW-Prod</v>
      </c>
      <c r="W151" s="239">
        <f>IF(ISERROR(VLOOKUP(T151,'15-16_DP_Tables'!$M$2:$V$8,MATCH(V151,INDEX('15-16_DP_Tables'!$M$2:$V$8,1,0),0),0)),0,VLOOKUP(T151,'15-16_DP_Tables'!$M$2:$V$8,MATCH(V151,INDEX('15-16_DP_Tables'!$M$2:$V$8,1,0),0),0))</f>
        <v>55.81537142381022</v>
      </c>
      <c r="X151" s="239">
        <f t="array" ref="X151">IF(ISERROR(VLOOKUP(T151,'15-16_DP_Tables'!$M$12:$V$18,MATCH(V151,INDEX('15-16_DP_Tables'!$M$12:$V$18,1,0),0),0)),0,VLOOKUP(T151,'15-16_DP_Tables'!$M$12:$V$18,MATCH(V151,INDEX('15-16_DP_Tables'!$M$12:$V$18,1,0),0),0))</f>
        <v>45.207999999999998</v>
      </c>
      <c r="Y151" s="223" t="str">
        <f t="shared" si="40"/>
        <v>Horizontal</v>
      </c>
      <c r="Z151" s="223">
        <v>5</v>
      </c>
      <c r="AA151" s="249" t="e">
        <f>VLOOKUP(T151,'Planning and Target Times'!$A$74:$L$78,MATCH(E151&amp;"-"&amp;Q151&amp;"-"&amp;Y151&amp;"-"&amp;R151,INDEX('Planning and Target Times'!$A$74:$L$78,1,0),0),0)</f>
        <v>#N/A</v>
      </c>
      <c r="AB151" s="249" t="e">
        <f>VLOOKUP(T151,'Planning and Target Times'!$A$97:$L$101,MATCH(E151&amp;"-"&amp;Q151&amp;"-"&amp;Y151&amp;"-"&amp;R151,INDEX('Planning and Target Times'!$A$97:$L$101,1,0),0),0)</f>
        <v>#N/A</v>
      </c>
      <c r="AC151" s="250">
        <f t="shared" si="36"/>
        <v>21.499453813328802</v>
      </c>
      <c r="AD151" s="250">
        <f t="shared" si="37"/>
        <v>26.543974517784463</v>
      </c>
      <c r="AE151" s="248">
        <f t="shared" si="42"/>
        <v>8243.2817606428016</v>
      </c>
      <c r="AF151" s="248">
        <f t="shared" si="41"/>
        <v>2706.7182393571984</v>
      </c>
      <c r="AG151" s="248">
        <f t="shared" ca="1" si="32"/>
        <v>-4373.2817606428016</v>
      </c>
      <c r="AH151" s="248">
        <f t="shared" ca="1" si="33"/>
        <v>-6179.2817606428016</v>
      </c>
      <c r="AI151" s="248">
        <f t="shared" si="43"/>
        <v>6650.9326650665189</v>
      </c>
      <c r="AJ151" s="248">
        <f t="shared" ca="1" si="34"/>
        <v>-2780.9326650665189</v>
      </c>
      <c r="AK151" s="248">
        <f t="shared" ca="1" si="35"/>
        <v>-4586.9326650665189</v>
      </c>
    </row>
    <row r="152" spans="2:37" ht="15.95" customHeight="1" x14ac:dyDescent="0.25">
      <c r="B152" s="136">
        <v>131</v>
      </c>
      <c r="C152" s="144" t="s">
        <v>1219</v>
      </c>
      <c r="D152" s="138" t="s">
        <v>1215</v>
      </c>
      <c r="E152" s="150" t="s">
        <v>11</v>
      </c>
      <c r="F152" s="140" t="s">
        <v>29</v>
      </c>
      <c r="G152" s="140" t="s">
        <v>1076</v>
      </c>
      <c r="H152" s="140" t="s">
        <v>1082</v>
      </c>
      <c r="I152" s="140" t="s">
        <v>459</v>
      </c>
      <c r="J152" s="141" t="s">
        <v>1079</v>
      </c>
      <c r="K152" s="142">
        <v>42424</v>
      </c>
      <c r="L152" s="142">
        <v>42494</v>
      </c>
      <c r="M152" s="134">
        <v>42508</v>
      </c>
      <c r="N152" s="140">
        <v>70</v>
      </c>
      <c r="O152" s="143">
        <v>1200</v>
      </c>
      <c r="P152" s="135" t="s">
        <v>1096</v>
      </c>
      <c r="Q152" s="223" t="s">
        <v>14</v>
      </c>
      <c r="R152" s="223" t="s">
        <v>298</v>
      </c>
      <c r="S152" s="223" t="s">
        <v>29</v>
      </c>
      <c r="T152" s="224" t="str">
        <f t="shared" si="38"/>
        <v>UB</v>
      </c>
      <c r="U152" s="223" t="str">
        <f t="shared" si="39"/>
        <v>UB-NW-Prod</v>
      </c>
      <c r="V152" s="223" t="str">
        <f t="array" ref="V152">CONCATENATE(Q152,"-",R152)</f>
        <v>NW-Prod</v>
      </c>
      <c r="W152" s="239">
        <f>IF(ISERROR(VLOOKUP(T152,'15-16_DP_Tables'!$M$2:$V$8,MATCH(V152,INDEX('15-16_DP_Tables'!$M$2:$V$8,1,0),0),0)),0,VLOOKUP(T152,'15-16_DP_Tables'!$M$2:$V$8,MATCH(V152,INDEX('15-16_DP_Tables'!$M$2:$V$8,1,0),0),0))</f>
        <v>53.604164999999995</v>
      </c>
      <c r="X152" s="239">
        <f t="array" ref="X152">IF(ISERROR(VLOOKUP(T152,'15-16_DP_Tables'!$M$12:$V$18,MATCH(V152,INDEX('15-16_DP_Tables'!$M$12:$V$18,1,0),0),0)),0,VLOOKUP(T152,'15-16_DP_Tables'!$M$12:$V$18,MATCH(V152,INDEX('15-16_DP_Tables'!$M$12:$V$18,1,0),0),0))</f>
        <v>48</v>
      </c>
      <c r="Y152" s="223" t="str">
        <f t="shared" si="40"/>
        <v>Unknown</v>
      </c>
      <c r="Z152" s="223">
        <v>5</v>
      </c>
      <c r="AA152" s="249" t="e">
        <f>VLOOKUP(T152,'Planning and Target Times'!$A$74:$L$78,MATCH(E152&amp;"-"&amp;Q152&amp;"-"&amp;Y152&amp;"-"&amp;R152,INDEX('Planning and Target Times'!$A$74:$L$78,1,0),0),0)</f>
        <v>#N/A</v>
      </c>
      <c r="AB152" s="249" t="e">
        <f>VLOOKUP(T152,'Planning and Target Times'!$A$97:$L$101,MATCH(E152&amp;"-"&amp;Q152&amp;"-"&amp;Y152&amp;"-"&amp;R152,INDEX('Planning and Target Times'!$A$97:$L$101,1,0),0),0)</f>
        <v>#N/A</v>
      </c>
      <c r="AC152" s="250">
        <f t="shared" si="36"/>
        <v>22.386320167472064</v>
      </c>
      <c r="AD152" s="250">
        <f t="shared" si="37"/>
        <v>25</v>
      </c>
      <c r="AE152" s="248">
        <f t="shared" si="42"/>
        <v>8301.8859256428022</v>
      </c>
      <c r="AF152" s="248">
        <f t="shared" si="41"/>
        <v>2648.1140743571978</v>
      </c>
      <c r="AG152" s="248">
        <f t="shared" ca="1" si="32"/>
        <v>-4431.8859256428022</v>
      </c>
      <c r="AH152" s="248">
        <f t="shared" ca="1" si="33"/>
        <v>-6237.8859256428022</v>
      </c>
      <c r="AI152" s="248">
        <f t="shared" si="43"/>
        <v>6703.9326650665189</v>
      </c>
      <c r="AJ152" s="248">
        <f t="shared" ca="1" si="34"/>
        <v>-2833.9326650665189</v>
      </c>
      <c r="AK152" s="248">
        <f t="shared" ca="1" si="35"/>
        <v>-4639.9326650665189</v>
      </c>
    </row>
    <row r="153" spans="2:37" ht="15.95" customHeight="1" x14ac:dyDescent="0.25">
      <c r="B153" s="136">
        <v>135</v>
      </c>
      <c r="C153" s="151" t="s">
        <v>1224</v>
      </c>
      <c r="D153" s="171" t="s">
        <v>1221</v>
      </c>
      <c r="E153" s="150" t="s">
        <v>11</v>
      </c>
      <c r="F153" s="140" t="s">
        <v>29</v>
      </c>
      <c r="G153" s="140" t="s">
        <v>1086</v>
      </c>
      <c r="H153" s="140" t="s">
        <v>1082</v>
      </c>
      <c r="I153" s="140" t="s">
        <v>459</v>
      </c>
      <c r="J153" s="141" t="s">
        <v>1079</v>
      </c>
      <c r="K153" s="142">
        <v>42424</v>
      </c>
      <c r="L153" s="142">
        <v>42487</v>
      </c>
      <c r="M153" s="134">
        <v>42501</v>
      </c>
      <c r="N153" s="140">
        <v>63</v>
      </c>
      <c r="O153" s="143"/>
      <c r="P153" s="143" t="s">
        <v>1096</v>
      </c>
      <c r="Q153" s="223" t="s">
        <v>14</v>
      </c>
      <c r="R153" s="223" t="s">
        <v>34</v>
      </c>
      <c r="S153" s="223" t="s">
        <v>29</v>
      </c>
      <c r="T153" s="224" t="str">
        <f t="shared" si="38"/>
        <v>UB</v>
      </c>
      <c r="U153" s="223" t="str">
        <f t="shared" si="39"/>
        <v>UB-NW-Inj</v>
      </c>
      <c r="V153" s="223" t="str">
        <f t="array" ref="V153">CONCATENATE(Q153,"-",R153)</f>
        <v>NW-Inj</v>
      </c>
      <c r="W153" s="239">
        <f>IF(ISERROR(VLOOKUP(T153,'15-16_DP_Tables'!$M$2:$V$8,MATCH(V153,INDEX('15-16_DP_Tables'!$M$2:$V$8,1,0),0),0)),0,VLOOKUP(T153,'15-16_DP_Tables'!$M$2:$V$8,MATCH(V153,INDEX('15-16_DP_Tables'!$M$2:$V$8,1,0),0),0))</f>
        <v>0</v>
      </c>
      <c r="X153" s="239">
        <f t="array" ref="X153">IF(ISERROR(VLOOKUP(T153,'15-16_DP_Tables'!$M$12:$V$18,MATCH(V153,INDEX('15-16_DP_Tables'!$M$12:$V$18,1,0),0),0)),0,VLOOKUP(T153,'15-16_DP_Tables'!$M$12:$V$18,MATCH(V153,INDEX('15-16_DP_Tables'!$M$12:$V$18,1,0),0),0))</f>
        <v>0</v>
      </c>
      <c r="Y153" s="223" t="str">
        <f t="shared" si="40"/>
        <v>Unknown</v>
      </c>
      <c r="Z153" s="223">
        <v>5</v>
      </c>
      <c r="AA153" s="249" t="e">
        <f>VLOOKUP(T153,'Planning and Target Times'!$A$74:$L$78,MATCH(E153&amp;"-"&amp;Q153&amp;"-"&amp;Y153&amp;"-"&amp;R153,INDEX('Planning and Target Times'!$A$74:$L$78,1,0),0),0)</f>
        <v>#N/A</v>
      </c>
      <c r="AB153" s="249" t="e">
        <f>VLOOKUP(T153,'Planning and Target Times'!$A$97:$L$101,MATCH(E153&amp;"-"&amp;Q153&amp;"-"&amp;Y153&amp;"-"&amp;R153,INDEX('Planning and Target Times'!$A$97:$L$101,1,0),0),0)</f>
        <v>#N/A</v>
      </c>
      <c r="AC153" s="250">
        <f t="shared" si="36"/>
        <v>0</v>
      </c>
      <c r="AD153" s="250">
        <f t="shared" si="37"/>
        <v>0</v>
      </c>
      <c r="AE153" s="248">
        <f t="shared" si="42"/>
        <v>8306.8859256428022</v>
      </c>
      <c r="AF153" s="248">
        <f t="shared" si="41"/>
        <v>2643.1140743571978</v>
      </c>
      <c r="AG153" s="248">
        <f t="shared" ca="1" si="32"/>
        <v>-4436.8859256428022</v>
      </c>
      <c r="AH153" s="248">
        <f t="shared" ca="1" si="33"/>
        <v>-6242.8859256428022</v>
      </c>
      <c r="AI153" s="248">
        <f t="shared" si="43"/>
        <v>6708.9326650665189</v>
      </c>
      <c r="AJ153" s="248">
        <f t="shared" ca="1" si="34"/>
        <v>-2838.9326650665189</v>
      </c>
      <c r="AK153" s="248">
        <f t="shared" ca="1" si="35"/>
        <v>-4644.9326650665189</v>
      </c>
    </row>
    <row r="154" spans="2:37" ht="15.95" customHeight="1" x14ac:dyDescent="0.25">
      <c r="B154" s="136">
        <v>83</v>
      </c>
      <c r="C154" s="144" t="s">
        <v>1169</v>
      </c>
      <c r="D154" s="184" t="s">
        <v>511</v>
      </c>
      <c r="E154" s="150" t="s">
        <v>42</v>
      </c>
      <c r="F154" s="140" t="s">
        <v>17</v>
      </c>
      <c r="G154" s="140" t="s">
        <v>1076</v>
      </c>
      <c r="H154" s="140" t="s">
        <v>1082</v>
      </c>
      <c r="I154" s="140" t="s">
        <v>459</v>
      </c>
      <c r="J154" s="141" t="s">
        <v>1079</v>
      </c>
      <c r="K154" s="142">
        <v>42425</v>
      </c>
      <c r="L154" s="142">
        <v>42495</v>
      </c>
      <c r="M154" s="134">
        <v>42509</v>
      </c>
      <c r="N154" s="140">
        <v>70</v>
      </c>
      <c r="O154" s="143">
        <v>1500</v>
      </c>
      <c r="P154" s="135" t="s">
        <v>1096</v>
      </c>
      <c r="Q154" s="223" t="s">
        <v>14</v>
      </c>
      <c r="R154" s="223" t="s">
        <v>298</v>
      </c>
      <c r="S154" s="223" t="s">
        <v>17</v>
      </c>
      <c r="T154" s="224" t="str">
        <f t="shared" si="38"/>
        <v>MA</v>
      </c>
      <c r="U154" s="223" t="str">
        <f t="shared" si="39"/>
        <v>MA-NW-Prod</v>
      </c>
      <c r="V154" s="223" t="str">
        <f t="array" ref="V154">CONCATENATE(Q154,"-",R154)</f>
        <v>NW-Prod</v>
      </c>
      <c r="W154" s="239">
        <f>IF(ISERROR(VLOOKUP(T154,'15-16_DP_Tables'!$M$2:$V$8,MATCH(V154,INDEX('15-16_DP_Tables'!$M$2:$V$8,1,0),0),0)),0,VLOOKUP(T154,'15-16_DP_Tables'!$M$2:$V$8,MATCH(V154,INDEX('15-16_DP_Tables'!$M$2:$V$8,1,0),0),0))</f>
        <v>57.083333333332121</v>
      </c>
      <c r="X154" s="239">
        <f t="array" ref="X154">IF(ISERROR(VLOOKUP(T154,'15-16_DP_Tables'!$M$12:$V$18,MATCH(V154,INDEX('15-16_DP_Tables'!$M$12:$V$18,1,0),0),0)),0,VLOOKUP(T154,'15-16_DP_Tables'!$M$12:$V$18,MATCH(V154,INDEX('15-16_DP_Tables'!$M$12:$V$18,1,0),0),0))</f>
        <v>47.791666666664241</v>
      </c>
      <c r="Y154" s="223" t="str">
        <f t="shared" si="40"/>
        <v>Unknown</v>
      </c>
      <c r="Z154" s="223">
        <v>5</v>
      </c>
      <c r="AA154" s="249" t="e">
        <f>VLOOKUP(T154,'Planning and Target Times'!$A$74:$L$78,MATCH(E154&amp;"-"&amp;Q154&amp;"-"&amp;Y154&amp;"-"&amp;R154,INDEX('Planning and Target Times'!$A$74:$L$78,1,0),0),0)</f>
        <v>#N/A</v>
      </c>
      <c r="AB154" s="249" t="e">
        <f>VLOOKUP(T154,'Planning and Target Times'!$A$97:$L$101,MATCH(E154&amp;"-"&amp;Q154&amp;"-"&amp;Y154&amp;"-"&amp;R154,INDEX('Planning and Target Times'!$A$97:$L$101,1,0),0),0)</f>
        <v>#N/A</v>
      </c>
      <c r="AC154" s="250">
        <f t="shared" si="36"/>
        <v>26.277372262774282</v>
      </c>
      <c r="AD154" s="250">
        <f t="shared" si="37"/>
        <v>31.386224934613622</v>
      </c>
      <c r="AE154" s="248">
        <f t="shared" si="42"/>
        <v>8368.9692589761344</v>
      </c>
      <c r="AF154" s="248">
        <f t="shared" si="41"/>
        <v>2581.0307410238656</v>
      </c>
      <c r="AG154" s="248">
        <f t="shared" ca="1" si="32"/>
        <v>-4498.9692589761344</v>
      </c>
      <c r="AH154" s="248">
        <f t="shared" ca="1" si="33"/>
        <v>-6304.9692589761344</v>
      </c>
      <c r="AI154" s="248">
        <f t="shared" si="43"/>
        <v>6761.7243317331831</v>
      </c>
      <c r="AJ154" s="248">
        <f t="shared" ca="1" si="34"/>
        <v>-2891.7243317331831</v>
      </c>
      <c r="AK154" s="248">
        <f t="shared" ca="1" si="35"/>
        <v>-4697.7243317331831</v>
      </c>
    </row>
    <row r="155" spans="2:37" ht="15.95" customHeight="1" x14ac:dyDescent="0.25">
      <c r="B155" s="136">
        <v>150</v>
      </c>
      <c r="C155" s="144" t="s">
        <v>1242</v>
      </c>
      <c r="D155" s="194" t="s">
        <v>1239</v>
      </c>
      <c r="E155" s="150" t="s">
        <v>11</v>
      </c>
      <c r="F155" s="140" t="s">
        <v>17</v>
      </c>
      <c r="G155" s="140" t="s">
        <v>1086</v>
      </c>
      <c r="H155" s="140" t="s">
        <v>1082</v>
      </c>
      <c r="I155" s="140" t="s">
        <v>459</v>
      </c>
      <c r="J155" s="141" t="s">
        <v>1079</v>
      </c>
      <c r="K155" s="142">
        <v>42427</v>
      </c>
      <c r="L155" s="142">
        <v>42490</v>
      </c>
      <c r="M155" s="134">
        <v>42504</v>
      </c>
      <c r="N155" s="140">
        <v>63</v>
      </c>
      <c r="O155" s="143"/>
      <c r="P155" s="143" t="s">
        <v>1096</v>
      </c>
      <c r="Q155" s="223" t="s">
        <v>14</v>
      </c>
      <c r="R155" s="223" t="s">
        <v>34</v>
      </c>
      <c r="S155" s="223" t="s">
        <v>17</v>
      </c>
      <c r="T155" s="224" t="str">
        <f t="shared" si="38"/>
        <v>MA</v>
      </c>
      <c r="U155" s="223" t="str">
        <f t="shared" si="39"/>
        <v>MA-NW-Inj</v>
      </c>
      <c r="V155" s="223" t="str">
        <f t="array" ref="V155">CONCATENATE(Q155,"-",R155)</f>
        <v>NW-Inj</v>
      </c>
      <c r="W155" s="239">
        <f>IF(ISERROR(VLOOKUP(T155,'15-16_DP_Tables'!$M$2:$V$8,MATCH(V155,INDEX('15-16_DP_Tables'!$M$2:$V$8,1,0),0),0)),0,VLOOKUP(T155,'15-16_DP_Tables'!$M$2:$V$8,MATCH(V155,INDEX('15-16_DP_Tables'!$M$2:$V$8,1,0),0),0))</f>
        <v>0</v>
      </c>
      <c r="X155" s="239">
        <f t="array" ref="X155">IF(ISERROR(VLOOKUP(T155,'15-16_DP_Tables'!$M$12:$V$18,MATCH(V155,INDEX('15-16_DP_Tables'!$M$12:$V$18,1,0),0),0)),0,VLOOKUP(T155,'15-16_DP_Tables'!$M$12:$V$18,MATCH(V155,INDEX('15-16_DP_Tables'!$M$12:$V$18,1,0),0),0))</f>
        <v>0</v>
      </c>
      <c r="Y155" s="223" t="str">
        <f t="shared" si="40"/>
        <v>Horizontal</v>
      </c>
      <c r="Z155" s="223">
        <v>5</v>
      </c>
      <c r="AA155" s="249" t="e">
        <f>VLOOKUP(T155,'Planning and Target Times'!$A$74:$L$78,MATCH(E155&amp;"-"&amp;Q155&amp;"-"&amp;Y155&amp;"-"&amp;R155,INDEX('Planning and Target Times'!$A$74:$L$78,1,0),0),0)</f>
        <v>#N/A</v>
      </c>
      <c r="AB155" s="249" t="e">
        <f>VLOOKUP(T155,'Planning and Target Times'!$A$97:$L$101,MATCH(E155&amp;"-"&amp;Q155&amp;"-"&amp;Y155&amp;"-"&amp;R155,INDEX('Planning and Target Times'!$A$97:$L$101,1,0),0),0)</f>
        <v>#N/A</v>
      </c>
      <c r="AC155" s="250">
        <f t="shared" si="36"/>
        <v>0</v>
      </c>
      <c r="AD155" s="250">
        <f t="shared" si="37"/>
        <v>0</v>
      </c>
      <c r="AE155" s="248">
        <f t="shared" si="42"/>
        <v>8373.9692589761344</v>
      </c>
      <c r="AF155" s="248">
        <f t="shared" si="41"/>
        <v>2576.0307410238656</v>
      </c>
      <c r="AG155" s="248">
        <f t="shared" ca="1" si="32"/>
        <v>-4503.9692589761344</v>
      </c>
      <c r="AH155" s="248">
        <f t="shared" ca="1" si="33"/>
        <v>-6309.9692589761344</v>
      </c>
      <c r="AI155" s="248">
        <f t="shared" si="43"/>
        <v>6766.7243317331831</v>
      </c>
      <c r="AJ155" s="248">
        <f t="shared" ca="1" si="34"/>
        <v>-2896.7243317331831</v>
      </c>
      <c r="AK155" s="248">
        <f t="shared" ca="1" si="35"/>
        <v>-4702.7243317331831</v>
      </c>
    </row>
    <row r="156" spans="2:37" ht="15.95" customHeight="1" x14ac:dyDescent="0.25">
      <c r="B156" s="136">
        <v>115</v>
      </c>
      <c r="C156" s="151" t="s">
        <v>1201</v>
      </c>
      <c r="D156" s="184" t="s">
        <v>839</v>
      </c>
      <c r="E156" s="150" t="s">
        <v>11</v>
      </c>
      <c r="F156" s="140" t="s">
        <v>17</v>
      </c>
      <c r="G156" s="140" t="s">
        <v>599</v>
      </c>
      <c r="H156" s="140" t="s">
        <v>1082</v>
      </c>
      <c r="I156" s="140" t="s">
        <v>459</v>
      </c>
      <c r="J156" s="141" t="s">
        <v>1079</v>
      </c>
      <c r="K156" s="142">
        <v>42429</v>
      </c>
      <c r="L156" s="142">
        <v>42485</v>
      </c>
      <c r="M156" s="134">
        <v>42499</v>
      </c>
      <c r="N156" s="140">
        <v>56</v>
      </c>
      <c r="O156" s="143"/>
      <c r="P156" s="143" t="s">
        <v>1096</v>
      </c>
      <c r="Q156" s="223" t="s">
        <v>14</v>
      </c>
      <c r="R156" s="223" t="s">
        <v>599</v>
      </c>
      <c r="S156" s="223" t="s">
        <v>17</v>
      </c>
      <c r="T156" s="224" t="str">
        <f t="shared" si="38"/>
        <v>MA</v>
      </c>
      <c r="U156" s="223" t="str">
        <f t="shared" si="39"/>
        <v>MA-NW-EOR</v>
      </c>
      <c r="V156" s="223" t="str">
        <f t="array" ref="V156">CONCATENATE(Q156,"-",R156)</f>
        <v>NW-EOR</v>
      </c>
      <c r="W156" s="239">
        <f>IF(ISERROR(VLOOKUP(T156,'15-16_DP_Tables'!$M$2:$V$8,MATCH(V156,INDEX('15-16_DP_Tables'!$M$2:$V$8,1,0),0),0)),0,VLOOKUP(T156,'15-16_DP_Tables'!$M$2:$V$8,MATCH(V156,INDEX('15-16_DP_Tables'!$M$2:$V$8,1,0),0),0))</f>
        <v>0</v>
      </c>
      <c r="X156" s="239">
        <f t="array" ref="X156">IF(ISERROR(VLOOKUP(T156,'15-16_DP_Tables'!$M$12:$V$18,MATCH(V156,INDEX('15-16_DP_Tables'!$M$12:$V$18,1,0),0),0)),0,VLOOKUP(T156,'15-16_DP_Tables'!$M$12:$V$18,MATCH(V156,INDEX('15-16_DP_Tables'!$M$12:$V$18,1,0),0),0))</f>
        <v>0</v>
      </c>
      <c r="Y156" s="223" t="str">
        <f t="shared" si="40"/>
        <v>Unknown</v>
      </c>
      <c r="Z156" s="223">
        <v>5</v>
      </c>
      <c r="AA156" s="249" t="e">
        <f>VLOOKUP(T156,'Planning and Target Times'!$A$74:$L$78,MATCH(E156&amp;"-"&amp;Q156&amp;"-"&amp;Y156&amp;"-"&amp;R156,INDEX('Planning and Target Times'!$A$74:$L$78,1,0),0),0)</f>
        <v>#N/A</v>
      </c>
      <c r="AB156" s="249" t="e">
        <f>VLOOKUP(T156,'Planning and Target Times'!$A$97:$L$101,MATCH(E156&amp;"-"&amp;Q156&amp;"-"&amp;Y156&amp;"-"&amp;R156,INDEX('Planning and Target Times'!$A$97:$L$101,1,0),0),0)</f>
        <v>#N/A</v>
      </c>
      <c r="AC156" s="250">
        <f t="shared" si="36"/>
        <v>0</v>
      </c>
      <c r="AD156" s="250">
        <f t="shared" si="37"/>
        <v>0</v>
      </c>
      <c r="AE156" s="248">
        <f t="shared" si="42"/>
        <v>8378.9692589761344</v>
      </c>
      <c r="AF156" s="248">
        <f t="shared" si="41"/>
        <v>2571.0307410238656</v>
      </c>
      <c r="AG156" s="248">
        <f t="shared" ca="1" si="32"/>
        <v>-4508.9692589761344</v>
      </c>
      <c r="AH156" s="248">
        <f t="shared" ca="1" si="33"/>
        <v>-6314.9692589761344</v>
      </c>
      <c r="AI156" s="248">
        <f t="shared" si="43"/>
        <v>6771.7243317331831</v>
      </c>
      <c r="AJ156" s="248">
        <f t="shared" ca="1" si="34"/>
        <v>-2901.7243317331831</v>
      </c>
      <c r="AK156" s="248">
        <f t="shared" ca="1" si="35"/>
        <v>-4707.7243317331831</v>
      </c>
    </row>
    <row r="157" spans="2:37" ht="15.95" customHeight="1" x14ac:dyDescent="0.25">
      <c r="B157" s="136">
        <v>165</v>
      </c>
      <c r="C157" s="144" t="s">
        <v>1262</v>
      </c>
      <c r="D157" s="197" t="s">
        <v>1259</v>
      </c>
      <c r="E157" s="150" t="s">
        <v>11</v>
      </c>
      <c r="F157" s="140" t="s">
        <v>17</v>
      </c>
      <c r="G157" s="140" t="s">
        <v>1086</v>
      </c>
      <c r="H157" s="140" t="s">
        <v>1082</v>
      </c>
      <c r="I157" s="140" t="s">
        <v>459</v>
      </c>
      <c r="J157" s="141" t="s">
        <v>1079</v>
      </c>
      <c r="K157" s="142">
        <v>42437</v>
      </c>
      <c r="L157" s="142">
        <v>42500</v>
      </c>
      <c r="M157" s="134">
        <v>42514</v>
      </c>
      <c r="N157" s="140">
        <v>63</v>
      </c>
      <c r="O157" s="143"/>
      <c r="P157" s="135" t="s">
        <v>1096</v>
      </c>
      <c r="Q157" s="223" t="s">
        <v>14</v>
      </c>
      <c r="R157" s="223" t="s">
        <v>34</v>
      </c>
      <c r="S157" s="223" t="s">
        <v>17</v>
      </c>
      <c r="T157" s="224" t="str">
        <f t="shared" si="38"/>
        <v>MA</v>
      </c>
      <c r="U157" s="223" t="str">
        <f t="shared" si="39"/>
        <v>MA-NW-Inj</v>
      </c>
      <c r="V157" s="223" t="str">
        <f t="array" ref="V157">CONCATENATE(Q157,"-",R157)</f>
        <v>NW-Inj</v>
      </c>
      <c r="W157" s="239">
        <f>IF(ISERROR(VLOOKUP(T157,'15-16_DP_Tables'!$M$2:$V$8,MATCH(V157,INDEX('15-16_DP_Tables'!$M$2:$V$8,1,0),0),0)),0,VLOOKUP(T157,'15-16_DP_Tables'!$M$2:$V$8,MATCH(V157,INDEX('15-16_DP_Tables'!$M$2:$V$8,1,0),0),0))</f>
        <v>0</v>
      </c>
      <c r="X157" s="239">
        <f t="array" ref="X157">IF(ISERROR(VLOOKUP(T157,'15-16_DP_Tables'!$M$12:$V$18,MATCH(V157,INDEX('15-16_DP_Tables'!$M$12:$V$18,1,0),0),0)),0,VLOOKUP(T157,'15-16_DP_Tables'!$M$12:$V$18,MATCH(V157,INDEX('15-16_DP_Tables'!$M$12:$V$18,1,0),0),0))</f>
        <v>0</v>
      </c>
      <c r="Y157" s="223" t="str">
        <f t="shared" si="40"/>
        <v>Horizontal</v>
      </c>
      <c r="Z157" s="223">
        <v>5</v>
      </c>
      <c r="AA157" s="249" t="e">
        <f>VLOOKUP(T157,'Planning and Target Times'!$A$74:$L$78,MATCH(E157&amp;"-"&amp;Q157&amp;"-"&amp;Y157&amp;"-"&amp;R157,INDEX('Planning and Target Times'!$A$74:$L$78,1,0),0),0)</f>
        <v>#N/A</v>
      </c>
      <c r="AB157" s="249" t="e">
        <f>VLOOKUP(T157,'Planning and Target Times'!$A$97:$L$101,MATCH(E157&amp;"-"&amp;Q157&amp;"-"&amp;Y157&amp;"-"&amp;R157,INDEX('Planning and Target Times'!$A$97:$L$101,1,0),0),0)</f>
        <v>#N/A</v>
      </c>
      <c r="AC157" s="250">
        <f t="shared" si="36"/>
        <v>0</v>
      </c>
      <c r="AD157" s="250">
        <f t="shared" si="37"/>
        <v>0</v>
      </c>
      <c r="AE157" s="248">
        <f t="shared" si="42"/>
        <v>8383.9692589761344</v>
      </c>
      <c r="AF157" s="248">
        <f t="shared" si="41"/>
        <v>2566.0307410238656</v>
      </c>
      <c r="AG157" s="248">
        <f t="shared" ca="1" si="32"/>
        <v>-4513.9692589761344</v>
      </c>
      <c r="AH157" s="248">
        <f t="shared" ca="1" si="33"/>
        <v>-6319.9692589761344</v>
      </c>
      <c r="AI157" s="248">
        <f t="shared" si="43"/>
        <v>6776.7243317331831</v>
      </c>
      <c r="AJ157" s="248">
        <f t="shared" ca="1" si="34"/>
        <v>-2906.7243317331831</v>
      </c>
      <c r="AK157" s="248">
        <f t="shared" ca="1" si="35"/>
        <v>-4712.7243317331831</v>
      </c>
    </row>
    <row r="158" spans="2:37" ht="15.95" customHeight="1" x14ac:dyDescent="0.25">
      <c r="B158" s="136">
        <v>142</v>
      </c>
      <c r="C158" s="144" t="s">
        <v>1232</v>
      </c>
      <c r="D158" s="165" t="s">
        <v>19</v>
      </c>
      <c r="E158" s="150" t="s">
        <v>11</v>
      </c>
      <c r="F158" s="140" t="s">
        <v>17</v>
      </c>
      <c r="G158" s="140" t="s">
        <v>1086</v>
      </c>
      <c r="H158" s="140" t="s">
        <v>1082</v>
      </c>
      <c r="I158" s="140" t="s">
        <v>459</v>
      </c>
      <c r="J158" s="141" t="s">
        <v>1079</v>
      </c>
      <c r="K158" s="142">
        <v>42439</v>
      </c>
      <c r="L158" s="142">
        <v>42502</v>
      </c>
      <c r="M158" s="134">
        <v>42516</v>
      </c>
      <c r="N158" s="140">
        <v>63</v>
      </c>
      <c r="O158" s="143"/>
      <c r="P158" s="143" t="s">
        <v>1096</v>
      </c>
      <c r="Q158" s="223" t="s">
        <v>14</v>
      </c>
      <c r="R158" s="223" t="s">
        <v>34</v>
      </c>
      <c r="S158" s="223" t="s">
        <v>17</v>
      </c>
      <c r="T158" s="224" t="str">
        <f t="shared" si="38"/>
        <v>MA</v>
      </c>
      <c r="U158" s="223" t="str">
        <f t="shared" si="39"/>
        <v>MA-NW-Inj</v>
      </c>
      <c r="V158" s="223" t="str">
        <f t="array" ref="V158">CONCATENATE(Q158,"-",R158)</f>
        <v>NW-Inj</v>
      </c>
      <c r="W158" s="239">
        <f>IF(ISERROR(VLOOKUP(T158,'15-16_DP_Tables'!$M$2:$V$8,MATCH(V158,INDEX('15-16_DP_Tables'!$M$2:$V$8,1,0),0),0)),0,VLOOKUP(T158,'15-16_DP_Tables'!$M$2:$V$8,MATCH(V158,INDEX('15-16_DP_Tables'!$M$2:$V$8,1,0),0),0))</f>
        <v>0</v>
      </c>
      <c r="X158" s="239">
        <f t="array" ref="X158">IF(ISERROR(VLOOKUP(T158,'15-16_DP_Tables'!$M$12:$V$18,MATCH(V158,INDEX('15-16_DP_Tables'!$M$12:$V$18,1,0),0),0)),0,VLOOKUP(T158,'15-16_DP_Tables'!$M$12:$V$18,MATCH(V158,INDEX('15-16_DP_Tables'!$M$12:$V$18,1,0),0),0))</f>
        <v>0</v>
      </c>
      <c r="Y158" s="223" t="str">
        <f t="shared" si="40"/>
        <v>Horizontal</v>
      </c>
      <c r="Z158" s="223">
        <v>5</v>
      </c>
      <c r="AA158" s="249" t="e">
        <f>VLOOKUP(T158,'Planning and Target Times'!$A$74:$L$78,MATCH(E158&amp;"-"&amp;Q158&amp;"-"&amp;Y158&amp;"-"&amp;R158,INDEX('Planning and Target Times'!$A$74:$L$78,1,0),0),0)</f>
        <v>#N/A</v>
      </c>
      <c r="AB158" s="249" t="e">
        <f>VLOOKUP(T158,'Planning and Target Times'!$A$97:$L$101,MATCH(E158&amp;"-"&amp;Q158&amp;"-"&amp;Y158&amp;"-"&amp;R158,INDEX('Planning and Target Times'!$A$97:$L$101,1,0),0),0)</f>
        <v>#N/A</v>
      </c>
      <c r="AC158" s="250">
        <f t="shared" si="36"/>
        <v>0</v>
      </c>
      <c r="AD158" s="250">
        <f t="shared" si="37"/>
        <v>0</v>
      </c>
      <c r="AE158" s="248">
        <f t="shared" si="42"/>
        <v>8388.9692589761344</v>
      </c>
      <c r="AF158" s="248">
        <f t="shared" si="41"/>
        <v>2561.0307410238656</v>
      </c>
      <c r="AG158" s="248">
        <f t="shared" ca="1" si="32"/>
        <v>-4518.9692589761344</v>
      </c>
      <c r="AH158" s="248">
        <f t="shared" ca="1" si="33"/>
        <v>-6324.9692589761344</v>
      </c>
      <c r="AI158" s="248">
        <f t="shared" si="43"/>
        <v>6781.7243317331831</v>
      </c>
      <c r="AJ158" s="248">
        <f t="shared" ca="1" si="34"/>
        <v>-2911.7243317331831</v>
      </c>
      <c r="AK158" s="248">
        <f t="shared" ca="1" si="35"/>
        <v>-4717.7243317331831</v>
      </c>
    </row>
    <row r="159" spans="2:37" ht="15.95" customHeight="1" x14ac:dyDescent="0.25">
      <c r="B159" s="136">
        <v>116</v>
      </c>
      <c r="C159" s="151" t="s">
        <v>1202</v>
      </c>
      <c r="D159" s="184" t="s">
        <v>839</v>
      </c>
      <c r="E159" s="150" t="s">
        <v>11</v>
      </c>
      <c r="F159" s="140" t="s">
        <v>17</v>
      </c>
      <c r="G159" s="140" t="s">
        <v>599</v>
      </c>
      <c r="H159" s="140" t="s">
        <v>1082</v>
      </c>
      <c r="I159" s="140" t="s">
        <v>459</v>
      </c>
      <c r="J159" s="141" t="s">
        <v>1079</v>
      </c>
      <c r="K159" s="142">
        <v>42485</v>
      </c>
      <c r="L159" s="142">
        <v>42541</v>
      </c>
      <c r="M159" s="134">
        <v>42555</v>
      </c>
      <c r="N159" s="140">
        <v>56</v>
      </c>
      <c r="O159" s="143"/>
      <c r="P159" s="143" t="s">
        <v>1096</v>
      </c>
      <c r="Q159" s="223" t="s">
        <v>14</v>
      </c>
      <c r="R159" s="223" t="s">
        <v>599</v>
      </c>
      <c r="S159" s="223" t="s">
        <v>17</v>
      </c>
      <c r="T159" s="224" t="str">
        <f t="shared" si="38"/>
        <v>MA</v>
      </c>
      <c r="U159" s="223" t="str">
        <f t="shared" si="39"/>
        <v>MA-NW-EOR</v>
      </c>
      <c r="V159" s="223" t="str">
        <f t="array" ref="V159">CONCATENATE(Q159,"-",R159)</f>
        <v>NW-EOR</v>
      </c>
      <c r="W159" s="239">
        <f>IF(ISERROR(VLOOKUP(T159,'15-16_DP_Tables'!$M$2:$V$8,MATCH(V159,INDEX('15-16_DP_Tables'!$M$2:$V$8,1,0),0),0)),0,VLOOKUP(T159,'15-16_DP_Tables'!$M$2:$V$8,MATCH(V159,INDEX('15-16_DP_Tables'!$M$2:$V$8,1,0),0),0))</f>
        <v>0</v>
      </c>
      <c r="X159" s="239">
        <f t="array" ref="X159">IF(ISERROR(VLOOKUP(T159,'15-16_DP_Tables'!$M$12:$V$18,MATCH(V159,INDEX('15-16_DP_Tables'!$M$12:$V$18,1,0),0),0)),0,VLOOKUP(T159,'15-16_DP_Tables'!$M$12:$V$18,MATCH(V159,INDEX('15-16_DP_Tables'!$M$12:$V$18,1,0),0),0))</f>
        <v>0</v>
      </c>
      <c r="Y159" s="223" t="str">
        <f t="shared" si="40"/>
        <v>Unknown</v>
      </c>
      <c r="Z159" s="223">
        <v>5</v>
      </c>
      <c r="AA159" s="249" t="e">
        <f>VLOOKUP(T159,'Planning and Target Times'!$A$74:$L$78,MATCH(E159&amp;"-"&amp;Q159&amp;"-"&amp;Y159&amp;"-"&amp;R159,INDEX('Planning and Target Times'!$A$74:$L$78,1,0),0),0)</f>
        <v>#N/A</v>
      </c>
      <c r="AB159" s="249" t="e">
        <f>VLOOKUP(T159,'Planning and Target Times'!$A$97:$L$101,MATCH(E159&amp;"-"&amp;Q159&amp;"-"&amp;Y159&amp;"-"&amp;R159,INDEX('Planning and Target Times'!$A$97:$L$101,1,0),0),0)</f>
        <v>#N/A</v>
      </c>
      <c r="AC159" s="250">
        <f t="shared" si="36"/>
        <v>0</v>
      </c>
      <c r="AD159" s="250">
        <f t="shared" si="37"/>
        <v>0</v>
      </c>
      <c r="AE159" s="248">
        <f t="shared" si="42"/>
        <v>8393.9692589761344</v>
      </c>
      <c r="AF159" s="248">
        <f t="shared" si="41"/>
        <v>2556.0307410238656</v>
      </c>
      <c r="AG159" s="248">
        <f t="shared" ca="1" si="32"/>
        <v>-4523.9692589761344</v>
      </c>
      <c r="AH159" s="248">
        <f t="shared" ca="1" si="33"/>
        <v>-6329.9692589761344</v>
      </c>
      <c r="AI159" s="248">
        <f t="shared" si="43"/>
        <v>6786.7243317331831</v>
      </c>
      <c r="AJ159" s="248">
        <f t="shared" ca="1" si="34"/>
        <v>-2916.7243317331831</v>
      </c>
      <c r="AK159" s="248">
        <f t="shared" ca="1" si="35"/>
        <v>-4722.7243317331831</v>
      </c>
    </row>
    <row r="160" spans="2:37" ht="15.95" customHeight="1" x14ac:dyDescent="0.25">
      <c r="B160" s="136">
        <v>50</v>
      </c>
      <c r="C160" s="151" t="s">
        <v>1134</v>
      </c>
      <c r="D160" s="171" t="s">
        <v>1126</v>
      </c>
      <c r="E160" s="150" t="s">
        <v>42</v>
      </c>
      <c r="F160" s="174" t="s">
        <v>44</v>
      </c>
      <c r="G160" s="174" t="s">
        <v>1076</v>
      </c>
      <c r="H160" s="174" t="s">
        <v>1082</v>
      </c>
      <c r="I160" s="174" t="s">
        <v>1135</v>
      </c>
      <c r="J160" s="175" t="s">
        <v>1079</v>
      </c>
      <c r="K160" s="142"/>
      <c r="L160" s="142"/>
      <c r="M160" s="177"/>
      <c r="N160" s="174">
        <v>98</v>
      </c>
      <c r="O160" s="176">
        <v>2200</v>
      </c>
      <c r="P160" s="176" t="s">
        <v>1096</v>
      </c>
      <c r="Q160" s="223" t="s">
        <v>14</v>
      </c>
      <c r="R160" s="223" t="s">
        <v>298</v>
      </c>
      <c r="S160" s="223" t="s">
        <v>44</v>
      </c>
      <c r="T160" s="224" t="str">
        <f t="shared" si="38"/>
        <v>ZU/RT</v>
      </c>
      <c r="U160" s="223" t="str">
        <f t="shared" si="39"/>
        <v>ZU-NW-Prod</v>
      </c>
      <c r="V160" s="223" t="str">
        <f t="array" ref="V160">CONCATENATE(Q160,"-",R160)</f>
        <v>NW-Prod</v>
      </c>
      <c r="W160" s="239">
        <f>IF(ISERROR(VLOOKUP(T160,'15-16_DP_Tables'!$M$2:$V$8,MATCH(V160,INDEX('15-16_DP_Tables'!$M$2:$V$8,1,0),0),0)),0,VLOOKUP(T160,'15-16_DP_Tables'!$M$2:$V$8,MATCH(V160,INDEX('15-16_DP_Tables'!$M$2:$V$8,1,0),0),0))</f>
        <v>99.088549999999998</v>
      </c>
      <c r="X160" s="239">
        <f t="array" ref="X160">IF(ISERROR(VLOOKUP(T160,'15-16_DP_Tables'!$M$12:$V$18,MATCH(V160,INDEX('15-16_DP_Tables'!$M$12:$V$18,1,0),0),0)),0,VLOOKUP(T160,'15-16_DP_Tables'!$M$12:$V$18,MATCH(V160,INDEX('15-16_DP_Tables'!$M$12:$V$18,1,0),0),0))</f>
        <v>53.375</v>
      </c>
      <c r="Y160" s="223" t="str">
        <f t="shared" si="40"/>
        <v>Slant</v>
      </c>
      <c r="Z160" s="223">
        <v>5</v>
      </c>
      <c r="AA160" s="249" t="e">
        <f>VLOOKUP(T160,'Planning and Target Times'!$A$74:$L$78,MATCH(E160&amp;"-"&amp;Q160&amp;"-"&amp;Y160&amp;"-"&amp;R160,INDEX('Planning and Target Times'!$A$74:$L$78,1,0),0),0)</f>
        <v>#N/A</v>
      </c>
      <c r="AB160" s="249" t="e">
        <f>VLOOKUP(T160,'Planning and Target Times'!$A$97:$L$101,MATCH(E160&amp;"-"&amp;Q160&amp;"-"&amp;Y160&amp;"-"&amp;R160,INDEX('Planning and Target Times'!$A$97:$L$101,1,0),0),0)</f>
        <v>#N/A</v>
      </c>
      <c r="AC160" s="250">
        <f t="shared" si="36"/>
        <v>22.202363441588357</v>
      </c>
      <c r="AD160" s="250">
        <f t="shared" si="37"/>
        <v>41.217798594847778</v>
      </c>
      <c r="AE160" s="248">
        <f t="shared" si="42"/>
        <v>8498.0578089761348</v>
      </c>
      <c r="AF160" s="248">
        <f t="shared" si="41"/>
        <v>2451.9421910238652</v>
      </c>
      <c r="AG160" s="248">
        <f t="shared" ca="1" si="32"/>
        <v>-4628.0578089761348</v>
      </c>
      <c r="AH160" s="248">
        <f t="shared" ca="1" si="33"/>
        <v>-6434.0578089761348</v>
      </c>
      <c r="AI160" s="248">
        <f t="shared" si="43"/>
        <v>6845.0993317331831</v>
      </c>
      <c r="AJ160" s="248">
        <f t="shared" ca="1" si="34"/>
        <v>-2975.0993317331831</v>
      </c>
      <c r="AK160" s="248">
        <f t="shared" ca="1" si="35"/>
        <v>-4781.0993317331831</v>
      </c>
    </row>
    <row r="161" spans="3:10" ht="15.95" customHeight="1" x14ac:dyDescent="0.2">
      <c r="C161" s="206"/>
      <c r="D161" s="207"/>
      <c r="E161" s="206"/>
    </row>
    <row r="162" spans="3:10" ht="15.95" customHeight="1" x14ac:dyDescent="0.2">
      <c r="C162" s="206"/>
      <c r="D162" s="207"/>
      <c r="E162" s="206"/>
    </row>
    <row r="163" spans="3:10" ht="15.95" customHeight="1" x14ac:dyDescent="0.2">
      <c r="C163" s="206"/>
      <c r="D163" s="207"/>
      <c r="E163" s="206"/>
    </row>
    <row r="164" spans="3:10" ht="15.95" customHeight="1" x14ac:dyDescent="0.2">
      <c r="C164" s="208"/>
      <c r="D164" s="207"/>
      <c r="E164" s="206"/>
    </row>
    <row r="165" spans="3:10" ht="15.95" customHeight="1" x14ac:dyDescent="0.2">
      <c r="C165" s="208"/>
      <c r="D165" s="207"/>
      <c r="E165" s="206"/>
    </row>
    <row r="166" spans="3:10" ht="15.95" customHeight="1" x14ac:dyDescent="0.2">
      <c r="C166" s="208"/>
      <c r="D166" s="207"/>
      <c r="E166" s="206"/>
    </row>
    <row r="167" spans="3:10" ht="15.95" customHeight="1" x14ac:dyDescent="0.2">
      <c r="C167" s="208"/>
      <c r="D167" s="207"/>
      <c r="E167" s="206"/>
    </row>
    <row r="168" spans="3:10" ht="15.95" customHeight="1" x14ac:dyDescent="0.2">
      <c r="C168" s="208"/>
      <c r="D168" s="207"/>
      <c r="E168" s="206"/>
    </row>
    <row r="169" spans="3:10" x14ac:dyDescent="0.2">
      <c r="C169" s="208"/>
      <c r="D169" s="207"/>
      <c r="E169" s="206"/>
      <c r="J169" s="124"/>
    </row>
    <row r="170" spans="3:10" x14ac:dyDescent="0.2">
      <c r="C170" s="208"/>
      <c r="D170" s="207"/>
      <c r="E170" s="206"/>
      <c r="J170" s="124"/>
    </row>
    <row r="171" spans="3:10" x14ac:dyDescent="0.2">
      <c r="C171" s="208"/>
      <c r="D171" s="207"/>
      <c r="E171" s="206"/>
      <c r="J171" s="124"/>
    </row>
    <row r="172" spans="3:10" x14ac:dyDescent="0.2">
      <c r="C172" s="208"/>
      <c r="D172" s="207"/>
      <c r="E172" s="206"/>
      <c r="J172" s="124"/>
    </row>
    <row r="173" spans="3:10" x14ac:dyDescent="0.2">
      <c r="C173" s="208"/>
      <c r="D173" s="207"/>
      <c r="E173" s="206"/>
      <c r="J173" s="124"/>
    </row>
    <row r="174" spans="3:10" x14ac:dyDescent="0.2">
      <c r="C174" s="208"/>
      <c r="D174" s="209"/>
      <c r="E174" s="206"/>
      <c r="J174" s="124"/>
    </row>
    <row r="175" spans="3:10" x14ac:dyDescent="0.2">
      <c r="C175" s="208"/>
      <c r="D175" s="209"/>
      <c r="E175" s="206"/>
      <c r="J175" s="124"/>
    </row>
    <row r="176" spans="3:10" x14ac:dyDescent="0.2">
      <c r="C176" s="208"/>
      <c r="D176" s="209"/>
      <c r="E176" s="207"/>
      <c r="J176" s="124"/>
    </row>
    <row r="177" spans="3:10" x14ac:dyDescent="0.2">
      <c r="C177" s="208"/>
      <c r="D177" s="209"/>
      <c r="E177" s="207"/>
      <c r="J177" s="124"/>
    </row>
    <row r="178" spans="3:10" x14ac:dyDescent="0.2">
      <c r="C178" s="208"/>
      <c r="D178" s="209"/>
      <c r="E178" s="207"/>
      <c r="J178" s="124"/>
    </row>
    <row r="179" spans="3:10" x14ac:dyDescent="0.2">
      <c r="C179" s="207"/>
      <c r="D179" s="209"/>
      <c r="E179" s="207"/>
      <c r="J179" s="124"/>
    </row>
    <row r="180" spans="3:10" x14ac:dyDescent="0.2">
      <c r="C180" s="207"/>
      <c r="D180" s="209"/>
      <c r="E180" s="207"/>
      <c r="J180" s="124"/>
    </row>
    <row r="181" spans="3:10" x14ac:dyDescent="0.2">
      <c r="C181" s="209"/>
      <c r="D181" s="209"/>
      <c r="E181" s="207"/>
      <c r="J181" s="124"/>
    </row>
    <row r="182" spans="3:10" x14ac:dyDescent="0.2">
      <c r="C182" s="209"/>
      <c r="D182" s="209"/>
      <c r="E182" s="209"/>
      <c r="J182" s="124"/>
    </row>
    <row r="183" spans="3:10" x14ac:dyDescent="0.2">
      <c r="C183" s="209"/>
      <c r="D183" s="209"/>
      <c r="E183" s="209"/>
      <c r="J183" s="124"/>
    </row>
    <row r="184" spans="3:10" x14ac:dyDescent="0.2">
      <c r="C184" s="209"/>
      <c r="D184" s="209"/>
      <c r="E184" s="209"/>
      <c r="J184" s="124"/>
    </row>
    <row r="185" spans="3:10" x14ac:dyDescent="0.2">
      <c r="C185" s="209"/>
      <c r="D185" s="209"/>
      <c r="E185" s="209"/>
      <c r="J185" s="124"/>
    </row>
    <row r="186" spans="3:10" x14ac:dyDescent="0.2">
      <c r="C186" s="209"/>
      <c r="D186" s="209"/>
      <c r="E186" s="209"/>
      <c r="J186" s="124"/>
    </row>
    <row r="187" spans="3:10" x14ac:dyDescent="0.2">
      <c r="C187" s="209"/>
      <c r="D187" s="209"/>
      <c r="E187" s="209"/>
      <c r="J187" s="124"/>
    </row>
    <row r="188" spans="3:10" x14ac:dyDescent="0.2">
      <c r="C188" s="209"/>
      <c r="D188" s="209"/>
      <c r="E188" s="209"/>
      <c r="J188" s="124"/>
    </row>
    <row r="189" spans="3:10" x14ac:dyDescent="0.2">
      <c r="C189" s="209"/>
      <c r="D189" s="209"/>
      <c r="E189" s="209"/>
      <c r="J189" s="124"/>
    </row>
    <row r="190" spans="3:10" x14ac:dyDescent="0.2">
      <c r="C190" s="209"/>
      <c r="D190" s="209"/>
      <c r="E190" s="209"/>
      <c r="J190" s="124"/>
    </row>
    <row r="191" spans="3:10" x14ac:dyDescent="0.2">
      <c r="C191" s="209"/>
      <c r="D191" s="209"/>
      <c r="E191" s="209"/>
      <c r="J191" s="124"/>
    </row>
    <row r="192" spans="3:10" x14ac:dyDescent="0.2">
      <c r="C192" s="209"/>
      <c r="D192" s="209"/>
      <c r="E192" s="209"/>
      <c r="J192" s="124"/>
    </row>
    <row r="193" spans="3:10" x14ac:dyDescent="0.2">
      <c r="C193" s="209"/>
      <c r="D193" s="209"/>
      <c r="E193" s="209"/>
      <c r="J193" s="124"/>
    </row>
    <row r="194" spans="3:10" x14ac:dyDescent="0.2">
      <c r="C194" s="209"/>
      <c r="D194" s="209"/>
      <c r="E194" s="209"/>
      <c r="J194" s="124"/>
    </row>
    <row r="195" spans="3:10" x14ac:dyDescent="0.2">
      <c r="C195" s="209"/>
      <c r="D195" s="209"/>
      <c r="E195" s="209"/>
      <c r="J195" s="124"/>
    </row>
    <row r="196" spans="3:10" x14ac:dyDescent="0.2">
      <c r="C196" s="209"/>
      <c r="D196" s="209"/>
      <c r="E196" s="209"/>
      <c r="J196" s="124"/>
    </row>
    <row r="197" spans="3:10" x14ac:dyDescent="0.2">
      <c r="C197" s="209"/>
      <c r="D197" s="209"/>
      <c r="E197" s="209"/>
      <c r="J197" s="124"/>
    </row>
    <row r="198" spans="3:10" x14ac:dyDescent="0.2">
      <c r="C198" s="209"/>
      <c r="D198" s="209"/>
      <c r="E198" s="209"/>
      <c r="J198" s="124"/>
    </row>
    <row r="199" spans="3:10" x14ac:dyDescent="0.2">
      <c r="C199" s="209"/>
      <c r="D199" s="209"/>
      <c r="E199" s="209"/>
      <c r="J199" s="124"/>
    </row>
    <row r="200" spans="3:10" x14ac:dyDescent="0.2">
      <c r="C200" s="209"/>
      <c r="D200" s="209"/>
      <c r="E200" s="209"/>
      <c r="J200" s="124"/>
    </row>
    <row r="201" spans="3:10" x14ac:dyDescent="0.2">
      <c r="C201" s="209"/>
      <c r="D201" s="209"/>
      <c r="E201" s="209"/>
      <c r="J201" s="124"/>
    </row>
    <row r="202" spans="3:10" x14ac:dyDescent="0.2">
      <c r="C202" s="209"/>
      <c r="D202" s="209"/>
      <c r="E202" s="209"/>
      <c r="J202" s="124"/>
    </row>
    <row r="203" spans="3:10" x14ac:dyDescent="0.2">
      <c r="C203" s="209"/>
      <c r="D203" s="209"/>
      <c r="E203" s="209"/>
      <c r="J203" s="124"/>
    </row>
    <row r="204" spans="3:10" x14ac:dyDescent="0.2">
      <c r="C204" s="209"/>
      <c r="D204" s="209"/>
      <c r="E204" s="209"/>
      <c r="J204" s="124"/>
    </row>
    <row r="205" spans="3:10" x14ac:dyDescent="0.2">
      <c r="C205" s="209"/>
      <c r="D205" s="209"/>
      <c r="E205" s="209"/>
      <c r="J205" s="124"/>
    </row>
    <row r="206" spans="3:10" x14ac:dyDescent="0.2">
      <c r="C206" s="209"/>
      <c r="D206" s="209"/>
      <c r="E206" s="209"/>
      <c r="J206" s="124"/>
    </row>
    <row r="207" spans="3:10" x14ac:dyDescent="0.2">
      <c r="C207" s="209"/>
      <c r="D207" s="209"/>
      <c r="E207" s="209"/>
      <c r="J207" s="124"/>
    </row>
    <row r="208" spans="3:10" x14ac:dyDescent="0.2">
      <c r="C208" s="209"/>
      <c r="D208" s="209"/>
      <c r="E208" s="209"/>
      <c r="J208" s="124"/>
    </row>
    <row r="209" spans="3:10" x14ac:dyDescent="0.2">
      <c r="C209" s="209"/>
      <c r="D209" s="209"/>
      <c r="E209" s="209"/>
      <c r="J209" s="124"/>
    </row>
    <row r="210" spans="3:10" x14ac:dyDescent="0.2">
      <c r="C210" s="209"/>
      <c r="D210" s="209"/>
      <c r="E210" s="209"/>
      <c r="J210" s="124"/>
    </row>
    <row r="211" spans="3:10" x14ac:dyDescent="0.2">
      <c r="C211" s="209"/>
      <c r="D211" s="209"/>
      <c r="E211" s="209"/>
      <c r="J211" s="124"/>
    </row>
    <row r="212" spans="3:10" x14ac:dyDescent="0.2">
      <c r="C212" s="209"/>
      <c r="D212" s="209"/>
      <c r="E212" s="209"/>
      <c r="J212" s="124"/>
    </row>
    <row r="213" spans="3:10" x14ac:dyDescent="0.2">
      <c r="C213" s="209"/>
      <c r="D213" s="209"/>
      <c r="E213" s="209"/>
      <c r="J213" s="124"/>
    </row>
    <row r="214" spans="3:10" x14ac:dyDescent="0.2">
      <c r="C214" s="209"/>
      <c r="D214" s="209"/>
      <c r="E214" s="209"/>
      <c r="J214" s="124"/>
    </row>
    <row r="215" spans="3:10" x14ac:dyDescent="0.2">
      <c r="C215" s="209"/>
      <c r="D215" s="209"/>
      <c r="E215" s="209"/>
      <c r="J215" s="124"/>
    </row>
    <row r="216" spans="3:10" x14ac:dyDescent="0.2">
      <c r="C216" s="209"/>
      <c r="D216" s="209"/>
      <c r="E216" s="209"/>
      <c r="J216" s="124"/>
    </row>
    <row r="217" spans="3:10" x14ac:dyDescent="0.2">
      <c r="C217" s="209"/>
      <c r="D217" s="209"/>
      <c r="E217" s="209"/>
      <c r="J217" s="124"/>
    </row>
    <row r="218" spans="3:10" x14ac:dyDescent="0.2">
      <c r="C218" s="209"/>
      <c r="D218" s="209"/>
      <c r="E218" s="209"/>
      <c r="J218" s="124"/>
    </row>
    <row r="219" spans="3:10" x14ac:dyDescent="0.2">
      <c r="C219" s="209"/>
      <c r="D219" s="209"/>
      <c r="E219" s="209"/>
      <c r="J219" s="124"/>
    </row>
    <row r="220" spans="3:10" x14ac:dyDescent="0.2">
      <c r="C220" s="209"/>
      <c r="D220" s="209"/>
      <c r="E220" s="209"/>
      <c r="J220" s="124"/>
    </row>
    <row r="221" spans="3:10" x14ac:dyDescent="0.2">
      <c r="C221" s="209"/>
      <c r="D221" s="209"/>
      <c r="E221" s="209"/>
      <c r="J221" s="124"/>
    </row>
    <row r="222" spans="3:10" x14ac:dyDescent="0.2">
      <c r="C222" s="209"/>
      <c r="D222" s="209"/>
      <c r="E222" s="209"/>
      <c r="J222" s="124"/>
    </row>
    <row r="223" spans="3:10" x14ac:dyDescent="0.2">
      <c r="C223" s="209"/>
      <c r="D223" s="209"/>
      <c r="E223" s="209"/>
      <c r="J223" s="124"/>
    </row>
    <row r="224" spans="3:10" x14ac:dyDescent="0.2">
      <c r="C224" s="209"/>
      <c r="D224" s="209"/>
      <c r="E224" s="209"/>
      <c r="J224" s="124"/>
    </row>
    <row r="225" spans="3:10" x14ac:dyDescent="0.2">
      <c r="C225" s="209"/>
      <c r="D225" s="209"/>
      <c r="E225" s="209"/>
      <c r="J225" s="124"/>
    </row>
    <row r="226" spans="3:10" x14ac:dyDescent="0.2">
      <c r="C226" s="209"/>
      <c r="D226" s="209"/>
      <c r="E226" s="209"/>
      <c r="J226" s="124"/>
    </row>
    <row r="227" spans="3:10" x14ac:dyDescent="0.2">
      <c r="C227" s="209"/>
      <c r="D227" s="209"/>
      <c r="E227" s="209"/>
      <c r="J227" s="124"/>
    </row>
    <row r="228" spans="3:10" x14ac:dyDescent="0.2">
      <c r="C228" s="209"/>
      <c r="D228" s="209"/>
      <c r="E228" s="209"/>
      <c r="J228" s="124"/>
    </row>
    <row r="229" spans="3:10" x14ac:dyDescent="0.2">
      <c r="C229" s="209"/>
      <c r="D229" s="209"/>
      <c r="E229" s="209"/>
      <c r="J229" s="124"/>
    </row>
    <row r="230" spans="3:10" x14ac:dyDescent="0.2">
      <c r="C230" s="209"/>
      <c r="D230" s="209"/>
      <c r="E230" s="209"/>
      <c r="J230" s="124"/>
    </row>
    <row r="231" spans="3:10" x14ac:dyDescent="0.2">
      <c r="C231" s="209"/>
      <c r="D231" s="209"/>
      <c r="E231" s="209"/>
      <c r="J231" s="124"/>
    </row>
    <row r="232" spans="3:10" x14ac:dyDescent="0.2">
      <c r="C232" s="209"/>
      <c r="D232" s="209"/>
      <c r="E232" s="209"/>
      <c r="J232" s="124"/>
    </row>
    <row r="233" spans="3:10" x14ac:dyDescent="0.2">
      <c r="C233" s="209"/>
      <c r="D233" s="209"/>
      <c r="E233" s="209"/>
      <c r="J233" s="124"/>
    </row>
    <row r="234" spans="3:10" x14ac:dyDescent="0.2">
      <c r="C234" s="209"/>
      <c r="D234" s="209"/>
      <c r="E234" s="209"/>
      <c r="J234" s="124"/>
    </row>
    <row r="235" spans="3:10" x14ac:dyDescent="0.2">
      <c r="C235" s="209"/>
      <c r="D235" s="209"/>
      <c r="E235" s="209"/>
      <c r="J235" s="124"/>
    </row>
    <row r="236" spans="3:10" x14ac:dyDescent="0.2">
      <c r="C236" s="209"/>
      <c r="D236" s="209"/>
      <c r="E236" s="209"/>
      <c r="J236" s="124"/>
    </row>
    <row r="237" spans="3:10" x14ac:dyDescent="0.2">
      <c r="C237" s="209"/>
      <c r="D237" s="209"/>
      <c r="E237" s="209"/>
      <c r="J237" s="124"/>
    </row>
    <row r="238" spans="3:10" x14ac:dyDescent="0.2">
      <c r="C238" s="209"/>
      <c r="D238" s="209"/>
      <c r="E238" s="209"/>
      <c r="J238" s="124"/>
    </row>
    <row r="239" spans="3:10" x14ac:dyDescent="0.2">
      <c r="C239" s="209"/>
      <c r="D239" s="209"/>
      <c r="E239" s="209"/>
      <c r="J239" s="124"/>
    </row>
    <row r="240" spans="3:10" x14ac:dyDescent="0.2">
      <c r="C240" s="209"/>
      <c r="D240" s="209"/>
      <c r="E240" s="209"/>
      <c r="J240" s="124"/>
    </row>
    <row r="241" spans="3:10" x14ac:dyDescent="0.2">
      <c r="C241" s="209"/>
      <c r="D241" s="209"/>
      <c r="E241" s="209"/>
      <c r="J241" s="124"/>
    </row>
    <row r="242" spans="3:10" x14ac:dyDescent="0.2">
      <c r="C242" s="209"/>
      <c r="D242" s="209"/>
      <c r="E242" s="209"/>
      <c r="J242" s="124"/>
    </row>
    <row r="243" spans="3:10" x14ac:dyDescent="0.2">
      <c r="C243" s="209"/>
      <c r="D243" s="209"/>
      <c r="E243" s="209"/>
      <c r="J243" s="124"/>
    </row>
    <row r="244" spans="3:10" x14ac:dyDescent="0.2">
      <c r="C244" s="209"/>
      <c r="D244" s="209"/>
      <c r="E244" s="209"/>
      <c r="J244" s="124"/>
    </row>
    <row r="245" spans="3:10" x14ac:dyDescent="0.2">
      <c r="C245" s="209"/>
      <c r="D245" s="209"/>
      <c r="E245" s="209"/>
      <c r="J245" s="124"/>
    </row>
    <row r="246" spans="3:10" x14ac:dyDescent="0.2">
      <c r="C246" s="209"/>
      <c r="D246" s="209"/>
      <c r="E246" s="209"/>
      <c r="J246" s="124"/>
    </row>
    <row r="247" spans="3:10" x14ac:dyDescent="0.2">
      <c r="C247" s="209"/>
      <c r="D247" s="209"/>
      <c r="E247" s="209"/>
      <c r="J247" s="124"/>
    </row>
    <row r="248" spans="3:10" x14ac:dyDescent="0.2">
      <c r="C248" s="209"/>
      <c r="D248" s="209"/>
      <c r="E248" s="209"/>
      <c r="J248" s="124"/>
    </row>
    <row r="249" spans="3:10" x14ac:dyDescent="0.2">
      <c r="C249" s="209"/>
      <c r="D249" s="209"/>
      <c r="E249" s="209"/>
      <c r="J249" s="124"/>
    </row>
    <row r="250" spans="3:10" x14ac:dyDescent="0.2">
      <c r="C250" s="209"/>
      <c r="D250" s="209"/>
      <c r="E250" s="209"/>
      <c r="J250" s="124"/>
    </row>
    <row r="251" spans="3:10" x14ac:dyDescent="0.2">
      <c r="C251" s="209"/>
      <c r="D251" s="209"/>
      <c r="E251" s="209"/>
      <c r="J251" s="124"/>
    </row>
    <row r="252" spans="3:10" x14ac:dyDescent="0.2">
      <c r="C252" s="209"/>
      <c r="D252" s="209"/>
      <c r="E252" s="209"/>
      <c r="J252" s="124"/>
    </row>
    <row r="253" spans="3:10" x14ac:dyDescent="0.2">
      <c r="C253" s="209"/>
      <c r="D253" s="209"/>
      <c r="E253" s="209"/>
      <c r="J253" s="124"/>
    </row>
    <row r="254" spans="3:10" x14ac:dyDescent="0.2">
      <c r="C254" s="209"/>
      <c r="D254" s="209"/>
      <c r="E254" s="209"/>
      <c r="J254" s="124"/>
    </row>
    <row r="255" spans="3:10" x14ac:dyDescent="0.2">
      <c r="C255" s="209"/>
      <c r="D255" s="209"/>
      <c r="E255" s="209"/>
      <c r="J255" s="124"/>
    </row>
    <row r="256" spans="3:10" x14ac:dyDescent="0.2">
      <c r="C256" s="209"/>
      <c r="D256" s="209"/>
      <c r="E256" s="209"/>
      <c r="J256" s="124"/>
    </row>
    <row r="257" spans="3:10" x14ac:dyDescent="0.2">
      <c r="C257" s="209"/>
      <c r="D257" s="209"/>
      <c r="E257" s="209"/>
      <c r="J257" s="124"/>
    </row>
    <row r="258" spans="3:10" x14ac:dyDescent="0.2">
      <c r="C258" s="209"/>
      <c r="D258" s="209"/>
      <c r="E258" s="209"/>
      <c r="J258" s="124"/>
    </row>
    <row r="259" spans="3:10" x14ac:dyDescent="0.2">
      <c r="C259" s="209"/>
      <c r="D259" s="209"/>
      <c r="E259" s="209"/>
      <c r="J259" s="124"/>
    </row>
    <row r="260" spans="3:10" x14ac:dyDescent="0.2">
      <c r="C260" s="209"/>
      <c r="D260" s="209"/>
      <c r="E260" s="209"/>
      <c r="J260" s="124"/>
    </row>
    <row r="261" spans="3:10" x14ac:dyDescent="0.2">
      <c r="C261" s="209"/>
      <c r="D261" s="209"/>
      <c r="E261" s="209"/>
      <c r="J261" s="124"/>
    </row>
    <row r="262" spans="3:10" x14ac:dyDescent="0.2">
      <c r="C262" s="209"/>
      <c r="D262" s="209"/>
      <c r="E262" s="209"/>
      <c r="J262" s="124"/>
    </row>
    <row r="263" spans="3:10" x14ac:dyDescent="0.2">
      <c r="C263" s="209"/>
      <c r="D263" s="209"/>
      <c r="E263" s="209"/>
      <c r="J263" s="124"/>
    </row>
    <row r="264" spans="3:10" x14ac:dyDescent="0.2">
      <c r="C264" s="209"/>
      <c r="D264" s="209"/>
      <c r="E264" s="209"/>
      <c r="J264" s="124"/>
    </row>
    <row r="265" spans="3:10" x14ac:dyDescent="0.2">
      <c r="C265" s="209"/>
      <c r="D265" s="209"/>
      <c r="E265" s="209"/>
      <c r="J265" s="124"/>
    </row>
    <row r="266" spans="3:10" x14ac:dyDescent="0.2">
      <c r="C266" s="209"/>
      <c r="D266" s="209"/>
      <c r="E266" s="209"/>
      <c r="J266" s="124"/>
    </row>
    <row r="267" spans="3:10" x14ac:dyDescent="0.2">
      <c r="C267" s="209"/>
      <c r="D267" s="209"/>
      <c r="E267" s="209"/>
      <c r="J267" s="124"/>
    </row>
    <row r="268" spans="3:10" x14ac:dyDescent="0.2">
      <c r="C268" s="209"/>
      <c r="D268" s="209"/>
      <c r="E268" s="209"/>
      <c r="J268" s="124"/>
    </row>
    <row r="269" spans="3:10" x14ac:dyDescent="0.2">
      <c r="C269" s="209"/>
      <c r="D269" s="209"/>
      <c r="E269" s="209"/>
      <c r="J269" s="124"/>
    </row>
    <row r="270" spans="3:10" x14ac:dyDescent="0.2">
      <c r="C270" s="209"/>
      <c r="D270" s="209"/>
      <c r="E270" s="209"/>
      <c r="J270" s="124"/>
    </row>
    <row r="271" spans="3:10" x14ac:dyDescent="0.2">
      <c r="C271" s="209"/>
      <c r="D271" s="209"/>
      <c r="E271" s="209"/>
      <c r="J271" s="124"/>
    </row>
    <row r="272" spans="3:10" x14ac:dyDescent="0.2">
      <c r="C272" s="209"/>
      <c r="D272" s="209"/>
      <c r="E272" s="209"/>
      <c r="J272" s="124"/>
    </row>
    <row r="273" spans="3:10" x14ac:dyDescent="0.2">
      <c r="C273" s="209"/>
      <c r="D273" s="209"/>
      <c r="E273" s="209"/>
      <c r="J273" s="124"/>
    </row>
    <row r="274" spans="3:10" x14ac:dyDescent="0.2">
      <c r="C274" s="209"/>
      <c r="D274" s="209"/>
      <c r="E274" s="209"/>
      <c r="J274" s="124"/>
    </row>
    <row r="275" spans="3:10" x14ac:dyDescent="0.2">
      <c r="C275" s="209"/>
      <c r="D275" s="209"/>
      <c r="E275" s="209"/>
      <c r="J275" s="124"/>
    </row>
    <row r="276" spans="3:10" x14ac:dyDescent="0.2">
      <c r="C276" s="209"/>
      <c r="D276" s="209"/>
      <c r="E276" s="209"/>
      <c r="J276" s="124"/>
    </row>
    <row r="277" spans="3:10" x14ac:dyDescent="0.2">
      <c r="C277" s="209"/>
      <c r="D277" s="209"/>
      <c r="E277" s="209"/>
      <c r="J277" s="124"/>
    </row>
    <row r="278" spans="3:10" x14ac:dyDescent="0.2">
      <c r="C278" s="209"/>
      <c r="D278" s="209"/>
      <c r="E278" s="209"/>
      <c r="J278" s="124"/>
    </row>
    <row r="279" spans="3:10" x14ac:dyDescent="0.2">
      <c r="C279" s="209"/>
      <c r="D279" s="209"/>
      <c r="E279" s="209"/>
      <c r="J279" s="124"/>
    </row>
    <row r="280" spans="3:10" x14ac:dyDescent="0.2">
      <c r="C280" s="209"/>
      <c r="D280" s="209"/>
      <c r="E280" s="209"/>
      <c r="J280" s="124"/>
    </row>
    <row r="281" spans="3:10" x14ac:dyDescent="0.2">
      <c r="C281" s="209"/>
      <c r="D281" s="209"/>
      <c r="E281" s="209"/>
      <c r="J281" s="124"/>
    </row>
    <row r="282" spans="3:10" x14ac:dyDescent="0.2">
      <c r="C282" s="209"/>
      <c r="D282" s="209"/>
      <c r="E282" s="209"/>
      <c r="J282" s="124"/>
    </row>
    <row r="283" spans="3:10" x14ac:dyDescent="0.2">
      <c r="C283" s="209"/>
      <c r="D283" s="209"/>
      <c r="E283" s="209"/>
      <c r="J283" s="124"/>
    </row>
    <row r="284" spans="3:10" x14ac:dyDescent="0.2">
      <c r="C284" s="209"/>
      <c r="D284" s="209"/>
      <c r="E284" s="209"/>
      <c r="J284" s="124"/>
    </row>
    <row r="285" spans="3:10" x14ac:dyDescent="0.2">
      <c r="C285" s="209"/>
      <c r="D285" s="209"/>
      <c r="E285" s="209"/>
      <c r="J285" s="124"/>
    </row>
    <row r="286" spans="3:10" x14ac:dyDescent="0.2">
      <c r="C286" s="209"/>
      <c r="D286" s="209"/>
      <c r="E286" s="209"/>
      <c r="J286" s="124"/>
    </row>
    <row r="287" spans="3:10" x14ac:dyDescent="0.2">
      <c r="C287" s="209"/>
      <c r="D287" s="209"/>
      <c r="E287" s="209"/>
      <c r="J287" s="124"/>
    </row>
    <row r="288" spans="3:10" x14ac:dyDescent="0.2">
      <c r="C288" s="209"/>
      <c r="D288" s="209"/>
      <c r="E288" s="209"/>
      <c r="J288" s="124"/>
    </row>
    <row r="289" spans="3:10" x14ac:dyDescent="0.2">
      <c r="C289" s="209"/>
      <c r="D289" s="209"/>
      <c r="E289" s="209"/>
      <c r="J289" s="124"/>
    </row>
    <row r="290" spans="3:10" x14ac:dyDescent="0.2">
      <c r="C290" s="209"/>
      <c r="D290" s="209"/>
      <c r="E290" s="209"/>
      <c r="J290" s="124"/>
    </row>
    <row r="291" spans="3:10" x14ac:dyDescent="0.2">
      <c r="C291" s="209"/>
      <c r="D291" s="209"/>
      <c r="E291" s="209"/>
      <c r="J291" s="124"/>
    </row>
    <row r="292" spans="3:10" x14ac:dyDescent="0.2">
      <c r="C292" s="209"/>
      <c r="D292" s="209"/>
      <c r="E292" s="209"/>
      <c r="J292" s="124"/>
    </row>
    <row r="293" spans="3:10" x14ac:dyDescent="0.2">
      <c r="C293" s="209"/>
      <c r="D293" s="209"/>
      <c r="E293" s="209"/>
      <c r="J293" s="124"/>
    </row>
    <row r="294" spans="3:10" x14ac:dyDescent="0.2">
      <c r="C294" s="209"/>
      <c r="D294" s="209"/>
      <c r="E294" s="209"/>
      <c r="J294" s="124"/>
    </row>
    <row r="295" spans="3:10" x14ac:dyDescent="0.2">
      <c r="C295" s="209"/>
      <c r="D295" s="209"/>
      <c r="E295" s="209"/>
      <c r="J295" s="124"/>
    </row>
    <row r="296" spans="3:10" x14ac:dyDescent="0.2">
      <c r="C296" s="209"/>
      <c r="D296" s="209"/>
      <c r="E296" s="209"/>
      <c r="J296" s="124"/>
    </row>
    <row r="297" spans="3:10" x14ac:dyDescent="0.2">
      <c r="C297" s="209"/>
      <c r="D297" s="209"/>
      <c r="E297" s="209"/>
      <c r="J297" s="124"/>
    </row>
    <row r="298" spans="3:10" x14ac:dyDescent="0.2">
      <c r="C298" s="209"/>
      <c r="D298" s="209"/>
      <c r="E298" s="209"/>
      <c r="J298" s="124"/>
    </row>
    <row r="299" spans="3:10" x14ac:dyDescent="0.2">
      <c r="C299" s="209"/>
      <c r="D299" s="209"/>
      <c r="E299" s="209"/>
      <c r="J299" s="124"/>
    </row>
    <row r="300" spans="3:10" x14ac:dyDescent="0.2">
      <c r="C300" s="209"/>
      <c r="D300" s="209"/>
      <c r="E300" s="209"/>
      <c r="J300" s="124"/>
    </row>
    <row r="301" spans="3:10" x14ac:dyDescent="0.2">
      <c r="C301" s="209"/>
      <c r="D301" s="209"/>
      <c r="E301" s="209"/>
      <c r="J301" s="124"/>
    </row>
    <row r="302" spans="3:10" x14ac:dyDescent="0.2">
      <c r="C302" s="209"/>
      <c r="D302" s="209"/>
      <c r="E302" s="209"/>
      <c r="J302" s="124"/>
    </row>
    <row r="303" spans="3:10" x14ac:dyDescent="0.2">
      <c r="C303" s="209"/>
      <c r="D303" s="209"/>
      <c r="E303" s="209"/>
      <c r="J303" s="124"/>
    </row>
    <row r="304" spans="3:10" x14ac:dyDescent="0.2">
      <c r="C304" s="209"/>
      <c r="D304" s="209"/>
      <c r="E304" s="209"/>
      <c r="J304" s="124"/>
    </row>
    <row r="305" spans="3:10" x14ac:dyDescent="0.2">
      <c r="C305" s="209"/>
      <c r="D305" s="209"/>
      <c r="E305" s="209"/>
      <c r="J305" s="124"/>
    </row>
    <row r="306" spans="3:10" x14ac:dyDescent="0.2">
      <c r="C306" s="209"/>
      <c r="D306" s="209"/>
      <c r="E306" s="209"/>
      <c r="J306" s="124"/>
    </row>
    <row r="307" spans="3:10" x14ac:dyDescent="0.2">
      <c r="C307" s="209"/>
      <c r="D307" s="209"/>
      <c r="E307" s="209"/>
      <c r="J307" s="124"/>
    </row>
    <row r="308" spans="3:10" x14ac:dyDescent="0.2">
      <c r="C308" s="209"/>
      <c r="D308" s="209"/>
      <c r="E308" s="209"/>
      <c r="J308" s="124"/>
    </row>
    <row r="309" spans="3:10" x14ac:dyDescent="0.2">
      <c r="C309" s="209"/>
      <c r="D309" s="209"/>
      <c r="E309" s="209"/>
      <c r="J309" s="124"/>
    </row>
    <row r="310" spans="3:10" x14ac:dyDescent="0.2">
      <c r="C310" s="209"/>
      <c r="D310" s="209"/>
      <c r="E310" s="209"/>
      <c r="J310" s="124"/>
    </row>
    <row r="311" spans="3:10" x14ac:dyDescent="0.2">
      <c r="C311" s="209"/>
      <c r="D311" s="209"/>
      <c r="E311" s="209"/>
      <c r="J311" s="124"/>
    </row>
    <row r="312" spans="3:10" x14ac:dyDescent="0.2">
      <c r="C312" s="209"/>
      <c r="D312" s="209"/>
      <c r="E312" s="209"/>
      <c r="J312" s="124"/>
    </row>
    <row r="313" spans="3:10" x14ac:dyDescent="0.2">
      <c r="C313" s="209"/>
      <c r="D313" s="209"/>
      <c r="E313" s="209"/>
      <c r="J313" s="124"/>
    </row>
    <row r="314" spans="3:10" x14ac:dyDescent="0.2">
      <c r="C314" s="209"/>
      <c r="D314" s="209"/>
      <c r="E314" s="209"/>
      <c r="J314" s="124"/>
    </row>
    <row r="315" spans="3:10" x14ac:dyDescent="0.2">
      <c r="C315" s="209"/>
      <c r="D315" s="209"/>
      <c r="E315" s="209"/>
      <c r="J315" s="124"/>
    </row>
    <row r="316" spans="3:10" x14ac:dyDescent="0.2">
      <c r="C316" s="209"/>
      <c r="D316" s="209"/>
      <c r="E316" s="209"/>
      <c r="J316" s="124"/>
    </row>
    <row r="317" spans="3:10" x14ac:dyDescent="0.2">
      <c r="C317" s="209"/>
      <c r="D317" s="209"/>
      <c r="E317" s="209"/>
      <c r="J317" s="124"/>
    </row>
    <row r="318" spans="3:10" x14ac:dyDescent="0.2">
      <c r="C318" s="209"/>
      <c r="D318" s="209"/>
      <c r="E318" s="209"/>
      <c r="J318" s="124"/>
    </row>
    <row r="319" spans="3:10" x14ac:dyDescent="0.2">
      <c r="C319" s="209"/>
      <c r="D319" s="209"/>
      <c r="E319" s="209"/>
      <c r="J319" s="124"/>
    </row>
    <row r="320" spans="3:10" x14ac:dyDescent="0.2">
      <c r="C320" s="209"/>
      <c r="D320" s="209"/>
      <c r="E320" s="209"/>
      <c r="J320" s="124"/>
    </row>
    <row r="321" spans="3:10" x14ac:dyDescent="0.2">
      <c r="C321" s="209"/>
      <c r="D321" s="209"/>
      <c r="E321" s="209"/>
      <c r="J321" s="124"/>
    </row>
    <row r="322" spans="3:10" x14ac:dyDescent="0.2">
      <c r="C322" s="209"/>
      <c r="D322" s="209"/>
      <c r="E322" s="209"/>
      <c r="J322" s="124"/>
    </row>
    <row r="323" spans="3:10" x14ac:dyDescent="0.2">
      <c r="C323" s="209"/>
      <c r="D323" s="209"/>
      <c r="E323" s="209"/>
      <c r="J323" s="124"/>
    </row>
    <row r="324" spans="3:10" x14ac:dyDescent="0.2">
      <c r="C324" s="209"/>
      <c r="D324" s="209"/>
      <c r="E324" s="209"/>
      <c r="J324" s="124"/>
    </row>
    <row r="325" spans="3:10" x14ac:dyDescent="0.2">
      <c r="C325" s="209"/>
      <c r="D325" s="209"/>
      <c r="E325" s="209"/>
      <c r="J325" s="124"/>
    </row>
    <row r="326" spans="3:10" x14ac:dyDescent="0.2">
      <c r="C326" s="209"/>
      <c r="D326" s="209"/>
      <c r="E326" s="209"/>
      <c r="J326" s="124"/>
    </row>
    <row r="327" spans="3:10" x14ac:dyDescent="0.2">
      <c r="C327" s="209"/>
      <c r="D327" s="209"/>
      <c r="E327" s="209"/>
      <c r="J327" s="124"/>
    </row>
    <row r="328" spans="3:10" x14ac:dyDescent="0.2">
      <c r="C328" s="209"/>
      <c r="D328" s="209"/>
      <c r="E328" s="209"/>
      <c r="J328" s="124"/>
    </row>
    <row r="329" spans="3:10" x14ac:dyDescent="0.2">
      <c r="C329" s="209"/>
      <c r="D329" s="209"/>
      <c r="E329" s="209"/>
      <c r="J329" s="124"/>
    </row>
    <row r="330" spans="3:10" x14ac:dyDescent="0.2">
      <c r="C330" s="209"/>
      <c r="D330" s="209"/>
      <c r="E330" s="209"/>
      <c r="J330" s="124"/>
    </row>
    <row r="331" spans="3:10" x14ac:dyDescent="0.2">
      <c r="C331" s="209"/>
      <c r="D331" s="209"/>
      <c r="E331" s="209"/>
      <c r="J331" s="124"/>
    </row>
    <row r="332" spans="3:10" x14ac:dyDescent="0.2">
      <c r="C332" s="209"/>
      <c r="D332" s="209"/>
      <c r="E332" s="209"/>
      <c r="J332" s="124"/>
    </row>
    <row r="333" spans="3:10" x14ac:dyDescent="0.2">
      <c r="C333" s="209"/>
      <c r="D333" s="209"/>
      <c r="E333" s="209"/>
      <c r="J333" s="124"/>
    </row>
    <row r="334" spans="3:10" x14ac:dyDescent="0.2">
      <c r="C334" s="209"/>
      <c r="D334" s="209"/>
      <c r="E334" s="209"/>
      <c r="J334" s="124"/>
    </row>
    <row r="335" spans="3:10" x14ac:dyDescent="0.2">
      <c r="C335" s="209"/>
      <c r="D335" s="209"/>
      <c r="E335" s="209"/>
      <c r="J335" s="124"/>
    </row>
    <row r="336" spans="3:10" x14ac:dyDescent="0.2">
      <c r="C336" s="209"/>
      <c r="D336" s="209"/>
      <c r="E336" s="209"/>
      <c r="J336" s="124"/>
    </row>
    <row r="337" spans="3:10" x14ac:dyDescent="0.2">
      <c r="C337" s="209"/>
      <c r="D337" s="209"/>
      <c r="E337" s="209"/>
      <c r="J337" s="124"/>
    </row>
    <row r="338" spans="3:10" x14ac:dyDescent="0.2">
      <c r="C338" s="209"/>
      <c r="D338" s="209"/>
      <c r="E338" s="209"/>
      <c r="J338" s="124"/>
    </row>
    <row r="339" spans="3:10" x14ac:dyDescent="0.2">
      <c r="C339" s="209"/>
      <c r="D339" s="209"/>
      <c r="E339" s="209"/>
      <c r="J339" s="124"/>
    </row>
    <row r="340" spans="3:10" x14ac:dyDescent="0.2">
      <c r="C340" s="209"/>
      <c r="D340" s="209"/>
      <c r="E340" s="209"/>
      <c r="J340" s="124"/>
    </row>
    <row r="341" spans="3:10" x14ac:dyDescent="0.2">
      <c r="C341" s="209"/>
      <c r="D341" s="209"/>
      <c r="E341" s="209"/>
      <c r="J341" s="124"/>
    </row>
    <row r="342" spans="3:10" x14ac:dyDescent="0.2">
      <c r="C342" s="209"/>
      <c r="D342" s="209"/>
      <c r="E342" s="209"/>
      <c r="J342" s="124"/>
    </row>
    <row r="343" spans="3:10" x14ac:dyDescent="0.2">
      <c r="C343" s="209"/>
      <c r="D343" s="209"/>
      <c r="E343" s="209"/>
      <c r="J343" s="124"/>
    </row>
    <row r="344" spans="3:10" x14ac:dyDescent="0.2">
      <c r="C344" s="209"/>
      <c r="D344" s="209"/>
      <c r="E344" s="209"/>
      <c r="J344" s="124"/>
    </row>
    <row r="345" spans="3:10" x14ac:dyDescent="0.2">
      <c r="C345" s="209"/>
      <c r="D345" s="209"/>
      <c r="E345" s="209"/>
      <c r="J345" s="124"/>
    </row>
    <row r="346" spans="3:10" x14ac:dyDescent="0.2">
      <c r="C346" s="209"/>
      <c r="D346" s="209"/>
      <c r="E346" s="209"/>
      <c r="J346" s="124"/>
    </row>
    <row r="347" spans="3:10" x14ac:dyDescent="0.2">
      <c r="C347" s="209"/>
      <c r="D347" s="209"/>
      <c r="E347" s="209"/>
      <c r="J347" s="124"/>
    </row>
    <row r="348" spans="3:10" x14ac:dyDescent="0.2">
      <c r="C348" s="209"/>
      <c r="D348" s="209"/>
      <c r="E348" s="209"/>
      <c r="J348" s="124"/>
    </row>
    <row r="349" spans="3:10" x14ac:dyDescent="0.2">
      <c r="C349" s="209"/>
      <c r="D349" s="209"/>
      <c r="E349" s="209"/>
      <c r="J349" s="124"/>
    </row>
    <row r="350" spans="3:10" x14ac:dyDescent="0.2">
      <c r="C350" s="209"/>
      <c r="D350" s="209"/>
      <c r="E350" s="209"/>
      <c r="J350" s="124"/>
    </row>
    <row r="351" spans="3:10" x14ac:dyDescent="0.2">
      <c r="C351" s="209"/>
      <c r="D351" s="209"/>
      <c r="E351" s="209"/>
      <c r="J351" s="124"/>
    </row>
    <row r="352" spans="3:10" x14ac:dyDescent="0.2">
      <c r="C352" s="209"/>
      <c r="D352" s="209"/>
      <c r="E352" s="209"/>
      <c r="J352" s="124"/>
    </row>
    <row r="353" spans="3:10" x14ac:dyDescent="0.2">
      <c r="C353" s="209"/>
      <c r="D353" s="209"/>
      <c r="E353" s="209"/>
      <c r="J353" s="124"/>
    </row>
    <row r="354" spans="3:10" x14ac:dyDescent="0.2">
      <c r="C354" s="209"/>
      <c r="D354" s="209"/>
      <c r="E354" s="209"/>
      <c r="J354" s="124"/>
    </row>
    <row r="355" spans="3:10" x14ac:dyDescent="0.2">
      <c r="C355" s="209"/>
      <c r="D355" s="209"/>
      <c r="E355" s="209"/>
      <c r="J355" s="124"/>
    </row>
    <row r="356" spans="3:10" x14ac:dyDescent="0.2">
      <c r="C356" s="209"/>
      <c r="D356" s="209"/>
      <c r="E356" s="209"/>
      <c r="J356" s="124"/>
    </row>
    <row r="357" spans="3:10" x14ac:dyDescent="0.2">
      <c r="C357" s="209"/>
      <c r="D357" s="209"/>
      <c r="E357" s="209"/>
      <c r="J357" s="124"/>
    </row>
    <row r="358" spans="3:10" x14ac:dyDescent="0.2">
      <c r="C358" s="209"/>
      <c r="D358" s="209"/>
      <c r="E358" s="209"/>
      <c r="J358" s="124"/>
    </row>
    <row r="359" spans="3:10" x14ac:dyDescent="0.2">
      <c r="C359" s="209"/>
      <c r="D359" s="209"/>
      <c r="E359" s="209"/>
      <c r="J359" s="124"/>
    </row>
    <row r="360" spans="3:10" x14ac:dyDescent="0.2">
      <c r="C360" s="209"/>
      <c r="D360" s="209"/>
      <c r="E360" s="209"/>
      <c r="J360" s="124"/>
    </row>
    <row r="361" spans="3:10" x14ac:dyDescent="0.2">
      <c r="C361" s="209"/>
      <c r="D361" s="209"/>
      <c r="E361" s="209"/>
      <c r="J361" s="124"/>
    </row>
    <row r="362" spans="3:10" x14ac:dyDescent="0.2">
      <c r="C362" s="209"/>
      <c r="D362" s="209"/>
      <c r="E362" s="209"/>
      <c r="J362" s="124"/>
    </row>
    <row r="363" spans="3:10" x14ac:dyDescent="0.2">
      <c r="C363" s="209"/>
      <c r="D363" s="209"/>
      <c r="E363" s="209"/>
      <c r="J363" s="124"/>
    </row>
    <row r="364" spans="3:10" x14ac:dyDescent="0.2">
      <c r="C364" s="209"/>
      <c r="D364" s="209"/>
      <c r="E364" s="209"/>
      <c r="J364" s="124"/>
    </row>
    <row r="365" spans="3:10" x14ac:dyDescent="0.2">
      <c r="C365" s="209"/>
      <c r="D365" s="209"/>
      <c r="E365" s="209"/>
      <c r="J365" s="124"/>
    </row>
    <row r="366" spans="3:10" x14ac:dyDescent="0.2">
      <c r="C366" s="209"/>
      <c r="D366" s="209"/>
      <c r="E366" s="209"/>
      <c r="J366" s="124"/>
    </row>
    <row r="367" spans="3:10" x14ac:dyDescent="0.2">
      <c r="C367" s="209"/>
      <c r="D367" s="209"/>
      <c r="E367" s="209"/>
      <c r="J367" s="124"/>
    </row>
    <row r="368" spans="3:10" x14ac:dyDescent="0.2">
      <c r="C368" s="209"/>
      <c r="D368" s="209"/>
      <c r="E368" s="209"/>
      <c r="J368" s="124"/>
    </row>
    <row r="369" spans="3:10" x14ac:dyDescent="0.2">
      <c r="C369" s="209"/>
      <c r="D369" s="209"/>
      <c r="E369" s="209"/>
      <c r="J369" s="124"/>
    </row>
    <row r="370" spans="3:10" x14ac:dyDescent="0.2">
      <c r="C370" s="209"/>
      <c r="D370" s="209"/>
      <c r="E370" s="209"/>
      <c r="J370" s="124"/>
    </row>
    <row r="371" spans="3:10" x14ac:dyDescent="0.2">
      <c r="C371" s="209"/>
      <c r="D371" s="209"/>
      <c r="E371" s="209"/>
      <c r="J371" s="124"/>
    </row>
    <row r="372" spans="3:10" x14ac:dyDescent="0.2">
      <c r="C372" s="209"/>
      <c r="D372" s="209"/>
      <c r="E372" s="209"/>
      <c r="J372" s="124"/>
    </row>
    <row r="373" spans="3:10" x14ac:dyDescent="0.2">
      <c r="C373" s="209"/>
      <c r="D373" s="209"/>
      <c r="E373" s="209"/>
      <c r="J373" s="124"/>
    </row>
    <row r="374" spans="3:10" x14ac:dyDescent="0.2">
      <c r="C374" s="209"/>
      <c r="D374" s="209"/>
      <c r="E374" s="209"/>
      <c r="J374" s="124"/>
    </row>
    <row r="375" spans="3:10" x14ac:dyDescent="0.2">
      <c r="C375" s="209"/>
      <c r="D375" s="209"/>
      <c r="E375" s="209"/>
      <c r="J375" s="124"/>
    </row>
    <row r="376" spans="3:10" x14ac:dyDescent="0.2">
      <c r="C376" s="209"/>
      <c r="D376" s="209"/>
      <c r="E376" s="209"/>
      <c r="J376" s="124"/>
    </row>
    <row r="377" spans="3:10" x14ac:dyDescent="0.2">
      <c r="C377" s="209"/>
      <c r="D377" s="209"/>
      <c r="E377" s="209"/>
      <c r="J377" s="124"/>
    </row>
    <row r="378" spans="3:10" x14ac:dyDescent="0.2">
      <c r="C378" s="209"/>
      <c r="D378" s="209"/>
      <c r="E378" s="209"/>
      <c r="J378" s="124"/>
    </row>
    <row r="379" spans="3:10" x14ac:dyDescent="0.2">
      <c r="C379" s="209"/>
      <c r="D379" s="209"/>
      <c r="E379" s="209"/>
      <c r="J379" s="124"/>
    </row>
    <row r="380" spans="3:10" x14ac:dyDescent="0.2">
      <c r="C380" s="209"/>
      <c r="D380" s="209"/>
      <c r="E380" s="209"/>
      <c r="J380" s="124"/>
    </row>
    <row r="381" spans="3:10" x14ac:dyDescent="0.2">
      <c r="C381" s="209"/>
      <c r="D381" s="209"/>
      <c r="E381" s="209"/>
      <c r="J381" s="124"/>
    </row>
    <row r="382" spans="3:10" x14ac:dyDescent="0.2">
      <c r="C382" s="209"/>
      <c r="D382" s="209"/>
      <c r="E382" s="209"/>
      <c r="J382" s="124"/>
    </row>
    <row r="383" spans="3:10" x14ac:dyDescent="0.2">
      <c r="C383" s="209"/>
      <c r="D383" s="209"/>
      <c r="E383" s="209"/>
      <c r="J383" s="124"/>
    </row>
    <row r="384" spans="3:10" x14ac:dyDescent="0.2">
      <c r="C384" s="209"/>
      <c r="D384" s="209"/>
      <c r="E384" s="209"/>
      <c r="J384" s="124"/>
    </row>
    <row r="385" spans="3:10" x14ac:dyDescent="0.2">
      <c r="C385" s="209"/>
      <c r="D385" s="209"/>
      <c r="E385" s="209"/>
      <c r="J385" s="124"/>
    </row>
    <row r="386" spans="3:10" x14ac:dyDescent="0.2">
      <c r="C386" s="209"/>
      <c r="D386" s="209"/>
      <c r="E386" s="209"/>
      <c r="J386" s="124"/>
    </row>
    <row r="387" spans="3:10" x14ac:dyDescent="0.2">
      <c r="C387" s="209"/>
      <c r="D387" s="209"/>
      <c r="E387" s="209"/>
      <c r="J387" s="124"/>
    </row>
    <row r="388" spans="3:10" x14ac:dyDescent="0.2">
      <c r="C388" s="209"/>
      <c r="D388" s="209"/>
      <c r="E388" s="209"/>
      <c r="J388" s="124"/>
    </row>
    <row r="389" spans="3:10" x14ac:dyDescent="0.2">
      <c r="C389" s="209"/>
      <c r="D389" s="209"/>
      <c r="E389" s="209"/>
      <c r="J389" s="124"/>
    </row>
    <row r="390" spans="3:10" x14ac:dyDescent="0.2">
      <c r="C390" s="209"/>
      <c r="D390" s="209"/>
      <c r="E390" s="209"/>
      <c r="J390" s="124"/>
    </row>
    <row r="391" spans="3:10" x14ac:dyDescent="0.2">
      <c r="C391" s="209"/>
      <c r="D391" s="209"/>
      <c r="E391" s="209"/>
      <c r="J391" s="124"/>
    </row>
    <row r="392" spans="3:10" x14ac:dyDescent="0.2">
      <c r="C392" s="209"/>
      <c r="D392" s="209"/>
      <c r="E392" s="209"/>
      <c r="J392" s="124"/>
    </row>
    <row r="393" spans="3:10" x14ac:dyDescent="0.2">
      <c r="C393" s="209"/>
      <c r="D393" s="209"/>
      <c r="E393" s="209"/>
      <c r="J393" s="124"/>
    </row>
    <row r="394" spans="3:10" x14ac:dyDescent="0.2">
      <c r="C394" s="209"/>
      <c r="D394" s="209"/>
      <c r="E394" s="209"/>
      <c r="J394" s="124"/>
    </row>
    <row r="395" spans="3:10" x14ac:dyDescent="0.2">
      <c r="C395" s="209"/>
      <c r="D395" s="209"/>
      <c r="E395" s="209"/>
      <c r="J395" s="124"/>
    </row>
    <row r="396" spans="3:10" x14ac:dyDescent="0.2">
      <c r="C396" s="209"/>
      <c r="D396" s="209"/>
      <c r="E396" s="209"/>
      <c r="J396" s="124"/>
    </row>
    <row r="397" spans="3:10" x14ac:dyDescent="0.2">
      <c r="C397" s="209"/>
      <c r="D397" s="209"/>
      <c r="E397" s="209"/>
      <c r="J397" s="124"/>
    </row>
    <row r="398" spans="3:10" x14ac:dyDescent="0.2">
      <c r="C398" s="209"/>
      <c r="D398" s="209"/>
      <c r="E398" s="209"/>
      <c r="J398" s="124"/>
    </row>
    <row r="399" spans="3:10" x14ac:dyDescent="0.2">
      <c r="C399" s="209"/>
      <c r="D399" s="209"/>
      <c r="E399" s="209"/>
      <c r="J399" s="124"/>
    </row>
    <row r="400" spans="3:10" x14ac:dyDescent="0.2">
      <c r="C400" s="209"/>
      <c r="D400" s="209"/>
      <c r="E400" s="209"/>
      <c r="J400" s="124"/>
    </row>
    <row r="401" spans="3:10" x14ac:dyDescent="0.2">
      <c r="C401" s="209"/>
      <c r="D401" s="209"/>
      <c r="E401" s="209"/>
      <c r="J401" s="124"/>
    </row>
    <row r="402" spans="3:10" x14ac:dyDescent="0.2">
      <c r="C402" s="209"/>
      <c r="D402" s="209"/>
      <c r="E402" s="209"/>
      <c r="J402" s="124"/>
    </row>
    <row r="403" spans="3:10" x14ac:dyDescent="0.2">
      <c r="C403" s="209"/>
      <c r="D403" s="209"/>
      <c r="E403" s="209"/>
      <c r="J403" s="124"/>
    </row>
    <row r="404" spans="3:10" x14ac:dyDescent="0.2">
      <c r="C404" s="209"/>
      <c r="D404" s="209"/>
      <c r="E404" s="209"/>
      <c r="J404" s="124"/>
    </row>
    <row r="405" spans="3:10" x14ac:dyDescent="0.2">
      <c r="C405" s="209"/>
      <c r="D405" s="209"/>
      <c r="E405" s="209"/>
      <c r="J405" s="124"/>
    </row>
    <row r="406" spans="3:10" x14ac:dyDescent="0.2">
      <c r="C406" s="209"/>
      <c r="D406" s="209"/>
      <c r="E406" s="209"/>
      <c r="J406" s="124"/>
    </row>
    <row r="407" spans="3:10" x14ac:dyDescent="0.2">
      <c r="C407" s="209"/>
      <c r="D407" s="209"/>
      <c r="E407" s="209"/>
      <c r="J407" s="124"/>
    </row>
    <row r="408" spans="3:10" x14ac:dyDescent="0.2">
      <c r="C408" s="209"/>
      <c r="D408" s="209"/>
      <c r="E408" s="209"/>
      <c r="J408" s="124"/>
    </row>
    <row r="409" spans="3:10" x14ac:dyDescent="0.2">
      <c r="C409" s="209"/>
      <c r="D409" s="209"/>
      <c r="E409" s="209"/>
      <c r="J409" s="124"/>
    </row>
    <row r="410" spans="3:10" x14ac:dyDescent="0.2">
      <c r="C410" s="209"/>
      <c r="D410" s="209"/>
      <c r="E410" s="209"/>
      <c r="J410" s="124"/>
    </row>
    <row r="411" spans="3:10" x14ac:dyDescent="0.2">
      <c r="C411" s="209"/>
      <c r="D411" s="209"/>
      <c r="E411" s="209"/>
      <c r="J411" s="124"/>
    </row>
    <row r="412" spans="3:10" x14ac:dyDescent="0.2">
      <c r="C412" s="209"/>
      <c r="D412" s="209"/>
      <c r="E412" s="209"/>
      <c r="J412" s="124"/>
    </row>
    <row r="413" spans="3:10" x14ac:dyDescent="0.2">
      <c r="C413" s="209"/>
      <c r="D413" s="209"/>
      <c r="E413" s="209"/>
      <c r="J413" s="124"/>
    </row>
    <row r="414" spans="3:10" x14ac:dyDescent="0.2">
      <c r="C414" s="209"/>
      <c r="D414" s="209"/>
      <c r="E414" s="209"/>
      <c r="J414" s="124"/>
    </row>
    <row r="415" spans="3:10" x14ac:dyDescent="0.2">
      <c r="C415" s="209"/>
      <c r="D415" s="209"/>
      <c r="E415" s="209"/>
      <c r="J415" s="124"/>
    </row>
    <row r="416" spans="3:10" x14ac:dyDescent="0.2">
      <c r="C416" s="209"/>
      <c r="D416" s="209"/>
      <c r="E416" s="209"/>
      <c r="J416" s="124"/>
    </row>
    <row r="417" spans="3:10" x14ac:dyDescent="0.2">
      <c r="C417" s="209"/>
      <c r="D417" s="209"/>
      <c r="E417" s="209"/>
      <c r="J417" s="124"/>
    </row>
    <row r="418" spans="3:10" x14ac:dyDescent="0.2">
      <c r="C418" s="209"/>
      <c r="D418" s="209"/>
      <c r="E418" s="209"/>
      <c r="J418" s="124"/>
    </row>
    <row r="419" spans="3:10" x14ac:dyDescent="0.2">
      <c r="C419" s="209"/>
      <c r="D419" s="209"/>
      <c r="E419" s="209"/>
      <c r="J419" s="124"/>
    </row>
    <row r="420" spans="3:10" x14ac:dyDescent="0.2">
      <c r="C420" s="209"/>
      <c r="D420" s="209"/>
      <c r="E420" s="209"/>
      <c r="J420" s="124"/>
    </row>
    <row r="421" spans="3:10" x14ac:dyDescent="0.2">
      <c r="C421" s="209"/>
      <c r="D421" s="209"/>
      <c r="E421" s="209"/>
      <c r="J421" s="124"/>
    </row>
    <row r="422" spans="3:10" x14ac:dyDescent="0.2">
      <c r="C422" s="209"/>
      <c r="D422" s="209"/>
      <c r="E422" s="209"/>
      <c r="J422" s="124"/>
    </row>
    <row r="423" spans="3:10" x14ac:dyDescent="0.2">
      <c r="C423" s="209"/>
      <c r="D423" s="209"/>
      <c r="E423" s="209"/>
      <c r="J423" s="124"/>
    </row>
    <row r="424" spans="3:10" x14ac:dyDescent="0.2">
      <c r="C424" s="209"/>
      <c r="D424" s="209"/>
      <c r="E424" s="209"/>
      <c r="J424" s="124"/>
    </row>
    <row r="425" spans="3:10" x14ac:dyDescent="0.2">
      <c r="C425" s="209"/>
      <c r="D425" s="209"/>
      <c r="E425" s="209"/>
      <c r="J425" s="124"/>
    </row>
    <row r="426" spans="3:10" x14ac:dyDescent="0.2">
      <c r="C426" s="209"/>
      <c r="D426" s="209"/>
      <c r="E426" s="209"/>
      <c r="J426" s="124"/>
    </row>
    <row r="427" spans="3:10" x14ac:dyDescent="0.2">
      <c r="C427" s="209"/>
      <c r="D427" s="209"/>
      <c r="E427" s="209"/>
      <c r="J427" s="124"/>
    </row>
    <row r="428" spans="3:10" x14ac:dyDescent="0.2">
      <c r="C428" s="209"/>
      <c r="D428" s="209"/>
      <c r="E428" s="209"/>
      <c r="J428" s="124"/>
    </row>
    <row r="429" spans="3:10" x14ac:dyDescent="0.2">
      <c r="C429" s="209"/>
      <c r="D429" s="209"/>
      <c r="E429" s="209"/>
      <c r="J429" s="124"/>
    </row>
    <row r="430" spans="3:10" x14ac:dyDescent="0.2">
      <c r="C430" s="209"/>
      <c r="D430" s="209"/>
      <c r="E430" s="209"/>
      <c r="J430" s="124"/>
    </row>
    <row r="431" spans="3:10" x14ac:dyDescent="0.2">
      <c r="C431" s="209"/>
      <c r="D431" s="209"/>
      <c r="E431" s="209"/>
      <c r="J431" s="124"/>
    </row>
    <row r="432" spans="3:10" x14ac:dyDescent="0.2">
      <c r="C432" s="209"/>
      <c r="D432" s="209"/>
      <c r="E432" s="209"/>
      <c r="J432" s="124"/>
    </row>
    <row r="433" spans="3:10" x14ac:dyDescent="0.2">
      <c r="C433" s="209"/>
      <c r="D433" s="209"/>
      <c r="E433" s="209"/>
      <c r="J433" s="124"/>
    </row>
    <row r="434" spans="3:10" x14ac:dyDescent="0.2">
      <c r="C434" s="209"/>
      <c r="D434" s="209"/>
      <c r="E434" s="209"/>
      <c r="J434" s="124"/>
    </row>
    <row r="435" spans="3:10" x14ac:dyDescent="0.2">
      <c r="C435" s="209"/>
      <c r="D435" s="209"/>
      <c r="E435" s="209"/>
      <c r="J435" s="124"/>
    </row>
    <row r="436" spans="3:10" x14ac:dyDescent="0.2">
      <c r="C436" s="209"/>
      <c r="D436" s="209"/>
      <c r="E436" s="209"/>
      <c r="J436" s="124"/>
    </row>
    <row r="437" spans="3:10" x14ac:dyDescent="0.2">
      <c r="C437" s="209"/>
      <c r="D437" s="209"/>
      <c r="E437" s="209"/>
      <c r="J437" s="124"/>
    </row>
    <row r="438" spans="3:10" x14ac:dyDescent="0.2">
      <c r="C438" s="209"/>
      <c r="D438" s="209"/>
      <c r="E438" s="209"/>
      <c r="J438" s="124"/>
    </row>
    <row r="439" spans="3:10" x14ac:dyDescent="0.2">
      <c r="C439" s="209"/>
      <c r="D439" s="209"/>
      <c r="E439" s="209"/>
      <c r="J439" s="124"/>
    </row>
    <row r="440" spans="3:10" x14ac:dyDescent="0.2">
      <c r="C440" s="209"/>
      <c r="D440" s="209"/>
      <c r="E440" s="209"/>
      <c r="J440" s="124"/>
    </row>
    <row r="441" spans="3:10" x14ac:dyDescent="0.2">
      <c r="C441" s="209"/>
      <c r="D441" s="209"/>
      <c r="E441" s="209"/>
      <c r="J441" s="124"/>
    </row>
    <row r="442" spans="3:10" x14ac:dyDescent="0.2">
      <c r="C442" s="209"/>
      <c r="D442" s="209"/>
      <c r="E442" s="209"/>
      <c r="J442" s="124"/>
    </row>
    <row r="443" spans="3:10" x14ac:dyDescent="0.2">
      <c r="C443" s="209"/>
      <c r="D443" s="209"/>
      <c r="E443" s="209"/>
      <c r="J443" s="124"/>
    </row>
    <row r="444" spans="3:10" x14ac:dyDescent="0.2">
      <c r="C444" s="209"/>
      <c r="D444" s="209"/>
      <c r="E444" s="209"/>
      <c r="J444" s="124"/>
    </row>
    <row r="445" spans="3:10" x14ac:dyDescent="0.2">
      <c r="C445" s="209"/>
      <c r="D445" s="209"/>
      <c r="E445" s="209"/>
      <c r="J445" s="124"/>
    </row>
    <row r="446" spans="3:10" x14ac:dyDescent="0.2">
      <c r="C446" s="209"/>
      <c r="D446" s="209"/>
      <c r="E446" s="209"/>
      <c r="J446" s="124"/>
    </row>
    <row r="447" spans="3:10" x14ac:dyDescent="0.2">
      <c r="C447" s="209"/>
      <c r="D447" s="209"/>
      <c r="E447" s="209"/>
      <c r="J447" s="124"/>
    </row>
    <row r="448" spans="3:10" x14ac:dyDescent="0.2">
      <c r="C448" s="209"/>
      <c r="D448" s="209"/>
      <c r="E448" s="209"/>
      <c r="J448" s="124"/>
    </row>
    <row r="449" spans="3:10" x14ac:dyDescent="0.2">
      <c r="C449" s="209"/>
      <c r="D449" s="209"/>
      <c r="E449" s="209"/>
      <c r="J449" s="124"/>
    </row>
    <row r="450" spans="3:10" x14ac:dyDescent="0.2">
      <c r="C450" s="209"/>
      <c r="D450" s="209"/>
      <c r="E450" s="209"/>
      <c r="J450" s="124"/>
    </row>
    <row r="451" spans="3:10" x14ac:dyDescent="0.2">
      <c r="C451" s="209"/>
      <c r="D451" s="209"/>
      <c r="E451" s="209"/>
      <c r="J451" s="124"/>
    </row>
    <row r="452" spans="3:10" x14ac:dyDescent="0.2">
      <c r="C452" s="209"/>
      <c r="D452" s="209"/>
      <c r="E452" s="209"/>
      <c r="J452" s="124"/>
    </row>
    <row r="453" spans="3:10" x14ac:dyDescent="0.2">
      <c r="C453" s="209"/>
      <c r="D453" s="209"/>
      <c r="E453" s="209"/>
      <c r="J453" s="124"/>
    </row>
    <row r="454" spans="3:10" x14ac:dyDescent="0.2">
      <c r="C454" s="209"/>
      <c r="D454" s="209"/>
      <c r="E454" s="209"/>
      <c r="J454" s="124"/>
    </row>
    <row r="455" spans="3:10" x14ac:dyDescent="0.2">
      <c r="C455" s="209"/>
      <c r="D455" s="209"/>
      <c r="E455" s="209"/>
      <c r="J455" s="124"/>
    </row>
    <row r="456" spans="3:10" x14ac:dyDescent="0.2">
      <c r="C456" s="209"/>
      <c r="D456" s="209"/>
      <c r="E456" s="209"/>
      <c r="J456" s="124"/>
    </row>
    <row r="457" spans="3:10" x14ac:dyDescent="0.2">
      <c r="C457" s="209"/>
      <c r="D457" s="209"/>
      <c r="E457" s="209"/>
      <c r="J457" s="124"/>
    </row>
    <row r="458" spans="3:10" x14ac:dyDescent="0.2">
      <c r="C458" s="209"/>
      <c r="D458" s="209"/>
      <c r="E458" s="209"/>
      <c r="J458" s="124"/>
    </row>
    <row r="459" spans="3:10" x14ac:dyDescent="0.2">
      <c r="C459" s="209"/>
      <c r="D459" s="209"/>
      <c r="E459" s="209"/>
      <c r="J459" s="124"/>
    </row>
    <row r="460" spans="3:10" x14ac:dyDescent="0.2">
      <c r="C460" s="209"/>
      <c r="D460" s="209"/>
      <c r="E460" s="209"/>
      <c r="J460" s="124"/>
    </row>
    <row r="461" spans="3:10" x14ac:dyDescent="0.2">
      <c r="C461" s="209"/>
      <c r="D461" s="209"/>
      <c r="E461" s="209"/>
      <c r="J461" s="124"/>
    </row>
    <row r="462" spans="3:10" x14ac:dyDescent="0.2">
      <c r="C462" s="209"/>
      <c r="D462" s="209"/>
      <c r="E462" s="209"/>
      <c r="J462" s="124"/>
    </row>
    <row r="463" spans="3:10" x14ac:dyDescent="0.2">
      <c r="C463" s="209"/>
      <c r="D463" s="209"/>
      <c r="E463" s="209"/>
      <c r="J463" s="124"/>
    </row>
    <row r="464" spans="3:10" x14ac:dyDescent="0.2">
      <c r="C464" s="209"/>
      <c r="D464" s="209"/>
      <c r="E464" s="209"/>
      <c r="J464" s="124"/>
    </row>
    <row r="465" spans="3:10" x14ac:dyDescent="0.2">
      <c r="C465" s="209"/>
      <c r="D465" s="209"/>
      <c r="E465" s="209"/>
      <c r="J465" s="124"/>
    </row>
    <row r="466" spans="3:10" x14ac:dyDescent="0.2">
      <c r="C466" s="209"/>
      <c r="D466" s="209"/>
      <c r="E466" s="209"/>
      <c r="J466" s="124"/>
    </row>
    <row r="467" spans="3:10" x14ac:dyDescent="0.2">
      <c r="C467" s="209"/>
      <c r="D467" s="209"/>
      <c r="E467" s="209"/>
      <c r="J467" s="124"/>
    </row>
    <row r="468" spans="3:10" x14ac:dyDescent="0.2">
      <c r="C468" s="209"/>
      <c r="D468" s="209"/>
      <c r="E468" s="209"/>
      <c r="J468" s="124"/>
    </row>
    <row r="469" spans="3:10" x14ac:dyDescent="0.2">
      <c r="C469" s="209"/>
      <c r="D469" s="209"/>
      <c r="E469" s="209"/>
      <c r="J469" s="124"/>
    </row>
    <row r="470" spans="3:10" x14ac:dyDescent="0.2">
      <c r="C470" s="209"/>
      <c r="D470" s="209"/>
      <c r="E470" s="209"/>
      <c r="J470" s="124"/>
    </row>
    <row r="471" spans="3:10" x14ac:dyDescent="0.2">
      <c r="C471" s="209"/>
      <c r="D471" s="209"/>
      <c r="E471" s="209"/>
      <c r="J471" s="124"/>
    </row>
    <row r="472" spans="3:10" x14ac:dyDescent="0.2">
      <c r="C472" s="209"/>
      <c r="D472" s="209"/>
      <c r="E472" s="209"/>
      <c r="J472" s="124"/>
    </row>
    <row r="473" spans="3:10" x14ac:dyDescent="0.2">
      <c r="C473" s="209"/>
      <c r="D473" s="209"/>
      <c r="E473" s="209"/>
      <c r="J473" s="124"/>
    </row>
    <row r="474" spans="3:10" x14ac:dyDescent="0.2">
      <c r="C474" s="209"/>
      <c r="D474" s="209"/>
      <c r="E474" s="209"/>
      <c r="J474" s="124"/>
    </row>
    <row r="475" spans="3:10" x14ac:dyDescent="0.2">
      <c r="C475" s="209"/>
      <c r="D475" s="209"/>
      <c r="E475" s="209"/>
      <c r="J475" s="124"/>
    </row>
    <row r="476" spans="3:10" x14ac:dyDescent="0.2">
      <c r="C476" s="209"/>
      <c r="D476" s="209"/>
      <c r="E476" s="209"/>
      <c r="J476" s="124"/>
    </row>
    <row r="477" spans="3:10" x14ac:dyDescent="0.2">
      <c r="C477" s="209"/>
      <c r="D477" s="209"/>
      <c r="E477" s="209"/>
      <c r="J477" s="124"/>
    </row>
    <row r="478" spans="3:10" x14ac:dyDescent="0.2">
      <c r="C478" s="209"/>
      <c r="D478" s="209"/>
      <c r="E478" s="209"/>
      <c r="J478" s="124"/>
    </row>
    <row r="479" spans="3:10" x14ac:dyDescent="0.2">
      <c r="C479" s="209"/>
      <c r="D479" s="209"/>
      <c r="E479" s="209"/>
      <c r="J479" s="124"/>
    </row>
    <row r="480" spans="3:10" x14ac:dyDescent="0.2">
      <c r="C480" s="209"/>
      <c r="D480" s="209"/>
      <c r="E480" s="209"/>
      <c r="J480" s="124"/>
    </row>
    <row r="481" spans="3:10" x14ac:dyDescent="0.2">
      <c r="C481" s="209"/>
      <c r="D481" s="209"/>
      <c r="E481" s="209"/>
      <c r="J481" s="124"/>
    </row>
    <row r="482" spans="3:10" x14ac:dyDescent="0.2">
      <c r="C482" s="209"/>
      <c r="D482" s="209"/>
      <c r="E482" s="209"/>
      <c r="J482" s="124"/>
    </row>
    <row r="483" spans="3:10" x14ac:dyDescent="0.2">
      <c r="C483" s="209"/>
      <c r="D483" s="209"/>
      <c r="E483" s="209"/>
      <c r="J483" s="124"/>
    </row>
    <row r="484" spans="3:10" x14ac:dyDescent="0.2">
      <c r="C484" s="209"/>
      <c r="D484" s="209"/>
      <c r="E484" s="209"/>
      <c r="J484" s="124"/>
    </row>
    <row r="485" spans="3:10" x14ac:dyDescent="0.2">
      <c r="C485" s="209"/>
      <c r="D485" s="209"/>
      <c r="E485" s="209"/>
      <c r="J485" s="124"/>
    </row>
    <row r="486" spans="3:10" x14ac:dyDescent="0.2">
      <c r="C486" s="209"/>
      <c r="D486" s="209"/>
      <c r="E486" s="209"/>
      <c r="J486" s="124"/>
    </row>
    <row r="487" spans="3:10" x14ac:dyDescent="0.2">
      <c r="C487" s="209"/>
      <c r="D487" s="209"/>
      <c r="E487" s="209"/>
      <c r="J487" s="124"/>
    </row>
    <row r="488" spans="3:10" x14ac:dyDescent="0.2">
      <c r="C488" s="209"/>
      <c r="D488" s="209"/>
      <c r="E488" s="209"/>
      <c r="J488" s="124"/>
    </row>
    <row r="489" spans="3:10" x14ac:dyDescent="0.2">
      <c r="C489" s="209"/>
      <c r="D489" s="209"/>
      <c r="E489" s="209"/>
      <c r="J489" s="124"/>
    </row>
    <row r="490" spans="3:10" x14ac:dyDescent="0.2">
      <c r="C490" s="209"/>
      <c r="D490" s="209"/>
      <c r="E490" s="209"/>
      <c r="J490" s="124"/>
    </row>
    <row r="491" spans="3:10" x14ac:dyDescent="0.2">
      <c r="C491" s="209"/>
      <c r="D491" s="209"/>
      <c r="E491" s="209"/>
      <c r="J491" s="124"/>
    </row>
    <row r="492" spans="3:10" x14ac:dyDescent="0.2">
      <c r="C492" s="209"/>
      <c r="D492" s="209"/>
      <c r="E492" s="209"/>
      <c r="J492" s="124"/>
    </row>
    <row r="493" spans="3:10" x14ac:dyDescent="0.2">
      <c r="C493" s="209"/>
      <c r="D493" s="209"/>
      <c r="E493" s="209"/>
      <c r="J493" s="124"/>
    </row>
    <row r="494" spans="3:10" x14ac:dyDescent="0.2">
      <c r="C494" s="209"/>
      <c r="D494" s="209"/>
      <c r="E494" s="209"/>
      <c r="J494" s="124"/>
    </row>
    <row r="495" spans="3:10" x14ac:dyDescent="0.2">
      <c r="C495" s="209"/>
      <c r="D495" s="209"/>
      <c r="E495" s="209"/>
      <c r="J495" s="124"/>
    </row>
    <row r="496" spans="3:10" x14ac:dyDescent="0.2">
      <c r="C496" s="209"/>
      <c r="D496" s="209"/>
      <c r="E496" s="209"/>
      <c r="J496" s="124"/>
    </row>
    <row r="497" spans="3:10" x14ac:dyDescent="0.2">
      <c r="C497" s="209"/>
      <c r="D497" s="209"/>
      <c r="E497" s="209"/>
      <c r="J497" s="124"/>
    </row>
    <row r="498" spans="3:10" x14ac:dyDescent="0.2">
      <c r="C498" s="209"/>
      <c r="D498" s="209"/>
      <c r="E498" s="209"/>
      <c r="J498" s="124"/>
    </row>
    <row r="499" spans="3:10" x14ac:dyDescent="0.2">
      <c r="C499" s="209"/>
      <c r="D499" s="209"/>
      <c r="E499" s="209"/>
      <c r="J499" s="124"/>
    </row>
    <row r="500" spans="3:10" x14ac:dyDescent="0.2">
      <c r="C500" s="209"/>
      <c r="D500" s="209"/>
      <c r="E500" s="209"/>
      <c r="J500" s="124"/>
    </row>
    <row r="501" spans="3:10" x14ac:dyDescent="0.2">
      <c r="C501" s="209"/>
      <c r="D501" s="209"/>
      <c r="E501" s="209"/>
      <c r="J501" s="124"/>
    </row>
    <row r="502" spans="3:10" x14ac:dyDescent="0.2">
      <c r="C502" s="209"/>
      <c r="D502" s="209"/>
      <c r="E502" s="209"/>
      <c r="J502" s="124"/>
    </row>
    <row r="503" spans="3:10" x14ac:dyDescent="0.2">
      <c r="C503" s="209"/>
      <c r="D503" s="209"/>
      <c r="E503" s="209"/>
      <c r="J503" s="124"/>
    </row>
    <row r="504" spans="3:10" x14ac:dyDescent="0.2">
      <c r="C504" s="209"/>
      <c r="D504" s="209"/>
      <c r="E504" s="209"/>
      <c r="J504" s="124"/>
    </row>
    <row r="505" spans="3:10" x14ac:dyDescent="0.2">
      <c r="C505" s="209"/>
      <c r="D505" s="209"/>
      <c r="E505" s="209"/>
      <c r="J505" s="124"/>
    </row>
    <row r="506" spans="3:10" x14ac:dyDescent="0.2">
      <c r="C506" s="209"/>
      <c r="D506" s="209"/>
      <c r="E506" s="209"/>
      <c r="J506" s="124"/>
    </row>
    <row r="507" spans="3:10" x14ac:dyDescent="0.2">
      <c r="C507" s="209"/>
      <c r="D507" s="209"/>
      <c r="E507" s="209"/>
      <c r="J507" s="124"/>
    </row>
    <row r="508" spans="3:10" x14ac:dyDescent="0.2">
      <c r="C508" s="209"/>
      <c r="D508" s="209"/>
      <c r="E508" s="209"/>
      <c r="J508" s="124"/>
    </row>
    <row r="509" spans="3:10" x14ac:dyDescent="0.2">
      <c r="C509" s="209"/>
      <c r="D509" s="209"/>
      <c r="E509" s="209"/>
      <c r="J509" s="124"/>
    </row>
    <row r="510" spans="3:10" x14ac:dyDescent="0.2">
      <c r="C510" s="209"/>
      <c r="D510" s="209"/>
      <c r="E510" s="209"/>
      <c r="J510" s="124"/>
    </row>
    <row r="511" spans="3:10" x14ac:dyDescent="0.2">
      <c r="C511" s="209"/>
      <c r="D511" s="209"/>
      <c r="E511" s="209"/>
      <c r="J511" s="124"/>
    </row>
    <row r="512" spans="3:10" x14ac:dyDescent="0.2">
      <c r="C512" s="209"/>
      <c r="D512" s="209"/>
      <c r="E512" s="209"/>
      <c r="J512" s="124"/>
    </row>
    <row r="513" spans="3:10" x14ac:dyDescent="0.2">
      <c r="C513" s="209"/>
      <c r="D513" s="209"/>
      <c r="E513" s="209"/>
      <c r="J513" s="124"/>
    </row>
    <row r="514" spans="3:10" x14ac:dyDescent="0.2">
      <c r="C514" s="209"/>
      <c r="D514" s="209"/>
      <c r="E514" s="209"/>
      <c r="J514" s="124"/>
    </row>
    <row r="515" spans="3:10" x14ac:dyDescent="0.2">
      <c r="C515" s="209"/>
      <c r="D515" s="209"/>
      <c r="E515" s="209"/>
      <c r="J515" s="124"/>
    </row>
    <row r="516" spans="3:10" x14ac:dyDescent="0.2">
      <c r="C516" s="209"/>
      <c r="D516" s="209"/>
      <c r="E516" s="209"/>
      <c r="J516" s="124"/>
    </row>
    <row r="517" spans="3:10" x14ac:dyDescent="0.2">
      <c r="C517" s="209"/>
      <c r="D517" s="209"/>
      <c r="E517" s="209"/>
      <c r="J517" s="124"/>
    </row>
    <row r="518" spans="3:10" x14ac:dyDescent="0.2">
      <c r="C518" s="209"/>
      <c r="D518" s="209"/>
      <c r="E518" s="209"/>
      <c r="J518" s="124"/>
    </row>
    <row r="519" spans="3:10" x14ac:dyDescent="0.2">
      <c r="C519" s="209"/>
      <c r="D519" s="209"/>
      <c r="E519" s="209"/>
      <c r="J519" s="124"/>
    </row>
    <row r="520" spans="3:10" x14ac:dyDescent="0.2">
      <c r="C520" s="209"/>
      <c r="D520" s="209"/>
      <c r="E520" s="209"/>
      <c r="J520" s="124"/>
    </row>
    <row r="521" spans="3:10" x14ac:dyDescent="0.2">
      <c r="C521" s="209"/>
      <c r="D521" s="209"/>
      <c r="E521" s="209"/>
      <c r="J521" s="124"/>
    </row>
    <row r="522" spans="3:10" x14ac:dyDescent="0.2">
      <c r="C522" s="209"/>
      <c r="D522" s="209"/>
      <c r="E522" s="209"/>
      <c r="J522" s="124"/>
    </row>
    <row r="523" spans="3:10" x14ac:dyDescent="0.2">
      <c r="C523" s="209"/>
      <c r="D523" s="209"/>
      <c r="E523" s="209"/>
      <c r="J523" s="124"/>
    </row>
    <row r="524" spans="3:10" x14ac:dyDescent="0.2">
      <c r="C524" s="209"/>
      <c r="D524" s="209"/>
      <c r="E524" s="209"/>
      <c r="J524" s="124"/>
    </row>
    <row r="525" spans="3:10" x14ac:dyDescent="0.2">
      <c r="C525" s="209"/>
      <c r="D525" s="209"/>
      <c r="E525" s="209"/>
      <c r="J525" s="124"/>
    </row>
    <row r="526" spans="3:10" x14ac:dyDescent="0.2">
      <c r="C526" s="209"/>
      <c r="D526" s="209"/>
      <c r="E526" s="209"/>
      <c r="J526" s="124"/>
    </row>
    <row r="527" spans="3:10" x14ac:dyDescent="0.2">
      <c r="C527" s="209"/>
      <c r="D527" s="209"/>
      <c r="E527" s="209"/>
      <c r="J527" s="124"/>
    </row>
    <row r="528" spans="3:10" x14ac:dyDescent="0.2">
      <c r="C528" s="209"/>
      <c r="D528" s="209"/>
      <c r="E528" s="209"/>
      <c r="J528" s="124"/>
    </row>
    <row r="529" spans="3:10" x14ac:dyDescent="0.2">
      <c r="C529" s="209"/>
      <c r="D529" s="209"/>
      <c r="E529" s="209"/>
      <c r="J529" s="124"/>
    </row>
    <row r="530" spans="3:10" x14ac:dyDescent="0.2">
      <c r="C530" s="209"/>
      <c r="D530" s="209"/>
      <c r="E530" s="209"/>
      <c r="J530" s="124"/>
    </row>
    <row r="531" spans="3:10" x14ac:dyDescent="0.2">
      <c r="C531" s="209"/>
      <c r="D531" s="209"/>
      <c r="E531" s="209"/>
      <c r="J531" s="124"/>
    </row>
    <row r="532" spans="3:10" x14ac:dyDescent="0.2">
      <c r="C532" s="209"/>
      <c r="D532" s="209"/>
      <c r="E532" s="209"/>
      <c r="J532" s="124"/>
    </row>
    <row r="533" spans="3:10" x14ac:dyDescent="0.2">
      <c r="C533" s="209"/>
      <c r="D533" s="209"/>
      <c r="E533" s="209"/>
      <c r="J533" s="124"/>
    </row>
    <row r="534" spans="3:10" x14ac:dyDescent="0.2">
      <c r="C534" s="209"/>
      <c r="D534" s="209"/>
      <c r="E534" s="209"/>
      <c r="J534" s="124"/>
    </row>
    <row r="535" spans="3:10" x14ac:dyDescent="0.2">
      <c r="C535" s="209"/>
      <c r="D535" s="209"/>
      <c r="E535" s="209"/>
      <c r="J535" s="124"/>
    </row>
    <row r="536" spans="3:10" x14ac:dyDescent="0.2">
      <c r="C536" s="209"/>
      <c r="D536" s="209"/>
      <c r="E536" s="209"/>
      <c r="J536" s="124"/>
    </row>
    <row r="537" spans="3:10" x14ac:dyDescent="0.2">
      <c r="C537" s="209"/>
      <c r="D537" s="209"/>
      <c r="E537" s="209"/>
      <c r="J537" s="124"/>
    </row>
    <row r="538" spans="3:10" x14ac:dyDescent="0.2">
      <c r="C538" s="209"/>
      <c r="D538" s="209"/>
      <c r="E538" s="209"/>
      <c r="J538" s="124"/>
    </row>
    <row r="539" spans="3:10" x14ac:dyDescent="0.2">
      <c r="C539" s="209"/>
      <c r="D539" s="209"/>
      <c r="E539" s="209"/>
      <c r="J539" s="124"/>
    </row>
    <row r="540" spans="3:10" x14ac:dyDescent="0.2">
      <c r="C540" s="209"/>
      <c r="D540" s="209"/>
      <c r="E540" s="209"/>
      <c r="J540" s="124"/>
    </row>
    <row r="541" spans="3:10" x14ac:dyDescent="0.2">
      <c r="C541" s="209"/>
      <c r="D541" s="209"/>
      <c r="E541" s="209"/>
      <c r="J541" s="124"/>
    </row>
    <row r="542" spans="3:10" x14ac:dyDescent="0.2">
      <c r="C542" s="209"/>
      <c r="D542" s="209"/>
      <c r="E542" s="209"/>
      <c r="J542" s="124"/>
    </row>
    <row r="543" spans="3:10" x14ac:dyDescent="0.2">
      <c r="C543" s="209"/>
      <c r="D543" s="209"/>
      <c r="E543" s="209"/>
      <c r="J543" s="124"/>
    </row>
    <row r="544" spans="3:10" x14ac:dyDescent="0.2">
      <c r="C544" s="209"/>
      <c r="D544" s="209"/>
      <c r="E544" s="209"/>
      <c r="J544" s="124"/>
    </row>
    <row r="545" spans="3:10" x14ac:dyDescent="0.2">
      <c r="C545" s="209"/>
      <c r="D545" s="209"/>
      <c r="E545" s="209"/>
      <c r="J545" s="124"/>
    </row>
    <row r="546" spans="3:10" x14ac:dyDescent="0.2">
      <c r="C546" s="209"/>
      <c r="D546" s="209"/>
      <c r="E546" s="209"/>
      <c r="J546" s="124"/>
    </row>
    <row r="547" spans="3:10" x14ac:dyDescent="0.2">
      <c r="C547" s="209"/>
      <c r="D547" s="209"/>
      <c r="E547" s="209"/>
      <c r="J547" s="124"/>
    </row>
    <row r="548" spans="3:10" x14ac:dyDescent="0.2">
      <c r="C548" s="209"/>
      <c r="D548" s="209"/>
      <c r="E548" s="209"/>
      <c r="J548" s="124"/>
    </row>
    <row r="549" spans="3:10" x14ac:dyDescent="0.2">
      <c r="C549" s="209"/>
      <c r="D549" s="209"/>
      <c r="E549" s="209"/>
      <c r="J549" s="124"/>
    </row>
    <row r="550" spans="3:10" x14ac:dyDescent="0.2">
      <c r="C550" s="209"/>
      <c r="D550" s="209"/>
      <c r="E550" s="209"/>
      <c r="J550" s="124"/>
    </row>
    <row r="551" spans="3:10" x14ac:dyDescent="0.2">
      <c r="C551" s="209"/>
      <c r="D551" s="209"/>
      <c r="E551" s="209"/>
      <c r="J551" s="124"/>
    </row>
    <row r="552" spans="3:10" x14ac:dyDescent="0.2">
      <c r="C552" s="209"/>
      <c r="D552" s="209"/>
      <c r="E552" s="209"/>
      <c r="J552" s="124"/>
    </row>
    <row r="553" spans="3:10" x14ac:dyDescent="0.2">
      <c r="C553" s="209"/>
      <c r="D553" s="209"/>
      <c r="E553" s="209"/>
      <c r="J553" s="124"/>
    </row>
    <row r="554" spans="3:10" x14ac:dyDescent="0.2">
      <c r="C554" s="209"/>
      <c r="D554" s="209"/>
      <c r="E554" s="209"/>
      <c r="J554" s="124"/>
    </row>
    <row r="555" spans="3:10" x14ac:dyDescent="0.2">
      <c r="C555" s="209"/>
      <c r="D555" s="209"/>
      <c r="E555" s="209"/>
      <c r="J555" s="124"/>
    </row>
    <row r="556" spans="3:10" x14ac:dyDescent="0.2">
      <c r="C556" s="209"/>
      <c r="D556" s="209"/>
      <c r="E556" s="209"/>
      <c r="J556" s="124"/>
    </row>
    <row r="557" spans="3:10" x14ac:dyDescent="0.2">
      <c r="C557" s="209"/>
      <c r="D557" s="209"/>
      <c r="E557" s="209"/>
      <c r="J557" s="124"/>
    </row>
    <row r="558" spans="3:10" x14ac:dyDescent="0.2">
      <c r="C558" s="209"/>
      <c r="D558" s="209"/>
      <c r="E558" s="209"/>
      <c r="J558" s="124"/>
    </row>
    <row r="559" spans="3:10" x14ac:dyDescent="0.2">
      <c r="C559" s="209"/>
      <c r="D559" s="209"/>
      <c r="E559" s="209"/>
      <c r="J559" s="124"/>
    </row>
    <row r="560" spans="3:10" x14ac:dyDescent="0.2">
      <c r="C560" s="209"/>
      <c r="D560" s="209"/>
      <c r="E560" s="209"/>
      <c r="J560" s="124"/>
    </row>
    <row r="561" spans="3:10" x14ac:dyDescent="0.2">
      <c r="C561" s="209"/>
      <c r="D561" s="209"/>
      <c r="E561" s="209"/>
      <c r="J561" s="124"/>
    </row>
    <row r="562" spans="3:10" x14ac:dyDescent="0.2">
      <c r="C562" s="209"/>
      <c r="D562" s="209"/>
      <c r="E562" s="209"/>
      <c r="J562" s="124"/>
    </row>
    <row r="563" spans="3:10" x14ac:dyDescent="0.2">
      <c r="C563" s="209"/>
      <c r="D563" s="209"/>
      <c r="E563" s="209"/>
      <c r="J563" s="124"/>
    </row>
    <row r="564" spans="3:10" x14ac:dyDescent="0.2">
      <c r="C564" s="209"/>
      <c r="D564" s="209"/>
      <c r="E564" s="209"/>
      <c r="J564" s="124"/>
    </row>
    <row r="565" spans="3:10" x14ac:dyDescent="0.2">
      <c r="C565" s="209"/>
      <c r="D565" s="209"/>
      <c r="E565" s="209"/>
      <c r="J565" s="124"/>
    </row>
    <row r="566" spans="3:10" x14ac:dyDescent="0.2">
      <c r="C566" s="209"/>
      <c r="D566" s="209"/>
      <c r="E566" s="209"/>
      <c r="J566" s="124"/>
    </row>
    <row r="567" spans="3:10" x14ac:dyDescent="0.2">
      <c r="C567" s="209"/>
      <c r="D567" s="209"/>
      <c r="E567" s="209"/>
      <c r="J567" s="124"/>
    </row>
    <row r="568" spans="3:10" x14ac:dyDescent="0.2">
      <c r="C568" s="209"/>
      <c r="D568" s="209"/>
      <c r="E568" s="209"/>
      <c r="J568" s="124"/>
    </row>
    <row r="569" spans="3:10" x14ac:dyDescent="0.2">
      <c r="C569" s="209"/>
      <c r="D569" s="209"/>
      <c r="E569" s="209"/>
      <c r="J569" s="124"/>
    </row>
    <row r="570" spans="3:10" x14ac:dyDescent="0.2">
      <c r="C570" s="209"/>
      <c r="D570" s="209"/>
      <c r="E570" s="209"/>
      <c r="J570" s="124"/>
    </row>
    <row r="571" spans="3:10" x14ac:dyDescent="0.2">
      <c r="C571" s="209"/>
      <c r="D571" s="209"/>
      <c r="E571" s="209"/>
      <c r="J571" s="124"/>
    </row>
    <row r="572" spans="3:10" x14ac:dyDescent="0.2">
      <c r="C572" s="209"/>
      <c r="D572" s="209"/>
      <c r="E572" s="209"/>
      <c r="J572" s="124"/>
    </row>
    <row r="573" spans="3:10" x14ac:dyDescent="0.2">
      <c r="C573" s="209"/>
      <c r="D573" s="209"/>
      <c r="E573" s="209"/>
      <c r="J573" s="124"/>
    </row>
    <row r="574" spans="3:10" x14ac:dyDescent="0.2">
      <c r="C574" s="209"/>
      <c r="D574" s="209"/>
      <c r="E574" s="209"/>
      <c r="J574" s="124"/>
    </row>
    <row r="575" spans="3:10" x14ac:dyDescent="0.2">
      <c r="C575" s="209"/>
      <c r="D575" s="209"/>
      <c r="E575" s="209"/>
      <c r="J575" s="124"/>
    </row>
    <row r="576" spans="3:10" x14ac:dyDescent="0.2">
      <c r="C576" s="209"/>
      <c r="D576" s="209"/>
      <c r="E576" s="209"/>
      <c r="J576" s="124"/>
    </row>
    <row r="577" spans="3:10" x14ac:dyDescent="0.2">
      <c r="C577" s="209"/>
      <c r="D577" s="209"/>
      <c r="E577" s="209"/>
      <c r="J577" s="124"/>
    </row>
    <row r="578" spans="3:10" x14ac:dyDescent="0.2">
      <c r="C578" s="209"/>
      <c r="D578" s="209"/>
      <c r="E578" s="209"/>
      <c r="J578" s="124"/>
    </row>
    <row r="579" spans="3:10" x14ac:dyDescent="0.2">
      <c r="C579" s="209"/>
      <c r="D579" s="209"/>
      <c r="E579" s="209"/>
      <c r="J579" s="124"/>
    </row>
    <row r="580" spans="3:10" x14ac:dyDescent="0.2">
      <c r="C580" s="209"/>
      <c r="D580" s="209"/>
      <c r="E580" s="209"/>
      <c r="J580" s="124"/>
    </row>
    <row r="581" spans="3:10" x14ac:dyDescent="0.2">
      <c r="C581" s="209"/>
      <c r="D581" s="209"/>
      <c r="E581" s="209"/>
      <c r="J581" s="124"/>
    </row>
    <row r="582" spans="3:10" x14ac:dyDescent="0.2">
      <c r="C582" s="209"/>
      <c r="D582" s="209"/>
      <c r="E582" s="209"/>
      <c r="J582" s="124"/>
    </row>
    <row r="583" spans="3:10" x14ac:dyDescent="0.2">
      <c r="C583" s="209"/>
      <c r="D583" s="209"/>
      <c r="E583" s="209"/>
      <c r="J583" s="124"/>
    </row>
    <row r="584" spans="3:10" x14ac:dyDescent="0.2">
      <c r="C584" s="209"/>
      <c r="D584" s="209"/>
      <c r="E584" s="209"/>
      <c r="J584" s="124"/>
    </row>
    <row r="585" spans="3:10" x14ac:dyDescent="0.2">
      <c r="C585" s="209"/>
      <c r="D585" s="209"/>
      <c r="E585" s="209"/>
      <c r="J585" s="124"/>
    </row>
    <row r="586" spans="3:10" x14ac:dyDescent="0.2">
      <c r="C586" s="209"/>
      <c r="D586" s="209"/>
      <c r="E586" s="209"/>
      <c r="J586" s="124"/>
    </row>
    <row r="587" spans="3:10" x14ac:dyDescent="0.2">
      <c r="C587" s="209"/>
      <c r="D587" s="209"/>
      <c r="E587" s="209"/>
      <c r="J587" s="124"/>
    </row>
    <row r="588" spans="3:10" x14ac:dyDescent="0.2">
      <c r="C588" s="209"/>
      <c r="D588" s="209"/>
      <c r="E588" s="209"/>
      <c r="J588" s="124"/>
    </row>
    <row r="589" spans="3:10" x14ac:dyDescent="0.2">
      <c r="C589" s="209"/>
      <c r="D589" s="209"/>
      <c r="E589" s="209"/>
      <c r="J589" s="124"/>
    </row>
    <row r="590" spans="3:10" x14ac:dyDescent="0.2">
      <c r="C590" s="209"/>
      <c r="D590" s="209"/>
      <c r="E590" s="209"/>
      <c r="J590" s="124"/>
    </row>
    <row r="591" spans="3:10" x14ac:dyDescent="0.2">
      <c r="C591" s="209"/>
      <c r="D591" s="209"/>
      <c r="E591" s="209"/>
      <c r="J591" s="124"/>
    </row>
    <row r="592" spans="3:10" x14ac:dyDescent="0.2">
      <c r="C592" s="209"/>
      <c r="D592" s="209"/>
      <c r="E592" s="209"/>
      <c r="J592" s="124"/>
    </row>
    <row r="593" spans="3:10" x14ac:dyDescent="0.2">
      <c r="C593" s="209"/>
      <c r="D593" s="209"/>
      <c r="E593" s="209"/>
      <c r="J593" s="124"/>
    </row>
    <row r="594" spans="3:10" x14ac:dyDescent="0.2">
      <c r="C594" s="209"/>
      <c r="D594" s="209"/>
      <c r="E594" s="209"/>
      <c r="J594" s="124"/>
    </row>
    <row r="595" spans="3:10" x14ac:dyDescent="0.2">
      <c r="C595" s="209"/>
      <c r="D595" s="209"/>
      <c r="E595" s="209"/>
      <c r="J595" s="124"/>
    </row>
    <row r="596" spans="3:10" x14ac:dyDescent="0.2">
      <c r="C596" s="209"/>
      <c r="D596" s="209"/>
      <c r="E596" s="209"/>
      <c r="J596" s="124"/>
    </row>
    <row r="597" spans="3:10" x14ac:dyDescent="0.2">
      <c r="C597" s="209"/>
      <c r="D597" s="209"/>
      <c r="E597" s="209"/>
      <c r="J597" s="124"/>
    </row>
    <row r="598" spans="3:10" x14ac:dyDescent="0.2">
      <c r="C598" s="209"/>
      <c r="D598" s="209"/>
      <c r="E598" s="209"/>
      <c r="J598" s="124"/>
    </row>
    <row r="599" spans="3:10" x14ac:dyDescent="0.2">
      <c r="C599" s="209"/>
      <c r="D599" s="209"/>
      <c r="E599" s="209"/>
      <c r="J599" s="124"/>
    </row>
    <row r="600" spans="3:10" x14ac:dyDescent="0.2">
      <c r="C600" s="209"/>
      <c r="D600" s="209"/>
      <c r="E600" s="209"/>
      <c r="J600" s="124"/>
    </row>
    <row r="601" spans="3:10" x14ac:dyDescent="0.2">
      <c r="C601" s="209"/>
      <c r="D601" s="209"/>
      <c r="E601" s="209"/>
      <c r="J601" s="124"/>
    </row>
    <row r="602" spans="3:10" x14ac:dyDescent="0.2">
      <c r="C602" s="209"/>
      <c r="D602" s="209"/>
      <c r="E602" s="209"/>
      <c r="J602" s="124"/>
    </row>
    <row r="603" spans="3:10" x14ac:dyDescent="0.2">
      <c r="C603" s="209"/>
      <c r="D603" s="209"/>
      <c r="E603" s="209"/>
      <c r="J603" s="124"/>
    </row>
    <row r="604" spans="3:10" x14ac:dyDescent="0.2">
      <c r="C604" s="209"/>
      <c r="D604" s="209"/>
      <c r="E604" s="209"/>
      <c r="J604" s="124"/>
    </row>
    <row r="605" spans="3:10" x14ac:dyDescent="0.2">
      <c r="C605" s="209"/>
      <c r="D605" s="209"/>
      <c r="E605" s="209"/>
      <c r="J605" s="124"/>
    </row>
    <row r="606" spans="3:10" x14ac:dyDescent="0.2">
      <c r="C606" s="209"/>
      <c r="D606" s="209"/>
      <c r="E606" s="209"/>
      <c r="J606" s="124"/>
    </row>
    <row r="607" spans="3:10" x14ac:dyDescent="0.2">
      <c r="C607" s="209"/>
      <c r="D607" s="209"/>
      <c r="E607" s="209"/>
      <c r="J607" s="124"/>
    </row>
    <row r="608" spans="3:10" x14ac:dyDescent="0.2">
      <c r="C608" s="209"/>
      <c r="D608" s="209"/>
      <c r="E608" s="209"/>
      <c r="J608" s="124"/>
    </row>
    <row r="609" spans="3:10" x14ac:dyDescent="0.2">
      <c r="C609" s="209"/>
      <c r="D609" s="209"/>
      <c r="E609" s="209"/>
      <c r="J609" s="124"/>
    </row>
    <row r="610" spans="3:10" x14ac:dyDescent="0.2">
      <c r="C610" s="209"/>
      <c r="D610" s="209"/>
      <c r="E610" s="209"/>
      <c r="J610" s="124"/>
    </row>
    <row r="611" spans="3:10" x14ac:dyDescent="0.2">
      <c r="C611" s="209"/>
      <c r="D611" s="209"/>
      <c r="E611" s="209"/>
      <c r="J611" s="124"/>
    </row>
    <row r="612" spans="3:10" x14ac:dyDescent="0.2">
      <c r="C612" s="209"/>
      <c r="D612" s="209"/>
      <c r="E612" s="209"/>
      <c r="J612" s="124"/>
    </row>
    <row r="613" spans="3:10" x14ac:dyDescent="0.2">
      <c r="C613" s="209"/>
      <c r="D613" s="209"/>
      <c r="E613" s="209"/>
      <c r="J613" s="124"/>
    </row>
    <row r="614" spans="3:10" x14ac:dyDescent="0.2">
      <c r="C614" s="209"/>
      <c r="D614" s="209"/>
      <c r="E614" s="209"/>
      <c r="J614" s="124"/>
    </row>
    <row r="615" spans="3:10" x14ac:dyDescent="0.2">
      <c r="C615" s="209"/>
      <c r="D615" s="209"/>
      <c r="E615" s="209"/>
      <c r="J615" s="124"/>
    </row>
    <row r="616" spans="3:10" x14ac:dyDescent="0.2">
      <c r="C616" s="209"/>
      <c r="D616" s="209"/>
      <c r="E616" s="209"/>
      <c r="J616" s="124"/>
    </row>
    <row r="617" spans="3:10" x14ac:dyDescent="0.2">
      <c r="C617" s="209"/>
      <c r="D617" s="209"/>
      <c r="E617" s="209"/>
      <c r="J617" s="124"/>
    </row>
    <row r="618" spans="3:10" x14ac:dyDescent="0.2">
      <c r="C618" s="209"/>
      <c r="D618" s="209"/>
      <c r="E618" s="209"/>
      <c r="J618" s="124"/>
    </row>
    <row r="619" spans="3:10" x14ac:dyDescent="0.2">
      <c r="C619" s="209"/>
      <c r="D619" s="209"/>
      <c r="E619" s="209"/>
      <c r="J619" s="124"/>
    </row>
    <row r="620" spans="3:10" x14ac:dyDescent="0.2">
      <c r="C620" s="209"/>
      <c r="D620" s="209"/>
      <c r="E620" s="209"/>
      <c r="J620" s="124"/>
    </row>
    <row r="621" spans="3:10" x14ac:dyDescent="0.2">
      <c r="C621" s="209"/>
      <c r="D621" s="209"/>
      <c r="E621" s="209"/>
      <c r="J621" s="124"/>
    </row>
    <row r="622" spans="3:10" x14ac:dyDescent="0.2">
      <c r="C622" s="209"/>
      <c r="D622" s="209"/>
      <c r="E622" s="209"/>
      <c r="J622" s="124"/>
    </row>
    <row r="623" spans="3:10" x14ac:dyDescent="0.2">
      <c r="C623" s="209"/>
      <c r="D623" s="209"/>
      <c r="E623" s="209"/>
      <c r="J623" s="124"/>
    </row>
    <row r="624" spans="3:10" x14ac:dyDescent="0.2">
      <c r="C624" s="209"/>
      <c r="D624" s="209"/>
      <c r="E624" s="209"/>
      <c r="J624" s="124"/>
    </row>
    <row r="625" spans="3:10" x14ac:dyDescent="0.2">
      <c r="C625" s="209"/>
      <c r="D625" s="209"/>
      <c r="E625" s="209"/>
      <c r="J625" s="124"/>
    </row>
    <row r="626" spans="3:10" x14ac:dyDescent="0.2">
      <c r="C626" s="209"/>
      <c r="D626" s="209"/>
      <c r="E626" s="209"/>
      <c r="J626" s="124"/>
    </row>
    <row r="627" spans="3:10" x14ac:dyDescent="0.2">
      <c r="C627" s="209"/>
      <c r="D627" s="209"/>
      <c r="E627" s="209"/>
      <c r="J627" s="124"/>
    </row>
    <row r="628" spans="3:10" x14ac:dyDescent="0.2">
      <c r="C628" s="209"/>
      <c r="D628" s="209"/>
      <c r="E628" s="209"/>
      <c r="J628" s="124"/>
    </row>
    <row r="629" spans="3:10" x14ac:dyDescent="0.2">
      <c r="C629" s="209"/>
      <c r="D629" s="209"/>
      <c r="E629" s="209"/>
      <c r="J629" s="124"/>
    </row>
    <row r="630" spans="3:10" x14ac:dyDescent="0.2">
      <c r="C630" s="209"/>
      <c r="D630" s="209"/>
      <c r="E630" s="209"/>
      <c r="J630" s="124"/>
    </row>
    <row r="631" spans="3:10" x14ac:dyDescent="0.2">
      <c r="C631" s="209"/>
      <c r="D631" s="209"/>
      <c r="E631" s="209"/>
      <c r="J631" s="124"/>
    </row>
    <row r="632" spans="3:10" x14ac:dyDescent="0.2">
      <c r="C632" s="209"/>
      <c r="D632" s="209"/>
      <c r="E632" s="209"/>
      <c r="J632" s="124"/>
    </row>
    <row r="633" spans="3:10" x14ac:dyDescent="0.2">
      <c r="C633" s="209"/>
      <c r="D633" s="209"/>
      <c r="E633" s="209"/>
      <c r="J633" s="124"/>
    </row>
    <row r="634" spans="3:10" x14ac:dyDescent="0.2">
      <c r="C634" s="209"/>
      <c r="D634" s="209"/>
      <c r="E634" s="209"/>
      <c r="J634" s="124"/>
    </row>
    <row r="635" spans="3:10" x14ac:dyDescent="0.2">
      <c r="C635" s="209"/>
      <c r="D635" s="209"/>
      <c r="E635" s="209"/>
      <c r="J635" s="124"/>
    </row>
    <row r="636" spans="3:10" x14ac:dyDescent="0.2">
      <c r="C636" s="209"/>
      <c r="D636" s="209"/>
      <c r="E636" s="209"/>
      <c r="J636" s="124"/>
    </row>
    <row r="637" spans="3:10" x14ac:dyDescent="0.2">
      <c r="C637" s="209"/>
      <c r="D637" s="209"/>
      <c r="E637" s="209"/>
      <c r="J637" s="124"/>
    </row>
    <row r="638" spans="3:10" x14ac:dyDescent="0.2">
      <c r="C638" s="209"/>
      <c r="D638" s="209"/>
      <c r="E638" s="209"/>
      <c r="J638" s="124"/>
    </row>
    <row r="639" spans="3:10" x14ac:dyDescent="0.2">
      <c r="C639" s="209"/>
      <c r="D639" s="209"/>
      <c r="E639" s="209"/>
      <c r="J639" s="124"/>
    </row>
    <row r="640" spans="3:10" x14ac:dyDescent="0.2">
      <c r="C640" s="209"/>
      <c r="D640" s="209"/>
      <c r="E640" s="209"/>
      <c r="J640" s="124"/>
    </row>
    <row r="641" spans="3:10" x14ac:dyDescent="0.2">
      <c r="C641" s="209"/>
      <c r="D641" s="209"/>
      <c r="E641" s="209"/>
      <c r="J641" s="124"/>
    </row>
    <row r="642" spans="3:10" x14ac:dyDescent="0.2">
      <c r="C642" s="209"/>
      <c r="D642" s="209"/>
      <c r="E642" s="209"/>
      <c r="J642" s="124"/>
    </row>
    <row r="643" spans="3:10" x14ac:dyDescent="0.2">
      <c r="C643" s="209"/>
      <c r="D643" s="209"/>
      <c r="E643" s="209"/>
      <c r="J643" s="124"/>
    </row>
    <row r="644" spans="3:10" x14ac:dyDescent="0.2">
      <c r="C644" s="209"/>
      <c r="D644" s="209"/>
      <c r="E644" s="209"/>
      <c r="J644" s="124"/>
    </row>
    <row r="645" spans="3:10" x14ac:dyDescent="0.2">
      <c r="C645" s="209"/>
      <c r="D645" s="209"/>
      <c r="E645" s="209"/>
      <c r="J645" s="124"/>
    </row>
    <row r="646" spans="3:10" x14ac:dyDescent="0.2">
      <c r="C646" s="209"/>
      <c r="D646" s="209"/>
      <c r="E646" s="209"/>
      <c r="J646" s="124"/>
    </row>
    <row r="647" spans="3:10" x14ac:dyDescent="0.2">
      <c r="C647" s="209"/>
      <c r="D647" s="209"/>
      <c r="E647" s="209"/>
      <c r="J647" s="124"/>
    </row>
    <row r="648" spans="3:10" x14ac:dyDescent="0.2">
      <c r="C648" s="209"/>
      <c r="D648" s="209"/>
      <c r="E648" s="209"/>
      <c r="J648" s="124"/>
    </row>
    <row r="649" spans="3:10" x14ac:dyDescent="0.2">
      <c r="C649" s="209"/>
      <c r="D649" s="209"/>
      <c r="E649" s="209"/>
      <c r="J649" s="124"/>
    </row>
    <row r="650" spans="3:10" x14ac:dyDescent="0.2">
      <c r="C650" s="209"/>
      <c r="D650" s="209"/>
      <c r="E650" s="209"/>
      <c r="J650" s="124"/>
    </row>
    <row r="651" spans="3:10" x14ac:dyDescent="0.2">
      <c r="C651" s="209"/>
      <c r="D651" s="209"/>
      <c r="E651" s="209"/>
      <c r="J651" s="124"/>
    </row>
    <row r="652" spans="3:10" x14ac:dyDescent="0.2">
      <c r="C652" s="209"/>
      <c r="D652" s="209"/>
      <c r="E652" s="209"/>
      <c r="J652" s="124"/>
    </row>
    <row r="653" spans="3:10" x14ac:dyDescent="0.2">
      <c r="C653" s="209"/>
      <c r="D653" s="209"/>
      <c r="E653" s="209"/>
      <c r="J653" s="124"/>
    </row>
    <row r="654" spans="3:10" x14ac:dyDescent="0.2">
      <c r="C654" s="209"/>
      <c r="D654" s="209"/>
      <c r="E654" s="209"/>
      <c r="J654" s="124"/>
    </row>
    <row r="655" spans="3:10" x14ac:dyDescent="0.2">
      <c r="C655" s="209"/>
      <c r="D655" s="209"/>
      <c r="E655" s="209"/>
      <c r="J655" s="124"/>
    </row>
    <row r="656" spans="3:10" x14ac:dyDescent="0.2">
      <c r="C656" s="209"/>
      <c r="D656" s="209"/>
      <c r="E656" s="209"/>
      <c r="J656" s="124"/>
    </row>
    <row r="657" spans="3:10" x14ac:dyDescent="0.2">
      <c r="C657" s="209"/>
      <c r="D657" s="209"/>
      <c r="E657" s="209"/>
      <c r="J657" s="124"/>
    </row>
    <row r="658" spans="3:10" x14ac:dyDescent="0.2">
      <c r="C658" s="209"/>
      <c r="D658" s="209"/>
      <c r="E658" s="209"/>
      <c r="J658" s="124"/>
    </row>
    <row r="659" spans="3:10" x14ac:dyDescent="0.2">
      <c r="C659" s="209"/>
      <c r="D659" s="209"/>
      <c r="E659" s="209"/>
      <c r="J659" s="124"/>
    </row>
    <row r="660" spans="3:10" x14ac:dyDescent="0.2">
      <c r="C660" s="209"/>
      <c r="D660" s="209"/>
      <c r="E660" s="209"/>
      <c r="J660" s="124"/>
    </row>
    <row r="661" spans="3:10" x14ac:dyDescent="0.2">
      <c r="C661" s="209"/>
      <c r="D661" s="209"/>
      <c r="E661" s="209"/>
      <c r="J661" s="124"/>
    </row>
    <row r="662" spans="3:10" x14ac:dyDescent="0.2">
      <c r="C662" s="209"/>
      <c r="D662" s="209"/>
      <c r="E662" s="209"/>
      <c r="J662" s="124"/>
    </row>
    <row r="663" spans="3:10" x14ac:dyDescent="0.2">
      <c r="C663" s="209"/>
      <c r="D663" s="209"/>
      <c r="E663" s="209"/>
      <c r="J663" s="124"/>
    </row>
    <row r="664" spans="3:10" x14ac:dyDescent="0.2">
      <c r="C664" s="209"/>
      <c r="D664" s="209"/>
      <c r="E664" s="209"/>
      <c r="J664" s="124"/>
    </row>
    <row r="665" spans="3:10" x14ac:dyDescent="0.2">
      <c r="C665" s="209"/>
      <c r="D665" s="209"/>
      <c r="E665" s="209"/>
      <c r="J665" s="124"/>
    </row>
    <row r="666" spans="3:10" x14ac:dyDescent="0.2">
      <c r="C666" s="209"/>
      <c r="D666" s="209"/>
      <c r="E666" s="209"/>
      <c r="J666" s="124"/>
    </row>
    <row r="667" spans="3:10" x14ac:dyDescent="0.2">
      <c r="C667" s="209"/>
      <c r="D667" s="209"/>
      <c r="E667" s="209"/>
      <c r="J667" s="124"/>
    </row>
    <row r="668" spans="3:10" x14ac:dyDescent="0.2">
      <c r="C668" s="209"/>
      <c r="D668" s="209"/>
      <c r="E668" s="209"/>
      <c r="J668" s="124"/>
    </row>
    <row r="669" spans="3:10" x14ac:dyDescent="0.2">
      <c r="C669" s="209"/>
      <c r="D669" s="209"/>
      <c r="E669" s="209"/>
      <c r="J669" s="124"/>
    </row>
    <row r="670" spans="3:10" x14ac:dyDescent="0.2">
      <c r="C670" s="209"/>
      <c r="D670" s="209"/>
      <c r="E670" s="209"/>
      <c r="J670" s="124"/>
    </row>
    <row r="671" spans="3:10" x14ac:dyDescent="0.2">
      <c r="C671" s="209"/>
      <c r="D671" s="209"/>
      <c r="E671" s="209"/>
      <c r="J671" s="124"/>
    </row>
    <row r="672" spans="3:10" x14ac:dyDescent="0.2">
      <c r="C672" s="209"/>
      <c r="D672" s="209"/>
      <c r="E672" s="209"/>
      <c r="J672" s="124"/>
    </row>
    <row r="673" spans="3:10" x14ac:dyDescent="0.2">
      <c r="C673" s="209"/>
      <c r="D673" s="209"/>
      <c r="E673" s="209"/>
      <c r="J673" s="124"/>
    </row>
    <row r="674" spans="3:10" x14ac:dyDescent="0.2">
      <c r="C674" s="209"/>
      <c r="D674" s="209"/>
      <c r="E674" s="209"/>
      <c r="J674" s="124"/>
    </row>
    <row r="675" spans="3:10" x14ac:dyDescent="0.2">
      <c r="C675" s="209"/>
      <c r="D675" s="209"/>
      <c r="E675" s="209"/>
      <c r="J675" s="124"/>
    </row>
    <row r="676" spans="3:10" x14ac:dyDescent="0.2">
      <c r="C676" s="209"/>
      <c r="D676" s="209"/>
      <c r="E676" s="209"/>
      <c r="J676" s="124"/>
    </row>
    <row r="677" spans="3:10" x14ac:dyDescent="0.2">
      <c r="C677" s="209"/>
      <c r="D677" s="209"/>
      <c r="E677" s="209"/>
      <c r="J677" s="124"/>
    </row>
    <row r="678" spans="3:10" x14ac:dyDescent="0.2">
      <c r="C678" s="209"/>
      <c r="D678" s="209"/>
      <c r="E678" s="209"/>
      <c r="J678" s="124"/>
    </row>
    <row r="679" spans="3:10" x14ac:dyDescent="0.2">
      <c r="C679" s="209"/>
      <c r="D679" s="209"/>
      <c r="E679" s="209"/>
      <c r="J679" s="124"/>
    </row>
    <row r="680" spans="3:10" x14ac:dyDescent="0.2">
      <c r="C680" s="209"/>
      <c r="D680" s="209"/>
      <c r="E680" s="209"/>
      <c r="J680" s="124"/>
    </row>
    <row r="681" spans="3:10" x14ac:dyDescent="0.2">
      <c r="C681" s="209"/>
      <c r="D681" s="209"/>
      <c r="E681" s="209"/>
      <c r="J681" s="124"/>
    </row>
    <row r="682" spans="3:10" x14ac:dyDescent="0.2">
      <c r="C682" s="209"/>
      <c r="D682" s="209"/>
      <c r="E682" s="209"/>
      <c r="J682" s="124"/>
    </row>
    <row r="683" spans="3:10" x14ac:dyDescent="0.2">
      <c r="C683" s="209"/>
      <c r="D683" s="209"/>
      <c r="E683" s="209"/>
      <c r="J683" s="124"/>
    </row>
    <row r="684" spans="3:10" x14ac:dyDescent="0.2">
      <c r="C684" s="209"/>
      <c r="D684" s="209"/>
      <c r="E684" s="209"/>
      <c r="J684" s="124"/>
    </row>
    <row r="685" spans="3:10" x14ac:dyDescent="0.2">
      <c r="C685" s="209"/>
      <c r="D685" s="209"/>
      <c r="E685" s="209"/>
      <c r="J685" s="124"/>
    </row>
    <row r="686" spans="3:10" x14ac:dyDescent="0.2">
      <c r="C686" s="209"/>
      <c r="D686" s="209"/>
      <c r="E686" s="209"/>
      <c r="J686" s="124"/>
    </row>
    <row r="687" spans="3:10" x14ac:dyDescent="0.2">
      <c r="C687" s="209"/>
      <c r="D687" s="209"/>
      <c r="E687" s="209"/>
      <c r="J687" s="124"/>
    </row>
    <row r="688" spans="3:10" x14ac:dyDescent="0.2">
      <c r="C688" s="209"/>
      <c r="D688" s="209"/>
      <c r="E688" s="209"/>
      <c r="J688" s="124"/>
    </row>
    <row r="689" spans="3:10" x14ac:dyDescent="0.2">
      <c r="C689" s="209"/>
      <c r="D689" s="209"/>
      <c r="E689" s="209"/>
      <c r="J689" s="124"/>
    </row>
    <row r="690" spans="3:10" x14ac:dyDescent="0.2">
      <c r="C690" s="209"/>
      <c r="D690" s="209"/>
      <c r="E690" s="209"/>
      <c r="J690" s="124"/>
    </row>
    <row r="691" spans="3:10" x14ac:dyDescent="0.2">
      <c r="C691" s="209"/>
      <c r="D691" s="209"/>
      <c r="E691" s="209"/>
      <c r="J691" s="124"/>
    </row>
    <row r="692" spans="3:10" x14ac:dyDescent="0.2">
      <c r="C692" s="209"/>
      <c r="D692" s="209"/>
      <c r="E692" s="209"/>
      <c r="J692" s="124"/>
    </row>
    <row r="693" spans="3:10" x14ac:dyDescent="0.2">
      <c r="C693" s="209"/>
      <c r="D693" s="209"/>
      <c r="E693" s="209"/>
      <c r="J693" s="124"/>
    </row>
    <row r="694" spans="3:10" x14ac:dyDescent="0.2">
      <c r="C694" s="209"/>
      <c r="D694" s="209"/>
      <c r="E694" s="209"/>
      <c r="J694" s="124"/>
    </row>
    <row r="695" spans="3:10" x14ac:dyDescent="0.2">
      <c r="C695" s="209"/>
      <c r="D695" s="209"/>
      <c r="E695" s="209"/>
      <c r="J695" s="124"/>
    </row>
    <row r="696" spans="3:10" x14ac:dyDescent="0.2">
      <c r="C696" s="209"/>
      <c r="D696" s="209"/>
      <c r="E696" s="209"/>
      <c r="J696" s="124"/>
    </row>
    <row r="697" spans="3:10" x14ac:dyDescent="0.2">
      <c r="C697" s="209"/>
      <c r="D697" s="209"/>
      <c r="E697" s="209"/>
      <c r="J697" s="124"/>
    </row>
    <row r="698" spans="3:10" x14ac:dyDescent="0.2">
      <c r="C698" s="209"/>
      <c r="D698" s="209"/>
      <c r="E698" s="209"/>
      <c r="J698" s="124"/>
    </row>
    <row r="699" spans="3:10" x14ac:dyDescent="0.2">
      <c r="C699" s="209"/>
      <c r="D699" s="209"/>
      <c r="E699" s="209"/>
      <c r="J699" s="124"/>
    </row>
    <row r="700" spans="3:10" x14ac:dyDescent="0.2">
      <c r="C700" s="209"/>
      <c r="D700" s="209"/>
      <c r="E700" s="209"/>
      <c r="J700" s="124"/>
    </row>
    <row r="701" spans="3:10" x14ac:dyDescent="0.2">
      <c r="C701" s="209"/>
      <c r="D701" s="209"/>
      <c r="E701" s="209"/>
      <c r="J701" s="124"/>
    </row>
    <row r="702" spans="3:10" x14ac:dyDescent="0.2">
      <c r="C702" s="209"/>
      <c r="D702" s="209"/>
      <c r="E702" s="209"/>
      <c r="J702" s="124"/>
    </row>
    <row r="703" spans="3:10" x14ac:dyDescent="0.2">
      <c r="C703" s="209"/>
      <c r="D703" s="209"/>
      <c r="E703" s="209"/>
      <c r="J703" s="124"/>
    </row>
    <row r="704" spans="3:10" x14ac:dyDescent="0.2">
      <c r="C704" s="209"/>
      <c r="D704" s="209"/>
      <c r="E704" s="209"/>
      <c r="J704" s="124"/>
    </row>
    <row r="705" spans="3:10" x14ac:dyDescent="0.2">
      <c r="C705" s="209"/>
      <c r="D705" s="209"/>
      <c r="E705" s="209"/>
      <c r="J705" s="124"/>
    </row>
    <row r="706" spans="3:10" x14ac:dyDescent="0.2">
      <c r="C706" s="209"/>
      <c r="D706" s="209"/>
      <c r="E706" s="209"/>
      <c r="J706" s="124"/>
    </row>
    <row r="707" spans="3:10" x14ac:dyDescent="0.2">
      <c r="C707" s="209"/>
      <c r="D707" s="209"/>
      <c r="E707" s="209"/>
      <c r="J707" s="124"/>
    </row>
    <row r="708" spans="3:10" x14ac:dyDescent="0.2">
      <c r="C708" s="209"/>
      <c r="D708" s="209"/>
      <c r="E708" s="209"/>
      <c r="J708" s="124"/>
    </row>
    <row r="709" spans="3:10" x14ac:dyDescent="0.2">
      <c r="C709" s="209"/>
      <c r="D709" s="209"/>
      <c r="E709" s="209"/>
      <c r="J709" s="124"/>
    </row>
    <row r="710" spans="3:10" x14ac:dyDescent="0.2">
      <c r="C710" s="209"/>
      <c r="D710" s="209"/>
      <c r="E710" s="209"/>
      <c r="J710" s="124"/>
    </row>
    <row r="711" spans="3:10" x14ac:dyDescent="0.2">
      <c r="C711" s="209"/>
      <c r="D711" s="209"/>
      <c r="E711" s="209"/>
      <c r="J711" s="124"/>
    </row>
    <row r="712" spans="3:10" x14ac:dyDescent="0.2">
      <c r="C712" s="209"/>
      <c r="D712" s="209"/>
      <c r="E712" s="209"/>
      <c r="J712" s="124"/>
    </row>
    <row r="713" spans="3:10" x14ac:dyDescent="0.2">
      <c r="C713" s="209"/>
      <c r="D713" s="209"/>
      <c r="E713" s="209"/>
      <c r="J713" s="124"/>
    </row>
    <row r="714" spans="3:10" x14ac:dyDescent="0.2">
      <c r="C714" s="209"/>
      <c r="D714" s="209"/>
      <c r="E714" s="209"/>
      <c r="J714" s="124"/>
    </row>
    <row r="715" spans="3:10" x14ac:dyDescent="0.2">
      <c r="C715" s="209"/>
      <c r="D715" s="209"/>
      <c r="E715" s="209"/>
      <c r="J715" s="124"/>
    </row>
    <row r="716" spans="3:10" x14ac:dyDescent="0.2">
      <c r="C716" s="209"/>
      <c r="D716" s="209"/>
      <c r="E716" s="209"/>
      <c r="J716" s="124"/>
    </row>
    <row r="717" spans="3:10" x14ac:dyDescent="0.2">
      <c r="C717" s="209"/>
      <c r="D717" s="209"/>
      <c r="E717" s="209"/>
      <c r="J717" s="124"/>
    </row>
    <row r="718" spans="3:10" x14ac:dyDescent="0.2">
      <c r="C718" s="209"/>
      <c r="D718" s="209"/>
      <c r="E718" s="209"/>
      <c r="J718" s="124"/>
    </row>
    <row r="719" spans="3:10" x14ac:dyDescent="0.2">
      <c r="C719" s="209"/>
      <c r="D719" s="209"/>
      <c r="E719" s="209"/>
      <c r="J719" s="124"/>
    </row>
    <row r="720" spans="3:10" x14ac:dyDescent="0.2">
      <c r="C720" s="209"/>
      <c r="D720" s="209"/>
      <c r="E720" s="209"/>
      <c r="J720" s="124"/>
    </row>
    <row r="721" spans="3:10" x14ac:dyDescent="0.2">
      <c r="C721" s="209"/>
      <c r="D721" s="209"/>
      <c r="E721" s="209"/>
      <c r="J721" s="124"/>
    </row>
    <row r="722" spans="3:10" x14ac:dyDescent="0.2">
      <c r="C722" s="209"/>
      <c r="D722" s="209"/>
      <c r="E722" s="209"/>
      <c r="J722" s="124"/>
    </row>
    <row r="723" spans="3:10" x14ac:dyDescent="0.2">
      <c r="C723" s="209"/>
      <c r="D723" s="209"/>
      <c r="E723" s="209"/>
      <c r="J723" s="124"/>
    </row>
    <row r="724" spans="3:10" x14ac:dyDescent="0.2">
      <c r="C724" s="209"/>
      <c r="D724" s="209"/>
      <c r="E724" s="209"/>
      <c r="J724" s="124"/>
    </row>
    <row r="725" spans="3:10" x14ac:dyDescent="0.2">
      <c r="C725" s="209"/>
      <c r="D725" s="209"/>
      <c r="E725" s="209"/>
      <c r="J725" s="124"/>
    </row>
    <row r="726" spans="3:10" x14ac:dyDescent="0.2">
      <c r="C726" s="209"/>
      <c r="D726" s="209"/>
      <c r="E726" s="209"/>
      <c r="J726" s="124"/>
    </row>
    <row r="727" spans="3:10" x14ac:dyDescent="0.2">
      <c r="C727" s="209"/>
      <c r="D727" s="209"/>
      <c r="E727" s="209"/>
      <c r="J727" s="124"/>
    </row>
    <row r="728" spans="3:10" x14ac:dyDescent="0.2">
      <c r="C728" s="209"/>
      <c r="D728" s="209"/>
      <c r="E728" s="209"/>
      <c r="J728" s="124"/>
    </row>
    <row r="729" spans="3:10" x14ac:dyDescent="0.2">
      <c r="C729" s="209"/>
      <c r="D729" s="209"/>
      <c r="E729" s="209"/>
      <c r="J729" s="124"/>
    </row>
    <row r="730" spans="3:10" x14ac:dyDescent="0.2">
      <c r="C730" s="209"/>
      <c r="D730" s="209"/>
      <c r="E730" s="209"/>
      <c r="J730" s="124"/>
    </row>
    <row r="731" spans="3:10" x14ac:dyDescent="0.2">
      <c r="C731" s="209"/>
      <c r="D731" s="209"/>
      <c r="E731" s="209"/>
      <c r="J731" s="124"/>
    </row>
    <row r="732" spans="3:10" x14ac:dyDescent="0.2">
      <c r="C732" s="209"/>
      <c r="D732" s="209"/>
      <c r="E732" s="209"/>
      <c r="J732" s="124"/>
    </row>
    <row r="733" spans="3:10" x14ac:dyDescent="0.2">
      <c r="C733" s="209"/>
      <c r="D733" s="209"/>
      <c r="E733" s="209"/>
      <c r="J733" s="124"/>
    </row>
    <row r="734" spans="3:10" x14ac:dyDescent="0.2">
      <c r="C734" s="209"/>
      <c r="D734" s="209"/>
      <c r="E734" s="209"/>
      <c r="J734" s="124"/>
    </row>
    <row r="735" spans="3:10" x14ac:dyDescent="0.2">
      <c r="C735" s="209"/>
      <c r="D735" s="209"/>
      <c r="E735" s="209"/>
      <c r="J735" s="124"/>
    </row>
    <row r="736" spans="3:10" x14ac:dyDescent="0.2">
      <c r="C736" s="209"/>
      <c r="D736" s="209"/>
      <c r="E736" s="209"/>
      <c r="J736" s="124"/>
    </row>
    <row r="737" spans="3:10" x14ac:dyDescent="0.2">
      <c r="C737" s="209"/>
      <c r="D737" s="209"/>
      <c r="E737" s="209"/>
      <c r="J737" s="124"/>
    </row>
    <row r="738" spans="3:10" x14ac:dyDescent="0.2">
      <c r="C738" s="209"/>
      <c r="D738" s="209"/>
      <c r="E738" s="209"/>
      <c r="J738" s="124"/>
    </row>
    <row r="739" spans="3:10" x14ac:dyDescent="0.2">
      <c r="C739" s="209"/>
      <c r="D739" s="209"/>
      <c r="E739" s="209"/>
      <c r="J739" s="124"/>
    </row>
    <row r="740" spans="3:10" x14ac:dyDescent="0.2">
      <c r="C740" s="209"/>
      <c r="D740" s="209"/>
      <c r="E740" s="209"/>
      <c r="J740" s="124"/>
    </row>
    <row r="741" spans="3:10" x14ac:dyDescent="0.2">
      <c r="C741" s="209"/>
      <c r="D741" s="209"/>
      <c r="E741" s="209"/>
      <c r="J741" s="124"/>
    </row>
    <row r="742" spans="3:10" x14ac:dyDescent="0.2">
      <c r="C742" s="209"/>
      <c r="D742" s="209"/>
      <c r="E742" s="209"/>
      <c r="J742" s="124"/>
    </row>
    <row r="743" spans="3:10" x14ac:dyDescent="0.2">
      <c r="C743" s="209"/>
      <c r="D743" s="209"/>
      <c r="E743" s="209"/>
      <c r="J743" s="124"/>
    </row>
    <row r="744" spans="3:10" x14ac:dyDescent="0.2">
      <c r="C744" s="209"/>
      <c r="D744" s="209"/>
      <c r="E744" s="209"/>
      <c r="J744" s="124"/>
    </row>
    <row r="745" spans="3:10" x14ac:dyDescent="0.2">
      <c r="C745" s="209"/>
      <c r="D745" s="209"/>
      <c r="E745" s="209"/>
      <c r="J745" s="124"/>
    </row>
    <row r="746" spans="3:10" x14ac:dyDescent="0.2">
      <c r="C746" s="209"/>
      <c r="D746" s="209"/>
      <c r="E746" s="209"/>
      <c r="J746" s="124"/>
    </row>
    <row r="747" spans="3:10" x14ac:dyDescent="0.2">
      <c r="C747" s="209"/>
      <c r="D747" s="209"/>
      <c r="E747" s="209"/>
      <c r="J747" s="124"/>
    </row>
    <row r="748" spans="3:10" x14ac:dyDescent="0.2">
      <c r="C748" s="209"/>
      <c r="D748" s="209"/>
      <c r="E748" s="209"/>
      <c r="J748" s="124"/>
    </row>
    <row r="749" spans="3:10" x14ac:dyDescent="0.2">
      <c r="C749" s="209"/>
      <c r="D749" s="209"/>
      <c r="E749" s="209"/>
      <c r="J749" s="124"/>
    </row>
    <row r="750" spans="3:10" x14ac:dyDescent="0.2">
      <c r="C750" s="209"/>
      <c r="D750" s="209"/>
      <c r="E750" s="209"/>
      <c r="J750" s="124"/>
    </row>
    <row r="751" spans="3:10" x14ac:dyDescent="0.2">
      <c r="C751" s="209"/>
      <c r="D751" s="209"/>
      <c r="E751" s="209"/>
      <c r="J751" s="124"/>
    </row>
    <row r="752" spans="3:10" x14ac:dyDescent="0.2">
      <c r="C752" s="209"/>
      <c r="D752" s="209"/>
      <c r="E752" s="209"/>
      <c r="J752" s="124"/>
    </row>
    <row r="753" spans="3:10" x14ac:dyDescent="0.2">
      <c r="C753" s="209"/>
      <c r="D753" s="209"/>
      <c r="E753" s="209"/>
      <c r="J753" s="124"/>
    </row>
    <row r="754" spans="3:10" x14ac:dyDescent="0.2">
      <c r="C754" s="209"/>
      <c r="D754" s="209"/>
      <c r="E754" s="209"/>
      <c r="J754" s="124"/>
    </row>
    <row r="755" spans="3:10" x14ac:dyDescent="0.2">
      <c r="C755" s="209"/>
      <c r="D755" s="209"/>
      <c r="E755" s="209"/>
      <c r="J755" s="124"/>
    </row>
    <row r="756" spans="3:10" x14ac:dyDescent="0.2">
      <c r="C756" s="209"/>
      <c r="D756" s="209"/>
      <c r="E756" s="209"/>
      <c r="J756" s="124"/>
    </row>
    <row r="757" spans="3:10" x14ac:dyDescent="0.2">
      <c r="C757" s="209"/>
      <c r="D757" s="209"/>
      <c r="E757" s="209"/>
      <c r="J757" s="124"/>
    </row>
    <row r="758" spans="3:10" x14ac:dyDescent="0.2">
      <c r="C758" s="209"/>
      <c r="D758" s="209"/>
      <c r="E758" s="209"/>
      <c r="J758" s="124"/>
    </row>
    <row r="759" spans="3:10" x14ac:dyDescent="0.2">
      <c r="C759" s="209"/>
      <c r="D759" s="209"/>
      <c r="E759" s="209"/>
      <c r="J759" s="124"/>
    </row>
    <row r="760" spans="3:10" x14ac:dyDescent="0.2">
      <c r="C760" s="209"/>
      <c r="D760" s="209"/>
      <c r="E760" s="209"/>
      <c r="J760" s="124"/>
    </row>
    <row r="761" spans="3:10" x14ac:dyDescent="0.2">
      <c r="C761" s="209"/>
      <c r="D761" s="209"/>
      <c r="E761" s="209"/>
      <c r="J761" s="124"/>
    </row>
    <row r="762" spans="3:10" x14ac:dyDescent="0.2">
      <c r="C762" s="209"/>
      <c r="D762" s="209"/>
      <c r="E762" s="209"/>
      <c r="J762" s="124"/>
    </row>
    <row r="763" spans="3:10" x14ac:dyDescent="0.2">
      <c r="C763" s="209"/>
      <c r="D763" s="209"/>
      <c r="E763" s="209"/>
      <c r="J763" s="124"/>
    </row>
    <row r="764" spans="3:10" x14ac:dyDescent="0.2">
      <c r="C764" s="209"/>
      <c r="D764" s="209"/>
      <c r="E764" s="209"/>
      <c r="J764" s="124"/>
    </row>
    <row r="765" spans="3:10" x14ac:dyDescent="0.2">
      <c r="C765" s="209"/>
      <c r="D765" s="209"/>
      <c r="E765" s="209"/>
      <c r="J765" s="124"/>
    </row>
    <row r="766" spans="3:10" x14ac:dyDescent="0.2">
      <c r="C766" s="209"/>
      <c r="D766" s="209"/>
      <c r="E766" s="209"/>
      <c r="J766" s="124"/>
    </row>
    <row r="767" spans="3:10" x14ac:dyDescent="0.2">
      <c r="C767" s="209"/>
      <c r="D767" s="209"/>
      <c r="E767" s="209"/>
      <c r="J767" s="124"/>
    </row>
    <row r="768" spans="3:10" x14ac:dyDescent="0.2">
      <c r="C768" s="209"/>
      <c r="D768" s="209"/>
      <c r="E768" s="209"/>
      <c r="J768" s="124"/>
    </row>
    <row r="769" spans="3:10" x14ac:dyDescent="0.2">
      <c r="C769" s="209"/>
      <c r="D769" s="209"/>
      <c r="E769" s="209"/>
      <c r="J769" s="124"/>
    </row>
    <row r="770" spans="3:10" x14ac:dyDescent="0.2">
      <c r="C770" s="209"/>
      <c r="D770" s="209"/>
      <c r="E770" s="209"/>
      <c r="J770" s="124"/>
    </row>
    <row r="771" spans="3:10" x14ac:dyDescent="0.2">
      <c r="C771" s="209"/>
      <c r="D771" s="209"/>
      <c r="E771" s="209"/>
      <c r="J771" s="124"/>
    </row>
    <row r="772" spans="3:10" x14ac:dyDescent="0.2">
      <c r="C772" s="209"/>
      <c r="D772" s="209"/>
      <c r="E772" s="209"/>
      <c r="J772" s="124"/>
    </row>
    <row r="773" spans="3:10" x14ac:dyDescent="0.2">
      <c r="C773" s="209"/>
      <c r="D773" s="209"/>
      <c r="E773" s="209"/>
      <c r="J773" s="124"/>
    </row>
    <row r="774" spans="3:10" x14ac:dyDescent="0.2">
      <c r="C774" s="209"/>
      <c r="D774" s="209"/>
      <c r="E774" s="209"/>
      <c r="J774" s="124"/>
    </row>
    <row r="775" spans="3:10" x14ac:dyDescent="0.2">
      <c r="C775" s="209"/>
      <c r="D775" s="209"/>
      <c r="E775" s="209"/>
      <c r="J775" s="124"/>
    </row>
    <row r="776" spans="3:10" x14ac:dyDescent="0.2">
      <c r="C776" s="209"/>
      <c r="D776" s="209"/>
      <c r="E776" s="209"/>
      <c r="J776" s="124"/>
    </row>
    <row r="777" spans="3:10" x14ac:dyDescent="0.2">
      <c r="C777" s="209"/>
      <c r="D777" s="209"/>
      <c r="E777" s="209"/>
      <c r="J777" s="124"/>
    </row>
    <row r="778" spans="3:10" x14ac:dyDescent="0.2">
      <c r="C778" s="209"/>
      <c r="D778" s="209"/>
      <c r="E778" s="209"/>
      <c r="J778" s="124"/>
    </row>
    <row r="779" spans="3:10" x14ac:dyDescent="0.2">
      <c r="C779" s="209"/>
      <c r="D779" s="209"/>
      <c r="E779" s="209"/>
      <c r="J779" s="124"/>
    </row>
    <row r="780" spans="3:10" x14ac:dyDescent="0.2">
      <c r="C780" s="209"/>
      <c r="D780" s="209"/>
      <c r="E780" s="209"/>
      <c r="J780" s="124"/>
    </row>
    <row r="781" spans="3:10" x14ac:dyDescent="0.2">
      <c r="C781" s="209"/>
      <c r="D781" s="209"/>
      <c r="E781" s="209"/>
      <c r="J781" s="124"/>
    </row>
    <row r="782" spans="3:10" x14ac:dyDescent="0.2">
      <c r="C782" s="209"/>
      <c r="D782" s="209"/>
      <c r="E782" s="209"/>
      <c r="J782" s="124"/>
    </row>
    <row r="783" spans="3:10" x14ac:dyDescent="0.2">
      <c r="C783" s="209"/>
      <c r="D783" s="209"/>
      <c r="E783" s="209"/>
      <c r="J783" s="124"/>
    </row>
    <row r="784" spans="3:10" x14ac:dyDescent="0.2">
      <c r="C784" s="209"/>
      <c r="D784" s="209"/>
      <c r="E784" s="209"/>
      <c r="J784" s="124"/>
    </row>
    <row r="785" spans="3:10" x14ac:dyDescent="0.2">
      <c r="C785" s="209"/>
      <c r="D785" s="209"/>
      <c r="E785" s="209"/>
      <c r="J785" s="124"/>
    </row>
    <row r="786" spans="3:10" x14ac:dyDescent="0.2">
      <c r="C786" s="209"/>
      <c r="D786" s="209"/>
      <c r="E786" s="209"/>
      <c r="J786" s="124"/>
    </row>
    <row r="787" spans="3:10" x14ac:dyDescent="0.2">
      <c r="C787" s="209"/>
      <c r="D787" s="209"/>
      <c r="E787" s="209"/>
      <c r="J787" s="124"/>
    </row>
    <row r="788" spans="3:10" x14ac:dyDescent="0.2">
      <c r="C788" s="209"/>
      <c r="D788" s="209"/>
      <c r="E788" s="209"/>
      <c r="J788" s="124"/>
    </row>
    <row r="789" spans="3:10" x14ac:dyDescent="0.2">
      <c r="C789" s="209"/>
      <c r="D789" s="209"/>
      <c r="E789" s="209"/>
      <c r="J789" s="124"/>
    </row>
    <row r="790" spans="3:10" x14ac:dyDescent="0.2">
      <c r="C790" s="209"/>
      <c r="D790" s="209"/>
      <c r="E790" s="209"/>
      <c r="J790" s="124"/>
    </row>
    <row r="791" spans="3:10" x14ac:dyDescent="0.2">
      <c r="C791" s="209"/>
      <c r="D791" s="209"/>
      <c r="E791" s="209"/>
      <c r="J791" s="124"/>
    </row>
    <row r="792" spans="3:10" x14ac:dyDescent="0.2">
      <c r="C792" s="209"/>
      <c r="D792" s="209"/>
      <c r="E792" s="209"/>
      <c r="J792" s="124"/>
    </row>
    <row r="793" spans="3:10" x14ac:dyDescent="0.2">
      <c r="C793" s="209"/>
      <c r="D793" s="209"/>
      <c r="E793" s="209"/>
      <c r="J793" s="124"/>
    </row>
    <row r="794" spans="3:10" x14ac:dyDescent="0.2">
      <c r="C794" s="209"/>
      <c r="D794" s="209"/>
      <c r="E794" s="209"/>
      <c r="J794" s="124"/>
    </row>
    <row r="795" spans="3:10" x14ac:dyDescent="0.2">
      <c r="C795" s="209"/>
      <c r="D795" s="209"/>
      <c r="E795" s="209"/>
      <c r="J795" s="124"/>
    </row>
    <row r="796" spans="3:10" x14ac:dyDescent="0.2">
      <c r="C796" s="209"/>
      <c r="D796" s="209"/>
      <c r="E796" s="209"/>
      <c r="J796" s="124"/>
    </row>
    <row r="797" spans="3:10" x14ac:dyDescent="0.2">
      <c r="C797" s="209"/>
      <c r="D797" s="209"/>
      <c r="E797" s="209"/>
      <c r="J797" s="124"/>
    </row>
    <row r="798" spans="3:10" x14ac:dyDescent="0.2">
      <c r="C798" s="209"/>
      <c r="D798" s="209"/>
      <c r="E798" s="209"/>
      <c r="J798" s="124"/>
    </row>
    <row r="799" spans="3:10" x14ac:dyDescent="0.2">
      <c r="C799" s="209"/>
      <c r="D799" s="209"/>
      <c r="E799" s="209"/>
      <c r="J799" s="124"/>
    </row>
    <row r="800" spans="3:10" x14ac:dyDescent="0.2">
      <c r="C800" s="209"/>
      <c r="D800" s="209"/>
      <c r="E800" s="209"/>
      <c r="J800" s="124"/>
    </row>
    <row r="801" spans="3:10" x14ac:dyDescent="0.2">
      <c r="C801" s="209"/>
      <c r="D801" s="209"/>
      <c r="E801" s="209"/>
      <c r="J801" s="124"/>
    </row>
    <row r="802" spans="3:10" x14ac:dyDescent="0.2">
      <c r="C802" s="209"/>
      <c r="D802" s="209"/>
      <c r="E802" s="209"/>
      <c r="J802" s="124"/>
    </row>
    <row r="803" spans="3:10" x14ac:dyDescent="0.2">
      <c r="C803" s="209"/>
      <c r="D803" s="209"/>
      <c r="E803" s="209"/>
      <c r="J803" s="124"/>
    </row>
    <row r="804" spans="3:10" x14ac:dyDescent="0.2">
      <c r="C804" s="209"/>
      <c r="D804" s="209"/>
      <c r="E804" s="209"/>
      <c r="J804" s="124"/>
    </row>
    <row r="805" spans="3:10" x14ac:dyDescent="0.2">
      <c r="C805" s="209"/>
      <c r="D805" s="209"/>
      <c r="E805" s="209"/>
      <c r="J805" s="124"/>
    </row>
    <row r="806" spans="3:10" x14ac:dyDescent="0.2">
      <c r="C806" s="209"/>
      <c r="D806" s="209"/>
      <c r="E806" s="209"/>
      <c r="J806" s="124"/>
    </row>
    <row r="807" spans="3:10" x14ac:dyDescent="0.2">
      <c r="C807" s="209"/>
      <c r="D807" s="209"/>
      <c r="E807" s="209"/>
      <c r="J807" s="124"/>
    </row>
    <row r="808" spans="3:10" x14ac:dyDescent="0.2">
      <c r="C808" s="209"/>
      <c r="D808" s="209"/>
      <c r="E808" s="209"/>
      <c r="J808" s="124"/>
    </row>
    <row r="809" spans="3:10" x14ac:dyDescent="0.2">
      <c r="C809" s="209"/>
      <c r="D809" s="209"/>
      <c r="E809" s="209"/>
      <c r="J809" s="124"/>
    </row>
    <row r="810" spans="3:10" x14ac:dyDescent="0.2">
      <c r="C810" s="209"/>
      <c r="D810" s="209"/>
      <c r="E810" s="209"/>
      <c r="J810" s="124"/>
    </row>
    <row r="811" spans="3:10" x14ac:dyDescent="0.2">
      <c r="C811" s="209"/>
      <c r="D811" s="209"/>
      <c r="E811" s="209"/>
      <c r="J811" s="124"/>
    </row>
    <row r="812" spans="3:10" x14ac:dyDescent="0.2">
      <c r="C812" s="209"/>
      <c r="D812" s="209"/>
      <c r="E812" s="209"/>
      <c r="J812" s="124"/>
    </row>
    <row r="813" spans="3:10" x14ac:dyDescent="0.2">
      <c r="C813" s="209"/>
      <c r="D813" s="209"/>
      <c r="E813" s="209"/>
      <c r="J813" s="124"/>
    </row>
    <row r="814" spans="3:10" x14ac:dyDescent="0.2">
      <c r="C814" s="209"/>
      <c r="D814" s="209"/>
      <c r="E814" s="209"/>
      <c r="J814" s="124"/>
    </row>
    <row r="815" spans="3:10" x14ac:dyDescent="0.2">
      <c r="C815" s="209"/>
      <c r="D815" s="209"/>
      <c r="E815" s="209"/>
      <c r="J815" s="124"/>
    </row>
    <row r="816" spans="3:10" x14ac:dyDescent="0.2">
      <c r="C816" s="209"/>
      <c r="D816" s="209"/>
      <c r="E816" s="209"/>
      <c r="J816" s="124"/>
    </row>
    <row r="817" spans="3:10" x14ac:dyDescent="0.2">
      <c r="C817" s="209"/>
      <c r="D817" s="209"/>
      <c r="E817" s="209"/>
      <c r="J817" s="124"/>
    </row>
    <row r="818" spans="3:10" x14ac:dyDescent="0.2">
      <c r="C818" s="209"/>
      <c r="D818" s="209"/>
      <c r="E818" s="209"/>
      <c r="J818" s="124"/>
    </row>
    <row r="819" spans="3:10" x14ac:dyDescent="0.2">
      <c r="C819" s="209"/>
      <c r="D819" s="209"/>
      <c r="E819" s="209"/>
      <c r="J819" s="124"/>
    </row>
    <row r="820" spans="3:10" x14ac:dyDescent="0.2">
      <c r="C820" s="209"/>
      <c r="D820" s="209"/>
      <c r="E820" s="209"/>
      <c r="J820" s="124"/>
    </row>
    <row r="821" spans="3:10" x14ac:dyDescent="0.2">
      <c r="C821" s="209"/>
      <c r="D821" s="209"/>
      <c r="E821" s="209"/>
      <c r="J821" s="124"/>
    </row>
    <row r="822" spans="3:10" x14ac:dyDescent="0.2">
      <c r="C822" s="209"/>
      <c r="D822" s="209"/>
      <c r="E822" s="209"/>
      <c r="J822" s="124"/>
    </row>
    <row r="823" spans="3:10" x14ac:dyDescent="0.2">
      <c r="C823" s="209"/>
      <c r="D823" s="209"/>
      <c r="E823" s="209"/>
      <c r="J823" s="124"/>
    </row>
    <row r="824" spans="3:10" x14ac:dyDescent="0.2">
      <c r="C824" s="209"/>
      <c r="D824" s="209"/>
      <c r="E824" s="209"/>
      <c r="J824" s="124"/>
    </row>
    <row r="825" spans="3:10" x14ac:dyDescent="0.2">
      <c r="C825" s="209"/>
      <c r="D825" s="209"/>
      <c r="E825" s="209"/>
      <c r="J825" s="124"/>
    </row>
    <row r="826" spans="3:10" x14ac:dyDescent="0.2">
      <c r="C826" s="209"/>
      <c r="D826" s="209"/>
      <c r="E826" s="209"/>
      <c r="J826" s="124"/>
    </row>
    <row r="827" spans="3:10" x14ac:dyDescent="0.2">
      <c r="C827" s="209"/>
      <c r="D827" s="209"/>
      <c r="E827" s="209"/>
      <c r="J827" s="124"/>
    </row>
    <row r="828" spans="3:10" x14ac:dyDescent="0.2">
      <c r="C828" s="209"/>
      <c r="D828" s="209"/>
      <c r="E828" s="209"/>
      <c r="J828" s="124"/>
    </row>
    <row r="829" spans="3:10" x14ac:dyDescent="0.2">
      <c r="C829" s="209"/>
      <c r="D829" s="209"/>
      <c r="E829" s="209"/>
      <c r="J829" s="124"/>
    </row>
    <row r="830" spans="3:10" x14ac:dyDescent="0.2">
      <c r="C830" s="209"/>
      <c r="D830" s="209"/>
      <c r="E830" s="209"/>
      <c r="J830" s="124"/>
    </row>
    <row r="831" spans="3:10" x14ac:dyDescent="0.2">
      <c r="C831" s="209"/>
      <c r="D831" s="209"/>
      <c r="E831" s="209"/>
      <c r="J831" s="124"/>
    </row>
    <row r="832" spans="3:10" x14ac:dyDescent="0.2">
      <c r="C832" s="209"/>
      <c r="D832" s="209"/>
      <c r="E832" s="209"/>
      <c r="J832" s="124"/>
    </row>
    <row r="833" spans="3:10" x14ac:dyDescent="0.2">
      <c r="C833" s="209"/>
      <c r="D833" s="209"/>
      <c r="E833" s="209"/>
      <c r="J833" s="124"/>
    </row>
    <row r="834" spans="3:10" x14ac:dyDescent="0.2">
      <c r="C834" s="209"/>
      <c r="D834" s="209"/>
      <c r="E834" s="209"/>
      <c r="J834" s="124"/>
    </row>
    <row r="835" spans="3:10" x14ac:dyDescent="0.2">
      <c r="C835" s="209"/>
      <c r="D835" s="209"/>
      <c r="E835" s="209"/>
      <c r="J835" s="124"/>
    </row>
    <row r="836" spans="3:10" x14ac:dyDescent="0.2">
      <c r="C836" s="209"/>
      <c r="D836" s="209"/>
      <c r="E836" s="209"/>
      <c r="J836" s="124"/>
    </row>
    <row r="837" spans="3:10" x14ac:dyDescent="0.2">
      <c r="C837" s="209"/>
      <c r="D837" s="209"/>
      <c r="E837" s="209"/>
      <c r="J837" s="124"/>
    </row>
    <row r="838" spans="3:10" x14ac:dyDescent="0.2">
      <c r="C838" s="209"/>
      <c r="D838" s="209"/>
      <c r="E838" s="209"/>
      <c r="J838" s="124"/>
    </row>
    <row r="839" spans="3:10" x14ac:dyDescent="0.2">
      <c r="C839" s="209"/>
      <c r="D839" s="209"/>
      <c r="E839" s="209"/>
      <c r="J839" s="124"/>
    </row>
    <row r="840" spans="3:10" x14ac:dyDescent="0.2">
      <c r="C840" s="209"/>
      <c r="D840" s="209"/>
      <c r="E840" s="209"/>
      <c r="J840" s="124"/>
    </row>
    <row r="841" spans="3:10" x14ac:dyDescent="0.2">
      <c r="C841" s="209"/>
      <c r="D841" s="209"/>
      <c r="E841" s="209"/>
      <c r="J841" s="124"/>
    </row>
    <row r="842" spans="3:10" x14ac:dyDescent="0.2">
      <c r="C842" s="209"/>
      <c r="D842" s="209"/>
      <c r="E842" s="209"/>
      <c r="J842" s="124"/>
    </row>
    <row r="843" spans="3:10" x14ac:dyDescent="0.2">
      <c r="C843" s="209"/>
      <c r="D843" s="209"/>
      <c r="E843" s="209"/>
      <c r="J843" s="124"/>
    </row>
    <row r="844" spans="3:10" x14ac:dyDescent="0.2">
      <c r="C844" s="209"/>
      <c r="D844" s="209"/>
      <c r="E844" s="209"/>
      <c r="J844" s="124"/>
    </row>
    <row r="845" spans="3:10" x14ac:dyDescent="0.2">
      <c r="C845" s="209"/>
      <c r="D845" s="209"/>
      <c r="E845" s="209"/>
      <c r="J845" s="124"/>
    </row>
    <row r="846" spans="3:10" x14ac:dyDescent="0.2">
      <c r="C846" s="209"/>
      <c r="D846" s="209"/>
      <c r="E846" s="209"/>
      <c r="J846" s="124"/>
    </row>
    <row r="847" spans="3:10" x14ac:dyDescent="0.2">
      <c r="C847" s="209"/>
      <c r="D847" s="209"/>
      <c r="E847" s="209"/>
      <c r="J847" s="124"/>
    </row>
    <row r="848" spans="3:10" x14ac:dyDescent="0.2">
      <c r="C848" s="209"/>
      <c r="D848" s="209"/>
      <c r="E848" s="209"/>
      <c r="J848" s="124"/>
    </row>
    <row r="849" spans="3:10" x14ac:dyDescent="0.2">
      <c r="C849" s="209"/>
      <c r="D849" s="209"/>
      <c r="E849" s="209"/>
      <c r="J849" s="124"/>
    </row>
    <row r="850" spans="3:10" x14ac:dyDescent="0.2">
      <c r="C850" s="209"/>
      <c r="D850" s="209"/>
      <c r="E850" s="209"/>
      <c r="J850" s="124"/>
    </row>
    <row r="851" spans="3:10" x14ac:dyDescent="0.2">
      <c r="C851" s="209"/>
      <c r="D851" s="209"/>
      <c r="E851" s="209"/>
      <c r="J851" s="124"/>
    </row>
    <row r="852" spans="3:10" x14ac:dyDescent="0.2">
      <c r="C852" s="209"/>
      <c r="D852" s="209"/>
      <c r="E852" s="209"/>
      <c r="J852" s="124"/>
    </row>
    <row r="853" spans="3:10" x14ac:dyDescent="0.2">
      <c r="C853" s="209"/>
      <c r="D853" s="209"/>
      <c r="E853" s="209"/>
      <c r="J853" s="124"/>
    </row>
    <row r="854" spans="3:10" x14ac:dyDescent="0.2">
      <c r="C854" s="209"/>
      <c r="D854" s="209"/>
      <c r="E854" s="209"/>
      <c r="J854" s="124"/>
    </row>
    <row r="855" spans="3:10" x14ac:dyDescent="0.2">
      <c r="C855" s="209"/>
      <c r="D855" s="209"/>
      <c r="E855" s="209"/>
      <c r="J855" s="124"/>
    </row>
    <row r="856" spans="3:10" x14ac:dyDescent="0.2">
      <c r="C856" s="209"/>
      <c r="D856" s="209"/>
      <c r="E856" s="209"/>
      <c r="J856" s="124"/>
    </row>
    <row r="857" spans="3:10" x14ac:dyDescent="0.2">
      <c r="C857" s="209"/>
      <c r="D857" s="209"/>
      <c r="E857" s="209"/>
      <c r="J857" s="124"/>
    </row>
    <row r="858" spans="3:10" x14ac:dyDescent="0.2">
      <c r="C858" s="209"/>
      <c r="D858" s="209"/>
      <c r="E858" s="209"/>
      <c r="J858" s="124"/>
    </row>
    <row r="859" spans="3:10" x14ac:dyDescent="0.2">
      <c r="C859" s="209"/>
      <c r="D859" s="209"/>
      <c r="E859" s="209"/>
      <c r="J859" s="124"/>
    </row>
    <row r="860" spans="3:10" x14ac:dyDescent="0.2">
      <c r="C860" s="209"/>
      <c r="D860" s="209"/>
      <c r="E860" s="209"/>
      <c r="J860" s="124"/>
    </row>
    <row r="861" spans="3:10" x14ac:dyDescent="0.2">
      <c r="C861" s="209"/>
      <c r="D861" s="209"/>
      <c r="E861" s="209"/>
      <c r="J861" s="124"/>
    </row>
    <row r="862" spans="3:10" x14ac:dyDescent="0.2">
      <c r="C862" s="209"/>
      <c r="D862" s="209"/>
      <c r="E862" s="209"/>
      <c r="J862" s="124"/>
    </row>
    <row r="863" spans="3:10" x14ac:dyDescent="0.2">
      <c r="C863" s="209"/>
      <c r="D863" s="209"/>
      <c r="E863" s="209"/>
      <c r="J863" s="124"/>
    </row>
    <row r="864" spans="3:10" x14ac:dyDescent="0.2">
      <c r="C864" s="209"/>
      <c r="D864" s="209"/>
      <c r="E864" s="209"/>
      <c r="J864" s="124"/>
    </row>
    <row r="865" spans="3:10" x14ac:dyDescent="0.2">
      <c r="C865" s="209"/>
      <c r="D865" s="209"/>
      <c r="E865" s="209"/>
      <c r="J865" s="124"/>
    </row>
    <row r="866" spans="3:10" x14ac:dyDescent="0.2">
      <c r="C866" s="209"/>
      <c r="D866" s="209"/>
      <c r="E866" s="209"/>
      <c r="J866" s="124"/>
    </row>
    <row r="867" spans="3:10" x14ac:dyDescent="0.2">
      <c r="C867" s="209"/>
      <c r="D867" s="209"/>
      <c r="E867" s="209"/>
      <c r="J867" s="124"/>
    </row>
    <row r="868" spans="3:10" x14ac:dyDescent="0.2">
      <c r="C868" s="209"/>
      <c r="D868" s="209"/>
      <c r="E868" s="209"/>
      <c r="J868" s="124"/>
    </row>
    <row r="869" spans="3:10" x14ac:dyDescent="0.2">
      <c r="C869" s="209"/>
      <c r="D869" s="209"/>
      <c r="E869" s="209"/>
      <c r="J869" s="124"/>
    </row>
    <row r="870" spans="3:10" x14ac:dyDescent="0.2">
      <c r="C870" s="209"/>
      <c r="D870" s="209"/>
      <c r="E870" s="209"/>
      <c r="J870" s="124"/>
    </row>
    <row r="871" spans="3:10" x14ac:dyDescent="0.2">
      <c r="C871" s="209"/>
      <c r="D871" s="209"/>
      <c r="E871" s="209"/>
      <c r="J871" s="124"/>
    </row>
    <row r="872" spans="3:10" x14ac:dyDescent="0.2">
      <c r="C872" s="209"/>
      <c r="D872" s="209"/>
      <c r="E872" s="209"/>
      <c r="J872" s="124"/>
    </row>
    <row r="873" spans="3:10" x14ac:dyDescent="0.2">
      <c r="C873" s="209"/>
      <c r="D873" s="209"/>
      <c r="E873" s="209"/>
      <c r="J873" s="124"/>
    </row>
    <row r="874" spans="3:10" x14ac:dyDescent="0.2">
      <c r="C874" s="209"/>
      <c r="D874" s="209"/>
      <c r="E874" s="209"/>
      <c r="J874" s="124"/>
    </row>
    <row r="875" spans="3:10" x14ac:dyDescent="0.2">
      <c r="C875" s="209"/>
      <c r="D875" s="209"/>
      <c r="E875" s="209"/>
      <c r="J875" s="124"/>
    </row>
    <row r="876" spans="3:10" x14ac:dyDescent="0.2">
      <c r="C876" s="209"/>
      <c r="D876" s="209"/>
      <c r="E876" s="209"/>
      <c r="J876" s="124"/>
    </row>
    <row r="877" spans="3:10" x14ac:dyDescent="0.2">
      <c r="C877" s="209"/>
      <c r="D877" s="209"/>
      <c r="E877" s="209"/>
      <c r="J877" s="124"/>
    </row>
    <row r="878" spans="3:10" x14ac:dyDescent="0.2">
      <c r="C878" s="209"/>
      <c r="D878" s="209"/>
      <c r="E878" s="209"/>
      <c r="J878" s="124"/>
    </row>
    <row r="879" spans="3:10" x14ac:dyDescent="0.2">
      <c r="C879" s="209"/>
      <c r="D879" s="209"/>
      <c r="E879" s="209"/>
      <c r="J879" s="124"/>
    </row>
    <row r="880" spans="3:10" x14ac:dyDescent="0.2">
      <c r="C880" s="209"/>
      <c r="D880" s="209"/>
      <c r="E880" s="209"/>
      <c r="J880" s="124"/>
    </row>
    <row r="881" spans="3:10" x14ac:dyDescent="0.2">
      <c r="C881" s="209"/>
      <c r="D881" s="209"/>
      <c r="E881" s="209"/>
      <c r="J881" s="124"/>
    </row>
    <row r="882" spans="3:10" x14ac:dyDescent="0.2">
      <c r="C882" s="209"/>
      <c r="D882" s="209"/>
      <c r="E882" s="209"/>
      <c r="J882" s="124"/>
    </row>
    <row r="883" spans="3:10" x14ac:dyDescent="0.2">
      <c r="C883" s="209"/>
      <c r="D883" s="209"/>
      <c r="E883" s="209"/>
      <c r="J883" s="124"/>
    </row>
    <row r="884" spans="3:10" x14ac:dyDescent="0.2">
      <c r="C884" s="209"/>
      <c r="D884" s="209"/>
      <c r="E884" s="209"/>
      <c r="J884" s="124"/>
    </row>
    <row r="885" spans="3:10" x14ac:dyDescent="0.2">
      <c r="C885" s="209"/>
      <c r="D885" s="209"/>
      <c r="E885" s="209"/>
      <c r="J885" s="124"/>
    </row>
    <row r="886" spans="3:10" x14ac:dyDescent="0.2">
      <c r="C886" s="209"/>
      <c r="D886" s="209"/>
      <c r="E886" s="209"/>
      <c r="J886" s="124"/>
    </row>
    <row r="887" spans="3:10" x14ac:dyDescent="0.2">
      <c r="C887" s="209"/>
      <c r="D887" s="209"/>
      <c r="E887" s="209"/>
      <c r="J887" s="124"/>
    </row>
    <row r="888" spans="3:10" x14ac:dyDescent="0.2">
      <c r="C888" s="209"/>
      <c r="D888" s="209"/>
      <c r="E888" s="209"/>
      <c r="J888" s="124"/>
    </row>
    <row r="889" spans="3:10" x14ac:dyDescent="0.2">
      <c r="C889" s="209"/>
      <c r="D889" s="209"/>
      <c r="E889" s="209"/>
      <c r="J889" s="124"/>
    </row>
    <row r="890" spans="3:10" x14ac:dyDescent="0.2">
      <c r="C890" s="209"/>
      <c r="D890" s="209"/>
      <c r="E890" s="209"/>
      <c r="J890" s="124"/>
    </row>
    <row r="891" spans="3:10" x14ac:dyDescent="0.2">
      <c r="C891" s="209"/>
      <c r="D891" s="209"/>
      <c r="E891" s="209"/>
      <c r="J891" s="124"/>
    </row>
    <row r="892" spans="3:10" x14ac:dyDescent="0.2">
      <c r="C892" s="209"/>
      <c r="D892" s="209"/>
      <c r="E892" s="209"/>
      <c r="J892" s="124"/>
    </row>
    <row r="893" spans="3:10" x14ac:dyDescent="0.2">
      <c r="C893" s="209"/>
      <c r="D893" s="209"/>
      <c r="E893" s="209"/>
      <c r="J893" s="124"/>
    </row>
    <row r="894" spans="3:10" x14ac:dyDescent="0.2">
      <c r="C894" s="209"/>
      <c r="D894" s="209"/>
      <c r="E894" s="209"/>
      <c r="J894" s="124"/>
    </row>
    <row r="895" spans="3:10" x14ac:dyDescent="0.2">
      <c r="C895" s="209"/>
      <c r="D895" s="209"/>
      <c r="E895" s="209"/>
      <c r="J895" s="124"/>
    </row>
    <row r="896" spans="3:10" x14ac:dyDescent="0.2">
      <c r="C896" s="209"/>
      <c r="D896" s="209"/>
      <c r="E896" s="209"/>
      <c r="J896" s="124"/>
    </row>
    <row r="897" spans="3:10" x14ac:dyDescent="0.2">
      <c r="C897" s="209"/>
      <c r="D897" s="209"/>
      <c r="E897" s="209"/>
      <c r="J897" s="124"/>
    </row>
    <row r="898" spans="3:10" x14ac:dyDescent="0.2">
      <c r="C898" s="209"/>
      <c r="D898" s="209"/>
      <c r="E898" s="209"/>
      <c r="J898" s="124"/>
    </row>
    <row r="899" spans="3:10" x14ac:dyDescent="0.2">
      <c r="C899" s="209"/>
      <c r="D899" s="209"/>
      <c r="E899" s="209"/>
      <c r="J899" s="124"/>
    </row>
    <row r="900" spans="3:10" x14ac:dyDescent="0.2">
      <c r="C900" s="209"/>
      <c r="D900" s="209"/>
      <c r="E900" s="209"/>
      <c r="J900" s="124"/>
    </row>
    <row r="901" spans="3:10" x14ac:dyDescent="0.2">
      <c r="C901" s="209"/>
      <c r="D901" s="209"/>
      <c r="E901" s="209"/>
      <c r="J901" s="124"/>
    </row>
    <row r="902" spans="3:10" x14ac:dyDescent="0.2">
      <c r="C902" s="209"/>
      <c r="D902" s="209"/>
      <c r="E902" s="209"/>
      <c r="J902" s="124"/>
    </row>
    <row r="903" spans="3:10" x14ac:dyDescent="0.2">
      <c r="C903" s="209"/>
      <c r="D903" s="209"/>
      <c r="E903" s="209"/>
      <c r="J903" s="124"/>
    </row>
    <row r="904" spans="3:10" x14ac:dyDescent="0.2">
      <c r="C904" s="209"/>
      <c r="D904" s="209"/>
      <c r="E904" s="209"/>
      <c r="J904" s="124"/>
    </row>
    <row r="905" spans="3:10" x14ac:dyDescent="0.2">
      <c r="C905" s="209"/>
      <c r="D905" s="209"/>
      <c r="E905" s="209"/>
      <c r="J905" s="124"/>
    </row>
    <row r="906" spans="3:10" x14ac:dyDescent="0.2">
      <c r="C906" s="209"/>
      <c r="D906" s="209"/>
      <c r="E906" s="209"/>
      <c r="J906" s="124"/>
    </row>
    <row r="907" spans="3:10" x14ac:dyDescent="0.2">
      <c r="C907" s="209"/>
      <c r="D907" s="209"/>
      <c r="E907" s="209"/>
      <c r="J907" s="124"/>
    </row>
    <row r="908" spans="3:10" x14ac:dyDescent="0.2">
      <c r="C908" s="209"/>
      <c r="D908" s="209"/>
      <c r="E908" s="209"/>
      <c r="J908" s="124"/>
    </row>
    <row r="909" spans="3:10" x14ac:dyDescent="0.2">
      <c r="C909" s="209"/>
      <c r="D909" s="209"/>
      <c r="E909" s="209"/>
      <c r="J909" s="124"/>
    </row>
    <row r="910" spans="3:10" x14ac:dyDescent="0.2">
      <c r="C910" s="209"/>
      <c r="D910" s="209"/>
      <c r="E910" s="209"/>
      <c r="J910" s="124"/>
    </row>
    <row r="911" spans="3:10" x14ac:dyDescent="0.2">
      <c r="C911" s="209"/>
      <c r="D911" s="209"/>
      <c r="E911" s="209"/>
      <c r="J911" s="124"/>
    </row>
    <row r="912" spans="3:10" x14ac:dyDescent="0.2">
      <c r="C912" s="209"/>
      <c r="D912" s="209"/>
      <c r="E912" s="209"/>
      <c r="J912" s="124"/>
    </row>
    <row r="913" spans="3:10" x14ac:dyDescent="0.2">
      <c r="C913" s="209"/>
      <c r="D913" s="209"/>
      <c r="E913" s="209"/>
      <c r="J913" s="124"/>
    </row>
    <row r="914" spans="3:10" x14ac:dyDescent="0.2">
      <c r="C914" s="209"/>
      <c r="D914" s="209"/>
      <c r="E914" s="209"/>
      <c r="J914" s="124"/>
    </row>
    <row r="915" spans="3:10" x14ac:dyDescent="0.2">
      <c r="C915" s="209"/>
      <c r="D915" s="209"/>
      <c r="E915" s="209"/>
      <c r="J915" s="124"/>
    </row>
    <row r="916" spans="3:10" x14ac:dyDescent="0.2">
      <c r="C916" s="209"/>
      <c r="D916" s="209"/>
      <c r="E916" s="209"/>
      <c r="J916" s="124"/>
    </row>
    <row r="917" spans="3:10" x14ac:dyDescent="0.2">
      <c r="C917" s="209"/>
      <c r="D917" s="209"/>
      <c r="E917" s="209"/>
      <c r="J917" s="124"/>
    </row>
    <row r="918" spans="3:10" x14ac:dyDescent="0.2">
      <c r="C918" s="209"/>
      <c r="D918" s="209"/>
      <c r="E918" s="209"/>
      <c r="J918" s="124"/>
    </row>
    <row r="919" spans="3:10" x14ac:dyDescent="0.2">
      <c r="C919" s="209"/>
      <c r="D919" s="209"/>
      <c r="E919" s="209"/>
      <c r="J919" s="124"/>
    </row>
    <row r="920" spans="3:10" x14ac:dyDescent="0.2">
      <c r="C920" s="209"/>
      <c r="D920" s="209"/>
      <c r="E920" s="209"/>
      <c r="J920" s="124"/>
    </row>
    <row r="921" spans="3:10" x14ac:dyDescent="0.2">
      <c r="C921" s="209"/>
      <c r="D921" s="209"/>
      <c r="E921" s="209"/>
      <c r="J921" s="124"/>
    </row>
    <row r="922" spans="3:10" x14ac:dyDescent="0.2">
      <c r="C922" s="209"/>
      <c r="D922" s="209"/>
      <c r="E922" s="209"/>
      <c r="J922" s="124"/>
    </row>
    <row r="923" spans="3:10" x14ac:dyDescent="0.2">
      <c r="C923" s="209"/>
      <c r="D923" s="209"/>
      <c r="E923" s="209"/>
      <c r="J923" s="124"/>
    </row>
    <row r="924" spans="3:10" x14ac:dyDescent="0.2">
      <c r="C924" s="209"/>
      <c r="D924" s="209"/>
      <c r="E924" s="209"/>
      <c r="J924" s="124"/>
    </row>
    <row r="925" spans="3:10" x14ac:dyDescent="0.2">
      <c r="C925" s="209"/>
      <c r="D925" s="209"/>
      <c r="E925" s="209"/>
      <c r="J925" s="124"/>
    </row>
    <row r="926" spans="3:10" x14ac:dyDescent="0.2">
      <c r="C926" s="209"/>
      <c r="D926" s="209"/>
      <c r="E926" s="209"/>
      <c r="J926" s="124"/>
    </row>
    <row r="927" spans="3:10" x14ac:dyDescent="0.2">
      <c r="C927" s="209"/>
      <c r="D927" s="209"/>
      <c r="E927" s="209"/>
      <c r="J927" s="124"/>
    </row>
    <row r="928" spans="3:10" x14ac:dyDescent="0.2">
      <c r="C928" s="209"/>
      <c r="D928" s="209"/>
      <c r="E928" s="209"/>
      <c r="J928" s="124"/>
    </row>
    <row r="929" spans="3:10" x14ac:dyDescent="0.2">
      <c r="C929" s="209"/>
      <c r="D929" s="209"/>
      <c r="E929" s="209"/>
      <c r="J929" s="124"/>
    </row>
    <row r="930" spans="3:10" x14ac:dyDescent="0.2">
      <c r="C930" s="209"/>
      <c r="D930" s="209"/>
      <c r="E930" s="209"/>
      <c r="J930" s="124"/>
    </row>
    <row r="931" spans="3:10" x14ac:dyDescent="0.2">
      <c r="C931" s="209"/>
      <c r="D931" s="209"/>
      <c r="E931" s="209"/>
      <c r="J931" s="124"/>
    </row>
    <row r="932" spans="3:10" x14ac:dyDescent="0.2">
      <c r="C932" s="209"/>
      <c r="D932" s="209"/>
      <c r="E932" s="209"/>
      <c r="J932" s="124"/>
    </row>
    <row r="933" spans="3:10" x14ac:dyDescent="0.2">
      <c r="C933" s="209"/>
      <c r="D933" s="209"/>
      <c r="E933" s="209"/>
      <c r="J933" s="124"/>
    </row>
    <row r="934" spans="3:10" x14ac:dyDescent="0.2">
      <c r="C934" s="209"/>
      <c r="D934" s="209"/>
      <c r="E934" s="209"/>
      <c r="J934" s="124"/>
    </row>
    <row r="935" spans="3:10" x14ac:dyDescent="0.2">
      <c r="C935" s="209"/>
      <c r="D935" s="209"/>
      <c r="E935" s="209"/>
      <c r="J935" s="124"/>
    </row>
    <row r="936" spans="3:10" x14ac:dyDescent="0.2">
      <c r="C936" s="209"/>
      <c r="D936" s="209"/>
      <c r="E936" s="209"/>
      <c r="J936" s="124"/>
    </row>
    <row r="937" spans="3:10" x14ac:dyDescent="0.2">
      <c r="C937" s="209"/>
      <c r="D937" s="209"/>
      <c r="E937" s="209"/>
      <c r="J937" s="124"/>
    </row>
    <row r="938" spans="3:10" x14ac:dyDescent="0.2">
      <c r="C938" s="209"/>
      <c r="D938" s="209"/>
      <c r="E938" s="209"/>
      <c r="J938" s="124"/>
    </row>
    <row r="939" spans="3:10" x14ac:dyDescent="0.2">
      <c r="C939" s="209"/>
      <c r="D939" s="209"/>
      <c r="E939" s="209"/>
      <c r="J939" s="124"/>
    </row>
    <row r="940" spans="3:10" x14ac:dyDescent="0.2">
      <c r="C940" s="209"/>
      <c r="D940" s="209"/>
      <c r="E940" s="209"/>
      <c r="J940" s="124"/>
    </row>
    <row r="941" spans="3:10" x14ac:dyDescent="0.2">
      <c r="C941" s="209"/>
      <c r="D941" s="209"/>
      <c r="E941" s="209"/>
      <c r="J941" s="124"/>
    </row>
    <row r="942" spans="3:10" x14ac:dyDescent="0.2">
      <c r="C942" s="209"/>
      <c r="D942" s="209"/>
      <c r="E942" s="209"/>
      <c r="J942" s="124"/>
    </row>
    <row r="943" spans="3:10" x14ac:dyDescent="0.2">
      <c r="C943" s="209"/>
      <c r="D943" s="209"/>
      <c r="E943" s="209"/>
      <c r="J943" s="124"/>
    </row>
    <row r="944" spans="3:10" x14ac:dyDescent="0.2">
      <c r="C944" s="209"/>
      <c r="D944" s="209"/>
      <c r="E944" s="209"/>
      <c r="J944" s="124"/>
    </row>
    <row r="945" spans="3:10" x14ac:dyDescent="0.2">
      <c r="C945" s="209"/>
      <c r="D945" s="209"/>
      <c r="E945" s="209"/>
      <c r="J945" s="124"/>
    </row>
    <row r="946" spans="3:10" x14ac:dyDescent="0.2">
      <c r="C946" s="209"/>
      <c r="D946" s="209"/>
      <c r="E946" s="209"/>
      <c r="J946" s="124"/>
    </row>
    <row r="947" spans="3:10" x14ac:dyDescent="0.2">
      <c r="C947" s="209"/>
      <c r="D947" s="209"/>
      <c r="E947" s="209"/>
      <c r="J947" s="124"/>
    </row>
    <row r="948" spans="3:10" x14ac:dyDescent="0.2">
      <c r="C948" s="209"/>
      <c r="D948" s="209"/>
      <c r="E948" s="209"/>
      <c r="J948" s="124"/>
    </row>
    <row r="949" spans="3:10" x14ac:dyDescent="0.2">
      <c r="C949" s="209"/>
      <c r="D949" s="209"/>
      <c r="E949" s="209"/>
      <c r="J949" s="124"/>
    </row>
    <row r="950" spans="3:10" x14ac:dyDescent="0.2">
      <c r="C950" s="209"/>
      <c r="D950" s="209"/>
      <c r="E950" s="209"/>
      <c r="J950" s="124"/>
    </row>
    <row r="951" spans="3:10" x14ac:dyDescent="0.2">
      <c r="C951" s="209"/>
      <c r="D951" s="209"/>
      <c r="E951" s="209"/>
      <c r="J951" s="124"/>
    </row>
    <row r="952" spans="3:10" x14ac:dyDescent="0.2">
      <c r="C952" s="209"/>
      <c r="D952" s="209"/>
      <c r="E952" s="209"/>
      <c r="J952" s="124"/>
    </row>
    <row r="953" spans="3:10" x14ac:dyDescent="0.2">
      <c r="C953" s="209"/>
      <c r="D953" s="209"/>
      <c r="E953" s="209"/>
      <c r="J953" s="124"/>
    </row>
    <row r="954" spans="3:10" x14ac:dyDescent="0.2">
      <c r="C954" s="209"/>
      <c r="D954" s="209"/>
      <c r="E954" s="209"/>
      <c r="J954" s="124"/>
    </row>
    <row r="955" spans="3:10" x14ac:dyDescent="0.2">
      <c r="C955" s="209"/>
      <c r="D955" s="209"/>
      <c r="E955" s="209"/>
      <c r="J955" s="124"/>
    </row>
    <row r="956" spans="3:10" x14ac:dyDescent="0.2">
      <c r="C956" s="209"/>
      <c r="D956" s="209"/>
      <c r="E956" s="209"/>
      <c r="J956" s="124"/>
    </row>
    <row r="957" spans="3:10" x14ac:dyDescent="0.2">
      <c r="C957" s="209"/>
      <c r="D957" s="209"/>
      <c r="E957" s="209"/>
      <c r="J957" s="124"/>
    </row>
    <row r="958" spans="3:10" x14ac:dyDescent="0.2">
      <c r="C958" s="209"/>
      <c r="D958" s="209"/>
      <c r="E958" s="209"/>
      <c r="J958" s="124"/>
    </row>
    <row r="959" spans="3:10" x14ac:dyDescent="0.2">
      <c r="C959" s="209"/>
      <c r="D959" s="209"/>
      <c r="E959" s="209"/>
      <c r="J959" s="124"/>
    </row>
    <row r="960" spans="3:10" x14ac:dyDescent="0.2">
      <c r="C960" s="209"/>
      <c r="D960" s="209"/>
      <c r="E960" s="209"/>
      <c r="J960" s="124"/>
    </row>
    <row r="961" spans="3:10" x14ac:dyDescent="0.2">
      <c r="C961" s="209"/>
      <c r="D961" s="209"/>
      <c r="E961" s="209"/>
      <c r="J961" s="124"/>
    </row>
    <row r="962" spans="3:10" x14ac:dyDescent="0.2">
      <c r="C962" s="209"/>
      <c r="D962" s="209"/>
      <c r="E962" s="209"/>
      <c r="J962" s="124"/>
    </row>
    <row r="963" spans="3:10" x14ac:dyDescent="0.2">
      <c r="C963" s="209"/>
      <c r="D963" s="209"/>
      <c r="E963" s="209"/>
      <c r="J963" s="124"/>
    </row>
    <row r="964" spans="3:10" x14ac:dyDescent="0.2">
      <c r="C964" s="209"/>
      <c r="D964" s="209"/>
      <c r="E964" s="209"/>
      <c r="J964" s="124"/>
    </row>
    <row r="965" spans="3:10" x14ac:dyDescent="0.2">
      <c r="C965" s="209"/>
      <c r="D965" s="209"/>
      <c r="E965" s="209"/>
      <c r="J965" s="124"/>
    </row>
    <row r="966" spans="3:10" x14ac:dyDescent="0.2">
      <c r="C966" s="209"/>
      <c r="D966" s="209"/>
      <c r="E966" s="209"/>
      <c r="J966" s="124"/>
    </row>
    <row r="967" spans="3:10" x14ac:dyDescent="0.2">
      <c r="C967" s="209"/>
      <c r="D967" s="209"/>
      <c r="E967" s="209"/>
      <c r="J967" s="124"/>
    </row>
    <row r="968" spans="3:10" x14ac:dyDescent="0.2">
      <c r="C968" s="209"/>
      <c r="D968" s="209"/>
      <c r="E968" s="209"/>
      <c r="J968" s="124"/>
    </row>
    <row r="969" spans="3:10" x14ac:dyDescent="0.2">
      <c r="C969" s="209"/>
      <c r="D969" s="209"/>
      <c r="E969" s="209"/>
      <c r="J969" s="124"/>
    </row>
    <row r="970" spans="3:10" x14ac:dyDescent="0.2">
      <c r="C970" s="209"/>
      <c r="D970" s="209"/>
      <c r="E970" s="209"/>
      <c r="J970" s="124"/>
    </row>
    <row r="971" spans="3:10" x14ac:dyDescent="0.2">
      <c r="C971" s="209"/>
      <c r="D971" s="209"/>
      <c r="E971" s="209"/>
      <c r="J971" s="124"/>
    </row>
    <row r="972" spans="3:10" x14ac:dyDescent="0.2">
      <c r="C972" s="209"/>
      <c r="D972" s="209"/>
      <c r="E972" s="209"/>
      <c r="J972" s="124"/>
    </row>
    <row r="973" spans="3:10" x14ac:dyDescent="0.2">
      <c r="C973" s="209"/>
      <c r="D973" s="209"/>
      <c r="E973" s="209"/>
      <c r="J973" s="124"/>
    </row>
    <row r="974" spans="3:10" x14ac:dyDescent="0.2">
      <c r="C974" s="209"/>
      <c r="D974" s="209"/>
      <c r="E974" s="209"/>
      <c r="J974" s="124"/>
    </row>
    <row r="975" spans="3:10" x14ac:dyDescent="0.2">
      <c r="C975" s="209"/>
      <c r="D975" s="209"/>
      <c r="E975" s="209"/>
      <c r="J975" s="124"/>
    </row>
    <row r="976" spans="3:10" x14ac:dyDescent="0.2">
      <c r="C976" s="209"/>
      <c r="D976" s="209"/>
      <c r="E976" s="209"/>
      <c r="J976" s="124"/>
    </row>
    <row r="977" spans="3:10" x14ac:dyDescent="0.2">
      <c r="C977" s="209"/>
      <c r="D977" s="209"/>
      <c r="E977" s="209"/>
      <c r="J977" s="124"/>
    </row>
    <row r="978" spans="3:10" x14ac:dyDescent="0.2">
      <c r="C978" s="209"/>
      <c r="D978" s="209"/>
      <c r="E978" s="209"/>
      <c r="J978" s="124"/>
    </row>
    <row r="979" spans="3:10" x14ac:dyDescent="0.2">
      <c r="C979" s="209"/>
      <c r="D979" s="209"/>
      <c r="E979" s="209"/>
      <c r="J979" s="124"/>
    </row>
    <row r="980" spans="3:10" x14ac:dyDescent="0.2">
      <c r="C980" s="209"/>
      <c r="D980" s="209"/>
      <c r="E980" s="209"/>
      <c r="J980" s="124"/>
    </row>
    <row r="981" spans="3:10" x14ac:dyDescent="0.2">
      <c r="C981" s="209"/>
      <c r="D981" s="209"/>
      <c r="E981" s="209"/>
      <c r="J981" s="124"/>
    </row>
    <row r="982" spans="3:10" x14ac:dyDescent="0.2">
      <c r="C982" s="209"/>
      <c r="D982" s="209"/>
      <c r="E982" s="209"/>
      <c r="J982" s="124"/>
    </row>
    <row r="983" spans="3:10" x14ac:dyDescent="0.2">
      <c r="C983" s="209"/>
      <c r="D983" s="209"/>
      <c r="E983" s="209"/>
      <c r="J983" s="124"/>
    </row>
    <row r="984" spans="3:10" x14ac:dyDescent="0.2">
      <c r="C984" s="209"/>
      <c r="D984" s="209"/>
      <c r="E984" s="209"/>
      <c r="J984" s="124"/>
    </row>
    <row r="985" spans="3:10" x14ac:dyDescent="0.2">
      <c r="C985" s="209"/>
      <c r="D985" s="209"/>
      <c r="E985" s="209"/>
      <c r="J985" s="124"/>
    </row>
    <row r="986" spans="3:10" x14ac:dyDescent="0.2">
      <c r="C986" s="209"/>
      <c r="D986" s="209"/>
      <c r="E986" s="209"/>
      <c r="J986" s="124"/>
    </row>
    <row r="987" spans="3:10" x14ac:dyDescent="0.2">
      <c r="C987" s="209"/>
      <c r="D987" s="209"/>
      <c r="E987" s="209"/>
      <c r="J987" s="124"/>
    </row>
    <row r="988" spans="3:10" x14ac:dyDescent="0.2">
      <c r="C988" s="209"/>
      <c r="D988" s="209"/>
      <c r="E988" s="209"/>
      <c r="J988" s="124"/>
    </row>
    <row r="989" spans="3:10" x14ac:dyDescent="0.2">
      <c r="C989" s="209"/>
      <c r="D989" s="209"/>
      <c r="E989" s="209"/>
      <c r="J989" s="124"/>
    </row>
    <row r="990" spans="3:10" x14ac:dyDescent="0.2">
      <c r="C990" s="209"/>
      <c r="D990" s="209"/>
      <c r="E990" s="209"/>
      <c r="J990" s="124"/>
    </row>
    <row r="991" spans="3:10" x14ac:dyDescent="0.2">
      <c r="C991" s="209"/>
      <c r="D991" s="209"/>
      <c r="E991" s="209"/>
      <c r="J991" s="124"/>
    </row>
    <row r="992" spans="3:10" x14ac:dyDescent="0.2">
      <c r="C992" s="209"/>
      <c r="D992" s="209"/>
      <c r="E992" s="209"/>
      <c r="J992" s="124"/>
    </row>
    <row r="993" spans="3:10" x14ac:dyDescent="0.2">
      <c r="C993" s="209"/>
      <c r="D993" s="209"/>
      <c r="E993" s="209"/>
      <c r="J993" s="124"/>
    </row>
    <row r="994" spans="3:10" x14ac:dyDescent="0.2">
      <c r="C994" s="209"/>
      <c r="D994" s="209"/>
      <c r="E994" s="209"/>
      <c r="J994" s="124"/>
    </row>
    <row r="995" spans="3:10" x14ac:dyDescent="0.2">
      <c r="C995" s="209"/>
      <c r="D995" s="209"/>
      <c r="E995" s="209"/>
      <c r="J995" s="124"/>
    </row>
    <row r="996" spans="3:10" x14ac:dyDescent="0.2">
      <c r="C996" s="209"/>
      <c r="D996" s="209"/>
      <c r="E996" s="209"/>
      <c r="J996" s="124"/>
    </row>
    <row r="997" spans="3:10" x14ac:dyDescent="0.2">
      <c r="C997" s="209"/>
      <c r="D997" s="209"/>
      <c r="E997" s="209"/>
      <c r="J997" s="124"/>
    </row>
    <row r="998" spans="3:10" x14ac:dyDescent="0.2">
      <c r="C998" s="209"/>
      <c r="D998" s="209"/>
      <c r="E998" s="209"/>
      <c r="J998" s="124"/>
    </row>
    <row r="999" spans="3:10" x14ac:dyDescent="0.2">
      <c r="C999" s="209"/>
      <c r="D999" s="209"/>
      <c r="E999" s="209"/>
      <c r="J999" s="124"/>
    </row>
    <row r="1000" spans="3:10" x14ac:dyDescent="0.2">
      <c r="C1000" s="209"/>
      <c r="D1000" s="209"/>
      <c r="E1000" s="209"/>
      <c r="J1000" s="124"/>
    </row>
    <row r="1001" spans="3:10" x14ac:dyDescent="0.2">
      <c r="C1001" s="209"/>
      <c r="D1001" s="209"/>
      <c r="E1001" s="209"/>
      <c r="J1001" s="124"/>
    </row>
    <row r="1002" spans="3:10" x14ac:dyDescent="0.2">
      <c r="C1002" s="209"/>
      <c r="D1002" s="209"/>
      <c r="E1002" s="209"/>
      <c r="J1002" s="124"/>
    </row>
    <row r="1003" spans="3:10" x14ac:dyDescent="0.2">
      <c r="C1003" s="209"/>
      <c r="D1003" s="209"/>
      <c r="E1003" s="209"/>
      <c r="J1003" s="124"/>
    </row>
    <row r="1004" spans="3:10" x14ac:dyDescent="0.2">
      <c r="C1004" s="209"/>
      <c r="D1004" s="209"/>
      <c r="E1004" s="209"/>
      <c r="J1004" s="124"/>
    </row>
    <row r="1005" spans="3:10" x14ac:dyDescent="0.2">
      <c r="C1005" s="209"/>
      <c r="D1005" s="209"/>
      <c r="E1005" s="209"/>
      <c r="J1005" s="124"/>
    </row>
    <row r="1006" spans="3:10" x14ac:dyDescent="0.2">
      <c r="C1006" s="209"/>
      <c r="D1006" s="209"/>
      <c r="E1006" s="209"/>
      <c r="J1006" s="124"/>
    </row>
    <row r="1007" spans="3:10" x14ac:dyDescent="0.2">
      <c r="C1007" s="209"/>
      <c r="D1007" s="209"/>
      <c r="E1007" s="209"/>
      <c r="J1007" s="124"/>
    </row>
    <row r="1008" spans="3:10" x14ac:dyDescent="0.2">
      <c r="C1008" s="209"/>
      <c r="D1008" s="209"/>
      <c r="E1008" s="209"/>
      <c r="J1008" s="124"/>
    </row>
    <row r="1009" spans="3:10" x14ac:dyDescent="0.2">
      <c r="C1009" s="209"/>
      <c r="D1009" s="209"/>
      <c r="E1009" s="209"/>
      <c r="J1009" s="124"/>
    </row>
    <row r="1010" spans="3:10" x14ac:dyDescent="0.2">
      <c r="C1010" s="209"/>
      <c r="D1010" s="209"/>
      <c r="E1010" s="209"/>
      <c r="J1010" s="124"/>
    </row>
    <row r="1011" spans="3:10" x14ac:dyDescent="0.2">
      <c r="C1011" s="209"/>
      <c r="D1011" s="209"/>
      <c r="E1011" s="209"/>
      <c r="J1011" s="124"/>
    </row>
    <row r="1012" spans="3:10" x14ac:dyDescent="0.2">
      <c r="C1012" s="209"/>
      <c r="D1012" s="209"/>
      <c r="E1012" s="209"/>
      <c r="J1012" s="124"/>
    </row>
    <row r="1013" spans="3:10" x14ac:dyDescent="0.2">
      <c r="C1013" s="209"/>
      <c r="D1013" s="209"/>
      <c r="E1013" s="209"/>
      <c r="J1013" s="124"/>
    </row>
    <row r="1014" spans="3:10" x14ac:dyDescent="0.2">
      <c r="C1014" s="209"/>
      <c r="D1014" s="209"/>
      <c r="E1014" s="209"/>
      <c r="J1014" s="124"/>
    </row>
    <row r="1015" spans="3:10" x14ac:dyDescent="0.2">
      <c r="C1015" s="209"/>
      <c r="D1015" s="209"/>
      <c r="E1015" s="209"/>
      <c r="J1015" s="124"/>
    </row>
    <row r="1016" spans="3:10" x14ac:dyDescent="0.2">
      <c r="C1016" s="209"/>
      <c r="D1016" s="209"/>
      <c r="E1016" s="209"/>
      <c r="J1016" s="124"/>
    </row>
    <row r="1017" spans="3:10" x14ac:dyDescent="0.2">
      <c r="C1017" s="209"/>
      <c r="D1017" s="209"/>
      <c r="E1017" s="209"/>
      <c r="J1017" s="124"/>
    </row>
    <row r="1018" spans="3:10" x14ac:dyDescent="0.2">
      <c r="C1018" s="209"/>
      <c r="D1018" s="209"/>
      <c r="E1018" s="209"/>
      <c r="J1018" s="124"/>
    </row>
    <row r="1019" spans="3:10" x14ac:dyDescent="0.2">
      <c r="C1019" s="209"/>
      <c r="D1019" s="209"/>
      <c r="E1019" s="209"/>
      <c r="J1019" s="124"/>
    </row>
    <row r="1020" spans="3:10" x14ac:dyDescent="0.2">
      <c r="C1020" s="209"/>
      <c r="D1020" s="209"/>
      <c r="E1020" s="209"/>
      <c r="J1020" s="124"/>
    </row>
    <row r="1021" spans="3:10" x14ac:dyDescent="0.2">
      <c r="C1021" s="209"/>
      <c r="D1021" s="209"/>
      <c r="E1021" s="209"/>
      <c r="J1021" s="124"/>
    </row>
    <row r="1022" spans="3:10" x14ac:dyDescent="0.2">
      <c r="C1022" s="209"/>
      <c r="D1022" s="209"/>
      <c r="E1022" s="209"/>
      <c r="J1022" s="124"/>
    </row>
    <row r="1023" spans="3:10" x14ac:dyDescent="0.2">
      <c r="C1023" s="209"/>
      <c r="D1023" s="209"/>
      <c r="E1023" s="209"/>
      <c r="J1023" s="124"/>
    </row>
    <row r="1024" spans="3:10" x14ac:dyDescent="0.2">
      <c r="C1024" s="209"/>
      <c r="D1024" s="209"/>
      <c r="E1024" s="209"/>
      <c r="J1024" s="124"/>
    </row>
    <row r="1025" spans="3:10" x14ac:dyDescent="0.2">
      <c r="C1025" s="209"/>
      <c r="D1025" s="209"/>
      <c r="E1025" s="209"/>
      <c r="J1025" s="124"/>
    </row>
    <row r="1026" spans="3:10" x14ac:dyDescent="0.2">
      <c r="C1026" s="209"/>
      <c r="D1026" s="209"/>
      <c r="E1026" s="209"/>
      <c r="J1026" s="124"/>
    </row>
    <row r="1027" spans="3:10" x14ac:dyDescent="0.2">
      <c r="C1027" s="209"/>
      <c r="D1027" s="209"/>
      <c r="E1027" s="209"/>
      <c r="J1027" s="124"/>
    </row>
    <row r="1028" spans="3:10" x14ac:dyDescent="0.2">
      <c r="C1028" s="209"/>
      <c r="D1028" s="209"/>
      <c r="E1028" s="209"/>
      <c r="J1028" s="124"/>
    </row>
    <row r="1029" spans="3:10" x14ac:dyDescent="0.2">
      <c r="C1029" s="209"/>
      <c r="D1029" s="209"/>
      <c r="E1029" s="209"/>
      <c r="J1029" s="124"/>
    </row>
    <row r="1030" spans="3:10" x14ac:dyDescent="0.2">
      <c r="C1030" s="209"/>
      <c r="D1030" s="209"/>
      <c r="E1030" s="209"/>
      <c r="J1030" s="124"/>
    </row>
    <row r="1031" spans="3:10" x14ac:dyDescent="0.2">
      <c r="C1031" s="209"/>
      <c r="D1031" s="209"/>
      <c r="E1031" s="209"/>
      <c r="J1031" s="124"/>
    </row>
    <row r="1032" spans="3:10" x14ac:dyDescent="0.2">
      <c r="C1032" s="209"/>
      <c r="D1032" s="209"/>
      <c r="E1032" s="209"/>
      <c r="J1032" s="124"/>
    </row>
    <row r="1033" spans="3:10" x14ac:dyDescent="0.2">
      <c r="C1033" s="209"/>
      <c r="D1033" s="209"/>
      <c r="E1033" s="209"/>
      <c r="J1033" s="124"/>
    </row>
    <row r="1034" spans="3:10" x14ac:dyDescent="0.2">
      <c r="C1034" s="209"/>
      <c r="D1034" s="209"/>
      <c r="E1034" s="209"/>
      <c r="J1034" s="124"/>
    </row>
    <row r="1035" spans="3:10" x14ac:dyDescent="0.2">
      <c r="C1035" s="209"/>
      <c r="D1035" s="209"/>
      <c r="E1035" s="209"/>
      <c r="J1035" s="124"/>
    </row>
    <row r="1036" spans="3:10" x14ac:dyDescent="0.2">
      <c r="C1036" s="209"/>
      <c r="D1036" s="209"/>
      <c r="E1036" s="209"/>
      <c r="J1036" s="124"/>
    </row>
    <row r="1037" spans="3:10" x14ac:dyDescent="0.2">
      <c r="C1037" s="209"/>
      <c r="D1037" s="209"/>
      <c r="E1037" s="209"/>
      <c r="J1037" s="124"/>
    </row>
    <row r="1038" spans="3:10" x14ac:dyDescent="0.2">
      <c r="C1038" s="209"/>
      <c r="D1038" s="209"/>
      <c r="E1038" s="209"/>
      <c r="J1038" s="124"/>
    </row>
    <row r="1039" spans="3:10" x14ac:dyDescent="0.2">
      <c r="C1039" s="209"/>
      <c r="D1039" s="209"/>
      <c r="E1039" s="209"/>
      <c r="J1039" s="124"/>
    </row>
    <row r="1040" spans="3:10" x14ac:dyDescent="0.2">
      <c r="C1040" s="209"/>
      <c r="D1040" s="209"/>
      <c r="E1040" s="209"/>
      <c r="J1040" s="124"/>
    </row>
    <row r="1041" spans="3:10" x14ac:dyDescent="0.2">
      <c r="C1041" s="209"/>
      <c r="D1041" s="209"/>
      <c r="E1041" s="209"/>
      <c r="J1041" s="124"/>
    </row>
    <row r="1042" spans="3:10" x14ac:dyDescent="0.2">
      <c r="C1042" s="209"/>
      <c r="D1042" s="209"/>
      <c r="E1042" s="209"/>
      <c r="J1042" s="124"/>
    </row>
    <row r="1043" spans="3:10" x14ac:dyDescent="0.2">
      <c r="C1043" s="209"/>
      <c r="D1043" s="209"/>
      <c r="E1043" s="209"/>
      <c r="J1043" s="124"/>
    </row>
    <row r="1044" spans="3:10" x14ac:dyDescent="0.2">
      <c r="C1044" s="209"/>
      <c r="D1044" s="209"/>
      <c r="E1044" s="209"/>
      <c r="J1044" s="124"/>
    </row>
    <row r="1045" spans="3:10" x14ac:dyDescent="0.2">
      <c r="C1045" s="209"/>
      <c r="D1045" s="209"/>
      <c r="E1045" s="209"/>
      <c r="J1045" s="124"/>
    </row>
    <row r="1046" spans="3:10" x14ac:dyDescent="0.2">
      <c r="C1046" s="209"/>
      <c r="D1046" s="209"/>
      <c r="E1046" s="209"/>
      <c r="J1046" s="124"/>
    </row>
    <row r="1047" spans="3:10" x14ac:dyDescent="0.2">
      <c r="C1047" s="209"/>
      <c r="D1047" s="209"/>
      <c r="E1047" s="209"/>
      <c r="J1047" s="124"/>
    </row>
    <row r="1048" spans="3:10" x14ac:dyDescent="0.2">
      <c r="C1048" s="209"/>
      <c r="D1048" s="209"/>
      <c r="E1048" s="209"/>
      <c r="J1048" s="124"/>
    </row>
    <row r="1049" spans="3:10" x14ac:dyDescent="0.2">
      <c r="C1049" s="209"/>
      <c r="D1049" s="209"/>
      <c r="E1049" s="209"/>
      <c r="J1049" s="124"/>
    </row>
    <row r="1050" spans="3:10" x14ac:dyDescent="0.2">
      <c r="C1050" s="209"/>
      <c r="D1050" s="209"/>
      <c r="E1050" s="209"/>
      <c r="J1050" s="124"/>
    </row>
    <row r="1051" spans="3:10" x14ac:dyDescent="0.2">
      <c r="C1051" s="209"/>
      <c r="D1051" s="209"/>
      <c r="E1051" s="209"/>
      <c r="J1051" s="124"/>
    </row>
    <row r="1052" spans="3:10" x14ac:dyDescent="0.2">
      <c r="C1052" s="209"/>
      <c r="D1052" s="209"/>
      <c r="E1052" s="209"/>
      <c r="J1052" s="124"/>
    </row>
    <row r="1053" spans="3:10" x14ac:dyDescent="0.2">
      <c r="C1053" s="209"/>
      <c r="D1053" s="209"/>
      <c r="E1053" s="209"/>
      <c r="J1053" s="124"/>
    </row>
    <row r="1054" spans="3:10" x14ac:dyDescent="0.2">
      <c r="C1054" s="209"/>
      <c r="D1054" s="209"/>
      <c r="E1054" s="209"/>
      <c r="J1054" s="124"/>
    </row>
    <row r="1055" spans="3:10" x14ac:dyDescent="0.2">
      <c r="C1055" s="209"/>
      <c r="D1055" s="209"/>
      <c r="E1055" s="209"/>
      <c r="J1055" s="124"/>
    </row>
    <row r="1056" spans="3:10" x14ac:dyDescent="0.2">
      <c r="C1056" s="209"/>
      <c r="D1056" s="209"/>
      <c r="E1056" s="209"/>
      <c r="J1056" s="124"/>
    </row>
    <row r="1057" spans="3:10" x14ac:dyDescent="0.2">
      <c r="C1057" s="209"/>
      <c r="D1057" s="209"/>
      <c r="E1057" s="209"/>
      <c r="J1057" s="124"/>
    </row>
    <row r="1058" spans="3:10" x14ac:dyDescent="0.2">
      <c r="C1058" s="209"/>
      <c r="D1058" s="209"/>
      <c r="E1058" s="209"/>
      <c r="J1058" s="124"/>
    </row>
    <row r="1059" spans="3:10" x14ac:dyDescent="0.2">
      <c r="C1059" s="209"/>
      <c r="D1059" s="209"/>
      <c r="E1059" s="209"/>
      <c r="J1059" s="124"/>
    </row>
    <row r="1060" spans="3:10" x14ac:dyDescent="0.2">
      <c r="C1060" s="209"/>
      <c r="D1060" s="209"/>
      <c r="E1060" s="209"/>
      <c r="J1060" s="124"/>
    </row>
    <row r="1061" spans="3:10" x14ac:dyDescent="0.2">
      <c r="C1061" s="209"/>
      <c r="D1061" s="209"/>
      <c r="E1061" s="209"/>
      <c r="J1061" s="124"/>
    </row>
    <row r="1062" spans="3:10" x14ac:dyDescent="0.2">
      <c r="C1062" s="209"/>
      <c r="D1062" s="209"/>
      <c r="E1062" s="209"/>
      <c r="J1062" s="124"/>
    </row>
    <row r="1063" spans="3:10" x14ac:dyDescent="0.2">
      <c r="C1063" s="209"/>
      <c r="D1063" s="209"/>
      <c r="E1063" s="209"/>
      <c r="J1063" s="124"/>
    </row>
    <row r="1064" spans="3:10" x14ac:dyDescent="0.2">
      <c r="C1064" s="209"/>
      <c r="D1064" s="209"/>
      <c r="E1064" s="209"/>
      <c r="J1064" s="124"/>
    </row>
    <row r="1065" spans="3:10" x14ac:dyDescent="0.2">
      <c r="C1065" s="209"/>
      <c r="D1065" s="209"/>
      <c r="E1065" s="209"/>
      <c r="J1065" s="124"/>
    </row>
    <row r="1066" spans="3:10" x14ac:dyDescent="0.2">
      <c r="C1066" s="209"/>
      <c r="D1066" s="209"/>
      <c r="E1066" s="209"/>
      <c r="J1066" s="124"/>
    </row>
    <row r="1067" spans="3:10" x14ac:dyDescent="0.2">
      <c r="C1067" s="209"/>
      <c r="D1067" s="209"/>
      <c r="E1067" s="209"/>
      <c r="J1067" s="124"/>
    </row>
    <row r="1068" spans="3:10" x14ac:dyDescent="0.2">
      <c r="C1068" s="209"/>
      <c r="D1068" s="209"/>
      <c r="E1068" s="209"/>
      <c r="J1068" s="124"/>
    </row>
    <row r="1069" spans="3:10" x14ac:dyDescent="0.2">
      <c r="C1069" s="209"/>
      <c r="D1069" s="209"/>
      <c r="E1069" s="209"/>
      <c r="J1069" s="124"/>
    </row>
    <row r="1070" spans="3:10" x14ac:dyDescent="0.2">
      <c r="C1070" s="209"/>
      <c r="D1070" s="209"/>
      <c r="E1070" s="209"/>
      <c r="J1070" s="124"/>
    </row>
    <row r="1071" spans="3:10" x14ac:dyDescent="0.2">
      <c r="C1071" s="209"/>
      <c r="D1071" s="209"/>
      <c r="E1071" s="209"/>
      <c r="J1071" s="124"/>
    </row>
    <row r="1072" spans="3:10" x14ac:dyDescent="0.2">
      <c r="C1072" s="209"/>
      <c r="D1072" s="209"/>
      <c r="E1072" s="209"/>
      <c r="J1072" s="124"/>
    </row>
    <row r="1073" spans="3:10" x14ac:dyDescent="0.2">
      <c r="C1073" s="209"/>
      <c r="D1073" s="209"/>
      <c r="E1073" s="209"/>
      <c r="J1073" s="124"/>
    </row>
    <row r="1074" spans="3:10" x14ac:dyDescent="0.2">
      <c r="C1074" s="209"/>
      <c r="D1074" s="209"/>
      <c r="E1074" s="209"/>
      <c r="J1074" s="124"/>
    </row>
    <row r="1075" spans="3:10" x14ac:dyDescent="0.2">
      <c r="C1075" s="209"/>
      <c r="D1075" s="209"/>
      <c r="E1075" s="209"/>
      <c r="J1075" s="124"/>
    </row>
    <row r="1076" spans="3:10" x14ac:dyDescent="0.2">
      <c r="C1076" s="209"/>
      <c r="D1076" s="209"/>
      <c r="E1076" s="209"/>
      <c r="J1076" s="124"/>
    </row>
    <row r="1077" spans="3:10" x14ac:dyDescent="0.2">
      <c r="C1077" s="209"/>
      <c r="D1077" s="209"/>
      <c r="E1077" s="209"/>
      <c r="J1077" s="124"/>
    </row>
    <row r="1078" spans="3:10" x14ac:dyDescent="0.2">
      <c r="C1078" s="209"/>
      <c r="D1078" s="209"/>
      <c r="E1078" s="209"/>
      <c r="J1078" s="124"/>
    </row>
    <row r="1079" spans="3:10" x14ac:dyDescent="0.2">
      <c r="C1079" s="209"/>
      <c r="D1079" s="209"/>
      <c r="E1079" s="209"/>
      <c r="J1079" s="124"/>
    </row>
    <row r="1080" spans="3:10" x14ac:dyDescent="0.2">
      <c r="C1080" s="209"/>
      <c r="D1080" s="209"/>
      <c r="E1080" s="209"/>
      <c r="J1080" s="124"/>
    </row>
    <row r="1081" spans="3:10" x14ac:dyDescent="0.2">
      <c r="C1081" s="209"/>
      <c r="D1081" s="209"/>
      <c r="E1081" s="209"/>
      <c r="J1081" s="124"/>
    </row>
    <row r="1082" spans="3:10" x14ac:dyDescent="0.2">
      <c r="C1082" s="209"/>
      <c r="D1082" s="209"/>
      <c r="E1082" s="209"/>
      <c r="J1082" s="124"/>
    </row>
    <row r="1083" spans="3:10" x14ac:dyDescent="0.2">
      <c r="C1083" s="209"/>
      <c r="D1083" s="209"/>
      <c r="E1083" s="209"/>
      <c r="J1083" s="124"/>
    </row>
    <row r="1084" spans="3:10" x14ac:dyDescent="0.2">
      <c r="C1084" s="209"/>
      <c r="D1084" s="209"/>
      <c r="E1084" s="209"/>
      <c r="J1084" s="124"/>
    </row>
    <row r="1085" spans="3:10" x14ac:dyDescent="0.2">
      <c r="C1085" s="209"/>
      <c r="D1085" s="209"/>
      <c r="E1085" s="209"/>
      <c r="J1085" s="124"/>
    </row>
    <row r="1086" spans="3:10" x14ac:dyDescent="0.2">
      <c r="C1086" s="209"/>
      <c r="D1086" s="209"/>
      <c r="E1086" s="209"/>
      <c r="J1086" s="124"/>
    </row>
    <row r="1087" spans="3:10" x14ac:dyDescent="0.2">
      <c r="C1087" s="209"/>
      <c r="D1087" s="209"/>
      <c r="E1087" s="209"/>
      <c r="J1087" s="124"/>
    </row>
    <row r="1088" spans="3:10" x14ac:dyDescent="0.2">
      <c r="C1088" s="209"/>
      <c r="D1088" s="209"/>
      <c r="E1088" s="209"/>
      <c r="J1088" s="124"/>
    </row>
    <row r="1089" spans="3:10" x14ac:dyDescent="0.2">
      <c r="C1089" s="209"/>
      <c r="D1089" s="209"/>
      <c r="E1089" s="209"/>
      <c r="J1089" s="124"/>
    </row>
    <row r="1090" spans="3:10" x14ac:dyDescent="0.2">
      <c r="C1090" s="209"/>
      <c r="D1090" s="209"/>
      <c r="E1090" s="209"/>
      <c r="J1090" s="124"/>
    </row>
    <row r="1091" spans="3:10" x14ac:dyDescent="0.2">
      <c r="C1091" s="209"/>
      <c r="D1091" s="209"/>
      <c r="E1091" s="209"/>
      <c r="J1091" s="124"/>
    </row>
    <row r="1092" spans="3:10" x14ac:dyDescent="0.2">
      <c r="C1092" s="209"/>
      <c r="D1092" s="209"/>
      <c r="E1092" s="209"/>
      <c r="J1092" s="124"/>
    </row>
    <row r="1093" spans="3:10" x14ac:dyDescent="0.2">
      <c r="C1093" s="209"/>
      <c r="D1093" s="209"/>
      <c r="E1093" s="209"/>
      <c r="J1093" s="124"/>
    </row>
    <row r="1094" spans="3:10" x14ac:dyDescent="0.2">
      <c r="C1094" s="209"/>
      <c r="D1094" s="209"/>
      <c r="E1094" s="209"/>
      <c r="J1094" s="124"/>
    </row>
    <row r="1095" spans="3:10" x14ac:dyDescent="0.2">
      <c r="C1095" s="209"/>
      <c r="D1095" s="209"/>
      <c r="E1095" s="209"/>
      <c r="J1095" s="124"/>
    </row>
    <row r="1096" spans="3:10" x14ac:dyDescent="0.2">
      <c r="C1096" s="209"/>
      <c r="D1096" s="209"/>
      <c r="E1096" s="209"/>
      <c r="J1096" s="124"/>
    </row>
    <row r="1097" spans="3:10" x14ac:dyDescent="0.2">
      <c r="C1097" s="209"/>
      <c r="D1097" s="209"/>
      <c r="E1097" s="209"/>
      <c r="J1097" s="124"/>
    </row>
    <row r="1098" spans="3:10" x14ac:dyDescent="0.2">
      <c r="C1098" s="209"/>
      <c r="D1098" s="209"/>
      <c r="E1098" s="209"/>
      <c r="J1098" s="124"/>
    </row>
    <row r="1099" spans="3:10" x14ac:dyDescent="0.2">
      <c r="C1099" s="209"/>
      <c r="D1099" s="209"/>
      <c r="E1099" s="209"/>
      <c r="J1099" s="124"/>
    </row>
    <row r="1100" spans="3:10" x14ac:dyDescent="0.2">
      <c r="C1100" s="209"/>
      <c r="D1100" s="209"/>
      <c r="E1100" s="209"/>
      <c r="J1100" s="124"/>
    </row>
    <row r="1101" spans="3:10" x14ac:dyDescent="0.2">
      <c r="C1101" s="209"/>
      <c r="D1101" s="209"/>
      <c r="E1101" s="209"/>
      <c r="J1101" s="124"/>
    </row>
    <row r="1102" spans="3:10" x14ac:dyDescent="0.2">
      <c r="C1102" s="209"/>
      <c r="D1102" s="209"/>
      <c r="E1102" s="209"/>
      <c r="J1102" s="124"/>
    </row>
    <row r="1103" spans="3:10" x14ac:dyDescent="0.2">
      <c r="C1103" s="209"/>
      <c r="D1103" s="209"/>
      <c r="E1103" s="209"/>
      <c r="J1103" s="124"/>
    </row>
    <row r="1104" spans="3:10" x14ac:dyDescent="0.2">
      <c r="C1104" s="209"/>
      <c r="D1104" s="209"/>
      <c r="E1104" s="209"/>
      <c r="J1104" s="124"/>
    </row>
    <row r="1105" spans="3:10" x14ac:dyDescent="0.2">
      <c r="C1105" s="209"/>
      <c r="D1105" s="209"/>
      <c r="E1105" s="209"/>
      <c r="J1105" s="124"/>
    </row>
    <row r="1106" spans="3:10" x14ac:dyDescent="0.2">
      <c r="C1106" s="209"/>
      <c r="D1106" s="209"/>
      <c r="E1106" s="209"/>
      <c r="J1106" s="124"/>
    </row>
    <row r="1107" spans="3:10" x14ac:dyDescent="0.2">
      <c r="C1107" s="209"/>
      <c r="D1107" s="209"/>
      <c r="E1107" s="209"/>
      <c r="J1107" s="124"/>
    </row>
    <row r="1108" spans="3:10" x14ac:dyDescent="0.2">
      <c r="C1108" s="209"/>
      <c r="D1108" s="209"/>
      <c r="E1108" s="209"/>
      <c r="J1108" s="124"/>
    </row>
    <row r="1109" spans="3:10" x14ac:dyDescent="0.2">
      <c r="C1109" s="209"/>
      <c r="D1109" s="209"/>
      <c r="E1109" s="209"/>
      <c r="J1109" s="124"/>
    </row>
    <row r="1110" spans="3:10" x14ac:dyDescent="0.2">
      <c r="C1110" s="209"/>
      <c r="D1110" s="209"/>
      <c r="E1110" s="209"/>
      <c r="J1110" s="124"/>
    </row>
    <row r="1111" spans="3:10" x14ac:dyDescent="0.2">
      <c r="C1111" s="209"/>
      <c r="D1111" s="209"/>
      <c r="E1111" s="209"/>
      <c r="J1111" s="124"/>
    </row>
    <row r="1112" spans="3:10" x14ac:dyDescent="0.2">
      <c r="C1112" s="209"/>
      <c r="D1112" s="209"/>
      <c r="E1112" s="209"/>
      <c r="J1112" s="124"/>
    </row>
    <row r="1113" spans="3:10" x14ac:dyDescent="0.2">
      <c r="C1113" s="209"/>
      <c r="D1113" s="209"/>
      <c r="E1113" s="209"/>
      <c r="J1113" s="124"/>
    </row>
    <row r="1114" spans="3:10" x14ac:dyDescent="0.2">
      <c r="C1114" s="209"/>
      <c r="D1114" s="209"/>
      <c r="E1114" s="209"/>
      <c r="J1114" s="124"/>
    </row>
    <row r="1115" spans="3:10" x14ac:dyDescent="0.2">
      <c r="C1115" s="209"/>
      <c r="D1115" s="209"/>
      <c r="E1115" s="209"/>
      <c r="J1115" s="124"/>
    </row>
    <row r="1116" spans="3:10" x14ac:dyDescent="0.2">
      <c r="C1116" s="209"/>
      <c r="D1116" s="209"/>
      <c r="E1116" s="209"/>
      <c r="J1116" s="124"/>
    </row>
    <row r="1117" spans="3:10" x14ac:dyDescent="0.2">
      <c r="C1117" s="209"/>
      <c r="D1117" s="209"/>
      <c r="E1117" s="209"/>
      <c r="J1117" s="124"/>
    </row>
    <row r="1118" spans="3:10" x14ac:dyDescent="0.2">
      <c r="C1118" s="209"/>
      <c r="D1118" s="209"/>
      <c r="E1118" s="209"/>
      <c r="J1118" s="124"/>
    </row>
    <row r="1119" spans="3:10" x14ac:dyDescent="0.2">
      <c r="C1119" s="209"/>
      <c r="D1119" s="209"/>
      <c r="E1119" s="209"/>
      <c r="J1119" s="124"/>
    </row>
    <row r="1120" spans="3:10" x14ac:dyDescent="0.2">
      <c r="C1120" s="209"/>
      <c r="D1120" s="209"/>
      <c r="E1120" s="209"/>
      <c r="J1120" s="124"/>
    </row>
    <row r="1121" spans="3:10" x14ac:dyDescent="0.2">
      <c r="C1121" s="209"/>
      <c r="D1121" s="209"/>
      <c r="E1121" s="209"/>
      <c r="J1121" s="124"/>
    </row>
    <row r="1122" spans="3:10" x14ac:dyDescent="0.2">
      <c r="C1122" s="209"/>
      <c r="D1122" s="209"/>
      <c r="E1122" s="209"/>
      <c r="J1122" s="124"/>
    </row>
    <row r="1123" spans="3:10" x14ac:dyDescent="0.2">
      <c r="C1123" s="209"/>
      <c r="D1123" s="209"/>
      <c r="E1123" s="209"/>
      <c r="J1123" s="124"/>
    </row>
    <row r="1124" spans="3:10" x14ac:dyDescent="0.2">
      <c r="C1124" s="209"/>
      <c r="D1124" s="209"/>
      <c r="E1124" s="209"/>
      <c r="J1124" s="124"/>
    </row>
    <row r="1125" spans="3:10" x14ac:dyDescent="0.2">
      <c r="C1125" s="209"/>
      <c r="D1125" s="209"/>
      <c r="E1125" s="209"/>
      <c r="J1125" s="124"/>
    </row>
    <row r="1126" spans="3:10" x14ac:dyDescent="0.2">
      <c r="C1126" s="209"/>
      <c r="D1126" s="209"/>
      <c r="E1126" s="209"/>
      <c r="J1126" s="124"/>
    </row>
    <row r="1127" spans="3:10" x14ac:dyDescent="0.2">
      <c r="C1127" s="209"/>
      <c r="D1127" s="209"/>
      <c r="E1127" s="209"/>
      <c r="J1127" s="124"/>
    </row>
    <row r="1128" spans="3:10" x14ac:dyDescent="0.2">
      <c r="C1128" s="209"/>
      <c r="D1128" s="209"/>
      <c r="E1128" s="209"/>
      <c r="J1128" s="124"/>
    </row>
    <row r="1129" spans="3:10" x14ac:dyDescent="0.2">
      <c r="C1129" s="209"/>
      <c r="D1129" s="209"/>
      <c r="E1129" s="209"/>
      <c r="J1129" s="124"/>
    </row>
    <row r="1130" spans="3:10" x14ac:dyDescent="0.2">
      <c r="C1130" s="209"/>
      <c r="D1130" s="209"/>
      <c r="E1130" s="209"/>
      <c r="J1130" s="124"/>
    </row>
    <row r="1131" spans="3:10" x14ac:dyDescent="0.2">
      <c r="C1131" s="209"/>
      <c r="D1131" s="209"/>
      <c r="E1131" s="209"/>
      <c r="J1131" s="124"/>
    </row>
    <row r="1132" spans="3:10" x14ac:dyDescent="0.2">
      <c r="C1132" s="209"/>
      <c r="D1132" s="209"/>
      <c r="E1132" s="209"/>
      <c r="J1132" s="124"/>
    </row>
    <row r="1133" spans="3:10" x14ac:dyDescent="0.2">
      <c r="C1133" s="209"/>
      <c r="D1133" s="209"/>
      <c r="E1133" s="209"/>
      <c r="J1133" s="124"/>
    </row>
    <row r="1134" spans="3:10" x14ac:dyDescent="0.2">
      <c r="C1134" s="209"/>
      <c r="D1134" s="209"/>
      <c r="E1134" s="209"/>
      <c r="J1134" s="124"/>
    </row>
    <row r="1135" spans="3:10" x14ac:dyDescent="0.2">
      <c r="C1135" s="209"/>
      <c r="D1135" s="209"/>
      <c r="E1135" s="209"/>
      <c r="J1135" s="124"/>
    </row>
    <row r="1136" spans="3:10" x14ac:dyDescent="0.2">
      <c r="C1136" s="209"/>
      <c r="D1136" s="209"/>
      <c r="E1136" s="209"/>
      <c r="J1136" s="124"/>
    </row>
    <row r="1137" spans="3:10" x14ac:dyDescent="0.2">
      <c r="C1137" s="209"/>
      <c r="D1137" s="209"/>
      <c r="E1137" s="209"/>
      <c r="J1137" s="124"/>
    </row>
    <row r="1138" spans="3:10" x14ac:dyDescent="0.2">
      <c r="C1138" s="209"/>
      <c r="D1138" s="209"/>
      <c r="E1138" s="209"/>
      <c r="J1138" s="124"/>
    </row>
    <row r="1139" spans="3:10" x14ac:dyDescent="0.2">
      <c r="C1139" s="209"/>
      <c r="D1139" s="209"/>
      <c r="E1139" s="209"/>
      <c r="J1139" s="124"/>
    </row>
    <row r="1140" spans="3:10" x14ac:dyDescent="0.2">
      <c r="C1140" s="209"/>
      <c r="D1140" s="209"/>
      <c r="E1140" s="209"/>
      <c r="J1140" s="124"/>
    </row>
    <row r="1141" spans="3:10" x14ac:dyDescent="0.2">
      <c r="C1141" s="209"/>
      <c r="D1141" s="209"/>
      <c r="E1141" s="209"/>
      <c r="J1141" s="124"/>
    </row>
    <row r="1142" spans="3:10" x14ac:dyDescent="0.2">
      <c r="C1142" s="209"/>
      <c r="D1142" s="209"/>
      <c r="E1142" s="209"/>
      <c r="J1142" s="124"/>
    </row>
    <row r="1143" spans="3:10" x14ac:dyDescent="0.2">
      <c r="C1143" s="209"/>
      <c r="D1143" s="209"/>
      <c r="E1143" s="209"/>
      <c r="J1143" s="124"/>
    </row>
    <row r="1144" spans="3:10" x14ac:dyDescent="0.2">
      <c r="C1144" s="209"/>
      <c r="D1144" s="209"/>
      <c r="E1144" s="209"/>
      <c r="J1144" s="124"/>
    </row>
    <row r="1145" spans="3:10" x14ac:dyDescent="0.2">
      <c r="C1145" s="209"/>
      <c r="D1145" s="209"/>
      <c r="E1145" s="209"/>
      <c r="J1145" s="124"/>
    </row>
    <row r="1146" spans="3:10" x14ac:dyDescent="0.2">
      <c r="C1146" s="209"/>
      <c r="D1146" s="209"/>
      <c r="E1146" s="209"/>
      <c r="J1146" s="124"/>
    </row>
    <row r="1147" spans="3:10" x14ac:dyDescent="0.2">
      <c r="C1147" s="209"/>
      <c r="D1147" s="209"/>
      <c r="E1147" s="209"/>
      <c r="J1147" s="124"/>
    </row>
    <row r="1148" spans="3:10" x14ac:dyDescent="0.2">
      <c r="C1148" s="209"/>
      <c r="D1148" s="209"/>
      <c r="E1148" s="209"/>
      <c r="J1148" s="124"/>
    </row>
    <row r="1149" spans="3:10" x14ac:dyDescent="0.2">
      <c r="C1149" s="209"/>
      <c r="D1149" s="209"/>
      <c r="E1149" s="209"/>
      <c r="J1149" s="124"/>
    </row>
    <row r="1150" spans="3:10" x14ac:dyDescent="0.2">
      <c r="C1150" s="209"/>
      <c r="D1150" s="209"/>
      <c r="E1150" s="209"/>
      <c r="J1150" s="124"/>
    </row>
    <row r="1151" spans="3:10" x14ac:dyDescent="0.2">
      <c r="C1151" s="209"/>
      <c r="D1151" s="209"/>
      <c r="E1151" s="209"/>
      <c r="J1151" s="124"/>
    </row>
    <row r="1152" spans="3:10" x14ac:dyDescent="0.2">
      <c r="C1152" s="209"/>
      <c r="D1152" s="209"/>
      <c r="E1152" s="209"/>
      <c r="J1152" s="124"/>
    </row>
    <row r="1153" spans="3:10" x14ac:dyDescent="0.2">
      <c r="C1153" s="209"/>
      <c r="D1153" s="209"/>
      <c r="E1153" s="209"/>
      <c r="J1153" s="124"/>
    </row>
    <row r="1154" spans="3:10" x14ac:dyDescent="0.2">
      <c r="C1154" s="209"/>
      <c r="D1154" s="209"/>
      <c r="E1154" s="209"/>
      <c r="J1154" s="124"/>
    </row>
    <row r="1155" spans="3:10" x14ac:dyDescent="0.2">
      <c r="C1155" s="209"/>
      <c r="D1155" s="209"/>
      <c r="E1155" s="209"/>
      <c r="J1155" s="124"/>
    </row>
    <row r="1156" spans="3:10" x14ac:dyDescent="0.2">
      <c r="C1156" s="209"/>
      <c r="D1156" s="209"/>
      <c r="E1156" s="209"/>
      <c r="J1156" s="124"/>
    </row>
    <row r="1157" spans="3:10" x14ac:dyDescent="0.2">
      <c r="C1157" s="209"/>
      <c r="D1157" s="209"/>
      <c r="E1157" s="209"/>
      <c r="J1157" s="124"/>
    </row>
    <row r="1158" spans="3:10" x14ac:dyDescent="0.2">
      <c r="C1158" s="209"/>
      <c r="D1158" s="209"/>
      <c r="E1158" s="209"/>
      <c r="J1158" s="124"/>
    </row>
    <row r="1159" spans="3:10" x14ac:dyDescent="0.2">
      <c r="C1159" s="209"/>
      <c r="D1159" s="209"/>
      <c r="E1159" s="209"/>
      <c r="J1159" s="124"/>
    </row>
    <row r="1160" spans="3:10" x14ac:dyDescent="0.2">
      <c r="C1160" s="209"/>
      <c r="D1160" s="209"/>
      <c r="E1160" s="209"/>
      <c r="J1160" s="124"/>
    </row>
    <row r="1161" spans="3:10" x14ac:dyDescent="0.2">
      <c r="C1161" s="209"/>
      <c r="D1161" s="209"/>
      <c r="E1161" s="209"/>
      <c r="J1161" s="124"/>
    </row>
    <row r="1162" spans="3:10" x14ac:dyDescent="0.2">
      <c r="C1162" s="209"/>
      <c r="D1162" s="209"/>
      <c r="E1162" s="209"/>
      <c r="J1162" s="124"/>
    </row>
    <row r="1163" spans="3:10" x14ac:dyDescent="0.2">
      <c r="C1163" s="209"/>
      <c r="D1163" s="209"/>
      <c r="E1163" s="209"/>
      <c r="J1163" s="124"/>
    </row>
    <row r="1164" spans="3:10" x14ac:dyDescent="0.2">
      <c r="C1164" s="209"/>
      <c r="D1164" s="209"/>
      <c r="E1164" s="209"/>
      <c r="J1164" s="124"/>
    </row>
    <row r="1165" spans="3:10" x14ac:dyDescent="0.2">
      <c r="C1165" s="209"/>
      <c r="D1165" s="209"/>
      <c r="E1165" s="209"/>
      <c r="J1165" s="124"/>
    </row>
    <row r="1166" spans="3:10" x14ac:dyDescent="0.2">
      <c r="C1166" s="209"/>
      <c r="D1166" s="209"/>
      <c r="E1166" s="209"/>
      <c r="J1166" s="124"/>
    </row>
    <row r="1167" spans="3:10" x14ac:dyDescent="0.2">
      <c r="C1167" s="209"/>
      <c r="D1167" s="209"/>
      <c r="E1167" s="209"/>
      <c r="J1167" s="124"/>
    </row>
    <row r="1168" spans="3:10" x14ac:dyDescent="0.2">
      <c r="C1168" s="209"/>
      <c r="D1168" s="209"/>
      <c r="E1168" s="209"/>
      <c r="J1168" s="124"/>
    </row>
    <row r="1169" spans="3:10" x14ac:dyDescent="0.2">
      <c r="C1169" s="209"/>
      <c r="D1169" s="209"/>
      <c r="E1169" s="209"/>
      <c r="J1169" s="124"/>
    </row>
    <row r="1170" spans="3:10" x14ac:dyDescent="0.2">
      <c r="C1170" s="209"/>
      <c r="D1170" s="209"/>
      <c r="E1170" s="209"/>
      <c r="J1170" s="124"/>
    </row>
    <row r="1171" spans="3:10" x14ac:dyDescent="0.2">
      <c r="C1171" s="209"/>
      <c r="D1171" s="209"/>
      <c r="E1171" s="209"/>
      <c r="J1171" s="124"/>
    </row>
    <row r="1172" spans="3:10" x14ac:dyDescent="0.2">
      <c r="C1172" s="209"/>
      <c r="D1172" s="209"/>
      <c r="E1172" s="209"/>
      <c r="J1172" s="124"/>
    </row>
    <row r="1173" spans="3:10" x14ac:dyDescent="0.2">
      <c r="C1173" s="209"/>
      <c r="D1173" s="209"/>
      <c r="E1173" s="209"/>
      <c r="J1173" s="124"/>
    </row>
    <row r="1174" spans="3:10" x14ac:dyDescent="0.2">
      <c r="C1174" s="209"/>
      <c r="D1174" s="209"/>
      <c r="E1174" s="209"/>
      <c r="J1174" s="124"/>
    </row>
    <row r="1175" spans="3:10" x14ac:dyDescent="0.2">
      <c r="C1175" s="209"/>
      <c r="D1175" s="209"/>
      <c r="E1175" s="209"/>
      <c r="J1175" s="124"/>
    </row>
    <row r="1176" spans="3:10" x14ac:dyDescent="0.2">
      <c r="C1176" s="209"/>
      <c r="D1176" s="209"/>
      <c r="E1176" s="209"/>
      <c r="J1176" s="124"/>
    </row>
    <row r="1177" spans="3:10" x14ac:dyDescent="0.2">
      <c r="C1177" s="209"/>
      <c r="D1177" s="209"/>
      <c r="E1177" s="209"/>
      <c r="J1177" s="124"/>
    </row>
    <row r="1178" spans="3:10" x14ac:dyDescent="0.2">
      <c r="C1178" s="209"/>
      <c r="D1178" s="209"/>
      <c r="E1178" s="209"/>
      <c r="J1178" s="124"/>
    </row>
    <row r="1179" spans="3:10" x14ac:dyDescent="0.2">
      <c r="C1179" s="209"/>
      <c r="D1179" s="209"/>
      <c r="E1179" s="209"/>
      <c r="J1179" s="124"/>
    </row>
    <row r="1180" spans="3:10" x14ac:dyDescent="0.2">
      <c r="C1180" s="209"/>
      <c r="D1180" s="209"/>
      <c r="E1180" s="209"/>
      <c r="J1180" s="124"/>
    </row>
    <row r="1181" spans="3:10" x14ac:dyDescent="0.2">
      <c r="C1181" s="209"/>
      <c r="D1181" s="209"/>
      <c r="E1181" s="209"/>
      <c r="J1181" s="124"/>
    </row>
    <row r="1182" spans="3:10" x14ac:dyDescent="0.2">
      <c r="C1182" s="209"/>
      <c r="D1182" s="209"/>
      <c r="E1182" s="209"/>
      <c r="J1182" s="124"/>
    </row>
    <row r="1183" spans="3:10" x14ac:dyDescent="0.2">
      <c r="C1183" s="209"/>
      <c r="D1183" s="209"/>
      <c r="E1183" s="209"/>
      <c r="J1183" s="124"/>
    </row>
    <row r="1184" spans="3:10" x14ac:dyDescent="0.2">
      <c r="C1184" s="209"/>
      <c r="D1184" s="209"/>
      <c r="E1184" s="209"/>
      <c r="J1184" s="124"/>
    </row>
    <row r="1185" spans="3:10" x14ac:dyDescent="0.2">
      <c r="C1185" s="209"/>
      <c r="D1185" s="209"/>
      <c r="E1185" s="209"/>
      <c r="J1185" s="124"/>
    </row>
    <row r="1186" spans="3:10" x14ac:dyDescent="0.2">
      <c r="C1186" s="209"/>
      <c r="D1186" s="209"/>
      <c r="E1186" s="209"/>
      <c r="J1186" s="124"/>
    </row>
    <row r="1187" spans="3:10" x14ac:dyDescent="0.2">
      <c r="C1187" s="209"/>
      <c r="D1187" s="209"/>
      <c r="E1187" s="209"/>
      <c r="J1187" s="124"/>
    </row>
    <row r="1188" spans="3:10" x14ac:dyDescent="0.2">
      <c r="C1188" s="209"/>
      <c r="D1188" s="209"/>
      <c r="E1188" s="209"/>
      <c r="J1188" s="124"/>
    </row>
    <row r="1189" spans="3:10" x14ac:dyDescent="0.2">
      <c r="C1189" s="209"/>
      <c r="D1189" s="209"/>
      <c r="E1189" s="209"/>
      <c r="J1189" s="124"/>
    </row>
    <row r="1190" spans="3:10" x14ac:dyDescent="0.2">
      <c r="C1190" s="209"/>
      <c r="D1190" s="209"/>
      <c r="E1190" s="209"/>
      <c r="J1190" s="124"/>
    </row>
    <row r="1191" spans="3:10" x14ac:dyDescent="0.2">
      <c r="C1191" s="209"/>
      <c r="D1191" s="209"/>
      <c r="E1191" s="209"/>
      <c r="J1191" s="124"/>
    </row>
    <row r="1192" spans="3:10" x14ac:dyDescent="0.2">
      <c r="C1192" s="209"/>
      <c r="D1192" s="209"/>
      <c r="E1192" s="209"/>
      <c r="J1192" s="124"/>
    </row>
    <row r="1193" spans="3:10" x14ac:dyDescent="0.2">
      <c r="C1193" s="209"/>
      <c r="D1193" s="209"/>
      <c r="E1193" s="209"/>
      <c r="J1193" s="124"/>
    </row>
    <row r="1194" spans="3:10" x14ac:dyDescent="0.2">
      <c r="C1194" s="209"/>
      <c r="D1194" s="209"/>
      <c r="E1194" s="209"/>
      <c r="J1194" s="124"/>
    </row>
    <row r="1195" spans="3:10" x14ac:dyDescent="0.2">
      <c r="C1195" s="209"/>
      <c r="D1195" s="209"/>
      <c r="E1195" s="209"/>
      <c r="J1195" s="124"/>
    </row>
    <row r="1196" spans="3:10" x14ac:dyDescent="0.2">
      <c r="C1196" s="209"/>
      <c r="D1196" s="209"/>
      <c r="E1196" s="209"/>
      <c r="J1196" s="124"/>
    </row>
    <row r="1197" spans="3:10" x14ac:dyDescent="0.2">
      <c r="C1197" s="209"/>
      <c r="D1197" s="209"/>
      <c r="E1197" s="209"/>
      <c r="J1197" s="124"/>
    </row>
    <row r="1198" spans="3:10" x14ac:dyDescent="0.2">
      <c r="C1198" s="209"/>
      <c r="D1198" s="209"/>
      <c r="E1198" s="209"/>
      <c r="J1198" s="124"/>
    </row>
    <row r="1199" spans="3:10" x14ac:dyDescent="0.2">
      <c r="C1199" s="209"/>
      <c r="D1199" s="209"/>
      <c r="E1199" s="209"/>
      <c r="J1199" s="124"/>
    </row>
    <row r="1200" spans="3:10" x14ac:dyDescent="0.2">
      <c r="C1200" s="209"/>
      <c r="D1200" s="209"/>
      <c r="E1200" s="209"/>
      <c r="J1200" s="124"/>
    </row>
    <row r="1201" spans="3:10" x14ac:dyDescent="0.2">
      <c r="C1201" s="209"/>
      <c r="D1201" s="209"/>
      <c r="E1201" s="209"/>
      <c r="J1201" s="124"/>
    </row>
    <row r="1202" spans="3:10" x14ac:dyDescent="0.2">
      <c r="C1202" s="209"/>
      <c r="D1202" s="209"/>
      <c r="E1202" s="209"/>
      <c r="J1202" s="124"/>
    </row>
    <row r="1203" spans="3:10" x14ac:dyDescent="0.2">
      <c r="C1203" s="209"/>
      <c r="D1203" s="209"/>
      <c r="E1203" s="209"/>
      <c r="J1203" s="124"/>
    </row>
    <row r="1204" spans="3:10" x14ac:dyDescent="0.2">
      <c r="C1204" s="209"/>
      <c r="D1204" s="209"/>
      <c r="E1204" s="209"/>
      <c r="J1204" s="124"/>
    </row>
    <row r="1205" spans="3:10" x14ac:dyDescent="0.2">
      <c r="C1205" s="209"/>
      <c r="D1205" s="209"/>
      <c r="E1205" s="209"/>
      <c r="J1205" s="124"/>
    </row>
    <row r="1206" spans="3:10" x14ac:dyDescent="0.2">
      <c r="C1206" s="209"/>
      <c r="D1206" s="209"/>
      <c r="E1206" s="209"/>
      <c r="J1206" s="124"/>
    </row>
    <row r="1207" spans="3:10" x14ac:dyDescent="0.2">
      <c r="C1207" s="209"/>
      <c r="D1207" s="209"/>
      <c r="E1207" s="209"/>
      <c r="J1207" s="124"/>
    </row>
    <row r="1208" spans="3:10" x14ac:dyDescent="0.2">
      <c r="C1208" s="209"/>
      <c r="D1208" s="209"/>
      <c r="E1208" s="209"/>
      <c r="J1208" s="124"/>
    </row>
    <row r="1209" spans="3:10" x14ac:dyDescent="0.2">
      <c r="C1209" s="209"/>
      <c r="D1209" s="209"/>
      <c r="E1209" s="209"/>
      <c r="J1209" s="124"/>
    </row>
    <row r="1210" spans="3:10" x14ac:dyDescent="0.2">
      <c r="C1210" s="209"/>
      <c r="D1210" s="209"/>
      <c r="E1210" s="209"/>
      <c r="J1210" s="124"/>
    </row>
    <row r="1211" spans="3:10" x14ac:dyDescent="0.2">
      <c r="C1211" s="209"/>
      <c r="D1211" s="209"/>
      <c r="E1211" s="209"/>
      <c r="J1211" s="124"/>
    </row>
    <row r="1212" spans="3:10" x14ac:dyDescent="0.2">
      <c r="C1212" s="209"/>
      <c r="D1212" s="209"/>
      <c r="E1212" s="209"/>
      <c r="J1212" s="124"/>
    </row>
    <row r="1213" spans="3:10" x14ac:dyDescent="0.2">
      <c r="C1213" s="209"/>
      <c r="D1213" s="209"/>
      <c r="E1213" s="209"/>
      <c r="J1213" s="124"/>
    </row>
    <row r="1214" spans="3:10" x14ac:dyDescent="0.2">
      <c r="C1214" s="209"/>
      <c r="D1214" s="209"/>
      <c r="E1214" s="209"/>
      <c r="J1214" s="124"/>
    </row>
    <row r="1215" spans="3:10" x14ac:dyDescent="0.2">
      <c r="C1215" s="209"/>
      <c r="D1215" s="209"/>
      <c r="E1215" s="209"/>
      <c r="J1215" s="124"/>
    </row>
    <row r="1216" spans="3:10" x14ac:dyDescent="0.2">
      <c r="C1216" s="209"/>
      <c r="D1216" s="209"/>
      <c r="E1216" s="209"/>
      <c r="J1216" s="124"/>
    </row>
    <row r="1217" spans="3:10" x14ac:dyDescent="0.2">
      <c r="C1217" s="209"/>
      <c r="D1217" s="209"/>
      <c r="E1217" s="209"/>
      <c r="J1217" s="124"/>
    </row>
    <row r="1218" spans="3:10" x14ac:dyDescent="0.2">
      <c r="C1218" s="209"/>
      <c r="D1218" s="209"/>
      <c r="E1218" s="209"/>
      <c r="J1218" s="124"/>
    </row>
    <row r="1219" spans="3:10" x14ac:dyDescent="0.2">
      <c r="C1219" s="209"/>
      <c r="D1219" s="209"/>
      <c r="E1219" s="209"/>
      <c r="J1219" s="124"/>
    </row>
    <row r="1220" spans="3:10" x14ac:dyDescent="0.2">
      <c r="C1220" s="209"/>
      <c r="D1220" s="209"/>
      <c r="E1220" s="209"/>
      <c r="J1220" s="124"/>
    </row>
    <row r="1221" spans="3:10" x14ac:dyDescent="0.2">
      <c r="C1221" s="209"/>
      <c r="D1221" s="209"/>
      <c r="E1221" s="209"/>
      <c r="J1221" s="124"/>
    </row>
    <row r="1222" spans="3:10" x14ac:dyDescent="0.2">
      <c r="C1222" s="209"/>
      <c r="D1222" s="209"/>
      <c r="E1222" s="209"/>
      <c r="J1222" s="124"/>
    </row>
    <row r="1223" spans="3:10" x14ac:dyDescent="0.2">
      <c r="C1223" s="209"/>
      <c r="D1223" s="209"/>
      <c r="E1223" s="209"/>
      <c r="J1223" s="124"/>
    </row>
    <row r="1224" spans="3:10" x14ac:dyDescent="0.2">
      <c r="C1224" s="209"/>
      <c r="D1224" s="209"/>
      <c r="E1224" s="209"/>
      <c r="J1224" s="124"/>
    </row>
    <row r="1225" spans="3:10" x14ac:dyDescent="0.2">
      <c r="C1225" s="209"/>
      <c r="D1225" s="209"/>
      <c r="E1225" s="209"/>
      <c r="J1225" s="124"/>
    </row>
    <row r="1226" spans="3:10" x14ac:dyDescent="0.2">
      <c r="C1226" s="209"/>
      <c r="D1226" s="209"/>
      <c r="E1226" s="209"/>
      <c r="J1226" s="124"/>
    </row>
    <row r="1227" spans="3:10" x14ac:dyDescent="0.2">
      <c r="C1227" s="209"/>
      <c r="D1227" s="209"/>
      <c r="E1227" s="209"/>
      <c r="J1227" s="124"/>
    </row>
    <row r="1228" spans="3:10" x14ac:dyDescent="0.2">
      <c r="C1228" s="209"/>
      <c r="D1228" s="209"/>
      <c r="E1228" s="209"/>
      <c r="J1228" s="124"/>
    </row>
    <row r="1229" spans="3:10" x14ac:dyDescent="0.2">
      <c r="C1229" s="209"/>
      <c r="D1229" s="209"/>
      <c r="E1229" s="209"/>
      <c r="J1229" s="124"/>
    </row>
    <row r="1230" spans="3:10" x14ac:dyDescent="0.2">
      <c r="C1230" s="209"/>
      <c r="D1230" s="209"/>
      <c r="E1230" s="209"/>
      <c r="J1230" s="124"/>
    </row>
    <row r="1231" spans="3:10" x14ac:dyDescent="0.2">
      <c r="C1231" s="209"/>
      <c r="D1231" s="209"/>
      <c r="E1231" s="209"/>
      <c r="J1231" s="124"/>
    </row>
    <row r="1232" spans="3:10" x14ac:dyDescent="0.2">
      <c r="C1232" s="209"/>
      <c r="D1232" s="209"/>
      <c r="E1232" s="209"/>
      <c r="J1232" s="124"/>
    </row>
    <row r="1233" spans="3:10" x14ac:dyDescent="0.2">
      <c r="C1233" s="209"/>
      <c r="D1233" s="209"/>
      <c r="E1233" s="209"/>
      <c r="J1233" s="124"/>
    </row>
    <row r="1234" spans="3:10" x14ac:dyDescent="0.2">
      <c r="C1234" s="209"/>
      <c r="D1234" s="209"/>
      <c r="E1234" s="209"/>
      <c r="J1234" s="124"/>
    </row>
    <row r="1235" spans="3:10" x14ac:dyDescent="0.2">
      <c r="C1235" s="209"/>
      <c r="D1235" s="209"/>
      <c r="E1235" s="209"/>
      <c r="J1235" s="124"/>
    </row>
    <row r="1236" spans="3:10" x14ac:dyDescent="0.2">
      <c r="C1236" s="209"/>
      <c r="D1236" s="209"/>
      <c r="E1236" s="209"/>
      <c r="J1236" s="124"/>
    </row>
    <row r="1237" spans="3:10" x14ac:dyDescent="0.2">
      <c r="C1237" s="209"/>
      <c r="D1237" s="209"/>
      <c r="E1237" s="209"/>
      <c r="J1237" s="124"/>
    </row>
    <row r="1238" spans="3:10" x14ac:dyDescent="0.2">
      <c r="C1238" s="209"/>
      <c r="D1238" s="209"/>
      <c r="E1238" s="209"/>
      <c r="J1238" s="124"/>
    </row>
    <row r="1239" spans="3:10" x14ac:dyDescent="0.2">
      <c r="C1239" s="209"/>
      <c r="D1239" s="209"/>
      <c r="E1239" s="209"/>
      <c r="J1239" s="124"/>
    </row>
    <row r="1240" spans="3:10" x14ac:dyDescent="0.2">
      <c r="C1240" s="209"/>
      <c r="D1240" s="209"/>
      <c r="E1240" s="209"/>
      <c r="J1240" s="124"/>
    </row>
    <row r="1241" spans="3:10" x14ac:dyDescent="0.2">
      <c r="C1241" s="209"/>
      <c r="D1241" s="209"/>
      <c r="E1241" s="209"/>
      <c r="J1241" s="124"/>
    </row>
    <row r="1242" spans="3:10" x14ac:dyDescent="0.2">
      <c r="C1242" s="209"/>
      <c r="D1242" s="209"/>
      <c r="E1242" s="209"/>
      <c r="J1242" s="124"/>
    </row>
    <row r="1243" spans="3:10" x14ac:dyDescent="0.2">
      <c r="C1243" s="209"/>
      <c r="D1243" s="209"/>
      <c r="E1243" s="209"/>
      <c r="J1243" s="124"/>
    </row>
    <row r="1244" spans="3:10" x14ac:dyDescent="0.2">
      <c r="C1244" s="209"/>
      <c r="D1244" s="209"/>
      <c r="E1244" s="209"/>
      <c r="J1244" s="124"/>
    </row>
    <row r="1245" spans="3:10" x14ac:dyDescent="0.2">
      <c r="C1245" s="209"/>
      <c r="D1245" s="209"/>
      <c r="E1245" s="209"/>
      <c r="J1245" s="124"/>
    </row>
    <row r="1246" spans="3:10" x14ac:dyDescent="0.2">
      <c r="C1246" s="209"/>
      <c r="D1246" s="209"/>
      <c r="E1246" s="209"/>
      <c r="J1246" s="124"/>
    </row>
    <row r="1247" spans="3:10" x14ac:dyDescent="0.2">
      <c r="C1247" s="209"/>
      <c r="D1247" s="209"/>
      <c r="E1247" s="209"/>
      <c r="J1247" s="124"/>
    </row>
    <row r="1248" spans="3:10" x14ac:dyDescent="0.2">
      <c r="C1248" s="209"/>
      <c r="D1248" s="209"/>
      <c r="E1248" s="209"/>
      <c r="J1248" s="124"/>
    </row>
    <row r="1249" spans="3:10" x14ac:dyDescent="0.2">
      <c r="C1249" s="209"/>
      <c r="D1249" s="209"/>
      <c r="E1249" s="209"/>
      <c r="J1249" s="124"/>
    </row>
    <row r="1250" spans="3:10" x14ac:dyDescent="0.2">
      <c r="C1250" s="209"/>
      <c r="D1250" s="209"/>
      <c r="E1250" s="209"/>
      <c r="J1250" s="124"/>
    </row>
    <row r="1251" spans="3:10" x14ac:dyDescent="0.2">
      <c r="C1251" s="209"/>
      <c r="D1251" s="209"/>
      <c r="E1251" s="209"/>
      <c r="J1251" s="124"/>
    </row>
    <row r="1252" spans="3:10" x14ac:dyDescent="0.2">
      <c r="C1252" s="209"/>
      <c r="D1252" s="209"/>
      <c r="E1252" s="209"/>
      <c r="J1252" s="124"/>
    </row>
    <row r="1253" spans="3:10" x14ac:dyDescent="0.2">
      <c r="C1253" s="209"/>
      <c r="D1253" s="209"/>
      <c r="E1253" s="209"/>
      <c r="J1253" s="124"/>
    </row>
    <row r="1254" spans="3:10" x14ac:dyDescent="0.2">
      <c r="C1254" s="209"/>
      <c r="D1254" s="209"/>
      <c r="E1254" s="209"/>
      <c r="J1254" s="124"/>
    </row>
    <row r="1255" spans="3:10" x14ac:dyDescent="0.2">
      <c r="C1255" s="209"/>
      <c r="D1255" s="209"/>
      <c r="E1255" s="209"/>
      <c r="J1255" s="124"/>
    </row>
    <row r="1256" spans="3:10" x14ac:dyDescent="0.2">
      <c r="C1256" s="209"/>
      <c r="D1256" s="209"/>
      <c r="E1256" s="209"/>
      <c r="J1256" s="124"/>
    </row>
    <row r="1257" spans="3:10" x14ac:dyDescent="0.2">
      <c r="C1257" s="209"/>
      <c r="D1257" s="209"/>
      <c r="E1257" s="209"/>
      <c r="J1257" s="124"/>
    </row>
    <row r="1258" spans="3:10" x14ac:dyDescent="0.2">
      <c r="C1258" s="209"/>
      <c r="D1258" s="209"/>
      <c r="E1258" s="209"/>
      <c r="J1258" s="124"/>
    </row>
    <row r="1259" spans="3:10" x14ac:dyDescent="0.2">
      <c r="C1259" s="209"/>
      <c r="D1259" s="209"/>
      <c r="E1259" s="209"/>
      <c r="J1259" s="124"/>
    </row>
    <row r="1260" spans="3:10" x14ac:dyDescent="0.2">
      <c r="C1260" s="209"/>
      <c r="D1260" s="209"/>
      <c r="E1260" s="209"/>
      <c r="J1260" s="124"/>
    </row>
    <row r="1261" spans="3:10" x14ac:dyDescent="0.2">
      <c r="C1261" s="209"/>
      <c r="D1261" s="209"/>
      <c r="E1261" s="209"/>
      <c r="J1261" s="124"/>
    </row>
    <row r="1262" spans="3:10" x14ac:dyDescent="0.2">
      <c r="C1262" s="209"/>
      <c r="D1262" s="209"/>
      <c r="E1262" s="209"/>
      <c r="J1262" s="124"/>
    </row>
    <row r="1263" spans="3:10" x14ac:dyDescent="0.2">
      <c r="C1263" s="209"/>
      <c r="D1263" s="209"/>
      <c r="E1263" s="209"/>
      <c r="J1263" s="124"/>
    </row>
    <row r="1264" spans="3:10" x14ac:dyDescent="0.2">
      <c r="C1264" s="209"/>
      <c r="D1264" s="209"/>
      <c r="E1264" s="209"/>
      <c r="J1264" s="124"/>
    </row>
    <row r="1265" spans="3:10" x14ac:dyDescent="0.2">
      <c r="C1265" s="209"/>
      <c r="D1265" s="209"/>
      <c r="E1265" s="209"/>
      <c r="J1265" s="124"/>
    </row>
    <row r="1266" spans="3:10" x14ac:dyDescent="0.2">
      <c r="C1266" s="209"/>
      <c r="D1266" s="209"/>
      <c r="E1266" s="209"/>
      <c r="J1266" s="124"/>
    </row>
    <row r="1267" spans="3:10" x14ac:dyDescent="0.2">
      <c r="C1267" s="209"/>
      <c r="D1267" s="209"/>
      <c r="E1267" s="209"/>
      <c r="J1267" s="124"/>
    </row>
    <row r="1268" spans="3:10" x14ac:dyDescent="0.2">
      <c r="C1268" s="209"/>
      <c r="D1268" s="209"/>
      <c r="E1268" s="209"/>
      <c r="J1268" s="124"/>
    </row>
    <row r="1269" spans="3:10" x14ac:dyDescent="0.2">
      <c r="C1269" s="209"/>
      <c r="D1269" s="209"/>
      <c r="E1269" s="209"/>
      <c r="J1269" s="124"/>
    </row>
    <row r="1270" spans="3:10" x14ac:dyDescent="0.2">
      <c r="C1270" s="209"/>
      <c r="D1270" s="209"/>
      <c r="E1270" s="209"/>
      <c r="J1270" s="124"/>
    </row>
    <row r="1271" spans="3:10" x14ac:dyDescent="0.2">
      <c r="C1271" s="209"/>
      <c r="D1271" s="209"/>
      <c r="E1271" s="209"/>
      <c r="J1271" s="124"/>
    </row>
    <row r="1272" spans="3:10" x14ac:dyDescent="0.2">
      <c r="C1272" s="209"/>
      <c r="D1272" s="209"/>
      <c r="E1272" s="209"/>
      <c r="J1272" s="124"/>
    </row>
    <row r="1273" spans="3:10" x14ac:dyDescent="0.2">
      <c r="C1273" s="209"/>
      <c r="D1273" s="209"/>
      <c r="E1273" s="209"/>
      <c r="J1273" s="124"/>
    </row>
    <row r="1274" spans="3:10" x14ac:dyDescent="0.2">
      <c r="C1274" s="209"/>
      <c r="D1274" s="209"/>
      <c r="E1274" s="209"/>
      <c r="J1274" s="124"/>
    </row>
    <row r="1275" spans="3:10" x14ac:dyDescent="0.2">
      <c r="C1275" s="209"/>
      <c r="D1275" s="209"/>
      <c r="E1275" s="209"/>
      <c r="J1275" s="124"/>
    </row>
    <row r="1276" spans="3:10" x14ac:dyDescent="0.2">
      <c r="C1276" s="209"/>
      <c r="D1276" s="209"/>
      <c r="E1276" s="209"/>
      <c r="J1276" s="124"/>
    </row>
    <row r="1277" spans="3:10" x14ac:dyDescent="0.2">
      <c r="C1277" s="209"/>
      <c r="D1277" s="209"/>
      <c r="E1277" s="209"/>
      <c r="J1277" s="124"/>
    </row>
    <row r="1278" spans="3:10" x14ac:dyDescent="0.2">
      <c r="C1278" s="209"/>
      <c r="D1278" s="209"/>
      <c r="E1278" s="209"/>
      <c r="J1278" s="124"/>
    </row>
    <row r="1279" spans="3:10" x14ac:dyDescent="0.2">
      <c r="C1279" s="209"/>
      <c r="D1279" s="209"/>
      <c r="E1279" s="209"/>
      <c r="J1279" s="124"/>
    </row>
    <row r="1280" spans="3:10" x14ac:dyDescent="0.2">
      <c r="C1280" s="209"/>
      <c r="D1280" s="209"/>
      <c r="E1280" s="209"/>
      <c r="J1280" s="124"/>
    </row>
    <row r="1281" spans="3:10" x14ac:dyDescent="0.2">
      <c r="C1281" s="209"/>
      <c r="D1281" s="209"/>
      <c r="E1281" s="209"/>
      <c r="J1281" s="124"/>
    </row>
    <row r="1282" spans="3:10" x14ac:dyDescent="0.2">
      <c r="C1282" s="209"/>
      <c r="D1282" s="209"/>
      <c r="E1282" s="209"/>
      <c r="J1282" s="124"/>
    </row>
    <row r="1283" spans="3:10" x14ac:dyDescent="0.2">
      <c r="C1283" s="209"/>
      <c r="D1283" s="209"/>
      <c r="E1283" s="209"/>
      <c r="J1283" s="124"/>
    </row>
    <row r="1284" spans="3:10" x14ac:dyDescent="0.2">
      <c r="C1284" s="209"/>
      <c r="D1284" s="209"/>
      <c r="E1284" s="209"/>
      <c r="J1284" s="124"/>
    </row>
    <row r="1285" spans="3:10" x14ac:dyDescent="0.2">
      <c r="C1285" s="209"/>
      <c r="D1285" s="209"/>
      <c r="E1285" s="209"/>
      <c r="J1285" s="124"/>
    </row>
    <row r="1286" spans="3:10" x14ac:dyDescent="0.2">
      <c r="C1286" s="209"/>
      <c r="D1286" s="209"/>
      <c r="E1286" s="209"/>
      <c r="J1286" s="124"/>
    </row>
    <row r="1287" spans="3:10" x14ac:dyDescent="0.2">
      <c r="C1287" s="209"/>
      <c r="D1287" s="209"/>
      <c r="E1287" s="209"/>
      <c r="J1287" s="124"/>
    </row>
    <row r="1288" spans="3:10" x14ac:dyDescent="0.2">
      <c r="C1288" s="209"/>
      <c r="D1288" s="209"/>
      <c r="E1288" s="209"/>
      <c r="J1288" s="124"/>
    </row>
    <row r="1289" spans="3:10" x14ac:dyDescent="0.2">
      <c r="C1289" s="209"/>
      <c r="D1289" s="209"/>
      <c r="E1289" s="209"/>
      <c r="J1289" s="124"/>
    </row>
    <row r="1290" spans="3:10" x14ac:dyDescent="0.2">
      <c r="C1290" s="209"/>
      <c r="D1290" s="209"/>
      <c r="E1290" s="209"/>
      <c r="J1290" s="124"/>
    </row>
    <row r="1291" spans="3:10" x14ac:dyDescent="0.2">
      <c r="C1291" s="209"/>
      <c r="D1291" s="209"/>
      <c r="E1291" s="209"/>
      <c r="J1291" s="124"/>
    </row>
    <row r="1292" spans="3:10" x14ac:dyDescent="0.2">
      <c r="C1292" s="209"/>
      <c r="D1292" s="209"/>
      <c r="E1292" s="209"/>
      <c r="J1292" s="124"/>
    </row>
    <row r="1293" spans="3:10" x14ac:dyDescent="0.2">
      <c r="C1293" s="209"/>
      <c r="D1293" s="209"/>
      <c r="E1293" s="209"/>
      <c r="J1293" s="124"/>
    </row>
    <row r="1294" spans="3:10" x14ac:dyDescent="0.2">
      <c r="C1294" s="209"/>
      <c r="D1294" s="209"/>
      <c r="E1294" s="209"/>
      <c r="J1294" s="124"/>
    </row>
    <row r="1295" spans="3:10" x14ac:dyDescent="0.2">
      <c r="C1295" s="209"/>
      <c r="D1295" s="209"/>
      <c r="E1295" s="209"/>
      <c r="J1295" s="124"/>
    </row>
    <row r="1296" spans="3:10" x14ac:dyDescent="0.2">
      <c r="C1296" s="209"/>
      <c r="D1296" s="209"/>
      <c r="E1296" s="209"/>
      <c r="J1296" s="124"/>
    </row>
    <row r="1297" spans="3:10" x14ac:dyDescent="0.2">
      <c r="C1297" s="209"/>
      <c r="D1297" s="209"/>
      <c r="E1297" s="209"/>
      <c r="J1297" s="124"/>
    </row>
    <row r="1298" spans="3:10" x14ac:dyDescent="0.2">
      <c r="C1298" s="209"/>
      <c r="D1298" s="209"/>
      <c r="E1298" s="209"/>
      <c r="J1298" s="124"/>
    </row>
    <row r="1299" spans="3:10" x14ac:dyDescent="0.2">
      <c r="C1299" s="209"/>
      <c r="D1299" s="209"/>
      <c r="E1299" s="209"/>
      <c r="J1299" s="124"/>
    </row>
    <row r="1300" spans="3:10" x14ac:dyDescent="0.2">
      <c r="C1300" s="209"/>
      <c r="D1300" s="209"/>
      <c r="E1300" s="209"/>
      <c r="J1300" s="124"/>
    </row>
    <row r="1301" spans="3:10" x14ac:dyDescent="0.2">
      <c r="C1301" s="209"/>
      <c r="D1301" s="209"/>
      <c r="E1301" s="209"/>
      <c r="J1301" s="124"/>
    </row>
    <row r="1302" spans="3:10" x14ac:dyDescent="0.2">
      <c r="C1302" s="209"/>
      <c r="D1302" s="209"/>
      <c r="E1302" s="209"/>
      <c r="J1302" s="124"/>
    </row>
    <row r="1303" spans="3:10" x14ac:dyDescent="0.2">
      <c r="C1303" s="209"/>
      <c r="D1303" s="209"/>
      <c r="E1303" s="209"/>
      <c r="J1303" s="124"/>
    </row>
    <row r="1304" spans="3:10" x14ac:dyDescent="0.2">
      <c r="C1304" s="209"/>
      <c r="D1304" s="209"/>
      <c r="E1304" s="209"/>
      <c r="J1304" s="124"/>
    </row>
    <row r="1305" spans="3:10" x14ac:dyDescent="0.2">
      <c r="C1305" s="209"/>
      <c r="D1305" s="209"/>
      <c r="E1305" s="209"/>
      <c r="J1305" s="124"/>
    </row>
    <row r="1306" spans="3:10" x14ac:dyDescent="0.2">
      <c r="C1306" s="209"/>
      <c r="D1306" s="209"/>
      <c r="E1306" s="209"/>
      <c r="J1306" s="124"/>
    </row>
    <row r="1307" spans="3:10" x14ac:dyDescent="0.2">
      <c r="C1307" s="209"/>
      <c r="D1307" s="209"/>
      <c r="E1307" s="209"/>
      <c r="J1307" s="124"/>
    </row>
    <row r="1308" spans="3:10" x14ac:dyDescent="0.2">
      <c r="C1308" s="209"/>
      <c r="D1308" s="209"/>
      <c r="E1308" s="209"/>
      <c r="J1308" s="124"/>
    </row>
    <row r="1309" spans="3:10" x14ac:dyDescent="0.2">
      <c r="C1309" s="209"/>
      <c r="D1309" s="209"/>
      <c r="E1309" s="209"/>
      <c r="J1309" s="124"/>
    </row>
    <row r="1310" spans="3:10" x14ac:dyDescent="0.2">
      <c r="C1310" s="209"/>
      <c r="D1310" s="209"/>
      <c r="E1310" s="209"/>
      <c r="J1310" s="124"/>
    </row>
    <row r="1311" spans="3:10" x14ac:dyDescent="0.2">
      <c r="C1311" s="209"/>
      <c r="D1311" s="209"/>
      <c r="E1311" s="209"/>
      <c r="J1311" s="124"/>
    </row>
    <row r="1312" spans="3:10" x14ac:dyDescent="0.2">
      <c r="C1312" s="209"/>
      <c r="D1312" s="209"/>
      <c r="E1312" s="209"/>
      <c r="J1312" s="124"/>
    </row>
    <row r="1313" spans="3:10" x14ac:dyDescent="0.2">
      <c r="C1313" s="209"/>
      <c r="D1313" s="209"/>
      <c r="E1313" s="209"/>
      <c r="J1313" s="124"/>
    </row>
    <row r="1314" spans="3:10" x14ac:dyDescent="0.2">
      <c r="C1314" s="209"/>
      <c r="D1314" s="209"/>
      <c r="E1314" s="209"/>
      <c r="J1314" s="124"/>
    </row>
    <row r="1315" spans="3:10" x14ac:dyDescent="0.2">
      <c r="C1315" s="209"/>
      <c r="D1315" s="209"/>
      <c r="E1315" s="209"/>
      <c r="J1315" s="124"/>
    </row>
    <row r="1316" spans="3:10" x14ac:dyDescent="0.2">
      <c r="C1316" s="209"/>
      <c r="D1316" s="209"/>
      <c r="E1316" s="209"/>
      <c r="J1316" s="124"/>
    </row>
    <row r="1317" spans="3:10" x14ac:dyDescent="0.2">
      <c r="C1317" s="209"/>
      <c r="D1317" s="209"/>
      <c r="E1317" s="209"/>
      <c r="J1317" s="124"/>
    </row>
    <row r="1318" spans="3:10" x14ac:dyDescent="0.2">
      <c r="C1318" s="209"/>
      <c r="D1318" s="209"/>
      <c r="E1318" s="209"/>
      <c r="J1318" s="124"/>
    </row>
    <row r="1319" spans="3:10" x14ac:dyDescent="0.2">
      <c r="C1319" s="209"/>
      <c r="D1319" s="209"/>
      <c r="E1319" s="209"/>
      <c r="J1319" s="124"/>
    </row>
    <row r="1320" spans="3:10" x14ac:dyDescent="0.2">
      <c r="C1320" s="209"/>
      <c r="D1320" s="209"/>
      <c r="E1320" s="209"/>
      <c r="J1320" s="124"/>
    </row>
    <row r="1321" spans="3:10" x14ac:dyDescent="0.2">
      <c r="C1321" s="209"/>
      <c r="D1321" s="209"/>
      <c r="E1321" s="209"/>
      <c r="J1321" s="124"/>
    </row>
    <row r="1322" spans="3:10" x14ac:dyDescent="0.2">
      <c r="C1322" s="209"/>
      <c r="D1322" s="209"/>
      <c r="E1322" s="209"/>
      <c r="J1322" s="124"/>
    </row>
    <row r="1323" spans="3:10" x14ac:dyDescent="0.2">
      <c r="C1323" s="209"/>
      <c r="D1323" s="209"/>
      <c r="E1323" s="209"/>
      <c r="J1323" s="124"/>
    </row>
    <row r="1324" spans="3:10" x14ac:dyDescent="0.2">
      <c r="C1324" s="209"/>
      <c r="D1324" s="209"/>
      <c r="E1324" s="209"/>
      <c r="J1324" s="124"/>
    </row>
    <row r="1325" spans="3:10" x14ac:dyDescent="0.2">
      <c r="C1325" s="209"/>
      <c r="D1325" s="209"/>
      <c r="E1325" s="209"/>
      <c r="J1325" s="124"/>
    </row>
    <row r="1326" spans="3:10" x14ac:dyDescent="0.2">
      <c r="C1326" s="209"/>
      <c r="D1326" s="209"/>
      <c r="E1326" s="209"/>
      <c r="J1326" s="124"/>
    </row>
    <row r="1327" spans="3:10" x14ac:dyDescent="0.2">
      <c r="C1327" s="209"/>
      <c r="D1327" s="209"/>
      <c r="E1327" s="209"/>
      <c r="J1327" s="124"/>
    </row>
    <row r="1328" spans="3:10" x14ac:dyDescent="0.2">
      <c r="C1328" s="209"/>
      <c r="D1328" s="209"/>
      <c r="E1328" s="209"/>
      <c r="J1328" s="124"/>
    </row>
    <row r="1329" spans="3:10" x14ac:dyDescent="0.2">
      <c r="C1329" s="209"/>
      <c r="D1329" s="209"/>
      <c r="E1329" s="209"/>
      <c r="J1329" s="124"/>
    </row>
    <row r="1330" spans="3:10" x14ac:dyDescent="0.2">
      <c r="C1330" s="209"/>
      <c r="D1330" s="209"/>
      <c r="E1330" s="209"/>
      <c r="J1330" s="124"/>
    </row>
    <row r="1331" spans="3:10" x14ac:dyDescent="0.2">
      <c r="C1331" s="209"/>
      <c r="D1331" s="209"/>
      <c r="E1331" s="209"/>
      <c r="J1331" s="124"/>
    </row>
    <row r="1332" spans="3:10" x14ac:dyDescent="0.2">
      <c r="C1332" s="209"/>
      <c r="D1332" s="209"/>
      <c r="E1332" s="209"/>
      <c r="J1332" s="124"/>
    </row>
    <row r="1333" spans="3:10" x14ac:dyDescent="0.2">
      <c r="C1333" s="209"/>
      <c r="D1333" s="209"/>
      <c r="E1333" s="209"/>
      <c r="J1333" s="124"/>
    </row>
    <row r="1334" spans="3:10" x14ac:dyDescent="0.2">
      <c r="C1334" s="209"/>
      <c r="D1334" s="209"/>
      <c r="E1334" s="209"/>
      <c r="J1334" s="124"/>
    </row>
    <row r="1335" spans="3:10" x14ac:dyDescent="0.2">
      <c r="C1335" s="209"/>
      <c r="D1335" s="209"/>
      <c r="E1335" s="209"/>
      <c r="J1335" s="124"/>
    </row>
    <row r="1336" spans="3:10" x14ac:dyDescent="0.2">
      <c r="C1336" s="209"/>
      <c r="D1336" s="209"/>
      <c r="E1336" s="209"/>
      <c r="J1336" s="124"/>
    </row>
    <row r="1337" spans="3:10" x14ac:dyDescent="0.2">
      <c r="C1337" s="209"/>
      <c r="D1337" s="209"/>
      <c r="E1337" s="209"/>
      <c r="J1337" s="124"/>
    </row>
    <row r="1338" spans="3:10" x14ac:dyDescent="0.2">
      <c r="C1338" s="209"/>
      <c r="D1338" s="209"/>
      <c r="E1338" s="209"/>
      <c r="J1338" s="124"/>
    </row>
    <row r="1339" spans="3:10" x14ac:dyDescent="0.2">
      <c r="C1339" s="209"/>
      <c r="D1339" s="209"/>
      <c r="E1339" s="209"/>
      <c r="J1339" s="124"/>
    </row>
    <row r="1340" spans="3:10" x14ac:dyDescent="0.2">
      <c r="C1340" s="209"/>
      <c r="D1340" s="209"/>
      <c r="E1340" s="209"/>
      <c r="J1340" s="124"/>
    </row>
    <row r="1341" spans="3:10" x14ac:dyDescent="0.2">
      <c r="C1341" s="209"/>
      <c r="D1341" s="209"/>
      <c r="E1341" s="209"/>
      <c r="J1341" s="124"/>
    </row>
    <row r="1342" spans="3:10" x14ac:dyDescent="0.2">
      <c r="C1342" s="209"/>
      <c r="D1342" s="209"/>
      <c r="E1342" s="209"/>
      <c r="J1342" s="124"/>
    </row>
    <row r="1343" spans="3:10" x14ac:dyDescent="0.2">
      <c r="C1343" s="209"/>
      <c r="D1343" s="209"/>
      <c r="E1343" s="209"/>
      <c r="J1343" s="124"/>
    </row>
    <row r="1344" spans="3:10" x14ac:dyDescent="0.2">
      <c r="C1344" s="209"/>
      <c r="D1344" s="209"/>
      <c r="E1344" s="209"/>
      <c r="J1344" s="124"/>
    </row>
    <row r="1345" spans="3:10" x14ac:dyDescent="0.2">
      <c r="C1345" s="209"/>
      <c r="D1345" s="209"/>
      <c r="E1345" s="209"/>
      <c r="J1345" s="124"/>
    </row>
    <row r="1346" spans="3:10" x14ac:dyDescent="0.2">
      <c r="C1346" s="209"/>
      <c r="D1346" s="209"/>
      <c r="E1346" s="209"/>
      <c r="J1346" s="124"/>
    </row>
    <row r="1347" spans="3:10" x14ac:dyDescent="0.2">
      <c r="C1347" s="209"/>
      <c r="D1347" s="209"/>
      <c r="E1347" s="209"/>
      <c r="J1347" s="124"/>
    </row>
    <row r="1348" spans="3:10" x14ac:dyDescent="0.2">
      <c r="C1348" s="209"/>
      <c r="D1348" s="209"/>
      <c r="E1348" s="209"/>
      <c r="J1348" s="124"/>
    </row>
    <row r="1349" spans="3:10" x14ac:dyDescent="0.2">
      <c r="C1349" s="209"/>
      <c r="D1349" s="209"/>
      <c r="E1349" s="209"/>
      <c r="J1349" s="124"/>
    </row>
    <row r="1350" spans="3:10" x14ac:dyDescent="0.2">
      <c r="C1350" s="209"/>
      <c r="D1350" s="209"/>
      <c r="E1350" s="209"/>
      <c r="J1350" s="124"/>
    </row>
    <row r="1351" spans="3:10" x14ac:dyDescent="0.2">
      <c r="C1351" s="209"/>
      <c r="D1351" s="209"/>
      <c r="E1351" s="209"/>
      <c r="J1351" s="124"/>
    </row>
    <row r="1352" spans="3:10" x14ac:dyDescent="0.2">
      <c r="C1352" s="209"/>
      <c r="D1352" s="209"/>
      <c r="E1352" s="209"/>
      <c r="J1352" s="124"/>
    </row>
    <row r="1353" spans="3:10" x14ac:dyDescent="0.2">
      <c r="C1353" s="209"/>
      <c r="D1353" s="209"/>
      <c r="E1353" s="209"/>
      <c r="J1353" s="124"/>
    </row>
    <row r="1354" spans="3:10" x14ac:dyDescent="0.2">
      <c r="C1354" s="209"/>
      <c r="D1354" s="209"/>
      <c r="E1354" s="209"/>
      <c r="J1354" s="124"/>
    </row>
    <row r="1355" spans="3:10" x14ac:dyDescent="0.2">
      <c r="C1355" s="209"/>
      <c r="D1355" s="209"/>
      <c r="E1355" s="209"/>
      <c r="J1355" s="124"/>
    </row>
    <row r="1356" spans="3:10" x14ac:dyDescent="0.2">
      <c r="C1356" s="209"/>
      <c r="D1356" s="209"/>
      <c r="E1356" s="209"/>
      <c r="J1356" s="124"/>
    </row>
    <row r="1357" spans="3:10" x14ac:dyDescent="0.2">
      <c r="C1357" s="209"/>
      <c r="D1357" s="209"/>
      <c r="E1357" s="209"/>
      <c r="J1357" s="124"/>
    </row>
    <row r="1358" spans="3:10" x14ac:dyDescent="0.2">
      <c r="C1358" s="209"/>
      <c r="D1358" s="209"/>
      <c r="E1358" s="209"/>
      <c r="J1358" s="124"/>
    </row>
    <row r="1359" spans="3:10" x14ac:dyDescent="0.2">
      <c r="C1359" s="209"/>
      <c r="D1359" s="209"/>
      <c r="E1359" s="209"/>
      <c r="J1359" s="124"/>
    </row>
    <row r="1360" spans="3:10" x14ac:dyDescent="0.2">
      <c r="C1360" s="209"/>
      <c r="D1360" s="209"/>
      <c r="E1360" s="209"/>
      <c r="J1360" s="124"/>
    </row>
    <row r="1361" spans="3:10" x14ac:dyDescent="0.2">
      <c r="C1361" s="209"/>
      <c r="D1361" s="209"/>
      <c r="E1361" s="209"/>
      <c r="J1361" s="124"/>
    </row>
    <row r="1362" spans="3:10" x14ac:dyDescent="0.2">
      <c r="C1362" s="209"/>
      <c r="D1362" s="209"/>
      <c r="E1362" s="209"/>
      <c r="J1362" s="124"/>
    </row>
    <row r="1363" spans="3:10" x14ac:dyDescent="0.2">
      <c r="C1363" s="209"/>
      <c r="D1363" s="209"/>
      <c r="E1363" s="209"/>
      <c r="J1363" s="124"/>
    </row>
    <row r="1364" spans="3:10" x14ac:dyDescent="0.2">
      <c r="C1364" s="209"/>
      <c r="D1364" s="209"/>
      <c r="E1364" s="209"/>
      <c r="J1364" s="124"/>
    </row>
    <row r="1365" spans="3:10" x14ac:dyDescent="0.2">
      <c r="C1365" s="209"/>
      <c r="D1365" s="209"/>
      <c r="E1365" s="209"/>
      <c r="J1365" s="124"/>
    </row>
    <row r="1366" spans="3:10" x14ac:dyDescent="0.2">
      <c r="C1366" s="209"/>
      <c r="D1366" s="209"/>
      <c r="E1366" s="209"/>
      <c r="J1366" s="124"/>
    </row>
    <row r="1367" spans="3:10" x14ac:dyDescent="0.2">
      <c r="C1367" s="209"/>
      <c r="D1367" s="209"/>
      <c r="E1367" s="209"/>
      <c r="J1367" s="124"/>
    </row>
    <row r="1368" spans="3:10" x14ac:dyDescent="0.2">
      <c r="C1368" s="209"/>
      <c r="D1368" s="209"/>
      <c r="E1368" s="209"/>
      <c r="J1368" s="124"/>
    </row>
    <row r="1369" spans="3:10" x14ac:dyDescent="0.2">
      <c r="C1369" s="209"/>
      <c r="D1369" s="209"/>
      <c r="E1369" s="209"/>
      <c r="J1369" s="124"/>
    </row>
    <row r="1370" spans="3:10" x14ac:dyDescent="0.2">
      <c r="C1370" s="209"/>
      <c r="D1370" s="209"/>
      <c r="E1370" s="209"/>
      <c r="J1370" s="124"/>
    </row>
    <row r="1371" spans="3:10" x14ac:dyDescent="0.2">
      <c r="C1371" s="209"/>
      <c r="D1371" s="209"/>
      <c r="E1371" s="209"/>
      <c r="J1371" s="124"/>
    </row>
    <row r="1372" spans="3:10" x14ac:dyDescent="0.2">
      <c r="C1372" s="209"/>
      <c r="D1372" s="209"/>
      <c r="E1372" s="209"/>
      <c r="J1372" s="124"/>
    </row>
    <row r="1373" spans="3:10" x14ac:dyDescent="0.2">
      <c r="C1373" s="209"/>
      <c r="D1373" s="209"/>
      <c r="E1373" s="209"/>
      <c r="J1373" s="124"/>
    </row>
    <row r="1374" spans="3:10" x14ac:dyDescent="0.2">
      <c r="C1374" s="209"/>
      <c r="D1374" s="209"/>
      <c r="E1374" s="209"/>
      <c r="J1374" s="124"/>
    </row>
    <row r="1375" spans="3:10" x14ac:dyDescent="0.2">
      <c r="C1375" s="209"/>
      <c r="D1375" s="209"/>
      <c r="E1375" s="209"/>
      <c r="J1375" s="124"/>
    </row>
    <row r="1376" spans="3:10" x14ac:dyDescent="0.2">
      <c r="C1376" s="209"/>
      <c r="D1376" s="209"/>
      <c r="E1376" s="209"/>
      <c r="J1376" s="124"/>
    </row>
    <row r="1377" spans="3:10" x14ac:dyDescent="0.2">
      <c r="C1377" s="209"/>
      <c r="D1377" s="209"/>
      <c r="E1377" s="209"/>
      <c r="J1377" s="124"/>
    </row>
    <row r="1378" spans="3:10" x14ac:dyDescent="0.2">
      <c r="C1378" s="209"/>
      <c r="D1378" s="209"/>
      <c r="E1378" s="209"/>
      <c r="J1378" s="124"/>
    </row>
    <row r="1379" spans="3:10" x14ac:dyDescent="0.2">
      <c r="C1379" s="209"/>
      <c r="D1379" s="209"/>
      <c r="E1379" s="209"/>
      <c r="J1379" s="124"/>
    </row>
    <row r="1380" spans="3:10" x14ac:dyDescent="0.2">
      <c r="C1380" s="209"/>
      <c r="D1380" s="209"/>
      <c r="E1380" s="209"/>
      <c r="J1380" s="124"/>
    </row>
    <row r="1381" spans="3:10" x14ac:dyDescent="0.2">
      <c r="C1381" s="209"/>
      <c r="D1381" s="209"/>
      <c r="E1381" s="209"/>
      <c r="J1381" s="124"/>
    </row>
    <row r="1382" spans="3:10" x14ac:dyDescent="0.2">
      <c r="C1382" s="209"/>
      <c r="D1382" s="209"/>
      <c r="E1382" s="209"/>
      <c r="J1382" s="124"/>
    </row>
    <row r="1383" spans="3:10" x14ac:dyDescent="0.2">
      <c r="C1383" s="209"/>
      <c r="D1383" s="209"/>
      <c r="E1383" s="209"/>
      <c r="J1383" s="124"/>
    </row>
    <row r="1384" spans="3:10" x14ac:dyDescent="0.2">
      <c r="C1384" s="209"/>
      <c r="D1384" s="209"/>
      <c r="E1384" s="209"/>
      <c r="J1384" s="124"/>
    </row>
    <row r="1385" spans="3:10" x14ac:dyDescent="0.2">
      <c r="C1385" s="209"/>
      <c r="D1385" s="209"/>
      <c r="E1385" s="209"/>
      <c r="J1385" s="124"/>
    </row>
    <row r="1386" spans="3:10" x14ac:dyDescent="0.2">
      <c r="C1386" s="209"/>
      <c r="D1386" s="209"/>
      <c r="E1386" s="209"/>
      <c r="J1386" s="124"/>
    </row>
    <row r="1387" spans="3:10" x14ac:dyDescent="0.2">
      <c r="C1387" s="209"/>
      <c r="D1387" s="209"/>
      <c r="E1387" s="209"/>
      <c r="J1387" s="124"/>
    </row>
    <row r="1388" spans="3:10" x14ac:dyDescent="0.2">
      <c r="C1388" s="209"/>
      <c r="D1388" s="209"/>
      <c r="E1388" s="209"/>
      <c r="J1388" s="124"/>
    </row>
    <row r="1389" spans="3:10" x14ac:dyDescent="0.2">
      <c r="C1389" s="209"/>
      <c r="D1389" s="209"/>
      <c r="E1389" s="209"/>
      <c r="J1389" s="124"/>
    </row>
    <row r="1390" spans="3:10" x14ac:dyDescent="0.2">
      <c r="C1390" s="209"/>
      <c r="D1390" s="209"/>
      <c r="E1390" s="209"/>
      <c r="J1390" s="124"/>
    </row>
    <row r="1391" spans="3:10" x14ac:dyDescent="0.2">
      <c r="C1391" s="209"/>
      <c r="D1391" s="209"/>
      <c r="E1391" s="209"/>
      <c r="J1391" s="124"/>
    </row>
    <row r="1392" spans="3:10" x14ac:dyDescent="0.2">
      <c r="C1392" s="209"/>
      <c r="D1392" s="209"/>
      <c r="E1392" s="209"/>
      <c r="J1392" s="124"/>
    </row>
    <row r="1393" spans="3:10" x14ac:dyDescent="0.2">
      <c r="C1393" s="209"/>
      <c r="D1393" s="209"/>
      <c r="E1393" s="209"/>
      <c r="J1393" s="124"/>
    </row>
    <row r="1394" spans="3:10" x14ac:dyDescent="0.2">
      <c r="C1394" s="209"/>
      <c r="D1394" s="209"/>
      <c r="E1394" s="209"/>
      <c r="J1394" s="124"/>
    </row>
    <row r="1395" spans="3:10" x14ac:dyDescent="0.2">
      <c r="C1395" s="209"/>
      <c r="D1395" s="209"/>
      <c r="E1395" s="209"/>
      <c r="J1395" s="124"/>
    </row>
    <row r="1396" spans="3:10" x14ac:dyDescent="0.2">
      <c r="C1396" s="209"/>
      <c r="D1396" s="209"/>
      <c r="E1396" s="209"/>
      <c r="J1396" s="124"/>
    </row>
    <row r="1397" spans="3:10" x14ac:dyDescent="0.2">
      <c r="C1397" s="209"/>
      <c r="D1397" s="209"/>
      <c r="E1397" s="209"/>
      <c r="J1397" s="124"/>
    </row>
    <row r="1398" spans="3:10" x14ac:dyDescent="0.2">
      <c r="C1398" s="209"/>
      <c r="D1398" s="209"/>
      <c r="E1398" s="209"/>
      <c r="J1398" s="124"/>
    </row>
    <row r="1399" spans="3:10" x14ac:dyDescent="0.2">
      <c r="C1399" s="209"/>
      <c r="D1399" s="209"/>
      <c r="E1399" s="209"/>
      <c r="J1399" s="124"/>
    </row>
    <row r="1400" spans="3:10" x14ac:dyDescent="0.2">
      <c r="C1400" s="209"/>
      <c r="D1400" s="209"/>
      <c r="E1400" s="209"/>
      <c r="J1400" s="124"/>
    </row>
    <row r="1401" spans="3:10" x14ac:dyDescent="0.2">
      <c r="C1401" s="209"/>
      <c r="D1401" s="209"/>
      <c r="E1401" s="209"/>
      <c r="J1401" s="124"/>
    </row>
    <row r="1402" spans="3:10" x14ac:dyDescent="0.2">
      <c r="C1402" s="209"/>
      <c r="D1402" s="209"/>
      <c r="E1402" s="209"/>
      <c r="J1402" s="124"/>
    </row>
    <row r="1403" spans="3:10" x14ac:dyDescent="0.2">
      <c r="C1403" s="209"/>
      <c r="D1403" s="209"/>
      <c r="E1403" s="209"/>
      <c r="J1403" s="124"/>
    </row>
    <row r="1404" spans="3:10" x14ac:dyDescent="0.2">
      <c r="C1404" s="209"/>
      <c r="D1404" s="209"/>
      <c r="E1404" s="209"/>
      <c r="J1404" s="124"/>
    </row>
    <row r="1405" spans="3:10" x14ac:dyDescent="0.2">
      <c r="C1405" s="209"/>
      <c r="D1405" s="209"/>
      <c r="E1405" s="209"/>
      <c r="J1405" s="124"/>
    </row>
    <row r="1406" spans="3:10" x14ac:dyDescent="0.2">
      <c r="C1406" s="209"/>
      <c r="D1406" s="209"/>
      <c r="E1406" s="209"/>
      <c r="J1406" s="124"/>
    </row>
    <row r="1407" spans="3:10" x14ac:dyDescent="0.2">
      <c r="C1407" s="209"/>
      <c r="D1407" s="209"/>
      <c r="E1407" s="209"/>
      <c r="J1407" s="124"/>
    </row>
    <row r="1408" spans="3:10" x14ac:dyDescent="0.2">
      <c r="C1408" s="209"/>
      <c r="D1408" s="209"/>
      <c r="E1408" s="209"/>
      <c r="J1408" s="124"/>
    </row>
    <row r="1409" spans="3:10" x14ac:dyDescent="0.2">
      <c r="C1409" s="209"/>
      <c r="D1409" s="209"/>
      <c r="E1409" s="209"/>
      <c r="J1409" s="124"/>
    </row>
    <row r="1410" spans="3:10" x14ac:dyDescent="0.2">
      <c r="C1410" s="209"/>
      <c r="D1410" s="209"/>
      <c r="E1410" s="209"/>
      <c r="J1410" s="124"/>
    </row>
    <row r="1411" spans="3:10" x14ac:dyDescent="0.2">
      <c r="C1411" s="209"/>
      <c r="D1411" s="209"/>
      <c r="E1411" s="209"/>
      <c r="J1411" s="124"/>
    </row>
    <row r="1412" spans="3:10" x14ac:dyDescent="0.2">
      <c r="C1412" s="209"/>
      <c r="D1412" s="209"/>
      <c r="E1412" s="209"/>
      <c r="J1412" s="124"/>
    </row>
    <row r="1413" spans="3:10" x14ac:dyDescent="0.2">
      <c r="C1413" s="209"/>
      <c r="D1413" s="209"/>
      <c r="E1413" s="209"/>
      <c r="J1413" s="124"/>
    </row>
    <row r="1414" spans="3:10" x14ac:dyDescent="0.2">
      <c r="C1414" s="209"/>
      <c r="D1414" s="209"/>
      <c r="E1414" s="209"/>
      <c r="J1414" s="124"/>
    </row>
    <row r="1415" spans="3:10" x14ac:dyDescent="0.2">
      <c r="C1415" s="209"/>
      <c r="D1415" s="209"/>
      <c r="E1415" s="209"/>
      <c r="J1415" s="124"/>
    </row>
    <row r="1416" spans="3:10" x14ac:dyDescent="0.2">
      <c r="C1416" s="209"/>
      <c r="D1416" s="209"/>
      <c r="E1416" s="209"/>
      <c r="J1416" s="124"/>
    </row>
    <row r="1417" spans="3:10" x14ac:dyDescent="0.2">
      <c r="C1417" s="209"/>
      <c r="D1417" s="209"/>
      <c r="E1417" s="209"/>
      <c r="J1417" s="124"/>
    </row>
    <row r="1418" spans="3:10" x14ac:dyDescent="0.2">
      <c r="C1418" s="209"/>
      <c r="D1418" s="209"/>
      <c r="E1418" s="209"/>
      <c r="J1418" s="124"/>
    </row>
    <row r="1419" spans="3:10" x14ac:dyDescent="0.2">
      <c r="C1419" s="209"/>
      <c r="D1419" s="209"/>
      <c r="E1419" s="209"/>
      <c r="J1419" s="124"/>
    </row>
    <row r="1420" spans="3:10" x14ac:dyDescent="0.2">
      <c r="C1420" s="209"/>
      <c r="D1420" s="209"/>
      <c r="E1420" s="209"/>
      <c r="J1420" s="124"/>
    </row>
    <row r="1421" spans="3:10" x14ac:dyDescent="0.2">
      <c r="C1421" s="209"/>
      <c r="D1421" s="209"/>
      <c r="E1421" s="209"/>
      <c r="J1421" s="124"/>
    </row>
    <row r="1422" spans="3:10" x14ac:dyDescent="0.2">
      <c r="C1422" s="209"/>
      <c r="D1422" s="209"/>
      <c r="E1422" s="209"/>
      <c r="J1422" s="124"/>
    </row>
    <row r="1423" spans="3:10" x14ac:dyDescent="0.2">
      <c r="C1423" s="209"/>
      <c r="D1423" s="209"/>
      <c r="E1423" s="209"/>
      <c r="J1423" s="124"/>
    </row>
    <row r="1424" spans="3:10" x14ac:dyDescent="0.2">
      <c r="C1424" s="209"/>
      <c r="D1424" s="209"/>
      <c r="E1424" s="209"/>
      <c r="J1424" s="124"/>
    </row>
    <row r="1425" spans="3:10" x14ac:dyDescent="0.2">
      <c r="C1425" s="209"/>
      <c r="D1425" s="209"/>
      <c r="E1425" s="209"/>
      <c r="J1425" s="124"/>
    </row>
    <row r="1426" spans="3:10" x14ac:dyDescent="0.2">
      <c r="C1426" s="209"/>
      <c r="D1426" s="209"/>
      <c r="E1426" s="209"/>
      <c r="J1426" s="124"/>
    </row>
    <row r="1427" spans="3:10" x14ac:dyDescent="0.2">
      <c r="C1427" s="209"/>
      <c r="D1427" s="209"/>
      <c r="E1427" s="209"/>
      <c r="J1427" s="124"/>
    </row>
    <row r="1428" spans="3:10" x14ac:dyDescent="0.2">
      <c r="C1428" s="209"/>
      <c r="D1428" s="209"/>
      <c r="E1428" s="209"/>
      <c r="J1428" s="124"/>
    </row>
    <row r="1429" spans="3:10" x14ac:dyDescent="0.2">
      <c r="C1429" s="209"/>
      <c r="D1429" s="209"/>
      <c r="E1429" s="209"/>
      <c r="J1429" s="124"/>
    </row>
    <row r="1430" spans="3:10" x14ac:dyDescent="0.2">
      <c r="C1430" s="209"/>
      <c r="D1430" s="209"/>
      <c r="E1430" s="209"/>
      <c r="J1430" s="124"/>
    </row>
    <row r="1431" spans="3:10" x14ac:dyDescent="0.2">
      <c r="C1431" s="209"/>
      <c r="D1431" s="209"/>
      <c r="E1431" s="209"/>
      <c r="J1431" s="124"/>
    </row>
    <row r="1432" spans="3:10" x14ac:dyDescent="0.2">
      <c r="C1432" s="209"/>
      <c r="D1432" s="209"/>
      <c r="E1432" s="209"/>
      <c r="J1432" s="124"/>
    </row>
    <row r="1433" spans="3:10" x14ac:dyDescent="0.2">
      <c r="C1433" s="209"/>
      <c r="D1433" s="209"/>
      <c r="E1433" s="209"/>
      <c r="J1433" s="124"/>
    </row>
    <row r="1434" spans="3:10" x14ac:dyDescent="0.2">
      <c r="C1434" s="209"/>
      <c r="D1434" s="209"/>
      <c r="E1434" s="209"/>
      <c r="J1434" s="124"/>
    </row>
    <row r="1435" spans="3:10" x14ac:dyDescent="0.2">
      <c r="C1435" s="209"/>
      <c r="D1435" s="209"/>
      <c r="E1435" s="209"/>
      <c r="J1435" s="124"/>
    </row>
    <row r="1436" spans="3:10" x14ac:dyDescent="0.2">
      <c r="C1436" s="209"/>
      <c r="D1436" s="209"/>
      <c r="E1436" s="209"/>
      <c r="J1436" s="124"/>
    </row>
    <row r="1437" spans="3:10" x14ac:dyDescent="0.2">
      <c r="C1437" s="209"/>
      <c r="D1437" s="209"/>
      <c r="E1437" s="209"/>
      <c r="J1437" s="124"/>
    </row>
    <row r="1438" spans="3:10" x14ac:dyDescent="0.2">
      <c r="C1438" s="209"/>
      <c r="D1438" s="209"/>
      <c r="E1438" s="209"/>
      <c r="J1438" s="124"/>
    </row>
    <row r="1439" spans="3:10" x14ac:dyDescent="0.2">
      <c r="C1439" s="209"/>
      <c r="D1439" s="209"/>
      <c r="E1439" s="209"/>
      <c r="J1439" s="124"/>
    </row>
    <row r="1440" spans="3:10" x14ac:dyDescent="0.2">
      <c r="C1440" s="209"/>
      <c r="D1440" s="209"/>
      <c r="E1440" s="209"/>
      <c r="J1440" s="124"/>
    </row>
    <row r="1441" spans="3:10" x14ac:dyDescent="0.2">
      <c r="C1441" s="209"/>
      <c r="D1441" s="209"/>
      <c r="E1441" s="209"/>
      <c r="J1441" s="124"/>
    </row>
    <row r="1442" spans="3:10" x14ac:dyDescent="0.2">
      <c r="C1442" s="209"/>
      <c r="D1442" s="209"/>
      <c r="E1442" s="209"/>
      <c r="J1442" s="124"/>
    </row>
    <row r="1443" spans="3:10" x14ac:dyDescent="0.2">
      <c r="C1443" s="209"/>
      <c r="D1443" s="209"/>
      <c r="E1443" s="209"/>
      <c r="J1443" s="124"/>
    </row>
    <row r="1444" spans="3:10" x14ac:dyDescent="0.2">
      <c r="C1444" s="209"/>
      <c r="D1444" s="209"/>
      <c r="E1444" s="209"/>
      <c r="J1444" s="124"/>
    </row>
    <row r="1445" spans="3:10" x14ac:dyDescent="0.2">
      <c r="C1445" s="209"/>
      <c r="D1445" s="209"/>
      <c r="E1445" s="209"/>
      <c r="J1445" s="124"/>
    </row>
    <row r="1446" spans="3:10" x14ac:dyDescent="0.2">
      <c r="C1446" s="209"/>
      <c r="D1446" s="209"/>
      <c r="E1446" s="209"/>
      <c r="J1446" s="124"/>
    </row>
    <row r="1447" spans="3:10" x14ac:dyDescent="0.2">
      <c r="C1447" s="209"/>
      <c r="D1447" s="209"/>
      <c r="E1447" s="209"/>
      <c r="J1447" s="124"/>
    </row>
    <row r="1448" spans="3:10" x14ac:dyDescent="0.2">
      <c r="C1448" s="209"/>
      <c r="D1448" s="209"/>
      <c r="E1448" s="209"/>
      <c r="J1448" s="124"/>
    </row>
    <row r="1449" spans="3:10" x14ac:dyDescent="0.2">
      <c r="C1449" s="209"/>
      <c r="D1449" s="209"/>
      <c r="E1449" s="209"/>
      <c r="J1449" s="124"/>
    </row>
    <row r="1450" spans="3:10" x14ac:dyDescent="0.2">
      <c r="C1450" s="209"/>
      <c r="D1450" s="209"/>
      <c r="E1450" s="209"/>
      <c r="J1450" s="124"/>
    </row>
    <row r="1451" spans="3:10" x14ac:dyDescent="0.2">
      <c r="C1451" s="209"/>
      <c r="D1451" s="209"/>
      <c r="E1451" s="209"/>
      <c r="J1451" s="124"/>
    </row>
    <row r="1452" spans="3:10" x14ac:dyDescent="0.2">
      <c r="C1452" s="209"/>
      <c r="D1452" s="209"/>
      <c r="E1452" s="209"/>
      <c r="J1452" s="124"/>
    </row>
    <row r="1453" spans="3:10" x14ac:dyDescent="0.2">
      <c r="C1453" s="209"/>
      <c r="D1453" s="209"/>
      <c r="E1453" s="209"/>
      <c r="J1453" s="124"/>
    </row>
    <row r="1454" spans="3:10" x14ac:dyDescent="0.2">
      <c r="C1454" s="209"/>
      <c r="D1454" s="209"/>
      <c r="E1454" s="209"/>
      <c r="J1454" s="124"/>
    </row>
    <row r="1455" spans="3:10" x14ac:dyDescent="0.2">
      <c r="C1455" s="209"/>
      <c r="D1455" s="209"/>
      <c r="E1455" s="209"/>
      <c r="J1455" s="124"/>
    </row>
    <row r="1456" spans="3:10" x14ac:dyDescent="0.2">
      <c r="C1456" s="209"/>
      <c r="D1456" s="209"/>
      <c r="E1456" s="209"/>
      <c r="J1456" s="124"/>
    </row>
    <row r="1457" spans="3:10" x14ac:dyDescent="0.2">
      <c r="C1457" s="209"/>
      <c r="D1457" s="209"/>
      <c r="E1457" s="209"/>
      <c r="J1457" s="124"/>
    </row>
    <row r="1458" spans="3:10" x14ac:dyDescent="0.2">
      <c r="C1458" s="209"/>
      <c r="D1458" s="209"/>
      <c r="E1458" s="209"/>
      <c r="J1458" s="124"/>
    </row>
    <row r="1459" spans="3:10" x14ac:dyDescent="0.2">
      <c r="C1459" s="209"/>
      <c r="D1459" s="209"/>
      <c r="E1459" s="209"/>
      <c r="J1459" s="124"/>
    </row>
    <row r="1460" spans="3:10" x14ac:dyDescent="0.2">
      <c r="C1460" s="209"/>
      <c r="D1460" s="209"/>
      <c r="E1460" s="209"/>
      <c r="J1460" s="124"/>
    </row>
    <row r="1461" spans="3:10" x14ac:dyDescent="0.2">
      <c r="C1461" s="209"/>
      <c r="D1461" s="209"/>
      <c r="E1461" s="209"/>
      <c r="J1461" s="124"/>
    </row>
    <row r="1462" spans="3:10" x14ac:dyDescent="0.2">
      <c r="C1462" s="209"/>
      <c r="D1462" s="209"/>
      <c r="E1462" s="209"/>
      <c r="J1462" s="124"/>
    </row>
    <row r="1463" spans="3:10" x14ac:dyDescent="0.2">
      <c r="C1463" s="209"/>
      <c r="D1463" s="209"/>
      <c r="E1463" s="209"/>
      <c r="J1463" s="124"/>
    </row>
    <row r="1464" spans="3:10" x14ac:dyDescent="0.2">
      <c r="C1464" s="209"/>
      <c r="D1464" s="209"/>
      <c r="E1464" s="209"/>
      <c r="J1464" s="124"/>
    </row>
    <row r="1465" spans="3:10" x14ac:dyDescent="0.2">
      <c r="C1465" s="209"/>
      <c r="D1465" s="209"/>
      <c r="E1465" s="209"/>
      <c r="J1465" s="124"/>
    </row>
    <row r="1466" spans="3:10" x14ac:dyDescent="0.2">
      <c r="C1466" s="209"/>
      <c r="D1466" s="209"/>
      <c r="E1466" s="209"/>
      <c r="J1466" s="124"/>
    </row>
    <row r="1467" spans="3:10" x14ac:dyDescent="0.2">
      <c r="C1467" s="209"/>
      <c r="D1467" s="209"/>
      <c r="E1467" s="209"/>
      <c r="J1467" s="124"/>
    </row>
    <row r="1468" spans="3:10" x14ac:dyDescent="0.2">
      <c r="C1468" s="209"/>
      <c r="D1468" s="209"/>
      <c r="E1468" s="209"/>
      <c r="J1468" s="124"/>
    </row>
    <row r="1469" spans="3:10" x14ac:dyDescent="0.2">
      <c r="C1469" s="209"/>
      <c r="D1469" s="209"/>
      <c r="E1469" s="209"/>
      <c r="J1469" s="124"/>
    </row>
    <row r="1470" spans="3:10" x14ac:dyDescent="0.2">
      <c r="C1470" s="209"/>
      <c r="D1470" s="209"/>
      <c r="E1470" s="209"/>
      <c r="J1470" s="124"/>
    </row>
    <row r="1471" spans="3:10" x14ac:dyDescent="0.2">
      <c r="C1471" s="209"/>
      <c r="D1471" s="209"/>
      <c r="E1471" s="209"/>
      <c r="J1471" s="124"/>
    </row>
    <row r="1472" spans="3:10" x14ac:dyDescent="0.2">
      <c r="C1472" s="209"/>
      <c r="D1472" s="209"/>
      <c r="E1472" s="209"/>
      <c r="J1472" s="124"/>
    </row>
    <row r="1473" spans="3:10" x14ac:dyDescent="0.2">
      <c r="C1473" s="209"/>
      <c r="D1473" s="209"/>
      <c r="E1473" s="209"/>
      <c r="J1473" s="124"/>
    </row>
    <row r="1474" spans="3:10" x14ac:dyDescent="0.2">
      <c r="C1474" s="209"/>
      <c r="D1474" s="209"/>
      <c r="E1474" s="209"/>
      <c r="J1474" s="124"/>
    </row>
    <row r="1475" spans="3:10" x14ac:dyDescent="0.2">
      <c r="C1475" s="209"/>
      <c r="D1475" s="209"/>
      <c r="E1475" s="209"/>
      <c r="J1475" s="124"/>
    </row>
    <row r="1476" spans="3:10" x14ac:dyDescent="0.2">
      <c r="C1476" s="209"/>
      <c r="D1476" s="209"/>
      <c r="E1476" s="209"/>
      <c r="J1476" s="124"/>
    </row>
    <row r="1477" spans="3:10" x14ac:dyDescent="0.2">
      <c r="C1477" s="209"/>
      <c r="D1477" s="209"/>
      <c r="E1477" s="209"/>
      <c r="J1477" s="124"/>
    </row>
    <row r="1478" spans="3:10" x14ac:dyDescent="0.2">
      <c r="C1478" s="209"/>
      <c r="D1478" s="209"/>
      <c r="E1478" s="209"/>
      <c r="J1478" s="124"/>
    </row>
    <row r="1479" spans="3:10" x14ac:dyDescent="0.2">
      <c r="C1479" s="209"/>
      <c r="D1479" s="209"/>
      <c r="E1479" s="209"/>
      <c r="J1479" s="124"/>
    </row>
    <row r="1480" spans="3:10" x14ac:dyDescent="0.2">
      <c r="C1480" s="209"/>
      <c r="D1480" s="209"/>
      <c r="E1480" s="209"/>
      <c r="J1480" s="124"/>
    </row>
    <row r="1481" spans="3:10" x14ac:dyDescent="0.2">
      <c r="C1481" s="209"/>
      <c r="D1481" s="209"/>
      <c r="E1481" s="209"/>
      <c r="J1481" s="124"/>
    </row>
    <row r="1482" spans="3:10" x14ac:dyDescent="0.2">
      <c r="C1482" s="209"/>
      <c r="D1482" s="209"/>
      <c r="E1482" s="209"/>
      <c r="J1482" s="124"/>
    </row>
    <row r="1483" spans="3:10" x14ac:dyDescent="0.2">
      <c r="C1483" s="209"/>
      <c r="D1483" s="209"/>
      <c r="E1483" s="209"/>
      <c r="J1483" s="124"/>
    </row>
    <row r="1484" spans="3:10" x14ac:dyDescent="0.2">
      <c r="C1484" s="209"/>
      <c r="D1484" s="209"/>
      <c r="E1484" s="209"/>
      <c r="J1484" s="124"/>
    </row>
    <row r="1485" spans="3:10" x14ac:dyDescent="0.2">
      <c r="C1485" s="209"/>
      <c r="D1485" s="209"/>
      <c r="E1485" s="209"/>
      <c r="J1485" s="124"/>
    </row>
    <row r="1486" spans="3:10" x14ac:dyDescent="0.2">
      <c r="C1486" s="209"/>
      <c r="D1486" s="209"/>
      <c r="E1486" s="209"/>
      <c r="J1486" s="124"/>
    </row>
    <row r="1487" spans="3:10" x14ac:dyDescent="0.2">
      <c r="C1487" s="209"/>
      <c r="D1487" s="209"/>
      <c r="E1487" s="209"/>
      <c r="J1487" s="124"/>
    </row>
    <row r="1488" spans="3:10" x14ac:dyDescent="0.2">
      <c r="C1488" s="209"/>
      <c r="D1488" s="209"/>
      <c r="E1488" s="209"/>
      <c r="J1488" s="124"/>
    </row>
    <row r="1489" spans="3:10" x14ac:dyDescent="0.2">
      <c r="C1489" s="209"/>
      <c r="D1489" s="209"/>
      <c r="E1489" s="209"/>
      <c r="J1489" s="124"/>
    </row>
    <row r="1490" spans="3:10" x14ac:dyDescent="0.2">
      <c r="C1490" s="209"/>
      <c r="D1490" s="209"/>
      <c r="E1490" s="209"/>
      <c r="J1490" s="124"/>
    </row>
    <row r="1491" spans="3:10" x14ac:dyDescent="0.2">
      <c r="C1491" s="209"/>
      <c r="D1491" s="209"/>
      <c r="E1491" s="209"/>
      <c r="J1491" s="124"/>
    </row>
    <row r="1492" spans="3:10" x14ac:dyDescent="0.2">
      <c r="C1492" s="209"/>
      <c r="D1492" s="209"/>
      <c r="E1492" s="209"/>
      <c r="J1492" s="124"/>
    </row>
    <row r="1493" spans="3:10" x14ac:dyDescent="0.2">
      <c r="C1493" s="209"/>
      <c r="D1493" s="209"/>
      <c r="E1493" s="209"/>
      <c r="J1493" s="124"/>
    </row>
    <row r="1494" spans="3:10" x14ac:dyDescent="0.2">
      <c r="C1494" s="209"/>
      <c r="D1494" s="209"/>
      <c r="E1494" s="209"/>
      <c r="J1494" s="124"/>
    </row>
    <row r="1495" spans="3:10" x14ac:dyDescent="0.2">
      <c r="C1495" s="209"/>
      <c r="D1495" s="209"/>
      <c r="E1495" s="209"/>
      <c r="J1495" s="124"/>
    </row>
    <row r="1496" spans="3:10" x14ac:dyDescent="0.2">
      <c r="C1496" s="209"/>
      <c r="D1496" s="209"/>
      <c r="E1496" s="209"/>
      <c r="J1496" s="124"/>
    </row>
    <row r="1497" spans="3:10" x14ac:dyDescent="0.2">
      <c r="C1497" s="209"/>
      <c r="D1497" s="209"/>
      <c r="E1497" s="209"/>
      <c r="J1497" s="124"/>
    </row>
    <row r="1498" spans="3:10" x14ac:dyDescent="0.2">
      <c r="C1498" s="209"/>
      <c r="D1498" s="209"/>
      <c r="E1498" s="209"/>
      <c r="J1498" s="124"/>
    </row>
    <row r="1499" spans="3:10" x14ac:dyDescent="0.2">
      <c r="C1499" s="209"/>
      <c r="D1499" s="209"/>
      <c r="E1499" s="209"/>
      <c r="J1499" s="124"/>
    </row>
    <row r="1500" spans="3:10" x14ac:dyDescent="0.2">
      <c r="C1500" s="209"/>
      <c r="D1500" s="209"/>
      <c r="E1500" s="209"/>
      <c r="J1500" s="124"/>
    </row>
    <row r="1501" spans="3:10" x14ac:dyDescent="0.2">
      <c r="C1501" s="209"/>
      <c r="D1501" s="209"/>
      <c r="E1501" s="209"/>
      <c r="J1501" s="124"/>
    </row>
    <row r="1502" spans="3:10" x14ac:dyDescent="0.2">
      <c r="C1502" s="209"/>
      <c r="D1502" s="209"/>
      <c r="E1502" s="209"/>
      <c r="J1502" s="124"/>
    </row>
    <row r="1503" spans="3:10" x14ac:dyDescent="0.2">
      <c r="C1503" s="209"/>
      <c r="D1503" s="209"/>
      <c r="E1503" s="209"/>
      <c r="J1503" s="124"/>
    </row>
    <row r="1504" spans="3:10" x14ac:dyDescent="0.2">
      <c r="C1504" s="209"/>
      <c r="D1504" s="209"/>
      <c r="E1504" s="209"/>
      <c r="J1504" s="124"/>
    </row>
    <row r="1505" spans="3:10" x14ac:dyDescent="0.2">
      <c r="C1505" s="209"/>
      <c r="D1505" s="209"/>
      <c r="E1505" s="209"/>
      <c r="J1505" s="124"/>
    </row>
    <row r="1506" spans="3:10" x14ac:dyDescent="0.2">
      <c r="C1506" s="209"/>
      <c r="D1506" s="209"/>
      <c r="E1506" s="209"/>
      <c r="J1506" s="124"/>
    </row>
    <row r="1507" spans="3:10" x14ac:dyDescent="0.2">
      <c r="C1507" s="209"/>
      <c r="D1507" s="209"/>
      <c r="E1507" s="209"/>
      <c r="J1507" s="124"/>
    </row>
    <row r="1508" spans="3:10" x14ac:dyDescent="0.2">
      <c r="C1508" s="209"/>
      <c r="D1508" s="209"/>
      <c r="E1508" s="209"/>
      <c r="J1508" s="124"/>
    </row>
    <row r="1509" spans="3:10" x14ac:dyDescent="0.2">
      <c r="C1509" s="209"/>
      <c r="D1509" s="209"/>
      <c r="E1509" s="209"/>
      <c r="J1509" s="124"/>
    </row>
    <row r="1510" spans="3:10" x14ac:dyDescent="0.2">
      <c r="C1510" s="209"/>
      <c r="D1510" s="209"/>
      <c r="E1510" s="209"/>
      <c r="J1510" s="124"/>
    </row>
    <row r="1511" spans="3:10" x14ac:dyDescent="0.2">
      <c r="C1511" s="209"/>
      <c r="D1511" s="209"/>
      <c r="E1511" s="209"/>
      <c r="J1511" s="124"/>
    </row>
    <row r="1512" spans="3:10" x14ac:dyDescent="0.2">
      <c r="C1512" s="209"/>
      <c r="D1512" s="209"/>
      <c r="E1512" s="209"/>
      <c r="J1512" s="124"/>
    </row>
    <row r="1513" spans="3:10" x14ac:dyDescent="0.2">
      <c r="C1513" s="209"/>
      <c r="D1513" s="209"/>
      <c r="E1513" s="209"/>
      <c r="J1513" s="124"/>
    </row>
    <row r="1514" spans="3:10" x14ac:dyDescent="0.2">
      <c r="C1514" s="209"/>
      <c r="D1514" s="209"/>
      <c r="E1514" s="209"/>
      <c r="J1514" s="124"/>
    </row>
    <row r="1515" spans="3:10" x14ac:dyDescent="0.2">
      <c r="C1515" s="209"/>
      <c r="D1515" s="209"/>
      <c r="E1515" s="209"/>
      <c r="J1515" s="124"/>
    </row>
    <row r="1516" spans="3:10" x14ac:dyDescent="0.2">
      <c r="C1516" s="209"/>
      <c r="D1516" s="209"/>
      <c r="E1516" s="209"/>
      <c r="J1516" s="124"/>
    </row>
    <row r="1517" spans="3:10" x14ac:dyDescent="0.2">
      <c r="C1517" s="209"/>
      <c r="D1517" s="209"/>
      <c r="E1517" s="209"/>
      <c r="J1517" s="124"/>
    </row>
    <row r="1518" spans="3:10" x14ac:dyDescent="0.2">
      <c r="C1518" s="209"/>
      <c r="D1518" s="209"/>
      <c r="E1518" s="209"/>
      <c r="J1518" s="124"/>
    </row>
    <row r="1519" spans="3:10" x14ac:dyDescent="0.2">
      <c r="C1519" s="209"/>
      <c r="D1519" s="209"/>
      <c r="E1519" s="209"/>
      <c r="J1519" s="124"/>
    </row>
    <row r="1520" spans="3:10" x14ac:dyDescent="0.2">
      <c r="C1520" s="209"/>
      <c r="D1520" s="209"/>
      <c r="E1520" s="209"/>
      <c r="J1520" s="124"/>
    </row>
    <row r="1521" spans="3:10" x14ac:dyDescent="0.2">
      <c r="C1521" s="209"/>
      <c r="D1521" s="209"/>
      <c r="E1521" s="209"/>
      <c r="J1521" s="124"/>
    </row>
    <row r="1522" spans="3:10" x14ac:dyDescent="0.2">
      <c r="C1522" s="209"/>
      <c r="D1522" s="209"/>
      <c r="E1522" s="209"/>
      <c r="J1522" s="124"/>
    </row>
    <row r="1523" spans="3:10" x14ac:dyDescent="0.2">
      <c r="C1523" s="209"/>
      <c r="D1523" s="209"/>
      <c r="E1523" s="209"/>
      <c r="J1523" s="124"/>
    </row>
    <row r="1524" spans="3:10" x14ac:dyDescent="0.2">
      <c r="C1524" s="209"/>
      <c r="D1524" s="209"/>
      <c r="E1524" s="209"/>
      <c r="J1524" s="124"/>
    </row>
    <row r="1525" spans="3:10" x14ac:dyDescent="0.2">
      <c r="C1525" s="209"/>
      <c r="D1525" s="209"/>
      <c r="E1525" s="209"/>
      <c r="J1525" s="124"/>
    </row>
    <row r="1526" spans="3:10" x14ac:dyDescent="0.2">
      <c r="C1526" s="209"/>
      <c r="D1526" s="209"/>
      <c r="E1526" s="209"/>
      <c r="J1526" s="124"/>
    </row>
    <row r="1527" spans="3:10" x14ac:dyDescent="0.2">
      <c r="C1527" s="209"/>
      <c r="D1527" s="209"/>
      <c r="E1527" s="209"/>
      <c r="J1527" s="124"/>
    </row>
    <row r="1528" spans="3:10" x14ac:dyDescent="0.2">
      <c r="C1528" s="209"/>
      <c r="D1528" s="209"/>
      <c r="E1528" s="209"/>
      <c r="J1528" s="124"/>
    </row>
    <row r="1529" spans="3:10" x14ac:dyDescent="0.2">
      <c r="C1529" s="209"/>
      <c r="D1529" s="209"/>
      <c r="E1529" s="209"/>
      <c r="J1529" s="124"/>
    </row>
    <row r="1530" spans="3:10" x14ac:dyDescent="0.2">
      <c r="C1530" s="209"/>
      <c r="D1530" s="209"/>
      <c r="E1530" s="209"/>
      <c r="J1530" s="124"/>
    </row>
    <row r="1531" spans="3:10" x14ac:dyDescent="0.2">
      <c r="C1531" s="209"/>
      <c r="D1531" s="209"/>
      <c r="E1531" s="209"/>
      <c r="J1531" s="124"/>
    </row>
    <row r="1532" spans="3:10" x14ac:dyDescent="0.2">
      <c r="C1532" s="209"/>
      <c r="D1532" s="209"/>
      <c r="E1532" s="209"/>
      <c r="J1532" s="124"/>
    </row>
    <row r="1533" spans="3:10" x14ac:dyDescent="0.2">
      <c r="C1533" s="209"/>
      <c r="D1533" s="209"/>
      <c r="E1533" s="209"/>
      <c r="J1533" s="124"/>
    </row>
    <row r="1534" spans="3:10" x14ac:dyDescent="0.2">
      <c r="C1534" s="209"/>
      <c r="D1534" s="209"/>
      <c r="E1534" s="209"/>
      <c r="J1534" s="124"/>
    </row>
    <row r="1535" spans="3:10" x14ac:dyDescent="0.2">
      <c r="C1535" s="209"/>
      <c r="D1535" s="209"/>
      <c r="E1535" s="209"/>
      <c r="J1535" s="124"/>
    </row>
    <row r="1536" spans="3:10" x14ac:dyDescent="0.2">
      <c r="C1536" s="209"/>
      <c r="D1536" s="209"/>
      <c r="E1536" s="209"/>
      <c r="J1536" s="124"/>
    </row>
    <row r="1537" spans="3:10" x14ac:dyDescent="0.2">
      <c r="C1537" s="209"/>
      <c r="D1537" s="209"/>
      <c r="E1537" s="209"/>
      <c r="J1537" s="124"/>
    </row>
    <row r="1538" spans="3:10" x14ac:dyDescent="0.2">
      <c r="C1538" s="209"/>
      <c r="D1538" s="209"/>
      <c r="E1538" s="209"/>
      <c r="J1538" s="124"/>
    </row>
    <row r="1539" spans="3:10" x14ac:dyDescent="0.2">
      <c r="C1539" s="209"/>
      <c r="D1539" s="209"/>
      <c r="E1539" s="209"/>
      <c r="J1539" s="124"/>
    </row>
    <row r="1540" spans="3:10" x14ac:dyDescent="0.2">
      <c r="C1540" s="209"/>
      <c r="D1540" s="209"/>
      <c r="E1540" s="209"/>
      <c r="J1540" s="124"/>
    </row>
    <row r="1541" spans="3:10" x14ac:dyDescent="0.2">
      <c r="C1541" s="209"/>
      <c r="D1541" s="209"/>
      <c r="E1541" s="209"/>
      <c r="J1541" s="124"/>
    </row>
    <row r="1542" spans="3:10" x14ac:dyDescent="0.2">
      <c r="C1542" s="209"/>
      <c r="D1542" s="209"/>
      <c r="E1542" s="209"/>
      <c r="J1542" s="124"/>
    </row>
    <row r="1543" spans="3:10" x14ac:dyDescent="0.2">
      <c r="C1543" s="209"/>
      <c r="D1543" s="209"/>
      <c r="E1543" s="209"/>
      <c r="J1543" s="124"/>
    </row>
    <row r="1544" spans="3:10" x14ac:dyDescent="0.2">
      <c r="C1544" s="209"/>
      <c r="D1544" s="209"/>
      <c r="E1544" s="209"/>
      <c r="J1544" s="124"/>
    </row>
    <row r="1545" spans="3:10" x14ac:dyDescent="0.2">
      <c r="C1545" s="209"/>
      <c r="D1545" s="209"/>
      <c r="E1545" s="209"/>
      <c r="J1545" s="124"/>
    </row>
    <row r="1546" spans="3:10" x14ac:dyDescent="0.2">
      <c r="C1546" s="209"/>
      <c r="D1546" s="209"/>
      <c r="E1546" s="209"/>
      <c r="J1546" s="124"/>
    </row>
    <row r="1547" spans="3:10" x14ac:dyDescent="0.2">
      <c r="C1547" s="209"/>
      <c r="D1547" s="209"/>
      <c r="E1547" s="209"/>
      <c r="J1547" s="124"/>
    </row>
    <row r="1548" spans="3:10" x14ac:dyDescent="0.2">
      <c r="C1548" s="209"/>
      <c r="D1548" s="209"/>
      <c r="E1548" s="209"/>
      <c r="J1548" s="124"/>
    </row>
    <row r="1549" spans="3:10" x14ac:dyDescent="0.2">
      <c r="C1549" s="209"/>
      <c r="D1549" s="209"/>
      <c r="E1549" s="209"/>
      <c r="J1549" s="124"/>
    </row>
    <row r="1550" spans="3:10" x14ac:dyDescent="0.2">
      <c r="C1550" s="209"/>
      <c r="D1550" s="209"/>
      <c r="E1550" s="209"/>
      <c r="J1550" s="124"/>
    </row>
    <row r="1551" spans="3:10" x14ac:dyDescent="0.2">
      <c r="C1551" s="209"/>
      <c r="D1551" s="209"/>
      <c r="E1551" s="209"/>
      <c r="J1551" s="124"/>
    </row>
    <row r="1552" spans="3:10" x14ac:dyDescent="0.2">
      <c r="C1552" s="209"/>
      <c r="D1552" s="209"/>
      <c r="E1552" s="209"/>
      <c r="J1552" s="124"/>
    </row>
    <row r="1553" spans="3:10" x14ac:dyDescent="0.2">
      <c r="C1553" s="209"/>
      <c r="D1553" s="209"/>
      <c r="E1553" s="209"/>
      <c r="J1553" s="124"/>
    </row>
    <row r="1554" spans="3:10" x14ac:dyDescent="0.2">
      <c r="C1554" s="209"/>
      <c r="D1554" s="209"/>
      <c r="E1554" s="209"/>
      <c r="J1554" s="124"/>
    </row>
    <row r="1555" spans="3:10" x14ac:dyDescent="0.2">
      <c r="C1555" s="209"/>
      <c r="D1555" s="209"/>
      <c r="E1555" s="209"/>
      <c r="J1555" s="124"/>
    </row>
    <row r="1556" spans="3:10" x14ac:dyDescent="0.2">
      <c r="C1556" s="209"/>
      <c r="D1556" s="209"/>
      <c r="E1556" s="209"/>
      <c r="J1556" s="124"/>
    </row>
    <row r="1557" spans="3:10" x14ac:dyDescent="0.2">
      <c r="C1557" s="209"/>
      <c r="D1557" s="209"/>
      <c r="E1557" s="209"/>
      <c r="J1557" s="124"/>
    </row>
    <row r="1558" spans="3:10" x14ac:dyDescent="0.2">
      <c r="C1558" s="209"/>
      <c r="D1558" s="209"/>
      <c r="E1558" s="209"/>
      <c r="J1558" s="124"/>
    </row>
    <row r="1559" spans="3:10" x14ac:dyDescent="0.2">
      <c r="C1559" s="209"/>
      <c r="D1559" s="209"/>
      <c r="E1559" s="209"/>
      <c r="J1559" s="124"/>
    </row>
    <row r="1560" spans="3:10" x14ac:dyDescent="0.2">
      <c r="C1560" s="209"/>
      <c r="D1560" s="209"/>
      <c r="E1560" s="209"/>
      <c r="J1560" s="124"/>
    </row>
    <row r="1561" spans="3:10" x14ac:dyDescent="0.2">
      <c r="C1561" s="209"/>
      <c r="D1561" s="209"/>
      <c r="E1561" s="209"/>
      <c r="J1561" s="124"/>
    </row>
    <row r="1562" spans="3:10" x14ac:dyDescent="0.2">
      <c r="C1562" s="209"/>
      <c r="D1562" s="209"/>
      <c r="E1562" s="209"/>
      <c r="J1562" s="124"/>
    </row>
    <row r="1563" spans="3:10" x14ac:dyDescent="0.2">
      <c r="C1563" s="209"/>
      <c r="D1563" s="209"/>
      <c r="E1563" s="209"/>
      <c r="J1563" s="124"/>
    </row>
    <row r="1564" spans="3:10" x14ac:dyDescent="0.2">
      <c r="C1564" s="209"/>
      <c r="D1564" s="209"/>
      <c r="E1564" s="209"/>
      <c r="J1564" s="124"/>
    </row>
    <row r="1565" spans="3:10" x14ac:dyDescent="0.2">
      <c r="C1565" s="209"/>
      <c r="D1565" s="209"/>
      <c r="E1565" s="209"/>
      <c r="J1565" s="124"/>
    </row>
    <row r="1566" spans="3:10" x14ac:dyDescent="0.2">
      <c r="C1566" s="209"/>
      <c r="D1566" s="209"/>
      <c r="E1566" s="209"/>
      <c r="J1566" s="124"/>
    </row>
    <row r="1567" spans="3:10" x14ac:dyDescent="0.2">
      <c r="C1567" s="209"/>
      <c r="D1567" s="209"/>
      <c r="E1567" s="209"/>
      <c r="J1567" s="124"/>
    </row>
    <row r="1568" spans="3:10" x14ac:dyDescent="0.2">
      <c r="C1568" s="209"/>
      <c r="D1568" s="209"/>
      <c r="E1568" s="209"/>
      <c r="J1568" s="124"/>
    </row>
    <row r="1569" spans="3:10" x14ac:dyDescent="0.2">
      <c r="C1569" s="209"/>
      <c r="D1569" s="209"/>
      <c r="E1569" s="209"/>
      <c r="J1569" s="124"/>
    </row>
    <row r="1570" spans="3:10" x14ac:dyDescent="0.2">
      <c r="C1570" s="209"/>
      <c r="D1570" s="209"/>
      <c r="E1570" s="209"/>
      <c r="J1570" s="124"/>
    </row>
    <row r="1571" spans="3:10" x14ac:dyDescent="0.2">
      <c r="C1571" s="209"/>
      <c r="D1571" s="209"/>
      <c r="E1571" s="209"/>
      <c r="J1571" s="124"/>
    </row>
    <row r="1572" spans="3:10" x14ac:dyDescent="0.2">
      <c r="C1572" s="209"/>
      <c r="D1572" s="209"/>
      <c r="E1572" s="209"/>
      <c r="J1572" s="124"/>
    </row>
    <row r="1573" spans="3:10" x14ac:dyDescent="0.2">
      <c r="C1573" s="209"/>
      <c r="D1573" s="209"/>
      <c r="E1573" s="209"/>
      <c r="J1573" s="124"/>
    </row>
    <row r="1574" spans="3:10" x14ac:dyDescent="0.2">
      <c r="C1574" s="209"/>
      <c r="D1574" s="209"/>
      <c r="E1574" s="209"/>
      <c r="J1574" s="124"/>
    </row>
    <row r="1575" spans="3:10" x14ac:dyDescent="0.2">
      <c r="C1575" s="209"/>
      <c r="D1575" s="209"/>
      <c r="E1575" s="209"/>
      <c r="J1575" s="124"/>
    </row>
    <row r="1576" spans="3:10" x14ac:dyDescent="0.2">
      <c r="C1576" s="209"/>
      <c r="D1576" s="209"/>
      <c r="E1576" s="209"/>
      <c r="J1576" s="124"/>
    </row>
    <row r="1577" spans="3:10" x14ac:dyDescent="0.2">
      <c r="C1577" s="209"/>
      <c r="D1577" s="209"/>
      <c r="E1577" s="209"/>
      <c r="J1577" s="124"/>
    </row>
    <row r="1578" spans="3:10" x14ac:dyDescent="0.2">
      <c r="C1578" s="209"/>
      <c r="D1578" s="209"/>
      <c r="E1578" s="209"/>
      <c r="J1578" s="124"/>
    </row>
    <row r="1579" spans="3:10" x14ac:dyDescent="0.2">
      <c r="C1579" s="209"/>
      <c r="D1579" s="209"/>
      <c r="E1579" s="209"/>
      <c r="J1579" s="124"/>
    </row>
    <row r="1580" spans="3:10" x14ac:dyDescent="0.2">
      <c r="C1580" s="209"/>
      <c r="D1580" s="209"/>
      <c r="E1580" s="209"/>
      <c r="J1580" s="124"/>
    </row>
    <row r="1581" spans="3:10" x14ac:dyDescent="0.2">
      <c r="C1581" s="209"/>
      <c r="D1581" s="209"/>
      <c r="E1581" s="209"/>
      <c r="J1581" s="124"/>
    </row>
    <row r="1582" spans="3:10" x14ac:dyDescent="0.2">
      <c r="C1582" s="209"/>
      <c r="D1582" s="209"/>
      <c r="E1582" s="209"/>
      <c r="J1582" s="124"/>
    </row>
    <row r="1583" spans="3:10" x14ac:dyDescent="0.2">
      <c r="C1583" s="209"/>
      <c r="D1583" s="209"/>
      <c r="E1583" s="209"/>
      <c r="J1583" s="124"/>
    </row>
    <row r="1584" spans="3:10" x14ac:dyDescent="0.2">
      <c r="C1584" s="209"/>
      <c r="D1584" s="209"/>
      <c r="E1584" s="209"/>
      <c r="J1584" s="124"/>
    </row>
    <row r="1585" spans="3:10" x14ac:dyDescent="0.2">
      <c r="C1585" s="209"/>
      <c r="D1585" s="209"/>
      <c r="E1585" s="209"/>
      <c r="J1585" s="124"/>
    </row>
    <row r="1586" spans="3:10" x14ac:dyDescent="0.2">
      <c r="C1586" s="209"/>
      <c r="D1586" s="209"/>
      <c r="E1586" s="209"/>
      <c r="J1586" s="124"/>
    </row>
    <row r="1587" spans="3:10" x14ac:dyDescent="0.2">
      <c r="C1587" s="209"/>
      <c r="D1587" s="209"/>
      <c r="E1587" s="209"/>
      <c r="J1587" s="124"/>
    </row>
    <row r="1588" spans="3:10" x14ac:dyDescent="0.2">
      <c r="C1588" s="209"/>
      <c r="D1588" s="209"/>
      <c r="E1588" s="209"/>
      <c r="J1588" s="124"/>
    </row>
    <row r="1589" spans="3:10" x14ac:dyDescent="0.2">
      <c r="C1589" s="209"/>
      <c r="D1589" s="209"/>
      <c r="E1589" s="209"/>
      <c r="J1589" s="124"/>
    </row>
    <row r="1590" spans="3:10" x14ac:dyDescent="0.2">
      <c r="C1590" s="209"/>
      <c r="D1590" s="209"/>
      <c r="E1590" s="209"/>
      <c r="J1590" s="124"/>
    </row>
    <row r="1591" spans="3:10" x14ac:dyDescent="0.2">
      <c r="C1591" s="209"/>
      <c r="D1591" s="209"/>
      <c r="E1591" s="209"/>
      <c r="J1591" s="124"/>
    </row>
    <row r="1592" spans="3:10" x14ac:dyDescent="0.2">
      <c r="C1592" s="209"/>
      <c r="D1592" s="209"/>
      <c r="E1592" s="209"/>
      <c r="J1592" s="124"/>
    </row>
    <row r="1593" spans="3:10" x14ac:dyDescent="0.2">
      <c r="C1593" s="209"/>
      <c r="D1593" s="209"/>
      <c r="E1593" s="209"/>
      <c r="J1593" s="124"/>
    </row>
    <row r="1594" spans="3:10" x14ac:dyDescent="0.2">
      <c r="C1594" s="209"/>
      <c r="D1594" s="209"/>
      <c r="E1594" s="209"/>
      <c r="J1594" s="124"/>
    </row>
    <row r="1595" spans="3:10" x14ac:dyDescent="0.2">
      <c r="C1595" s="209"/>
      <c r="D1595" s="209"/>
      <c r="E1595" s="209"/>
      <c r="J1595" s="124"/>
    </row>
    <row r="1596" spans="3:10" x14ac:dyDescent="0.2">
      <c r="C1596" s="209"/>
      <c r="D1596" s="209"/>
      <c r="E1596" s="209"/>
      <c r="J1596" s="124"/>
    </row>
    <row r="1597" spans="3:10" x14ac:dyDescent="0.2">
      <c r="C1597" s="209"/>
      <c r="D1597" s="209"/>
      <c r="E1597" s="209"/>
      <c r="J1597" s="124"/>
    </row>
    <row r="1598" spans="3:10" x14ac:dyDescent="0.2">
      <c r="C1598" s="209"/>
      <c r="D1598" s="209"/>
      <c r="E1598" s="209"/>
      <c r="J1598" s="124"/>
    </row>
    <row r="1599" spans="3:10" x14ac:dyDescent="0.2">
      <c r="C1599" s="209"/>
      <c r="D1599" s="209"/>
      <c r="E1599" s="209"/>
      <c r="J1599" s="124"/>
    </row>
    <row r="1600" spans="3:10" x14ac:dyDescent="0.2">
      <c r="C1600" s="209"/>
      <c r="D1600" s="209"/>
      <c r="E1600" s="209"/>
      <c r="J1600" s="124"/>
    </row>
    <row r="1601" spans="3:10" x14ac:dyDescent="0.2">
      <c r="C1601" s="209"/>
      <c r="D1601" s="209"/>
      <c r="E1601" s="209"/>
      <c r="J1601" s="124"/>
    </row>
    <row r="1602" spans="3:10" x14ac:dyDescent="0.2">
      <c r="C1602" s="209"/>
      <c r="D1602" s="209"/>
      <c r="E1602" s="209"/>
      <c r="J1602" s="124"/>
    </row>
    <row r="1603" spans="3:10" x14ac:dyDescent="0.2">
      <c r="C1603" s="209"/>
      <c r="D1603" s="209"/>
      <c r="E1603" s="209"/>
      <c r="J1603" s="124"/>
    </row>
    <row r="1604" spans="3:10" x14ac:dyDescent="0.2">
      <c r="C1604" s="209"/>
      <c r="D1604" s="209"/>
      <c r="E1604" s="209"/>
      <c r="J1604" s="124"/>
    </row>
    <row r="1605" spans="3:10" x14ac:dyDescent="0.2">
      <c r="C1605" s="209"/>
      <c r="D1605" s="209"/>
      <c r="E1605" s="209"/>
      <c r="J1605" s="124"/>
    </row>
    <row r="1606" spans="3:10" x14ac:dyDescent="0.2">
      <c r="C1606" s="209"/>
      <c r="D1606" s="209"/>
      <c r="E1606" s="209"/>
      <c r="J1606" s="124"/>
    </row>
    <row r="1607" spans="3:10" x14ac:dyDescent="0.2">
      <c r="C1607" s="209"/>
      <c r="D1607" s="209"/>
      <c r="E1607" s="209"/>
      <c r="J1607" s="124"/>
    </row>
    <row r="1608" spans="3:10" x14ac:dyDescent="0.2">
      <c r="C1608" s="209"/>
      <c r="D1608" s="209"/>
      <c r="E1608" s="209"/>
      <c r="J1608" s="124"/>
    </row>
    <row r="1609" spans="3:10" x14ac:dyDescent="0.2">
      <c r="C1609" s="209"/>
      <c r="D1609" s="209"/>
      <c r="E1609" s="209"/>
      <c r="J1609" s="124"/>
    </row>
    <row r="1610" spans="3:10" x14ac:dyDescent="0.2">
      <c r="C1610" s="209"/>
      <c r="D1610" s="209"/>
      <c r="E1610" s="209"/>
      <c r="J1610" s="124"/>
    </row>
    <row r="1611" spans="3:10" x14ac:dyDescent="0.2">
      <c r="C1611" s="209"/>
      <c r="D1611" s="209"/>
      <c r="E1611" s="209"/>
      <c r="J1611" s="124"/>
    </row>
    <row r="1612" spans="3:10" x14ac:dyDescent="0.2">
      <c r="C1612" s="209"/>
      <c r="D1612" s="209"/>
      <c r="E1612" s="209"/>
      <c r="J1612" s="124"/>
    </row>
    <row r="1613" spans="3:10" x14ac:dyDescent="0.2">
      <c r="C1613" s="209"/>
      <c r="D1613" s="209"/>
      <c r="E1613" s="209"/>
      <c r="J1613" s="124"/>
    </row>
    <row r="1614" spans="3:10" x14ac:dyDescent="0.2">
      <c r="C1614" s="209"/>
      <c r="D1614" s="209"/>
      <c r="E1614" s="209"/>
      <c r="J1614" s="124"/>
    </row>
    <row r="1615" spans="3:10" x14ac:dyDescent="0.2">
      <c r="C1615" s="209"/>
      <c r="D1615" s="209"/>
      <c r="E1615" s="209"/>
      <c r="J1615" s="124"/>
    </row>
    <row r="1616" spans="3:10" x14ac:dyDescent="0.2">
      <c r="C1616" s="209"/>
      <c r="D1616" s="209"/>
      <c r="E1616" s="209"/>
      <c r="J1616" s="124"/>
    </row>
    <row r="1617" spans="3:10" x14ac:dyDescent="0.2">
      <c r="C1617" s="209"/>
      <c r="D1617" s="209"/>
      <c r="E1617" s="209"/>
      <c r="J1617" s="124"/>
    </row>
    <row r="1618" spans="3:10" x14ac:dyDescent="0.2">
      <c r="C1618" s="209"/>
      <c r="D1618" s="209"/>
      <c r="E1618" s="209"/>
      <c r="J1618" s="124"/>
    </row>
    <row r="1619" spans="3:10" x14ac:dyDescent="0.2">
      <c r="C1619" s="209"/>
      <c r="D1619" s="209"/>
      <c r="E1619" s="209"/>
      <c r="J1619" s="124"/>
    </row>
    <row r="1620" spans="3:10" x14ac:dyDescent="0.2">
      <c r="C1620" s="209"/>
      <c r="D1620" s="209"/>
      <c r="E1620" s="209"/>
      <c r="J1620" s="124"/>
    </row>
    <row r="1621" spans="3:10" x14ac:dyDescent="0.2">
      <c r="C1621" s="209"/>
      <c r="D1621" s="209"/>
      <c r="E1621" s="209"/>
      <c r="J1621" s="124"/>
    </row>
    <row r="1622" spans="3:10" x14ac:dyDescent="0.2">
      <c r="C1622" s="209"/>
      <c r="D1622" s="209"/>
      <c r="E1622" s="209"/>
      <c r="J1622" s="124"/>
    </row>
    <row r="1623" spans="3:10" x14ac:dyDescent="0.2">
      <c r="C1623" s="209"/>
      <c r="D1623" s="209"/>
      <c r="E1623" s="209"/>
      <c r="J1623" s="124"/>
    </row>
    <row r="1624" spans="3:10" x14ac:dyDescent="0.2">
      <c r="C1624" s="209"/>
      <c r="D1624" s="209"/>
      <c r="E1624" s="209"/>
      <c r="J1624" s="124"/>
    </row>
    <row r="1625" spans="3:10" x14ac:dyDescent="0.2">
      <c r="C1625" s="209"/>
      <c r="D1625" s="209"/>
      <c r="E1625" s="209"/>
      <c r="J1625" s="124"/>
    </row>
    <row r="1626" spans="3:10" x14ac:dyDescent="0.2">
      <c r="C1626" s="209"/>
      <c r="D1626" s="209"/>
      <c r="E1626" s="209"/>
      <c r="J1626" s="124"/>
    </row>
    <row r="1627" spans="3:10" x14ac:dyDescent="0.2">
      <c r="C1627" s="209"/>
      <c r="D1627" s="209"/>
      <c r="E1627" s="209"/>
      <c r="J1627" s="124"/>
    </row>
    <row r="1628" spans="3:10" x14ac:dyDescent="0.2">
      <c r="C1628" s="209"/>
      <c r="D1628" s="209"/>
      <c r="E1628" s="209"/>
      <c r="J1628" s="124"/>
    </row>
    <row r="1629" spans="3:10" x14ac:dyDescent="0.2">
      <c r="C1629" s="209"/>
      <c r="D1629" s="209"/>
      <c r="E1629" s="209"/>
      <c r="J1629" s="124"/>
    </row>
    <row r="1630" spans="3:10" x14ac:dyDescent="0.2">
      <c r="C1630" s="209"/>
      <c r="D1630" s="209"/>
      <c r="E1630" s="209"/>
      <c r="J1630" s="124"/>
    </row>
    <row r="1631" spans="3:10" x14ac:dyDescent="0.2">
      <c r="C1631" s="209"/>
      <c r="D1631" s="209"/>
      <c r="E1631" s="209"/>
      <c r="J1631" s="124"/>
    </row>
    <row r="1632" spans="3:10" x14ac:dyDescent="0.2">
      <c r="C1632" s="209"/>
      <c r="D1632" s="209"/>
      <c r="E1632" s="209"/>
      <c r="J1632" s="124"/>
    </row>
    <row r="1633" spans="3:10" x14ac:dyDescent="0.2">
      <c r="C1633" s="209"/>
      <c r="D1633" s="209"/>
      <c r="E1633" s="209"/>
      <c r="J1633" s="124"/>
    </row>
    <row r="1634" spans="3:10" x14ac:dyDescent="0.2">
      <c r="C1634" s="209"/>
      <c r="D1634" s="209"/>
      <c r="E1634" s="209"/>
      <c r="J1634" s="124"/>
    </row>
    <row r="1635" spans="3:10" x14ac:dyDescent="0.2">
      <c r="C1635" s="209"/>
      <c r="D1635" s="209"/>
      <c r="E1635" s="209"/>
      <c r="J1635" s="124"/>
    </row>
    <row r="1636" spans="3:10" x14ac:dyDescent="0.2">
      <c r="C1636" s="209"/>
      <c r="D1636" s="209"/>
      <c r="E1636" s="209"/>
      <c r="J1636" s="124"/>
    </row>
    <row r="1637" spans="3:10" x14ac:dyDescent="0.2">
      <c r="C1637" s="209"/>
      <c r="D1637" s="209"/>
      <c r="E1637" s="209"/>
      <c r="J1637" s="124"/>
    </row>
    <row r="1638" spans="3:10" x14ac:dyDescent="0.2">
      <c r="C1638" s="209"/>
      <c r="D1638" s="209"/>
      <c r="E1638" s="209"/>
      <c r="J1638" s="124"/>
    </row>
    <row r="1639" spans="3:10" x14ac:dyDescent="0.2">
      <c r="C1639" s="209"/>
      <c r="D1639" s="209"/>
      <c r="E1639" s="209"/>
      <c r="J1639" s="124"/>
    </row>
    <row r="1640" spans="3:10" x14ac:dyDescent="0.2">
      <c r="C1640" s="209"/>
      <c r="D1640" s="209"/>
      <c r="E1640" s="209"/>
      <c r="J1640" s="124"/>
    </row>
    <row r="1641" spans="3:10" x14ac:dyDescent="0.2">
      <c r="C1641" s="209"/>
      <c r="D1641" s="209"/>
      <c r="E1641" s="209"/>
      <c r="J1641" s="124"/>
    </row>
    <row r="1642" spans="3:10" x14ac:dyDescent="0.2">
      <c r="C1642" s="209"/>
      <c r="D1642" s="209"/>
      <c r="E1642" s="209"/>
      <c r="J1642" s="124"/>
    </row>
    <row r="1643" spans="3:10" x14ac:dyDescent="0.2">
      <c r="C1643" s="209"/>
      <c r="D1643" s="209"/>
      <c r="E1643" s="209"/>
      <c r="J1643" s="124"/>
    </row>
    <row r="1644" spans="3:10" x14ac:dyDescent="0.2">
      <c r="C1644" s="209"/>
      <c r="D1644" s="209"/>
      <c r="E1644" s="209"/>
      <c r="J1644" s="124"/>
    </row>
    <row r="1645" spans="3:10" x14ac:dyDescent="0.2">
      <c r="C1645" s="209"/>
      <c r="D1645" s="209"/>
      <c r="E1645" s="209"/>
      <c r="J1645" s="124"/>
    </row>
    <row r="1646" spans="3:10" x14ac:dyDescent="0.2">
      <c r="C1646" s="209"/>
      <c r="D1646" s="209"/>
      <c r="E1646" s="209"/>
      <c r="J1646" s="124"/>
    </row>
    <row r="1647" spans="3:10" x14ac:dyDescent="0.2">
      <c r="C1647" s="209"/>
      <c r="D1647" s="209"/>
      <c r="E1647" s="209"/>
      <c r="J1647" s="124"/>
    </row>
    <row r="1648" spans="3:10" x14ac:dyDescent="0.2">
      <c r="C1648" s="209"/>
      <c r="D1648" s="209"/>
      <c r="E1648" s="209"/>
      <c r="J1648" s="124"/>
    </row>
    <row r="1649" spans="3:10" x14ac:dyDescent="0.2">
      <c r="C1649" s="209"/>
      <c r="D1649" s="209"/>
      <c r="E1649" s="209"/>
      <c r="J1649" s="124"/>
    </row>
    <row r="1650" spans="3:10" x14ac:dyDescent="0.2">
      <c r="C1650" s="209"/>
      <c r="D1650" s="209"/>
      <c r="E1650" s="209"/>
      <c r="J1650" s="124"/>
    </row>
    <row r="1651" spans="3:10" x14ac:dyDescent="0.2">
      <c r="C1651" s="209"/>
      <c r="D1651" s="209"/>
      <c r="E1651" s="209"/>
      <c r="J1651" s="124"/>
    </row>
    <row r="1652" spans="3:10" x14ac:dyDescent="0.2">
      <c r="C1652" s="209"/>
      <c r="D1652" s="209"/>
      <c r="E1652" s="209"/>
      <c r="J1652" s="124"/>
    </row>
    <row r="1653" spans="3:10" x14ac:dyDescent="0.2">
      <c r="C1653" s="209"/>
      <c r="D1653" s="209"/>
      <c r="E1653" s="209"/>
      <c r="J1653" s="124"/>
    </row>
    <row r="1654" spans="3:10" x14ac:dyDescent="0.2">
      <c r="C1654" s="209"/>
      <c r="D1654" s="209"/>
      <c r="E1654" s="209"/>
      <c r="J1654" s="124"/>
    </row>
    <row r="1655" spans="3:10" x14ac:dyDescent="0.2">
      <c r="C1655" s="209"/>
      <c r="D1655" s="209"/>
      <c r="E1655" s="209"/>
      <c r="J1655" s="124"/>
    </row>
    <row r="1656" spans="3:10" x14ac:dyDescent="0.2">
      <c r="C1656" s="209"/>
      <c r="D1656" s="209"/>
      <c r="E1656" s="209"/>
      <c r="J1656" s="124"/>
    </row>
    <row r="1657" spans="3:10" x14ac:dyDescent="0.2">
      <c r="C1657" s="209"/>
      <c r="D1657" s="209"/>
      <c r="E1657" s="209"/>
      <c r="J1657" s="124"/>
    </row>
    <row r="1658" spans="3:10" x14ac:dyDescent="0.2">
      <c r="C1658" s="209"/>
      <c r="D1658" s="209"/>
      <c r="E1658" s="209"/>
      <c r="J1658" s="124"/>
    </row>
    <row r="1659" spans="3:10" x14ac:dyDescent="0.2">
      <c r="C1659" s="209"/>
      <c r="D1659" s="209"/>
      <c r="E1659" s="209"/>
      <c r="J1659" s="124"/>
    </row>
    <row r="1660" spans="3:10" x14ac:dyDescent="0.2">
      <c r="C1660" s="209"/>
      <c r="D1660" s="209"/>
      <c r="E1660" s="209"/>
      <c r="J1660" s="124"/>
    </row>
    <row r="1661" spans="3:10" x14ac:dyDescent="0.2">
      <c r="C1661" s="209"/>
      <c r="D1661" s="209"/>
      <c r="E1661" s="209"/>
      <c r="J1661" s="124"/>
    </row>
    <row r="1662" spans="3:10" x14ac:dyDescent="0.2">
      <c r="C1662" s="209"/>
      <c r="D1662" s="209"/>
      <c r="E1662" s="209"/>
      <c r="J1662" s="124"/>
    </row>
    <row r="1663" spans="3:10" x14ac:dyDescent="0.2">
      <c r="C1663" s="209"/>
      <c r="D1663" s="209"/>
      <c r="E1663" s="209"/>
      <c r="J1663" s="124"/>
    </row>
    <row r="1664" spans="3:10" x14ac:dyDescent="0.2">
      <c r="C1664" s="209"/>
      <c r="D1664" s="209"/>
      <c r="E1664" s="209"/>
      <c r="J1664" s="124"/>
    </row>
    <row r="1665" spans="3:10" x14ac:dyDescent="0.2">
      <c r="C1665" s="209"/>
      <c r="D1665" s="209"/>
      <c r="E1665" s="209"/>
      <c r="J1665" s="124"/>
    </row>
    <row r="1666" spans="3:10" x14ac:dyDescent="0.2">
      <c r="C1666" s="209"/>
      <c r="D1666" s="209"/>
      <c r="E1666" s="209"/>
      <c r="J1666" s="124"/>
    </row>
    <row r="1667" spans="3:10" x14ac:dyDescent="0.2">
      <c r="C1667" s="209"/>
      <c r="D1667" s="209"/>
      <c r="E1667" s="209"/>
      <c r="J1667" s="124"/>
    </row>
    <row r="1668" spans="3:10" x14ac:dyDescent="0.2">
      <c r="C1668" s="209"/>
      <c r="D1668" s="209"/>
      <c r="E1668" s="209"/>
      <c r="J1668" s="124"/>
    </row>
    <row r="1669" spans="3:10" x14ac:dyDescent="0.2">
      <c r="C1669" s="209"/>
      <c r="D1669" s="209"/>
      <c r="E1669" s="209"/>
      <c r="J1669" s="124"/>
    </row>
    <row r="1670" spans="3:10" x14ac:dyDescent="0.2">
      <c r="C1670" s="209"/>
      <c r="D1670" s="209"/>
      <c r="E1670" s="209"/>
      <c r="J1670" s="124"/>
    </row>
    <row r="1671" spans="3:10" x14ac:dyDescent="0.2">
      <c r="C1671" s="209"/>
      <c r="D1671" s="209"/>
      <c r="E1671" s="209"/>
      <c r="J1671" s="124"/>
    </row>
    <row r="1672" spans="3:10" x14ac:dyDescent="0.2">
      <c r="C1672" s="209"/>
      <c r="D1672" s="209"/>
      <c r="E1672" s="209"/>
      <c r="J1672" s="124"/>
    </row>
    <row r="1673" spans="3:10" x14ac:dyDescent="0.2">
      <c r="C1673" s="209"/>
      <c r="D1673" s="209"/>
      <c r="E1673" s="209"/>
      <c r="J1673" s="124"/>
    </row>
    <row r="1674" spans="3:10" x14ac:dyDescent="0.2">
      <c r="C1674" s="209"/>
      <c r="D1674" s="209"/>
      <c r="E1674" s="209"/>
      <c r="J1674" s="124"/>
    </row>
    <row r="1675" spans="3:10" x14ac:dyDescent="0.2">
      <c r="C1675" s="209"/>
      <c r="D1675" s="209"/>
      <c r="E1675" s="209"/>
      <c r="J1675" s="124"/>
    </row>
    <row r="1676" spans="3:10" x14ac:dyDescent="0.2">
      <c r="C1676" s="209"/>
      <c r="D1676" s="209"/>
      <c r="E1676" s="209"/>
      <c r="J1676" s="124"/>
    </row>
    <row r="1677" spans="3:10" x14ac:dyDescent="0.2">
      <c r="C1677" s="209"/>
      <c r="D1677" s="209"/>
      <c r="E1677" s="209"/>
      <c r="J1677" s="124"/>
    </row>
    <row r="1678" spans="3:10" x14ac:dyDescent="0.2">
      <c r="C1678" s="209"/>
      <c r="D1678" s="209"/>
      <c r="E1678" s="209"/>
      <c r="J1678" s="124"/>
    </row>
    <row r="1679" spans="3:10" x14ac:dyDescent="0.2">
      <c r="C1679" s="209"/>
      <c r="D1679" s="209"/>
      <c r="E1679" s="209"/>
      <c r="J1679" s="124"/>
    </row>
    <row r="1680" spans="3:10" x14ac:dyDescent="0.2">
      <c r="C1680" s="209"/>
      <c r="D1680" s="209"/>
      <c r="E1680" s="209"/>
      <c r="J1680" s="124"/>
    </row>
    <row r="1681" spans="3:10" x14ac:dyDescent="0.2">
      <c r="C1681" s="209"/>
      <c r="D1681" s="209"/>
      <c r="E1681" s="209"/>
      <c r="J1681" s="124"/>
    </row>
    <row r="1682" spans="3:10" x14ac:dyDescent="0.2">
      <c r="C1682" s="209"/>
      <c r="D1682" s="209"/>
      <c r="E1682" s="209"/>
      <c r="J1682" s="124"/>
    </row>
    <row r="1683" spans="3:10" x14ac:dyDescent="0.2">
      <c r="C1683" s="209"/>
      <c r="D1683" s="209"/>
      <c r="E1683" s="209"/>
      <c r="J1683" s="124"/>
    </row>
    <row r="1684" spans="3:10" x14ac:dyDescent="0.2">
      <c r="C1684" s="209"/>
      <c r="D1684" s="209"/>
      <c r="E1684" s="209"/>
      <c r="J1684" s="124"/>
    </row>
    <row r="1685" spans="3:10" x14ac:dyDescent="0.2">
      <c r="C1685" s="209"/>
      <c r="D1685" s="209"/>
      <c r="E1685" s="209"/>
      <c r="J1685" s="124"/>
    </row>
    <row r="1686" spans="3:10" x14ac:dyDescent="0.2">
      <c r="C1686" s="209"/>
      <c r="D1686" s="209"/>
      <c r="E1686" s="209"/>
      <c r="J1686" s="124"/>
    </row>
    <row r="1687" spans="3:10" x14ac:dyDescent="0.2">
      <c r="C1687" s="209"/>
      <c r="D1687" s="209"/>
      <c r="E1687" s="209"/>
      <c r="J1687" s="124"/>
    </row>
    <row r="1688" spans="3:10" x14ac:dyDescent="0.2">
      <c r="C1688" s="209"/>
      <c r="D1688" s="209"/>
      <c r="E1688" s="209"/>
      <c r="J1688" s="124"/>
    </row>
    <row r="1689" spans="3:10" x14ac:dyDescent="0.2">
      <c r="C1689" s="209"/>
      <c r="D1689" s="209"/>
      <c r="E1689" s="209"/>
      <c r="J1689" s="124"/>
    </row>
    <row r="1690" spans="3:10" x14ac:dyDescent="0.2">
      <c r="C1690" s="209"/>
      <c r="D1690" s="209"/>
      <c r="E1690" s="209"/>
      <c r="J1690" s="124"/>
    </row>
    <row r="1691" spans="3:10" x14ac:dyDescent="0.2">
      <c r="C1691" s="209"/>
      <c r="D1691" s="209"/>
      <c r="E1691" s="209"/>
      <c r="J1691" s="124"/>
    </row>
    <row r="1692" spans="3:10" x14ac:dyDescent="0.2">
      <c r="C1692" s="209"/>
      <c r="D1692" s="209"/>
      <c r="E1692" s="209"/>
      <c r="J1692" s="124"/>
    </row>
    <row r="1693" spans="3:10" x14ac:dyDescent="0.2">
      <c r="C1693" s="209"/>
      <c r="D1693" s="209"/>
      <c r="E1693" s="209"/>
      <c r="J1693" s="124"/>
    </row>
    <row r="1694" spans="3:10" x14ac:dyDescent="0.2">
      <c r="C1694" s="209"/>
      <c r="D1694" s="209"/>
      <c r="E1694" s="209"/>
      <c r="J1694" s="124"/>
    </row>
    <row r="1695" spans="3:10" x14ac:dyDescent="0.2">
      <c r="C1695" s="209"/>
      <c r="D1695" s="209"/>
      <c r="E1695" s="209"/>
      <c r="J1695" s="124"/>
    </row>
    <row r="1696" spans="3:10" x14ac:dyDescent="0.2">
      <c r="C1696" s="209"/>
      <c r="D1696" s="209"/>
      <c r="E1696" s="209"/>
      <c r="J1696" s="124"/>
    </row>
    <row r="1697" spans="3:10" x14ac:dyDescent="0.2">
      <c r="C1697" s="209"/>
      <c r="D1697" s="209"/>
      <c r="E1697" s="209"/>
      <c r="J1697" s="124"/>
    </row>
    <row r="1698" spans="3:10" x14ac:dyDescent="0.2">
      <c r="C1698" s="209"/>
      <c r="D1698" s="209"/>
      <c r="E1698" s="209"/>
      <c r="J1698" s="124"/>
    </row>
    <row r="1699" spans="3:10" x14ac:dyDescent="0.2">
      <c r="C1699" s="209"/>
      <c r="D1699" s="209"/>
      <c r="E1699" s="209"/>
      <c r="J1699" s="124"/>
    </row>
    <row r="1700" spans="3:10" x14ac:dyDescent="0.2">
      <c r="C1700" s="209"/>
      <c r="D1700" s="209"/>
      <c r="E1700" s="209"/>
      <c r="J1700" s="124"/>
    </row>
    <row r="1701" spans="3:10" x14ac:dyDescent="0.2">
      <c r="C1701" s="209"/>
      <c r="D1701" s="209"/>
      <c r="E1701" s="209"/>
      <c r="J1701" s="124"/>
    </row>
    <row r="1702" spans="3:10" x14ac:dyDescent="0.2">
      <c r="C1702" s="209"/>
      <c r="D1702" s="209"/>
      <c r="E1702" s="209"/>
      <c r="J1702" s="124"/>
    </row>
    <row r="1703" spans="3:10" x14ac:dyDescent="0.2">
      <c r="C1703" s="209"/>
      <c r="D1703" s="209"/>
      <c r="E1703" s="209"/>
      <c r="J1703" s="124"/>
    </row>
    <row r="1704" spans="3:10" x14ac:dyDescent="0.2">
      <c r="C1704" s="209"/>
      <c r="D1704" s="209"/>
      <c r="E1704" s="209"/>
      <c r="J1704" s="124"/>
    </row>
    <row r="1705" spans="3:10" x14ac:dyDescent="0.2">
      <c r="C1705" s="209"/>
      <c r="D1705" s="209"/>
      <c r="E1705" s="209"/>
      <c r="J1705" s="124"/>
    </row>
    <row r="1706" spans="3:10" x14ac:dyDescent="0.2">
      <c r="C1706" s="209"/>
      <c r="D1706" s="209"/>
      <c r="E1706" s="209"/>
      <c r="J1706" s="124"/>
    </row>
    <row r="1707" spans="3:10" x14ac:dyDescent="0.2">
      <c r="C1707" s="209"/>
      <c r="D1707" s="209"/>
      <c r="E1707" s="209"/>
      <c r="J1707" s="124"/>
    </row>
    <row r="1708" spans="3:10" x14ac:dyDescent="0.2">
      <c r="C1708" s="209"/>
      <c r="D1708" s="209"/>
      <c r="E1708" s="209"/>
      <c r="J1708" s="124"/>
    </row>
    <row r="1709" spans="3:10" x14ac:dyDescent="0.2">
      <c r="C1709" s="209"/>
      <c r="D1709" s="209"/>
      <c r="E1709" s="209"/>
      <c r="J1709" s="124"/>
    </row>
    <row r="1710" spans="3:10" x14ac:dyDescent="0.2">
      <c r="C1710" s="209"/>
      <c r="D1710" s="209"/>
      <c r="E1710" s="209"/>
      <c r="J1710" s="124"/>
    </row>
    <row r="1711" spans="3:10" x14ac:dyDescent="0.2">
      <c r="C1711" s="209"/>
      <c r="D1711" s="209"/>
      <c r="E1711" s="209"/>
      <c r="J1711" s="124"/>
    </row>
    <row r="1712" spans="3:10" x14ac:dyDescent="0.2">
      <c r="C1712" s="209"/>
      <c r="D1712" s="209"/>
      <c r="E1712" s="209"/>
      <c r="J1712" s="124"/>
    </row>
    <row r="1713" spans="3:10" x14ac:dyDescent="0.2">
      <c r="C1713" s="209"/>
      <c r="D1713" s="209"/>
      <c r="E1713" s="209"/>
      <c r="J1713" s="124"/>
    </row>
    <row r="1714" spans="3:10" x14ac:dyDescent="0.2">
      <c r="C1714" s="209"/>
      <c r="D1714" s="209"/>
      <c r="E1714" s="209"/>
      <c r="J1714" s="124"/>
    </row>
    <row r="1715" spans="3:10" x14ac:dyDescent="0.2">
      <c r="C1715" s="209"/>
      <c r="D1715" s="209"/>
      <c r="E1715" s="209"/>
      <c r="J1715" s="124"/>
    </row>
    <row r="1716" spans="3:10" x14ac:dyDescent="0.2">
      <c r="C1716" s="209"/>
      <c r="D1716" s="209"/>
      <c r="E1716" s="209"/>
      <c r="J1716" s="124"/>
    </row>
    <row r="1717" spans="3:10" x14ac:dyDescent="0.2">
      <c r="C1717" s="209"/>
      <c r="D1717" s="209"/>
      <c r="E1717" s="209"/>
      <c r="J1717" s="124"/>
    </row>
    <row r="1718" spans="3:10" x14ac:dyDescent="0.2">
      <c r="C1718" s="209"/>
      <c r="D1718" s="209"/>
      <c r="E1718" s="209"/>
      <c r="J1718" s="124"/>
    </row>
    <row r="1719" spans="3:10" x14ac:dyDescent="0.2">
      <c r="C1719" s="209"/>
      <c r="D1719" s="209"/>
      <c r="E1719" s="209"/>
      <c r="J1719" s="124"/>
    </row>
    <row r="1720" spans="3:10" x14ac:dyDescent="0.2">
      <c r="C1720" s="209"/>
      <c r="D1720" s="209"/>
      <c r="E1720" s="209"/>
      <c r="J1720" s="124"/>
    </row>
    <row r="1721" spans="3:10" x14ac:dyDescent="0.2">
      <c r="C1721" s="209"/>
      <c r="D1721" s="209"/>
      <c r="E1721" s="209"/>
      <c r="J1721" s="124"/>
    </row>
    <row r="1722" spans="3:10" x14ac:dyDescent="0.2">
      <c r="C1722" s="209"/>
      <c r="D1722" s="209"/>
      <c r="E1722" s="209"/>
      <c r="J1722" s="124"/>
    </row>
    <row r="1723" spans="3:10" x14ac:dyDescent="0.2">
      <c r="C1723" s="209"/>
      <c r="D1723" s="209"/>
      <c r="E1723" s="209"/>
      <c r="J1723" s="124"/>
    </row>
    <row r="1724" spans="3:10" x14ac:dyDescent="0.2">
      <c r="C1724" s="209"/>
      <c r="D1724" s="209"/>
      <c r="E1724" s="209"/>
      <c r="J1724" s="124"/>
    </row>
    <row r="1725" spans="3:10" x14ac:dyDescent="0.2">
      <c r="C1725" s="209"/>
      <c r="D1725" s="209"/>
      <c r="E1725" s="209"/>
      <c r="J1725" s="124"/>
    </row>
    <row r="1726" spans="3:10" x14ac:dyDescent="0.2">
      <c r="C1726" s="209"/>
      <c r="D1726" s="209"/>
      <c r="E1726" s="209"/>
      <c r="J1726" s="124"/>
    </row>
    <row r="1727" spans="3:10" x14ac:dyDescent="0.2">
      <c r="C1727" s="209"/>
      <c r="D1727" s="209"/>
      <c r="E1727" s="209"/>
      <c r="J1727" s="124"/>
    </row>
    <row r="1728" spans="3:10" x14ac:dyDescent="0.2">
      <c r="C1728" s="209"/>
      <c r="D1728" s="209"/>
      <c r="E1728" s="209"/>
      <c r="J1728" s="124"/>
    </row>
    <row r="1729" spans="3:10" x14ac:dyDescent="0.2">
      <c r="C1729" s="209"/>
      <c r="D1729" s="209"/>
      <c r="E1729" s="209"/>
      <c r="J1729" s="124"/>
    </row>
    <row r="1730" spans="3:10" x14ac:dyDescent="0.2">
      <c r="C1730" s="209"/>
      <c r="D1730" s="209"/>
      <c r="E1730" s="209"/>
      <c r="J1730" s="124"/>
    </row>
    <row r="1731" spans="3:10" x14ac:dyDescent="0.2">
      <c r="C1731" s="209"/>
      <c r="D1731" s="209"/>
      <c r="E1731" s="209"/>
      <c r="J1731" s="124"/>
    </row>
    <row r="1732" spans="3:10" x14ac:dyDescent="0.2">
      <c r="C1732" s="209"/>
      <c r="D1732" s="209"/>
      <c r="E1732" s="209"/>
      <c r="J1732" s="124"/>
    </row>
    <row r="1733" spans="3:10" x14ac:dyDescent="0.2">
      <c r="C1733" s="209"/>
      <c r="D1733" s="209"/>
      <c r="E1733" s="209"/>
      <c r="J1733" s="124"/>
    </row>
    <row r="1734" spans="3:10" x14ac:dyDescent="0.2">
      <c r="C1734" s="209"/>
      <c r="D1734" s="209"/>
      <c r="E1734" s="209"/>
      <c r="J1734" s="124"/>
    </row>
    <row r="1735" spans="3:10" x14ac:dyDescent="0.2">
      <c r="C1735" s="209"/>
      <c r="D1735" s="209"/>
      <c r="E1735" s="209"/>
      <c r="J1735" s="124"/>
    </row>
    <row r="1736" spans="3:10" x14ac:dyDescent="0.2">
      <c r="C1736" s="209"/>
      <c r="D1736" s="209"/>
      <c r="E1736" s="209"/>
      <c r="J1736" s="124"/>
    </row>
    <row r="1737" spans="3:10" x14ac:dyDescent="0.2">
      <c r="C1737" s="209"/>
      <c r="D1737" s="209"/>
      <c r="E1737" s="209"/>
      <c r="J1737" s="124"/>
    </row>
    <row r="1738" spans="3:10" x14ac:dyDescent="0.2">
      <c r="C1738" s="209"/>
      <c r="D1738" s="209"/>
      <c r="E1738" s="209"/>
      <c r="J1738" s="124"/>
    </row>
    <row r="1739" spans="3:10" x14ac:dyDescent="0.2">
      <c r="C1739" s="209"/>
      <c r="D1739" s="209"/>
      <c r="E1739" s="209"/>
      <c r="J1739" s="124"/>
    </row>
    <row r="1740" spans="3:10" x14ac:dyDescent="0.2">
      <c r="C1740" s="209"/>
      <c r="D1740" s="209"/>
      <c r="E1740" s="209"/>
      <c r="J1740" s="124"/>
    </row>
    <row r="1741" spans="3:10" x14ac:dyDescent="0.2">
      <c r="C1741" s="209"/>
      <c r="D1741" s="209"/>
      <c r="E1741" s="209"/>
      <c r="J1741" s="124"/>
    </row>
    <row r="1742" spans="3:10" x14ac:dyDescent="0.2">
      <c r="C1742" s="209"/>
      <c r="D1742" s="209"/>
      <c r="E1742" s="209"/>
      <c r="J1742" s="124"/>
    </row>
    <row r="1743" spans="3:10" x14ac:dyDescent="0.2">
      <c r="C1743" s="209"/>
      <c r="D1743" s="209"/>
      <c r="E1743" s="209"/>
      <c r="J1743" s="124"/>
    </row>
    <row r="1744" spans="3:10" x14ac:dyDescent="0.2">
      <c r="C1744" s="209"/>
      <c r="D1744" s="209"/>
      <c r="E1744" s="209"/>
      <c r="J1744" s="124"/>
    </row>
    <row r="1745" spans="3:10" x14ac:dyDescent="0.2">
      <c r="C1745" s="209"/>
      <c r="D1745" s="209"/>
      <c r="E1745" s="209"/>
      <c r="J1745" s="124"/>
    </row>
    <row r="1746" spans="3:10" x14ac:dyDescent="0.2">
      <c r="C1746" s="209"/>
      <c r="D1746" s="209"/>
      <c r="E1746" s="209"/>
      <c r="J1746" s="124"/>
    </row>
    <row r="1747" spans="3:10" x14ac:dyDescent="0.2">
      <c r="C1747" s="209"/>
      <c r="D1747" s="209"/>
      <c r="E1747" s="209"/>
      <c r="J1747" s="124"/>
    </row>
    <row r="1748" spans="3:10" x14ac:dyDescent="0.2">
      <c r="C1748" s="209"/>
      <c r="D1748" s="209"/>
      <c r="E1748" s="209"/>
      <c r="J1748" s="124"/>
    </row>
    <row r="1749" spans="3:10" x14ac:dyDescent="0.2">
      <c r="C1749" s="209"/>
      <c r="D1749" s="209"/>
      <c r="E1749" s="209"/>
      <c r="J1749" s="124"/>
    </row>
    <row r="1750" spans="3:10" x14ac:dyDescent="0.2">
      <c r="C1750" s="209"/>
      <c r="D1750" s="209"/>
      <c r="E1750" s="209"/>
      <c r="J1750" s="124"/>
    </row>
    <row r="1751" spans="3:10" x14ac:dyDescent="0.2">
      <c r="C1751" s="209"/>
      <c r="D1751" s="209"/>
      <c r="E1751" s="209"/>
      <c r="J1751" s="124"/>
    </row>
    <row r="1752" spans="3:10" x14ac:dyDescent="0.2">
      <c r="C1752" s="209"/>
      <c r="D1752" s="209"/>
      <c r="E1752" s="209"/>
      <c r="J1752" s="124"/>
    </row>
    <row r="1753" spans="3:10" x14ac:dyDescent="0.2">
      <c r="C1753" s="209"/>
      <c r="D1753" s="209"/>
      <c r="E1753" s="209"/>
      <c r="J1753" s="124"/>
    </row>
    <row r="1754" spans="3:10" x14ac:dyDescent="0.2">
      <c r="C1754" s="209"/>
      <c r="D1754" s="209"/>
      <c r="E1754" s="209"/>
      <c r="J1754" s="124"/>
    </row>
    <row r="1755" spans="3:10" x14ac:dyDescent="0.2">
      <c r="C1755" s="209"/>
      <c r="D1755" s="209"/>
      <c r="E1755" s="209"/>
      <c r="J1755" s="124"/>
    </row>
    <row r="1756" spans="3:10" x14ac:dyDescent="0.2">
      <c r="C1756" s="209"/>
      <c r="D1756" s="209"/>
      <c r="E1756" s="209"/>
      <c r="J1756" s="124"/>
    </row>
    <row r="1757" spans="3:10" x14ac:dyDescent="0.2">
      <c r="C1757" s="209"/>
      <c r="D1757" s="209"/>
      <c r="E1757" s="209"/>
      <c r="J1757" s="124"/>
    </row>
    <row r="1758" spans="3:10" x14ac:dyDescent="0.2">
      <c r="C1758" s="209"/>
      <c r="D1758" s="209"/>
      <c r="E1758" s="209"/>
      <c r="J1758" s="124"/>
    </row>
    <row r="1759" spans="3:10" x14ac:dyDescent="0.2">
      <c r="C1759" s="209"/>
      <c r="D1759" s="209"/>
      <c r="E1759" s="209"/>
      <c r="J1759" s="124"/>
    </row>
    <row r="1760" spans="3:10" x14ac:dyDescent="0.2">
      <c r="C1760" s="209"/>
      <c r="D1760" s="209"/>
      <c r="E1760" s="209"/>
      <c r="J1760" s="124"/>
    </row>
    <row r="1761" spans="3:10" x14ac:dyDescent="0.2">
      <c r="C1761" s="209"/>
      <c r="D1761" s="209"/>
      <c r="E1761" s="209"/>
      <c r="J1761" s="124"/>
    </row>
    <row r="1762" spans="3:10" x14ac:dyDescent="0.2">
      <c r="C1762" s="209"/>
      <c r="D1762" s="209"/>
      <c r="E1762" s="209"/>
      <c r="J1762" s="124"/>
    </row>
    <row r="1763" spans="3:10" x14ac:dyDescent="0.2">
      <c r="C1763" s="209"/>
      <c r="D1763" s="209"/>
      <c r="E1763" s="209"/>
      <c r="J1763" s="124"/>
    </row>
    <row r="1764" spans="3:10" x14ac:dyDescent="0.2">
      <c r="C1764" s="209"/>
      <c r="D1764" s="209"/>
      <c r="E1764" s="209"/>
      <c r="J1764" s="124"/>
    </row>
    <row r="1765" spans="3:10" x14ac:dyDescent="0.2">
      <c r="C1765" s="209"/>
      <c r="D1765" s="209"/>
      <c r="E1765" s="209"/>
      <c r="J1765" s="124"/>
    </row>
    <row r="1766" spans="3:10" x14ac:dyDescent="0.2">
      <c r="C1766" s="209"/>
      <c r="D1766" s="209"/>
      <c r="E1766" s="209"/>
      <c r="J1766" s="124"/>
    </row>
    <row r="1767" spans="3:10" x14ac:dyDescent="0.2">
      <c r="C1767" s="209"/>
      <c r="D1767" s="209"/>
      <c r="E1767" s="209"/>
      <c r="J1767" s="124"/>
    </row>
    <row r="1768" spans="3:10" x14ac:dyDescent="0.2">
      <c r="C1768" s="209"/>
      <c r="D1768" s="209"/>
      <c r="E1768" s="209"/>
      <c r="J1768" s="124"/>
    </row>
    <row r="1769" spans="3:10" x14ac:dyDescent="0.2">
      <c r="C1769" s="209"/>
      <c r="D1769" s="209"/>
      <c r="E1769" s="209"/>
      <c r="J1769" s="124"/>
    </row>
    <row r="1770" spans="3:10" x14ac:dyDescent="0.2">
      <c r="C1770" s="209"/>
      <c r="D1770" s="209"/>
      <c r="E1770" s="209"/>
      <c r="J1770" s="124"/>
    </row>
    <row r="1771" spans="3:10" x14ac:dyDescent="0.2">
      <c r="C1771" s="209"/>
      <c r="D1771" s="209"/>
      <c r="E1771" s="209"/>
      <c r="J1771" s="124"/>
    </row>
    <row r="1772" spans="3:10" x14ac:dyDescent="0.2">
      <c r="C1772" s="209"/>
      <c r="D1772" s="209"/>
      <c r="E1772" s="209"/>
      <c r="J1772" s="124"/>
    </row>
    <row r="1773" spans="3:10" x14ac:dyDescent="0.2">
      <c r="C1773" s="209"/>
      <c r="D1773" s="209"/>
      <c r="E1773" s="209"/>
      <c r="J1773" s="124"/>
    </row>
    <row r="1774" spans="3:10" x14ac:dyDescent="0.2">
      <c r="C1774" s="209"/>
      <c r="D1774" s="209"/>
      <c r="E1774" s="209"/>
      <c r="J1774" s="124"/>
    </row>
    <row r="1775" spans="3:10" x14ac:dyDescent="0.2">
      <c r="C1775" s="209"/>
      <c r="D1775" s="209"/>
      <c r="E1775" s="209"/>
      <c r="J1775" s="124"/>
    </row>
    <row r="1776" spans="3:10" x14ac:dyDescent="0.2">
      <c r="C1776" s="209"/>
      <c r="D1776" s="209"/>
      <c r="E1776" s="209"/>
      <c r="J1776" s="124"/>
    </row>
    <row r="1777" spans="3:10" x14ac:dyDescent="0.2">
      <c r="C1777" s="209"/>
      <c r="D1777" s="209"/>
      <c r="E1777" s="209"/>
      <c r="J1777" s="124"/>
    </row>
    <row r="1778" spans="3:10" x14ac:dyDescent="0.2">
      <c r="C1778" s="209"/>
      <c r="D1778" s="209"/>
      <c r="E1778" s="209"/>
      <c r="J1778" s="124"/>
    </row>
    <row r="1779" spans="3:10" x14ac:dyDescent="0.2">
      <c r="C1779" s="209"/>
      <c r="D1779" s="209"/>
      <c r="E1779" s="209"/>
      <c r="J1779" s="124"/>
    </row>
    <row r="1780" spans="3:10" x14ac:dyDescent="0.2">
      <c r="C1780" s="209"/>
      <c r="D1780" s="209"/>
      <c r="E1780" s="209"/>
      <c r="J1780" s="124"/>
    </row>
    <row r="1781" spans="3:10" x14ac:dyDescent="0.2">
      <c r="C1781" s="209"/>
      <c r="D1781" s="209"/>
      <c r="E1781" s="209"/>
      <c r="J1781" s="124"/>
    </row>
    <row r="1782" spans="3:10" x14ac:dyDescent="0.2">
      <c r="C1782" s="209"/>
      <c r="D1782" s="209"/>
      <c r="E1782" s="209"/>
      <c r="J1782" s="124"/>
    </row>
    <row r="1783" spans="3:10" x14ac:dyDescent="0.2">
      <c r="C1783" s="209"/>
      <c r="D1783" s="209"/>
      <c r="E1783" s="209"/>
      <c r="J1783" s="124"/>
    </row>
    <row r="1784" spans="3:10" x14ac:dyDescent="0.2">
      <c r="C1784" s="209"/>
      <c r="D1784" s="209"/>
      <c r="E1784" s="209"/>
      <c r="J1784" s="124"/>
    </row>
    <row r="1785" spans="3:10" x14ac:dyDescent="0.2">
      <c r="C1785" s="209"/>
      <c r="D1785" s="209"/>
      <c r="E1785" s="209"/>
      <c r="J1785" s="124"/>
    </row>
    <row r="1786" spans="3:10" x14ac:dyDescent="0.2">
      <c r="C1786" s="209"/>
      <c r="D1786" s="209"/>
      <c r="E1786" s="209"/>
      <c r="J1786" s="124"/>
    </row>
    <row r="1787" spans="3:10" x14ac:dyDescent="0.2">
      <c r="C1787" s="209"/>
      <c r="D1787" s="209"/>
      <c r="E1787" s="209"/>
      <c r="J1787" s="124"/>
    </row>
    <row r="1788" spans="3:10" x14ac:dyDescent="0.2">
      <c r="C1788" s="209"/>
      <c r="D1788" s="209"/>
      <c r="E1788" s="209"/>
      <c r="J1788" s="124"/>
    </row>
    <row r="1789" spans="3:10" x14ac:dyDescent="0.2">
      <c r="C1789" s="209"/>
      <c r="D1789" s="209"/>
      <c r="E1789" s="209"/>
      <c r="J1789" s="124"/>
    </row>
    <row r="1790" spans="3:10" x14ac:dyDescent="0.2">
      <c r="C1790" s="209"/>
      <c r="D1790" s="209"/>
      <c r="E1790" s="209"/>
      <c r="J1790" s="124"/>
    </row>
    <row r="1791" spans="3:10" x14ac:dyDescent="0.2">
      <c r="C1791" s="209"/>
      <c r="D1791" s="209"/>
      <c r="E1791" s="209"/>
      <c r="J1791" s="124"/>
    </row>
    <row r="1792" spans="3:10" x14ac:dyDescent="0.2">
      <c r="C1792" s="209"/>
      <c r="D1792" s="209"/>
      <c r="E1792" s="209"/>
      <c r="J1792" s="124"/>
    </row>
    <row r="1793" spans="3:10" x14ac:dyDescent="0.2">
      <c r="C1793" s="209"/>
      <c r="D1793" s="209"/>
      <c r="E1793" s="209"/>
      <c r="J1793" s="124"/>
    </row>
    <row r="1794" spans="3:10" x14ac:dyDescent="0.2">
      <c r="C1794" s="209"/>
      <c r="D1794" s="209"/>
      <c r="E1794" s="209"/>
      <c r="J1794" s="124"/>
    </row>
    <row r="1795" spans="3:10" x14ac:dyDescent="0.2">
      <c r="C1795" s="209"/>
      <c r="D1795" s="209"/>
      <c r="E1795" s="209"/>
      <c r="J1795" s="124"/>
    </row>
    <row r="1796" spans="3:10" x14ac:dyDescent="0.2">
      <c r="C1796" s="209"/>
      <c r="D1796" s="209"/>
      <c r="E1796" s="209"/>
      <c r="J1796" s="124"/>
    </row>
    <row r="1797" spans="3:10" x14ac:dyDescent="0.2">
      <c r="C1797" s="209"/>
      <c r="D1797" s="209"/>
      <c r="E1797" s="209"/>
      <c r="J1797" s="124"/>
    </row>
    <row r="1798" spans="3:10" x14ac:dyDescent="0.2">
      <c r="C1798" s="209"/>
      <c r="D1798" s="209"/>
      <c r="E1798" s="209"/>
      <c r="J1798" s="124"/>
    </row>
    <row r="1799" spans="3:10" x14ac:dyDescent="0.2">
      <c r="C1799" s="209"/>
      <c r="D1799" s="209"/>
      <c r="E1799" s="209"/>
      <c r="J1799" s="124"/>
    </row>
    <row r="1800" spans="3:10" x14ac:dyDescent="0.2">
      <c r="C1800" s="209"/>
      <c r="D1800" s="209"/>
      <c r="E1800" s="209"/>
      <c r="J1800" s="124"/>
    </row>
    <row r="1801" spans="3:10" x14ac:dyDescent="0.2">
      <c r="C1801" s="209"/>
      <c r="D1801" s="209"/>
      <c r="E1801" s="209"/>
      <c r="J1801" s="124"/>
    </row>
    <row r="1802" spans="3:10" x14ac:dyDescent="0.2">
      <c r="C1802" s="209"/>
      <c r="D1802" s="209"/>
      <c r="E1802" s="209"/>
      <c r="J1802" s="124"/>
    </row>
    <row r="1803" spans="3:10" x14ac:dyDescent="0.2">
      <c r="C1803" s="209"/>
      <c r="D1803" s="209"/>
      <c r="E1803" s="209"/>
      <c r="J1803" s="124"/>
    </row>
    <row r="1804" spans="3:10" x14ac:dyDescent="0.2">
      <c r="C1804" s="209"/>
      <c r="D1804" s="209"/>
      <c r="E1804" s="209"/>
      <c r="J1804" s="124"/>
    </row>
    <row r="1805" spans="3:10" x14ac:dyDescent="0.2">
      <c r="C1805" s="209"/>
      <c r="D1805" s="209"/>
      <c r="E1805" s="209"/>
      <c r="J1805" s="124"/>
    </row>
    <row r="1806" spans="3:10" x14ac:dyDescent="0.2">
      <c r="C1806" s="209"/>
      <c r="D1806" s="209"/>
      <c r="E1806" s="209"/>
      <c r="J1806" s="124"/>
    </row>
    <row r="1807" spans="3:10" x14ac:dyDescent="0.2">
      <c r="C1807" s="209"/>
      <c r="D1807" s="209"/>
      <c r="E1807" s="209"/>
      <c r="J1807" s="124"/>
    </row>
    <row r="1808" spans="3:10" x14ac:dyDescent="0.2">
      <c r="C1808" s="209"/>
      <c r="D1808" s="209"/>
      <c r="E1808" s="209"/>
      <c r="J1808" s="124"/>
    </row>
    <row r="1809" spans="3:10" x14ac:dyDescent="0.2">
      <c r="C1809" s="209"/>
      <c r="D1809" s="209"/>
      <c r="E1809" s="209"/>
      <c r="J1809" s="124"/>
    </row>
    <row r="1810" spans="3:10" x14ac:dyDescent="0.2">
      <c r="C1810" s="209"/>
      <c r="D1810" s="209"/>
      <c r="E1810" s="209"/>
      <c r="J1810" s="124"/>
    </row>
    <row r="1811" spans="3:10" x14ac:dyDescent="0.2">
      <c r="C1811" s="209"/>
      <c r="D1811" s="209"/>
      <c r="E1811" s="209"/>
      <c r="J1811" s="124"/>
    </row>
    <row r="1812" spans="3:10" x14ac:dyDescent="0.2">
      <c r="C1812" s="209"/>
      <c r="D1812" s="209"/>
      <c r="E1812" s="209"/>
      <c r="J1812" s="124"/>
    </row>
    <row r="1813" spans="3:10" x14ac:dyDescent="0.2">
      <c r="C1813" s="209"/>
      <c r="D1813" s="209"/>
      <c r="E1813" s="209"/>
      <c r="J1813" s="124"/>
    </row>
    <row r="1814" spans="3:10" x14ac:dyDescent="0.2">
      <c r="C1814" s="209"/>
      <c r="D1814" s="209"/>
      <c r="E1814" s="209"/>
      <c r="J1814" s="124"/>
    </row>
    <row r="1815" spans="3:10" x14ac:dyDescent="0.2">
      <c r="C1815" s="209"/>
      <c r="D1815" s="209"/>
      <c r="E1815" s="209"/>
      <c r="J1815" s="124"/>
    </row>
    <row r="1816" spans="3:10" x14ac:dyDescent="0.2">
      <c r="C1816" s="209"/>
      <c r="D1816" s="209"/>
      <c r="E1816" s="209"/>
      <c r="J1816" s="124"/>
    </row>
    <row r="1817" spans="3:10" x14ac:dyDescent="0.2">
      <c r="C1817" s="209"/>
      <c r="D1817" s="209"/>
      <c r="E1817" s="209"/>
      <c r="J1817" s="124"/>
    </row>
    <row r="1818" spans="3:10" x14ac:dyDescent="0.2">
      <c r="C1818" s="209"/>
      <c r="D1818" s="209"/>
      <c r="E1818" s="209"/>
      <c r="J1818" s="124"/>
    </row>
    <row r="1819" spans="3:10" x14ac:dyDescent="0.2">
      <c r="C1819" s="209"/>
      <c r="D1819" s="209"/>
      <c r="E1819" s="209"/>
      <c r="J1819" s="124"/>
    </row>
    <row r="1820" spans="3:10" x14ac:dyDescent="0.2">
      <c r="C1820" s="209"/>
      <c r="D1820" s="209"/>
      <c r="E1820" s="209"/>
      <c r="J1820" s="124"/>
    </row>
    <row r="1821" spans="3:10" x14ac:dyDescent="0.2">
      <c r="C1821" s="209"/>
      <c r="D1821" s="209"/>
      <c r="E1821" s="209"/>
      <c r="J1821" s="124"/>
    </row>
    <row r="1822" spans="3:10" x14ac:dyDescent="0.2">
      <c r="C1822" s="209"/>
      <c r="D1822" s="209"/>
      <c r="E1822" s="209"/>
      <c r="J1822" s="124"/>
    </row>
    <row r="1823" spans="3:10" x14ac:dyDescent="0.2">
      <c r="C1823" s="209"/>
      <c r="D1823" s="209"/>
      <c r="E1823" s="209"/>
      <c r="J1823" s="124"/>
    </row>
    <row r="1824" spans="3:10" x14ac:dyDescent="0.2">
      <c r="C1824" s="209"/>
      <c r="D1824" s="209"/>
      <c r="E1824" s="209"/>
      <c r="J1824" s="124"/>
    </row>
    <row r="1825" spans="3:10" x14ac:dyDescent="0.2">
      <c r="C1825" s="209"/>
      <c r="D1825" s="209"/>
      <c r="E1825" s="209"/>
      <c r="J1825" s="124"/>
    </row>
    <row r="1826" spans="3:10" x14ac:dyDescent="0.2">
      <c r="C1826" s="209"/>
      <c r="D1826" s="209"/>
      <c r="E1826" s="209"/>
      <c r="J1826" s="124"/>
    </row>
    <row r="1827" spans="3:10" x14ac:dyDescent="0.2">
      <c r="C1827" s="209"/>
      <c r="D1827" s="209"/>
      <c r="E1827" s="209"/>
      <c r="J1827" s="124"/>
    </row>
    <row r="1828" spans="3:10" x14ac:dyDescent="0.2">
      <c r="C1828" s="209"/>
      <c r="D1828" s="209"/>
      <c r="E1828" s="209"/>
      <c r="J1828" s="124"/>
    </row>
    <row r="1829" spans="3:10" x14ac:dyDescent="0.2">
      <c r="C1829" s="209"/>
      <c r="D1829" s="209"/>
      <c r="E1829" s="209"/>
      <c r="J1829" s="124"/>
    </row>
    <row r="1830" spans="3:10" x14ac:dyDescent="0.2">
      <c r="C1830" s="209"/>
      <c r="D1830" s="209"/>
      <c r="E1830" s="209"/>
      <c r="J1830" s="124"/>
    </row>
    <row r="1831" spans="3:10" x14ac:dyDescent="0.2">
      <c r="C1831" s="209"/>
      <c r="D1831" s="209"/>
      <c r="E1831" s="209"/>
      <c r="J1831" s="124"/>
    </row>
    <row r="1832" spans="3:10" x14ac:dyDescent="0.2">
      <c r="C1832" s="209"/>
      <c r="D1832" s="209"/>
      <c r="E1832" s="209"/>
      <c r="J1832" s="124"/>
    </row>
    <row r="1833" spans="3:10" x14ac:dyDescent="0.2">
      <c r="C1833" s="209"/>
      <c r="D1833" s="209"/>
      <c r="E1833" s="209"/>
      <c r="J1833" s="124"/>
    </row>
    <row r="1834" spans="3:10" x14ac:dyDescent="0.2">
      <c r="C1834" s="209"/>
      <c r="D1834" s="209"/>
      <c r="E1834" s="209"/>
      <c r="J1834" s="124"/>
    </row>
    <row r="1835" spans="3:10" x14ac:dyDescent="0.2">
      <c r="C1835" s="209"/>
      <c r="D1835" s="209"/>
      <c r="E1835" s="209"/>
      <c r="J1835" s="124"/>
    </row>
    <row r="1836" spans="3:10" x14ac:dyDescent="0.2">
      <c r="C1836" s="209"/>
      <c r="D1836" s="209"/>
      <c r="E1836" s="209"/>
      <c r="J1836" s="124"/>
    </row>
    <row r="1837" spans="3:10" x14ac:dyDescent="0.2">
      <c r="C1837" s="209"/>
      <c r="D1837" s="209"/>
      <c r="E1837" s="209"/>
      <c r="J1837" s="124"/>
    </row>
    <row r="1838" spans="3:10" x14ac:dyDescent="0.2">
      <c r="C1838" s="209"/>
      <c r="D1838" s="209"/>
      <c r="E1838" s="209"/>
      <c r="J1838" s="124"/>
    </row>
    <row r="1839" spans="3:10" x14ac:dyDescent="0.2">
      <c r="C1839" s="209"/>
      <c r="D1839" s="209"/>
      <c r="E1839" s="209"/>
      <c r="J1839" s="124"/>
    </row>
    <row r="1840" spans="3:10" x14ac:dyDescent="0.2">
      <c r="C1840" s="209"/>
      <c r="D1840" s="209"/>
      <c r="E1840" s="209"/>
      <c r="J1840" s="124"/>
    </row>
    <row r="1841" spans="3:10" x14ac:dyDescent="0.2">
      <c r="C1841" s="209"/>
      <c r="D1841" s="209"/>
      <c r="E1841" s="209"/>
      <c r="J1841" s="124"/>
    </row>
    <row r="1842" spans="3:10" x14ac:dyDescent="0.2">
      <c r="C1842" s="209"/>
      <c r="D1842" s="209"/>
      <c r="E1842" s="209"/>
      <c r="J1842" s="124"/>
    </row>
    <row r="1843" spans="3:10" x14ac:dyDescent="0.2">
      <c r="C1843" s="209"/>
      <c r="D1843" s="209"/>
      <c r="E1843" s="209"/>
      <c r="J1843" s="124"/>
    </row>
    <row r="1844" spans="3:10" x14ac:dyDescent="0.2">
      <c r="C1844" s="209"/>
      <c r="D1844" s="209"/>
      <c r="E1844" s="209"/>
      <c r="J1844" s="124"/>
    </row>
    <row r="1845" spans="3:10" x14ac:dyDescent="0.2">
      <c r="C1845" s="209"/>
      <c r="D1845" s="209"/>
      <c r="E1845" s="209"/>
      <c r="J1845" s="124"/>
    </row>
    <row r="1846" spans="3:10" x14ac:dyDescent="0.2">
      <c r="C1846" s="209"/>
      <c r="D1846" s="209"/>
      <c r="E1846" s="209"/>
      <c r="J1846" s="124"/>
    </row>
    <row r="1847" spans="3:10" x14ac:dyDescent="0.2">
      <c r="C1847" s="209"/>
      <c r="D1847" s="209"/>
      <c r="E1847" s="209"/>
      <c r="J1847" s="124"/>
    </row>
    <row r="1848" spans="3:10" x14ac:dyDescent="0.2">
      <c r="C1848" s="209"/>
      <c r="D1848" s="209"/>
      <c r="E1848" s="209"/>
      <c r="J1848" s="124"/>
    </row>
    <row r="1849" spans="3:10" x14ac:dyDescent="0.2">
      <c r="C1849" s="209"/>
      <c r="D1849" s="209"/>
      <c r="E1849" s="209"/>
      <c r="J1849" s="124"/>
    </row>
    <row r="1850" spans="3:10" x14ac:dyDescent="0.2">
      <c r="C1850" s="209"/>
      <c r="D1850" s="209"/>
      <c r="E1850" s="209"/>
      <c r="J1850" s="124"/>
    </row>
    <row r="1851" spans="3:10" x14ac:dyDescent="0.2">
      <c r="C1851" s="209"/>
      <c r="D1851" s="209"/>
      <c r="E1851" s="209"/>
      <c r="J1851" s="124"/>
    </row>
    <row r="1852" spans="3:10" x14ac:dyDescent="0.2">
      <c r="C1852" s="209"/>
      <c r="D1852" s="209"/>
      <c r="E1852" s="209"/>
      <c r="J1852" s="124"/>
    </row>
    <row r="1853" spans="3:10" x14ac:dyDescent="0.2">
      <c r="C1853" s="209"/>
      <c r="D1853" s="209"/>
      <c r="E1853" s="209"/>
      <c r="J1853" s="124"/>
    </row>
    <row r="1854" spans="3:10" x14ac:dyDescent="0.2">
      <c r="C1854" s="209"/>
      <c r="D1854" s="209"/>
      <c r="E1854" s="209"/>
      <c r="J1854" s="124"/>
    </row>
    <row r="1855" spans="3:10" x14ac:dyDescent="0.2">
      <c r="C1855" s="209"/>
      <c r="D1855" s="209"/>
      <c r="E1855" s="209"/>
      <c r="J1855" s="124"/>
    </row>
    <row r="1856" spans="3:10" x14ac:dyDescent="0.2">
      <c r="C1856" s="209"/>
      <c r="D1856" s="209"/>
      <c r="E1856" s="209"/>
      <c r="J1856" s="124"/>
    </row>
    <row r="1857" spans="3:10" x14ac:dyDescent="0.2">
      <c r="C1857" s="209"/>
      <c r="D1857" s="209"/>
      <c r="E1857" s="209"/>
      <c r="J1857" s="124"/>
    </row>
    <row r="1858" spans="3:10" x14ac:dyDescent="0.2">
      <c r="C1858" s="209"/>
      <c r="D1858" s="209"/>
      <c r="E1858" s="209"/>
      <c r="J1858" s="124"/>
    </row>
    <row r="1859" spans="3:10" x14ac:dyDescent="0.2">
      <c r="C1859" s="209"/>
      <c r="D1859" s="209"/>
      <c r="E1859" s="209"/>
      <c r="J1859" s="124"/>
    </row>
    <row r="1860" spans="3:10" x14ac:dyDescent="0.2">
      <c r="C1860" s="209"/>
      <c r="D1860" s="209"/>
      <c r="E1860" s="209"/>
      <c r="J1860" s="124"/>
    </row>
    <row r="1861" spans="3:10" x14ac:dyDescent="0.2">
      <c r="C1861" s="209"/>
      <c r="D1861" s="209"/>
      <c r="E1861" s="209"/>
      <c r="J1861" s="124"/>
    </row>
    <row r="1862" spans="3:10" x14ac:dyDescent="0.2">
      <c r="C1862" s="209"/>
      <c r="D1862" s="209"/>
      <c r="E1862" s="209"/>
      <c r="J1862" s="124"/>
    </row>
    <row r="1863" spans="3:10" x14ac:dyDescent="0.2">
      <c r="C1863" s="209"/>
      <c r="D1863" s="209"/>
      <c r="E1863" s="209"/>
      <c r="J1863" s="124"/>
    </row>
    <row r="1864" spans="3:10" x14ac:dyDescent="0.2">
      <c r="C1864" s="209"/>
      <c r="D1864" s="209"/>
      <c r="E1864" s="209"/>
      <c r="J1864" s="124"/>
    </row>
    <row r="1865" spans="3:10" x14ac:dyDescent="0.2">
      <c r="C1865" s="209"/>
      <c r="D1865" s="209"/>
      <c r="E1865" s="209"/>
      <c r="J1865" s="124"/>
    </row>
    <row r="1866" spans="3:10" x14ac:dyDescent="0.2">
      <c r="C1866" s="209"/>
      <c r="D1866" s="209"/>
      <c r="E1866" s="209"/>
      <c r="J1866" s="124"/>
    </row>
    <row r="1867" spans="3:10" x14ac:dyDescent="0.2">
      <c r="C1867" s="209"/>
      <c r="D1867" s="209"/>
      <c r="E1867" s="209"/>
      <c r="J1867" s="124"/>
    </row>
    <row r="1868" spans="3:10" x14ac:dyDescent="0.2">
      <c r="C1868" s="209"/>
      <c r="D1868" s="209"/>
      <c r="E1868" s="209"/>
      <c r="J1868" s="124"/>
    </row>
    <row r="1869" spans="3:10" x14ac:dyDescent="0.2">
      <c r="C1869" s="209"/>
      <c r="D1869" s="209"/>
      <c r="E1869" s="209"/>
      <c r="J1869" s="124"/>
    </row>
    <row r="1870" spans="3:10" x14ac:dyDescent="0.2">
      <c r="C1870" s="209"/>
      <c r="D1870" s="209"/>
      <c r="E1870" s="209"/>
      <c r="J1870" s="124"/>
    </row>
    <row r="1871" spans="3:10" x14ac:dyDescent="0.2">
      <c r="C1871" s="209"/>
      <c r="D1871" s="209"/>
      <c r="E1871" s="209"/>
      <c r="J1871" s="124"/>
    </row>
    <row r="1872" spans="3:10" x14ac:dyDescent="0.2">
      <c r="C1872" s="209"/>
      <c r="D1872" s="209"/>
      <c r="E1872" s="209"/>
      <c r="J1872" s="124"/>
    </row>
    <row r="1873" spans="3:10" x14ac:dyDescent="0.2">
      <c r="C1873" s="209"/>
      <c r="D1873" s="209"/>
      <c r="E1873" s="209"/>
      <c r="J1873" s="124"/>
    </row>
    <row r="1874" spans="3:10" x14ac:dyDescent="0.2">
      <c r="C1874" s="209"/>
      <c r="D1874" s="209"/>
      <c r="E1874" s="209"/>
      <c r="J1874" s="124"/>
    </row>
    <row r="1875" spans="3:10" x14ac:dyDescent="0.2">
      <c r="C1875" s="209"/>
      <c r="D1875" s="209"/>
      <c r="E1875" s="209"/>
      <c r="J1875" s="124"/>
    </row>
    <row r="1876" spans="3:10" x14ac:dyDescent="0.2">
      <c r="C1876" s="209"/>
      <c r="D1876" s="209"/>
      <c r="E1876" s="209"/>
      <c r="J1876" s="124"/>
    </row>
    <row r="1877" spans="3:10" x14ac:dyDescent="0.2">
      <c r="C1877" s="209"/>
      <c r="D1877" s="209"/>
      <c r="E1877" s="209"/>
      <c r="J1877" s="124"/>
    </row>
    <row r="1878" spans="3:10" x14ac:dyDescent="0.2">
      <c r="C1878" s="209"/>
      <c r="D1878" s="209"/>
      <c r="E1878" s="209"/>
      <c r="J1878" s="124"/>
    </row>
    <row r="1879" spans="3:10" x14ac:dyDescent="0.2">
      <c r="C1879" s="209"/>
      <c r="D1879" s="209"/>
      <c r="E1879" s="209"/>
      <c r="J1879" s="124"/>
    </row>
    <row r="1880" spans="3:10" x14ac:dyDescent="0.2">
      <c r="C1880" s="209"/>
      <c r="D1880" s="209"/>
      <c r="E1880" s="209"/>
      <c r="J1880" s="124"/>
    </row>
    <row r="1881" spans="3:10" x14ac:dyDescent="0.2">
      <c r="C1881" s="209"/>
      <c r="D1881" s="209"/>
      <c r="E1881" s="209"/>
      <c r="J1881" s="124"/>
    </row>
    <row r="1882" spans="3:10" x14ac:dyDescent="0.2">
      <c r="C1882" s="209"/>
      <c r="D1882" s="209"/>
      <c r="E1882" s="209"/>
      <c r="J1882" s="124"/>
    </row>
    <row r="1883" spans="3:10" x14ac:dyDescent="0.2">
      <c r="C1883" s="209"/>
      <c r="D1883" s="209"/>
      <c r="E1883" s="209"/>
      <c r="J1883" s="124"/>
    </row>
    <row r="1884" spans="3:10" x14ac:dyDescent="0.2">
      <c r="C1884" s="209"/>
      <c r="D1884" s="209"/>
      <c r="E1884" s="209"/>
      <c r="J1884" s="124"/>
    </row>
    <row r="1885" spans="3:10" x14ac:dyDescent="0.2">
      <c r="C1885" s="209"/>
      <c r="D1885" s="209"/>
      <c r="E1885" s="209"/>
      <c r="J1885" s="124"/>
    </row>
    <row r="1886" spans="3:10" x14ac:dyDescent="0.2">
      <c r="C1886" s="209"/>
      <c r="D1886" s="209"/>
      <c r="E1886" s="209"/>
      <c r="J1886" s="124"/>
    </row>
    <row r="1887" spans="3:10" x14ac:dyDescent="0.2">
      <c r="C1887" s="209"/>
      <c r="D1887" s="209"/>
      <c r="E1887" s="209"/>
      <c r="J1887" s="124"/>
    </row>
    <row r="1888" spans="3:10" x14ac:dyDescent="0.2">
      <c r="C1888" s="209"/>
      <c r="D1888" s="209"/>
      <c r="E1888" s="209"/>
      <c r="J1888" s="124"/>
    </row>
    <row r="1889" spans="3:10" x14ac:dyDescent="0.2">
      <c r="C1889" s="209"/>
      <c r="D1889" s="209"/>
      <c r="E1889" s="209"/>
      <c r="J1889" s="124"/>
    </row>
    <row r="1890" spans="3:10" x14ac:dyDescent="0.2">
      <c r="C1890" s="209"/>
      <c r="D1890" s="209"/>
      <c r="E1890" s="209"/>
      <c r="J1890" s="124"/>
    </row>
    <row r="1891" spans="3:10" x14ac:dyDescent="0.2">
      <c r="C1891" s="209"/>
      <c r="D1891" s="209"/>
      <c r="E1891" s="209"/>
      <c r="J1891" s="124"/>
    </row>
    <row r="1892" spans="3:10" x14ac:dyDescent="0.2">
      <c r="C1892" s="209"/>
      <c r="D1892" s="209"/>
      <c r="E1892" s="209"/>
      <c r="J1892" s="124"/>
    </row>
    <row r="1893" spans="3:10" x14ac:dyDescent="0.2">
      <c r="C1893" s="209"/>
      <c r="D1893" s="209"/>
      <c r="E1893" s="209"/>
      <c r="J1893" s="124"/>
    </row>
    <row r="1894" spans="3:10" x14ac:dyDescent="0.2">
      <c r="C1894" s="209"/>
      <c r="D1894" s="209"/>
      <c r="E1894" s="209"/>
      <c r="J1894" s="124"/>
    </row>
    <row r="1895" spans="3:10" x14ac:dyDescent="0.2">
      <c r="C1895" s="209"/>
      <c r="D1895" s="209"/>
      <c r="E1895" s="209"/>
      <c r="J1895" s="124"/>
    </row>
    <row r="1896" spans="3:10" x14ac:dyDescent="0.2">
      <c r="C1896" s="209"/>
      <c r="D1896" s="209"/>
      <c r="E1896" s="209"/>
      <c r="J1896" s="124"/>
    </row>
    <row r="1897" spans="3:10" x14ac:dyDescent="0.2">
      <c r="C1897" s="209"/>
      <c r="D1897" s="209"/>
      <c r="E1897" s="209"/>
      <c r="J1897" s="124"/>
    </row>
    <row r="1898" spans="3:10" x14ac:dyDescent="0.2">
      <c r="C1898" s="209"/>
      <c r="D1898" s="209"/>
      <c r="E1898" s="209"/>
      <c r="J1898" s="124"/>
    </row>
    <row r="1899" spans="3:10" x14ac:dyDescent="0.2">
      <c r="C1899" s="209"/>
      <c r="D1899" s="209"/>
      <c r="E1899" s="209"/>
      <c r="J1899" s="124"/>
    </row>
    <row r="1900" spans="3:10" x14ac:dyDescent="0.2">
      <c r="C1900" s="209"/>
      <c r="D1900" s="209"/>
      <c r="E1900" s="209"/>
      <c r="J1900" s="124"/>
    </row>
    <row r="1901" spans="3:10" x14ac:dyDescent="0.2">
      <c r="C1901" s="209"/>
      <c r="D1901" s="209"/>
      <c r="E1901" s="209"/>
      <c r="J1901" s="124"/>
    </row>
    <row r="1902" spans="3:10" x14ac:dyDescent="0.2">
      <c r="C1902" s="209"/>
      <c r="D1902" s="209"/>
      <c r="E1902" s="209"/>
      <c r="J1902" s="124"/>
    </row>
    <row r="1903" spans="3:10" x14ac:dyDescent="0.2">
      <c r="C1903" s="209"/>
      <c r="D1903" s="209"/>
      <c r="E1903" s="209"/>
      <c r="J1903" s="124"/>
    </row>
    <row r="1904" spans="3:10" x14ac:dyDescent="0.2">
      <c r="C1904" s="209"/>
      <c r="D1904" s="209"/>
      <c r="E1904" s="209"/>
      <c r="J1904" s="124"/>
    </row>
    <row r="1905" spans="3:10" x14ac:dyDescent="0.2">
      <c r="C1905" s="209"/>
      <c r="D1905" s="209"/>
      <c r="E1905" s="209"/>
      <c r="J1905" s="124"/>
    </row>
    <row r="1906" spans="3:10" x14ac:dyDescent="0.2">
      <c r="C1906" s="209"/>
      <c r="D1906" s="209"/>
      <c r="E1906" s="209"/>
      <c r="J1906" s="124"/>
    </row>
    <row r="1907" spans="3:10" x14ac:dyDescent="0.2">
      <c r="C1907" s="209"/>
      <c r="D1907" s="209"/>
      <c r="E1907" s="209"/>
      <c r="J1907" s="124"/>
    </row>
    <row r="1908" spans="3:10" x14ac:dyDescent="0.2">
      <c r="C1908" s="209"/>
      <c r="D1908" s="209"/>
      <c r="E1908" s="209"/>
      <c r="J1908" s="124"/>
    </row>
    <row r="1909" spans="3:10" x14ac:dyDescent="0.2">
      <c r="C1909" s="209"/>
      <c r="D1909" s="209"/>
      <c r="E1909" s="209"/>
      <c r="J1909" s="124"/>
    </row>
    <row r="1910" spans="3:10" x14ac:dyDescent="0.2">
      <c r="C1910" s="209"/>
      <c r="D1910" s="209"/>
      <c r="E1910" s="209"/>
      <c r="J1910" s="124"/>
    </row>
    <row r="1911" spans="3:10" x14ac:dyDescent="0.2">
      <c r="C1911" s="209"/>
      <c r="D1911" s="209"/>
      <c r="E1911" s="209"/>
      <c r="J1911" s="124"/>
    </row>
    <row r="1912" spans="3:10" x14ac:dyDescent="0.2">
      <c r="C1912" s="209"/>
      <c r="D1912" s="209"/>
      <c r="E1912" s="209"/>
      <c r="J1912" s="124"/>
    </row>
    <row r="1913" spans="3:10" x14ac:dyDescent="0.2">
      <c r="C1913" s="209"/>
      <c r="D1913" s="209"/>
      <c r="E1913" s="209"/>
      <c r="J1913" s="124"/>
    </row>
    <row r="1914" spans="3:10" x14ac:dyDescent="0.2">
      <c r="C1914" s="209"/>
      <c r="D1914" s="209"/>
      <c r="E1914" s="209"/>
      <c r="J1914" s="124"/>
    </row>
    <row r="1915" spans="3:10" x14ac:dyDescent="0.2">
      <c r="C1915" s="209"/>
      <c r="D1915" s="209"/>
      <c r="E1915" s="209"/>
      <c r="J1915" s="124"/>
    </row>
    <row r="1916" spans="3:10" x14ac:dyDescent="0.2">
      <c r="C1916" s="209"/>
      <c r="D1916" s="209"/>
      <c r="E1916" s="209"/>
      <c r="J1916" s="124"/>
    </row>
    <row r="1917" spans="3:10" x14ac:dyDescent="0.2">
      <c r="C1917" s="209"/>
      <c r="D1917" s="209"/>
      <c r="E1917" s="209"/>
      <c r="J1917" s="124"/>
    </row>
    <row r="1918" spans="3:10" x14ac:dyDescent="0.2">
      <c r="C1918" s="209"/>
      <c r="D1918" s="209"/>
      <c r="E1918" s="209"/>
      <c r="J1918" s="124"/>
    </row>
    <row r="1919" spans="3:10" x14ac:dyDescent="0.2">
      <c r="C1919" s="209"/>
      <c r="D1919" s="209"/>
      <c r="E1919" s="209"/>
      <c r="J1919" s="124"/>
    </row>
    <row r="1920" spans="3:10" x14ac:dyDescent="0.2">
      <c r="C1920" s="209"/>
      <c r="D1920" s="209"/>
      <c r="E1920" s="209"/>
      <c r="J1920" s="124"/>
    </row>
    <row r="1921" spans="3:10" x14ac:dyDescent="0.2">
      <c r="C1921" s="209"/>
      <c r="D1921" s="209"/>
      <c r="E1921" s="209"/>
      <c r="J1921" s="124"/>
    </row>
    <row r="1922" spans="3:10" x14ac:dyDescent="0.2">
      <c r="C1922" s="209"/>
      <c r="D1922" s="209"/>
      <c r="E1922" s="209"/>
      <c r="J1922" s="124"/>
    </row>
    <row r="1923" spans="3:10" x14ac:dyDescent="0.2">
      <c r="C1923" s="209"/>
      <c r="D1923" s="209"/>
      <c r="E1923" s="209"/>
      <c r="J1923" s="124"/>
    </row>
    <row r="1924" spans="3:10" x14ac:dyDescent="0.2">
      <c r="C1924" s="209"/>
      <c r="D1924" s="209"/>
      <c r="E1924" s="209"/>
      <c r="J1924" s="124"/>
    </row>
    <row r="1925" spans="3:10" x14ac:dyDescent="0.2">
      <c r="C1925" s="209"/>
      <c r="D1925" s="209"/>
      <c r="E1925" s="209"/>
      <c r="J1925" s="124"/>
    </row>
    <row r="1926" spans="3:10" x14ac:dyDescent="0.2">
      <c r="C1926" s="209"/>
      <c r="D1926" s="209"/>
      <c r="E1926" s="209"/>
      <c r="J1926" s="124"/>
    </row>
    <row r="1927" spans="3:10" x14ac:dyDescent="0.2">
      <c r="C1927" s="209"/>
      <c r="D1927" s="209"/>
      <c r="E1927" s="209"/>
      <c r="J1927" s="124"/>
    </row>
    <row r="1928" spans="3:10" x14ac:dyDescent="0.2">
      <c r="C1928" s="209"/>
      <c r="D1928" s="209"/>
      <c r="E1928" s="209"/>
      <c r="J1928" s="124"/>
    </row>
    <row r="1929" spans="3:10" x14ac:dyDescent="0.2">
      <c r="C1929" s="209"/>
      <c r="D1929" s="209"/>
      <c r="E1929" s="209"/>
      <c r="J1929" s="124"/>
    </row>
    <row r="1930" spans="3:10" x14ac:dyDescent="0.2">
      <c r="C1930" s="209"/>
      <c r="D1930" s="209"/>
      <c r="E1930" s="209"/>
      <c r="J1930" s="124"/>
    </row>
    <row r="1931" spans="3:10" x14ac:dyDescent="0.2">
      <c r="C1931" s="209"/>
      <c r="D1931" s="209"/>
      <c r="E1931" s="209"/>
      <c r="J1931" s="124"/>
    </row>
    <row r="1932" spans="3:10" x14ac:dyDescent="0.2">
      <c r="C1932" s="209"/>
      <c r="D1932" s="209"/>
      <c r="E1932" s="209"/>
      <c r="J1932" s="124"/>
    </row>
    <row r="1933" spans="3:10" x14ac:dyDescent="0.2">
      <c r="C1933" s="209"/>
      <c r="D1933" s="209"/>
      <c r="E1933" s="209"/>
      <c r="J1933" s="124"/>
    </row>
    <row r="1934" spans="3:10" x14ac:dyDescent="0.2">
      <c r="C1934" s="209"/>
      <c r="D1934" s="209"/>
      <c r="E1934" s="209"/>
      <c r="J1934" s="124"/>
    </row>
    <row r="1935" spans="3:10" x14ac:dyDescent="0.2">
      <c r="C1935" s="209"/>
      <c r="D1935" s="209"/>
      <c r="E1935" s="209"/>
      <c r="J1935" s="124"/>
    </row>
    <row r="1936" spans="3:10" x14ac:dyDescent="0.2">
      <c r="C1936" s="209"/>
      <c r="D1936" s="209"/>
      <c r="E1936" s="209"/>
      <c r="J1936" s="124"/>
    </row>
    <row r="1937" spans="3:10" x14ac:dyDescent="0.2">
      <c r="C1937" s="209"/>
      <c r="D1937" s="209"/>
      <c r="E1937" s="209"/>
      <c r="J1937" s="124"/>
    </row>
    <row r="1938" spans="3:10" x14ac:dyDescent="0.2">
      <c r="C1938" s="209"/>
      <c r="D1938" s="209"/>
      <c r="E1938" s="209"/>
      <c r="J1938" s="124"/>
    </row>
    <row r="1939" spans="3:10" x14ac:dyDescent="0.2">
      <c r="C1939" s="209"/>
      <c r="D1939" s="209"/>
      <c r="E1939" s="209"/>
      <c r="J1939" s="124"/>
    </row>
    <row r="1940" spans="3:10" x14ac:dyDescent="0.2">
      <c r="C1940" s="209"/>
      <c r="D1940" s="209"/>
      <c r="E1940" s="209"/>
      <c r="J1940" s="124"/>
    </row>
    <row r="1941" spans="3:10" x14ac:dyDescent="0.2">
      <c r="C1941" s="209"/>
      <c r="D1941" s="209"/>
      <c r="E1941" s="209"/>
      <c r="J1941" s="124"/>
    </row>
    <row r="1942" spans="3:10" x14ac:dyDescent="0.2">
      <c r="C1942" s="209"/>
      <c r="D1942" s="209"/>
      <c r="E1942" s="209"/>
      <c r="J1942" s="124"/>
    </row>
    <row r="1943" spans="3:10" x14ac:dyDescent="0.2">
      <c r="C1943" s="209"/>
      <c r="D1943" s="209"/>
      <c r="E1943" s="209"/>
      <c r="J1943" s="124"/>
    </row>
    <row r="1944" spans="3:10" x14ac:dyDescent="0.2">
      <c r="C1944" s="209"/>
      <c r="D1944" s="209"/>
      <c r="E1944" s="209"/>
      <c r="J1944" s="124"/>
    </row>
    <row r="1945" spans="3:10" x14ac:dyDescent="0.2">
      <c r="C1945" s="209"/>
      <c r="D1945" s="209"/>
      <c r="E1945" s="209"/>
      <c r="J1945" s="124"/>
    </row>
    <row r="1946" spans="3:10" x14ac:dyDescent="0.2">
      <c r="C1946" s="209"/>
      <c r="D1946" s="209"/>
      <c r="E1946" s="209"/>
      <c r="J1946" s="124"/>
    </row>
    <row r="1947" spans="3:10" x14ac:dyDescent="0.2">
      <c r="C1947" s="209"/>
      <c r="D1947" s="209"/>
      <c r="E1947" s="209"/>
      <c r="J1947" s="124"/>
    </row>
    <row r="1948" spans="3:10" x14ac:dyDescent="0.2">
      <c r="C1948" s="209"/>
      <c r="D1948" s="209"/>
      <c r="E1948" s="209"/>
      <c r="J1948" s="124"/>
    </row>
    <row r="1949" spans="3:10" x14ac:dyDescent="0.2">
      <c r="C1949" s="209"/>
      <c r="D1949" s="209"/>
      <c r="E1949" s="209"/>
      <c r="J1949" s="124"/>
    </row>
    <row r="1950" spans="3:10" x14ac:dyDescent="0.2">
      <c r="C1950" s="209"/>
      <c r="D1950" s="209"/>
      <c r="E1950" s="209"/>
      <c r="J1950" s="124"/>
    </row>
    <row r="1951" spans="3:10" x14ac:dyDescent="0.2">
      <c r="C1951" s="209"/>
      <c r="D1951" s="209"/>
      <c r="E1951" s="209"/>
      <c r="J1951" s="124"/>
    </row>
    <row r="1952" spans="3:10" x14ac:dyDescent="0.2">
      <c r="C1952" s="209"/>
      <c r="D1952" s="209"/>
      <c r="E1952" s="209"/>
      <c r="J1952" s="124"/>
    </row>
    <row r="1953" spans="3:10" x14ac:dyDescent="0.2">
      <c r="C1953" s="209"/>
      <c r="D1953" s="209"/>
      <c r="E1953" s="209"/>
      <c r="J1953" s="124"/>
    </row>
    <row r="1954" spans="3:10" x14ac:dyDescent="0.2">
      <c r="C1954" s="209"/>
      <c r="D1954" s="209"/>
      <c r="E1954" s="209"/>
      <c r="J1954" s="124"/>
    </row>
    <row r="1955" spans="3:10" x14ac:dyDescent="0.2">
      <c r="C1955" s="209"/>
      <c r="D1955" s="209"/>
      <c r="E1955" s="209"/>
      <c r="J1955" s="124"/>
    </row>
    <row r="1956" spans="3:10" x14ac:dyDescent="0.2">
      <c r="C1956" s="209"/>
      <c r="D1956" s="209"/>
      <c r="E1956" s="209"/>
      <c r="J1956" s="124"/>
    </row>
    <row r="1957" spans="3:10" x14ac:dyDescent="0.2">
      <c r="C1957" s="209"/>
      <c r="D1957" s="209"/>
      <c r="E1957" s="209"/>
      <c r="J1957" s="124"/>
    </row>
    <row r="1958" spans="3:10" x14ac:dyDescent="0.2">
      <c r="C1958" s="209"/>
      <c r="D1958" s="209"/>
      <c r="E1958" s="209"/>
      <c r="J1958" s="124"/>
    </row>
    <row r="1959" spans="3:10" x14ac:dyDescent="0.2">
      <c r="C1959" s="209"/>
      <c r="D1959" s="209"/>
      <c r="E1959" s="209"/>
      <c r="J1959" s="124"/>
    </row>
    <row r="1960" spans="3:10" x14ac:dyDescent="0.2">
      <c r="C1960" s="209"/>
      <c r="D1960" s="209"/>
      <c r="E1960" s="209"/>
      <c r="J1960" s="124"/>
    </row>
    <row r="1961" spans="3:10" x14ac:dyDescent="0.2">
      <c r="C1961" s="209"/>
      <c r="D1961" s="209"/>
      <c r="E1961" s="209"/>
      <c r="J1961" s="124"/>
    </row>
    <row r="1962" spans="3:10" x14ac:dyDescent="0.2">
      <c r="C1962" s="209"/>
      <c r="D1962" s="209"/>
      <c r="E1962" s="209"/>
      <c r="J1962" s="124"/>
    </row>
    <row r="1963" spans="3:10" x14ac:dyDescent="0.2">
      <c r="C1963" s="209"/>
      <c r="D1963" s="209"/>
      <c r="E1963" s="209"/>
      <c r="J1963" s="124"/>
    </row>
    <row r="1964" spans="3:10" x14ac:dyDescent="0.2">
      <c r="C1964" s="209"/>
      <c r="D1964" s="209"/>
      <c r="E1964" s="209"/>
      <c r="J1964" s="124"/>
    </row>
    <row r="1965" spans="3:10" x14ac:dyDescent="0.2">
      <c r="C1965" s="209"/>
      <c r="D1965" s="209"/>
      <c r="E1965" s="209"/>
      <c r="J1965" s="124"/>
    </row>
    <row r="1966" spans="3:10" x14ac:dyDescent="0.2">
      <c r="C1966" s="209"/>
      <c r="D1966" s="209"/>
      <c r="E1966" s="209"/>
      <c r="J1966" s="124"/>
    </row>
    <row r="1967" spans="3:10" x14ac:dyDescent="0.2">
      <c r="C1967" s="209"/>
      <c r="D1967" s="209"/>
      <c r="E1967" s="209"/>
      <c r="J1967" s="124"/>
    </row>
    <row r="1968" spans="3:10" x14ac:dyDescent="0.2">
      <c r="C1968" s="209"/>
      <c r="D1968" s="209"/>
      <c r="E1968" s="209"/>
      <c r="J1968" s="124"/>
    </row>
    <row r="1969" spans="3:10" x14ac:dyDescent="0.2">
      <c r="C1969" s="209"/>
      <c r="D1969" s="209"/>
      <c r="E1969" s="209"/>
      <c r="J1969" s="124"/>
    </row>
    <row r="1970" spans="3:10" x14ac:dyDescent="0.2">
      <c r="C1970" s="209"/>
      <c r="D1970" s="209"/>
      <c r="E1970" s="209"/>
      <c r="J1970" s="124"/>
    </row>
    <row r="1971" spans="3:10" x14ac:dyDescent="0.2">
      <c r="C1971" s="209"/>
      <c r="D1971" s="209"/>
      <c r="E1971" s="209"/>
      <c r="J1971" s="124"/>
    </row>
    <row r="1972" spans="3:10" x14ac:dyDescent="0.2">
      <c r="C1972" s="209"/>
      <c r="D1972" s="209"/>
      <c r="E1972" s="209"/>
      <c r="J1972" s="124"/>
    </row>
    <row r="1973" spans="3:10" x14ac:dyDescent="0.2">
      <c r="C1973" s="209"/>
      <c r="D1973" s="209"/>
      <c r="E1973" s="209"/>
      <c r="J1973" s="124"/>
    </row>
    <row r="1974" spans="3:10" x14ac:dyDescent="0.2">
      <c r="C1974" s="209"/>
      <c r="D1974" s="209"/>
      <c r="E1974" s="209"/>
      <c r="J1974" s="124"/>
    </row>
    <row r="1975" spans="3:10" x14ac:dyDescent="0.2">
      <c r="C1975" s="209"/>
      <c r="D1975" s="209"/>
      <c r="E1975" s="209"/>
      <c r="J1975" s="124"/>
    </row>
    <row r="1976" spans="3:10" x14ac:dyDescent="0.2">
      <c r="C1976" s="209"/>
      <c r="D1976" s="209"/>
      <c r="E1976" s="209"/>
      <c r="J1976" s="124"/>
    </row>
    <row r="1977" spans="3:10" x14ac:dyDescent="0.2">
      <c r="C1977" s="209"/>
      <c r="D1977" s="209"/>
      <c r="E1977" s="209"/>
      <c r="J1977" s="124"/>
    </row>
    <row r="1978" spans="3:10" x14ac:dyDescent="0.2">
      <c r="C1978" s="209"/>
      <c r="D1978" s="209"/>
      <c r="E1978" s="209"/>
      <c r="J1978" s="124"/>
    </row>
    <row r="1979" spans="3:10" x14ac:dyDescent="0.2">
      <c r="C1979" s="209"/>
      <c r="D1979" s="209"/>
      <c r="E1979" s="209"/>
      <c r="J1979" s="124"/>
    </row>
    <row r="1980" spans="3:10" x14ac:dyDescent="0.2">
      <c r="C1980" s="209"/>
      <c r="D1980" s="209"/>
      <c r="E1980" s="209"/>
      <c r="J1980" s="124"/>
    </row>
    <row r="1981" spans="3:10" x14ac:dyDescent="0.2">
      <c r="C1981" s="209"/>
      <c r="D1981" s="209"/>
      <c r="E1981" s="209"/>
      <c r="J1981" s="124"/>
    </row>
    <row r="1982" spans="3:10" x14ac:dyDescent="0.2">
      <c r="C1982" s="209"/>
      <c r="D1982" s="209"/>
      <c r="E1982" s="209"/>
      <c r="J1982" s="124"/>
    </row>
    <row r="1983" spans="3:10" x14ac:dyDescent="0.2">
      <c r="C1983" s="209"/>
      <c r="D1983" s="209"/>
      <c r="E1983" s="209"/>
      <c r="J1983" s="124"/>
    </row>
    <row r="1984" spans="3:10" x14ac:dyDescent="0.2">
      <c r="C1984" s="209"/>
      <c r="D1984" s="209"/>
      <c r="E1984" s="209"/>
      <c r="J1984" s="124"/>
    </row>
    <row r="1985" spans="3:10" x14ac:dyDescent="0.2">
      <c r="C1985" s="209"/>
      <c r="D1985" s="209"/>
      <c r="E1985" s="209"/>
      <c r="J1985" s="124"/>
    </row>
    <row r="1986" spans="3:10" x14ac:dyDescent="0.2">
      <c r="C1986" s="209"/>
      <c r="D1986" s="209"/>
      <c r="E1986" s="209"/>
      <c r="J1986" s="124"/>
    </row>
    <row r="1987" spans="3:10" x14ac:dyDescent="0.2">
      <c r="C1987" s="209"/>
      <c r="D1987" s="209"/>
      <c r="E1987" s="209"/>
      <c r="J1987" s="124"/>
    </row>
    <row r="1988" spans="3:10" x14ac:dyDescent="0.2">
      <c r="C1988" s="209"/>
      <c r="D1988" s="209"/>
      <c r="E1988" s="209"/>
      <c r="J1988" s="124"/>
    </row>
    <row r="1989" spans="3:10" x14ac:dyDescent="0.2">
      <c r="C1989" s="209"/>
      <c r="D1989" s="209"/>
      <c r="E1989" s="209"/>
      <c r="J1989" s="124"/>
    </row>
    <row r="1990" spans="3:10" x14ac:dyDescent="0.2">
      <c r="C1990" s="209"/>
      <c r="D1990" s="209"/>
      <c r="E1990" s="209"/>
      <c r="J1990" s="124"/>
    </row>
    <row r="1991" spans="3:10" x14ac:dyDescent="0.2">
      <c r="C1991" s="209"/>
      <c r="D1991" s="209"/>
      <c r="E1991" s="209"/>
      <c r="J1991" s="124"/>
    </row>
    <row r="1992" spans="3:10" x14ac:dyDescent="0.2">
      <c r="C1992" s="209"/>
      <c r="D1992" s="209"/>
      <c r="E1992" s="209"/>
      <c r="J1992" s="124"/>
    </row>
    <row r="1993" spans="3:10" x14ac:dyDescent="0.2">
      <c r="C1993" s="209"/>
      <c r="D1993" s="209"/>
      <c r="E1993" s="209"/>
      <c r="J1993" s="124"/>
    </row>
    <row r="1994" spans="3:10" x14ac:dyDescent="0.2">
      <c r="C1994" s="209"/>
      <c r="D1994" s="209"/>
      <c r="E1994" s="209"/>
      <c r="J1994" s="124"/>
    </row>
    <row r="1995" spans="3:10" x14ac:dyDescent="0.2">
      <c r="C1995" s="209"/>
      <c r="D1995" s="209"/>
      <c r="E1995" s="209"/>
      <c r="J1995" s="124"/>
    </row>
    <row r="1996" spans="3:10" x14ac:dyDescent="0.2">
      <c r="C1996" s="209"/>
      <c r="D1996" s="209"/>
      <c r="E1996" s="209"/>
      <c r="J1996" s="124"/>
    </row>
    <row r="1997" spans="3:10" x14ac:dyDescent="0.2">
      <c r="C1997" s="209"/>
      <c r="D1997" s="209"/>
      <c r="E1997" s="209"/>
      <c r="J1997" s="124"/>
    </row>
    <row r="1998" spans="3:10" x14ac:dyDescent="0.2">
      <c r="C1998" s="209"/>
      <c r="D1998" s="209"/>
      <c r="E1998" s="209"/>
      <c r="J1998" s="124"/>
    </row>
    <row r="1999" spans="3:10" x14ac:dyDescent="0.2">
      <c r="C1999" s="209"/>
      <c r="D1999" s="209"/>
      <c r="E1999" s="209"/>
      <c r="J1999" s="124"/>
    </row>
    <row r="2000" spans="3:10" x14ac:dyDescent="0.2">
      <c r="C2000" s="209"/>
      <c r="D2000" s="209"/>
      <c r="E2000" s="209"/>
      <c r="J2000" s="124"/>
    </row>
    <row r="2001" spans="3:10" x14ac:dyDescent="0.2">
      <c r="C2001" s="209"/>
      <c r="D2001" s="209"/>
      <c r="E2001" s="209"/>
      <c r="J2001" s="124"/>
    </row>
    <row r="2002" spans="3:10" x14ac:dyDescent="0.2">
      <c r="C2002" s="209"/>
      <c r="D2002" s="209"/>
      <c r="E2002" s="209"/>
      <c r="J2002" s="124"/>
    </row>
    <row r="2003" spans="3:10" x14ac:dyDescent="0.2">
      <c r="C2003" s="209"/>
      <c r="D2003" s="209"/>
      <c r="E2003" s="209"/>
      <c r="J2003" s="124"/>
    </row>
    <row r="2004" spans="3:10" x14ac:dyDescent="0.2">
      <c r="C2004" s="209"/>
      <c r="D2004" s="209"/>
      <c r="E2004" s="209"/>
      <c r="J2004" s="124"/>
    </row>
    <row r="2005" spans="3:10" x14ac:dyDescent="0.2">
      <c r="C2005" s="209"/>
      <c r="D2005" s="209"/>
      <c r="E2005" s="209"/>
      <c r="J2005" s="124"/>
    </row>
    <row r="2006" spans="3:10" x14ac:dyDescent="0.2">
      <c r="C2006" s="209"/>
      <c r="D2006" s="209"/>
      <c r="E2006" s="209"/>
      <c r="J2006" s="124"/>
    </row>
    <row r="2007" spans="3:10" x14ac:dyDescent="0.2">
      <c r="C2007" s="209"/>
      <c r="D2007" s="209"/>
      <c r="E2007" s="209"/>
      <c r="J2007" s="124"/>
    </row>
    <row r="2008" spans="3:10" x14ac:dyDescent="0.2">
      <c r="C2008" s="209"/>
      <c r="D2008" s="209"/>
      <c r="E2008" s="209"/>
      <c r="J2008" s="124"/>
    </row>
    <row r="2009" spans="3:10" x14ac:dyDescent="0.2">
      <c r="C2009" s="209"/>
      <c r="D2009" s="209"/>
      <c r="E2009" s="209"/>
      <c r="J2009" s="124"/>
    </row>
    <row r="2010" spans="3:10" x14ac:dyDescent="0.2">
      <c r="C2010" s="209"/>
      <c r="D2010" s="209"/>
      <c r="E2010" s="209"/>
      <c r="J2010" s="124"/>
    </row>
    <row r="2011" spans="3:10" x14ac:dyDescent="0.2">
      <c r="C2011" s="209"/>
      <c r="D2011" s="209"/>
      <c r="E2011" s="209"/>
      <c r="J2011" s="124"/>
    </row>
    <row r="2012" spans="3:10" x14ac:dyDescent="0.2">
      <c r="C2012" s="209"/>
      <c r="D2012" s="209"/>
      <c r="E2012" s="209"/>
      <c r="J2012" s="124"/>
    </row>
    <row r="2013" spans="3:10" x14ac:dyDescent="0.2">
      <c r="C2013" s="209"/>
      <c r="D2013" s="209"/>
      <c r="E2013" s="209"/>
      <c r="J2013" s="124"/>
    </row>
    <row r="2014" spans="3:10" x14ac:dyDescent="0.2">
      <c r="C2014" s="209"/>
      <c r="D2014" s="209"/>
      <c r="E2014" s="209"/>
      <c r="J2014" s="124"/>
    </row>
    <row r="2015" spans="3:10" x14ac:dyDescent="0.2">
      <c r="C2015" s="209"/>
      <c r="D2015" s="209"/>
      <c r="E2015" s="209"/>
      <c r="J2015" s="124"/>
    </row>
    <row r="2016" spans="3:10" x14ac:dyDescent="0.2">
      <c r="C2016" s="209"/>
      <c r="D2016" s="209"/>
      <c r="E2016" s="209"/>
      <c r="J2016" s="124"/>
    </row>
    <row r="2017" spans="3:10" x14ac:dyDescent="0.2">
      <c r="C2017" s="209"/>
      <c r="D2017" s="209"/>
      <c r="E2017" s="209"/>
      <c r="J2017" s="124"/>
    </row>
    <row r="2018" spans="3:10" x14ac:dyDescent="0.2">
      <c r="C2018" s="209"/>
      <c r="D2018" s="209"/>
      <c r="E2018" s="209"/>
      <c r="J2018" s="124"/>
    </row>
    <row r="2019" spans="3:10" x14ac:dyDescent="0.2">
      <c r="C2019" s="209"/>
      <c r="D2019" s="209"/>
      <c r="E2019" s="209"/>
      <c r="J2019" s="124"/>
    </row>
    <row r="2020" spans="3:10" x14ac:dyDescent="0.2">
      <c r="C2020" s="209"/>
      <c r="D2020" s="209"/>
      <c r="E2020" s="209"/>
      <c r="J2020" s="124"/>
    </row>
    <row r="2021" spans="3:10" x14ac:dyDescent="0.2">
      <c r="C2021" s="209"/>
      <c r="D2021" s="209"/>
      <c r="E2021" s="209"/>
      <c r="J2021" s="124"/>
    </row>
    <row r="2022" spans="3:10" x14ac:dyDescent="0.2">
      <c r="C2022" s="209"/>
      <c r="D2022" s="209"/>
      <c r="E2022" s="209"/>
      <c r="J2022" s="124"/>
    </row>
    <row r="2023" spans="3:10" x14ac:dyDescent="0.2">
      <c r="C2023" s="209"/>
      <c r="D2023" s="209"/>
      <c r="E2023" s="209"/>
      <c r="J2023" s="124"/>
    </row>
    <row r="2024" spans="3:10" x14ac:dyDescent="0.2">
      <c r="C2024" s="209"/>
      <c r="D2024" s="209"/>
      <c r="E2024" s="209"/>
      <c r="J2024" s="124"/>
    </row>
    <row r="2025" spans="3:10" x14ac:dyDescent="0.2">
      <c r="C2025" s="209"/>
      <c r="D2025" s="209"/>
      <c r="E2025" s="209"/>
      <c r="J2025" s="124"/>
    </row>
    <row r="2026" spans="3:10" x14ac:dyDescent="0.2">
      <c r="C2026" s="209"/>
      <c r="D2026" s="209"/>
      <c r="E2026" s="209"/>
      <c r="J2026" s="124"/>
    </row>
    <row r="2027" spans="3:10" x14ac:dyDescent="0.2">
      <c r="C2027" s="209"/>
      <c r="D2027" s="209"/>
      <c r="E2027" s="209"/>
      <c r="J2027" s="124"/>
    </row>
    <row r="2028" spans="3:10" x14ac:dyDescent="0.2">
      <c r="C2028" s="209"/>
      <c r="D2028" s="209"/>
      <c r="E2028" s="209"/>
      <c r="J2028" s="124"/>
    </row>
    <row r="2029" spans="3:10" x14ac:dyDescent="0.2">
      <c r="C2029" s="209"/>
      <c r="D2029" s="209"/>
      <c r="E2029" s="209"/>
      <c r="J2029" s="124"/>
    </row>
    <row r="2030" spans="3:10" x14ac:dyDescent="0.2">
      <c r="C2030" s="209"/>
      <c r="D2030" s="209"/>
      <c r="E2030" s="209"/>
      <c r="J2030" s="124"/>
    </row>
    <row r="2031" spans="3:10" x14ac:dyDescent="0.2">
      <c r="C2031" s="209"/>
      <c r="D2031" s="209"/>
      <c r="E2031" s="209"/>
      <c r="J2031" s="124"/>
    </row>
    <row r="2032" spans="3:10" x14ac:dyDescent="0.2">
      <c r="C2032" s="209"/>
      <c r="D2032" s="209"/>
      <c r="E2032" s="209"/>
      <c r="J2032" s="124"/>
    </row>
    <row r="2033" spans="3:10" x14ac:dyDescent="0.2">
      <c r="C2033" s="209"/>
      <c r="D2033" s="209"/>
      <c r="E2033" s="209"/>
      <c r="J2033" s="124"/>
    </row>
    <row r="2034" spans="3:10" x14ac:dyDescent="0.2">
      <c r="C2034" s="209"/>
      <c r="D2034" s="209"/>
      <c r="E2034" s="209"/>
      <c r="J2034" s="124"/>
    </row>
    <row r="2035" spans="3:10" x14ac:dyDescent="0.2">
      <c r="C2035" s="209"/>
      <c r="D2035" s="209"/>
      <c r="E2035" s="209"/>
      <c r="J2035" s="124"/>
    </row>
    <row r="2036" spans="3:10" x14ac:dyDescent="0.2">
      <c r="C2036" s="209"/>
      <c r="D2036" s="209"/>
      <c r="E2036" s="209"/>
      <c r="J2036" s="124"/>
    </row>
    <row r="2037" spans="3:10" x14ac:dyDescent="0.2">
      <c r="C2037" s="209"/>
      <c r="D2037" s="209"/>
      <c r="E2037" s="209"/>
      <c r="J2037" s="124"/>
    </row>
    <row r="2038" spans="3:10" x14ac:dyDescent="0.2">
      <c r="C2038" s="209"/>
      <c r="D2038" s="209"/>
      <c r="E2038" s="209"/>
      <c r="J2038" s="124"/>
    </row>
    <row r="2039" spans="3:10" x14ac:dyDescent="0.2">
      <c r="C2039" s="209"/>
      <c r="D2039" s="209"/>
      <c r="E2039" s="209"/>
      <c r="J2039" s="124"/>
    </row>
    <row r="2040" spans="3:10" x14ac:dyDescent="0.2">
      <c r="C2040" s="209"/>
      <c r="D2040" s="209"/>
      <c r="E2040" s="209"/>
      <c r="J2040" s="124"/>
    </row>
    <row r="2041" spans="3:10" x14ac:dyDescent="0.2">
      <c r="C2041" s="209"/>
      <c r="D2041" s="209"/>
      <c r="E2041" s="209"/>
      <c r="J2041" s="124"/>
    </row>
    <row r="2042" spans="3:10" x14ac:dyDescent="0.2">
      <c r="C2042" s="209"/>
      <c r="D2042" s="209"/>
      <c r="E2042" s="209"/>
      <c r="J2042" s="124"/>
    </row>
    <row r="2043" spans="3:10" x14ac:dyDescent="0.2">
      <c r="C2043" s="209"/>
      <c r="D2043" s="209"/>
      <c r="E2043" s="209"/>
      <c r="J2043" s="124"/>
    </row>
    <row r="2044" spans="3:10" x14ac:dyDescent="0.2">
      <c r="C2044" s="209"/>
      <c r="D2044" s="209"/>
      <c r="E2044" s="209"/>
      <c r="J2044" s="124"/>
    </row>
    <row r="2045" spans="3:10" x14ac:dyDescent="0.2">
      <c r="C2045" s="209"/>
      <c r="D2045" s="209"/>
      <c r="E2045" s="209"/>
      <c r="J2045" s="124"/>
    </row>
    <row r="2046" spans="3:10" x14ac:dyDescent="0.2">
      <c r="C2046" s="209"/>
      <c r="D2046" s="209"/>
      <c r="E2046" s="209"/>
      <c r="J2046" s="124"/>
    </row>
    <row r="2047" spans="3:10" x14ac:dyDescent="0.2">
      <c r="C2047" s="209"/>
      <c r="D2047" s="209"/>
      <c r="E2047" s="209"/>
      <c r="J2047" s="124"/>
    </row>
    <row r="2048" spans="3:10" x14ac:dyDescent="0.2">
      <c r="C2048" s="209"/>
      <c r="D2048" s="209"/>
      <c r="E2048" s="209"/>
      <c r="J2048" s="124"/>
    </row>
    <row r="2049" spans="3:10" x14ac:dyDescent="0.2">
      <c r="C2049" s="209"/>
      <c r="D2049" s="209"/>
      <c r="E2049" s="209"/>
      <c r="J2049" s="124"/>
    </row>
    <row r="2050" spans="3:10" x14ac:dyDescent="0.2">
      <c r="C2050" s="209"/>
      <c r="D2050" s="209"/>
      <c r="E2050" s="209"/>
      <c r="J2050" s="124"/>
    </row>
    <row r="2051" spans="3:10" x14ac:dyDescent="0.2">
      <c r="C2051" s="209"/>
      <c r="D2051" s="209"/>
      <c r="E2051" s="209"/>
      <c r="J2051" s="124"/>
    </row>
    <row r="2052" spans="3:10" x14ac:dyDescent="0.2">
      <c r="C2052" s="209"/>
      <c r="D2052" s="209"/>
      <c r="E2052" s="209"/>
      <c r="J2052" s="124"/>
    </row>
    <row r="2053" spans="3:10" x14ac:dyDescent="0.2">
      <c r="C2053" s="209"/>
      <c r="D2053" s="209"/>
      <c r="E2053" s="209"/>
      <c r="J2053" s="124"/>
    </row>
    <row r="2054" spans="3:10" x14ac:dyDescent="0.2">
      <c r="C2054" s="209"/>
      <c r="D2054" s="209"/>
      <c r="E2054" s="209"/>
      <c r="J2054" s="124"/>
    </row>
    <row r="2055" spans="3:10" x14ac:dyDescent="0.2">
      <c r="C2055" s="209"/>
      <c r="D2055" s="209"/>
      <c r="E2055" s="209"/>
      <c r="J2055" s="124"/>
    </row>
    <row r="2056" spans="3:10" x14ac:dyDescent="0.2">
      <c r="C2056" s="209"/>
      <c r="D2056" s="209"/>
      <c r="E2056" s="209"/>
      <c r="J2056" s="124"/>
    </row>
    <row r="2057" spans="3:10" x14ac:dyDescent="0.2">
      <c r="C2057" s="209"/>
      <c r="D2057" s="209"/>
      <c r="E2057" s="209"/>
      <c r="J2057" s="124"/>
    </row>
    <row r="2058" spans="3:10" x14ac:dyDescent="0.2">
      <c r="C2058" s="209"/>
      <c r="D2058" s="209"/>
      <c r="E2058" s="209"/>
      <c r="J2058" s="124"/>
    </row>
    <row r="2059" spans="3:10" x14ac:dyDescent="0.2">
      <c r="C2059" s="209"/>
      <c r="D2059" s="209"/>
      <c r="E2059" s="209"/>
      <c r="J2059" s="124"/>
    </row>
    <row r="2060" spans="3:10" x14ac:dyDescent="0.2">
      <c r="C2060" s="209"/>
      <c r="D2060" s="209"/>
      <c r="E2060" s="209"/>
      <c r="J2060" s="124"/>
    </row>
    <row r="2061" spans="3:10" x14ac:dyDescent="0.2">
      <c r="C2061" s="209"/>
      <c r="D2061" s="209"/>
      <c r="E2061" s="209"/>
      <c r="J2061" s="124"/>
    </row>
    <row r="2062" spans="3:10" x14ac:dyDescent="0.2">
      <c r="C2062" s="209"/>
      <c r="D2062" s="209"/>
      <c r="E2062" s="209"/>
      <c r="J2062" s="124"/>
    </row>
    <row r="2063" spans="3:10" x14ac:dyDescent="0.2">
      <c r="C2063" s="209"/>
      <c r="D2063" s="209"/>
      <c r="E2063" s="209"/>
      <c r="J2063" s="124"/>
    </row>
    <row r="2064" spans="3:10" x14ac:dyDescent="0.2">
      <c r="C2064" s="209"/>
      <c r="D2064" s="209"/>
      <c r="E2064" s="209"/>
      <c r="J2064" s="124"/>
    </row>
    <row r="2065" spans="3:10" x14ac:dyDescent="0.2">
      <c r="C2065" s="209"/>
      <c r="D2065" s="209"/>
      <c r="E2065" s="209"/>
      <c r="J2065" s="124"/>
    </row>
    <row r="2066" spans="3:10" x14ac:dyDescent="0.2">
      <c r="C2066" s="209"/>
      <c r="D2066" s="209"/>
      <c r="E2066" s="209"/>
      <c r="J2066" s="124"/>
    </row>
    <row r="2067" spans="3:10" x14ac:dyDescent="0.2">
      <c r="C2067" s="209"/>
      <c r="D2067" s="209"/>
      <c r="E2067" s="209"/>
      <c r="J2067" s="124"/>
    </row>
    <row r="2068" spans="3:10" x14ac:dyDescent="0.2">
      <c r="C2068" s="209"/>
      <c r="D2068" s="209"/>
      <c r="E2068" s="209"/>
      <c r="J2068" s="124"/>
    </row>
    <row r="2069" spans="3:10" x14ac:dyDescent="0.2">
      <c r="C2069" s="209"/>
      <c r="D2069" s="209"/>
      <c r="E2069" s="209"/>
      <c r="J2069" s="124"/>
    </row>
    <row r="2070" spans="3:10" x14ac:dyDescent="0.2">
      <c r="C2070" s="209"/>
      <c r="D2070" s="209"/>
      <c r="E2070" s="209"/>
      <c r="J2070" s="124"/>
    </row>
    <row r="2071" spans="3:10" x14ac:dyDescent="0.2">
      <c r="C2071" s="209"/>
      <c r="D2071" s="209"/>
      <c r="E2071" s="209"/>
      <c r="J2071" s="124"/>
    </row>
    <row r="2072" spans="3:10" x14ac:dyDescent="0.2">
      <c r="C2072" s="209"/>
      <c r="D2072" s="209"/>
      <c r="E2072" s="209"/>
      <c r="J2072" s="124"/>
    </row>
    <row r="2073" spans="3:10" x14ac:dyDescent="0.2">
      <c r="C2073" s="209"/>
      <c r="D2073" s="209"/>
      <c r="E2073" s="209"/>
      <c r="J2073" s="124"/>
    </row>
    <row r="2074" spans="3:10" x14ac:dyDescent="0.2">
      <c r="C2074" s="209"/>
      <c r="D2074" s="209"/>
      <c r="E2074" s="209"/>
      <c r="J2074" s="124"/>
    </row>
    <row r="2075" spans="3:10" x14ac:dyDescent="0.2">
      <c r="C2075" s="209"/>
      <c r="D2075" s="209"/>
      <c r="E2075" s="209"/>
      <c r="J2075" s="124"/>
    </row>
    <row r="2076" spans="3:10" x14ac:dyDescent="0.2">
      <c r="C2076" s="209"/>
      <c r="D2076" s="209"/>
      <c r="E2076" s="209"/>
      <c r="J2076" s="124"/>
    </row>
    <row r="2077" spans="3:10" x14ac:dyDescent="0.2">
      <c r="C2077" s="209"/>
      <c r="D2077" s="209"/>
      <c r="E2077" s="209"/>
      <c r="J2077" s="124"/>
    </row>
    <row r="2078" spans="3:10" x14ac:dyDescent="0.2">
      <c r="C2078" s="209"/>
      <c r="D2078" s="209"/>
      <c r="E2078" s="209"/>
      <c r="J2078" s="124"/>
    </row>
    <row r="2079" spans="3:10" x14ac:dyDescent="0.2">
      <c r="C2079" s="209"/>
      <c r="D2079" s="209"/>
      <c r="E2079" s="209"/>
      <c r="J2079" s="124"/>
    </row>
    <row r="2080" spans="3:10" x14ac:dyDescent="0.2">
      <c r="C2080" s="209"/>
      <c r="D2080" s="209"/>
      <c r="E2080" s="209"/>
      <c r="J2080" s="124"/>
    </row>
    <row r="2081" spans="3:10" x14ac:dyDescent="0.2">
      <c r="C2081" s="209"/>
      <c r="D2081" s="209"/>
      <c r="E2081" s="209"/>
      <c r="J2081" s="124"/>
    </row>
    <row r="2082" spans="3:10" x14ac:dyDescent="0.2">
      <c r="C2082" s="209"/>
      <c r="D2082" s="209"/>
      <c r="E2082" s="209"/>
      <c r="J2082" s="124"/>
    </row>
    <row r="2083" spans="3:10" x14ac:dyDescent="0.2">
      <c r="C2083" s="209"/>
      <c r="D2083" s="209"/>
      <c r="E2083" s="209"/>
      <c r="J2083" s="124"/>
    </row>
    <row r="2084" spans="3:10" x14ac:dyDescent="0.2">
      <c r="C2084" s="209"/>
      <c r="D2084" s="209"/>
      <c r="E2084" s="209"/>
      <c r="J2084" s="124"/>
    </row>
    <row r="2085" spans="3:10" x14ac:dyDescent="0.2">
      <c r="C2085" s="209"/>
      <c r="D2085" s="209"/>
      <c r="E2085" s="209"/>
      <c r="J2085" s="124"/>
    </row>
    <row r="2086" spans="3:10" x14ac:dyDescent="0.2">
      <c r="C2086" s="209"/>
      <c r="D2086" s="209"/>
      <c r="E2086" s="209"/>
      <c r="J2086" s="124"/>
    </row>
    <row r="2087" spans="3:10" x14ac:dyDescent="0.2">
      <c r="C2087" s="209"/>
      <c r="D2087" s="209"/>
      <c r="E2087" s="209"/>
      <c r="J2087" s="124"/>
    </row>
    <row r="2088" spans="3:10" x14ac:dyDescent="0.2">
      <c r="C2088" s="209"/>
      <c r="D2088" s="209"/>
      <c r="E2088" s="209"/>
      <c r="J2088" s="124"/>
    </row>
    <row r="2089" spans="3:10" x14ac:dyDescent="0.2">
      <c r="C2089" s="209"/>
      <c r="D2089" s="209"/>
      <c r="E2089" s="209"/>
      <c r="J2089" s="124"/>
    </row>
    <row r="2090" spans="3:10" x14ac:dyDescent="0.2">
      <c r="C2090" s="209"/>
      <c r="D2090" s="209"/>
      <c r="E2090" s="209"/>
      <c r="J2090" s="124"/>
    </row>
    <row r="2091" spans="3:10" x14ac:dyDescent="0.2">
      <c r="C2091" s="209"/>
      <c r="D2091" s="209"/>
      <c r="E2091" s="209"/>
      <c r="J2091" s="124"/>
    </row>
    <row r="2092" spans="3:10" x14ac:dyDescent="0.2">
      <c r="C2092" s="209"/>
      <c r="D2092" s="209"/>
      <c r="E2092" s="209"/>
      <c r="J2092" s="124"/>
    </row>
    <row r="2093" spans="3:10" x14ac:dyDescent="0.2">
      <c r="C2093" s="209"/>
      <c r="D2093" s="209"/>
      <c r="E2093" s="209"/>
      <c r="J2093" s="124"/>
    </row>
    <row r="2094" spans="3:10" x14ac:dyDescent="0.2">
      <c r="C2094" s="209"/>
      <c r="D2094" s="209"/>
      <c r="E2094" s="209"/>
      <c r="J2094" s="124"/>
    </row>
    <row r="2095" spans="3:10" x14ac:dyDescent="0.2">
      <c r="C2095" s="209"/>
      <c r="D2095" s="209"/>
      <c r="E2095" s="209"/>
      <c r="J2095" s="124"/>
    </row>
    <row r="2096" spans="3:10" x14ac:dyDescent="0.2">
      <c r="C2096" s="209"/>
      <c r="D2096" s="209"/>
      <c r="E2096" s="209"/>
      <c r="J2096" s="124"/>
    </row>
    <row r="2097" spans="3:10" x14ac:dyDescent="0.2">
      <c r="C2097" s="209"/>
      <c r="D2097" s="209"/>
      <c r="E2097" s="209"/>
      <c r="J2097" s="124"/>
    </row>
    <row r="2098" spans="3:10" x14ac:dyDescent="0.2">
      <c r="C2098" s="209"/>
      <c r="D2098" s="209"/>
      <c r="E2098" s="209"/>
      <c r="J2098" s="124"/>
    </row>
    <row r="2099" spans="3:10" x14ac:dyDescent="0.2">
      <c r="C2099" s="209"/>
      <c r="D2099" s="209"/>
      <c r="E2099" s="209"/>
      <c r="J2099" s="124"/>
    </row>
    <row r="2100" spans="3:10" x14ac:dyDescent="0.2">
      <c r="C2100" s="209"/>
      <c r="D2100" s="209"/>
      <c r="E2100" s="209"/>
      <c r="J2100" s="124"/>
    </row>
    <row r="2101" spans="3:10" x14ac:dyDescent="0.2">
      <c r="C2101" s="209"/>
      <c r="D2101" s="209"/>
      <c r="E2101" s="209"/>
      <c r="J2101" s="124"/>
    </row>
    <row r="2102" spans="3:10" x14ac:dyDescent="0.2">
      <c r="C2102" s="209"/>
      <c r="D2102" s="209"/>
      <c r="E2102" s="209"/>
      <c r="J2102" s="124"/>
    </row>
    <row r="2103" spans="3:10" x14ac:dyDescent="0.2">
      <c r="C2103" s="209"/>
      <c r="D2103" s="209"/>
      <c r="E2103" s="209"/>
      <c r="J2103" s="124"/>
    </row>
    <row r="2104" spans="3:10" x14ac:dyDescent="0.2">
      <c r="C2104" s="209"/>
      <c r="D2104" s="209"/>
      <c r="E2104" s="209"/>
      <c r="J2104" s="124"/>
    </row>
    <row r="2105" spans="3:10" x14ac:dyDescent="0.2">
      <c r="C2105" s="209"/>
      <c r="D2105" s="209"/>
      <c r="E2105" s="209"/>
      <c r="J2105" s="124"/>
    </row>
    <row r="2106" spans="3:10" x14ac:dyDescent="0.2">
      <c r="C2106" s="209"/>
      <c r="D2106" s="209"/>
      <c r="E2106" s="209"/>
      <c r="J2106" s="124"/>
    </row>
    <row r="2107" spans="3:10" x14ac:dyDescent="0.2">
      <c r="C2107" s="209"/>
      <c r="D2107" s="209"/>
      <c r="E2107" s="209"/>
      <c r="J2107" s="124"/>
    </row>
    <row r="2108" spans="3:10" x14ac:dyDescent="0.2">
      <c r="C2108" s="209"/>
      <c r="D2108" s="209"/>
      <c r="E2108" s="209"/>
      <c r="J2108" s="124"/>
    </row>
    <row r="2109" spans="3:10" x14ac:dyDescent="0.2">
      <c r="C2109" s="209"/>
      <c r="D2109" s="209"/>
      <c r="E2109" s="209"/>
      <c r="J2109" s="124"/>
    </row>
    <row r="2110" spans="3:10" x14ac:dyDescent="0.2">
      <c r="C2110" s="209"/>
      <c r="D2110" s="209"/>
      <c r="E2110" s="209"/>
      <c r="J2110" s="124"/>
    </row>
    <row r="2111" spans="3:10" x14ac:dyDescent="0.2">
      <c r="C2111" s="209"/>
      <c r="D2111" s="209"/>
      <c r="E2111" s="209"/>
      <c r="J2111" s="124"/>
    </row>
    <row r="2112" spans="3:10" x14ac:dyDescent="0.2">
      <c r="C2112" s="209"/>
      <c r="D2112" s="209"/>
      <c r="E2112" s="209"/>
      <c r="J2112" s="124"/>
    </row>
    <row r="2113" spans="3:10" x14ac:dyDescent="0.2">
      <c r="C2113" s="209"/>
      <c r="D2113" s="209"/>
      <c r="E2113" s="209"/>
      <c r="J2113" s="124"/>
    </row>
    <row r="2114" spans="3:10" x14ac:dyDescent="0.2">
      <c r="C2114" s="209"/>
      <c r="D2114" s="209"/>
      <c r="E2114" s="209"/>
      <c r="J2114" s="124"/>
    </row>
    <row r="2115" spans="3:10" x14ac:dyDescent="0.2">
      <c r="C2115" s="209"/>
      <c r="D2115" s="209"/>
      <c r="E2115" s="209"/>
      <c r="J2115" s="124"/>
    </row>
    <row r="2116" spans="3:10" x14ac:dyDescent="0.2">
      <c r="C2116" s="209"/>
      <c r="D2116" s="209"/>
      <c r="E2116" s="209"/>
      <c r="J2116" s="124"/>
    </row>
    <row r="2117" spans="3:10" x14ac:dyDescent="0.2">
      <c r="C2117" s="209"/>
      <c r="D2117" s="209"/>
      <c r="E2117" s="209"/>
      <c r="J2117" s="124"/>
    </row>
    <row r="2118" spans="3:10" x14ac:dyDescent="0.2">
      <c r="C2118" s="209"/>
      <c r="D2118" s="209"/>
      <c r="E2118" s="209"/>
      <c r="J2118" s="124"/>
    </row>
    <row r="2119" spans="3:10" x14ac:dyDescent="0.2">
      <c r="C2119" s="209"/>
      <c r="D2119" s="209"/>
      <c r="E2119" s="209"/>
      <c r="J2119" s="124"/>
    </row>
    <row r="2120" spans="3:10" x14ac:dyDescent="0.2">
      <c r="C2120" s="209"/>
      <c r="D2120" s="209"/>
      <c r="E2120" s="209"/>
      <c r="J2120" s="124"/>
    </row>
    <row r="2121" spans="3:10" x14ac:dyDescent="0.2">
      <c r="C2121" s="209"/>
      <c r="D2121" s="209"/>
      <c r="E2121" s="209"/>
      <c r="J2121" s="124"/>
    </row>
    <row r="2122" spans="3:10" x14ac:dyDescent="0.2">
      <c r="C2122" s="209"/>
      <c r="D2122" s="209"/>
      <c r="E2122" s="209"/>
      <c r="J2122" s="124"/>
    </row>
    <row r="2123" spans="3:10" x14ac:dyDescent="0.2">
      <c r="C2123" s="209"/>
      <c r="D2123" s="209"/>
      <c r="E2123" s="209"/>
      <c r="J2123" s="124"/>
    </row>
    <row r="2124" spans="3:10" x14ac:dyDescent="0.2">
      <c r="C2124" s="209"/>
      <c r="D2124" s="209"/>
      <c r="E2124" s="209"/>
      <c r="J2124" s="124"/>
    </row>
    <row r="2125" spans="3:10" x14ac:dyDescent="0.2">
      <c r="C2125" s="209"/>
      <c r="D2125" s="209"/>
      <c r="E2125" s="209"/>
      <c r="J2125" s="124"/>
    </row>
    <row r="2126" spans="3:10" x14ac:dyDescent="0.2">
      <c r="C2126" s="209"/>
      <c r="D2126" s="209"/>
      <c r="E2126" s="209"/>
      <c r="J2126" s="124"/>
    </row>
    <row r="2127" spans="3:10" x14ac:dyDescent="0.2">
      <c r="C2127" s="209"/>
      <c r="D2127" s="209"/>
      <c r="E2127" s="209"/>
      <c r="J2127" s="124"/>
    </row>
    <row r="2128" spans="3:10" x14ac:dyDescent="0.2">
      <c r="C2128" s="209"/>
      <c r="D2128" s="209"/>
      <c r="E2128" s="209"/>
      <c r="J2128" s="124"/>
    </row>
    <row r="2129" spans="3:10" x14ac:dyDescent="0.2">
      <c r="C2129" s="209"/>
      <c r="D2129" s="209"/>
      <c r="E2129" s="209"/>
      <c r="J2129" s="124"/>
    </row>
    <row r="2130" spans="3:10" x14ac:dyDescent="0.2">
      <c r="C2130" s="209"/>
      <c r="D2130" s="209"/>
      <c r="E2130" s="209"/>
      <c r="J2130" s="124"/>
    </row>
    <row r="2131" spans="3:10" x14ac:dyDescent="0.2">
      <c r="C2131" s="209"/>
      <c r="D2131" s="209"/>
      <c r="E2131" s="209"/>
      <c r="J2131" s="124"/>
    </row>
    <row r="2132" spans="3:10" x14ac:dyDescent="0.2">
      <c r="C2132" s="209"/>
      <c r="D2132" s="209"/>
      <c r="E2132" s="209"/>
      <c r="J2132" s="124"/>
    </row>
    <row r="2133" spans="3:10" x14ac:dyDescent="0.2">
      <c r="C2133" s="209"/>
      <c r="D2133" s="209"/>
      <c r="E2133" s="209"/>
      <c r="J2133" s="124"/>
    </row>
    <row r="2134" spans="3:10" x14ac:dyDescent="0.2">
      <c r="C2134" s="209"/>
      <c r="D2134" s="209"/>
      <c r="E2134" s="209"/>
      <c r="J2134" s="124"/>
    </row>
    <row r="2135" spans="3:10" x14ac:dyDescent="0.2">
      <c r="C2135" s="209"/>
      <c r="D2135" s="209"/>
      <c r="E2135" s="209"/>
      <c r="J2135" s="124"/>
    </row>
    <row r="2136" spans="3:10" x14ac:dyDescent="0.2">
      <c r="C2136" s="209"/>
      <c r="D2136" s="209"/>
      <c r="E2136" s="209"/>
      <c r="J2136" s="124"/>
    </row>
    <row r="2137" spans="3:10" x14ac:dyDescent="0.2">
      <c r="C2137" s="209"/>
      <c r="D2137" s="209"/>
      <c r="E2137" s="209"/>
      <c r="J2137" s="124"/>
    </row>
    <row r="2138" spans="3:10" x14ac:dyDescent="0.2">
      <c r="C2138" s="209"/>
      <c r="D2138" s="209"/>
      <c r="E2138" s="209"/>
      <c r="J2138" s="124"/>
    </row>
    <row r="2139" spans="3:10" x14ac:dyDescent="0.2">
      <c r="C2139" s="209"/>
      <c r="D2139" s="209"/>
      <c r="E2139" s="209"/>
      <c r="J2139" s="124"/>
    </row>
    <row r="2140" spans="3:10" x14ac:dyDescent="0.2">
      <c r="C2140" s="209"/>
      <c r="D2140" s="209"/>
      <c r="E2140" s="209"/>
      <c r="J2140" s="124"/>
    </row>
    <row r="2141" spans="3:10" x14ac:dyDescent="0.2">
      <c r="C2141" s="209"/>
      <c r="D2141" s="209"/>
      <c r="E2141" s="209"/>
      <c r="J2141" s="124"/>
    </row>
    <row r="2142" spans="3:10" x14ac:dyDescent="0.2">
      <c r="C2142" s="209"/>
      <c r="D2142" s="209"/>
      <c r="E2142" s="209"/>
      <c r="J2142" s="124"/>
    </row>
    <row r="2143" spans="3:10" x14ac:dyDescent="0.2">
      <c r="C2143" s="209"/>
      <c r="D2143" s="209"/>
      <c r="E2143" s="209"/>
      <c r="J2143" s="124"/>
    </row>
    <row r="2144" spans="3:10" x14ac:dyDescent="0.2">
      <c r="C2144" s="209"/>
      <c r="D2144" s="209"/>
      <c r="E2144" s="209"/>
      <c r="J2144" s="124"/>
    </row>
    <row r="2145" spans="3:10" x14ac:dyDescent="0.2">
      <c r="C2145" s="209"/>
      <c r="D2145" s="209"/>
      <c r="E2145" s="209"/>
      <c r="J2145" s="124"/>
    </row>
    <row r="2146" spans="3:10" x14ac:dyDescent="0.2">
      <c r="C2146" s="209"/>
      <c r="D2146" s="209"/>
      <c r="E2146" s="209"/>
      <c r="J2146" s="124"/>
    </row>
    <row r="2147" spans="3:10" x14ac:dyDescent="0.2">
      <c r="C2147" s="209"/>
      <c r="D2147" s="209"/>
      <c r="E2147" s="209"/>
      <c r="J2147" s="124"/>
    </row>
    <row r="2148" spans="3:10" x14ac:dyDescent="0.2">
      <c r="C2148" s="209"/>
      <c r="D2148" s="209"/>
      <c r="E2148" s="209"/>
      <c r="J2148" s="124"/>
    </row>
    <row r="2149" spans="3:10" x14ac:dyDescent="0.2">
      <c r="C2149" s="209"/>
      <c r="D2149" s="209"/>
      <c r="E2149" s="209"/>
      <c r="J2149" s="124"/>
    </row>
    <row r="2150" spans="3:10" x14ac:dyDescent="0.2">
      <c r="C2150" s="209"/>
      <c r="D2150" s="209"/>
      <c r="E2150" s="209"/>
      <c r="J2150" s="124"/>
    </row>
    <row r="2151" spans="3:10" x14ac:dyDescent="0.2">
      <c r="C2151" s="209"/>
      <c r="D2151" s="209"/>
      <c r="E2151" s="209"/>
      <c r="J2151" s="124"/>
    </row>
    <row r="2152" spans="3:10" x14ac:dyDescent="0.2">
      <c r="C2152" s="209"/>
      <c r="D2152" s="209"/>
      <c r="E2152" s="209"/>
      <c r="J2152" s="124"/>
    </row>
    <row r="2153" spans="3:10" x14ac:dyDescent="0.2">
      <c r="C2153" s="209"/>
      <c r="D2153" s="209"/>
      <c r="E2153" s="209"/>
      <c r="J2153" s="124"/>
    </row>
    <row r="2154" spans="3:10" x14ac:dyDescent="0.2">
      <c r="C2154" s="209"/>
      <c r="D2154" s="209"/>
      <c r="E2154" s="209"/>
      <c r="J2154" s="124"/>
    </row>
    <row r="2155" spans="3:10" x14ac:dyDescent="0.2">
      <c r="C2155" s="209"/>
      <c r="D2155" s="209"/>
      <c r="E2155" s="209"/>
      <c r="J2155" s="124"/>
    </row>
    <row r="2156" spans="3:10" x14ac:dyDescent="0.2">
      <c r="C2156" s="209"/>
      <c r="D2156" s="209"/>
      <c r="E2156" s="209"/>
      <c r="J2156" s="124"/>
    </row>
    <row r="2157" spans="3:10" x14ac:dyDescent="0.2">
      <c r="C2157" s="209"/>
      <c r="D2157" s="209"/>
      <c r="E2157" s="209"/>
      <c r="J2157" s="124"/>
    </row>
    <row r="2158" spans="3:10" x14ac:dyDescent="0.2">
      <c r="C2158" s="209"/>
      <c r="D2158" s="209"/>
      <c r="E2158" s="209"/>
      <c r="J2158" s="124"/>
    </row>
    <row r="2159" spans="3:10" x14ac:dyDescent="0.2">
      <c r="C2159" s="209"/>
      <c r="D2159" s="209"/>
      <c r="E2159" s="209"/>
      <c r="J2159" s="124"/>
    </row>
    <row r="2160" spans="3:10" x14ac:dyDescent="0.2">
      <c r="C2160" s="209"/>
      <c r="D2160" s="209"/>
      <c r="E2160" s="209"/>
      <c r="J2160" s="124"/>
    </row>
    <row r="2161" spans="3:10" x14ac:dyDescent="0.2">
      <c r="C2161" s="209"/>
      <c r="D2161" s="209"/>
      <c r="E2161" s="209"/>
      <c r="J2161" s="124"/>
    </row>
    <row r="2162" spans="3:10" x14ac:dyDescent="0.2">
      <c r="C2162" s="209"/>
      <c r="D2162" s="209"/>
      <c r="E2162" s="209"/>
      <c r="J2162" s="124"/>
    </row>
    <row r="2163" spans="3:10" x14ac:dyDescent="0.2">
      <c r="C2163" s="209"/>
      <c r="D2163" s="209"/>
      <c r="E2163" s="209"/>
      <c r="J2163" s="124"/>
    </row>
    <row r="2164" spans="3:10" x14ac:dyDescent="0.2">
      <c r="C2164" s="209"/>
      <c r="D2164" s="209"/>
      <c r="E2164" s="209"/>
      <c r="J2164" s="124"/>
    </row>
    <row r="2165" spans="3:10" x14ac:dyDescent="0.2">
      <c r="C2165" s="209"/>
      <c r="D2165" s="209"/>
      <c r="E2165" s="209"/>
      <c r="J2165" s="124"/>
    </row>
    <row r="2166" spans="3:10" x14ac:dyDescent="0.2">
      <c r="C2166" s="209"/>
      <c r="D2166" s="209"/>
      <c r="E2166" s="209"/>
      <c r="J2166" s="124"/>
    </row>
    <row r="2167" spans="3:10" x14ac:dyDescent="0.2">
      <c r="C2167" s="209"/>
      <c r="D2167" s="209"/>
      <c r="E2167" s="209"/>
      <c r="J2167" s="124"/>
    </row>
    <row r="2168" spans="3:10" x14ac:dyDescent="0.2">
      <c r="C2168" s="209"/>
      <c r="D2168" s="209"/>
      <c r="E2168" s="209"/>
      <c r="J2168" s="124"/>
    </row>
    <row r="2169" spans="3:10" x14ac:dyDescent="0.2">
      <c r="C2169" s="209"/>
      <c r="D2169" s="209"/>
      <c r="E2169" s="209"/>
      <c r="J2169" s="124"/>
    </row>
    <row r="2170" spans="3:10" x14ac:dyDescent="0.2">
      <c r="C2170" s="209"/>
      <c r="D2170" s="209"/>
      <c r="E2170" s="209"/>
      <c r="J2170" s="124"/>
    </row>
    <row r="2171" spans="3:10" x14ac:dyDescent="0.2">
      <c r="C2171" s="209"/>
      <c r="D2171" s="209"/>
      <c r="E2171" s="209"/>
      <c r="J2171" s="124"/>
    </row>
    <row r="2172" spans="3:10" x14ac:dyDescent="0.2">
      <c r="C2172" s="209"/>
      <c r="D2172" s="209"/>
      <c r="E2172" s="209"/>
      <c r="J2172" s="124"/>
    </row>
    <row r="2173" spans="3:10" x14ac:dyDescent="0.2">
      <c r="C2173" s="209"/>
      <c r="D2173" s="209"/>
      <c r="E2173" s="209"/>
      <c r="J2173" s="124"/>
    </row>
    <row r="2174" spans="3:10" x14ac:dyDescent="0.2">
      <c r="C2174" s="209"/>
      <c r="D2174" s="209"/>
      <c r="E2174" s="209"/>
      <c r="J2174" s="124"/>
    </row>
    <row r="2175" spans="3:10" x14ac:dyDescent="0.2">
      <c r="C2175" s="209"/>
      <c r="D2175" s="209"/>
      <c r="E2175" s="209"/>
      <c r="J2175" s="124"/>
    </row>
    <row r="2176" spans="3:10" x14ac:dyDescent="0.2">
      <c r="C2176" s="209"/>
      <c r="D2176" s="209"/>
      <c r="E2176" s="209"/>
      <c r="J2176" s="124"/>
    </row>
    <row r="2177" spans="3:10" x14ac:dyDescent="0.2">
      <c r="C2177" s="209"/>
      <c r="D2177" s="209"/>
      <c r="E2177" s="209"/>
      <c r="J2177" s="124"/>
    </row>
    <row r="2178" spans="3:10" x14ac:dyDescent="0.2">
      <c r="C2178" s="209"/>
      <c r="D2178" s="209"/>
      <c r="E2178" s="209"/>
      <c r="J2178" s="124"/>
    </row>
    <row r="2179" spans="3:10" x14ac:dyDescent="0.2">
      <c r="C2179" s="209"/>
      <c r="D2179" s="209"/>
      <c r="E2179" s="209"/>
      <c r="J2179" s="124"/>
    </row>
    <row r="2180" spans="3:10" x14ac:dyDescent="0.2">
      <c r="C2180" s="209"/>
      <c r="D2180" s="209"/>
      <c r="E2180" s="209"/>
      <c r="J2180" s="124"/>
    </row>
    <row r="2181" spans="3:10" x14ac:dyDescent="0.2">
      <c r="C2181" s="209"/>
      <c r="D2181" s="209"/>
      <c r="E2181" s="209"/>
      <c r="J2181" s="124"/>
    </row>
    <row r="2182" spans="3:10" x14ac:dyDescent="0.2">
      <c r="C2182" s="209"/>
      <c r="D2182" s="209"/>
      <c r="E2182" s="209"/>
      <c r="J2182" s="124"/>
    </row>
    <row r="2183" spans="3:10" x14ac:dyDescent="0.2">
      <c r="C2183" s="209"/>
      <c r="D2183" s="209"/>
      <c r="E2183" s="209"/>
      <c r="J2183" s="124"/>
    </row>
    <row r="2184" spans="3:10" x14ac:dyDescent="0.2">
      <c r="C2184" s="209"/>
      <c r="D2184" s="209"/>
      <c r="E2184" s="209"/>
      <c r="J2184" s="124"/>
    </row>
    <row r="2185" spans="3:10" x14ac:dyDescent="0.2">
      <c r="C2185" s="209"/>
      <c r="D2185" s="209"/>
      <c r="E2185" s="209"/>
      <c r="J2185" s="124"/>
    </row>
    <row r="2186" spans="3:10" x14ac:dyDescent="0.2">
      <c r="C2186" s="209"/>
      <c r="D2186" s="209"/>
      <c r="E2186" s="209"/>
      <c r="J2186" s="124"/>
    </row>
    <row r="2187" spans="3:10" x14ac:dyDescent="0.2">
      <c r="C2187" s="209"/>
      <c r="D2187" s="209"/>
      <c r="E2187" s="209"/>
      <c r="J2187" s="124"/>
    </row>
    <row r="2188" spans="3:10" x14ac:dyDescent="0.2">
      <c r="C2188" s="209"/>
      <c r="D2188" s="209"/>
      <c r="E2188" s="209"/>
      <c r="J2188" s="124"/>
    </row>
    <row r="2189" spans="3:10" x14ac:dyDescent="0.2">
      <c r="C2189" s="209"/>
      <c r="D2189" s="209"/>
      <c r="E2189" s="209"/>
      <c r="J2189" s="124"/>
    </row>
    <row r="2190" spans="3:10" x14ac:dyDescent="0.2">
      <c r="C2190" s="209"/>
      <c r="D2190" s="209"/>
      <c r="E2190" s="209"/>
      <c r="J2190" s="124"/>
    </row>
    <row r="2191" spans="3:10" x14ac:dyDescent="0.2">
      <c r="C2191" s="209"/>
      <c r="D2191" s="209"/>
      <c r="E2191" s="209"/>
      <c r="J2191" s="124"/>
    </row>
    <row r="2192" spans="3:10" x14ac:dyDescent="0.2">
      <c r="C2192" s="209"/>
      <c r="D2192" s="209"/>
      <c r="E2192" s="209"/>
      <c r="J2192" s="124"/>
    </row>
    <row r="2193" spans="3:10" x14ac:dyDescent="0.2">
      <c r="C2193" s="209"/>
      <c r="D2193" s="209"/>
      <c r="E2193" s="209"/>
      <c r="J2193" s="124"/>
    </row>
    <row r="2194" spans="3:10" x14ac:dyDescent="0.2">
      <c r="C2194" s="209"/>
      <c r="D2194" s="209"/>
      <c r="E2194" s="209"/>
      <c r="J2194" s="124"/>
    </row>
    <row r="2195" spans="3:10" x14ac:dyDescent="0.2">
      <c r="C2195" s="209"/>
      <c r="D2195" s="209"/>
      <c r="E2195" s="209"/>
      <c r="J2195" s="124"/>
    </row>
    <row r="2196" spans="3:10" x14ac:dyDescent="0.2">
      <c r="C2196" s="209"/>
      <c r="D2196" s="209"/>
      <c r="E2196" s="209"/>
      <c r="J2196" s="124"/>
    </row>
    <row r="2197" spans="3:10" x14ac:dyDescent="0.2">
      <c r="C2197" s="209"/>
      <c r="D2197" s="209"/>
      <c r="E2197" s="209"/>
      <c r="J2197" s="124"/>
    </row>
    <row r="2198" spans="3:10" x14ac:dyDescent="0.2">
      <c r="C2198" s="209"/>
      <c r="D2198" s="209"/>
      <c r="E2198" s="209"/>
      <c r="J2198" s="124"/>
    </row>
    <row r="2199" spans="3:10" x14ac:dyDescent="0.2">
      <c r="C2199" s="209"/>
      <c r="D2199" s="209"/>
      <c r="E2199" s="209"/>
      <c r="J2199" s="124"/>
    </row>
    <row r="2200" spans="3:10" x14ac:dyDescent="0.2">
      <c r="C2200" s="209"/>
      <c r="D2200" s="209"/>
      <c r="E2200" s="209"/>
      <c r="J2200" s="124"/>
    </row>
    <row r="2201" spans="3:10" x14ac:dyDescent="0.2">
      <c r="C2201" s="209"/>
      <c r="D2201" s="209"/>
      <c r="E2201" s="209"/>
      <c r="J2201" s="124"/>
    </row>
    <row r="2202" spans="3:10" x14ac:dyDescent="0.2">
      <c r="C2202" s="209"/>
      <c r="D2202" s="209"/>
      <c r="E2202" s="209"/>
      <c r="J2202" s="124"/>
    </row>
    <row r="2203" spans="3:10" x14ac:dyDescent="0.2">
      <c r="C2203" s="209"/>
      <c r="D2203" s="209"/>
      <c r="E2203" s="209"/>
      <c r="J2203" s="124"/>
    </row>
    <row r="2204" spans="3:10" x14ac:dyDescent="0.2">
      <c r="C2204" s="209"/>
      <c r="D2204" s="209"/>
      <c r="E2204" s="209"/>
      <c r="J2204" s="124"/>
    </row>
    <row r="2205" spans="3:10" x14ac:dyDescent="0.2">
      <c r="C2205" s="209"/>
      <c r="D2205" s="209"/>
      <c r="E2205" s="209"/>
      <c r="J2205" s="124"/>
    </row>
    <row r="2206" spans="3:10" x14ac:dyDescent="0.2">
      <c r="C2206" s="209"/>
      <c r="D2206" s="209"/>
      <c r="E2206" s="209"/>
      <c r="J2206" s="124"/>
    </row>
    <row r="2207" spans="3:10" x14ac:dyDescent="0.2">
      <c r="C2207" s="209"/>
      <c r="D2207" s="209"/>
      <c r="E2207" s="209"/>
      <c r="J2207" s="124"/>
    </row>
    <row r="2208" spans="3:10" x14ac:dyDescent="0.2">
      <c r="C2208" s="209"/>
      <c r="D2208" s="209"/>
      <c r="E2208" s="209"/>
      <c r="J2208" s="124"/>
    </row>
    <row r="2209" spans="3:10" x14ac:dyDescent="0.2">
      <c r="C2209" s="209"/>
      <c r="D2209" s="209"/>
      <c r="E2209" s="209"/>
      <c r="J2209" s="124"/>
    </row>
    <row r="2210" spans="3:10" x14ac:dyDescent="0.2">
      <c r="C2210" s="209"/>
      <c r="D2210" s="209"/>
      <c r="E2210" s="209"/>
      <c r="J2210" s="124"/>
    </row>
    <row r="2211" spans="3:10" x14ac:dyDescent="0.2">
      <c r="C2211" s="209"/>
      <c r="D2211" s="209"/>
      <c r="E2211" s="209"/>
      <c r="J2211" s="124"/>
    </row>
    <row r="2212" spans="3:10" x14ac:dyDescent="0.2">
      <c r="C2212" s="209"/>
      <c r="D2212" s="209"/>
      <c r="E2212" s="209"/>
      <c r="J2212" s="124"/>
    </row>
    <row r="2213" spans="3:10" x14ac:dyDescent="0.2">
      <c r="C2213" s="209"/>
      <c r="D2213" s="209"/>
      <c r="E2213" s="209"/>
      <c r="J2213" s="124"/>
    </row>
    <row r="2214" spans="3:10" x14ac:dyDescent="0.2">
      <c r="C2214" s="209"/>
      <c r="D2214" s="209"/>
      <c r="E2214" s="209"/>
      <c r="J2214" s="124"/>
    </row>
    <row r="2215" spans="3:10" x14ac:dyDescent="0.2">
      <c r="C2215" s="209"/>
      <c r="D2215" s="209"/>
      <c r="E2215" s="209"/>
      <c r="J2215" s="124"/>
    </row>
    <row r="2216" spans="3:10" x14ac:dyDescent="0.2">
      <c r="C2216" s="209"/>
      <c r="D2216" s="209"/>
      <c r="E2216" s="209"/>
      <c r="J2216" s="124"/>
    </row>
    <row r="2217" spans="3:10" x14ac:dyDescent="0.2">
      <c r="C2217" s="209"/>
      <c r="D2217" s="209"/>
      <c r="E2217" s="209"/>
      <c r="J2217" s="124"/>
    </row>
    <row r="2218" spans="3:10" x14ac:dyDescent="0.2">
      <c r="C2218" s="209"/>
      <c r="D2218" s="209"/>
      <c r="E2218" s="209"/>
      <c r="J2218" s="124"/>
    </row>
    <row r="2219" spans="3:10" x14ac:dyDescent="0.2">
      <c r="C2219" s="209"/>
      <c r="D2219" s="209"/>
      <c r="E2219" s="209"/>
      <c r="J2219" s="124"/>
    </row>
    <row r="2220" spans="3:10" x14ac:dyDescent="0.2">
      <c r="C2220" s="209"/>
      <c r="D2220" s="209"/>
      <c r="E2220" s="209"/>
      <c r="J2220" s="124"/>
    </row>
    <row r="2221" spans="3:10" x14ac:dyDescent="0.2">
      <c r="C2221" s="209"/>
      <c r="D2221" s="209"/>
      <c r="E2221" s="209"/>
      <c r="J2221" s="124"/>
    </row>
    <row r="2222" spans="3:10" x14ac:dyDescent="0.2">
      <c r="C2222" s="209"/>
      <c r="D2222" s="209"/>
      <c r="E2222" s="209"/>
      <c r="J2222" s="124"/>
    </row>
    <row r="2223" spans="3:10" x14ac:dyDescent="0.2">
      <c r="C2223" s="209"/>
      <c r="D2223" s="209"/>
      <c r="E2223" s="209"/>
      <c r="J2223" s="124"/>
    </row>
    <row r="2224" spans="3:10" x14ac:dyDescent="0.2">
      <c r="C2224" s="209"/>
      <c r="D2224" s="209"/>
      <c r="E2224" s="209"/>
      <c r="J2224" s="124"/>
    </row>
    <row r="2225" spans="3:10" x14ac:dyDescent="0.2">
      <c r="C2225" s="209"/>
      <c r="D2225" s="209"/>
      <c r="E2225" s="209"/>
      <c r="J2225" s="124"/>
    </row>
    <row r="2226" spans="3:10" x14ac:dyDescent="0.2">
      <c r="C2226" s="209"/>
      <c r="D2226" s="209"/>
      <c r="E2226" s="209"/>
      <c r="J2226" s="124"/>
    </row>
    <row r="2227" spans="3:10" x14ac:dyDescent="0.2">
      <c r="C2227" s="209"/>
      <c r="D2227" s="209"/>
      <c r="E2227" s="209"/>
      <c r="J2227" s="124"/>
    </row>
    <row r="2228" spans="3:10" x14ac:dyDescent="0.2">
      <c r="C2228" s="209"/>
      <c r="D2228" s="209"/>
      <c r="E2228" s="209"/>
      <c r="J2228" s="124"/>
    </row>
    <row r="2229" spans="3:10" x14ac:dyDescent="0.2">
      <c r="C2229" s="209"/>
      <c r="D2229" s="209"/>
      <c r="E2229" s="209"/>
      <c r="J2229" s="124"/>
    </row>
    <row r="2230" spans="3:10" x14ac:dyDescent="0.2">
      <c r="C2230" s="209"/>
      <c r="D2230" s="209"/>
      <c r="E2230" s="209"/>
      <c r="J2230" s="124"/>
    </row>
    <row r="2231" spans="3:10" x14ac:dyDescent="0.2">
      <c r="C2231" s="209"/>
      <c r="D2231" s="209"/>
      <c r="E2231" s="209"/>
      <c r="J2231" s="124"/>
    </row>
    <row r="2232" spans="3:10" x14ac:dyDescent="0.2">
      <c r="C2232" s="209"/>
      <c r="D2232" s="209"/>
      <c r="E2232" s="209"/>
      <c r="J2232" s="124"/>
    </row>
    <row r="2233" spans="3:10" x14ac:dyDescent="0.2">
      <c r="C2233" s="209"/>
      <c r="D2233" s="209"/>
      <c r="E2233" s="209"/>
      <c r="J2233" s="124"/>
    </row>
    <row r="2234" spans="3:10" x14ac:dyDescent="0.2">
      <c r="C2234" s="209"/>
      <c r="D2234" s="209"/>
      <c r="E2234" s="209"/>
      <c r="J2234" s="124"/>
    </row>
    <row r="2235" spans="3:10" x14ac:dyDescent="0.2">
      <c r="C2235" s="209"/>
      <c r="D2235" s="209"/>
      <c r="E2235" s="209"/>
      <c r="J2235" s="124"/>
    </row>
    <row r="2236" spans="3:10" x14ac:dyDescent="0.2">
      <c r="C2236" s="209"/>
      <c r="D2236" s="209"/>
      <c r="E2236" s="209"/>
      <c r="J2236" s="124"/>
    </row>
    <row r="2237" spans="3:10" x14ac:dyDescent="0.2">
      <c r="C2237" s="209"/>
      <c r="D2237" s="209"/>
      <c r="E2237" s="209"/>
      <c r="J2237" s="124"/>
    </row>
    <row r="2238" spans="3:10" x14ac:dyDescent="0.2">
      <c r="C2238" s="209"/>
      <c r="D2238" s="209"/>
      <c r="E2238" s="209"/>
      <c r="J2238" s="124"/>
    </row>
    <row r="2239" spans="3:10" x14ac:dyDescent="0.2">
      <c r="C2239" s="209"/>
      <c r="D2239" s="209"/>
      <c r="E2239" s="209"/>
      <c r="J2239" s="124"/>
    </row>
    <row r="2240" spans="3:10" x14ac:dyDescent="0.2">
      <c r="C2240" s="209"/>
      <c r="D2240" s="209"/>
      <c r="E2240" s="209"/>
      <c r="J2240" s="124"/>
    </row>
    <row r="2241" spans="3:10" x14ac:dyDescent="0.2">
      <c r="C2241" s="209"/>
      <c r="D2241" s="209"/>
      <c r="E2241" s="209"/>
      <c r="J2241" s="124"/>
    </row>
    <row r="2242" spans="3:10" x14ac:dyDescent="0.2">
      <c r="C2242" s="209"/>
      <c r="D2242" s="209"/>
      <c r="E2242" s="209"/>
      <c r="J2242" s="124"/>
    </row>
    <row r="2243" spans="3:10" x14ac:dyDescent="0.2">
      <c r="C2243" s="209"/>
      <c r="D2243" s="209"/>
      <c r="E2243" s="209"/>
      <c r="J2243" s="124"/>
    </row>
    <row r="2244" spans="3:10" x14ac:dyDescent="0.2">
      <c r="C2244" s="209"/>
      <c r="D2244" s="209"/>
      <c r="E2244" s="209"/>
      <c r="J2244" s="124"/>
    </row>
    <row r="2245" spans="3:10" x14ac:dyDescent="0.2">
      <c r="C2245" s="209"/>
      <c r="D2245" s="209"/>
      <c r="E2245" s="209"/>
      <c r="J2245" s="124"/>
    </row>
    <row r="2246" spans="3:10" x14ac:dyDescent="0.2">
      <c r="C2246" s="209"/>
      <c r="D2246" s="209"/>
      <c r="E2246" s="209"/>
      <c r="J2246" s="124"/>
    </row>
    <row r="2247" spans="3:10" x14ac:dyDescent="0.2">
      <c r="C2247" s="209"/>
      <c r="D2247" s="209"/>
      <c r="E2247" s="209"/>
      <c r="J2247" s="124"/>
    </row>
    <row r="2248" spans="3:10" x14ac:dyDescent="0.2">
      <c r="C2248" s="209"/>
      <c r="D2248" s="209"/>
      <c r="E2248" s="209"/>
      <c r="J2248" s="124"/>
    </row>
    <row r="2249" spans="3:10" x14ac:dyDescent="0.2">
      <c r="C2249" s="209"/>
      <c r="D2249" s="209"/>
      <c r="E2249" s="209"/>
      <c r="J2249" s="124"/>
    </row>
    <row r="2250" spans="3:10" x14ac:dyDescent="0.2">
      <c r="C2250" s="209"/>
      <c r="D2250" s="209"/>
      <c r="E2250" s="209"/>
      <c r="J2250" s="124"/>
    </row>
    <row r="2251" spans="3:10" x14ac:dyDescent="0.2">
      <c r="C2251" s="209"/>
      <c r="D2251" s="209"/>
      <c r="E2251" s="209"/>
      <c r="J2251" s="124"/>
    </row>
    <row r="2252" spans="3:10" x14ac:dyDescent="0.2">
      <c r="C2252" s="209"/>
      <c r="D2252" s="209"/>
      <c r="E2252" s="209"/>
      <c r="J2252" s="124"/>
    </row>
    <row r="2253" spans="3:10" x14ac:dyDescent="0.2">
      <c r="C2253" s="209"/>
      <c r="D2253" s="209"/>
      <c r="E2253" s="209"/>
      <c r="J2253" s="124"/>
    </row>
    <row r="2254" spans="3:10" x14ac:dyDescent="0.2">
      <c r="C2254" s="209"/>
      <c r="D2254" s="209"/>
      <c r="E2254" s="209"/>
      <c r="J2254" s="124"/>
    </row>
    <row r="2255" spans="3:10" x14ac:dyDescent="0.2">
      <c r="C2255" s="209"/>
      <c r="D2255" s="209"/>
      <c r="E2255" s="209"/>
      <c r="J2255" s="124"/>
    </row>
    <row r="2256" spans="3:10" x14ac:dyDescent="0.2">
      <c r="C2256" s="209"/>
      <c r="D2256" s="209"/>
      <c r="E2256" s="209"/>
      <c r="J2256" s="124"/>
    </row>
    <row r="2257" spans="3:10" x14ac:dyDescent="0.2">
      <c r="C2257" s="209"/>
      <c r="D2257" s="209"/>
      <c r="E2257" s="209"/>
      <c r="J2257" s="124"/>
    </row>
    <row r="2258" spans="3:10" x14ac:dyDescent="0.2">
      <c r="C2258" s="209"/>
      <c r="D2258" s="209"/>
      <c r="E2258" s="209"/>
      <c r="J2258" s="124"/>
    </row>
    <row r="2259" spans="3:10" x14ac:dyDescent="0.2">
      <c r="C2259" s="209"/>
      <c r="D2259" s="209"/>
      <c r="E2259" s="209"/>
      <c r="J2259" s="124"/>
    </row>
    <row r="2260" spans="3:10" x14ac:dyDescent="0.2">
      <c r="C2260" s="209"/>
      <c r="D2260" s="209"/>
      <c r="E2260" s="209"/>
      <c r="J2260" s="124"/>
    </row>
    <row r="2261" spans="3:10" x14ac:dyDescent="0.2">
      <c r="C2261" s="209"/>
      <c r="D2261" s="209"/>
      <c r="E2261" s="209"/>
      <c r="J2261" s="124"/>
    </row>
    <row r="2262" spans="3:10" x14ac:dyDescent="0.2">
      <c r="C2262" s="209"/>
      <c r="D2262" s="209"/>
      <c r="E2262" s="209"/>
      <c r="J2262" s="124"/>
    </row>
    <row r="2263" spans="3:10" x14ac:dyDescent="0.2">
      <c r="C2263" s="209"/>
      <c r="D2263" s="209"/>
      <c r="E2263" s="209"/>
      <c r="J2263" s="124"/>
    </row>
    <row r="2264" spans="3:10" x14ac:dyDescent="0.2">
      <c r="C2264" s="209"/>
      <c r="D2264" s="209"/>
      <c r="E2264" s="209"/>
      <c r="J2264" s="124"/>
    </row>
    <row r="2265" spans="3:10" x14ac:dyDescent="0.2">
      <c r="C2265" s="209"/>
      <c r="D2265" s="209"/>
      <c r="E2265" s="209"/>
      <c r="J2265" s="124"/>
    </row>
    <row r="2266" spans="3:10" x14ac:dyDescent="0.2">
      <c r="C2266" s="209"/>
      <c r="D2266" s="209"/>
      <c r="E2266" s="209"/>
      <c r="J2266" s="124"/>
    </row>
    <row r="2267" spans="3:10" x14ac:dyDescent="0.2">
      <c r="C2267" s="209"/>
      <c r="D2267" s="209"/>
      <c r="E2267" s="209"/>
      <c r="J2267" s="124"/>
    </row>
    <row r="2268" spans="3:10" x14ac:dyDescent="0.2">
      <c r="C2268" s="209"/>
      <c r="D2268" s="209"/>
      <c r="E2268" s="209"/>
      <c r="J2268" s="124"/>
    </row>
    <row r="2269" spans="3:10" x14ac:dyDescent="0.2">
      <c r="C2269" s="209"/>
      <c r="D2269" s="209"/>
      <c r="E2269" s="209"/>
      <c r="J2269" s="124"/>
    </row>
    <row r="2270" spans="3:10" x14ac:dyDescent="0.2">
      <c r="C2270" s="209"/>
      <c r="D2270" s="209"/>
      <c r="E2270" s="209"/>
      <c r="J2270" s="124"/>
    </row>
    <row r="2271" spans="3:10" x14ac:dyDescent="0.2">
      <c r="C2271" s="209"/>
      <c r="D2271" s="209"/>
      <c r="E2271" s="209"/>
      <c r="J2271" s="124"/>
    </row>
    <row r="2272" spans="3:10" x14ac:dyDescent="0.2">
      <c r="C2272" s="209"/>
      <c r="D2272" s="209"/>
      <c r="E2272" s="209"/>
      <c r="J2272" s="124"/>
    </row>
    <row r="2273" spans="3:10" x14ac:dyDescent="0.2">
      <c r="C2273" s="209"/>
      <c r="D2273" s="209"/>
      <c r="E2273" s="209"/>
      <c r="J2273" s="124"/>
    </row>
    <row r="2274" spans="3:10" x14ac:dyDescent="0.2">
      <c r="C2274" s="209"/>
      <c r="D2274" s="209"/>
      <c r="E2274" s="209"/>
      <c r="J2274" s="124"/>
    </row>
    <row r="2275" spans="3:10" x14ac:dyDescent="0.2">
      <c r="C2275" s="209"/>
      <c r="D2275" s="209"/>
      <c r="E2275" s="209"/>
      <c r="J2275" s="124"/>
    </row>
    <row r="2276" spans="3:10" x14ac:dyDescent="0.2">
      <c r="C2276" s="209"/>
      <c r="D2276" s="209"/>
      <c r="E2276" s="209"/>
      <c r="J2276" s="124"/>
    </row>
    <row r="2277" spans="3:10" x14ac:dyDescent="0.2">
      <c r="C2277" s="209"/>
      <c r="D2277" s="209"/>
      <c r="E2277" s="209"/>
      <c r="J2277" s="124"/>
    </row>
    <row r="2278" spans="3:10" x14ac:dyDescent="0.2">
      <c r="C2278" s="209"/>
      <c r="D2278" s="209"/>
      <c r="E2278" s="209"/>
      <c r="J2278" s="124"/>
    </row>
    <row r="2279" spans="3:10" x14ac:dyDescent="0.2">
      <c r="C2279" s="209"/>
      <c r="D2279" s="209"/>
      <c r="E2279" s="209"/>
      <c r="J2279" s="124"/>
    </row>
    <row r="2280" spans="3:10" x14ac:dyDescent="0.2">
      <c r="C2280" s="209"/>
      <c r="D2280" s="209"/>
      <c r="E2280" s="209"/>
      <c r="J2280" s="124"/>
    </row>
    <row r="2281" spans="3:10" x14ac:dyDescent="0.2">
      <c r="C2281" s="209"/>
      <c r="D2281" s="209"/>
      <c r="E2281" s="209"/>
      <c r="J2281" s="124"/>
    </row>
    <row r="2282" spans="3:10" x14ac:dyDescent="0.2">
      <c r="C2282" s="209"/>
      <c r="D2282" s="209"/>
      <c r="E2282" s="209"/>
      <c r="J2282" s="124"/>
    </row>
    <row r="2283" spans="3:10" x14ac:dyDescent="0.2">
      <c r="C2283" s="209"/>
      <c r="D2283" s="209"/>
      <c r="E2283" s="209"/>
      <c r="J2283" s="124"/>
    </row>
    <row r="2284" spans="3:10" x14ac:dyDescent="0.2">
      <c r="C2284" s="209"/>
      <c r="D2284" s="209"/>
      <c r="E2284" s="209"/>
      <c r="J2284" s="124"/>
    </row>
    <row r="2285" spans="3:10" x14ac:dyDescent="0.2">
      <c r="C2285" s="209"/>
      <c r="D2285" s="209"/>
      <c r="E2285" s="209"/>
      <c r="J2285" s="124"/>
    </row>
    <row r="2286" spans="3:10" x14ac:dyDescent="0.2">
      <c r="C2286" s="209"/>
      <c r="D2286" s="209"/>
      <c r="E2286" s="209"/>
      <c r="J2286" s="124"/>
    </row>
    <row r="2287" spans="3:10" x14ac:dyDescent="0.2">
      <c r="C2287" s="209"/>
      <c r="D2287" s="209"/>
      <c r="E2287" s="209"/>
      <c r="J2287" s="124"/>
    </row>
    <row r="2288" spans="3:10" x14ac:dyDescent="0.2">
      <c r="C2288" s="209"/>
      <c r="D2288" s="209"/>
      <c r="E2288" s="209"/>
      <c r="J2288" s="124"/>
    </row>
    <row r="2289" spans="3:10" x14ac:dyDescent="0.2">
      <c r="C2289" s="209"/>
      <c r="D2289" s="209"/>
      <c r="E2289" s="209"/>
      <c r="J2289" s="124"/>
    </row>
    <row r="2290" spans="3:10" x14ac:dyDescent="0.2">
      <c r="C2290" s="209"/>
      <c r="D2290" s="209"/>
      <c r="E2290" s="209"/>
      <c r="J2290" s="124"/>
    </row>
    <row r="2291" spans="3:10" x14ac:dyDescent="0.2">
      <c r="C2291" s="209"/>
      <c r="D2291" s="209"/>
      <c r="E2291" s="209"/>
      <c r="J2291" s="124"/>
    </row>
    <row r="2292" spans="3:10" x14ac:dyDescent="0.2">
      <c r="C2292" s="209"/>
      <c r="D2292" s="209"/>
      <c r="E2292" s="209"/>
      <c r="J2292" s="124"/>
    </row>
    <row r="2293" spans="3:10" x14ac:dyDescent="0.2">
      <c r="C2293" s="209"/>
      <c r="D2293" s="209"/>
      <c r="E2293" s="209"/>
      <c r="J2293" s="124"/>
    </row>
    <row r="2294" spans="3:10" x14ac:dyDescent="0.2">
      <c r="C2294" s="209"/>
      <c r="D2294" s="209"/>
      <c r="E2294" s="209"/>
      <c r="J2294" s="124"/>
    </row>
    <row r="2295" spans="3:10" x14ac:dyDescent="0.2">
      <c r="C2295" s="209"/>
      <c r="D2295" s="209"/>
      <c r="E2295" s="209"/>
      <c r="J2295" s="124"/>
    </row>
    <row r="2296" spans="3:10" x14ac:dyDescent="0.2">
      <c r="C2296" s="209"/>
      <c r="D2296" s="209"/>
      <c r="E2296" s="209"/>
      <c r="J2296" s="124"/>
    </row>
    <row r="2297" spans="3:10" x14ac:dyDescent="0.2">
      <c r="C2297" s="209"/>
      <c r="D2297" s="209"/>
      <c r="E2297" s="209"/>
      <c r="J2297" s="124"/>
    </row>
    <row r="2298" spans="3:10" x14ac:dyDescent="0.2">
      <c r="C2298" s="209"/>
      <c r="D2298" s="209"/>
      <c r="E2298" s="209"/>
      <c r="J2298" s="124"/>
    </row>
    <row r="2299" spans="3:10" x14ac:dyDescent="0.2">
      <c r="C2299" s="209"/>
      <c r="D2299" s="209"/>
      <c r="E2299" s="209"/>
      <c r="J2299" s="124"/>
    </row>
    <row r="2300" spans="3:10" x14ac:dyDescent="0.2">
      <c r="C2300" s="209"/>
      <c r="D2300" s="209"/>
      <c r="E2300" s="209"/>
      <c r="J2300" s="124"/>
    </row>
    <row r="2301" spans="3:10" x14ac:dyDescent="0.2">
      <c r="C2301" s="209"/>
      <c r="D2301" s="209"/>
      <c r="E2301" s="209"/>
      <c r="J2301" s="124"/>
    </row>
    <row r="2302" spans="3:10" x14ac:dyDescent="0.2">
      <c r="C2302" s="209"/>
      <c r="D2302" s="209"/>
      <c r="E2302" s="209"/>
      <c r="J2302" s="124"/>
    </row>
    <row r="2303" spans="3:10" x14ac:dyDescent="0.2">
      <c r="C2303" s="209"/>
      <c r="D2303" s="209"/>
      <c r="E2303" s="209"/>
      <c r="J2303" s="124"/>
    </row>
    <row r="2304" spans="3:10" x14ac:dyDescent="0.2">
      <c r="C2304" s="209"/>
      <c r="D2304" s="209"/>
      <c r="E2304" s="209"/>
      <c r="J2304" s="124"/>
    </row>
    <row r="2305" spans="3:10" x14ac:dyDescent="0.2">
      <c r="C2305" s="209"/>
      <c r="D2305" s="209"/>
      <c r="E2305" s="209"/>
      <c r="J2305" s="124"/>
    </row>
    <row r="2306" spans="3:10" x14ac:dyDescent="0.2">
      <c r="C2306" s="209"/>
      <c r="D2306" s="209"/>
      <c r="E2306" s="209"/>
      <c r="J2306" s="124"/>
    </row>
    <row r="2307" spans="3:10" x14ac:dyDescent="0.2">
      <c r="C2307" s="209"/>
      <c r="D2307" s="209"/>
      <c r="E2307" s="209"/>
      <c r="J2307" s="124"/>
    </row>
    <row r="2308" spans="3:10" x14ac:dyDescent="0.2">
      <c r="C2308" s="209"/>
      <c r="D2308" s="209"/>
      <c r="E2308" s="209"/>
      <c r="J2308" s="124"/>
    </row>
    <row r="2309" spans="3:10" x14ac:dyDescent="0.2">
      <c r="C2309" s="209"/>
      <c r="D2309" s="209"/>
      <c r="E2309" s="209"/>
      <c r="J2309" s="124"/>
    </row>
    <row r="2310" spans="3:10" x14ac:dyDescent="0.2">
      <c r="C2310" s="209"/>
      <c r="D2310" s="209"/>
      <c r="E2310" s="209"/>
      <c r="J2310" s="124"/>
    </row>
    <row r="2311" spans="3:10" x14ac:dyDescent="0.2">
      <c r="C2311" s="209"/>
      <c r="D2311" s="209"/>
      <c r="E2311" s="209"/>
      <c r="J2311" s="124"/>
    </row>
    <row r="2312" spans="3:10" x14ac:dyDescent="0.2">
      <c r="C2312" s="209"/>
      <c r="D2312" s="209"/>
      <c r="E2312" s="209"/>
      <c r="J2312" s="124"/>
    </row>
    <row r="2313" spans="3:10" x14ac:dyDescent="0.2">
      <c r="C2313" s="209"/>
      <c r="D2313" s="209"/>
      <c r="E2313" s="209"/>
      <c r="J2313" s="124"/>
    </row>
    <row r="2314" spans="3:10" x14ac:dyDescent="0.2">
      <c r="C2314" s="209"/>
      <c r="D2314" s="209"/>
      <c r="E2314" s="209"/>
      <c r="J2314" s="124"/>
    </row>
    <row r="2315" spans="3:10" x14ac:dyDescent="0.2">
      <c r="C2315" s="209"/>
      <c r="D2315" s="209"/>
      <c r="E2315" s="209"/>
      <c r="J2315" s="124"/>
    </row>
    <row r="2316" spans="3:10" x14ac:dyDescent="0.2">
      <c r="C2316" s="209"/>
      <c r="D2316" s="209"/>
      <c r="E2316" s="209"/>
      <c r="J2316" s="124"/>
    </row>
    <row r="2317" spans="3:10" x14ac:dyDescent="0.2">
      <c r="C2317" s="209"/>
      <c r="D2317" s="209"/>
      <c r="E2317" s="209"/>
      <c r="J2317" s="124"/>
    </row>
    <row r="2318" spans="3:10" x14ac:dyDescent="0.2">
      <c r="C2318" s="209"/>
      <c r="D2318" s="209"/>
      <c r="E2318" s="209"/>
      <c r="J2318" s="124"/>
    </row>
    <row r="2319" spans="3:10" x14ac:dyDescent="0.2">
      <c r="C2319" s="209"/>
      <c r="D2319" s="209"/>
      <c r="E2319" s="209"/>
      <c r="J2319" s="124"/>
    </row>
    <row r="2320" spans="3:10" x14ac:dyDescent="0.2">
      <c r="C2320" s="209"/>
      <c r="D2320" s="209"/>
      <c r="E2320" s="209"/>
      <c r="J2320" s="124"/>
    </row>
    <row r="2321" spans="3:10" x14ac:dyDescent="0.2">
      <c r="C2321" s="209"/>
      <c r="D2321" s="209"/>
      <c r="E2321" s="209"/>
      <c r="J2321" s="124"/>
    </row>
    <row r="2322" spans="3:10" x14ac:dyDescent="0.2">
      <c r="C2322" s="209"/>
      <c r="D2322" s="209"/>
      <c r="E2322" s="209"/>
      <c r="J2322" s="124"/>
    </row>
    <row r="2323" spans="3:10" x14ac:dyDescent="0.2">
      <c r="C2323" s="209"/>
      <c r="D2323" s="209"/>
      <c r="E2323" s="209"/>
      <c r="J2323" s="124"/>
    </row>
    <row r="2324" spans="3:10" x14ac:dyDescent="0.2">
      <c r="C2324" s="209"/>
      <c r="D2324" s="209"/>
      <c r="E2324" s="209"/>
      <c r="J2324" s="124"/>
    </row>
    <row r="2325" spans="3:10" x14ac:dyDescent="0.2">
      <c r="C2325" s="209"/>
      <c r="D2325" s="209"/>
      <c r="E2325" s="209"/>
      <c r="J2325" s="124"/>
    </row>
    <row r="2326" spans="3:10" x14ac:dyDescent="0.2">
      <c r="C2326" s="209"/>
      <c r="D2326" s="209"/>
      <c r="E2326" s="209"/>
      <c r="J2326" s="124"/>
    </row>
    <row r="2327" spans="3:10" x14ac:dyDescent="0.2">
      <c r="C2327" s="209"/>
      <c r="D2327" s="209"/>
      <c r="E2327" s="209"/>
      <c r="J2327" s="124"/>
    </row>
    <row r="2328" spans="3:10" x14ac:dyDescent="0.2">
      <c r="C2328" s="209"/>
      <c r="D2328" s="209"/>
      <c r="E2328" s="209"/>
      <c r="J2328" s="124"/>
    </row>
    <row r="2329" spans="3:10" x14ac:dyDescent="0.2">
      <c r="C2329" s="209"/>
      <c r="D2329" s="209"/>
      <c r="E2329" s="209"/>
      <c r="J2329" s="124"/>
    </row>
    <row r="2330" spans="3:10" x14ac:dyDescent="0.2">
      <c r="C2330" s="209"/>
      <c r="D2330" s="209"/>
      <c r="E2330" s="209"/>
      <c r="J2330" s="124"/>
    </row>
    <row r="2331" spans="3:10" x14ac:dyDescent="0.2">
      <c r="C2331" s="209"/>
      <c r="D2331" s="209"/>
      <c r="E2331" s="209"/>
      <c r="J2331" s="124"/>
    </row>
    <row r="2332" spans="3:10" x14ac:dyDescent="0.2">
      <c r="C2332" s="209"/>
      <c r="D2332" s="209"/>
      <c r="E2332" s="209"/>
      <c r="J2332" s="124"/>
    </row>
    <row r="2333" spans="3:10" x14ac:dyDescent="0.2">
      <c r="C2333" s="209"/>
      <c r="D2333" s="209"/>
      <c r="E2333" s="209"/>
      <c r="J2333" s="124"/>
    </row>
    <row r="2334" spans="3:10" x14ac:dyDescent="0.2">
      <c r="C2334" s="209"/>
      <c r="D2334" s="209"/>
      <c r="E2334" s="209"/>
      <c r="J2334" s="124"/>
    </row>
    <row r="2335" spans="3:10" x14ac:dyDescent="0.2">
      <c r="C2335" s="209"/>
      <c r="D2335" s="209"/>
      <c r="E2335" s="209"/>
      <c r="J2335" s="124"/>
    </row>
    <row r="2336" spans="3:10" x14ac:dyDescent="0.2">
      <c r="C2336" s="209"/>
      <c r="D2336" s="209"/>
      <c r="E2336" s="209"/>
      <c r="J2336" s="124"/>
    </row>
    <row r="2337" spans="3:10" x14ac:dyDescent="0.2">
      <c r="C2337" s="209"/>
      <c r="D2337" s="209"/>
      <c r="E2337" s="209"/>
      <c r="J2337" s="124"/>
    </row>
    <row r="2338" spans="3:10" x14ac:dyDescent="0.2">
      <c r="C2338" s="209"/>
      <c r="D2338" s="209"/>
      <c r="E2338" s="209"/>
      <c r="J2338" s="124"/>
    </row>
    <row r="2339" spans="3:10" x14ac:dyDescent="0.2">
      <c r="C2339" s="209"/>
      <c r="D2339" s="209"/>
      <c r="E2339" s="209"/>
      <c r="J2339" s="124"/>
    </row>
    <row r="2340" spans="3:10" x14ac:dyDescent="0.2">
      <c r="C2340" s="209"/>
      <c r="D2340" s="209"/>
      <c r="E2340" s="209"/>
      <c r="J2340" s="124"/>
    </row>
    <row r="2341" spans="3:10" x14ac:dyDescent="0.2">
      <c r="C2341" s="209"/>
      <c r="D2341" s="209"/>
      <c r="E2341" s="209"/>
      <c r="J2341" s="124"/>
    </row>
    <row r="2342" spans="3:10" x14ac:dyDescent="0.2">
      <c r="C2342" s="209"/>
      <c r="D2342" s="209"/>
      <c r="E2342" s="209"/>
      <c r="J2342" s="124"/>
    </row>
    <row r="2343" spans="3:10" x14ac:dyDescent="0.2">
      <c r="C2343" s="209"/>
      <c r="D2343" s="209"/>
      <c r="E2343" s="209"/>
      <c r="J2343" s="124"/>
    </row>
    <row r="2344" spans="3:10" x14ac:dyDescent="0.2">
      <c r="C2344" s="209"/>
      <c r="D2344" s="209"/>
      <c r="E2344" s="209"/>
      <c r="J2344" s="124"/>
    </row>
    <row r="2345" spans="3:10" x14ac:dyDescent="0.2">
      <c r="C2345" s="209"/>
      <c r="D2345" s="209"/>
      <c r="E2345" s="209"/>
      <c r="J2345" s="124"/>
    </row>
    <row r="2346" spans="3:10" x14ac:dyDescent="0.2">
      <c r="C2346" s="209"/>
      <c r="D2346" s="209"/>
      <c r="E2346" s="209"/>
      <c r="J2346" s="124"/>
    </row>
    <row r="2347" spans="3:10" x14ac:dyDescent="0.2">
      <c r="C2347" s="209"/>
      <c r="D2347" s="209"/>
      <c r="E2347" s="209"/>
      <c r="J2347" s="124"/>
    </row>
    <row r="2348" spans="3:10" x14ac:dyDescent="0.2">
      <c r="C2348" s="209"/>
      <c r="D2348" s="209"/>
      <c r="E2348" s="209"/>
      <c r="J2348" s="124"/>
    </row>
    <row r="2349" spans="3:10" x14ac:dyDescent="0.2">
      <c r="C2349" s="209"/>
      <c r="D2349" s="209"/>
      <c r="E2349" s="209"/>
      <c r="J2349" s="124"/>
    </row>
    <row r="2350" spans="3:10" x14ac:dyDescent="0.2">
      <c r="C2350" s="209"/>
      <c r="D2350" s="209"/>
      <c r="E2350" s="209"/>
      <c r="J2350" s="124"/>
    </row>
    <row r="2351" spans="3:10" x14ac:dyDescent="0.2">
      <c r="C2351" s="209"/>
      <c r="D2351" s="209"/>
      <c r="E2351" s="209"/>
      <c r="J2351" s="124"/>
    </row>
    <row r="2352" spans="3:10" x14ac:dyDescent="0.2">
      <c r="C2352" s="209"/>
      <c r="D2352" s="209"/>
      <c r="E2352" s="209"/>
      <c r="J2352" s="124"/>
    </row>
    <row r="2353" spans="3:10" x14ac:dyDescent="0.2">
      <c r="C2353" s="209"/>
      <c r="D2353" s="209"/>
      <c r="E2353" s="209"/>
      <c r="J2353" s="124"/>
    </row>
    <row r="2354" spans="3:10" x14ac:dyDescent="0.2">
      <c r="C2354" s="209"/>
      <c r="D2354" s="209"/>
      <c r="E2354" s="209"/>
      <c r="J2354" s="124"/>
    </row>
    <row r="2355" spans="3:10" x14ac:dyDescent="0.2">
      <c r="C2355" s="209"/>
      <c r="D2355" s="209"/>
      <c r="E2355" s="209"/>
      <c r="J2355" s="124"/>
    </row>
    <row r="2356" spans="3:10" x14ac:dyDescent="0.2">
      <c r="C2356" s="209"/>
      <c r="D2356" s="209"/>
      <c r="E2356" s="209"/>
      <c r="J2356" s="124"/>
    </row>
    <row r="2357" spans="3:10" x14ac:dyDescent="0.2">
      <c r="C2357" s="209"/>
      <c r="D2357" s="209"/>
      <c r="E2357" s="209"/>
      <c r="J2357" s="124"/>
    </row>
    <row r="2358" spans="3:10" x14ac:dyDescent="0.2">
      <c r="C2358" s="209"/>
      <c r="D2358" s="209"/>
      <c r="E2358" s="209"/>
      <c r="J2358" s="124"/>
    </row>
    <row r="2359" spans="3:10" x14ac:dyDescent="0.2">
      <c r="C2359" s="209"/>
      <c r="D2359" s="209"/>
      <c r="E2359" s="209"/>
      <c r="J2359" s="124"/>
    </row>
    <row r="2360" spans="3:10" x14ac:dyDescent="0.2">
      <c r="C2360" s="209"/>
      <c r="D2360" s="209"/>
      <c r="E2360" s="209"/>
      <c r="J2360" s="124"/>
    </row>
    <row r="2361" spans="3:10" x14ac:dyDescent="0.2">
      <c r="C2361" s="209"/>
      <c r="D2361" s="209"/>
      <c r="E2361" s="209"/>
      <c r="J2361" s="124"/>
    </row>
    <row r="2362" spans="3:10" x14ac:dyDescent="0.2">
      <c r="C2362" s="209"/>
      <c r="D2362" s="209"/>
      <c r="E2362" s="209"/>
      <c r="J2362" s="124"/>
    </row>
    <row r="2363" spans="3:10" x14ac:dyDescent="0.2">
      <c r="C2363" s="209"/>
      <c r="D2363" s="209"/>
      <c r="E2363" s="209"/>
      <c r="J2363" s="124"/>
    </row>
    <row r="2364" spans="3:10" x14ac:dyDescent="0.2">
      <c r="C2364" s="209"/>
      <c r="D2364" s="209"/>
      <c r="E2364" s="209"/>
      <c r="J2364" s="124"/>
    </row>
    <row r="2365" spans="3:10" x14ac:dyDescent="0.2">
      <c r="C2365" s="209"/>
      <c r="D2365" s="209"/>
      <c r="E2365" s="209"/>
      <c r="J2365" s="124"/>
    </row>
    <row r="2366" spans="3:10" x14ac:dyDescent="0.2">
      <c r="C2366" s="209"/>
      <c r="D2366" s="209"/>
      <c r="E2366" s="209"/>
      <c r="J2366" s="124"/>
    </row>
    <row r="2367" spans="3:10" x14ac:dyDescent="0.2">
      <c r="C2367" s="209"/>
      <c r="D2367" s="209"/>
      <c r="E2367" s="209"/>
      <c r="J2367" s="124"/>
    </row>
    <row r="2368" spans="3:10" x14ac:dyDescent="0.2">
      <c r="C2368" s="209"/>
      <c r="D2368" s="209"/>
      <c r="E2368" s="209"/>
      <c r="J2368" s="124"/>
    </row>
    <row r="2369" spans="3:10" x14ac:dyDescent="0.2">
      <c r="C2369" s="209"/>
      <c r="D2369" s="209"/>
      <c r="E2369" s="209"/>
      <c r="J2369" s="124"/>
    </row>
    <row r="2370" spans="3:10" x14ac:dyDescent="0.2">
      <c r="C2370" s="209"/>
      <c r="D2370" s="209"/>
      <c r="E2370" s="209"/>
      <c r="J2370" s="124"/>
    </row>
    <row r="2371" spans="3:10" x14ac:dyDescent="0.2">
      <c r="C2371" s="209"/>
      <c r="D2371" s="209"/>
      <c r="E2371" s="209"/>
      <c r="J2371" s="124"/>
    </row>
    <row r="2372" spans="3:10" x14ac:dyDescent="0.2">
      <c r="C2372" s="209"/>
      <c r="D2372" s="209"/>
      <c r="E2372" s="209"/>
      <c r="J2372" s="124"/>
    </row>
    <row r="2373" spans="3:10" x14ac:dyDescent="0.2">
      <c r="C2373" s="209"/>
      <c r="D2373" s="209"/>
      <c r="E2373" s="209"/>
      <c r="J2373" s="124"/>
    </row>
    <row r="2374" spans="3:10" x14ac:dyDescent="0.2">
      <c r="C2374" s="209"/>
      <c r="D2374" s="209"/>
      <c r="E2374" s="209"/>
      <c r="J2374" s="124"/>
    </row>
    <row r="2375" spans="3:10" x14ac:dyDescent="0.2">
      <c r="C2375" s="209"/>
      <c r="D2375" s="209"/>
      <c r="E2375" s="209"/>
      <c r="J2375" s="124"/>
    </row>
    <row r="2376" spans="3:10" x14ac:dyDescent="0.2">
      <c r="C2376" s="209"/>
      <c r="D2376" s="209"/>
      <c r="E2376" s="209"/>
      <c r="J2376" s="124"/>
    </row>
    <row r="2377" spans="3:10" x14ac:dyDescent="0.2">
      <c r="C2377" s="209"/>
      <c r="D2377" s="209"/>
      <c r="E2377" s="209"/>
      <c r="J2377" s="124"/>
    </row>
    <row r="2378" spans="3:10" x14ac:dyDescent="0.2">
      <c r="C2378" s="209"/>
      <c r="D2378" s="209"/>
      <c r="E2378" s="209"/>
      <c r="J2378" s="124"/>
    </row>
    <row r="2379" spans="3:10" x14ac:dyDescent="0.2">
      <c r="C2379" s="209"/>
      <c r="D2379" s="209"/>
      <c r="E2379" s="209"/>
      <c r="J2379" s="124"/>
    </row>
    <row r="2380" spans="3:10" x14ac:dyDescent="0.2">
      <c r="C2380" s="209"/>
      <c r="D2380" s="209"/>
      <c r="E2380" s="209"/>
      <c r="J2380" s="124"/>
    </row>
    <row r="2381" spans="3:10" x14ac:dyDescent="0.2">
      <c r="C2381" s="209"/>
      <c r="D2381" s="209"/>
      <c r="E2381" s="209"/>
      <c r="J2381" s="124"/>
    </row>
    <row r="2382" spans="3:10" x14ac:dyDescent="0.2">
      <c r="C2382" s="209"/>
      <c r="D2382" s="209"/>
      <c r="E2382" s="209"/>
      <c r="J2382" s="124"/>
    </row>
    <row r="2383" spans="3:10" x14ac:dyDescent="0.2">
      <c r="C2383" s="209"/>
      <c r="D2383" s="209"/>
      <c r="E2383" s="209"/>
      <c r="J2383" s="124"/>
    </row>
    <row r="2384" spans="3:10" x14ac:dyDescent="0.2">
      <c r="C2384" s="209"/>
      <c r="D2384" s="209"/>
      <c r="E2384" s="209"/>
      <c r="J2384" s="124"/>
    </row>
    <row r="2385" spans="3:10" x14ac:dyDescent="0.2">
      <c r="C2385" s="209"/>
      <c r="D2385" s="209"/>
      <c r="E2385" s="209"/>
      <c r="J2385" s="124"/>
    </row>
    <row r="2386" spans="3:10" x14ac:dyDescent="0.2">
      <c r="C2386" s="209"/>
      <c r="D2386" s="209"/>
      <c r="E2386" s="209"/>
      <c r="J2386" s="124"/>
    </row>
    <row r="2387" spans="3:10" x14ac:dyDescent="0.2">
      <c r="C2387" s="209"/>
      <c r="D2387" s="209"/>
      <c r="E2387" s="209"/>
      <c r="J2387" s="124"/>
    </row>
    <row r="2388" spans="3:10" x14ac:dyDescent="0.2">
      <c r="C2388" s="209"/>
      <c r="D2388" s="209"/>
      <c r="E2388" s="209"/>
      <c r="J2388" s="124"/>
    </row>
    <row r="2389" spans="3:10" x14ac:dyDescent="0.2">
      <c r="C2389" s="209"/>
      <c r="D2389" s="209"/>
      <c r="E2389" s="209"/>
      <c r="J2389" s="124"/>
    </row>
    <row r="2390" spans="3:10" x14ac:dyDescent="0.2">
      <c r="C2390" s="209"/>
      <c r="D2390" s="209"/>
      <c r="E2390" s="209"/>
      <c r="J2390" s="124"/>
    </row>
    <row r="2391" spans="3:10" x14ac:dyDescent="0.2">
      <c r="C2391" s="209"/>
      <c r="D2391" s="209"/>
      <c r="E2391" s="209"/>
      <c r="J2391" s="124"/>
    </row>
    <row r="2392" spans="3:10" x14ac:dyDescent="0.2">
      <c r="C2392" s="209"/>
      <c r="D2392" s="209"/>
      <c r="E2392" s="209"/>
      <c r="J2392" s="124"/>
    </row>
    <row r="2393" spans="3:10" x14ac:dyDescent="0.2">
      <c r="C2393" s="209"/>
      <c r="D2393" s="209"/>
      <c r="E2393" s="209"/>
      <c r="J2393" s="124"/>
    </row>
    <row r="2394" spans="3:10" x14ac:dyDescent="0.2">
      <c r="C2394" s="209"/>
      <c r="D2394" s="209"/>
      <c r="E2394" s="209"/>
      <c r="J2394" s="124"/>
    </row>
    <row r="2395" spans="3:10" x14ac:dyDescent="0.2">
      <c r="C2395" s="209"/>
      <c r="D2395" s="209"/>
      <c r="E2395" s="209"/>
      <c r="J2395" s="124"/>
    </row>
    <row r="2396" spans="3:10" x14ac:dyDescent="0.2">
      <c r="C2396" s="209"/>
      <c r="D2396" s="209"/>
      <c r="E2396" s="209"/>
      <c r="J2396" s="124"/>
    </row>
    <row r="2397" spans="3:10" x14ac:dyDescent="0.2">
      <c r="C2397" s="209"/>
      <c r="D2397" s="209"/>
      <c r="E2397" s="209"/>
      <c r="J2397" s="124"/>
    </row>
    <row r="2398" spans="3:10" x14ac:dyDescent="0.2">
      <c r="C2398" s="209"/>
      <c r="D2398" s="209"/>
      <c r="E2398" s="209"/>
      <c r="J2398" s="124"/>
    </row>
    <row r="2399" spans="3:10" x14ac:dyDescent="0.2">
      <c r="C2399" s="209"/>
      <c r="D2399" s="209"/>
      <c r="E2399" s="209"/>
      <c r="J2399" s="124"/>
    </row>
    <row r="2400" spans="3:10" x14ac:dyDescent="0.2">
      <c r="C2400" s="209"/>
      <c r="D2400" s="209"/>
      <c r="E2400" s="209"/>
      <c r="J2400" s="124"/>
    </row>
    <row r="2401" spans="3:10" x14ac:dyDescent="0.2">
      <c r="C2401" s="209"/>
      <c r="D2401" s="209"/>
      <c r="E2401" s="209"/>
      <c r="J2401" s="124"/>
    </row>
    <row r="2402" spans="3:10" x14ac:dyDescent="0.2">
      <c r="C2402" s="209"/>
      <c r="D2402" s="209"/>
      <c r="E2402" s="209"/>
      <c r="J2402" s="124"/>
    </row>
    <row r="2403" spans="3:10" x14ac:dyDescent="0.2">
      <c r="C2403" s="209"/>
      <c r="D2403" s="209"/>
      <c r="E2403" s="209"/>
      <c r="J2403" s="124"/>
    </row>
    <row r="2404" spans="3:10" x14ac:dyDescent="0.2">
      <c r="C2404" s="209"/>
      <c r="D2404" s="209"/>
      <c r="E2404" s="209"/>
      <c r="J2404" s="124"/>
    </row>
    <row r="2405" spans="3:10" x14ac:dyDescent="0.2">
      <c r="C2405" s="209"/>
      <c r="D2405" s="209"/>
      <c r="E2405" s="209"/>
      <c r="J2405" s="124"/>
    </row>
    <row r="2406" spans="3:10" x14ac:dyDescent="0.2">
      <c r="C2406" s="209"/>
      <c r="D2406" s="209"/>
      <c r="E2406" s="209"/>
      <c r="J2406" s="124"/>
    </row>
    <row r="2407" spans="3:10" x14ac:dyDescent="0.2">
      <c r="C2407" s="209"/>
      <c r="D2407" s="209"/>
      <c r="E2407" s="209"/>
      <c r="J2407" s="124"/>
    </row>
    <row r="2408" spans="3:10" x14ac:dyDescent="0.2">
      <c r="C2408" s="209"/>
      <c r="D2408" s="209"/>
      <c r="E2408" s="209"/>
      <c r="J2408" s="124"/>
    </row>
    <row r="2409" spans="3:10" x14ac:dyDescent="0.2">
      <c r="C2409" s="209"/>
      <c r="D2409" s="209"/>
      <c r="E2409" s="209"/>
      <c r="J2409" s="124"/>
    </row>
    <row r="2410" spans="3:10" x14ac:dyDescent="0.2">
      <c r="C2410" s="209"/>
      <c r="D2410" s="209"/>
      <c r="E2410" s="209"/>
      <c r="J2410" s="124"/>
    </row>
    <row r="2411" spans="3:10" x14ac:dyDescent="0.2">
      <c r="C2411" s="209"/>
      <c r="D2411" s="209"/>
      <c r="E2411" s="209"/>
      <c r="J2411" s="124"/>
    </row>
    <row r="2412" spans="3:10" x14ac:dyDescent="0.2">
      <c r="C2412" s="209"/>
      <c r="D2412" s="209"/>
      <c r="E2412" s="209"/>
      <c r="J2412" s="124"/>
    </row>
    <row r="2413" spans="3:10" x14ac:dyDescent="0.2">
      <c r="C2413" s="209"/>
      <c r="D2413" s="209"/>
      <c r="E2413" s="209"/>
      <c r="J2413" s="124"/>
    </row>
    <row r="2414" spans="3:10" x14ac:dyDescent="0.2">
      <c r="C2414" s="209"/>
      <c r="D2414" s="209"/>
      <c r="E2414" s="209"/>
      <c r="J2414" s="124"/>
    </row>
    <row r="2415" spans="3:10" x14ac:dyDescent="0.2">
      <c r="C2415" s="209"/>
      <c r="D2415" s="209"/>
      <c r="E2415" s="209"/>
      <c r="J2415" s="124"/>
    </row>
    <row r="2416" spans="3:10" x14ac:dyDescent="0.2">
      <c r="C2416" s="209"/>
      <c r="D2416" s="209"/>
      <c r="E2416" s="209"/>
      <c r="J2416" s="124"/>
    </row>
    <row r="2417" spans="3:10" x14ac:dyDescent="0.2">
      <c r="C2417" s="209"/>
      <c r="D2417" s="209"/>
      <c r="E2417" s="209"/>
      <c r="J2417" s="124"/>
    </row>
    <row r="2418" spans="3:10" x14ac:dyDescent="0.2">
      <c r="C2418" s="209"/>
      <c r="D2418" s="209"/>
      <c r="E2418" s="209"/>
      <c r="J2418" s="124"/>
    </row>
    <row r="2419" spans="3:10" x14ac:dyDescent="0.2">
      <c r="C2419" s="209"/>
      <c r="D2419" s="209"/>
      <c r="E2419" s="209"/>
      <c r="J2419" s="124"/>
    </row>
    <row r="2420" spans="3:10" x14ac:dyDescent="0.2">
      <c r="C2420" s="209"/>
      <c r="D2420" s="209"/>
      <c r="E2420" s="209"/>
      <c r="J2420" s="124"/>
    </row>
    <row r="2421" spans="3:10" x14ac:dyDescent="0.2">
      <c r="C2421" s="209"/>
      <c r="D2421" s="209"/>
      <c r="E2421" s="209"/>
      <c r="J2421" s="124"/>
    </row>
    <row r="2422" spans="3:10" x14ac:dyDescent="0.2">
      <c r="C2422" s="209"/>
      <c r="D2422" s="209"/>
      <c r="E2422" s="209"/>
      <c r="J2422" s="124"/>
    </row>
    <row r="2423" spans="3:10" x14ac:dyDescent="0.2">
      <c r="C2423" s="209"/>
      <c r="D2423" s="209"/>
      <c r="E2423" s="209"/>
      <c r="J2423" s="124"/>
    </row>
    <row r="2424" spans="3:10" x14ac:dyDescent="0.2">
      <c r="C2424" s="209"/>
      <c r="D2424" s="209"/>
      <c r="E2424" s="209"/>
      <c r="J2424" s="124"/>
    </row>
    <row r="2425" spans="3:10" x14ac:dyDescent="0.2">
      <c r="C2425" s="209"/>
      <c r="D2425" s="209"/>
      <c r="E2425" s="209"/>
      <c r="J2425" s="124"/>
    </row>
    <row r="2426" spans="3:10" x14ac:dyDescent="0.2">
      <c r="C2426" s="209"/>
      <c r="D2426" s="209"/>
      <c r="E2426" s="209"/>
      <c r="J2426" s="124"/>
    </row>
    <row r="2427" spans="3:10" x14ac:dyDescent="0.2">
      <c r="C2427" s="209"/>
      <c r="D2427" s="209"/>
      <c r="E2427" s="209"/>
      <c r="J2427" s="124"/>
    </row>
    <row r="2428" spans="3:10" x14ac:dyDescent="0.2">
      <c r="C2428" s="209"/>
      <c r="D2428" s="209"/>
      <c r="E2428" s="209"/>
      <c r="J2428" s="124"/>
    </row>
    <row r="2429" spans="3:10" x14ac:dyDescent="0.2">
      <c r="C2429" s="209"/>
      <c r="D2429" s="209"/>
      <c r="E2429" s="209"/>
      <c r="J2429" s="124"/>
    </row>
    <row r="2430" spans="3:10" x14ac:dyDescent="0.2">
      <c r="C2430" s="209"/>
      <c r="D2430" s="209"/>
      <c r="E2430" s="209"/>
      <c r="J2430" s="124"/>
    </row>
    <row r="2431" spans="3:10" x14ac:dyDescent="0.2">
      <c r="C2431" s="209"/>
      <c r="D2431" s="209"/>
      <c r="E2431" s="209"/>
      <c r="J2431" s="124"/>
    </row>
    <row r="2432" spans="3:10" x14ac:dyDescent="0.2">
      <c r="C2432" s="209"/>
      <c r="D2432" s="209"/>
      <c r="E2432" s="209"/>
      <c r="J2432" s="124"/>
    </row>
    <row r="2433" spans="3:10" x14ac:dyDescent="0.2">
      <c r="C2433" s="209"/>
      <c r="D2433" s="209"/>
      <c r="E2433" s="209"/>
      <c r="J2433" s="124"/>
    </row>
    <row r="2434" spans="3:10" x14ac:dyDescent="0.2">
      <c r="C2434" s="209"/>
      <c r="D2434" s="209"/>
      <c r="E2434" s="209"/>
      <c r="J2434" s="124"/>
    </row>
    <row r="2435" spans="3:10" x14ac:dyDescent="0.2">
      <c r="C2435" s="209"/>
      <c r="D2435" s="209"/>
      <c r="E2435" s="209"/>
      <c r="J2435" s="124"/>
    </row>
    <row r="2436" spans="3:10" x14ac:dyDescent="0.2">
      <c r="C2436" s="209"/>
      <c r="D2436" s="209"/>
      <c r="E2436" s="209"/>
      <c r="J2436" s="124"/>
    </row>
    <row r="2437" spans="3:10" x14ac:dyDescent="0.2">
      <c r="C2437" s="209"/>
      <c r="D2437" s="209"/>
      <c r="E2437" s="209"/>
      <c r="J2437" s="124"/>
    </row>
    <row r="2438" spans="3:10" x14ac:dyDescent="0.2">
      <c r="C2438" s="209"/>
      <c r="D2438" s="209"/>
      <c r="E2438" s="209"/>
      <c r="J2438" s="124"/>
    </row>
    <row r="2439" spans="3:10" x14ac:dyDescent="0.2">
      <c r="C2439" s="209"/>
      <c r="D2439" s="209"/>
      <c r="E2439" s="209"/>
      <c r="J2439" s="124"/>
    </row>
    <row r="2440" spans="3:10" x14ac:dyDescent="0.2">
      <c r="C2440" s="209"/>
      <c r="D2440" s="209"/>
      <c r="E2440" s="209"/>
      <c r="J2440" s="124"/>
    </row>
    <row r="2441" spans="3:10" x14ac:dyDescent="0.2">
      <c r="C2441" s="209"/>
      <c r="D2441" s="209"/>
      <c r="E2441" s="209"/>
      <c r="J2441" s="124"/>
    </row>
    <row r="2442" spans="3:10" x14ac:dyDescent="0.2">
      <c r="C2442" s="209"/>
      <c r="D2442" s="209"/>
      <c r="E2442" s="209"/>
      <c r="J2442" s="124"/>
    </row>
    <row r="2443" spans="3:10" x14ac:dyDescent="0.2">
      <c r="C2443" s="209"/>
      <c r="D2443" s="209"/>
      <c r="E2443" s="209"/>
      <c r="J2443" s="124"/>
    </row>
    <row r="2444" spans="3:10" x14ac:dyDescent="0.2">
      <c r="C2444" s="209"/>
      <c r="D2444" s="209"/>
      <c r="E2444" s="209"/>
      <c r="J2444" s="124"/>
    </row>
    <row r="2445" spans="3:10" x14ac:dyDescent="0.2">
      <c r="C2445" s="209"/>
      <c r="D2445" s="209"/>
      <c r="E2445" s="209"/>
      <c r="J2445" s="124"/>
    </row>
    <row r="2446" spans="3:10" x14ac:dyDescent="0.2">
      <c r="C2446" s="209"/>
      <c r="D2446" s="209"/>
      <c r="E2446" s="209"/>
      <c r="J2446" s="124"/>
    </row>
    <row r="2447" spans="3:10" x14ac:dyDescent="0.2">
      <c r="C2447" s="209"/>
      <c r="D2447" s="209"/>
      <c r="E2447" s="209"/>
      <c r="J2447" s="124"/>
    </row>
    <row r="2448" spans="3:10" x14ac:dyDescent="0.2">
      <c r="C2448" s="209"/>
      <c r="D2448" s="209"/>
      <c r="E2448" s="209"/>
      <c r="J2448" s="124"/>
    </row>
    <row r="2449" spans="3:10" x14ac:dyDescent="0.2">
      <c r="C2449" s="209"/>
      <c r="D2449" s="209"/>
      <c r="E2449" s="209"/>
      <c r="J2449" s="124"/>
    </row>
    <row r="2450" spans="3:10" x14ac:dyDescent="0.2">
      <c r="C2450" s="209"/>
      <c r="D2450" s="209"/>
      <c r="E2450" s="209"/>
      <c r="J2450" s="124"/>
    </row>
    <row r="2451" spans="3:10" x14ac:dyDescent="0.2">
      <c r="C2451" s="209"/>
      <c r="D2451" s="209"/>
      <c r="E2451" s="209"/>
      <c r="J2451" s="124"/>
    </row>
    <row r="2452" spans="3:10" x14ac:dyDescent="0.2">
      <c r="C2452" s="209"/>
      <c r="D2452" s="209"/>
      <c r="E2452" s="209"/>
      <c r="J2452" s="124"/>
    </row>
    <row r="2453" spans="3:10" x14ac:dyDescent="0.2">
      <c r="C2453" s="209"/>
      <c r="D2453" s="209"/>
      <c r="E2453" s="209"/>
      <c r="J2453" s="124"/>
    </row>
    <row r="2454" spans="3:10" x14ac:dyDescent="0.2">
      <c r="C2454" s="209"/>
      <c r="D2454" s="209"/>
      <c r="E2454" s="209"/>
      <c r="J2454" s="124"/>
    </row>
    <row r="2455" spans="3:10" x14ac:dyDescent="0.2">
      <c r="C2455" s="209"/>
      <c r="D2455" s="209"/>
      <c r="E2455" s="209"/>
      <c r="J2455" s="124"/>
    </row>
    <row r="2456" spans="3:10" x14ac:dyDescent="0.2">
      <c r="C2456" s="209"/>
      <c r="D2456" s="209"/>
      <c r="E2456" s="209"/>
      <c r="J2456" s="124"/>
    </row>
    <row r="2457" spans="3:10" x14ac:dyDescent="0.2">
      <c r="C2457" s="209"/>
      <c r="D2457" s="209"/>
      <c r="E2457" s="209"/>
      <c r="J2457" s="124"/>
    </row>
    <row r="2458" spans="3:10" x14ac:dyDescent="0.2">
      <c r="C2458" s="209"/>
      <c r="D2458" s="209"/>
      <c r="E2458" s="209"/>
      <c r="J2458" s="124"/>
    </row>
    <row r="2459" spans="3:10" x14ac:dyDescent="0.2">
      <c r="C2459" s="209"/>
      <c r="D2459" s="209"/>
      <c r="E2459" s="209"/>
      <c r="J2459" s="124"/>
    </row>
    <row r="2460" spans="3:10" x14ac:dyDescent="0.2">
      <c r="C2460" s="209"/>
      <c r="D2460" s="209"/>
      <c r="E2460" s="209"/>
      <c r="J2460" s="124"/>
    </row>
    <row r="2461" spans="3:10" x14ac:dyDescent="0.2">
      <c r="C2461" s="209"/>
      <c r="D2461" s="209"/>
      <c r="E2461" s="209"/>
      <c r="J2461" s="124"/>
    </row>
    <row r="2462" spans="3:10" x14ac:dyDescent="0.2">
      <c r="C2462" s="209"/>
      <c r="D2462" s="209"/>
      <c r="E2462" s="209"/>
      <c r="J2462" s="124"/>
    </row>
    <row r="2463" spans="3:10" x14ac:dyDescent="0.2">
      <c r="C2463" s="209"/>
      <c r="D2463" s="209"/>
      <c r="E2463" s="209"/>
      <c r="J2463" s="124"/>
    </row>
    <row r="2464" spans="3:10" x14ac:dyDescent="0.2">
      <c r="C2464" s="209"/>
      <c r="D2464" s="209"/>
      <c r="E2464" s="209"/>
      <c r="J2464" s="124"/>
    </row>
    <row r="2465" spans="3:10" x14ac:dyDescent="0.2">
      <c r="C2465" s="209"/>
      <c r="D2465" s="209"/>
      <c r="E2465" s="209"/>
      <c r="J2465" s="124"/>
    </row>
    <row r="2466" spans="3:10" x14ac:dyDescent="0.2">
      <c r="C2466" s="209"/>
      <c r="D2466" s="209"/>
      <c r="E2466" s="209"/>
      <c r="J2466" s="124"/>
    </row>
    <row r="2467" spans="3:10" x14ac:dyDescent="0.2">
      <c r="C2467" s="209"/>
      <c r="D2467" s="209"/>
      <c r="E2467" s="209"/>
      <c r="J2467" s="124"/>
    </row>
    <row r="2468" spans="3:10" x14ac:dyDescent="0.2">
      <c r="C2468" s="209"/>
      <c r="D2468" s="209"/>
      <c r="E2468" s="209"/>
      <c r="J2468" s="124"/>
    </row>
    <row r="2469" spans="3:10" x14ac:dyDescent="0.2">
      <c r="C2469" s="209"/>
      <c r="D2469" s="209"/>
      <c r="E2469" s="209"/>
      <c r="J2469" s="124"/>
    </row>
    <row r="2470" spans="3:10" x14ac:dyDescent="0.2">
      <c r="C2470" s="209"/>
      <c r="D2470" s="209"/>
      <c r="E2470" s="209"/>
      <c r="J2470" s="124"/>
    </row>
    <row r="2471" spans="3:10" x14ac:dyDescent="0.2">
      <c r="C2471" s="209"/>
      <c r="D2471" s="209"/>
      <c r="E2471" s="209"/>
      <c r="J2471" s="124"/>
    </row>
    <row r="2472" spans="3:10" x14ac:dyDescent="0.2">
      <c r="C2472" s="209"/>
      <c r="D2472" s="209"/>
      <c r="E2472" s="209"/>
      <c r="J2472" s="124"/>
    </row>
    <row r="2473" spans="3:10" x14ac:dyDescent="0.2">
      <c r="C2473" s="209"/>
      <c r="D2473" s="209"/>
      <c r="E2473" s="209"/>
      <c r="J2473" s="124"/>
    </row>
    <row r="2474" spans="3:10" x14ac:dyDescent="0.2">
      <c r="C2474" s="209"/>
      <c r="D2474" s="209"/>
      <c r="E2474" s="209"/>
      <c r="J2474" s="124"/>
    </row>
    <row r="2475" spans="3:10" x14ac:dyDescent="0.2">
      <c r="C2475" s="209"/>
      <c r="D2475" s="209"/>
      <c r="E2475" s="209"/>
      <c r="J2475" s="124"/>
    </row>
    <row r="2476" spans="3:10" x14ac:dyDescent="0.2">
      <c r="C2476" s="209"/>
      <c r="D2476" s="209"/>
      <c r="E2476" s="209"/>
      <c r="J2476" s="124"/>
    </row>
    <row r="2477" spans="3:10" x14ac:dyDescent="0.2">
      <c r="C2477" s="209"/>
      <c r="D2477" s="209"/>
      <c r="E2477" s="209"/>
      <c r="J2477" s="124"/>
    </row>
    <row r="2478" spans="3:10" x14ac:dyDescent="0.2">
      <c r="C2478" s="209"/>
      <c r="D2478" s="209"/>
      <c r="E2478" s="209"/>
      <c r="J2478" s="124"/>
    </row>
    <row r="2479" spans="3:10" x14ac:dyDescent="0.2">
      <c r="C2479" s="209"/>
      <c r="D2479" s="209"/>
      <c r="E2479" s="209"/>
      <c r="J2479" s="124"/>
    </row>
    <row r="2480" spans="3:10" x14ac:dyDescent="0.2">
      <c r="C2480" s="209"/>
      <c r="D2480" s="209"/>
      <c r="E2480" s="209"/>
      <c r="J2480" s="124"/>
    </row>
    <row r="2481" spans="3:10" x14ac:dyDescent="0.2">
      <c r="C2481" s="209"/>
      <c r="D2481" s="209"/>
      <c r="E2481" s="209"/>
      <c r="J2481" s="124"/>
    </row>
    <row r="2482" spans="3:10" x14ac:dyDescent="0.2">
      <c r="C2482" s="209"/>
      <c r="D2482" s="209"/>
      <c r="E2482" s="209"/>
      <c r="J2482" s="124"/>
    </row>
    <row r="2483" spans="3:10" x14ac:dyDescent="0.2">
      <c r="C2483" s="209"/>
      <c r="D2483" s="209"/>
      <c r="E2483" s="209"/>
      <c r="J2483" s="124"/>
    </row>
    <row r="2484" spans="3:10" x14ac:dyDescent="0.2">
      <c r="C2484" s="209"/>
      <c r="D2484" s="209"/>
      <c r="E2484" s="209"/>
      <c r="J2484" s="124"/>
    </row>
    <row r="2485" spans="3:10" x14ac:dyDescent="0.2">
      <c r="C2485" s="209"/>
      <c r="D2485" s="209"/>
      <c r="E2485" s="209"/>
      <c r="J2485" s="124"/>
    </row>
    <row r="2486" spans="3:10" x14ac:dyDescent="0.2">
      <c r="C2486" s="209"/>
      <c r="D2486" s="209"/>
      <c r="E2486" s="209"/>
      <c r="J2486" s="124"/>
    </row>
    <row r="2487" spans="3:10" x14ac:dyDescent="0.2">
      <c r="C2487" s="209"/>
      <c r="D2487" s="209"/>
      <c r="E2487" s="209"/>
      <c r="J2487" s="124"/>
    </row>
    <row r="2488" spans="3:10" x14ac:dyDescent="0.2">
      <c r="C2488" s="209"/>
      <c r="D2488" s="209"/>
      <c r="E2488" s="209"/>
      <c r="J2488" s="124"/>
    </row>
    <row r="2489" spans="3:10" x14ac:dyDescent="0.2">
      <c r="C2489" s="209"/>
      <c r="D2489" s="209"/>
      <c r="E2489" s="209"/>
      <c r="J2489" s="124"/>
    </row>
    <row r="2490" spans="3:10" x14ac:dyDescent="0.2">
      <c r="C2490" s="209"/>
      <c r="D2490" s="209"/>
      <c r="E2490" s="209"/>
      <c r="J2490" s="124"/>
    </row>
    <row r="2491" spans="3:10" x14ac:dyDescent="0.2">
      <c r="C2491" s="209"/>
      <c r="D2491" s="209"/>
      <c r="E2491" s="209"/>
      <c r="J2491" s="124"/>
    </row>
    <row r="2492" spans="3:10" x14ac:dyDescent="0.2">
      <c r="C2492" s="209"/>
      <c r="D2492" s="209"/>
      <c r="E2492" s="209"/>
      <c r="J2492" s="124"/>
    </row>
    <row r="2493" spans="3:10" x14ac:dyDescent="0.2">
      <c r="C2493" s="209"/>
      <c r="D2493" s="209"/>
      <c r="E2493" s="209"/>
      <c r="J2493" s="124"/>
    </row>
    <row r="2494" spans="3:10" x14ac:dyDescent="0.2">
      <c r="C2494" s="209"/>
      <c r="D2494" s="209"/>
      <c r="E2494" s="209"/>
      <c r="J2494" s="124"/>
    </row>
    <row r="2495" spans="3:10" x14ac:dyDescent="0.2">
      <c r="C2495" s="209"/>
      <c r="D2495" s="209"/>
      <c r="E2495" s="209"/>
      <c r="J2495" s="124"/>
    </row>
    <row r="2496" spans="3:10" x14ac:dyDescent="0.2">
      <c r="C2496" s="209"/>
      <c r="D2496" s="209"/>
      <c r="E2496" s="209"/>
      <c r="J2496" s="124"/>
    </row>
    <row r="2497" spans="3:10" x14ac:dyDescent="0.2">
      <c r="C2497" s="209"/>
      <c r="D2497" s="209"/>
      <c r="E2497" s="209"/>
      <c r="J2497" s="124"/>
    </row>
    <row r="2498" spans="3:10" x14ac:dyDescent="0.2">
      <c r="C2498" s="209"/>
      <c r="D2498" s="209"/>
      <c r="E2498" s="209"/>
      <c r="J2498" s="124"/>
    </row>
    <row r="2499" spans="3:10" x14ac:dyDescent="0.2">
      <c r="C2499" s="209"/>
      <c r="D2499" s="209"/>
      <c r="E2499" s="209"/>
      <c r="J2499" s="124"/>
    </row>
    <row r="2500" spans="3:10" x14ac:dyDescent="0.2">
      <c r="C2500" s="209"/>
      <c r="D2500" s="209"/>
      <c r="E2500" s="209"/>
      <c r="J2500" s="124"/>
    </row>
    <row r="2501" spans="3:10" x14ac:dyDescent="0.2">
      <c r="C2501" s="209"/>
      <c r="D2501" s="209"/>
      <c r="E2501" s="209"/>
      <c r="J2501" s="124"/>
    </row>
    <row r="2502" spans="3:10" x14ac:dyDescent="0.2">
      <c r="C2502" s="209"/>
      <c r="D2502" s="209"/>
      <c r="E2502" s="209"/>
      <c r="J2502" s="124"/>
    </row>
    <row r="2503" spans="3:10" x14ac:dyDescent="0.2">
      <c r="C2503" s="209"/>
      <c r="D2503" s="209"/>
      <c r="E2503" s="209"/>
      <c r="J2503" s="124"/>
    </row>
    <row r="2504" spans="3:10" x14ac:dyDescent="0.2">
      <c r="C2504" s="209"/>
      <c r="D2504" s="209"/>
      <c r="E2504" s="209"/>
      <c r="J2504" s="124"/>
    </row>
    <row r="2505" spans="3:10" x14ac:dyDescent="0.2">
      <c r="C2505" s="209"/>
      <c r="D2505" s="209"/>
      <c r="E2505" s="209"/>
      <c r="J2505" s="124"/>
    </row>
    <row r="2506" spans="3:10" x14ac:dyDescent="0.2">
      <c r="C2506" s="209"/>
      <c r="D2506" s="209"/>
      <c r="E2506" s="209"/>
      <c r="J2506" s="124"/>
    </row>
    <row r="2507" spans="3:10" x14ac:dyDescent="0.2">
      <c r="C2507" s="209"/>
      <c r="D2507" s="209"/>
      <c r="E2507" s="209"/>
      <c r="J2507" s="124"/>
    </row>
    <row r="2508" spans="3:10" x14ac:dyDescent="0.2">
      <c r="C2508" s="209"/>
      <c r="D2508" s="209"/>
      <c r="E2508" s="209"/>
      <c r="J2508" s="124"/>
    </row>
    <row r="2509" spans="3:10" x14ac:dyDescent="0.2">
      <c r="C2509" s="209"/>
      <c r="D2509" s="209"/>
      <c r="E2509" s="209"/>
      <c r="J2509" s="124"/>
    </row>
    <row r="2510" spans="3:10" x14ac:dyDescent="0.2">
      <c r="C2510" s="209"/>
      <c r="D2510" s="209"/>
      <c r="E2510" s="209"/>
      <c r="J2510" s="124"/>
    </row>
    <row r="2511" spans="3:10" x14ac:dyDescent="0.2">
      <c r="C2511" s="209"/>
      <c r="D2511" s="209"/>
      <c r="E2511" s="209"/>
      <c r="J2511" s="124"/>
    </row>
    <row r="2512" spans="3:10" x14ac:dyDescent="0.2">
      <c r="C2512" s="209"/>
      <c r="D2512" s="209"/>
      <c r="E2512" s="209"/>
      <c r="J2512" s="124"/>
    </row>
    <row r="2513" spans="3:10" x14ac:dyDescent="0.2">
      <c r="C2513" s="209"/>
      <c r="D2513" s="209"/>
      <c r="E2513" s="209"/>
      <c r="J2513" s="124"/>
    </row>
    <row r="2514" spans="3:10" x14ac:dyDescent="0.2">
      <c r="C2514" s="209"/>
      <c r="D2514" s="209"/>
      <c r="E2514" s="209"/>
      <c r="J2514" s="124"/>
    </row>
    <row r="2515" spans="3:10" x14ac:dyDescent="0.2">
      <c r="C2515" s="209"/>
      <c r="D2515" s="209"/>
      <c r="E2515" s="209"/>
      <c r="J2515" s="124"/>
    </row>
    <row r="2516" spans="3:10" x14ac:dyDescent="0.2">
      <c r="C2516" s="209"/>
      <c r="D2516" s="209"/>
      <c r="E2516" s="209"/>
      <c r="J2516" s="124"/>
    </row>
    <row r="2517" spans="3:10" x14ac:dyDescent="0.2">
      <c r="C2517" s="209"/>
      <c r="D2517" s="209"/>
      <c r="E2517" s="209"/>
      <c r="J2517" s="124"/>
    </row>
    <row r="2518" spans="3:10" x14ac:dyDescent="0.2">
      <c r="C2518" s="209"/>
      <c r="D2518" s="209"/>
      <c r="E2518" s="209"/>
      <c r="J2518" s="124"/>
    </row>
    <row r="2519" spans="3:10" x14ac:dyDescent="0.2">
      <c r="C2519" s="209"/>
      <c r="D2519" s="209"/>
      <c r="E2519" s="209"/>
      <c r="J2519" s="124"/>
    </row>
    <row r="2520" spans="3:10" x14ac:dyDescent="0.2">
      <c r="C2520" s="209"/>
      <c r="D2520" s="209"/>
      <c r="E2520" s="209"/>
      <c r="J2520" s="124"/>
    </row>
    <row r="2521" spans="3:10" x14ac:dyDescent="0.2">
      <c r="C2521" s="209"/>
      <c r="D2521" s="209"/>
      <c r="E2521" s="209"/>
      <c r="J2521" s="124"/>
    </row>
    <row r="2522" spans="3:10" x14ac:dyDescent="0.2">
      <c r="C2522" s="209"/>
      <c r="D2522" s="209"/>
      <c r="E2522" s="209"/>
      <c r="J2522" s="124"/>
    </row>
    <row r="2523" spans="3:10" x14ac:dyDescent="0.2">
      <c r="C2523" s="209"/>
      <c r="D2523" s="209"/>
      <c r="E2523" s="209"/>
      <c r="J2523" s="124"/>
    </row>
    <row r="2524" spans="3:10" x14ac:dyDescent="0.2">
      <c r="C2524" s="209"/>
      <c r="D2524" s="209"/>
      <c r="E2524" s="209"/>
      <c r="J2524" s="124"/>
    </row>
    <row r="2525" spans="3:10" x14ac:dyDescent="0.2">
      <c r="C2525" s="209"/>
      <c r="D2525" s="209"/>
      <c r="E2525" s="209"/>
      <c r="J2525" s="124"/>
    </row>
    <row r="2526" spans="3:10" x14ac:dyDescent="0.2">
      <c r="C2526" s="209"/>
      <c r="D2526" s="209"/>
      <c r="E2526" s="209"/>
      <c r="J2526" s="124"/>
    </row>
    <row r="2527" spans="3:10" x14ac:dyDescent="0.2">
      <c r="C2527" s="209"/>
      <c r="D2527" s="209"/>
      <c r="E2527" s="209"/>
      <c r="J2527" s="124"/>
    </row>
    <row r="2528" spans="3:10" x14ac:dyDescent="0.2">
      <c r="C2528" s="209"/>
      <c r="D2528" s="209"/>
      <c r="E2528" s="209"/>
      <c r="J2528" s="124"/>
    </row>
    <row r="2529" spans="3:10" x14ac:dyDescent="0.2">
      <c r="C2529" s="209"/>
      <c r="D2529" s="209"/>
      <c r="E2529" s="209"/>
      <c r="J2529" s="124"/>
    </row>
    <row r="2530" spans="3:10" x14ac:dyDescent="0.2">
      <c r="C2530" s="209"/>
      <c r="D2530" s="209"/>
      <c r="E2530" s="209"/>
      <c r="J2530" s="124"/>
    </row>
    <row r="2531" spans="3:10" x14ac:dyDescent="0.2">
      <c r="C2531" s="209"/>
      <c r="D2531" s="209"/>
      <c r="E2531" s="209"/>
      <c r="J2531" s="124"/>
    </row>
    <row r="2532" spans="3:10" x14ac:dyDescent="0.2">
      <c r="C2532" s="209"/>
      <c r="D2532" s="209"/>
      <c r="E2532" s="209"/>
      <c r="J2532" s="124"/>
    </row>
    <row r="2533" spans="3:10" x14ac:dyDescent="0.2">
      <c r="C2533" s="209"/>
      <c r="D2533" s="209"/>
      <c r="E2533" s="209"/>
      <c r="J2533" s="124"/>
    </row>
    <row r="2534" spans="3:10" x14ac:dyDescent="0.2">
      <c r="C2534" s="209"/>
      <c r="D2534" s="209"/>
      <c r="E2534" s="209"/>
      <c r="J2534" s="124"/>
    </row>
    <row r="2535" spans="3:10" x14ac:dyDescent="0.2">
      <c r="C2535" s="209"/>
      <c r="D2535" s="209"/>
      <c r="E2535" s="209"/>
      <c r="J2535" s="124"/>
    </row>
    <row r="2536" spans="3:10" x14ac:dyDescent="0.2">
      <c r="C2536" s="209"/>
      <c r="D2536" s="209"/>
      <c r="E2536" s="209"/>
      <c r="J2536" s="124"/>
    </row>
    <row r="2537" spans="3:10" x14ac:dyDescent="0.2">
      <c r="C2537" s="209"/>
      <c r="D2537" s="209"/>
      <c r="E2537" s="209"/>
      <c r="J2537" s="124"/>
    </row>
    <row r="2538" spans="3:10" x14ac:dyDescent="0.2">
      <c r="C2538" s="209"/>
      <c r="D2538" s="209"/>
      <c r="E2538" s="209"/>
      <c r="J2538" s="124"/>
    </row>
    <row r="2539" spans="3:10" x14ac:dyDescent="0.2">
      <c r="C2539" s="209"/>
      <c r="D2539" s="209"/>
      <c r="E2539" s="209"/>
      <c r="J2539" s="124"/>
    </row>
    <row r="2540" spans="3:10" x14ac:dyDescent="0.2">
      <c r="C2540" s="209"/>
      <c r="D2540" s="209"/>
      <c r="E2540" s="209"/>
      <c r="J2540" s="124"/>
    </row>
    <row r="2541" spans="3:10" x14ac:dyDescent="0.2">
      <c r="C2541" s="209"/>
      <c r="D2541" s="209"/>
      <c r="E2541" s="209"/>
      <c r="J2541" s="124"/>
    </row>
    <row r="2542" spans="3:10" x14ac:dyDescent="0.2">
      <c r="C2542" s="209"/>
      <c r="D2542" s="209"/>
      <c r="E2542" s="209"/>
      <c r="J2542" s="124"/>
    </row>
    <row r="2543" spans="3:10" x14ac:dyDescent="0.2">
      <c r="C2543" s="209"/>
      <c r="D2543" s="209"/>
      <c r="E2543" s="209"/>
      <c r="J2543" s="124"/>
    </row>
    <row r="2544" spans="3:10" x14ac:dyDescent="0.2">
      <c r="C2544" s="209"/>
      <c r="D2544" s="209"/>
      <c r="E2544" s="209"/>
      <c r="J2544" s="124"/>
    </row>
    <row r="2545" spans="3:10" x14ac:dyDescent="0.2">
      <c r="C2545" s="209"/>
      <c r="D2545" s="209"/>
      <c r="E2545" s="209"/>
      <c r="J2545" s="124"/>
    </row>
    <row r="2546" spans="3:10" x14ac:dyDescent="0.2">
      <c r="C2546" s="209"/>
      <c r="D2546" s="209"/>
      <c r="E2546" s="209"/>
      <c r="J2546" s="124"/>
    </row>
    <row r="2547" spans="3:10" x14ac:dyDescent="0.2">
      <c r="C2547" s="209"/>
      <c r="D2547" s="209"/>
      <c r="E2547" s="209"/>
      <c r="J2547" s="124"/>
    </row>
    <row r="2548" spans="3:10" x14ac:dyDescent="0.2">
      <c r="C2548" s="209"/>
      <c r="D2548" s="209"/>
      <c r="E2548" s="209"/>
      <c r="J2548" s="124"/>
    </row>
    <row r="2549" spans="3:10" x14ac:dyDescent="0.2">
      <c r="C2549" s="209"/>
      <c r="D2549" s="209"/>
      <c r="E2549" s="209"/>
      <c r="J2549" s="124"/>
    </row>
    <row r="2550" spans="3:10" x14ac:dyDescent="0.2">
      <c r="C2550" s="209"/>
      <c r="D2550" s="209"/>
      <c r="E2550" s="209"/>
      <c r="J2550" s="124"/>
    </row>
    <row r="2551" spans="3:10" x14ac:dyDescent="0.2">
      <c r="C2551" s="209"/>
      <c r="D2551" s="209"/>
      <c r="E2551" s="209"/>
      <c r="J2551" s="124"/>
    </row>
    <row r="2552" spans="3:10" x14ac:dyDescent="0.2">
      <c r="C2552" s="209"/>
      <c r="D2552" s="209"/>
      <c r="E2552" s="209"/>
      <c r="J2552" s="124"/>
    </row>
    <row r="2553" spans="3:10" x14ac:dyDescent="0.2">
      <c r="C2553" s="209"/>
      <c r="D2553" s="209"/>
      <c r="E2553" s="209"/>
      <c r="J2553" s="124"/>
    </row>
    <row r="2554" spans="3:10" x14ac:dyDescent="0.2">
      <c r="C2554" s="209"/>
      <c r="D2554" s="209"/>
      <c r="E2554" s="209"/>
      <c r="J2554" s="124"/>
    </row>
    <row r="2555" spans="3:10" x14ac:dyDescent="0.2">
      <c r="C2555" s="209"/>
      <c r="D2555" s="209"/>
      <c r="E2555" s="209"/>
      <c r="J2555" s="124"/>
    </row>
    <row r="2556" spans="3:10" x14ac:dyDescent="0.2">
      <c r="C2556" s="209"/>
      <c r="D2556" s="209"/>
      <c r="E2556" s="209"/>
      <c r="J2556" s="124"/>
    </row>
    <row r="2557" spans="3:10" x14ac:dyDescent="0.2">
      <c r="C2557" s="209"/>
      <c r="D2557" s="209"/>
      <c r="E2557" s="209"/>
      <c r="J2557" s="124"/>
    </row>
    <row r="2558" spans="3:10" x14ac:dyDescent="0.2">
      <c r="C2558" s="209"/>
      <c r="D2558" s="209"/>
      <c r="E2558" s="209"/>
      <c r="J2558" s="124"/>
    </row>
    <row r="2559" spans="3:10" x14ac:dyDescent="0.2">
      <c r="C2559" s="209"/>
      <c r="D2559" s="209"/>
      <c r="E2559" s="209"/>
      <c r="J2559" s="124"/>
    </row>
    <row r="2560" spans="3:10" x14ac:dyDescent="0.2">
      <c r="C2560" s="209"/>
      <c r="D2560" s="209"/>
      <c r="E2560" s="209"/>
      <c r="J2560" s="124"/>
    </row>
    <row r="2561" spans="3:10" x14ac:dyDescent="0.2">
      <c r="C2561" s="209"/>
      <c r="D2561" s="209"/>
      <c r="E2561" s="209"/>
      <c r="J2561" s="124"/>
    </row>
    <row r="2562" spans="3:10" x14ac:dyDescent="0.2">
      <c r="C2562" s="209"/>
      <c r="D2562" s="209"/>
      <c r="E2562" s="209"/>
      <c r="J2562" s="124"/>
    </row>
    <row r="2563" spans="3:10" x14ac:dyDescent="0.2">
      <c r="C2563" s="209"/>
      <c r="D2563" s="209"/>
      <c r="E2563" s="209"/>
      <c r="J2563" s="124"/>
    </row>
    <row r="2564" spans="3:10" x14ac:dyDescent="0.2">
      <c r="C2564" s="209"/>
      <c r="D2564" s="209"/>
      <c r="E2564" s="209"/>
      <c r="J2564" s="124"/>
    </row>
    <row r="2565" spans="3:10" x14ac:dyDescent="0.2">
      <c r="C2565" s="209"/>
      <c r="D2565" s="209"/>
      <c r="E2565" s="209"/>
      <c r="J2565" s="124"/>
    </row>
    <row r="2566" spans="3:10" x14ac:dyDescent="0.2">
      <c r="C2566" s="209"/>
      <c r="D2566" s="209"/>
      <c r="E2566" s="209"/>
      <c r="J2566" s="124"/>
    </row>
    <row r="2567" spans="3:10" x14ac:dyDescent="0.2">
      <c r="C2567" s="209"/>
      <c r="D2567" s="209"/>
      <c r="E2567" s="209"/>
      <c r="J2567" s="124"/>
    </row>
    <row r="2568" spans="3:10" x14ac:dyDescent="0.2">
      <c r="C2568" s="209"/>
      <c r="D2568" s="209"/>
      <c r="E2568" s="209"/>
      <c r="J2568" s="124"/>
    </row>
    <row r="2569" spans="3:10" x14ac:dyDescent="0.2">
      <c r="C2569" s="209"/>
      <c r="D2569" s="209"/>
      <c r="E2569" s="209"/>
      <c r="J2569" s="124"/>
    </row>
    <row r="2570" spans="3:10" x14ac:dyDescent="0.2">
      <c r="C2570" s="209"/>
      <c r="D2570" s="209"/>
      <c r="E2570" s="209"/>
      <c r="J2570" s="124"/>
    </row>
    <row r="2571" spans="3:10" x14ac:dyDescent="0.2">
      <c r="C2571" s="209"/>
      <c r="D2571" s="209"/>
      <c r="E2571" s="209"/>
      <c r="J2571" s="124"/>
    </row>
    <row r="2572" spans="3:10" x14ac:dyDescent="0.2">
      <c r="C2572" s="209"/>
      <c r="D2572" s="209"/>
      <c r="E2572" s="209"/>
      <c r="J2572" s="124"/>
    </row>
    <row r="2573" spans="3:10" x14ac:dyDescent="0.2">
      <c r="C2573" s="209"/>
      <c r="D2573" s="209"/>
      <c r="E2573" s="209"/>
      <c r="J2573" s="124"/>
    </row>
    <row r="2574" spans="3:10" x14ac:dyDescent="0.2">
      <c r="C2574" s="209"/>
      <c r="D2574" s="209"/>
      <c r="E2574" s="209"/>
      <c r="J2574" s="124"/>
    </row>
    <row r="2575" spans="3:10" x14ac:dyDescent="0.2">
      <c r="C2575" s="209"/>
      <c r="D2575" s="209"/>
      <c r="E2575" s="209"/>
      <c r="J2575" s="124"/>
    </row>
    <row r="2576" spans="3:10" x14ac:dyDescent="0.2">
      <c r="C2576" s="209"/>
      <c r="D2576" s="209"/>
      <c r="E2576" s="209"/>
      <c r="J2576" s="124"/>
    </row>
    <row r="2577" spans="3:10" x14ac:dyDescent="0.2">
      <c r="C2577" s="209"/>
      <c r="D2577" s="209"/>
      <c r="E2577" s="209"/>
      <c r="J2577" s="124"/>
    </row>
    <row r="2578" spans="3:10" x14ac:dyDescent="0.2">
      <c r="C2578" s="209"/>
      <c r="D2578" s="209"/>
      <c r="E2578" s="209"/>
      <c r="J2578" s="124"/>
    </row>
    <row r="2579" spans="3:10" x14ac:dyDescent="0.2">
      <c r="C2579" s="209"/>
      <c r="D2579" s="209"/>
      <c r="E2579" s="209"/>
      <c r="J2579" s="124"/>
    </row>
    <row r="2580" spans="3:10" x14ac:dyDescent="0.2">
      <c r="C2580" s="209"/>
      <c r="D2580" s="209"/>
      <c r="E2580" s="209"/>
      <c r="J2580" s="124"/>
    </row>
    <row r="2581" spans="3:10" x14ac:dyDescent="0.2">
      <c r="C2581" s="209"/>
      <c r="D2581" s="209"/>
      <c r="E2581" s="209"/>
      <c r="J2581" s="124"/>
    </row>
    <row r="2582" spans="3:10" x14ac:dyDescent="0.2">
      <c r="C2582" s="209"/>
      <c r="D2582" s="209"/>
      <c r="E2582" s="209"/>
      <c r="J2582" s="124"/>
    </row>
    <row r="2583" spans="3:10" x14ac:dyDescent="0.2">
      <c r="C2583" s="209"/>
      <c r="D2583" s="209"/>
      <c r="E2583" s="209"/>
      <c r="J2583" s="124"/>
    </row>
    <row r="2584" spans="3:10" x14ac:dyDescent="0.2">
      <c r="C2584" s="209"/>
      <c r="D2584" s="209"/>
      <c r="E2584" s="209"/>
      <c r="J2584" s="124"/>
    </row>
    <row r="2585" spans="3:10" x14ac:dyDescent="0.2">
      <c r="C2585" s="209"/>
      <c r="D2585" s="209"/>
      <c r="E2585" s="209"/>
      <c r="J2585" s="124"/>
    </row>
    <row r="2586" spans="3:10" x14ac:dyDescent="0.2">
      <c r="C2586" s="209"/>
      <c r="D2586" s="209"/>
      <c r="E2586" s="209"/>
      <c r="J2586" s="124"/>
    </row>
    <row r="2587" spans="3:10" x14ac:dyDescent="0.2">
      <c r="C2587" s="209"/>
      <c r="D2587" s="209"/>
      <c r="E2587" s="209"/>
      <c r="J2587" s="124"/>
    </row>
    <row r="2588" spans="3:10" x14ac:dyDescent="0.2">
      <c r="C2588" s="209"/>
      <c r="D2588" s="209"/>
      <c r="E2588" s="209"/>
      <c r="J2588" s="124"/>
    </row>
    <row r="2589" spans="3:10" x14ac:dyDescent="0.2">
      <c r="C2589" s="209"/>
      <c r="D2589" s="209"/>
      <c r="E2589" s="209"/>
      <c r="J2589" s="124"/>
    </row>
    <row r="2590" spans="3:10" x14ac:dyDescent="0.2">
      <c r="C2590" s="209"/>
      <c r="D2590" s="209"/>
      <c r="E2590" s="209"/>
      <c r="J2590" s="124"/>
    </row>
    <row r="2591" spans="3:10" x14ac:dyDescent="0.2">
      <c r="C2591" s="209"/>
      <c r="D2591" s="209"/>
      <c r="E2591" s="209"/>
      <c r="J2591" s="124"/>
    </row>
    <row r="2592" spans="3:10" x14ac:dyDescent="0.2">
      <c r="C2592" s="209"/>
      <c r="D2592" s="209"/>
      <c r="E2592" s="209"/>
      <c r="J2592" s="124"/>
    </row>
    <row r="2593" spans="3:10" x14ac:dyDescent="0.2">
      <c r="C2593" s="209"/>
      <c r="D2593" s="209"/>
      <c r="E2593" s="209"/>
      <c r="J2593" s="124"/>
    </row>
    <row r="2594" spans="3:10" x14ac:dyDescent="0.2">
      <c r="C2594" s="209"/>
      <c r="D2594" s="209"/>
      <c r="E2594" s="209"/>
      <c r="J2594" s="124"/>
    </row>
    <row r="2595" spans="3:10" x14ac:dyDescent="0.2">
      <c r="C2595" s="209"/>
      <c r="D2595" s="209"/>
      <c r="E2595" s="209"/>
      <c r="J2595" s="124"/>
    </row>
    <row r="2596" spans="3:10" x14ac:dyDescent="0.2">
      <c r="C2596" s="209"/>
      <c r="D2596" s="209"/>
      <c r="E2596" s="209"/>
      <c r="J2596" s="124"/>
    </row>
    <row r="2597" spans="3:10" x14ac:dyDescent="0.2">
      <c r="C2597" s="209"/>
      <c r="D2597" s="209"/>
      <c r="E2597" s="209"/>
      <c r="J2597" s="124"/>
    </row>
    <row r="2598" spans="3:10" x14ac:dyDescent="0.2">
      <c r="C2598" s="209"/>
      <c r="D2598" s="209"/>
      <c r="E2598" s="209"/>
      <c r="J2598" s="124"/>
    </row>
    <row r="2599" spans="3:10" x14ac:dyDescent="0.2">
      <c r="C2599" s="209"/>
      <c r="D2599" s="209"/>
      <c r="E2599" s="209"/>
      <c r="J2599" s="124"/>
    </row>
    <row r="2600" spans="3:10" x14ac:dyDescent="0.2">
      <c r="C2600" s="209"/>
      <c r="D2600" s="209"/>
      <c r="E2600" s="209"/>
      <c r="J2600" s="124"/>
    </row>
    <row r="2601" spans="3:10" x14ac:dyDescent="0.2">
      <c r="C2601" s="209"/>
      <c r="D2601" s="209"/>
      <c r="E2601" s="209"/>
      <c r="J2601" s="124"/>
    </row>
    <row r="2602" spans="3:10" x14ac:dyDescent="0.2">
      <c r="C2602" s="209"/>
      <c r="D2602" s="209"/>
      <c r="E2602" s="209"/>
      <c r="J2602" s="124"/>
    </row>
    <row r="2603" spans="3:10" x14ac:dyDescent="0.2">
      <c r="C2603" s="209"/>
      <c r="D2603" s="209"/>
      <c r="E2603" s="209"/>
      <c r="J2603" s="124"/>
    </row>
    <row r="2604" spans="3:10" x14ac:dyDescent="0.2">
      <c r="C2604" s="209"/>
      <c r="D2604" s="209"/>
      <c r="E2604" s="209"/>
      <c r="J2604" s="124"/>
    </row>
    <row r="2605" spans="3:10" x14ac:dyDescent="0.2">
      <c r="C2605" s="209"/>
      <c r="D2605" s="209"/>
      <c r="E2605" s="209"/>
      <c r="J2605" s="124"/>
    </row>
    <row r="2606" spans="3:10" x14ac:dyDescent="0.2">
      <c r="C2606" s="209"/>
      <c r="D2606" s="209"/>
      <c r="E2606" s="209"/>
      <c r="J2606" s="124"/>
    </row>
    <row r="2607" spans="3:10" x14ac:dyDescent="0.2">
      <c r="C2607" s="209"/>
      <c r="D2607" s="209"/>
      <c r="E2607" s="209"/>
      <c r="J2607" s="124"/>
    </row>
    <row r="2608" spans="3:10" x14ac:dyDescent="0.2">
      <c r="C2608" s="209"/>
      <c r="D2608" s="209"/>
      <c r="E2608" s="209"/>
      <c r="J2608" s="124"/>
    </row>
    <row r="2609" spans="3:10" x14ac:dyDescent="0.2">
      <c r="C2609" s="209"/>
      <c r="D2609" s="209"/>
      <c r="E2609" s="209"/>
      <c r="J2609" s="124"/>
    </row>
    <row r="2610" spans="3:10" x14ac:dyDescent="0.2">
      <c r="C2610" s="209"/>
      <c r="D2610" s="209"/>
      <c r="E2610" s="209"/>
      <c r="J2610" s="124"/>
    </row>
    <row r="2611" spans="3:10" x14ac:dyDescent="0.2">
      <c r="C2611" s="209"/>
      <c r="D2611" s="209"/>
      <c r="E2611" s="209"/>
      <c r="J2611" s="124"/>
    </row>
    <row r="2612" spans="3:10" x14ac:dyDescent="0.2">
      <c r="C2612" s="209"/>
      <c r="D2612" s="209"/>
      <c r="E2612" s="209"/>
      <c r="J2612" s="124"/>
    </row>
    <row r="2613" spans="3:10" x14ac:dyDescent="0.2">
      <c r="C2613" s="209"/>
      <c r="D2613" s="209"/>
      <c r="E2613" s="209"/>
      <c r="J2613" s="124"/>
    </row>
    <row r="2614" spans="3:10" x14ac:dyDescent="0.2">
      <c r="C2614" s="209"/>
      <c r="D2614" s="209"/>
      <c r="E2614" s="209"/>
      <c r="J2614" s="124"/>
    </row>
    <row r="2615" spans="3:10" x14ac:dyDescent="0.2">
      <c r="C2615" s="209"/>
      <c r="D2615" s="209"/>
      <c r="E2615" s="209"/>
      <c r="J2615" s="124"/>
    </row>
    <row r="2616" spans="3:10" x14ac:dyDescent="0.2">
      <c r="C2616" s="209"/>
      <c r="D2616" s="209"/>
      <c r="E2616" s="209"/>
      <c r="J2616" s="124"/>
    </row>
    <row r="2617" spans="3:10" x14ac:dyDescent="0.2">
      <c r="C2617" s="209"/>
      <c r="D2617" s="209"/>
      <c r="E2617" s="209"/>
      <c r="J2617" s="124"/>
    </row>
    <row r="2618" spans="3:10" x14ac:dyDescent="0.2">
      <c r="C2618" s="209"/>
      <c r="D2618" s="209"/>
      <c r="E2618" s="209"/>
      <c r="J2618" s="124"/>
    </row>
    <row r="2619" spans="3:10" x14ac:dyDescent="0.2">
      <c r="C2619" s="209"/>
      <c r="D2619" s="209"/>
      <c r="E2619" s="209"/>
      <c r="J2619" s="124"/>
    </row>
    <row r="2620" spans="3:10" x14ac:dyDescent="0.2">
      <c r="C2620" s="209"/>
      <c r="D2620" s="209"/>
      <c r="E2620" s="209"/>
      <c r="J2620" s="124"/>
    </row>
    <row r="2621" spans="3:10" x14ac:dyDescent="0.2">
      <c r="C2621" s="209"/>
      <c r="D2621" s="209"/>
      <c r="E2621" s="209"/>
      <c r="J2621" s="124"/>
    </row>
    <row r="2622" spans="3:10" x14ac:dyDescent="0.2">
      <c r="C2622" s="209"/>
      <c r="D2622" s="209"/>
      <c r="E2622" s="209"/>
      <c r="J2622" s="124"/>
    </row>
    <row r="2623" spans="3:10" x14ac:dyDescent="0.2">
      <c r="C2623" s="209"/>
      <c r="D2623" s="209"/>
      <c r="E2623" s="209"/>
      <c r="J2623" s="124"/>
    </row>
    <row r="2624" spans="3:10" x14ac:dyDescent="0.2">
      <c r="C2624" s="209"/>
      <c r="D2624" s="209"/>
      <c r="E2624" s="209"/>
      <c r="J2624" s="124"/>
    </row>
    <row r="2625" spans="3:10" x14ac:dyDescent="0.2">
      <c r="C2625" s="209"/>
      <c r="D2625" s="209"/>
      <c r="E2625" s="209"/>
      <c r="J2625" s="124"/>
    </row>
    <row r="2626" spans="3:10" x14ac:dyDescent="0.2">
      <c r="C2626" s="209"/>
      <c r="D2626" s="209"/>
      <c r="E2626" s="209"/>
      <c r="J2626" s="124"/>
    </row>
    <row r="2627" spans="3:10" x14ac:dyDescent="0.2">
      <c r="C2627" s="209"/>
      <c r="D2627" s="209"/>
      <c r="E2627" s="209"/>
      <c r="J2627" s="124"/>
    </row>
    <row r="2628" spans="3:10" x14ac:dyDescent="0.2">
      <c r="C2628" s="209"/>
      <c r="D2628" s="209"/>
      <c r="E2628" s="209"/>
      <c r="J2628" s="124"/>
    </row>
    <row r="2629" spans="3:10" x14ac:dyDescent="0.2">
      <c r="C2629" s="209"/>
      <c r="D2629" s="209"/>
      <c r="E2629" s="209"/>
      <c r="J2629" s="124"/>
    </row>
    <row r="2630" spans="3:10" x14ac:dyDescent="0.2">
      <c r="C2630" s="209"/>
      <c r="D2630" s="209"/>
      <c r="E2630" s="209"/>
      <c r="J2630" s="124"/>
    </row>
    <row r="2631" spans="3:10" x14ac:dyDescent="0.2">
      <c r="C2631" s="209"/>
      <c r="D2631" s="209"/>
      <c r="E2631" s="209"/>
      <c r="J2631" s="124"/>
    </row>
    <row r="2632" spans="3:10" x14ac:dyDescent="0.2">
      <c r="C2632" s="209"/>
      <c r="D2632" s="209"/>
      <c r="E2632" s="209"/>
      <c r="J2632" s="124"/>
    </row>
    <row r="2633" spans="3:10" x14ac:dyDescent="0.2">
      <c r="C2633" s="209"/>
      <c r="D2633" s="209"/>
      <c r="E2633" s="209"/>
      <c r="J2633" s="124"/>
    </row>
    <row r="2634" spans="3:10" x14ac:dyDescent="0.2">
      <c r="C2634" s="209"/>
      <c r="D2634" s="209"/>
      <c r="E2634" s="209"/>
      <c r="J2634" s="124"/>
    </row>
    <row r="2635" spans="3:10" x14ac:dyDescent="0.2">
      <c r="C2635" s="209"/>
      <c r="D2635" s="209"/>
      <c r="E2635" s="209"/>
      <c r="J2635" s="124"/>
    </row>
    <row r="2636" spans="3:10" x14ac:dyDescent="0.2">
      <c r="C2636" s="209"/>
      <c r="D2636" s="209"/>
      <c r="E2636" s="209"/>
      <c r="J2636" s="124"/>
    </row>
    <row r="2637" spans="3:10" x14ac:dyDescent="0.2">
      <c r="C2637" s="209"/>
      <c r="D2637" s="209"/>
      <c r="E2637" s="209"/>
      <c r="J2637" s="124"/>
    </row>
    <row r="2638" spans="3:10" x14ac:dyDescent="0.2">
      <c r="C2638" s="209"/>
      <c r="D2638" s="209"/>
      <c r="E2638" s="209"/>
      <c r="J2638" s="124"/>
    </row>
    <row r="2639" spans="3:10" x14ac:dyDescent="0.2">
      <c r="C2639" s="209"/>
      <c r="D2639" s="209"/>
      <c r="E2639" s="209"/>
      <c r="J2639" s="124"/>
    </row>
    <row r="2640" spans="3:10" x14ac:dyDescent="0.2">
      <c r="C2640" s="209"/>
      <c r="D2640" s="209"/>
      <c r="E2640" s="209"/>
      <c r="J2640" s="124"/>
    </row>
    <row r="2641" spans="3:10" x14ac:dyDescent="0.2">
      <c r="C2641" s="209"/>
      <c r="D2641" s="209"/>
      <c r="E2641" s="209"/>
      <c r="J2641" s="124"/>
    </row>
    <row r="2642" spans="3:10" x14ac:dyDescent="0.2">
      <c r="C2642" s="209"/>
      <c r="D2642" s="209"/>
      <c r="E2642" s="209"/>
      <c r="J2642" s="124"/>
    </row>
    <row r="2643" spans="3:10" x14ac:dyDescent="0.2">
      <c r="C2643" s="209"/>
      <c r="D2643" s="209"/>
      <c r="E2643" s="209"/>
      <c r="J2643" s="124"/>
    </row>
    <row r="2644" spans="3:10" x14ac:dyDescent="0.2">
      <c r="C2644" s="209"/>
      <c r="D2644" s="209"/>
      <c r="E2644" s="209"/>
      <c r="J2644" s="124"/>
    </row>
    <row r="2645" spans="3:10" x14ac:dyDescent="0.2">
      <c r="C2645" s="209"/>
      <c r="D2645" s="209"/>
      <c r="E2645" s="209"/>
      <c r="J2645" s="124"/>
    </row>
    <row r="2646" spans="3:10" x14ac:dyDescent="0.2">
      <c r="C2646" s="209"/>
      <c r="D2646" s="209"/>
      <c r="E2646" s="209"/>
      <c r="J2646" s="124"/>
    </row>
    <row r="2647" spans="3:10" x14ac:dyDescent="0.2">
      <c r="C2647" s="209"/>
      <c r="D2647" s="209"/>
      <c r="E2647" s="209"/>
      <c r="J2647" s="124"/>
    </row>
    <row r="2648" spans="3:10" x14ac:dyDescent="0.2">
      <c r="C2648" s="209"/>
      <c r="D2648" s="209"/>
      <c r="E2648" s="209"/>
      <c r="J2648" s="124"/>
    </row>
    <row r="2649" spans="3:10" x14ac:dyDescent="0.2">
      <c r="C2649" s="209"/>
      <c r="D2649" s="209"/>
      <c r="E2649" s="209"/>
      <c r="J2649" s="124"/>
    </row>
    <row r="2650" spans="3:10" x14ac:dyDescent="0.2">
      <c r="C2650" s="209"/>
      <c r="D2650" s="209"/>
      <c r="E2650" s="209"/>
      <c r="J2650" s="124"/>
    </row>
    <row r="2651" spans="3:10" x14ac:dyDescent="0.2">
      <c r="C2651" s="209"/>
      <c r="D2651" s="209"/>
      <c r="E2651" s="209"/>
      <c r="J2651" s="124"/>
    </row>
    <row r="2652" spans="3:10" x14ac:dyDescent="0.2">
      <c r="C2652" s="209"/>
      <c r="D2652" s="209"/>
      <c r="E2652" s="209"/>
      <c r="J2652" s="124"/>
    </row>
    <row r="2653" spans="3:10" x14ac:dyDescent="0.2">
      <c r="C2653" s="209"/>
      <c r="D2653" s="209"/>
      <c r="E2653" s="209"/>
      <c r="J2653" s="124"/>
    </row>
    <row r="2654" spans="3:10" x14ac:dyDescent="0.2">
      <c r="C2654" s="209"/>
      <c r="D2654" s="209"/>
      <c r="E2654" s="209"/>
      <c r="J2654" s="124"/>
    </row>
    <row r="2655" spans="3:10" x14ac:dyDescent="0.2">
      <c r="C2655" s="209"/>
      <c r="D2655" s="209"/>
      <c r="E2655" s="209"/>
      <c r="J2655" s="124"/>
    </row>
    <row r="2656" spans="3:10" x14ac:dyDescent="0.2">
      <c r="C2656" s="209"/>
      <c r="D2656" s="209"/>
      <c r="E2656" s="209"/>
      <c r="J2656" s="124"/>
    </row>
    <row r="2657" spans="3:10" x14ac:dyDescent="0.2">
      <c r="C2657" s="209"/>
      <c r="D2657" s="209"/>
      <c r="E2657" s="209"/>
      <c r="J2657" s="124"/>
    </row>
    <row r="2658" spans="3:10" x14ac:dyDescent="0.2">
      <c r="C2658" s="209"/>
      <c r="D2658" s="209"/>
      <c r="E2658" s="209"/>
      <c r="J2658" s="124"/>
    </row>
    <row r="2659" spans="3:10" x14ac:dyDescent="0.2">
      <c r="C2659" s="209"/>
      <c r="D2659" s="209"/>
      <c r="E2659" s="209"/>
      <c r="J2659" s="124"/>
    </row>
    <row r="2660" spans="3:10" x14ac:dyDescent="0.2">
      <c r="C2660" s="209"/>
      <c r="D2660" s="209"/>
      <c r="E2660" s="209"/>
      <c r="J2660" s="124"/>
    </row>
    <row r="2661" spans="3:10" x14ac:dyDescent="0.2">
      <c r="C2661" s="209"/>
      <c r="D2661" s="209"/>
      <c r="E2661" s="209"/>
      <c r="J2661" s="124"/>
    </row>
    <row r="2662" spans="3:10" x14ac:dyDescent="0.2">
      <c r="C2662" s="209"/>
      <c r="D2662" s="209"/>
      <c r="E2662" s="209"/>
      <c r="J2662" s="124"/>
    </row>
    <row r="2663" spans="3:10" x14ac:dyDescent="0.2">
      <c r="C2663" s="209"/>
      <c r="D2663" s="209"/>
      <c r="E2663" s="209"/>
      <c r="J2663" s="124"/>
    </row>
    <row r="2664" spans="3:10" x14ac:dyDescent="0.2">
      <c r="C2664" s="209"/>
      <c r="D2664" s="209"/>
      <c r="E2664" s="209"/>
      <c r="J2664" s="124"/>
    </row>
    <row r="2665" spans="3:10" x14ac:dyDescent="0.2">
      <c r="C2665" s="209"/>
      <c r="D2665" s="209"/>
      <c r="E2665" s="209"/>
      <c r="J2665" s="124"/>
    </row>
    <row r="2666" spans="3:10" x14ac:dyDescent="0.2">
      <c r="C2666" s="209"/>
      <c r="D2666" s="209"/>
      <c r="E2666" s="209"/>
      <c r="J2666" s="124"/>
    </row>
    <row r="2667" spans="3:10" x14ac:dyDescent="0.2">
      <c r="C2667" s="209"/>
      <c r="D2667" s="209"/>
      <c r="E2667" s="209"/>
      <c r="J2667" s="124"/>
    </row>
    <row r="2668" spans="3:10" x14ac:dyDescent="0.2">
      <c r="C2668" s="209"/>
      <c r="D2668" s="209"/>
      <c r="E2668" s="209"/>
      <c r="J2668" s="124"/>
    </row>
    <row r="2669" spans="3:10" x14ac:dyDescent="0.2">
      <c r="C2669" s="209"/>
      <c r="D2669" s="209"/>
      <c r="E2669" s="209"/>
      <c r="J2669" s="124"/>
    </row>
    <row r="2670" spans="3:10" x14ac:dyDescent="0.2">
      <c r="C2670" s="209"/>
      <c r="D2670" s="209"/>
      <c r="E2670" s="209"/>
      <c r="J2670" s="124"/>
    </row>
    <row r="2671" spans="3:10" x14ac:dyDescent="0.2">
      <c r="C2671" s="209"/>
      <c r="D2671" s="209"/>
      <c r="E2671" s="209"/>
      <c r="J2671" s="124"/>
    </row>
    <row r="2672" spans="3:10" x14ac:dyDescent="0.2">
      <c r="C2672" s="209"/>
      <c r="D2672" s="209"/>
      <c r="E2672" s="209"/>
      <c r="J2672" s="124"/>
    </row>
    <row r="2673" spans="3:10" x14ac:dyDescent="0.2">
      <c r="C2673" s="209"/>
      <c r="D2673" s="209"/>
      <c r="E2673" s="209"/>
      <c r="J2673" s="124"/>
    </row>
    <row r="2674" spans="3:10" x14ac:dyDescent="0.2">
      <c r="C2674" s="209"/>
      <c r="D2674" s="209"/>
      <c r="E2674" s="209"/>
      <c r="J2674" s="124"/>
    </row>
    <row r="2675" spans="3:10" x14ac:dyDescent="0.2">
      <c r="C2675" s="209"/>
      <c r="D2675" s="209"/>
      <c r="E2675" s="209"/>
      <c r="J2675" s="124"/>
    </row>
    <row r="2676" spans="3:10" x14ac:dyDescent="0.2">
      <c r="C2676" s="209"/>
      <c r="D2676" s="209"/>
      <c r="E2676" s="209"/>
      <c r="J2676" s="124"/>
    </row>
    <row r="2677" spans="3:10" x14ac:dyDescent="0.2">
      <c r="C2677" s="209"/>
      <c r="D2677" s="209"/>
      <c r="E2677" s="209"/>
      <c r="J2677" s="124"/>
    </row>
    <row r="2678" spans="3:10" x14ac:dyDescent="0.2">
      <c r="C2678" s="209"/>
      <c r="D2678" s="209"/>
      <c r="E2678" s="209"/>
      <c r="J2678" s="124"/>
    </row>
    <row r="2679" spans="3:10" x14ac:dyDescent="0.2">
      <c r="C2679" s="209"/>
      <c r="D2679" s="209"/>
      <c r="E2679" s="209"/>
      <c r="J2679" s="124"/>
    </row>
    <row r="2680" spans="3:10" x14ac:dyDescent="0.2">
      <c r="C2680" s="209"/>
      <c r="D2680" s="209"/>
      <c r="E2680" s="209"/>
      <c r="J2680" s="124"/>
    </row>
    <row r="2681" spans="3:10" x14ac:dyDescent="0.2">
      <c r="C2681" s="209"/>
      <c r="D2681" s="209"/>
      <c r="E2681" s="209"/>
      <c r="J2681" s="124"/>
    </row>
    <row r="2682" spans="3:10" x14ac:dyDescent="0.2">
      <c r="C2682" s="209"/>
      <c r="D2682" s="209"/>
      <c r="E2682" s="209"/>
      <c r="J2682" s="124"/>
    </row>
    <row r="2683" spans="3:10" x14ac:dyDescent="0.2">
      <c r="C2683" s="209"/>
      <c r="D2683" s="209"/>
      <c r="E2683" s="209"/>
      <c r="J2683" s="124"/>
    </row>
    <row r="2684" spans="3:10" x14ac:dyDescent="0.2">
      <c r="C2684" s="209"/>
      <c r="D2684" s="209"/>
      <c r="E2684" s="209"/>
      <c r="J2684" s="124"/>
    </row>
    <row r="2685" spans="3:10" x14ac:dyDescent="0.2">
      <c r="C2685" s="209"/>
      <c r="D2685" s="209"/>
      <c r="E2685" s="209"/>
      <c r="J2685" s="124"/>
    </row>
    <row r="2686" spans="3:10" x14ac:dyDescent="0.2">
      <c r="C2686" s="209"/>
      <c r="D2686" s="209"/>
      <c r="E2686" s="209"/>
      <c r="J2686" s="124"/>
    </row>
    <row r="2687" spans="3:10" x14ac:dyDescent="0.2">
      <c r="C2687" s="209"/>
      <c r="D2687" s="209"/>
      <c r="E2687" s="209"/>
      <c r="J2687" s="124"/>
    </row>
    <row r="2688" spans="3:10" x14ac:dyDescent="0.2">
      <c r="C2688" s="209"/>
      <c r="D2688" s="209"/>
      <c r="E2688" s="209"/>
      <c r="J2688" s="124"/>
    </row>
    <row r="2689" spans="3:10" x14ac:dyDescent="0.2">
      <c r="C2689" s="209"/>
      <c r="D2689" s="209"/>
      <c r="E2689" s="209"/>
      <c r="J2689" s="124"/>
    </row>
    <row r="2690" spans="3:10" x14ac:dyDescent="0.2">
      <c r="C2690" s="209"/>
      <c r="D2690" s="209"/>
      <c r="E2690" s="209"/>
      <c r="J2690" s="124"/>
    </row>
    <row r="2691" spans="3:10" x14ac:dyDescent="0.2">
      <c r="C2691" s="209"/>
      <c r="D2691" s="209"/>
      <c r="E2691" s="209"/>
      <c r="J2691" s="124"/>
    </row>
    <row r="2692" spans="3:10" x14ac:dyDescent="0.2">
      <c r="C2692" s="209"/>
      <c r="D2692" s="209"/>
      <c r="E2692" s="209"/>
      <c r="J2692" s="124"/>
    </row>
    <row r="2693" spans="3:10" x14ac:dyDescent="0.2">
      <c r="C2693" s="209"/>
      <c r="D2693" s="209"/>
      <c r="E2693" s="209"/>
      <c r="J2693" s="124"/>
    </row>
    <row r="2694" spans="3:10" x14ac:dyDescent="0.2">
      <c r="C2694" s="209"/>
      <c r="D2694" s="209"/>
      <c r="E2694" s="209"/>
      <c r="J2694" s="124"/>
    </row>
    <row r="2695" spans="3:10" x14ac:dyDescent="0.2">
      <c r="C2695" s="209"/>
      <c r="D2695" s="209"/>
      <c r="E2695" s="209"/>
      <c r="J2695" s="124"/>
    </row>
    <row r="2696" spans="3:10" x14ac:dyDescent="0.2">
      <c r="C2696" s="209"/>
      <c r="D2696" s="209"/>
      <c r="E2696" s="209"/>
      <c r="J2696" s="124"/>
    </row>
    <row r="2697" spans="3:10" x14ac:dyDescent="0.2">
      <c r="C2697" s="209"/>
      <c r="D2697" s="209"/>
      <c r="E2697" s="209"/>
      <c r="J2697" s="124"/>
    </row>
    <row r="2698" spans="3:10" x14ac:dyDescent="0.2">
      <c r="C2698" s="209"/>
      <c r="D2698" s="209"/>
      <c r="E2698" s="209"/>
      <c r="J2698" s="124"/>
    </row>
    <row r="2699" spans="3:10" x14ac:dyDescent="0.2">
      <c r="C2699" s="209"/>
      <c r="D2699" s="209"/>
      <c r="E2699" s="209"/>
      <c r="J2699" s="124"/>
    </row>
    <row r="2700" spans="3:10" x14ac:dyDescent="0.2">
      <c r="C2700" s="209"/>
      <c r="D2700" s="209"/>
      <c r="E2700" s="209"/>
      <c r="J2700" s="124"/>
    </row>
    <row r="2701" spans="3:10" x14ac:dyDescent="0.2">
      <c r="C2701" s="209"/>
      <c r="D2701" s="209"/>
      <c r="E2701" s="209"/>
      <c r="J2701" s="124"/>
    </row>
    <row r="2702" spans="3:10" x14ac:dyDescent="0.2">
      <c r="C2702" s="209"/>
      <c r="D2702" s="209"/>
      <c r="E2702" s="209"/>
      <c r="J2702" s="124"/>
    </row>
    <row r="2703" spans="3:10" x14ac:dyDescent="0.2">
      <c r="C2703" s="209"/>
      <c r="D2703" s="209"/>
      <c r="E2703" s="209"/>
      <c r="J2703" s="124"/>
    </row>
    <row r="2704" spans="3:10" x14ac:dyDescent="0.2">
      <c r="C2704" s="209"/>
      <c r="D2704" s="209"/>
      <c r="E2704" s="209"/>
      <c r="J2704" s="124"/>
    </row>
    <row r="2705" spans="3:10" x14ac:dyDescent="0.2">
      <c r="C2705" s="209"/>
      <c r="D2705" s="209"/>
      <c r="E2705" s="209"/>
      <c r="J2705" s="124"/>
    </row>
    <row r="2706" spans="3:10" x14ac:dyDescent="0.2">
      <c r="C2706" s="209"/>
      <c r="D2706" s="209"/>
      <c r="E2706" s="209"/>
      <c r="J2706" s="124"/>
    </row>
    <row r="2707" spans="3:10" x14ac:dyDescent="0.2">
      <c r="C2707" s="209"/>
      <c r="D2707" s="209"/>
      <c r="E2707" s="209"/>
      <c r="J2707" s="124"/>
    </row>
    <row r="2708" spans="3:10" x14ac:dyDescent="0.2">
      <c r="C2708" s="209"/>
      <c r="D2708" s="209"/>
      <c r="E2708" s="209"/>
      <c r="J2708" s="124"/>
    </row>
    <row r="2709" spans="3:10" x14ac:dyDescent="0.2">
      <c r="C2709" s="209"/>
      <c r="D2709" s="209"/>
      <c r="E2709" s="209"/>
      <c r="J2709" s="124"/>
    </row>
    <row r="2710" spans="3:10" x14ac:dyDescent="0.2">
      <c r="C2710" s="209"/>
      <c r="D2710" s="209"/>
      <c r="E2710" s="209"/>
      <c r="J2710" s="124"/>
    </row>
    <row r="2711" spans="3:10" x14ac:dyDescent="0.2">
      <c r="C2711" s="209"/>
      <c r="D2711" s="209"/>
      <c r="E2711" s="209"/>
      <c r="J2711" s="124"/>
    </row>
    <row r="2712" spans="3:10" x14ac:dyDescent="0.2">
      <c r="C2712" s="209"/>
      <c r="D2712" s="209"/>
      <c r="E2712" s="209"/>
      <c r="J2712" s="124"/>
    </row>
    <row r="2713" spans="3:10" x14ac:dyDescent="0.2">
      <c r="C2713" s="209"/>
      <c r="D2713" s="209"/>
      <c r="E2713" s="209"/>
      <c r="J2713" s="124"/>
    </row>
    <row r="2714" spans="3:10" x14ac:dyDescent="0.2">
      <c r="C2714" s="209"/>
      <c r="D2714" s="209"/>
      <c r="E2714" s="209"/>
      <c r="J2714" s="124"/>
    </row>
    <row r="2715" spans="3:10" x14ac:dyDescent="0.2">
      <c r="C2715" s="209"/>
      <c r="D2715" s="209"/>
      <c r="E2715" s="209"/>
      <c r="J2715" s="124"/>
    </row>
    <row r="2716" spans="3:10" x14ac:dyDescent="0.2">
      <c r="C2716" s="209"/>
      <c r="D2716" s="209"/>
      <c r="E2716" s="209"/>
      <c r="J2716" s="124"/>
    </row>
    <row r="2717" spans="3:10" x14ac:dyDescent="0.2">
      <c r="C2717" s="209"/>
      <c r="D2717" s="209"/>
      <c r="E2717" s="209"/>
      <c r="J2717" s="124"/>
    </row>
    <row r="2718" spans="3:10" x14ac:dyDescent="0.2">
      <c r="C2718" s="209"/>
      <c r="D2718" s="209"/>
      <c r="E2718" s="209"/>
      <c r="J2718" s="124"/>
    </row>
    <row r="2719" spans="3:10" x14ac:dyDescent="0.2">
      <c r="C2719" s="209"/>
      <c r="D2719" s="209"/>
      <c r="E2719" s="209"/>
      <c r="J2719" s="124"/>
    </row>
    <row r="2720" spans="3:10" x14ac:dyDescent="0.2">
      <c r="C2720" s="209"/>
      <c r="D2720" s="209"/>
      <c r="E2720" s="209"/>
      <c r="J2720" s="124"/>
    </row>
    <row r="2721" spans="3:10" x14ac:dyDescent="0.2">
      <c r="C2721" s="209"/>
      <c r="D2721" s="209"/>
      <c r="E2721" s="209"/>
      <c r="J2721" s="124"/>
    </row>
    <row r="2722" spans="3:10" x14ac:dyDescent="0.2">
      <c r="C2722" s="209"/>
      <c r="D2722" s="209"/>
      <c r="E2722" s="209"/>
      <c r="J2722" s="124"/>
    </row>
    <row r="2723" spans="3:10" x14ac:dyDescent="0.2">
      <c r="C2723" s="209"/>
      <c r="D2723" s="209"/>
      <c r="E2723" s="209"/>
      <c r="J2723" s="124"/>
    </row>
    <row r="2724" spans="3:10" x14ac:dyDescent="0.2">
      <c r="C2724" s="209"/>
      <c r="D2724" s="209"/>
      <c r="E2724" s="209"/>
      <c r="J2724" s="124"/>
    </row>
    <row r="2725" spans="3:10" x14ac:dyDescent="0.2">
      <c r="C2725" s="209"/>
      <c r="D2725" s="209"/>
      <c r="E2725" s="209"/>
      <c r="J2725" s="124"/>
    </row>
    <row r="2726" spans="3:10" x14ac:dyDescent="0.2">
      <c r="C2726" s="209"/>
      <c r="D2726" s="209"/>
      <c r="E2726" s="209"/>
      <c r="J2726" s="124"/>
    </row>
    <row r="2727" spans="3:10" x14ac:dyDescent="0.2">
      <c r="C2727" s="209"/>
      <c r="D2727" s="209"/>
      <c r="E2727" s="209"/>
      <c r="J2727" s="124"/>
    </row>
    <row r="2728" spans="3:10" x14ac:dyDescent="0.2">
      <c r="C2728" s="209"/>
      <c r="D2728" s="209"/>
      <c r="E2728" s="209"/>
      <c r="J2728" s="124"/>
    </row>
    <row r="2729" spans="3:10" x14ac:dyDescent="0.2">
      <c r="C2729" s="209"/>
      <c r="D2729" s="209"/>
      <c r="E2729" s="209"/>
      <c r="J2729" s="124"/>
    </row>
    <row r="2730" spans="3:10" x14ac:dyDescent="0.2">
      <c r="C2730" s="209"/>
      <c r="D2730" s="209"/>
      <c r="E2730" s="209"/>
      <c r="J2730" s="124"/>
    </row>
    <row r="2731" spans="3:10" x14ac:dyDescent="0.2">
      <c r="C2731" s="209"/>
      <c r="D2731" s="209"/>
      <c r="E2731" s="209"/>
      <c r="J2731" s="124"/>
    </row>
    <row r="2732" spans="3:10" x14ac:dyDescent="0.2">
      <c r="C2732" s="209"/>
      <c r="D2732" s="209"/>
      <c r="E2732" s="209"/>
      <c r="J2732" s="124"/>
    </row>
    <row r="2733" spans="3:10" x14ac:dyDescent="0.2">
      <c r="C2733" s="209"/>
      <c r="D2733" s="209"/>
      <c r="E2733" s="209"/>
      <c r="J2733" s="124"/>
    </row>
    <row r="2734" spans="3:10" x14ac:dyDescent="0.2">
      <c r="C2734" s="209"/>
      <c r="D2734" s="209"/>
      <c r="E2734" s="209"/>
      <c r="J2734" s="124"/>
    </row>
    <row r="2735" spans="3:10" x14ac:dyDescent="0.2">
      <c r="C2735" s="209"/>
      <c r="D2735" s="209"/>
      <c r="E2735" s="209"/>
      <c r="J2735" s="124"/>
    </row>
    <row r="2736" spans="3:10" x14ac:dyDescent="0.2">
      <c r="C2736" s="209"/>
      <c r="D2736" s="209"/>
      <c r="E2736" s="209"/>
      <c r="J2736" s="124"/>
    </row>
    <row r="2737" spans="3:10" x14ac:dyDescent="0.2">
      <c r="C2737" s="209"/>
      <c r="D2737" s="209"/>
      <c r="E2737" s="209"/>
      <c r="J2737" s="124"/>
    </row>
    <row r="2738" spans="3:10" x14ac:dyDescent="0.2">
      <c r="C2738" s="209"/>
      <c r="D2738" s="209"/>
      <c r="E2738" s="209"/>
      <c r="J2738" s="124"/>
    </row>
    <row r="2739" spans="3:10" x14ac:dyDescent="0.2">
      <c r="C2739" s="209"/>
      <c r="D2739" s="209"/>
      <c r="E2739" s="209"/>
      <c r="J2739" s="124"/>
    </row>
    <row r="2740" spans="3:10" x14ac:dyDescent="0.2">
      <c r="C2740" s="209"/>
      <c r="D2740" s="209"/>
      <c r="E2740" s="209"/>
      <c r="J2740" s="124"/>
    </row>
    <row r="2741" spans="3:10" x14ac:dyDescent="0.2">
      <c r="C2741" s="209"/>
      <c r="D2741" s="209"/>
      <c r="E2741" s="209"/>
      <c r="J2741" s="124"/>
    </row>
    <row r="2742" spans="3:10" x14ac:dyDescent="0.2">
      <c r="C2742" s="209"/>
      <c r="D2742" s="209"/>
      <c r="E2742" s="209"/>
      <c r="J2742" s="124"/>
    </row>
    <row r="2743" spans="3:10" x14ac:dyDescent="0.2">
      <c r="C2743" s="209"/>
      <c r="D2743" s="209"/>
      <c r="E2743" s="209"/>
      <c r="J2743" s="124"/>
    </row>
    <row r="2744" spans="3:10" x14ac:dyDescent="0.2">
      <c r="C2744" s="209"/>
      <c r="D2744" s="209"/>
      <c r="E2744" s="209"/>
      <c r="J2744" s="124"/>
    </row>
    <row r="2745" spans="3:10" x14ac:dyDescent="0.2">
      <c r="C2745" s="209"/>
      <c r="D2745" s="209"/>
      <c r="E2745" s="209"/>
      <c r="J2745" s="124"/>
    </row>
    <row r="2746" spans="3:10" x14ac:dyDescent="0.2">
      <c r="C2746" s="209"/>
      <c r="D2746" s="209"/>
      <c r="E2746" s="209"/>
      <c r="J2746" s="124"/>
    </row>
    <row r="2747" spans="3:10" x14ac:dyDescent="0.2">
      <c r="C2747" s="209"/>
      <c r="D2747" s="209"/>
      <c r="E2747" s="209"/>
      <c r="J2747" s="124"/>
    </row>
    <row r="2748" spans="3:10" x14ac:dyDescent="0.2">
      <c r="C2748" s="209"/>
      <c r="D2748" s="209"/>
      <c r="E2748" s="209"/>
      <c r="J2748" s="124"/>
    </row>
    <row r="2749" spans="3:10" x14ac:dyDescent="0.2">
      <c r="C2749" s="209"/>
      <c r="D2749" s="209"/>
      <c r="E2749" s="209"/>
      <c r="J2749" s="124"/>
    </row>
    <row r="2750" spans="3:10" x14ac:dyDescent="0.2">
      <c r="C2750" s="209"/>
      <c r="D2750" s="209"/>
      <c r="E2750" s="209"/>
      <c r="J2750" s="124"/>
    </row>
    <row r="2751" spans="3:10" x14ac:dyDescent="0.2">
      <c r="C2751" s="209"/>
      <c r="D2751" s="209"/>
      <c r="E2751" s="209"/>
      <c r="J2751" s="124"/>
    </row>
    <row r="2752" spans="3:10" x14ac:dyDescent="0.2">
      <c r="C2752" s="209"/>
      <c r="D2752" s="209"/>
      <c r="E2752" s="209"/>
      <c r="J2752" s="124"/>
    </row>
    <row r="2753" spans="3:10" x14ac:dyDescent="0.2">
      <c r="C2753" s="209"/>
      <c r="D2753" s="209"/>
      <c r="E2753" s="209"/>
      <c r="J2753" s="124"/>
    </row>
    <row r="2754" spans="3:10" x14ac:dyDescent="0.2">
      <c r="C2754" s="209"/>
      <c r="D2754" s="209"/>
      <c r="E2754" s="209"/>
      <c r="J2754" s="124"/>
    </row>
    <row r="2755" spans="3:10" x14ac:dyDescent="0.2">
      <c r="C2755" s="209"/>
      <c r="D2755" s="209"/>
      <c r="E2755" s="209"/>
      <c r="J2755" s="124"/>
    </row>
    <row r="2756" spans="3:10" x14ac:dyDescent="0.2">
      <c r="C2756" s="209"/>
      <c r="D2756" s="209"/>
      <c r="E2756" s="209"/>
      <c r="J2756" s="124"/>
    </row>
    <row r="2757" spans="3:10" x14ac:dyDescent="0.2">
      <c r="C2757" s="209"/>
      <c r="D2757" s="209"/>
      <c r="E2757" s="209"/>
      <c r="J2757" s="124"/>
    </row>
    <row r="2758" spans="3:10" x14ac:dyDescent="0.2">
      <c r="C2758" s="209"/>
      <c r="D2758" s="209"/>
      <c r="E2758" s="209"/>
      <c r="J2758" s="124"/>
    </row>
    <row r="2759" spans="3:10" x14ac:dyDescent="0.2">
      <c r="C2759" s="209"/>
      <c r="D2759" s="209"/>
      <c r="E2759" s="209"/>
      <c r="J2759" s="124"/>
    </row>
    <row r="2760" spans="3:10" x14ac:dyDescent="0.2">
      <c r="C2760" s="209"/>
      <c r="D2760" s="209"/>
      <c r="E2760" s="209"/>
      <c r="J2760" s="124"/>
    </row>
    <row r="2761" spans="3:10" x14ac:dyDescent="0.2">
      <c r="C2761" s="209"/>
      <c r="D2761" s="209"/>
      <c r="E2761" s="209"/>
      <c r="J2761" s="124"/>
    </row>
    <row r="2762" spans="3:10" x14ac:dyDescent="0.2">
      <c r="C2762" s="209"/>
      <c r="D2762" s="209"/>
      <c r="E2762" s="209"/>
      <c r="J2762" s="124"/>
    </row>
    <row r="2763" spans="3:10" x14ac:dyDescent="0.2">
      <c r="C2763" s="209"/>
      <c r="D2763" s="209"/>
      <c r="E2763" s="209"/>
      <c r="J2763" s="124"/>
    </row>
    <row r="2764" spans="3:10" x14ac:dyDescent="0.2">
      <c r="C2764" s="209"/>
      <c r="D2764" s="209"/>
      <c r="E2764" s="209"/>
      <c r="J2764" s="124"/>
    </row>
    <row r="2765" spans="3:10" x14ac:dyDescent="0.2">
      <c r="C2765" s="209"/>
      <c r="D2765" s="209"/>
      <c r="E2765" s="209"/>
      <c r="J2765" s="124"/>
    </row>
    <row r="2766" spans="3:10" x14ac:dyDescent="0.2">
      <c r="C2766" s="209"/>
      <c r="D2766" s="209"/>
      <c r="E2766" s="209"/>
      <c r="J2766" s="124"/>
    </row>
    <row r="2767" spans="3:10" x14ac:dyDescent="0.2">
      <c r="C2767" s="209"/>
      <c r="D2767" s="209"/>
      <c r="E2767" s="209"/>
      <c r="J2767" s="124"/>
    </row>
    <row r="2768" spans="3:10" x14ac:dyDescent="0.2">
      <c r="C2768" s="209"/>
      <c r="D2768" s="209"/>
      <c r="E2768" s="209"/>
      <c r="J2768" s="124"/>
    </row>
    <row r="2769" spans="3:10" x14ac:dyDescent="0.2">
      <c r="C2769" s="209"/>
      <c r="D2769" s="209"/>
      <c r="E2769" s="209"/>
      <c r="J2769" s="124"/>
    </row>
    <row r="2770" spans="3:10" x14ac:dyDescent="0.2">
      <c r="C2770" s="209"/>
      <c r="D2770" s="209"/>
      <c r="E2770" s="209"/>
      <c r="J2770" s="124"/>
    </row>
    <row r="2771" spans="3:10" x14ac:dyDescent="0.2">
      <c r="C2771" s="209"/>
      <c r="D2771" s="209"/>
      <c r="E2771" s="209"/>
      <c r="J2771" s="124"/>
    </row>
    <row r="2772" spans="3:10" x14ac:dyDescent="0.2">
      <c r="C2772" s="209"/>
      <c r="D2772" s="209"/>
      <c r="E2772" s="209"/>
      <c r="J2772" s="124"/>
    </row>
    <row r="2773" spans="3:10" x14ac:dyDescent="0.2">
      <c r="C2773" s="209"/>
      <c r="D2773" s="209"/>
      <c r="E2773" s="209"/>
      <c r="J2773" s="124"/>
    </row>
    <row r="2774" spans="3:10" x14ac:dyDescent="0.2">
      <c r="C2774" s="209"/>
      <c r="D2774" s="209"/>
      <c r="E2774" s="209"/>
      <c r="J2774" s="124"/>
    </row>
    <row r="2775" spans="3:10" x14ac:dyDescent="0.2">
      <c r="C2775" s="209"/>
      <c r="D2775" s="209"/>
      <c r="E2775" s="209"/>
      <c r="J2775" s="124"/>
    </row>
    <row r="2776" spans="3:10" x14ac:dyDescent="0.2">
      <c r="C2776" s="209"/>
      <c r="D2776" s="209"/>
      <c r="E2776" s="209"/>
      <c r="J2776" s="124"/>
    </row>
    <row r="2777" spans="3:10" x14ac:dyDescent="0.2">
      <c r="C2777" s="209"/>
      <c r="D2777" s="209"/>
      <c r="E2777" s="209"/>
      <c r="J2777" s="124"/>
    </row>
    <row r="2778" spans="3:10" x14ac:dyDescent="0.2">
      <c r="C2778" s="209"/>
      <c r="D2778" s="209"/>
      <c r="E2778" s="209"/>
      <c r="J2778" s="124"/>
    </row>
    <row r="2779" spans="3:10" x14ac:dyDescent="0.2">
      <c r="C2779" s="209"/>
      <c r="D2779" s="209"/>
      <c r="E2779" s="209"/>
      <c r="J2779" s="124"/>
    </row>
    <row r="2780" spans="3:10" x14ac:dyDescent="0.2">
      <c r="C2780" s="209"/>
      <c r="D2780" s="209"/>
      <c r="E2780" s="209"/>
      <c r="J2780" s="124"/>
    </row>
    <row r="2781" spans="3:10" x14ac:dyDescent="0.2">
      <c r="C2781" s="209"/>
      <c r="D2781" s="209"/>
      <c r="E2781" s="209"/>
      <c r="J2781" s="124"/>
    </row>
    <row r="2782" spans="3:10" x14ac:dyDescent="0.2">
      <c r="C2782" s="209"/>
      <c r="D2782" s="209"/>
      <c r="E2782" s="209"/>
      <c r="J2782" s="124"/>
    </row>
    <row r="2783" spans="3:10" x14ac:dyDescent="0.2">
      <c r="C2783" s="209"/>
      <c r="D2783" s="209"/>
      <c r="E2783" s="209"/>
      <c r="J2783" s="124"/>
    </row>
    <row r="2784" spans="3:10" x14ac:dyDescent="0.2">
      <c r="C2784" s="209"/>
      <c r="D2784" s="209"/>
      <c r="E2784" s="209"/>
      <c r="J2784" s="124"/>
    </row>
    <row r="2785" spans="3:10" x14ac:dyDescent="0.2">
      <c r="C2785" s="209"/>
      <c r="D2785" s="209"/>
      <c r="E2785" s="209"/>
      <c r="J2785" s="124"/>
    </row>
    <row r="2786" spans="3:10" x14ac:dyDescent="0.2">
      <c r="C2786" s="209"/>
      <c r="D2786" s="209"/>
      <c r="E2786" s="209"/>
      <c r="J2786" s="124"/>
    </row>
    <row r="2787" spans="3:10" x14ac:dyDescent="0.2">
      <c r="C2787" s="209"/>
      <c r="D2787" s="209"/>
      <c r="E2787" s="209"/>
      <c r="J2787" s="124"/>
    </row>
    <row r="2788" spans="3:10" x14ac:dyDescent="0.2">
      <c r="C2788" s="209"/>
      <c r="D2788" s="209"/>
      <c r="E2788" s="209"/>
      <c r="J2788" s="124"/>
    </row>
    <row r="2789" spans="3:10" x14ac:dyDescent="0.2">
      <c r="C2789" s="209"/>
      <c r="D2789" s="209"/>
      <c r="E2789" s="209"/>
      <c r="J2789" s="124"/>
    </row>
    <row r="2790" spans="3:10" x14ac:dyDescent="0.2">
      <c r="C2790" s="209"/>
      <c r="D2790" s="209"/>
      <c r="E2790" s="209"/>
      <c r="J2790" s="124"/>
    </row>
    <row r="2791" spans="3:10" x14ac:dyDescent="0.2">
      <c r="C2791" s="209"/>
      <c r="D2791" s="209"/>
      <c r="E2791" s="209"/>
      <c r="J2791" s="124"/>
    </row>
    <row r="2792" spans="3:10" x14ac:dyDescent="0.2">
      <c r="C2792" s="209"/>
      <c r="D2792" s="209"/>
      <c r="E2792" s="209"/>
      <c r="J2792" s="124"/>
    </row>
    <row r="2793" spans="3:10" x14ac:dyDescent="0.2">
      <c r="C2793" s="209"/>
      <c r="D2793" s="209"/>
      <c r="E2793" s="209"/>
      <c r="J2793" s="124"/>
    </row>
    <row r="2794" spans="3:10" x14ac:dyDescent="0.2">
      <c r="C2794" s="209"/>
      <c r="D2794" s="209"/>
      <c r="E2794" s="209"/>
      <c r="J2794" s="124"/>
    </row>
    <row r="2795" spans="3:10" x14ac:dyDescent="0.2">
      <c r="C2795" s="209"/>
      <c r="D2795" s="209"/>
      <c r="E2795" s="209"/>
      <c r="J2795" s="124"/>
    </row>
    <row r="2796" spans="3:10" x14ac:dyDescent="0.2">
      <c r="C2796" s="209"/>
      <c r="D2796" s="209"/>
      <c r="E2796" s="209"/>
      <c r="J2796" s="124"/>
    </row>
    <row r="2797" spans="3:10" x14ac:dyDescent="0.2">
      <c r="C2797" s="209"/>
      <c r="D2797" s="209"/>
      <c r="E2797" s="209"/>
      <c r="J2797" s="124"/>
    </row>
    <row r="2798" spans="3:10" x14ac:dyDescent="0.2">
      <c r="C2798" s="209"/>
      <c r="D2798" s="209"/>
      <c r="E2798" s="209"/>
      <c r="J2798" s="124"/>
    </row>
    <row r="2799" spans="3:10" x14ac:dyDescent="0.2">
      <c r="C2799" s="209"/>
      <c r="D2799" s="209"/>
      <c r="E2799" s="209"/>
      <c r="J2799" s="124"/>
    </row>
    <row r="2800" spans="3:10" x14ac:dyDescent="0.2">
      <c r="C2800" s="209"/>
      <c r="D2800" s="209"/>
      <c r="E2800" s="209"/>
      <c r="J2800" s="124"/>
    </row>
    <row r="2801" spans="3:10" x14ac:dyDescent="0.2">
      <c r="C2801" s="209"/>
      <c r="D2801" s="209"/>
      <c r="E2801" s="209"/>
      <c r="J2801" s="124"/>
    </row>
    <row r="2802" spans="3:10" x14ac:dyDescent="0.2">
      <c r="C2802" s="209"/>
      <c r="D2802" s="209"/>
      <c r="E2802" s="209"/>
      <c r="J2802" s="124"/>
    </row>
    <row r="2803" spans="3:10" x14ac:dyDescent="0.2">
      <c r="C2803" s="209"/>
      <c r="D2803" s="209"/>
      <c r="E2803" s="209"/>
      <c r="J2803" s="124"/>
    </row>
    <row r="2804" spans="3:10" x14ac:dyDescent="0.2">
      <c r="C2804" s="209"/>
      <c r="D2804" s="209"/>
      <c r="E2804" s="209"/>
      <c r="J2804" s="124"/>
    </row>
    <row r="2805" spans="3:10" x14ac:dyDescent="0.2">
      <c r="C2805" s="209"/>
      <c r="D2805" s="209"/>
      <c r="E2805" s="209"/>
      <c r="J2805" s="124"/>
    </row>
    <row r="2806" spans="3:10" x14ac:dyDescent="0.2">
      <c r="C2806" s="209"/>
      <c r="D2806" s="209"/>
      <c r="E2806" s="209"/>
      <c r="J2806" s="124"/>
    </row>
    <row r="2807" spans="3:10" x14ac:dyDescent="0.2">
      <c r="C2807" s="209"/>
      <c r="D2807" s="209"/>
      <c r="E2807" s="209"/>
      <c r="J2807" s="124"/>
    </row>
    <row r="2808" spans="3:10" x14ac:dyDescent="0.2">
      <c r="C2808" s="209"/>
      <c r="D2808" s="209"/>
      <c r="E2808" s="209"/>
      <c r="J2808" s="124"/>
    </row>
    <row r="2809" spans="3:10" x14ac:dyDescent="0.2">
      <c r="C2809" s="209"/>
      <c r="D2809" s="209"/>
      <c r="E2809" s="209"/>
      <c r="J2809" s="124"/>
    </row>
    <row r="2810" spans="3:10" x14ac:dyDescent="0.2">
      <c r="C2810" s="209"/>
      <c r="D2810" s="209"/>
      <c r="E2810" s="209"/>
      <c r="J2810" s="124"/>
    </row>
    <row r="2811" spans="3:10" x14ac:dyDescent="0.2">
      <c r="C2811" s="209"/>
      <c r="D2811" s="209"/>
      <c r="E2811" s="209"/>
      <c r="J2811" s="124"/>
    </row>
    <row r="2812" spans="3:10" x14ac:dyDescent="0.2">
      <c r="C2812" s="209"/>
      <c r="D2812" s="209"/>
      <c r="E2812" s="209"/>
      <c r="J2812" s="124"/>
    </row>
    <row r="2813" spans="3:10" x14ac:dyDescent="0.2">
      <c r="C2813" s="209"/>
      <c r="D2813" s="209"/>
      <c r="E2813" s="209"/>
      <c r="J2813" s="124"/>
    </row>
    <row r="2814" spans="3:10" x14ac:dyDescent="0.2">
      <c r="C2814" s="209"/>
      <c r="D2814" s="209"/>
      <c r="E2814" s="209"/>
      <c r="J2814" s="124"/>
    </row>
    <row r="2815" spans="3:10" x14ac:dyDescent="0.2">
      <c r="C2815" s="209"/>
      <c r="D2815" s="209"/>
      <c r="E2815" s="209"/>
      <c r="J2815" s="124"/>
    </row>
    <row r="2816" spans="3:10" x14ac:dyDescent="0.2">
      <c r="C2816" s="209"/>
      <c r="D2816" s="209"/>
      <c r="E2816" s="209"/>
      <c r="J2816" s="124"/>
    </row>
    <row r="2817" spans="3:10" x14ac:dyDescent="0.2">
      <c r="C2817" s="209"/>
      <c r="D2817" s="209"/>
      <c r="E2817" s="209"/>
      <c r="J2817" s="124"/>
    </row>
    <row r="2818" spans="3:10" x14ac:dyDescent="0.2">
      <c r="C2818" s="209"/>
      <c r="D2818" s="209"/>
      <c r="E2818" s="209"/>
      <c r="J2818" s="124"/>
    </row>
    <row r="2819" spans="3:10" x14ac:dyDescent="0.2">
      <c r="C2819" s="209"/>
      <c r="D2819" s="209"/>
      <c r="E2819" s="209"/>
      <c r="J2819" s="124"/>
    </row>
    <row r="2820" spans="3:10" x14ac:dyDescent="0.2">
      <c r="C2820" s="209"/>
      <c r="D2820" s="209"/>
      <c r="E2820" s="209"/>
      <c r="J2820" s="124"/>
    </row>
    <row r="2821" spans="3:10" x14ac:dyDescent="0.2">
      <c r="C2821" s="209"/>
      <c r="D2821" s="209"/>
      <c r="E2821" s="209"/>
      <c r="J2821" s="124"/>
    </row>
    <row r="2822" spans="3:10" x14ac:dyDescent="0.2">
      <c r="C2822" s="209"/>
      <c r="D2822" s="209"/>
      <c r="E2822" s="209"/>
      <c r="J2822" s="124"/>
    </row>
    <row r="2823" spans="3:10" x14ac:dyDescent="0.2">
      <c r="C2823" s="209"/>
      <c r="D2823" s="209"/>
      <c r="E2823" s="209"/>
      <c r="J2823" s="124"/>
    </row>
    <row r="2824" spans="3:10" x14ac:dyDescent="0.2">
      <c r="C2824" s="209"/>
      <c r="D2824" s="209"/>
      <c r="E2824" s="209"/>
      <c r="J2824" s="124"/>
    </row>
    <row r="2825" spans="3:10" x14ac:dyDescent="0.2">
      <c r="C2825" s="209"/>
      <c r="D2825" s="209"/>
      <c r="E2825" s="209"/>
      <c r="J2825" s="124"/>
    </row>
    <row r="2826" spans="3:10" x14ac:dyDescent="0.2">
      <c r="C2826" s="209"/>
      <c r="D2826" s="209"/>
      <c r="E2826" s="209"/>
      <c r="J2826" s="124"/>
    </row>
    <row r="2827" spans="3:10" x14ac:dyDescent="0.2">
      <c r="C2827" s="209"/>
      <c r="D2827" s="209"/>
      <c r="E2827" s="209"/>
      <c r="J2827" s="124"/>
    </row>
    <row r="2828" spans="3:10" x14ac:dyDescent="0.2">
      <c r="C2828" s="209"/>
      <c r="D2828" s="209"/>
      <c r="E2828" s="209"/>
      <c r="J2828" s="124"/>
    </row>
    <row r="2829" spans="3:10" x14ac:dyDescent="0.2">
      <c r="C2829" s="209"/>
      <c r="D2829" s="209"/>
      <c r="E2829" s="209"/>
      <c r="J2829" s="124"/>
    </row>
    <row r="2830" spans="3:10" x14ac:dyDescent="0.2">
      <c r="C2830" s="209"/>
      <c r="D2830" s="209"/>
      <c r="E2830" s="209"/>
      <c r="J2830" s="124"/>
    </row>
    <row r="2831" spans="3:10" x14ac:dyDescent="0.2">
      <c r="C2831" s="209"/>
      <c r="D2831" s="209"/>
      <c r="E2831" s="209"/>
      <c r="J2831" s="124"/>
    </row>
    <row r="2832" spans="3:10" x14ac:dyDescent="0.2">
      <c r="C2832" s="209"/>
      <c r="D2832" s="209"/>
      <c r="E2832" s="209"/>
      <c r="J2832" s="124"/>
    </row>
    <row r="2833" spans="3:10" x14ac:dyDescent="0.2">
      <c r="C2833" s="209"/>
      <c r="D2833" s="209"/>
      <c r="E2833" s="209"/>
      <c r="J2833" s="124"/>
    </row>
    <row r="2834" spans="3:10" x14ac:dyDescent="0.2">
      <c r="C2834" s="209"/>
      <c r="D2834" s="209"/>
      <c r="E2834" s="209"/>
      <c r="J2834" s="124"/>
    </row>
    <row r="2835" spans="3:10" x14ac:dyDescent="0.2">
      <c r="C2835" s="209"/>
      <c r="D2835" s="209"/>
      <c r="E2835" s="209"/>
      <c r="J2835" s="124"/>
    </row>
    <row r="2836" spans="3:10" x14ac:dyDescent="0.2">
      <c r="C2836" s="209"/>
      <c r="D2836" s="209"/>
      <c r="E2836" s="209"/>
      <c r="J2836" s="124"/>
    </row>
    <row r="2837" spans="3:10" x14ac:dyDescent="0.2">
      <c r="C2837" s="209"/>
      <c r="D2837" s="209"/>
      <c r="E2837" s="209"/>
      <c r="J2837" s="124"/>
    </row>
    <row r="2838" spans="3:10" x14ac:dyDescent="0.2">
      <c r="C2838" s="209"/>
      <c r="D2838" s="209"/>
      <c r="E2838" s="209"/>
      <c r="J2838" s="124"/>
    </row>
    <row r="2839" spans="3:10" x14ac:dyDescent="0.2">
      <c r="C2839" s="209"/>
      <c r="D2839" s="209"/>
      <c r="E2839" s="209"/>
      <c r="J2839" s="124"/>
    </row>
    <row r="2840" spans="3:10" x14ac:dyDescent="0.2">
      <c r="C2840" s="209"/>
      <c r="D2840" s="209"/>
      <c r="E2840" s="209"/>
      <c r="J2840" s="124"/>
    </row>
    <row r="2841" spans="3:10" x14ac:dyDescent="0.2">
      <c r="C2841" s="209"/>
      <c r="D2841" s="209"/>
      <c r="E2841" s="209"/>
      <c r="J2841" s="124"/>
    </row>
    <row r="2842" spans="3:10" x14ac:dyDescent="0.2">
      <c r="C2842" s="209"/>
      <c r="D2842" s="209"/>
      <c r="E2842" s="209"/>
      <c r="J2842" s="124"/>
    </row>
    <row r="2843" spans="3:10" x14ac:dyDescent="0.2">
      <c r="C2843" s="209"/>
      <c r="D2843" s="209"/>
      <c r="E2843" s="209"/>
      <c r="J2843" s="124"/>
    </row>
    <row r="2844" spans="3:10" x14ac:dyDescent="0.2">
      <c r="C2844" s="209"/>
      <c r="D2844" s="209"/>
      <c r="E2844" s="209"/>
      <c r="J2844" s="124"/>
    </row>
    <row r="2845" spans="3:10" x14ac:dyDescent="0.2">
      <c r="C2845" s="209"/>
      <c r="D2845" s="209"/>
      <c r="E2845" s="209"/>
      <c r="J2845" s="124"/>
    </row>
    <row r="2846" spans="3:10" x14ac:dyDescent="0.2">
      <c r="C2846" s="209"/>
      <c r="D2846" s="209"/>
      <c r="E2846" s="209"/>
      <c r="J2846" s="124"/>
    </row>
    <row r="2847" spans="3:10" x14ac:dyDescent="0.2">
      <c r="C2847" s="209"/>
      <c r="D2847" s="209"/>
      <c r="E2847" s="209"/>
      <c r="J2847" s="124"/>
    </row>
    <row r="2848" spans="3:10" x14ac:dyDescent="0.2">
      <c r="C2848" s="209"/>
      <c r="D2848" s="209"/>
      <c r="E2848" s="209"/>
      <c r="J2848" s="124"/>
    </row>
    <row r="2849" spans="3:10" x14ac:dyDescent="0.2">
      <c r="C2849" s="209"/>
      <c r="D2849" s="209"/>
      <c r="E2849" s="209"/>
      <c r="J2849" s="124"/>
    </row>
    <row r="2850" spans="3:10" x14ac:dyDescent="0.2">
      <c r="C2850" s="209"/>
      <c r="D2850" s="209"/>
      <c r="E2850" s="209"/>
      <c r="J2850" s="124"/>
    </row>
    <row r="2851" spans="3:10" x14ac:dyDescent="0.2">
      <c r="C2851" s="209"/>
      <c r="D2851" s="209"/>
      <c r="E2851" s="209"/>
      <c r="J2851" s="124"/>
    </row>
    <row r="2852" spans="3:10" x14ac:dyDescent="0.2">
      <c r="C2852" s="209"/>
      <c r="D2852" s="209"/>
      <c r="E2852" s="209"/>
      <c r="J2852" s="124"/>
    </row>
    <row r="2853" spans="3:10" x14ac:dyDescent="0.2">
      <c r="C2853" s="209"/>
      <c r="D2853" s="209"/>
      <c r="E2853" s="209"/>
      <c r="J2853" s="124"/>
    </row>
    <row r="2854" spans="3:10" x14ac:dyDescent="0.2">
      <c r="C2854" s="209"/>
      <c r="D2854" s="209"/>
      <c r="E2854" s="209"/>
      <c r="J2854" s="124"/>
    </row>
    <row r="2855" spans="3:10" x14ac:dyDescent="0.2">
      <c r="C2855" s="209"/>
      <c r="D2855" s="209"/>
      <c r="E2855" s="209"/>
      <c r="J2855" s="124"/>
    </row>
    <row r="2856" spans="3:10" x14ac:dyDescent="0.2">
      <c r="C2856" s="209"/>
      <c r="D2856" s="209"/>
      <c r="E2856" s="209"/>
      <c r="J2856" s="124"/>
    </row>
    <row r="2857" spans="3:10" x14ac:dyDescent="0.2">
      <c r="C2857" s="209"/>
      <c r="D2857" s="209"/>
      <c r="E2857" s="209"/>
      <c r="J2857" s="124"/>
    </row>
    <row r="2858" spans="3:10" x14ac:dyDescent="0.2">
      <c r="C2858" s="209"/>
      <c r="D2858" s="209"/>
      <c r="E2858" s="209"/>
      <c r="J2858" s="124"/>
    </row>
    <row r="2859" spans="3:10" x14ac:dyDescent="0.2">
      <c r="C2859" s="209"/>
      <c r="D2859" s="209"/>
      <c r="E2859" s="209"/>
      <c r="J2859" s="124"/>
    </row>
    <row r="2860" spans="3:10" x14ac:dyDescent="0.2">
      <c r="C2860" s="209"/>
      <c r="D2860" s="209"/>
      <c r="E2860" s="209"/>
      <c r="J2860" s="124"/>
    </row>
    <row r="2861" spans="3:10" x14ac:dyDescent="0.2">
      <c r="C2861" s="209"/>
      <c r="D2861" s="209"/>
      <c r="E2861" s="209"/>
      <c r="J2861" s="124"/>
    </row>
    <row r="2862" spans="3:10" x14ac:dyDescent="0.2">
      <c r="C2862" s="209"/>
      <c r="D2862" s="209"/>
      <c r="E2862" s="209"/>
      <c r="J2862" s="124"/>
    </row>
    <row r="2863" spans="3:10" x14ac:dyDescent="0.2">
      <c r="C2863" s="209"/>
      <c r="D2863" s="209"/>
      <c r="E2863" s="209"/>
      <c r="J2863" s="124"/>
    </row>
    <row r="2864" spans="3:10" x14ac:dyDescent="0.2">
      <c r="C2864" s="209"/>
      <c r="D2864" s="209"/>
      <c r="E2864" s="209"/>
      <c r="J2864" s="124"/>
    </row>
    <row r="2865" spans="3:10" x14ac:dyDescent="0.2">
      <c r="C2865" s="209"/>
      <c r="D2865" s="209"/>
      <c r="E2865" s="209"/>
      <c r="J2865" s="124"/>
    </row>
    <row r="2866" spans="3:10" x14ac:dyDescent="0.2">
      <c r="C2866" s="209"/>
      <c r="D2866" s="209"/>
      <c r="E2866" s="209"/>
      <c r="J2866" s="124"/>
    </row>
    <row r="2867" spans="3:10" x14ac:dyDescent="0.2">
      <c r="C2867" s="209"/>
      <c r="D2867" s="209"/>
      <c r="E2867" s="209"/>
      <c r="J2867" s="124"/>
    </row>
    <row r="2868" spans="3:10" x14ac:dyDescent="0.2">
      <c r="C2868" s="209"/>
      <c r="D2868" s="209"/>
      <c r="E2868" s="209"/>
      <c r="J2868" s="124"/>
    </row>
    <row r="2869" spans="3:10" x14ac:dyDescent="0.2">
      <c r="C2869" s="209"/>
      <c r="D2869" s="209"/>
      <c r="E2869" s="209"/>
      <c r="J2869" s="124"/>
    </row>
    <row r="2870" spans="3:10" x14ac:dyDescent="0.2">
      <c r="C2870" s="209"/>
      <c r="D2870" s="209"/>
      <c r="E2870" s="209"/>
      <c r="J2870" s="124"/>
    </row>
    <row r="2871" spans="3:10" x14ac:dyDescent="0.2">
      <c r="C2871" s="209"/>
      <c r="D2871" s="209"/>
      <c r="E2871" s="209"/>
      <c r="J2871" s="124"/>
    </row>
    <row r="2872" spans="3:10" x14ac:dyDescent="0.2">
      <c r="C2872" s="209"/>
      <c r="D2872" s="209"/>
      <c r="E2872" s="209"/>
      <c r="J2872" s="124"/>
    </row>
    <row r="2873" spans="3:10" x14ac:dyDescent="0.2">
      <c r="C2873" s="209"/>
      <c r="D2873" s="209"/>
      <c r="E2873" s="209"/>
      <c r="J2873" s="124"/>
    </row>
    <row r="2874" spans="3:10" x14ac:dyDescent="0.2">
      <c r="C2874" s="209"/>
      <c r="D2874" s="209"/>
      <c r="E2874" s="209"/>
      <c r="J2874" s="124"/>
    </row>
    <row r="2875" spans="3:10" x14ac:dyDescent="0.2">
      <c r="C2875" s="209"/>
      <c r="D2875" s="209"/>
      <c r="E2875" s="209"/>
      <c r="J2875" s="124"/>
    </row>
    <row r="2876" spans="3:10" x14ac:dyDescent="0.2">
      <c r="C2876" s="209"/>
      <c r="D2876" s="209"/>
      <c r="E2876" s="209"/>
      <c r="J2876" s="124"/>
    </row>
    <row r="2877" spans="3:10" x14ac:dyDescent="0.2">
      <c r="C2877" s="209"/>
      <c r="D2877" s="209"/>
      <c r="E2877" s="209"/>
      <c r="J2877" s="124"/>
    </row>
    <row r="2878" spans="3:10" x14ac:dyDescent="0.2">
      <c r="C2878" s="209"/>
      <c r="D2878" s="209"/>
      <c r="E2878" s="209"/>
      <c r="J2878" s="124"/>
    </row>
    <row r="2879" spans="3:10" x14ac:dyDescent="0.2">
      <c r="C2879" s="209"/>
      <c r="D2879" s="209"/>
      <c r="E2879" s="209"/>
      <c r="J2879" s="124"/>
    </row>
    <row r="2880" spans="3:10" x14ac:dyDescent="0.2">
      <c r="C2880" s="209"/>
      <c r="D2880" s="209"/>
      <c r="E2880" s="209"/>
      <c r="J2880" s="124"/>
    </row>
    <row r="2881" spans="3:10" x14ac:dyDescent="0.2">
      <c r="C2881" s="209"/>
      <c r="D2881" s="209"/>
      <c r="E2881" s="209"/>
      <c r="J2881" s="124"/>
    </row>
    <row r="2882" spans="3:10" x14ac:dyDescent="0.2">
      <c r="C2882" s="209"/>
      <c r="D2882" s="209"/>
      <c r="E2882" s="209"/>
      <c r="J2882" s="124"/>
    </row>
    <row r="2883" spans="3:10" x14ac:dyDescent="0.2">
      <c r="C2883" s="209"/>
      <c r="D2883" s="209"/>
      <c r="E2883" s="209"/>
      <c r="J2883" s="124"/>
    </row>
    <row r="2884" spans="3:10" x14ac:dyDescent="0.2">
      <c r="C2884" s="209"/>
      <c r="D2884" s="209"/>
      <c r="E2884" s="209"/>
      <c r="J2884" s="124"/>
    </row>
    <row r="2885" spans="3:10" x14ac:dyDescent="0.2">
      <c r="C2885" s="209"/>
      <c r="D2885" s="209"/>
      <c r="E2885" s="209"/>
      <c r="J2885" s="124"/>
    </row>
    <row r="2886" spans="3:10" x14ac:dyDescent="0.2">
      <c r="C2886" s="209"/>
      <c r="D2886" s="209"/>
      <c r="E2886" s="209"/>
      <c r="J2886" s="124"/>
    </row>
    <row r="2887" spans="3:10" x14ac:dyDescent="0.2">
      <c r="C2887" s="209"/>
      <c r="D2887" s="209"/>
      <c r="E2887" s="209"/>
      <c r="J2887" s="124"/>
    </row>
    <row r="2888" spans="3:10" x14ac:dyDescent="0.2">
      <c r="C2888" s="209"/>
      <c r="D2888" s="209"/>
      <c r="E2888" s="209"/>
      <c r="J2888" s="124"/>
    </row>
    <row r="2889" spans="3:10" x14ac:dyDescent="0.2">
      <c r="C2889" s="209"/>
      <c r="D2889" s="209"/>
      <c r="E2889" s="209"/>
      <c r="J2889" s="124"/>
    </row>
    <row r="2890" spans="3:10" x14ac:dyDescent="0.2">
      <c r="C2890" s="209"/>
      <c r="D2890" s="209"/>
      <c r="E2890" s="209"/>
      <c r="J2890" s="124"/>
    </row>
    <row r="2891" spans="3:10" x14ac:dyDescent="0.2">
      <c r="C2891" s="209"/>
      <c r="D2891" s="209"/>
      <c r="E2891" s="209"/>
      <c r="J2891" s="124"/>
    </row>
    <row r="2892" spans="3:10" x14ac:dyDescent="0.2">
      <c r="C2892" s="209"/>
      <c r="D2892" s="209"/>
      <c r="E2892" s="209"/>
      <c r="J2892" s="124"/>
    </row>
    <row r="2893" spans="3:10" x14ac:dyDescent="0.2">
      <c r="C2893" s="209"/>
      <c r="D2893" s="209"/>
      <c r="E2893" s="209"/>
      <c r="J2893" s="124"/>
    </row>
    <row r="2894" spans="3:10" x14ac:dyDescent="0.2">
      <c r="C2894" s="209"/>
      <c r="D2894" s="209"/>
      <c r="E2894" s="209"/>
      <c r="J2894" s="124"/>
    </row>
    <row r="2895" spans="3:10" x14ac:dyDescent="0.2">
      <c r="C2895" s="209"/>
      <c r="D2895" s="209"/>
      <c r="E2895" s="209"/>
      <c r="J2895" s="124"/>
    </row>
    <row r="2896" spans="3:10" x14ac:dyDescent="0.2">
      <c r="C2896" s="209"/>
      <c r="D2896" s="209"/>
      <c r="E2896" s="209"/>
      <c r="J2896" s="124"/>
    </row>
    <row r="2897" spans="3:10" x14ac:dyDescent="0.2">
      <c r="C2897" s="209"/>
      <c r="D2897" s="209"/>
      <c r="E2897" s="209"/>
      <c r="J2897" s="124"/>
    </row>
    <row r="2898" spans="3:10" x14ac:dyDescent="0.2">
      <c r="C2898" s="209"/>
      <c r="D2898" s="209"/>
      <c r="E2898" s="209"/>
      <c r="J2898" s="124"/>
    </row>
    <row r="2899" spans="3:10" x14ac:dyDescent="0.2">
      <c r="C2899" s="209"/>
      <c r="D2899" s="209"/>
      <c r="E2899" s="209"/>
      <c r="J2899" s="124"/>
    </row>
    <row r="2900" spans="3:10" x14ac:dyDescent="0.2">
      <c r="C2900" s="209"/>
      <c r="D2900" s="209"/>
      <c r="E2900" s="209"/>
      <c r="J2900" s="124"/>
    </row>
    <row r="2901" spans="3:10" x14ac:dyDescent="0.2">
      <c r="C2901" s="209"/>
      <c r="D2901" s="209"/>
      <c r="E2901" s="209"/>
      <c r="J2901" s="124"/>
    </row>
    <row r="2902" spans="3:10" x14ac:dyDescent="0.2">
      <c r="C2902" s="209"/>
      <c r="D2902" s="209"/>
      <c r="E2902" s="209"/>
      <c r="J2902" s="124"/>
    </row>
    <row r="2903" spans="3:10" x14ac:dyDescent="0.2">
      <c r="C2903" s="209"/>
      <c r="D2903" s="209"/>
      <c r="E2903" s="209"/>
      <c r="J2903" s="124"/>
    </row>
    <row r="2904" spans="3:10" x14ac:dyDescent="0.2">
      <c r="C2904" s="209"/>
      <c r="D2904" s="209"/>
      <c r="E2904" s="209"/>
      <c r="J2904" s="124"/>
    </row>
    <row r="2905" spans="3:10" x14ac:dyDescent="0.2">
      <c r="C2905" s="209"/>
      <c r="D2905" s="209"/>
      <c r="E2905" s="209"/>
      <c r="J2905" s="124"/>
    </row>
    <row r="2906" spans="3:10" x14ac:dyDescent="0.2">
      <c r="C2906" s="209"/>
      <c r="D2906" s="209"/>
      <c r="E2906" s="209"/>
      <c r="J2906" s="124"/>
    </row>
    <row r="2907" spans="3:10" x14ac:dyDescent="0.2">
      <c r="C2907" s="209"/>
      <c r="D2907" s="209"/>
      <c r="E2907" s="209"/>
      <c r="J2907" s="124"/>
    </row>
    <row r="2908" spans="3:10" x14ac:dyDescent="0.2">
      <c r="C2908" s="209"/>
      <c r="D2908" s="209"/>
      <c r="E2908" s="209"/>
      <c r="J2908" s="124"/>
    </row>
    <row r="2909" spans="3:10" x14ac:dyDescent="0.2">
      <c r="C2909" s="209"/>
      <c r="D2909" s="209"/>
      <c r="E2909" s="209"/>
      <c r="J2909" s="124"/>
    </row>
    <row r="2910" spans="3:10" x14ac:dyDescent="0.2">
      <c r="C2910" s="209"/>
      <c r="D2910" s="209"/>
      <c r="E2910" s="209"/>
      <c r="J2910" s="124"/>
    </row>
    <row r="2911" spans="3:10" x14ac:dyDescent="0.2">
      <c r="C2911" s="209"/>
      <c r="D2911" s="209"/>
      <c r="E2911" s="209"/>
      <c r="J2911" s="124"/>
    </row>
    <row r="2912" spans="3:10" x14ac:dyDescent="0.2">
      <c r="C2912" s="209"/>
      <c r="D2912" s="209"/>
      <c r="E2912" s="209"/>
      <c r="J2912" s="124"/>
    </row>
    <row r="2913" spans="3:10" x14ac:dyDescent="0.2">
      <c r="C2913" s="209"/>
      <c r="D2913" s="209"/>
      <c r="E2913" s="209"/>
      <c r="J2913" s="124"/>
    </row>
    <row r="2914" spans="3:10" x14ac:dyDescent="0.2">
      <c r="C2914" s="209"/>
      <c r="D2914" s="209"/>
      <c r="E2914" s="209"/>
      <c r="J2914" s="124"/>
    </row>
    <row r="2915" spans="3:10" x14ac:dyDescent="0.2">
      <c r="C2915" s="209"/>
      <c r="D2915" s="209"/>
      <c r="E2915" s="209"/>
      <c r="J2915" s="124"/>
    </row>
    <row r="2916" spans="3:10" x14ac:dyDescent="0.2">
      <c r="C2916" s="209"/>
      <c r="D2916" s="209"/>
      <c r="E2916" s="209"/>
      <c r="J2916" s="124"/>
    </row>
    <row r="2917" spans="3:10" x14ac:dyDescent="0.2">
      <c r="C2917" s="209"/>
      <c r="D2917" s="209"/>
      <c r="E2917" s="209"/>
      <c r="J2917" s="124"/>
    </row>
    <row r="2918" spans="3:10" x14ac:dyDescent="0.2">
      <c r="C2918" s="209"/>
      <c r="D2918" s="209"/>
      <c r="E2918" s="209"/>
      <c r="J2918" s="124"/>
    </row>
    <row r="2919" spans="3:10" x14ac:dyDescent="0.2">
      <c r="C2919" s="209"/>
      <c r="D2919" s="209"/>
      <c r="E2919" s="209"/>
      <c r="J2919" s="124"/>
    </row>
    <row r="2920" spans="3:10" x14ac:dyDescent="0.2">
      <c r="C2920" s="209"/>
      <c r="D2920" s="209"/>
      <c r="E2920" s="209"/>
      <c r="J2920" s="124"/>
    </row>
    <row r="2921" spans="3:10" x14ac:dyDescent="0.2">
      <c r="C2921" s="209"/>
      <c r="D2921" s="209"/>
      <c r="E2921" s="209"/>
      <c r="J2921" s="124"/>
    </row>
    <row r="2922" spans="3:10" x14ac:dyDescent="0.2">
      <c r="C2922" s="209"/>
      <c r="D2922" s="209"/>
      <c r="E2922" s="209"/>
      <c r="J2922" s="124"/>
    </row>
    <row r="2923" spans="3:10" x14ac:dyDescent="0.2">
      <c r="C2923" s="209"/>
      <c r="D2923" s="209"/>
      <c r="E2923" s="209"/>
      <c r="J2923" s="124"/>
    </row>
    <row r="2924" spans="3:10" x14ac:dyDescent="0.2">
      <c r="C2924" s="209"/>
      <c r="D2924" s="209"/>
      <c r="E2924" s="209"/>
      <c r="J2924" s="124"/>
    </row>
    <row r="2925" spans="3:10" x14ac:dyDescent="0.2">
      <c r="C2925" s="209"/>
      <c r="D2925" s="209"/>
      <c r="E2925" s="209"/>
      <c r="J2925" s="124"/>
    </row>
    <row r="2926" spans="3:10" x14ac:dyDescent="0.2">
      <c r="C2926" s="209"/>
      <c r="D2926" s="209"/>
      <c r="E2926" s="209"/>
      <c r="J2926" s="124"/>
    </row>
    <row r="2927" spans="3:10" x14ac:dyDescent="0.2">
      <c r="C2927" s="209"/>
      <c r="D2927" s="209"/>
      <c r="E2927" s="209"/>
      <c r="J2927" s="124"/>
    </row>
    <row r="2928" spans="3:10" x14ac:dyDescent="0.2">
      <c r="C2928" s="209"/>
      <c r="D2928" s="209"/>
      <c r="E2928" s="209"/>
      <c r="J2928" s="124"/>
    </row>
    <row r="2929" spans="3:10" x14ac:dyDescent="0.2">
      <c r="C2929" s="209"/>
      <c r="D2929" s="209"/>
      <c r="E2929" s="209"/>
      <c r="J2929" s="124"/>
    </row>
    <row r="2930" spans="3:10" x14ac:dyDescent="0.2">
      <c r="C2930" s="209"/>
      <c r="D2930" s="209"/>
      <c r="E2930" s="209"/>
      <c r="J2930" s="124"/>
    </row>
    <row r="2931" spans="3:10" x14ac:dyDescent="0.2">
      <c r="C2931" s="209"/>
      <c r="D2931" s="209"/>
      <c r="E2931" s="209"/>
      <c r="J2931" s="124"/>
    </row>
    <row r="2932" spans="3:10" x14ac:dyDescent="0.2">
      <c r="C2932" s="209"/>
      <c r="D2932" s="209"/>
      <c r="E2932" s="209"/>
      <c r="J2932" s="124"/>
    </row>
    <row r="2933" spans="3:10" x14ac:dyDescent="0.2">
      <c r="C2933" s="209"/>
      <c r="D2933" s="209"/>
      <c r="E2933" s="209"/>
      <c r="J2933" s="124"/>
    </row>
    <row r="2934" spans="3:10" x14ac:dyDescent="0.2">
      <c r="C2934" s="209"/>
      <c r="D2934" s="209"/>
      <c r="E2934" s="209"/>
      <c r="J2934" s="124"/>
    </row>
    <row r="2935" spans="3:10" x14ac:dyDescent="0.2">
      <c r="C2935" s="209"/>
      <c r="D2935" s="209"/>
      <c r="E2935" s="209"/>
      <c r="J2935" s="124"/>
    </row>
    <row r="2936" spans="3:10" x14ac:dyDescent="0.2">
      <c r="C2936" s="209"/>
      <c r="D2936" s="209"/>
      <c r="E2936" s="209"/>
      <c r="J2936" s="124"/>
    </row>
    <row r="2937" spans="3:10" x14ac:dyDescent="0.2">
      <c r="C2937" s="209"/>
      <c r="D2937" s="209"/>
      <c r="E2937" s="209"/>
      <c r="J2937" s="124"/>
    </row>
    <row r="2938" spans="3:10" x14ac:dyDescent="0.2">
      <c r="C2938" s="209"/>
      <c r="D2938" s="209"/>
      <c r="E2938" s="209"/>
      <c r="J2938" s="124"/>
    </row>
    <row r="2939" spans="3:10" x14ac:dyDescent="0.2">
      <c r="C2939" s="209"/>
      <c r="D2939" s="209"/>
      <c r="E2939" s="209"/>
      <c r="J2939" s="124"/>
    </row>
    <row r="2940" spans="3:10" x14ac:dyDescent="0.2">
      <c r="C2940" s="209"/>
      <c r="D2940" s="209"/>
      <c r="E2940" s="209"/>
      <c r="J2940" s="124"/>
    </row>
    <row r="2941" spans="3:10" x14ac:dyDescent="0.2">
      <c r="C2941" s="209"/>
      <c r="D2941" s="209"/>
      <c r="E2941" s="209"/>
      <c r="J2941" s="124"/>
    </row>
    <row r="2942" spans="3:10" x14ac:dyDescent="0.2">
      <c r="C2942" s="209"/>
      <c r="D2942" s="209"/>
      <c r="E2942" s="209"/>
      <c r="J2942" s="124"/>
    </row>
    <row r="2943" spans="3:10" x14ac:dyDescent="0.2">
      <c r="C2943" s="209"/>
      <c r="D2943" s="209"/>
      <c r="E2943" s="209"/>
      <c r="J2943" s="124"/>
    </row>
    <row r="2944" spans="3:10" x14ac:dyDescent="0.2">
      <c r="C2944" s="209"/>
      <c r="D2944" s="209"/>
      <c r="E2944" s="209"/>
      <c r="J2944" s="124"/>
    </row>
    <row r="2945" spans="3:10" x14ac:dyDescent="0.2">
      <c r="C2945" s="209"/>
      <c r="D2945" s="209"/>
      <c r="E2945" s="209"/>
      <c r="J2945" s="124"/>
    </row>
    <row r="2946" spans="3:10" x14ac:dyDescent="0.2">
      <c r="C2946" s="209"/>
      <c r="D2946" s="209"/>
      <c r="E2946" s="209"/>
      <c r="J2946" s="124"/>
    </row>
    <row r="2947" spans="3:10" x14ac:dyDescent="0.2">
      <c r="C2947" s="209"/>
      <c r="D2947" s="209"/>
      <c r="E2947" s="209"/>
      <c r="J2947" s="124"/>
    </row>
    <row r="2948" spans="3:10" x14ac:dyDescent="0.2">
      <c r="C2948" s="209"/>
      <c r="D2948" s="209"/>
      <c r="E2948" s="209"/>
      <c r="J2948" s="124"/>
    </row>
    <row r="2949" spans="3:10" x14ac:dyDescent="0.2">
      <c r="C2949" s="209"/>
      <c r="D2949" s="209"/>
      <c r="E2949" s="209"/>
      <c r="J2949" s="124"/>
    </row>
    <row r="2950" spans="3:10" x14ac:dyDescent="0.2">
      <c r="C2950" s="209"/>
      <c r="D2950" s="209"/>
      <c r="E2950" s="209"/>
      <c r="J2950" s="124"/>
    </row>
    <row r="2951" spans="3:10" x14ac:dyDescent="0.2">
      <c r="C2951" s="209"/>
      <c r="D2951" s="209"/>
      <c r="E2951" s="209"/>
      <c r="J2951" s="124"/>
    </row>
    <row r="2952" spans="3:10" x14ac:dyDescent="0.2">
      <c r="C2952" s="209"/>
      <c r="D2952" s="209"/>
      <c r="E2952" s="209"/>
      <c r="J2952" s="124"/>
    </row>
    <row r="2953" spans="3:10" x14ac:dyDescent="0.2">
      <c r="C2953" s="209"/>
      <c r="D2953" s="209"/>
      <c r="E2953" s="209"/>
      <c r="J2953" s="124"/>
    </row>
    <row r="2954" spans="3:10" x14ac:dyDescent="0.2">
      <c r="C2954" s="209"/>
      <c r="D2954" s="209"/>
      <c r="E2954" s="209"/>
      <c r="J2954" s="124"/>
    </row>
    <row r="2955" spans="3:10" x14ac:dyDescent="0.2">
      <c r="C2955" s="209"/>
      <c r="D2955" s="209"/>
      <c r="E2955" s="209"/>
      <c r="J2955" s="124"/>
    </row>
    <row r="2956" spans="3:10" x14ac:dyDescent="0.2">
      <c r="C2956" s="209"/>
      <c r="D2956" s="209"/>
      <c r="E2956" s="209"/>
      <c r="J2956" s="124"/>
    </row>
    <row r="2957" spans="3:10" x14ac:dyDescent="0.2">
      <c r="C2957" s="209"/>
      <c r="D2957" s="209"/>
      <c r="E2957" s="209"/>
      <c r="J2957" s="124"/>
    </row>
    <row r="2958" spans="3:10" x14ac:dyDescent="0.2">
      <c r="C2958" s="209"/>
      <c r="D2958" s="209"/>
      <c r="E2958" s="209"/>
      <c r="J2958" s="124"/>
    </row>
    <row r="2959" spans="3:10" x14ac:dyDescent="0.2">
      <c r="C2959" s="209"/>
      <c r="D2959" s="209"/>
      <c r="E2959" s="209"/>
      <c r="J2959" s="124"/>
    </row>
    <row r="2960" spans="3:10" x14ac:dyDescent="0.2">
      <c r="C2960" s="209"/>
      <c r="D2960" s="209"/>
      <c r="E2960" s="209"/>
      <c r="J2960" s="124"/>
    </row>
    <row r="2961" spans="3:10" x14ac:dyDescent="0.2">
      <c r="C2961" s="209"/>
      <c r="D2961" s="209"/>
      <c r="E2961" s="209"/>
      <c r="J2961" s="124"/>
    </row>
    <row r="2962" spans="3:10" x14ac:dyDescent="0.2">
      <c r="C2962" s="209"/>
      <c r="D2962" s="209"/>
      <c r="E2962" s="209"/>
      <c r="J2962" s="124"/>
    </row>
    <row r="2963" spans="3:10" x14ac:dyDescent="0.2">
      <c r="C2963" s="209"/>
      <c r="D2963" s="209"/>
      <c r="E2963" s="209"/>
      <c r="J2963" s="124"/>
    </row>
    <row r="2964" spans="3:10" x14ac:dyDescent="0.2">
      <c r="C2964" s="209"/>
      <c r="D2964" s="209"/>
      <c r="E2964" s="209"/>
      <c r="J2964" s="124"/>
    </row>
    <row r="2965" spans="3:10" x14ac:dyDescent="0.2">
      <c r="C2965" s="209"/>
      <c r="D2965" s="209"/>
      <c r="E2965" s="209"/>
      <c r="J2965" s="124"/>
    </row>
    <row r="2966" spans="3:10" x14ac:dyDescent="0.2">
      <c r="C2966" s="209"/>
      <c r="D2966" s="209"/>
      <c r="E2966" s="209"/>
      <c r="J2966" s="124"/>
    </row>
    <row r="2967" spans="3:10" x14ac:dyDescent="0.2">
      <c r="C2967" s="209"/>
      <c r="D2967" s="209"/>
      <c r="E2967" s="209"/>
      <c r="J2967" s="124"/>
    </row>
    <row r="2968" spans="3:10" x14ac:dyDescent="0.2">
      <c r="C2968" s="209"/>
      <c r="D2968" s="209"/>
      <c r="E2968" s="209"/>
      <c r="J2968" s="124"/>
    </row>
    <row r="2969" spans="3:10" x14ac:dyDescent="0.2">
      <c r="C2969" s="209"/>
      <c r="D2969" s="209"/>
      <c r="E2969" s="209"/>
      <c r="J2969" s="124"/>
    </row>
    <row r="2970" spans="3:10" x14ac:dyDescent="0.2">
      <c r="C2970" s="209"/>
      <c r="D2970" s="209"/>
      <c r="E2970" s="209"/>
      <c r="J2970" s="124"/>
    </row>
    <row r="2971" spans="3:10" x14ac:dyDescent="0.2">
      <c r="C2971" s="209"/>
      <c r="D2971" s="209"/>
      <c r="E2971" s="209"/>
      <c r="J2971" s="124"/>
    </row>
    <row r="2972" spans="3:10" x14ac:dyDescent="0.2">
      <c r="C2972" s="209"/>
      <c r="D2972" s="209"/>
      <c r="E2972" s="209"/>
      <c r="J2972" s="124"/>
    </row>
    <row r="2973" spans="3:10" x14ac:dyDescent="0.2">
      <c r="C2973" s="209"/>
      <c r="D2973" s="209"/>
      <c r="E2973" s="209"/>
      <c r="J2973" s="124"/>
    </row>
    <row r="2974" spans="3:10" x14ac:dyDescent="0.2">
      <c r="C2974" s="209"/>
      <c r="D2974" s="209"/>
      <c r="E2974" s="209"/>
      <c r="J2974" s="124"/>
    </row>
    <row r="2975" spans="3:10" x14ac:dyDescent="0.2">
      <c r="C2975" s="209"/>
      <c r="D2975" s="209"/>
      <c r="E2975" s="209"/>
      <c r="J2975" s="124"/>
    </row>
    <row r="2976" spans="3:10" x14ac:dyDescent="0.2">
      <c r="C2976" s="209"/>
      <c r="D2976" s="209"/>
      <c r="E2976" s="209"/>
      <c r="J2976" s="124"/>
    </row>
    <row r="2977" spans="3:10" x14ac:dyDescent="0.2">
      <c r="C2977" s="209"/>
      <c r="D2977" s="209"/>
      <c r="E2977" s="209"/>
      <c r="J2977" s="124"/>
    </row>
    <row r="2978" spans="3:10" x14ac:dyDescent="0.2">
      <c r="C2978" s="209"/>
      <c r="D2978" s="209"/>
      <c r="E2978" s="209"/>
      <c r="J2978" s="124"/>
    </row>
    <row r="2979" spans="3:10" x14ac:dyDescent="0.2">
      <c r="C2979" s="209"/>
      <c r="D2979" s="209"/>
      <c r="E2979" s="209"/>
      <c r="J2979" s="124"/>
    </row>
    <row r="2980" spans="3:10" x14ac:dyDescent="0.2">
      <c r="C2980" s="209"/>
      <c r="D2980" s="209"/>
      <c r="E2980" s="209"/>
      <c r="J2980" s="124"/>
    </row>
    <row r="2981" spans="3:10" x14ac:dyDescent="0.2">
      <c r="C2981" s="209"/>
      <c r="D2981" s="209"/>
      <c r="E2981" s="209"/>
      <c r="J2981" s="124"/>
    </row>
    <row r="2982" spans="3:10" x14ac:dyDescent="0.2">
      <c r="C2982" s="209"/>
      <c r="D2982" s="209"/>
      <c r="E2982" s="209"/>
      <c r="J2982" s="124"/>
    </row>
    <row r="2983" spans="3:10" x14ac:dyDescent="0.2">
      <c r="C2983" s="209"/>
      <c r="D2983" s="209"/>
      <c r="E2983" s="209"/>
      <c r="J2983" s="124"/>
    </row>
    <row r="2984" spans="3:10" x14ac:dyDescent="0.2">
      <c r="C2984" s="209"/>
      <c r="D2984" s="209"/>
      <c r="E2984" s="209"/>
      <c r="J2984" s="124"/>
    </row>
    <row r="2985" spans="3:10" x14ac:dyDescent="0.2">
      <c r="C2985" s="209"/>
      <c r="D2985" s="209"/>
      <c r="E2985" s="209"/>
      <c r="J2985" s="124"/>
    </row>
    <row r="2986" spans="3:10" x14ac:dyDescent="0.2">
      <c r="C2986" s="209"/>
      <c r="D2986" s="209"/>
      <c r="E2986" s="209"/>
      <c r="J2986" s="124"/>
    </row>
    <row r="2987" spans="3:10" x14ac:dyDescent="0.2">
      <c r="C2987" s="209"/>
      <c r="D2987" s="209"/>
      <c r="E2987" s="209"/>
      <c r="J2987" s="124"/>
    </row>
    <row r="2988" spans="3:10" x14ac:dyDescent="0.2">
      <c r="C2988" s="209"/>
      <c r="D2988" s="209"/>
      <c r="E2988" s="209"/>
      <c r="J2988" s="124"/>
    </row>
    <row r="2989" spans="3:10" x14ac:dyDescent="0.2">
      <c r="C2989" s="209"/>
      <c r="D2989" s="209"/>
      <c r="E2989" s="209"/>
      <c r="J2989" s="124"/>
    </row>
    <row r="2990" spans="3:10" x14ac:dyDescent="0.2">
      <c r="C2990" s="209"/>
      <c r="D2990" s="209"/>
      <c r="E2990" s="209"/>
      <c r="J2990" s="124"/>
    </row>
    <row r="2991" spans="3:10" x14ac:dyDescent="0.2">
      <c r="C2991" s="209"/>
      <c r="D2991" s="209"/>
      <c r="E2991" s="209"/>
      <c r="J2991" s="124"/>
    </row>
    <row r="2992" spans="3:10" x14ac:dyDescent="0.2">
      <c r="C2992" s="209"/>
      <c r="D2992" s="209"/>
      <c r="E2992" s="209"/>
      <c r="J2992" s="124"/>
    </row>
    <row r="2993" spans="3:10" x14ac:dyDescent="0.2">
      <c r="C2993" s="209"/>
      <c r="D2993" s="209"/>
      <c r="E2993" s="209"/>
      <c r="J2993" s="124"/>
    </row>
    <row r="2994" spans="3:10" x14ac:dyDescent="0.2">
      <c r="C2994" s="209"/>
      <c r="D2994" s="209"/>
      <c r="E2994" s="209"/>
      <c r="J2994" s="124"/>
    </row>
    <row r="2995" spans="3:10" x14ac:dyDescent="0.2">
      <c r="C2995" s="209"/>
      <c r="D2995" s="209"/>
      <c r="E2995" s="209"/>
      <c r="J2995" s="124"/>
    </row>
    <row r="2996" spans="3:10" x14ac:dyDescent="0.2">
      <c r="C2996" s="209"/>
      <c r="D2996" s="209"/>
      <c r="E2996" s="209"/>
      <c r="J2996" s="124"/>
    </row>
    <row r="2997" spans="3:10" x14ac:dyDescent="0.2">
      <c r="C2997" s="209"/>
      <c r="D2997" s="209"/>
      <c r="E2997" s="209"/>
      <c r="J2997" s="124"/>
    </row>
    <row r="2998" spans="3:10" x14ac:dyDescent="0.2">
      <c r="C2998" s="209"/>
      <c r="D2998" s="209"/>
      <c r="E2998" s="209"/>
      <c r="J2998" s="124"/>
    </row>
    <row r="2999" spans="3:10" x14ac:dyDescent="0.2">
      <c r="C2999" s="209"/>
      <c r="D2999" s="209"/>
      <c r="E2999" s="209"/>
      <c r="J2999" s="124"/>
    </row>
    <row r="3000" spans="3:10" x14ac:dyDescent="0.2">
      <c r="C3000" s="209"/>
      <c r="D3000" s="209"/>
      <c r="E3000" s="209"/>
      <c r="J3000" s="124"/>
    </row>
    <row r="3001" spans="3:10" x14ac:dyDescent="0.2">
      <c r="C3001" s="209"/>
      <c r="D3001" s="209"/>
      <c r="E3001" s="209"/>
      <c r="J3001" s="124"/>
    </row>
    <row r="3002" spans="3:10" x14ac:dyDescent="0.2">
      <c r="C3002" s="209"/>
      <c r="D3002" s="209"/>
      <c r="E3002" s="209"/>
      <c r="J3002" s="124"/>
    </row>
    <row r="3003" spans="3:10" x14ac:dyDescent="0.2">
      <c r="C3003" s="209"/>
      <c r="D3003" s="209"/>
      <c r="E3003" s="209"/>
      <c r="J3003" s="124"/>
    </row>
    <row r="3004" spans="3:10" x14ac:dyDescent="0.2">
      <c r="C3004" s="209"/>
      <c r="D3004" s="209"/>
      <c r="E3004" s="209"/>
      <c r="J3004" s="124"/>
    </row>
    <row r="3005" spans="3:10" x14ac:dyDescent="0.2">
      <c r="C3005" s="209"/>
      <c r="D3005" s="209"/>
      <c r="E3005" s="209"/>
      <c r="J3005" s="124"/>
    </row>
    <row r="3006" spans="3:10" x14ac:dyDescent="0.2">
      <c r="C3006" s="209"/>
      <c r="D3006" s="209"/>
      <c r="E3006" s="209"/>
      <c r="J3006" s="124"/>
    </row>
    <row r="3007" spans="3:10" x14ac:dyDescent="0.2">
      <c r="C3007" s="209"/>
      <c r="D3007" s="209"/>
      <c r="E3007" s="209"/>
      <c r="J3007" s="124"/>
    </row>
    <row r="3008" spans="3:10" x14ac:dyDescent="0.2">
      <c r="C3008" s="209"/>
      <c r="D3008" s="209"/>
      <c r="E3008" s="209"/>
      <c r="J3008" s="124"/>
    </row>
    <row r="3009" spans="3:10" x14ac:dyDescent="0.2">
      <c r="C3009" s="209"/>
      <c r="D3009" s="209"/>
      <c r="E3009" s="209"/>
      <c r="J3009" s="124"/>
    </row>
    <row r="3010" spans="3:10" x14ac:dyDescent="0.2">
      <c r="C3010" s="209"/>
      <c r="D3010" s="209"/>
      <c r="E3010" s="209"/>
      <c r="J3010" s="124"/>
    </row>
    <row r="3011" spans="3:10" x14ac:dyDescent="0.2">
      <c r="C3011" s="209"/>
      <c r="D3011" s="209"/>
      <c r="E3011" s="209"/>
      <c r="J3011" s="124"/>
    </row>
    <row r="3012" spans="3:10" x14ac:dyDescent="0.2">
      <c r="C3012" s="209"/>
      <c r="D3012" s="209"/>
      <c r="E3012" s="209"/>
      <c r="J3012" s="124"/>
    </row>
    <row r="3013" spans="3:10" x14ac:dyDescent="0.2">
      <c r="C3013" s="209"/>
      <c r="D3013" s="209"/>
      <c r="E3013" s="209"/>
      <c r="J3013" s="124"/>
    </row>
    <row r="3014" spans="3:10" x14ac:dyDescent="0.2">
      <c r="C3014" s="209"/>
      <c r="D3014" s="209"/>
      <c r="E3014" s="209"/>
      <c r="J3014" s="124"/>
    </row>
    <row r="3015" spans="3:10" x14ac:dyDescent="0.2">
      <c r="C3015" s="209"/>
      <c r="D3015" s="209"/>
      <c r="E3015" s="209"/>
      <c r="J3015" s="124"/>
    </row>
    <row r="3016" spans="3:10" x14ac:dyDescent="0.2">
      <c r="C3016" s="209"/>
      <c r="D3016" s="209"/>
      <c r="E3016" s="209"/>
      <c r="J3016" s="124"/>
    </row>
    <row r="3017" spans="3:10" x14ac:dyDescent="0.2">
      <c r="C3017" s="209"/>
      <c r="D3017" s="209"/>
      <c r="E3017" s="209"/>
      <c r="J3017" s="124"/>
    </row>
    <row r="3018" spans="3:10" x14ac:dyDescent="0.2">
      <c r="C3018" s="209"/>
      <c r="D3018" s="209"/>
      <c r="E3018" s="209"/>
      <c r="J3018" s="124"/>
    </row>
    <row r="3019" spans="3:10" x14ac:dyDescent="0.2">
      <c r="C3019" s="209"/>
      <c r="D3019" s="209"/>
      <c r="E3019" s="209"/>
      <c r="J3019" s="124"/>
    </row>
    <row r="3020" spans="3:10" x14ac:dyDescent="0.2">
      <c r="C3020" s="209"/>
      <c r="D3020" s="209"/>
      <c r="E3020" s="209"/>
      <c r="J3020" s="124"/>
    </row>
    <row r="3021" spans="3:10" x14ac:dyDescent="0.2">
      <c r="C3021" s="209"/>
      <c r="D3021" s="209"/>
      <c r="E3021" s="209"/>
      <c r="J3021" s="124"/>
    </row>
    <row r="3022" spans="3:10" x14ac:dyDescent="0.2">
      <c r="C3022" s="209"/>
      <c r="D3022" s="209"/>
      <c r="E3022" s="209"/>
      <c r="J3022" s="124"/>
    </row>
    <row r="3023" spans="3:10" x14ac:dyDescent="0.2">
      <c r="C3023" s="209"/>
      <c r="D3023" s="209"/>
      <c r="E3023" s="209"/>
      <c r="J3023" s="124"/>
    </row>
    <row r="3024" spans="3:10" x14ac:dyDescent="0.2">
      <c r="C3024" s="209"/>
      <c r="D3024" s="209"/>
      <c r="E3024" s="209"/>
      <c r="J3024" s="124"/>
    </row>
    <row r="3025" spans="3:10" x14ac:dyDescent="0.2">
      <c r="C3025" s="209"/>
      <c r="D3025" s="209"/>
      <c r="E3025" s="209"/>
      <c r="J3025" s="124"/>
    </row>
    <row r="3026" spans="3:10" x14ac:dyDescent="0.2">
      <c r="C3026" s="209"/>
      <c r="D3026" s="209"/>
      <c r="E3026" s="209"/>
      <c r="J3026" s="124"/>
    </row>
    <row r="3027" spans="3:10" x14ac:dyDescent="0.2">
      <c r="C3027" s="209"/>
      <c r="D3027" s="209"/>
      <c r="E3027" s="209"/>
      <c r="J3027" s="124"/>
    </row>
    <row r="3028" spans="3:10" x14ac:dyDescent="0.2">
      <c r="C3028" s="209"/>
      <c r="D3028" s="209"/>
      <c r="E3028" s="209"/>
      <c r="J3028" s="124"/>
    </row>
    <row r="3029" spans="3:10" x14ac:dyDescent="0.2">
      <c r="C3029" s="209"/>
      <c r="D3029" s="209"/>
      <c r="E3029" s="209"/>
      <c r="J3029" s="124"/>
    </row>
    <row r="3030" spans="3:10" x14ac:dyDescent="0.2">
      <c r="C3030" s="209"/>
      <c r="D3030" s="209"/>
      <c r="E3030" s="209"/>
      <c r="J3030" s="124"/>
    </row>
    <row r="3031" spans="3:10" x14ac:dyDescent="0.2">
      <c r="C3031" s="209"/>
      <c r="D3031" s="209"/>
      <c r="E3031" s="209"/>
      <c r="J3031" s="124"/>
    </row>
    <row r="3032" spans="3:10" x14ac:dyDescent="0.2">
      <c r="C3032" s="209"/>
      <c r="D3032" s="209"/>
      <c r="E3032" s="209"/>
      <c r="J3032" s="124"/>
    </row>
    <row r="3033" spans="3:10" x14ac:dyDescent="0.2">
      <c r="C3033" s="209"/>
      <c r="D3033" s="209"/>
      <c r="E3033" s="209"/>
      <c r="J3033" s="124"/>
    </row>
    <row r="3034" spans="3:10" x14ac:dyDescent="0.2">
      <c r="C3034" s="209"/>
      <c r="D3034" s="209"/>
      <c r="E3034" s="209"/>
      <c r="J3034" s="124"/>
    </row>
    <row r="3035" spans="3:10" x14ac:dyDescent="0.2">
      <c r="C3035" s="209"/>
      <c r="D3035" s="209"/>
      <c r="E3035" s="209"/>
      <c r="J3035" s="124"/>
    </row>
    <row r="3036" spans="3:10" x14ac:dyDescent="0.2">
      <c r="C3036" s="209"/>
      <c r="D3036" s="209"/>
      <c r="E3036" s="209"/>
      <c r="J3036" s="124"/>
    </row>
    <row r="3037" spans="3:10" x14ac:dyDescent="0.2">
      <c r="C3037" s="209"/>
      <c r="D3037" s="209"/>
      <c r="E3037" s="209"/>
      <c r="J3037" s="124"/>
    </row>
    <row r="3038" spans="3:10" x14ac:dyDescent="0.2">
      <c r="C3038" s="209"/>
      <c r="D3038" s="209"/>
      <c r="E3038" s="209"/>
      <c r="J3038" s="124"/>
    </row>
    <row r="3039" spans="3:10" x14ac:dyDescent="0.2">
      <c r="C3039" s="209"/>
      <c r="D3039" s="209"/>
      <c r="E3039" s="209"/>
      <c r="J3039" s="124"/>
    </row>
    <row r="3040" spans="3:10" x14ac:dyDescent="0.2">
      <c r="C3040" s="209"/>
      <c r="D3040" s="209"/>
      <c r="E3040" s="209"/>
      <c r="J3040" s="124"/>
    </row>
    <row r="3041" spans="3:10" x14ac:dyDescent="0.2">
      <c r="C3041" s="209"/>
      <c r="D3041" s="209"/>
      <c r="E3041" s="209"/>
      <c r="J3041" s="124"/>
    </row>
    <row r="3042" spans="3:10" x14ac:dyDescent="0.2">
      <c r="C3042" s="209"/>
      <c r="D3042" s="209"/>
      <c r="E3042" s="209"/>
      <c r="J3042" s="124"/>
    </row>
    <row r="3043" spans="3:10" x14ac:dyDescent="0.2">
      <c r="C3043" s="209"/>
      <c r="D3043" s="209"/>
      <c r="E3043" s="209"/>
      <c r="J3043" s="124"/>
    </row>
    <row r="3044" spans="3:10" x14ac:dyDescent="0.2">
      <c r="C3044" s="209"/>
      <c r="D3044" s="209"/>
      <c r="E3044" s="209"/>
      <c r="J3044" s="124"/>
    </row>
    <row r="3045" spans="3:10" x14ac:dyDescent="0.2">
      <c r="C3045" s="209"/>
      <c r="D3045" s="209"/>
      <c r="E3045" s="209"/>
      <c r="J3045" s="124"/>
    </row>
    <row r="3046" spans="3:10" x14ac:dyDescent="0.2">
      <c r="C3046" s="209"/>
      <c r="D3046" s="209"/>
      <c r="E3046" s="209"/>
      <c r="J3046" s="124"/>
    </row>
    <row r="3047" spans="3:10" x14ac:dyDescent="0.2">
      <c r="C3047" s="209"/>
      <c r="D3047" s="209"/>
      <c r="E3047" s="209"/>
      <c r="J3047" s="124"/>
    </row>
    <row r="3048" spans="3:10" x14ac:dyDescent="0.2">
      <c r="C3048" s="209"/>
      <c r="D3048" s="209"/>
      <c r="E3048" s="209"/>
      <c r="J3048" s="124"/>
    </row>
    <row r="3049" spans="3:10" x14ac:dyDescent="0.2">
      <c r="C3049" s="209"/>
      <c r="D3049" s="209"/>
      <c r="E3049" s="209"/>
      <c r="J3049" s="124"/>
    </row>
    <row r="3050" spans="3:10" x14ac:dyDescent="0.2">
      <c r="C3050" s="209"/>
      <c r="D3050" s="209"/>
      <c r="E3050" s="209"/>
      <c r="J3050" s="124"/>
    </row>
    <row r="3051" spans="3:10" x14ac:dyDescent="0.2">
      <c r="C3051" s="209"/>
      <c r="D3051" s="209"/>
      <c r="E3051" s="209"/>
      <c r="J3051" s="124"/>
    </row>
    <row r="3052" spans="3:10" x14ac:dyDescent="0.2">
      <c r="C3052" s="209"/>
      <c r="D3052" s="209"/>
      <c r="E3052" s="209"/>
      <c r="J3052" s="124"/>
    </row>
    <row r="3053" spans="3:10" x14ac:dyDescent="0.2">
      <c r="C3053" s="209"/>
      <c r="D3053" s="209"/>
      <c r="E3053" s="209"/>
      <c r="J3053" s="124"/>
    </row>
    <row r="3054" spans="3:10" x14ac:dyDescent="0.2">
      <c r="C3054" s="209"/>
      <c r="D3054" s="209"/>
      <c r="E3054" s="209"/>
      <c r="J3054" s="124"/>
    </row>
    <row r="3055" spans="3:10" x14ac:dyDescent="0.2">
      <c r="C3055" s="209"/>
      <c r="D3055" s="209"/>
      <c r="E3055" s="209"/>
      <c r="J3055" s="124"/>
    </row>
    <row r="3056" spans="3:10" x14ac:dyDescent="0.2">
      <c r="C3056" s="209"/>
      <c r="D3056" s="209"/>
      <c r="E3056" s="209"/>
      <c r="J3056" s="124"/>
    </row>
    <row r="3057" spans="3:10" x14ac:dyDescent="0.2">
      <c r="C3057" s="209"/>
      <c r="D3057" s="209"/>
      <c r="E3057" s="209"/>
      <c r="J3057" s="124"/>
    </row>
    <row r="3058" spans="3:10" x14ac:dyDescent="0.2">
      <c r="C3058" s="209"/>
      <c r="D3058" s="209"/>
      <c r="E3058" s="209"/>
      <c r="J3058" s="124"/>
    </row>
    <row r="3059" spans="3:10" x14ac:dyDescent="0.2">
      <c r="C3059" s="209"/>
      <c r="D3059" s="209"/>
      <c r="E3059" s="209"/>
      <c r="J3059" s="124"/>
    </row>
    <row r="3060" spans="3:10" x14ac:dyDescent="0.2">
      <c r="C3060" s="209"/>
      <c r="D3060" s="209"/>
      <c r="E3060" s="209"/>
      <c r="J3060" s="124"/>
    </row>
    <row r="3061" spans="3:10" x14ac:dyDescent="0.2">
      <c r="C3061" s="209"/>
      <c r="D3061" s="209"/>
      <c r="E3061" s="209"/>
      <c r="J3061" s="124"/>
    </row>
    <row r="3062" spans="3:10" x14ac:dyDescent="0.2">
      <c r="C3062" s="209"/>
      <c r="D3062" s="209"/>
      <c r="E3062" s="209"/>
      <c r="J3062" s="124"/>
    </row>
    <row r="3063" spans="3:10" x14ac:dyDescent="0.2">
      <c r="C3063" s="209"/>
      <c r="D3063" s="209"/>
      <c r="E3063" s="209"/>
      <c r="J3063" s="124"/>
    </row>
    <row r="3064" spans="3:10" x14ac:dyDescent="0.2">
      <c r="C3064" s="209"/>
      <c r="D3064" s="209"/>
      <c r="E3064" s="209"/>
      <c r="J3064" s="124"/>
    </row>
    <row r="3065" spans="3:10" x14ac:dyDescent="0.2">
      <c r="C3065" s="209"/>
      <c r="D3065" s="209"/>
      <c r="E3065" s="209"/>
      <c r="J3065" s="124"/>
    </row>
    <row r="3066" spans="3:10" x14ac:dyDescent="0.2">
      <c r="C3066" s="209"/>
      <c r="D3066" s="209"/>
      <c r="E3066" s="209"/>
      <c r="J3066" s="124"/>
    </row>
    <row r="3067" spans="3:10" x14ac:dyDescent="0.2">
      <c r="C3067" s="209"/>
      <c r="D3067" s="209"/>
      <c r="E3067" s="209"/>
      <c r="J3067" s="124"/>
    </row>
    <row r="3068" spans="3:10" x14ac:dyDescent="0.2">
      <c r="C3068" s="209"/>
      <c r="D3068" s="209"/>
      <c r="E3068" s="209"/>
      <c r="J3068" s="124"/>
    </row>
    <row r="3069" spans="3:10" x14ac:dyDescent="0.2">
      <c r="C3069" s="209"/>
      <c r="D3069" s="209"/>
      <c r="E3069" s="209"/>
      <c r="J3069" s="124"/>
    </row>
    <row r="3070" spans="3:10" x14ac:dyDescent="0.2">
      <c r="C3070" s="209"/>
      <c r="D3070" s="209"/>
      <c r="E3070" s="209"/>
      <c r="J3070" s="124"/>
    </row>
    <row r="3071" spans="3:10" x14ac:dyDescent="0.2">
      <c r="C3071" s="209"/>
      <c r="D3071" s="209"/>
      <c r="E3071" s="209"/>
      <c r="J3071" s="124"/>
    </row>
    <row r="3072" spans="3:10" x14ac:dyDescent="0.2">
      <c r="C3072" s="209"/>
      <c r="D3072" s="209"/>
      <c r="E3072" s="209"/>
      <c r="J3072" s="124"/>
    </row>
    <row r="3073" spans="3:10" x14ac:dyDescent="0.2">
      <c r="C3073" s="209"/>
      <c r="D3073" s="209"/>
      <c r="E3073" s="209"/>
      <c r="J3073" s="124"/>
    </row>
    <row r="3074" spans="3:10" x14ac:dyDescent="0.2">
      <c r="C3074" s="209"/>
      <c r="D3074" s="209"/>
      <c r="E3074" s="209"/>
      <c r="J3074" s="124"/>
    </row>
    <row r="3075" spans="3:10" x14ac:dyDescent="0.2">
      <c r="C3075" s="209"/>
      <c r="D3075" s="209"/>
      <c r="E3075" s="209"/>
      <c r="J3075" s="124"/>
    </row>
    <row r="3076" spans="3:10" x14ac:dyDescent="0.2">
      <c r="C3076" s="209"/>
      <c r="D3076" s="209"/>
      <c r="E3076" s="209"/>
      <c r="J3076" s="124"/>
    </row>
    <row r="3077" spans="3:10" x14ac:dyDescent="0.2">
      <c r="C3077" s="209"/>
      <c r="D3077" s="209"/>
      <c r="E3077" s="209"/>
      <c r="J3077" s="124"/>
    </row>
    <row r="3078" spans="3:10" x14ac:dyDescent="0.2">
      <c r="C3078" s="209"/>
      <c r="D3078" s="209"/>
      <c r="E3078" s="209"/>
      <c r="J3078" s="124"/>
    </row>
    <row r="3079" spans="3:10" x14ac:dyDescent="0.2">
      <c r="C3079" s="209"/>
      <c r="D3079" s="209"/>
      <c r="E3079" s="209"/>
      <c r="J3079" s="124"/>
    </row>
    <row r="3080" spans="3:10" x14ac:dyDescent="0.2">
      <c r="C3080" s="209"/>
      <c r="D3080" s="209"/>
      <c r="E3080" s="209"/>
      <c r="J3080" s="124"/>
    </row>
    <row r="3081" spans="3:10" x14ac:dyDescent="0.2">
      <c r="C3081" s="209"/>
      <c r="D3081" s="209"/>
      <c r="E3081" s="209"/>
      <c r="J3081" s="124"/>
    </row>
    <row r="3082" spans="3:10" x14ac:dyDescent="0.2">
      <c r="C3082" s="209"/>
      <c r="D3082" s="209"/>
      <c r="E3082" s="209"/>
      <c r="J3082" s="124"/>
    </row>
    <row r="3083" spans="3:10" x14ac:dyDescent="0.2">
      <c r="C3083" s="209"/>
      <c r="D3083" s="209"/>
      <c r="E3083" s="209"/>
      <c r="J3083" s="124"/>
    </row>
    <row r="3084" spans="3:10" x14ac:dyDescent="0.2">
      <c r="C3084" s="209"/>
      <c r="D3084" s="209"/>
      <c r="E3084" s="209"/>
      <c r="J3084" s="124"/>
    </row>
    <row r="3085" spans="3:10" x14ac:dyDescent="0.2">
      <c r="C3085" s="209"/>
      <c r="D3085" s="209"/>
      <c r="E3085" s="209"/>
      <c r="J3085" s="124"/>
    </row>
    <row r="3086" spans="3:10" x14ac:dyDescent="0.2">
      <c r="C3086" s="209"/>
      <c r="D3086" s="209"/>
      <c r="E3086" s="209"/>
      <c r="J3086" s="124"/>
    </row>
    <row r="3087" spans="3:10" x14ac:dyDescent="0.2">
      <c r="C3087" s="209"/>
      <c r="D3087" s="209"/>
      <c r="E3087" s="209"/>
      <c r="J3087" s="124"/>
    </row>
    <row r="3088" spans="3:10" x14ac:dyDescent="0.2">
      <c r="C3088" s="209"/>
      <c r="D3088" s="209"/>
      <c r="E3088" s="209"/>
      <c r="J3088" s="124"/>
    </row>
    <row r="3089" spans="3:10" x14ac:dyDescent="0.2">
      <c r="C3089" s="209"/>
      <c r="D3089" s="209"/>
      <c r="E3089" s="209"/>
      <c r="J3089" s="124"/>
    </row>
    <row r="3090" spans="3:10" x14ac:dyDescent="0.2">
      <c r="C3090" s="209"/>
      <c r="D3090" s="209"/>
      <c r="E3090" s="209"/>
      <c r="J3090" s="124"/>
    </row>
    <row r="3091" spans="3:10" x14ac:dyDescent="0.2">
      <c r="C3091" s="209"/>
      <c r="D3091" s="209"/>
      <c r="E3091" s="209"/>
      <c r="J3091" s="124"/>
    </row>
    <row r="3092" spans="3:10" x14ac:dyDescent="0.2">
      <c r="C3092" s="209"/>
      <c r="D3092" s="209"/>
      <c r="E3092" s="209"/>
      <c r="J3092" s="124"/>
    </row>
    <row r="3093" spans="3:10" x14ac:dyDescent="0.2">
      <c r="C3093" s="209"/>
      <c r="D3093" s="209"/>
      <c r="E3093" s="209"/>
      <c r="J3093" s="124"/>
    </row>
    <row r="3094" spans="3:10" x14ac:dyDescent="0.2">
      <c r="C3094" s="209"/>
      <c r="D3094" s="209"/>
      <c r="E3094" s="209"/>
      <c r="J3094" s="124"/>
    </row>
    <row r="3095" spans="3:10" x14ac:dyDescent="0.2">
      <c r="C3095" s="209"/>
      <c r="D3095" s="209"/>
      <c r="E3095" s="209"/>
      <c r="J3095" s="124"/>
    </row>
    <row r="3096" spans="3:10" x14ac:dyDescent="0.2">
      <c r="C3096" s="209"/>
      <c r="D3096" s="209"/>
      <c r="E3096" s="209"/>
      <c r="J3096" s="124"/>
    </row>
    <row r="3097" spans="3:10" x14ac:dyDescent="0.2">
      <c r="C3097" s="209"/>
      <c r="D3097" s="209"/>
      <c r="E3097" s="209"/>
      <c r="J3097" s="124"/>
    </row>
    <row r="3098" spans="3:10" x14ac:dyDescent="0.2">
      <c r="C3098" s="209"/>
      <c r="D3098" s="209"/>
      <c r="E3098" s="209"/>
      <c r="J3098" s="124"/>
    </row>
    <row r="3099" spans="3:10" x14ac:dyDescent="0.2">
      <c r="C3099" s="209"/>
      <c r="D3099" s="209"/>
      <c r="E3099" s="209"/>
      <c r="J3099" s="124"/>
    </row>
    <row r="3100" spans="3:10" x14ac:dyDescent="0.2">
      <c r="C3100" s="209"/>
      <c r="D3100" s="209"/>
      <c r="E3100" s="209"/>
      <c r="J3100" s="124"/>
    </row>
    <row r="3101" spans="3:10" x14ac:dyDescent="0.2">
      <c r="C3101" s="209"/>
      <c r="D3101" s="209"/>
      <c r="E3101" s="209"/>
      <c r="J3101" s="124"/>
    </row>
    <row r="3102" spans="3:10" x14ac:dyDescent="0.2">
      <c r="C3102" s="209"/>
      <c r="D3102" s="209"/>
      <c r="E3102" s="209"/>
      <c r="J3102" s="124"/>
    </row>
    <row r="3103" spans="3:10" x14ac:dyDescent="0.2">
      <c r="C3103" s="209"/>
      <c r="D3103" s="209"/>
      <c r="E3103" s="209"/>
      <c r="J3103" s="124"/>
    </row>
    <row r="3104" spans="3:10" x14ac:dyDescent="0.2">
      <c r="C3104" s="209"/>
      <c r="D3104" s="209"/>
      <c r="E3104" s="209"/>
      <c r="J3104" s="124"/>
    </row>
    <row r="3105" spans="3:10" x14ac:dyDescent="0.2">
      <c r="C3105" s="209"/>
      <c r="D3105" s="209"/>
      <c r="E3105" s="209"/>
      <c r="J3105" s="124"/>
    </row>
    <row r="3106" spans="3:10" x14ac:dyDescent="0.2">
      <c r="C3106" s="209"/>
      <c r="D3106" s="209"/>
      <c r="E3106" s="209"/>
      <c r="J3106" s="124"/>
    </row>
    <row r="3107" spans="3:10" x14ac:dyDescent="0.2">
      <c r="C3107" s="209"/>
      <c r="D3107" s="209"/>
      <c r="E3107" s="209"/>
      <c r="J3107" s="124"/>
    </row>
    <row r="3108" spans="3:10" x14ac:dyDescent="0.2">
      <c r="C3108" s="209"/>
      <c r="D3108" s="209"/>
      <c r="E3108" s="209"/>
      <c r="J3108" s="124"/>
    </row>
    <row r="3109" spans="3:10" x14ac:dyDescent="0.2">
      <c r="C3109" s="209"/>
      <c r="D3109" s="209"/>
      <c r="E3109" s="209"/>
      <c r="J3109" s="124"/>
    </row>
    <row r="3110" spans="3:10" x14ac:dyDescent="0.2">
      <c r="C3110" s="209"/>
      <c r="D3110" s="209"/>
      <c r="E3110" s="209"/>
      <c r="J3110" s="124"/>
    </row>
    <row r="3111" spans="3:10" x14ac:dyDescent="0.2">
      <c r="C3111" s="209"/>
      <c r="D3111" s="209"/>
      <c r="E3111" s="209"/>
      <c r="J3111" s="124"/>
    </row>
    <row r="3112" spans="3:10" x14ac:dyDescent="0.2">
      <c r="C3112" s="209"/>
      <c r="D3112" s="209"/>
      <c r="E3112" s="209"/>
      <c r="J3112" s="124"/>
    </row>
    <row r="3113" spans="3:10" x14ac:dyDescent="0.2">
      <c r="C3113" s="209"/>
      <c r="D3113" s="209"/>
      <c r="E3113" s="209"/>
      <c r="J3113" s="124"/>
    </row>
    <row r="3114" spans="3:10" x14ac:dyDescent="0.2">
      <c r="C3114" s="209"/>
      <c r="D3114" s="209"/>
      <c r="E3114" s="209"/>
      <c r="J3114" s="124"/>
    </row>
    <row r="3115" spans="3:10" x14ac:dyDescent="0.2">
      <c r="C3115" s="209"/>
      <c r="D3115" s="209"/>
      <c r="E3115" s="209"/>
      <c r="J3115" s="124"/>
    </row>
    <row r="3116" spans="3:10" x14ac:dyDescent="0.2">
      <c r="C3116" s="209"/>
      <c r="D3116" s="209"/>
      <c r="E3116" s="209"/>
      <c r="J3116" s="124"/>
    </row>
    <row r="3117" spans="3:10" x14ac:dyDescent="0.2">
      <c r="C3117" s="209"/>
      <c r="D3117" s="209"/>
      <c r="E3117" s="209"/>
      <c r="J3117" s="124"/>
    </row>
    <row r="3118" spans="3:10" x14ac:dyDescent="0.2">
      <c r="C3118" s="209"/>
      <c r="D3118" s="209"/>
      <c r="E3118" s="209"/>
      <c r="J3118" s="124"/>
    </row>
    <row r="3119" spans="3:10" x14ac:dyDescent="0.2">
      <c r="C3119" s="209"/>
      <c r="D3119" s="209"/>
      <c r="E3119" s="209"/>
      <c r="J3119" s="124"/>
    </row>
    <row r="3120" spans="3:10" x14ac:dyDescent="0.2">
      <c r="C3120" s="209"/>
      <c r="D3120" s="209"/>
      <c r="E3120" s="209"/>
      <c r="J3120" s="124"/>
    </row>
    <row r="3121" spans="3:10" x14ac:dyDescent="0.2">
      <c r="C3121" s="209"/>
      <c r="D3121" s="209"/>
      <c r="E3121" s="209"/>
      <c r="J3121" s="124"/>
    </row>
    <row r="3122" spans="3:10" x14ac:dyDescent="0.2">
      <c r="C3122" s="209"/>
      <c r="D3122" s="209"/>
      <c r="E3122" s="209"/>
      <c r="J3122" s="124"/>
    </row>
    <row r="3123" spans="3:10" x14ac:dyDescent="0.2">
      <c r="C3123" s="209"/>
      <c r="D3123" s="209"/>
      <c r="E3123" s="209"/>
      <c r="J3123" s="124"/>
    </row>
    <row r="3124" spans="3:10" x14ac:dyDescent="0.2">
      <c r="C3124" s="209"/>
      <c r="D3124" s="209"/>
      <c r="E3124" s="209"/>
      <c r="J3124" s="124"/>
    </row>
    <row r="3125" spans="3:10" x14ac:dyDescent="0.2">
      <c r="C3125" s="209"/>
      <c r="D3125" s="209"/>
      <c r="E3125" s="209"/>
      <c r="J3125" s="124"/>
    </row>
    <row r="3126" spans="3:10" x14ac:dyDescent="0.2">
      <c r="C3126" s="209"/>
      <c r="D3126" s="209"/>
      <c r="E3126" s="209"/>
      <c r="J3126" s="124"/>
    </row>
    <row r="3127" spans="3:10" x14ac:dyDescent="0.2">
      <c r="C3127" s="209"/>
      <c r="D3127" s="209"/>
      <c r="E3127" s="209"/>
      <c r="J3127" s="124"/>
    </row>
    <row r="3128" spans="3:10" x14ac:dyDescent="0.2">
      <c r="C3128" s="209"/>
      <c r="D3128" s="209"/>
      <c r="E3128" s="209"/>
      <c r="J3128" s="124"/>
    </row>
    <row r="3129" spans="3:10" x14ac:dyDescent="0.2">
      <c r="C3129" s="209"/>
      <c r="D3129" s="209"/>
      <c r="E3129" s="209"/>
      <c r="J3129" s="124"/>
    </row>
    <row r="3130" spans="3:10" x14ac:dyDescent="0.2">
      <c r="C3130" s="209"/>
      <c r="D3130" s="209"/>
      <c r="E3130" s="209"/>
      <c r="J3130" s="124"/>
    </row>
    <row r="3131" spans="3:10" x14ac:dyDescent="0.2">
      <c r="C3131" s="209"/>
      <c r="D3131" s="209"/>
      <c r="E3131" s="209"/>
      <c r="J3131" s="124"/>
    </row>
    <row r="3132" spans="3:10" x14ac:dyDescent="0.2">
      <c r="C3132" s="209"/>
      <c r="D3132" s="209"/>
      <c r="E3132" s="209"/>
      <c r="J3132" s="124"/>
    </row>
    <row r="3133" spans="3:10" x14ac:dyDescent="0.2">
      <c r="C3133" s="209"/>
      <c r="D3133" s="209"/>
      <c r="E3133" s="209"/>
      <c r="J3133" s="124"/>
    </row>
    <row r="3134" spans="3:10" x14ac:dyDescent="0.2">
      <c r="C3134" s="209"/>
      <c r="D3134" s="209"/>
      <c r="E3134" s="209"/>
      <c r="J3134" s="124"/>
    </row>
    <row r="3135" spans="3:10" x14ac:dyDescent="0.2">
      <c r="C3135" s="209"/>
      <c r="D3135" s="209"/>
      <c r="E3135" s="209"/>
      <c r="J3135" s="124"/>
    </row>
    <row r="3136" spans="3:10" x14ac:dyDescent="0.2">
      <c r="C3136" s="209"/>
      <c r="D3136" s="209"/>
      <c r="E3136" s="209"/>
      <c r="J3136" s="124"/>
    </row>
    <row r="3137" spans="3:10" x14ac:dyDescent="0.2">
      <c r="C3137" s="209"/>
      <c r="D3137" s="209"/>
      <c r="E3137" s="209"/>
      <c r="J3137" s="124"/>
    </row>
    <row r="3138" spans="3:10" x14ac:dyDescent="0.2">
      <c r="C3138" s="209"/>
      <c r="D3138" s="209"/>
      <c r="E3138" s="209"/>
      <c r="J3138" s="124"/>
    </row>
    <row r="3139" spans="3:10" x14ac:dyDescent="0.2">
      <c r="C3139" s="209"/>
      <c r="D3139" s="209"/>
      <c r="E3139" s="209"/>
      <c r="J3139" s="124"/>
    </row>
    <row r="3140" spans="3:10" x14ac:dyDescent="0.2">
      <c r="C3140" s="209"/>
      <c r="D3140" s="209"/>
      <c r="E3140" s="209"/>
      <c r="J3140" s="124"/>
    </row>
    <row r="3141" spans="3:10" x14ac:dyDescent="0.2">
      <c r="C3141" s="209"/>
      <c r="D3141" s="209"/>
      <c r="E3141" s="209"/>
      <c r="J3141" s="124"/>
    </row>
    <row r="3142" spans="3:10" x14ac:dyDescent="0.2">
      <c r="C3142" s="209"/>
      <c r="D3142" s="209"/>
      <c r="E3142" s="209"/>
      <c r="J3142" s="124"/>
    </row>
    <row r="3143" spans="3:10" x14ac:dyDescent="0.2">
      <c r="C3143" s="209"/>
      <c r="D3143" s="209"/>
      <c r="E3143" s="209"/>
      <c r="J3143" s="124"/>
    </row>
    <row r="3144" spans="3:10" x14ac:dyDescent="0.2">
      <c r="C3144" s="209"/>
      <c r="D3144" s="209"/>
      <c r="E3144" s="209"/>
      <c r="J3144" s="124"/>
    </row>
    <row r="3145" spans="3:10" x14ac:dyDescent="0.2">
      <c r="C3145" s="209"/>
      <c r="D3145" s="209"/>
      <c r="E3145" s="209"/>
      <c r="J3145" s="124"/>
    </row>
    <row r="3146" spans="3:10" x14ac:dyDescent="0.2">
      <c r="C3146" s="209"/>
      <c r="D3146" s="209"/>
      <c r="E3146" s="209"/>
      <c r="J3146" s="124"/>
    </row>
    <row r="3147" spans="3:10" x14ac:dyDescent="0.2">
      <c r="C3147" s="209"/>
      <c r="D3147" s="209"/>
      <c r="E3147" s="209"/>
      <c r="J3147" s="124"/>
    </row>
    <row r="3148" spans="3:10" x14ac:dyDescent="0.2">
      <c r="C3148" s="209"/>
      <c r="D3148" s="209"/>
      <c r="E3148" s="209"/>
      <c r="J3148" s="124"/>
    </row>
    <row r="3149" spans="3:10" x14ac:dyDescent="0.2">
      <c r="C3149" s="209"/>
      <c r="D3149" s="209"/>
      <c r="E3149" s="209"/>
      <c r="J3149" s="124"/>
    </row>
    <row r="3150" spans="3:10" x14ac:dyDescent="0.2">
      <c r="C3150" s="209"/>
      <c r="D3150" s="209"/>
      <c r="E3150" s="209"/>
      <c r="J3150" s="124"/>
    </row>
    <row r="3151" spans="3:10" x14ac:dyDescent="0.2">
      <c r="C3151" s="209"/>
      <c r="D3151" s="209"/>
      <c r="E3151" s="209"/>
      <c r="J3151" s="124"/>
    </row>
    <row r="3152" spans="3:10" x14ac:dyDescent="0.2">
      <c r="C3152" s="209"/>
      <c r="D3152" s="209"/>
      <c r="E3152" s="209"/>
      <c r="J3152" s="124"/>
    </row>
    <row r="3153" spans="3:10" x14ac:dyDescent="0.2">
      <c r="C3153" s="209"/>
      <c r="D3153" s="209"/>
      <c r="E3153" s="209"/>
      <c r="J3153" s="124"/>
    </row>
    <row r="3154" spans="3:10" x14ac:dyDescent="0.2">
      <c r="C3154" s="209"/>
      <c r="D3154" s="209"/>
      <c r="E3154" s="209"/>
      <c r="J3154" s="124"/>
    </row>
    <row r="3155" spans="3:10" x14ac:dyDescent="0.2">
      <c r="C3155" s="209"/>
      <c r="D3155" s="209"/>
      <c r="E3155" s="209"/>
      <c r="J3155" s="124"/>
    </row>
    <row r="3156" spans="3:10" x14ac:dyDescent="0.2">
      <c r="C3156" s="209"/>
      <c r="D3156" s="209"/>
      <c r="E3156" s="209"/>
      <c r="J3156" s="124"/>
    </row>
    <row r="3157" spans="3:10" x14ac:dyDescent="0.2">
      <c r="C3157" s="209"/>
      <c r="D3157" s="209"/>
      <c r="E3157" s="209"/>
      <c r="J3157" s="124"/>
    </row>
    <row r="3158" spans="3:10" x14ac:dyDescent="0.2">
      <c r="C3158" s="209"/>
      <c r="D3158" s="209"/>
      <c r="E3158" s="209"/>
      <c r="J3158" s="124"/>
    </row>
    <row r="3159" spans="3:10" x14ac:dyDescent="0.2">
      <c r="C3159" s="209"/>
      <c r="D3159" s="209"/>
      <c r="E3159" s="209"/>
      <c r="J3159" s="124"/>
    </row>
    <row r="3160" spans="3:10" x14ac:dyDescent="0.2">
      <c r="C3160" s="209"/>
      <c r="D3160" s="209"/>
      <c r="E3160" s="209"/>
      <c r="J3160" s="124"/>
    </row>
    <row r="3161" spans="3:10" x14ac:dyDescent="0.2">
      <c r="C3161" s="209"/>
      <c r="D3161" s="209"/>
      <c r="E3161" s="209"/>
      <c r="J3161" s="124"/>
    </row>
    <row r="3162" spans="3:10" x14ac:dyDescent="0.2">
      <c r="C3162" s="209"/>
      <c r="D3162" s="209"/>
      <c r="E3162" s="209"/>
      <c r="J3162" s="124"/>
    </row>
    <row r="3163" spans="3:10" x14ac:dyDescent="0.2">
      <c r="C3163" s="209"/>
      <c r="D3163" s="209"/>
      <c r="E3163" s="209"/>
      <c r="J3163" s="124"/>
    </row>
    <row r="3164" spans="3:10" x14ac:dyDescent="0.2">
      <c r="C3164" s="209"/>
      <c r="D3164" s="209"/>
      <c r="E3164" s="209"/>
      <c r="J3164" s="124"/>
    </row>
    <row r="3165" spans="3:10" x14ac:dyDescent="0.2">
      <c r="C3165" s="209"/>
      <c r="D3165" s="209"/>
      <c r="E3165" s="209"/>
      <c r="J3165" s="124"/>
    </row>
    <row r="3166" spans="3:10" x14ac:dyDescent="0.2">
      <c r="C3166" s="209"/>
      <c r="D3166" s="209"/>
      <c r="E3166" s="209"/>
      <c r="J3166" s="124"/>
    </row>
    <row r="3167" spans="3:10" x14ac:dyDescent="0.2">
      <c r="C3167" s="209"/>
      <c r="D3167" s="209"/>
      <c r="E3167" s="209"/>
      <c r="J3167" s="124"/>
    </row>
    <row r="3168" spans="3:10" x14ac:dyDescent="0.2">
      <c r="C3168" s="209"/>
      <c r="D3168" s="209"/>
      <c r="E3168" s="209"/>
      <c r="J3168" s="124"/>
    </row>
    <row r="3169" spans="3:10" x14ac:dyDescent="0.2">
      <c r="C3169" s="209"/>
      <c r="D3169" s="209"/>
      <c r="E3169" s="209"/>
      <c r="J3169" s="124"/>
    </row>
    <row r="3170" spans="3:10" x14ac:dyDescent="0.2">
      <c r="C3170" s="209"/>
      <c r="D3170" s="209"/>
      <c r="E3170" s="209"/>
      <c r="J3170" s="124"/>
    </row>
    <row r="3171" spans="3:10" x14ac:dyDescent="0.2">
      <c r="C3171" s="209"/>
      <c r="D3171" s="209"/>
      <c r="E3171" s="209"/>
      <c r="J3171" s="124"/>
    </row>
    <row r="3172" spans="3:10" x14ac:dyDescent="0.2">
      <c r="C3172" s="209"/>
      <c r="D3172" s="209"/>
      <c r="E3172" s="209"/>
      <c r="J3172" s="124"/>
    </row>
    <row r="3173" spans="3:10" x14ac:dyDescent="0.2">
      <c r="C3173" s="209"/>
      <c r="D3173" s="209"/>
      <c r="E3173" s="209"/>
      <c r="J3173" s="124"/>
    </row>
    <row r="3174" spans="3:10" x14ac:dyDescent="0.2">
      <c r="C3174" s="209"/>
      <c r="D3174" s="209"/>
      <c r="E3174" s="209"/>
      <c r="J3174" s="124"/>
    </row>
    <row r="3175" spans="3:10" x14ac:dyDescent="0.2">
      <c r="C3175" s="209"/>
      <c r="D3175" s="209"/>
      <c r="E3175" s="209"/>
      <c r="J3175" s="124"/>
    </row>
    <row r="3176" spans="3:10" x14ac:dyDescent="0.2">
      <c r="C3176" s="209"/>
      <c r="D3176" s="209"/>
      <c r="E3176" s="209"/>
      <c r="J3176" s="124"/>
    </row>
    <row r="3177" spans="3:10" x14ac:dyDescent="0.2">
      <c r="C3177" s="209"/>
      <c r="D3177" s="209"/>
      <c r="E3177" s="209"/>
      <c r="J3177" s="124"/>
    </row>
    <row r="3178" spans="3:10" x14ac:dyDescent="0.2">
      <c r="C3178" s="209"/>
      <c r="D3178" s="209"/>
      <c r="E3178" s="209"/>
      <c r="J3178" s="124"/>
    </row>
    <row r="3179" spans="3:10" x14ac:dyDescent="0.2">
      <c r="C3179" s="209"/>
      <c r="D3179" s="209"/>
      <c r="E3179" s="209"/>
      <c r="J3179" s="124"/>
    </row>
    <row r="3180" spans="3:10" x14ac:dyDescent="0.2">
      <c r="C3180" s="209"/>
      <c r="D3180" s="209"/>
      <c r="E3180" s="209"/>
      <c r="J3180" s="124"/>
    </row>
    <row r="3181" spans="3:10" x14ac:dyDescent="0.2">
      <c r="C3181" s="209"/>
      <c r="D3181" s="209"/>
      <c r="E3181" s="209"/>
      <c r="J3181" s="124"/>
    </row>
    <row r="3182" spans="3:10" x14ac:dyDescent="0.2">
      <c r="C3182" s="209"/>
      <c r="D3182" s="209"/>
      <c r="E3182" s="209"/>
      <c r="J3182" s="124"/>
    </row>
    <row r="3183" spans="3:10" x14ac:dyDescent="0.2">
      <c r="C3183" s="209"/>
      <c r="D3183" s="209"/>
      <c r="E3183" s="209"/>
      <c r="J3183" s="124"/>
    </row>
    <row r="3184" spans="3:10" x14ac:dyDescent="0.2">
      <c r="C3184" s="209"/>
      <c r="D3184" s="209"/>
      <c r="E3184" s="209"/>
      <c r="J3184" s="124"/>
    </row>
    <row r="3185" spans="3:10" x14ac:dyDescent="0.2">
      <c r="C3185" s="209"/>
      <c r="D3185" s="209"/>
      <c r="E3185" s="209"/>
      <c r="J3185" s="124"/>
    </row>
    <row r="3186" spans="3:10" x14ac:dyDescent="0.2">
      <c r="C3186" s="209"/>
      <c r="D3186" s="209"/>
      <c r="E3186" s="209"/>
      <c r="J3186" s="124"/>
    </row>
    <row r="3187" spans="3:10" x14ac:dyDescent="0.2">
      <c r="C3187" s="209"/>
      <c r="D3187" s="209"/>
      <c r="E3187" s="209"/>
      <c r="J3187" s="124"/>
    </row>
    <row r="3188" spans="3:10" x14ac:dyDescent="0.2">
      <c r="C3188" s="209"/>
      <c r="D3188" s="209"/>
      <c r="E3188" s="209"/>
      <c r="J3188" s="124"/>
    </row>
    <row r="3189" spans="3:10" x14ac:dyDescent="0.2">
      <c r="C3189" s="209"/>
      <c r="D3189" s="209"/>
      <c r="E3189" s="209"/>
      <c r="J3189" s="124"/>
    </row>
    <row r="3190" spans="3:10" x14ac:dyDescent="0.2">
      <c r="C3190" s="209"/>
      <c r="D3190" s="209"/>
      <c r="E3190" s="209"/>
      <c r="J3190" s="124"/>
    </row>
    <row r="3191" spans="3:10" x14ac:dyDescent="0.2">
      <c r="C3191" s="209"/>
      <c r="D3191" s="209"/>
      <c r="E3191" s="209"/>
      <c r="J3191" s="124"/>
    </row>
    <row r="3192" spans="3:10" x14ac:dyDescent="0.2">
      <c r="C3192" s="209"/>
      <c r="D3192" s="209"/>
      <c r="E3192" s="209"/>
      <c r="J3192" s="124"/>
    </row>
    <row r="3193" spans="3:10" x14ac:dyDescent="0.2">
      <c r="C3193" s="209"/>
      <c r="D3193" s="209"/>
      <c r="E3193" s="209"/>
      <c r="J3193" s="124"/>
    </row>
    <row r="3194" spans="3:10" x14ac:dyDescent="0.2">
      <c r="C3194" s="209"/>
      <c r="D3194" s="209"/>
      <c r="E3194" s="209"/>
      <c r="J3194" s="124"/>
    </row>
    <row r="3195" spans="3:10" x14ac:dyDescent="0.2">
      <c r="C3195" s="209"/>
      <c r="D3195" s="209"/>
      <c r="E3195" s="209"/>
      <c r="J3195" s="124"/>
    </row>
    <row r="3196" spans="3:10" x14ac:dyDescent="0.2">
      <c r="C3196" s="209"/>
      <c r="D3196" s="209"/>
      <c r="E3196" s="209"/>
      <c r="J3196" s="124"/>
    </row>
    <row r="3197" spans="3:10" x14ac:dyDescent="0.2">
      <c r="C3197" s="209"/>
      <c r="D3197" s="209"/>
      <c r="E3197" s="209"/>
      <c r="J3197" s="124"/>
    </row>
    <row r="3198" spans="3:10" x14ac:dyDescent="0.2">
      <c r="C3198" s="209"/>
      <c r="D3198" s="209"/>
      <c r="E3198" s="209"/>
      <c r="J3198" s="124"/>
    </row>
    <row r="3199" spans="3:10" x14ac:dyDescent="0.2">
      <c r="C3199" s="209"/>
      <c r="D3199" s="209"/>
      <c r="E3199" s="209"/>
      <c r="J3199" s="124"/>
    </row>
    <row r="3200" spans="3:10" x14ac:dyDescent="0.2">
      <c r="C3200" s="209"/>
      <c r="D3200" s="209"/>
      <c r="E3200" s="209"/>
      <c r="J3200" s="124"/>
    </row>
    <row r="3201" spans="3:10" x14ac:dyDescent="0.2">
      <c r="C3201" s="209"/>
      <c r="D3201" s="209"/>
      <c r="E3201" s="209"/>
      <c r="J3201" s="124"/>
    </row>
    <row r="3202" spans="3:10" x14ac:dyDescent="0.2">
      <c r="C3202" s="209"/>
      <c r="D3202" s="209"/>
      <c r="E3202" s="209"/>
      <c r="J3202" s="124"/>
    </row>
    <row r="3203" spans="3:10" x14ac:dyDescent="0.2">
      <c r="C3203" s="209"/>
      <c r="D3203" s="209"/>
      <c r="E3203" s="209"/>
      <c r="J3203" s="124"/>
    </row>
    <row r="3204" spans="3:10" x14ac:dyDescent="0.2">
      <c r="C3204" s="209"/>
      <c r="D3204" s="209"/>
      <c r="E3204" s="209"/>
      <c r="J3204" s="124"/>
    </row>
    <row r="3205" spans="3:10" x14ac:dyDescent="0.2">
      <c r="C3205" s="209"/>
      <c r="D3205" s="209"/>
      <c r="E3205" s="209"/>
      <c r="J3205" s="124"/>
    </row>
    <row r="3206" spans="3:10" x14ac:dyDescent="0.2">
      <c r="C3206" s="209"/>
      <c r="D3206" s="209"/>
      <c r="E3206" s="209"/>
      <c r="J3206" s="124"/>
    </row>
    <row r="3207" spans="3:10" x14ac:dyDescent="0.2">
      <c r="C3207" s="209"/>
      <c r="D3207" s="209"/>
      <c r="E3207" s="209"/>
      <c r="J3207" s="124"/>
    </row>
    <row r="3208" spans="3:10" x14ac:dyDescent="0.2">
      <c r="C3208" s="209"/>
      <c r="D3208" s="209"/>
      <c r="E3208" s="209"/>
      <c r="J3208" s="124"/>
    </row>
    <row r="3209" spans="3:10" x14ac:dyDescent="0.2">
      <c r="C3209" s="209"/>
      <c r="D3209" s="209"/>
      <c r="E3209" s="209"/>
      <c r="J3209" s="124"/>
    </row>
    <row r="3210" spans="3:10" x14ac:dyDescent="0.2">
      <c r="C3210" s="209"/>
      <c r="D3210" s="209"/>
      <c r="E3210" s="209"/>
      <c r="J3210" s="124"/>
    </row>
    <row r="3211" spans="3:10" x14ac:dyDescent="0.2">
      <c r="C3211" s="209"/>
      <c r="D3211" s="209"/>
      <c r="E3211" s="209"/>
      <c r="J3211" s="124"/>
    </row>
    <row r="3212" spans="3:10" x14ac:dyDescent="0.2">
      <c r="C3212" s="209"/>
      <c r="D3212" s="209"/>
      <c r="E3212" s="209"/>
      <c r="J3212" s="124"/>
    </row>
    <row r="3213" spans="3:10" x14ac:dyDescent="0.2">
      <c r="C3213" s="209"/>
      <c r="D3213" s="209"/>
      <c r="E3213" s="209"/>
      <c r="J3213" s="124"/>
    </row>
    <row r="3214" spans="3:10" x14ac:dyDescent="0.2">
      <c r="C3214" s="209"/>
      <c r="D3214" s="209"/>
      <c r="E3214" s="209"/>
      <c r="J3214" s="124"/>
    </row>
    <row r="3215" spans="3:10" x14ac:dyDescent="0.2">
      <c r="C3215" s="209"/>
      <c r="D3215" s="209"/>
      <c r="E3215" s="209"/>
      <c r="J3215" s="124"/>
    </row>
    <row r="3216" spans="3:10" x14ac:dyDescent="0.2">
      <c r="C3216" s="209"/>
      <c r="D3216" s="209"/>
      <c r="E3216" s="209"/>
      <c r="J3216" s="124"/>
    </row>
    <row r="3217" spans="3:10" x14ac:dyDescent="0.2">
      <c r="C3217" s="209"/>
      <c r="D3217" s="209"/>
      <c r="E3217" s="209"/>
      <c r="J3217" s="124"/>
    </row>
    <row r="3218" spans="3:10" x14ac:dyDescent="0.2">
      <c r="C3218" s="209"/>
      <c r="D3218" s="209"/>
      <c r="E3218" s="209"/>
      <c r="J3218" s="124"/>
    </row>
    <row r="3219" spans="3:10" x14ac:dyDescent="0.2">
      <c r="C3219" s="209"/>
      <c r="D3219" s="209"/>
      <c r="E3219" s="209"/>
      <c r="J3219" s="124"/>
    </row>
    <row r="3220" spans="3:10" x14ac:dyDescent="0.2">
      <c r="C3220" s="209"/>
      <c r="D3220" s="209"/>
      <c r="E3220" s="209"/>
      <c r="J3220" s="124"/>
    </row>
    <row r="3221" spans="3:10" x14ac:dyDescent="0.2">
      <c r="C3221" s="209"/>
      <c r="D3221" s="209"/>
      <c r="E3221" s="209"/>
      <c r="J3221" s="124"/>
    </row>
    <row r="3222" spans="3:10" x14ac:dyDescent="0.2">
      <c r="C3222" s="209"/>
      <c r="D3222" s="209"/>
      <c r="E3222" s="209"/>
      <c r="J3222" s="124"/>
    </row>
    <row r="3223" spans="3:10" x14ac:dyDescent="0.2">
      <c r="C3223" s="209"/>
      <c r="D3223" s="209"/>
      <c r="E3223" s="209"/>
      <c r="J3223" s="124"/>
    </row>
    <row r="3224" spans="3:10" x14ac:dyDescent="0.2">
      <c r="C3224" s="209"/>
      <c r="D3224" s="209"/>
      <c r="E3224" s="209"/>
      <c r="J3224" s="124"/>
    </row>
    <row r="3225" spans="3:10" x14ac:dyDescent="0.2">
      <c r="C3225" s="209"/>
      <c r="D3225" s="209"/>
      <c r="E3225" s="209"/>
      <c r="J3225" s="124"/>
    </row>
    <row r="3226" spans="3:10" x14ac:dyDescent="0.2">
      <c r="C3226" s="209"/>
      <c r="D3226" s="209"/>
      <c r="E3226" s="209"/>
      <c r="J3226" s="124"/>
    </row>
    <row r="3227" spans="3:10" x14ac:dyDescent="0.2">
      <c r="C3227" s="209"/>
      <c r="D3227" s="209"/>
      <c r="E3227" s="209"/>
      <c r="J3227" s="124"/>
    </row>
    <row r="3228" spans="3:10" x14ac:dyDescent="0.2">
      <c r="C3228" s="209"/>
      <c r="D3228" s="209"/>
      <c r="E3228" s="209"/>
      <c r="J3228" s="124"/>
    </row>
    <row r="3229" spans="3:10" x14ac:dyDescent="0.2">
      <c r="C3229" s="209"/>
      <c r="D3229" s="209"/>
      <c r="E3229" s="209"/>
      <c r="J3229" s="124"/>
    </row>
    <row r="3230" spans="3:10" x14ac:dyDescent="0.2">
      <c r="C3230" s="209"/>
      <c r="D3230" s="209"/>
      <c r="E3230" s="209"/>
      <c r="J3230" s="124"/>
    </row>
    <row r="3231" spans="3:10" x14ac:dyDescent="0.2">
      <c r="C3231" s="209"/>
      <c r="D3231" s="209"/>
      <c r="E3231" s="209"/>
      <c r="J3231" s="124"/>
    </row>
    <row r="3232" spans="3:10" x14ac:dyDescent="0.2">
      <c r="C3232" s="209"/>
      <c r="D3232" s="209"/>
      <c r="E3232" s="209"/>
      <c r="J3232" s="124"/>
    </row>
    <row r="3233" spans="3:10" x14ac:dyDescent="0.2">
      <c r="C3233" s="209"/>
      <c r="D3233" s="209"/>
      <c r="E3233" s="209"/>
      <c r="J3233" s="124"/>
    </row>
    <row r="3234" spans="3:10" x14ac:dyDescent="0.2">
      <c r="C3234" s="209"/>
      <c r="D3234" s="209"/>
      <c r="E3234" s="209"/>
      <c r="J3234" s="124"/>
    </row>
    <row r="3235" spans="3:10" x14ac:dyDescent="0.2">
      <c r="C3235" s="209"/>
      <c r="D3235" s="209"/>
      <c r="E3235" s="209"/>
      <c r="J3235" s="124"/>
    </row>
    <row r="3236" spans="3:10" x14ac:dyDescent="0.2">
      <c r="C3236" s="209"/>
      <c r="D3236" s="209"/>
      <c r="E3236" s="209"/>
      <c r="J3236" s="124"/>
    </row>
    <row r="3237" spans="3:10" x14ac:dyDescent="0.2">
      <c r="C3237" s="209"/>
      <c r="D3237" s="209"/>
      <c r="E3237" s="209"/>
      <c r="J3237" s="124"/>
    </row>
    <row r="3238" spans="3:10" x14ac:dyDescent="0.2">
      <c r="C3238" s="209"/>
      <c r="D3238" s="209"/>
      <c r="E3238" s="209"/>
      <c r="J3238" s="124"/>
    </row>
    <row r="3239" spans="3:10" x14ac:dyDescent="0.2">
      <c r="C3239" s="209"/>
      <c r="D3239" s="209"/>
      <c r="E3239" s="209"/>
      <c r="J3239" s="124"/>
    </row>
    <row r="3240" spans="3:10" x14ac:dyDescent="0.2">
      <c r="C3240" s="209"/>
      <c r="D3240" s="209"/>
      <c r="E3240" s="209"/>
      <c r="J3240" s="124"/>
    </row>
    <row r="3241" spans="3:10" x14ac:dyDescent="0.2">
      <c r="C3241" s="209"/>
      <c r="D3241" s="209"/>
      <c r="E3241" s="209"/>
      <c r="J3241" s="124"/>
    </row>
    <row r="3242" spans="3:10" x14ac:dyDescent="0.2">
      <c r="C3242" s="209"/>
      <c r="D3242" s="209"/>
      <c r="E3242" s="209"/>
      <c r="J3242" s="124"/>
    </row>
    <row r="3243" spans="3:10" x14ac:dyDescent="0.2">
      <c r="C3243" s="209"/>
      <c r="D3243" s="209"/>
      <c r="E3243" s="209"/>
      <c r="J3243" s="124"/>
    </row>
    <row r="3244" spans="3:10" x14ac:dyDescent="0.2">
      <c r="C3244" s="209"/>
      <c r="D3244" s="209"/>
      <c r="E3244" s="209"/>
      <c r="J3244" s="124"/>
    </row>
    <row r="3245" spans="3:10" x14ac:dyDescent="0.2">
      <c r="C3245" s="209"/>
      <c r="D3245" s="209"/>
      <c r="E3245" s="209"/>
      <c r="J3245" s="124"/>
    </row>
    <row r="3246" spans="3:10" x14ac:dyDescent="0.2">
      <c r="C3246" s="209"/>
      <c r="D3246" s="209"/>
      <c r="E3246" s="209"/>
      <c r="J3246" s="124"/>
    </row>
    <row r="3247" spans="3:10" x14ac:dyDescent="0.2">
      <c r="C3247" s="209"/>
      <c r="D3247" s="209"/>
      <c r="E3247" s="209"/>
      <c r="J3247" s="124"/>
    </row>
    <row r="3248" spans="3:10" x14ac:dyDescent="0.2">
      <c r="C3248" s="209"/>
      <c r="D3248" s="209"/>
      <c r="E3248" s="209"/>
      <c r="J3248" s="124"/>
    </row>
    <row r="3249" spans="3:10" x14ac:dyDescent="0.2">
      <c r="C3249" s="209"/>
      <c r="D3249" s="209"/>
      <c r="E3249" s="209"/>
      <c r="J3249" s="124"/>
    </row>
    <row r="3250" spans="3:10" x14ac:dyDescent="0.2">
      <c r="C3250" s="209"/>
      <c r="D3250" s="209"/>
      <c r="E3250" s="209"/>
      <c r="J3250" s="124"/>
    </row>
    <row r="3251" spans="3:10" x14ac:dyDescent="0.2">
      <c r="C3251" s="209"/>
      <c r="D3251" s="209"/>
      <c r="E3251" s="209"/>
      <c r="J3251" s="124"/>
    </row>
    <row r="3252" spans="3:10" x14ac:dyDescent="0.2">
      <c r="C3252" s="209"/>
      <c r="D3252" s="209"/>
      <c r="E3252" s="209"/>
      <c r="J3252" s="124"/>
    </row>
    <row r="3253" spans="3:10" x14ac:dyDescent="0.2">
      <c r="C3253" s="209"/>
      <c r="D3253" s="209"/>
      <c r="E3253" s="209"/>
      <c r="J3253" s="124"/>
    </row>
    <row r="3254" spans="3:10" x14ac:dyDescent="0.2">
      <c r="C3254" s="209"/>
      <c r="D3254" s="209"/>
      <c r="E3254" s="209"/>
      <c r="J3254" s="124"/>
    </row>
    <row r="3255" spans="3:10" x14ac:dyDescent="0.2">
      <c r="C3255" s="209"/>
      <c r="D3255" s="209"/>
      <c r="E3255" s="209"/>
      <c r="J3255" s="124"/>
    </row>
    <row r="3256" spans="3:10" x14ac:dyDescent="0.2">
      <c r="C3256" s="209"/>
      <c r="D3256" s="209"/>
      <c r="E3256" s="209"/>
      <c r="J3256" s="124"/>
    </row>
    <row r="3257" spans="3:10" x14ac:dyDescent="0.2">
      <c r="C3257" s="209"/>
      <c r="D3257" s="209"/>
      <c r="E3257" s="209"/>
      <c r="J3257" s="124"/>
    </row>
    <row r="3258" spans="3:10" x14ac:dyDescent="0.2">
      <c r="C3258" s="209"/>
      <c r="D3258" s="209"/>
      <c r="E3258" s="209"/>
      <c r="J3258" s="124"/>
    </row>
    <row r="3259" spans="3:10" x14ac:dyDescent="0.2">
      <c r="C3259" s="209"/>
      <c r="D3259" s="209"/>
      <c r="E3259" s="209"/>
      <c r="J3259" s="124"/>
    </row>
    <row r="3260" spans="3:10" x14ac:dyDescent="0.2">
      <c r="C3260" s="209"/>
      <c r="D3260" s="209"/>
      <c r="E3260" s="209"/>
      <c r="J3260" s="124"/>
    </row>
    <row r="3261" spans="3:10" x14ac:dyDescent="0.2">
      <c r="C3261" s="209"/>
      <c r="D3261" s="209"/>
      <c r="E3261" s="209"/>
      <c r="J3261" s="124"/>
    </row>
    <row r="3262" spans="3:10" x14ac:dyDescent="0.2">
      <c r="C3262" s="209"/>
      <c r="D3262" s="209"/>
      <c r="E3262" s="209"/>
      <c r="J3262" s="124"/>
    </row>
    <row r="3263" spans="3:10" x14ac:dyDescent="0.2">
      <c r="C3263" s="209"/>
      <c r="D3263" s="209"/>
      <c r="E3263" s="209"/>
      <c r="J3263" s="124"/>
    </row>
    <row r="3264" spans="3:10" x14ac:dyDescent="0.2">
      <c r="C3264" s="209"/>
      <c r="D3264" s="209"/>
      <c r="E3264" s="209"/>
      <c r="J3264" s="124"/>
    </row>
    <row r="3265" spans="3:10" x14ac:dyDescent="0.2">
      <c r="C3265" s="209"/>
      <c r="D3265" s="209"/>
      <c r="E3265" s="209"/>
      <c r="J3265" s="124"/>
    </row>
    <row r="3266" spans="3:10" x14ac:dyDescent="0.2">
      <c r="C3266" s="209"/>
      <c r="D3266" s="209"/>
      <c r="E3266" s="209"/>
      <c r="J3266" s="124"/>
    </row>
    <row r="3267" spans="3:10" x14ac:dyDescent="0.2">
      <c r="C3267" s="209"/>
      <c r="D3267" s="209"/>
      <c r="E3267" s="209"/>
      <c r="J3267" s="124"/>
    </row>
    <row r="3268" spans="3:10" x14ac:dyDescent="0.2">
      <c r="C3268" s="209"/>
      <c r="D3268" s="209"/>
      <c r="E3268" s="209"/>
      <c r="J3268" s="124"/>
    </row>
    <row r="3269" spans="3:10" x14ac:dyDescent="0.2">
      <c r="C3269" s="209"/>
      <c r="D3269" s="209"/>
      <c r="E3269" s="209"/>
      <c r="J3269" s="124"/>
    </row>
    <row r="3270" spans="3:10" x14ac:dyDescent="0.2">
      <c r="C3270" s="209"/>
      <c r="D3270" s="209"/>
      <c r="E3270" s="209"/>
      <c r="J3270" s="124"/>
    </row>
    <row r="3271" spans="3:10" x14ac:dyDescent="0.2">
      <c r="C3271" s="209"/>
      <c r="D3271" s="209"/>
      <c r="E3271" s="209"/>
      <c r="J3271" s="124"/>
    </row>
    <row r="3272" spans="3:10" x14ac:dyDescent="0.2">
      <c r="C3272" s="209"/>
      <c r="D3272" s="209"/>
      <c r="E3272" s="209"/>
      <c r="J3272" s="124"/>
    </row>
    <row r="3273" spans="3:10" x14ac:dyDescent="0.2">
      <c r="C3273" s="209"/>
      <c r="D3273" s="209"/>
      <c r="E3273" s="209"/>
      <c r="J3273" s="124"/>
    </row>
    <row r="3274" spans="3:10" x14ac:dyDescent="0.2">
      <c r="C3274" s="209"/>
      <c r="D3274" s="209"/>
      <c r="E3274" s="209"/>
      <c r="J3274" s="124"/>
    </row>
    <row r="3275" spans="3:10" x14ac:dyDescent="0.2">
      <c r="C3275" s="209"/>
      <c r="D3275" s="209"/>
      <c r="E3275" s="209"/>
      <c r="J3275" s="124"/>
    </row>
    <row r="3276" spans="3:10" x14ac:dyDescent="0.2">
      <c r="C3276" s="209"/>
      <c r="D3276" s="209"/>
      <c r="E3276" s="209"/>
      <c r="J3276" s="124"/>
    </row>
    <row r="3277" spans="3:10" x14ac:dyDescent="0.2">
      <c r="C3277" s="209"/>
      <c r="D3277" s="209"/>
      <c r="E3277" s="209"/>
      <c r="J3277" s="124"/>
    </row>
    <row r="3278" spans="3:10" x14ac:dyDescent="0.2">
      <c r="C3278" s="209"/>
      <c r="D3278" s="209"/>
      <c r="E3278" s="209"/>
      <c r="J3278" s="124"/>
    </row>
    <row r="3279" spans="3:10" x14ac:dyDescent="0.2">
      <c r="C3279" s="209"/>
      <c r="D3279" s="209"/>
      <c r="E3279" s="209"/>
      <c r="J3279" s="124"/>
    </row>
    <row r="3280" spans="3:10" x14ac:dyDescent="0.2">
      <c r="C3280" s="209"/>
      <c r="D3280" s="209"/>
      <c r="E3280" s="209"/>
      <c r="J3280" s="124"/>
    </row>
    <row r="3281" spans="3:10" x14ac:dyDescent="0.2">
      <c r="C3281" s="209"/>
      <c r="D3281" s="209"/>
      <c r="E3281" s="209"/>
      <c r="J3281" s="124"/>
    </row>
    <row r="3282" spans="3:10" x14ac:dyDescent="0.2">
      <c r="C3282" s="209"/>
      <c r="D3282" s="209"/>
      <c r="E3282" s="209"/>
      <c r="J3282" s="124"/>
    </row>
    <row r="3283" spans="3:10" x14ac:dyDescent="0.2">
      <c r="C3283" s="209"/>
      <c r="D3283" s="209"/>
      <c r="E3283" s="209"/>
      <c r="J3283" s="124"/>
    </row>
    <row r="3284" spans="3:10" x14ac:dyDescent="0.2">
      <c r="C3284" s="209"/>
      <c r="D3284" s="209"/>
      <c r="E3284" s="209"/>
      <c r="J3284" s="124"/>
    </row>
    <row r="3285" spans="3:10" x14ac:dyDescent="0.2">
      <c r="C3285" s="209"/>
      <c r="D3285" s="209"/>
      <c r="E3285" s="209"/>
      <c r="J3285" s="124"/>
    </row>
    <row r="3286" spans="3:10" x14ac:dyDescent="0.2">
      <c r="C3286" s="209"/>
      <c r="D3286" s="209"/>
      <c r="E3286" s="209"/>
      <c r="J3286" s="124"/>
    </row>
    <row r="3287" spans="3:10" x14ac:dyDescent="0.2">
      <c r="C3287" s="209"/>
      <c r="D3287" s="209"/>
      <c r="E3287" s="209"/>
      <c r="J3287" s="124"/>
    </row>
    <row r="3288" spans="3:10" x14ac:dyDescent="0.2">
      <c r="C3288" s="209"/>
      <c r="D3288" s="209"/>
      <c r="E3288" s="209"/>
      <c r="J3288" s="124"/>
    </row>
    <row r="3289" spans="3:10" x14ac:dyDescent="0.2">
      <c r="C3289" s="209"/>
      <c r="D3289" s="209"/>
      <c r="E3289" s="209"/>
      <c r="J3289" s="124"/>
    </row>
    <row r="3290" spans="3:10" x14ac:dyDescent="0.2">
      <c r="C3290" s="209"/>
      <c r="D3290" s="209"/>
      <c r="E3290" s="209"/>
      <c r="J3290" s="124"/>
    </row>
    <row r="3291" spans="3:10" x14ac:dyDescent="0.2">
      <c r="C3291" s="209"/>
      <c r="D3291" s="209"/>
      <c r="E3291" s="209"/>
      <c r="J3291" s="124"/>
    </row>
    <row r="3292" spans="3:10" x14ac:dyDescent="0.2">
      <c r="C3292" s="209"/>
      <c r="D3292" s="209"/>
      <c r="E3292" s="209"/>
      <c r="J3292" s="124"/>
    </row>
    <row r="3293" spans="3:10" x14ac:dyDescent="0.2">
      <c r="C3293" s="209"/>
      <c r="D3293" s="209"/>
      <c r="E3293" s="209"/>
      <c r="J3293" s="124"/>
    </row>
    <row r="3294" spans="3:10" x14ac:dyDescent="0.2">
      <c r="C3294" s="209"/>
      <c r="D3294" s="209"/>
      <c r="E3294" s="209"/>
      <c r="J3294" s="124"/>
    </row>
    <row r="3295" spans="3:10" x14ac:dyDescent="0.2">
      <c r="C3295" s="209"/>
      <c r="D3295" s="209"/>
      <c r="E3295" s="209"/>
      <c r="J3295" s="124"/>
    </row>
    <row r="3296" spans="3:10" x14ac:dyDescent="0.2">
      <c r="C3296" s="209"/>
      <c r="D3296" s="209"/>
      <c r="E3296" s="209"/>
      <c r="J3296" s="124"/>
    </row>
    <row r="3297" spans="3:10" x14ac:dyDescent="0.2">
      <c r="C3297" s="209"/>
      <c r="D3297" s="209"/>
      <c r="E3297" s="209"/>
      <c r="J3297" s="124"/>
    </row>
    <row r="3298" spans="3:10" x14ac:dyDescent="0.2">
      <c r="C3298" s="209"/>
      <c r="D3298" s="209"/>
      <c r="E3298" s="209"/>
      <c r="J3298" s="124"/>
    </row>
    <row r="3299" spans="3:10" x14ac:dyDescent="0.2">
      <c r="C3299" s="209"/>
      <c r="D3299" s="209"/>
      <c r="E3299" s="209"/>
      <c r="J3299" s="124"/>
    </row>
    <row r="3300" spans="3:10" x14ac:dyDescent="0.2">
      <c r="C3300" s="209"/>
      <c r="D3300" s="209"/>
      <c r="E3300" s="209"/>
      <c r="J3300" s="124"/>
    </row>
    <row r="3301" spans="3:10" x14ac:dyDescent="0.2">
      <c r="C3301" s="209"/>
      <c r="D3301" s="209"/>
      <c r="E3301" s="209"/>
      <c r="J3301" s="124"/>
    </row>
    <row r="3302" spans="3:10" x14ac:dyDescent="0.2">
      <c r="C3302" s="209"/>
      <c r="D3302" s="209"/>
      <c r="E3302" s="209"/>
      <c r="J3302" s="124"/>
    </row>
    <row r="3303" spans="3:10" x14ac:dyDescent="0.2">
      <c r="C3303" s="209"/>
      <c r="D3303" s="209"/>
      <c r="E3303" s="209"/>
      <c r="J3303" s="124"/>
    </row>
    <row r="3304" spans="3:10" x14ac:dyDescent="0.2">
      <c r="C3304" s="209"/>
      <c r="D3304" s="209"/>
      <c r="E3304" s="209"/>
      <c r="J3304" s="124"/>
    </row>
    <row r="3305" spans="3:10" x14ac:dyDescent="0.2">
      <c r="C3305" s="209"/>
      <c r="D3305" s="209"/>
      <c r="E3305" s="209"/>
      <c r="J3305" s="124"/>
    </row>
    <row r="3306" spans="3:10" x14ac:dyDescent="0.2">
      <c r="C3306" s="209"/>
      <c r="D3306" s="209"/>
      <c r="E3306" s="209"/>
      <c r="J3306" s="124"/>
    </row>
    <row r="3307" spans="3:10" x14ac:dyDescent="0.2">
      <c r="C3307" s="209"/>
      <c r="D3307" s="209"/>
      <c r="E3307" s="209"/>
      <c r="J3307" s="124"/>
    </row>
    <row r="3308" spans="3:10" x14ac:dyDescent="0.2">
      <c r="C3308" s="209"/>
      <c r="D3308" s="209"/>
      <c r="E3308" s="209"/>
      <c r="J3308" s="124"/>
    </row>
    <row r="3309" spans="3:10" x14ac:dyDescent="0.2">
      <c r="C3309" s="209"/>
      <c r="D3309" s="209"/>
      <c r="E3309" s="209"/>
      <c r="J3309" s="124"/>
    </row>
    <row r="3310" spans="3:10" x14ac:dyDescent="0.2">
      <c r="C3310" s="209"/>
      <c r="D3310" s="209"/>
      <c r="E3310" s="209"/>
      <c r="J3310" s="124"/>
    </row>
    <row r="3311" spans="3:10" x14ac:dyDescent="0.2">
      <c r="C3311" s="209"/>
      <c r="D3311" s="209"/>
      <c r="E3311" s="209"/>
      <c r="J3311" s="124"/>
    </row>
    <row r="3312" spans="3:10" x14ac:dyDescent="0.2">
      <c r="C3312" s="209"/>
      <c r="D3312" s="209"/>
      <c r="E3312" s="209"/>
      <c r="J3312" s="124"/>
    </row>
    <row r="3313" spans="3:10" x14ac:dyDescent="0.2">
      <c r="C3313" s="209"/>
      <c r="D3313" s="209"/>
      <c r="E3313" s="209"/>
      <c r="J3313" s="124"/>
    </row>
    <row r="3314" spans="3:10" x14ac:dyDescent="0.2">
      <c r="C3314" s="209"/>
      <c r="D3314" s="209"/>
      <c r="E3314" s="209"/>
      <c r="J3314" s="124"/>
    </row>
    <row r="3315" spans="3:10" x14ac:dyDescent="0.2">
      <c r="C3315" s="209"/>
      <c r="D3315" s="209"/>
      <c r="E3315" s="209"/>
      <c r="J3315" s="124"/>
    </row>
    <row r="3316" spans="3:10" x14ac:dyDescent="0.2">
      <c r="C3316" s="209"/>
      <c r="D3316" s="209"/>
      <c r="E3316" s="209"/>
      <c r="J3316" s="124"/>
    </row>
    <row r="3317" spans="3:10" x14ac:dyDescent="0.2">
      <c r="C3317" s="209"/>
      <c r="D3317" s="209"/>
      <c r="E3317" s="209"/>
      <c r="J3317" s="124"/>
    </row>
    <row r="3318" spans="3:10" x14ac:dyDescent="0.2">
      <c r="C3318" s="209"/>
      <c r="D3318" s="209"/>
      <c r="E3318" s="209"/>
      <c r="J3318" s="124"/>
    </row>
    <row r="3319" spans="3:10" x14ac:dyDescent="0.2">
      <c r="C3319" s="209"/>
      <c r="D3319" s="209"/>
      <c r="E3319" s="209"/>
      <c r="J3319" s="124"/>
    </row>
    <row r="3320" spans="3:10" x14ac:dyDescent="0.2">
      <c r="C3320" s="209"/>
      <c r="D3320" s="209"/>
      <c r="E3320" s="209"/>
      <c r="J3320" s="124"/>
    </row>
    <row r="3321" spans="3:10" x14ac:dyDescent="0.2">
      <c r="C3321" s="209"/>
      <c r="D3321" s="209"/>
      <c r="E3321" s="209"/>
      <c r="J3321" s="124"/>
    </row>
    <row r="3322" spans="3:10" x14ac:dyDescent="0.2">
      <c r="C3322" s="209"/>
      <c r="D3322" s="209"/>
      <c r="E3322" s="209"/>
      <c r="J3322" s="124"/>
    </row>
    <row r="3323" spans="3:10" x14ac:dyDescent="0.2">
      <c r="C3323" s="209"/>
      <c r="D3323" s="209"/>
      <c r="E3323" s="209"/>
      <c r="J3323" s="124"/>
    </row>
    <row r="3324" spans="3:10" x14ac:dyDescent="0.2">
      <c r="C3324" s="209"/>
      <c r="D3324" s="209"/>
      <c r="E3324" s="209"/>
      <c r="J3324" s="124"/>
    </row>
    <row r="3325" spans="3:10" x14ac:dyDescent="0.2">
      <c r="C3325" s="209"/>
      <c r="D3325" s="209"/>
      <c r="E3325" s="209"/>
      <c r="J3325" s="124"/>
    </row>
    <row r="3326" spans="3:10" x14ac:dyDescent="0.2">
      <c r="C3326" s="209"/>
      <c r="D3326" s="209"/>
      <c r="E3326" s="209"/>
      <c r="J3326" s="124"/>
    </row>
    <row r="3327" spans="3:10" x14ac:dyDescent="0.2">
      <c r="C3327" s="209"/>
      <c r="D3327" s="209"/>
      <c r="E3327" s="209"/>
      <c r="J3327" s="124"/>
    </row>
    <row r="3328" spans="3:10" x14ac:dyDescent="0.2">
      <c r="C3328" s="209"/>
      <c r="D3328" s="209"/>
      <c r="E3328" s="209"/>
      <c r="J3328" s="124"/>
    </row>
    <row r="3329" spans="3:10" x14ac:dyDescent="0.2">
      <c r="C3329" s="209"/>
      <c r="D3329" s="209"/>
      <c r="E3329" s="209"/>
      <c r="J3329" s="124"/>
    </row>
    <row r="3330" spans="3:10" x14ac:dyDescent="0.2">
      <c r="C3330" s="209"/>
      <c r="D3330" s="209"/>
      <c r="E3330" s="209"/>
      <c r="J3330" s="124"/>
    </row>
    <row r="3331" spans="3:10" x14ac:dyDescent="0.2">
      <c r="C3331" s="209"/>
      <c r="D3331" s="209"/>
      <c r="E3331" s="209"/>
      <c r="J3331" s="124"/>
    </row>
    <row r="3332" spans="3:10" x14ac:dyDescent="0.2">
      <c r="C3332" s="209"/>
      <c r="D3332" s="209"/>
      <c r="E3332" s="209"/>
      <c r="J3332" s="124"/>
    </row>
    <row r="3333" spans="3:10" x14ac:dyDescent="0.2">
      <c r="C3333" s="209"/>
      <c r="D3333" s="209"/>
      <c r="E3333" s="209"/>
      <c r="J3333" s="124"/>
    </row>
    <row r="3334" spans="3:10" x14ac:dyDescent="0.2">
      <c r="C3334" s="209"/>
      <c r="D3334" s="209"/>
      <c r="E3334" s="209"/>
      <c r="J3334" s="124"/>
    </row>
    <row r="3335" spans="3:10" x14ac:dyDescent="0.2">
      <c r="C3335" s="209"/>
      <c r="D3335" s="209"/>
      <c r="E3335" s="209"/>
      <c r="J3335" s="124"/>
    </row>
    <row r="3336" spans="3:10" x14ac:dyDescent="0.2">
      <c r="C3336" s="209"/>
      <c r="D3336" s="209"/>
      <c r="E3336" s="209"/>
      <c r="J3336" s="124"/>
    </row>
    <row r="3337" spans="3:10" x14ac:dyDescent="0.2">
      <c r="C3337" s="209"/>
      <c r="D3337" s="209"/>
      <c r="E3337" s="209"/>
      <c r="J3337" s="124"/>
    </row>
    <row r="3338" spans="3:10" x14ac:dyDescent="0.2">
      <c r="C3338" s="209"/>
      <c r="D3338" s="209"/>
      <c r="E3338" s="209"/>
      <c r="J3338" s="124"/>
    </row>
    <row r="3339" spans="3:10" x14ac:dyDescent="0.2">
      <c r="C3339" s="209"/>
      <c r="D3339" s="209"/>
      <c r="E3339" s="209"/>
      <c r="J3339" s="124"/>
    </row>
    <row r="3340" spans="3:10" x14ac:dyDescent="0.2">
      <c r="C3340" s="209"/>
      <c r="D3340" s="209"/>
      <c r="E3340" s="209"/>
      <c r="J3340" s="124"/>
    </row>
    <row r="3341" spans="3:10" x14ac:dyDescent="0.2">
      <c r="C3341" s="209"/>
      <c r="D3341" s="209"/>
      <c r="E3341" s="209"/>
      <c r="J3341" s="124"/>
    </row>
    <row r="3342" spans="3:10" x14ac:dyDescent="0.2">
      <c r="C3342" s="209"/>
      <c r="D3342" s="209"/>
      <c r="E3342" s="209"/>
      <c r="J3342" s="124"/>
    </row>
    <row r="3343" spans="3:10" x14ac:dyDescent="0.2">
      <c r="C3343" s="209"/>
      <c r="D3343" s="209"/>
      <c r="E3343" s="209"/>
      <c r="J3343" s="124"/>
    </row>
    <row r="3344" spans="3:10" x14ac:dyDescent="0.2">
      <c r="C3344" s="209"/>
      <c r="D3344" s="209"/>
      <c r="E3344" s="209"/>
      <c r="J3344" s="124"/>
    </row>
    <row r="3345" spans="3:10" x14ac:dyDescent="0.2">
      <c r="C3345" s="209"/>
      <c r="D3345" s="209"/>
      <c r="E3345" s="209"/>
      <c r="J3345" s="124"/>
    </row>
    <row r="3346" spans="3:10" x14ac:dyDescent="0.2">
      <c r="C3346" s="209"/>
      <c r="D3346" s="209"/>
      <c r="E3346" s="209"/>
      <c r="J3346" s="124"/>
    </row>
    <row r="3347" spans="3:10" x14ac:dyDescent="0.2">
      <c r="C3347" s="209"/>
      <c r="D3347" s="209"/>
      <c r="E3347" s="209"/>
      <c r="J3347" s="124"/>
    </row>
    <row r="3348" spans="3:10" x14ac:dyDescent="0.2">
      <c r="C3348" s="209"/>
      <c r="D3348" s="209"/>
      <c r="E3348" s="209"/>
      <c r="J3348" s="124"/>
    </row>
    <row r="3349" spans="3:10" x14ac:dyDescent="0.2">
      <c r="C3349" s="209"/>
      <c r="D3349" s="209"/>
      <c r="E3349" s="209"/>
      <c r="J3349" s="124"/>
    </row>
    <row r="3350" spans="3:10" x14ac:dyDescent="0.2">
      <c r="C3350" s="209"/>
      <c r="D3350" s="209"/>
      <c r="E3350" s="209"/>
      <c r="J3350" s="124"/>
    </row>
    <row r="3351" spans="3:10" x14ac:dyDescent="0.2">
      <c r="C3351" s="209"/>
      <c r="D3351" s="209"/>
      <c r="E3351" s="209"/>
      <c r="J3351" s="124"/>
    </row>
    <row r="3352" spans="3:10" x14ac:dyDescent="0.2">
      <c r="C3352" s="209"/>
      <c r="D3352" s="209"/>
      <c r="E3352" s="209"/>
      <c r="J3352" s="124"/>
    </row>
    <row r="3353" spans="3:10" x14ac:dyDescent="0.2">
      <c r="C3353" s="209"/>
      <c r="D3353" s="209"/>
      <c r="E3353" s="209"/>
      <c r="J3353" s="124"/>
    </row>
    <row r="3354" spans="3:10" x14ac:dyDescent="0.2">
      <c r="C3354" s="209"/>
      <c r="D3354" s="209"/>
      <c r="E3354" s="209"/>
      <c r="J3354" s="124"/>
    </row>
    <row r="3355" spans="3:10" x14ac:dyDescent="0.2">
      <c r="C3355" s="209"/>
      <c r="D3355" s="209"/>
      <c r="E3355" s="209"/>
      <c r="J3355" s="124"/>
    </row>
    <row r="3356" spans="3:10" x14ac:dyDescent="0.2">
      <c r="C3356" s="209"/>
      <c r="D3356" s="209"/>
      <c r="E3356" s="209"/>
      <c r="J3356" s="124"/>
    </row>
    <row r="3357" spans="3:10" x14ac:dyDescent="0.2">
      <c r="C3357" s="209"/>
      <c r="D3357" s="209"/>
      <c r="E3357" s="209"/>
      <c r="J3357" s="124"/>
    </row>
    <row r="3358" spans="3:10" x14ac:dyDescent="0.2">
      <c r="C3358" s="209"/>
      <c r="D3358" s="209"/>
      <c r="E3358" s="209"/>
      <c r="J3358" s="124"/>
    </row>
    <row r="3359" spans="3:10" x14ac:dyDescent="0.2">
      <c r="C3359" s="209"/>
      <c r="D3359" s="209"/>
      <c r="E3359" s="209"/>
      <c r="J3359" s="124"/>
    </row>
    <row r="3360" spans="3:10" x14ac:dyDescent="0.2">
      <c r="C3360" s="209"/>
      <c r="D3360" s="209"/>
      <c r="E3360" s="209"/>
      <c r="J3360" s="124"/>
    </row>
    <row r="3361" spans="3:10" x14ac:dyDescent="0.2">
      <c r="C3361" s="209"/>
      <c r="D3361" s="209"/>
      <c r="E3361" s="209"/>
      <c r="J3361" s="124"/>
    </row>
    <row r="3362" spans="3:10" x14ac:dyDescent="0.2">
      <c r="C3362" s="209"/>
      <c r="D3362" s="209"/>
      <c r="E3362" s="209"/>
      <c r="J3362" s="124"/>
    </row>
    <row r="3363" spans="3:10" x14ac:dyDescent="0.2">
      <c r="C3363" s="209"/>
      <c r="D3363" s="209"/>
      <c r="E3363" s="209"/>
      <c r="J3363" s="124"/>
    </row>
    <row r="3364" spans="3:10" x14ac:dyDescent="0.2">
      <c r="C3364" s="209"/>
      <c r="D3364" s="209"/>
      <c r="E3364" s="209"/>
      <c r="J3364" s="124"/>
    </row>
    <row r="3365" spans="3:10" x14ac:dyDescent="0.2">
      <c r="C3365" s="209"/>
      <c r="D3365" s="209"/>
      <c r="E3365" s="209"/>
      <c r="J3365" s="124"/>
    </row>
    <row r="3366" spans="3:10" x14ac:dyDescent="0.2">
      <c r="C3366" s="209"/>
      <c r="D3366" s="209"/>
      <c r="E3366" s="209"/>
      <c r="J3366" s="124"/>
    </row>
    <row r="3367" spans="3:10" x14ac:dyDescent="0.2">
      <c r="C3367" s="209"/>
      <c r="D3367" s="209"/>
      <c r="E3367" s="209"/>
      <c r="J3367" s="124"/>
    </row>
    <row r="3368" spans="3:10" x14ac:dyDescent="0.2">
      <c r="C3368" s="209"/>
      <c r="D3368" s="209"/>
      <c r="E3368" s="209"/>
      <c r="J3368" s="124"/>
    </row>
    <row r="3369" spans="3:10" x14ac:dyDescent="0.2">
      <c r="C3369" s="209"/>
      <c r="D3369" s="209"/>
      <c r="E3369" s="209"/>
      <c r="J3369" s="124"/>
    </row>
    <row r="3370" spans="3:10" x14ac:dyDescent="0.2">
      <c r="C3370" s="209"/>
      <c r="D3370" s="209"/>
      <c r="E3370" s="209"/>
      <c r="J3370" s="124"/>
    </row>
    <row r="3371" spans="3:10" x14ac:dyDescent="0.2">
      <c r="C3371" s="209"/>
      <c r="D3371" s="209"/>
      <c r="E3371" s="209"/>
      <c r="J3371" s="124"/>
    </row>
    <row r="3372" spans="3:10" x14ac:dyDescent="0.2">
      <c r="C3372" s="209"/>
      <c r="D3372" s="209"/>
      <c r="E3372" s="209"/>
      <c r="J3372" s="124"/>
    </row>
    <row r="3373" spans="3:10" x14ac:dyDescent="0.2">
      <c r="C3373" s="209"/>
      <c r="D3373" s="209"/>
      <c r="E3373" s="209"/>
      <c r="J3373" s="124"/>
    </row>
    <row r="3374" spans="3:10" x14ac:dyDescent="0.2">
      <c r="C3374" s="209"/>
      <c r="D3374" s="209"/>
      <c r="E3374" s="209"/>
      <c r="J3374" s="124"/>
    </row>
    <row r="3375" spans="3:10" x14ac:dyDescent="0.2">
      <c r="C3375" s="209"/>
      <c r="D3375" s="209"/>
      <c r="E3375" s="209"/>
      <c r="J3375" s="124"/>
    </row>
    <row r="3376" spans="3:10" x14ac:dyDescent="0.2">
      <c r="C3376" s="209"/>
      <c r="D3376" s="209"/>
      <c r="E3376" s="209"/>
      <c r="J3376" s="124"/>
    </row>
    <row r="3377" spans="3:10" x14ac:dyDescent="0.2">
      <c r="C3377" s="209"/>
      <c r="D3377" s="209"/>
      <c r="E3377" s="209"/>
      <c r="J3377" s="124"/>
    </row>
    <row r="3378" spans="3:10" x14ac:dyDescent="0.2">
      <c r="C3378" s="209"/>
      <c r="D3378" s="209"/>
      <c r="E3378" s="209"/>
      <c r="J3378" s="124"/>
    </row>
    <row r="3379" spans="3:10" x14ac:dyDescent="0.2">
      <c r="C3379" s="209"/>
      <c r="D3379" s="209"/>
      <c r="E3379" s="209"/>
      <c r="J3379" s="124"/>
    </row>
    <row r="3380" spans="3:10" x14ac:dyDescent="0.2">
      <c r="C3380" s="209"/>
      <c r="D3380" s="209"/>
      <c r="E3380" s="209"/>
      <c r="J3380" s="124"/>
    </row>
    <row r="3381" spans="3:10" x14ac:dyDescent="0.2">
      <c r="C3381" s="209"/>
      <c r="D3381" s="209"/>
      <c r="E3381" s="209"/>
      <c r="J3381" s="124"/>
    </row>
    <row r="3382" spans="3:10" x14ac:dyDescent="0.2">
      <c r="C3382" s="209"/>
      <c r="D3382" s="209"/>
      <c r="E3382" s="209"/>
      <c r="J3382" s="124"/>
    </row>
    <row r="3383" spans="3:10" x14ac:dyDescent="0.2">
      <c r="C3383" s="209"/>
      <c r="D3383" s="209"/>
      <c r="E3383" s="209"/>
      <c r="J3383" s="124"/>
    </row>
    <row r="3384" spans="3:10" x14ac:dyDescent="0.2">
      <c r="C3384" s="209"/>
      <c r="D3384" s="209"/>
      <c r="E3384" s="209"/>
      <c r="J3384" s="124"/>
    </row>
    <row r="3385" spans="3:10" x14ac:dyDescent="0.2">
      <c r="C3385" s="209"/>
      <c r="D3385" s="209"/>
      <c r="E3385" s="209"/>
      <c r="J3385" s="124"/>
    </row>
    <row r="3386" spans="3:10" x14ac:dyDescent="0.2">
      <c r="C3386" s="209"/>
      <c r="D3386" s="209"/>
      <c r="E3386" s="209"/>
      <c r="J3386" s="124"/>
    </row>
    <row r="3387" spans="3:10" x14ac:dyDescent="0.2">
      <c r="C3387" s="209"/>
      <c r="D3387" s="209"/>
      <c r="E3387" s="209"/>
      <c r="J3387" s="124"/>
    </row>
    <row r="3388" spans="3:10" x14ac:dyDescent="0.2">
      <c r="C3388" s="209"/>
      <c r="D3388" s="209"/>
      <c r="E3388" s="209"/>
      <c r="J3388" s="124"/>
    </row>
    <row r="3389" spans="3:10" x14ac:dyDescent="0.2">
      <c r="C3389" s="209"/>
      <c r="D3389" s="209"/>
      <c r="E3389" s="209"/>
      <c r="J3389" s="124"/>
    </row>
    <row r="3390" spans="3:10" x14ac:dyDescent="0.2">
      <c r="C3390" s="209"/>
      <c r="D3390" s="209"/>
      <c r="E3390" s="209"/>
      <c r="J3390" s="124"/>
    </row>
    <row r="3391" spans="3:10" x14ac:dyDescent="0.2">
      <c r="C3391" s="209"/>
      <c r="D3391" s="209"/>
      <c r="E3391" s="209"/>
      <c r="J3391" s="124"/>
    </row>
    <row r="3392" spans="3:10" x14ac:dyDescent="0.2">
      <c r="C3392" s="209"/>
      <c r="D3392" s="209"/>
      <c r="E3392" s="209"/>
      <c r="J3392" s="124"/>
    </row>
    <row r="3393" spans="3:10" x14ac:dyDescent="0.2">
      <c r="C3393" s="209"/>
      <c r="D3393" s="209"/>
      <c r="E3393" s="209"/>
      <c r="J3393" s="124"/>
    </row>
    <row r="3394" spans="3:10" x14ac:dyDescent="0.2">
      <c r="C3394" s="209"/>
      <c r="D3394" s="209"/>
      <c r="E3394" s="209"/>
      <c r="J3394" s="124"/>
    </row>
    <row r="3395" spans="3:10" x14ac:dyDescent="0.2">
      <c r="C3395" s="209"/>
      <c r="D3395" s="209"/>
      <c r="E3395" s="209"/>
      <c r="J3395" s="124"/>
    </row>
    <row r="3396" spans="3:10" x14ac:dyDescent="0.2">
      <c r="C3396" s="209"/>
      <c r="D3396" s="209"/>
      <c r="E3396" s="209"/>
      <c r="J3396" s="124"/>
    </row>
    <row r="3397" spans="3:10" x14ac:dyDescent="0.2">
      <c r="C3397" s="209"/>
      <c r="D3397" s="209"/>
      <c r="E3397" s="209"/>
      <c r="J3397" s="124"/>
    </row>
    <row r="3398" spans="3:10" x14ac:dyDescent="0.2">
      <c r="C3398" s="209"/>
      <c r="D3398" s="209"/>
      <c r="E3398" s="209"/>
      <c r="J3398" s="124"/>
    </row>
    <row r="3399" spans="3:10" x14ac:dyDescent="0.2">
      <c r="C3399" s="209"/>
      <c r="D3399" s="209"/>
      <c r="E3399" s="209"/>
      <c r="J3399" s="124"/>
    </row>
    <row r="3400" spans="3:10" x14ac:dyDescent="0.2">
      <c r="C3400" s="209"/>
      <c r="D3400" s="209"/>
      <c r="E3400" s="209"/>
      <c r="J3400" s="124"/>
    </row>
    <row r="3401" spans="3:10" x14ac:dyDescent="0.2">
      <c r="C3401" s="209"/>
      <c r="D3401" s="209"/>
      <c r="E3401" s="209"/>
      <c r="J3401" s="124"/>
    </row>
    <row r="3402" spans="3:10" x14ac:dyDescent="0.2">
      <c r="C3402" s="209"/>
      <c r="D3402" s="209"/>
      <c r="E3402" s="209"/>
      <c r="J3402" s="124"/>
    </row>
    <row r="3403" spans="3:10" x14ac:dyDescent="0.2">
      <c r="C3403" s="209"/>
      <c r="D3403" s="209"/>
      <c r="E3403" s="209"/>
      <c r="J3403" s="124"/>
    </row>
    <row r="3404" spans="3:10" x14ac:dyDescent="0.2">
      <c r="C3404" s="209"/>
      <c r="D3404" s="209"/>
      <c r="E3404" s="209"/>
      <c r="J3404" s="124"/>
    </row>
    <row r="3405" spans="3:10" x14ac:dyDescent="0.2">
      <c r="C3405" s="209"/>
      <c r="D3405" s="209"/>
      <c r="E3405" s="209"/>
      <c r="J3405" s="124"/>
    </row>
    <row r="3406" spans="3:10" x14ac:dyDescent="0.2">
      <c r="C3406" s="209"/>
      <c r="D3406" s="209"/>
      <c r="E3406" s="209"/>
      <c r="J3406" s="124"/>
    </row>
    <row r="3407" spans="3:10" x14ac:dyDescent="0.2">
      <c r="C3407" s="209"/>
      <c r="D3407" s="209"/>
      <c r="E3407" s="209"/>
      <c r="J3407" s="124"/>
    </row>
    <row r="3408" spans="3:10" x14ac:dyDescent="0.2">
      <c r="C3408" s="209"/>
      <c r="D3408" s="209"/>
      <c r="E3408" s="209"/>
      <c r="J3408" s="124"/>
    </row>
    <row r="3409" spans="3:10" x14ac:dyDescent="0.2">
      <c r="C3409" s="209"/>
      <c r="D3409" s="209"/>
      <c r="E3409" s="209"/>
      <c r="J3409" s="124"/>
    </row>
    <row r="3410" spans="3:10" x14ac:dyDescent="0.2">
      <c r="C3410" s="209"/>
      <c r="D3410" s="209"/>
      <c r="E3410" s="209"/>
      <c r="J3410" s="124"/>
    </row>
    <row r="3411" spans="3:10" x14ac:dyDescent="0.2">
      <c r="C3411" s="209"/>
      <c r="D3411" s="209"/>
      <c r="E3411" s="209"/>
      <c r="J3411" s="124"/>
    </row>
    <row r="3412" spans="3:10" x14ac:dyDescent="0.2">
      <c r="C3412" s="209"/>
      <c r="D3412" s="209"/>
      <c r="E3412" s="209"/>
      <c r="J3412" s="124"/>
    </row>
    <row r="3413" spans="3:10" x14ac:dyDescent="0.2">
      <c r="C3413" s="209"/>
      <c r="D3413" s="209"/>
      <c r="E3413" s="209"/>
      <c r="J3413" s="124"/>
    </row>
    <row r="3414" spans="3:10" x14ac:dyDescent="0.2">
      <c r="C3414" s="209"/>
      <c r="D3414" s="209"/>
      <c r="E3414" s="209"/>
      <c r="J3414" s="124"/>
    </row>
    <row r="3415" spans="3:10" x14ac:dyDescent="0.2">
      <c r="C3415" s="209"/>
      <c r="D3415" s="209"/>
      <c r="E3415" s="209"/>
      <c r="J3415" s="124"/>
    </row>
    <row r="3416" spans="3:10" x14ac:dyDescent="0.2">
      <c r="C3416" s="209"/>
      <c r="D3416" s="209"/>
      <c r="E3416" s="209"/>
      <c r="J3416" s="124"/>
    </row>
    <row r="3417" spans="3:10" x14ac:dyDescent="0.2">
      <c r="C3417" s="209"/>
      <c r="D3417" s="209"/>
      <c r="E3417" s="209"/>
      <c r="J3417" s="124"/>
    </row>
    <row r="3418" spans="3:10" x14ac:dyDescent="0.2">
      <c r="C3418" s="209"/>
      <c r="D3418" s="209"/>
      <c r="E3418" s="209"/>
      <c r="J3418" s="124"/>
    </row>
    <row r="3419" spans="3:10" x14ac:dyDescent="0.2">
      <c r="C3419" s="209"/>
      <c r="D3419" s="209"/>
      <c r="E3419" s="209"/>
      <c r="J3419" s="124"/>
    </row>
    <row r="3420" spans="3:10" x14ac:dyDescent="0.2">
      <c r="C3420" s="209"/>
      <c r="D3420" s="209"/>
      <c r="E3420" s="209"/>
      <c r="J3420" s="124"/>
    </row>
    <row r="3421" spans="3:10" x14ac:dyDescent="0.2">
      <c r="C3421" s="209"/>
      <c r="D3421" s="209"/>
      <c r="E3421" s="209"/>
      <c r="J3421" s="124"/>
    </row>
    <row r="3422" spans="3:10" x14ac:dyDescent="0.2">
      <c r="C3422" s="209"/>
      <c r="D3422" s="209"/>
      <c r="E3422" s="209"/>
      <c r="J3422" s="124"/>
    </row>
    <row r="3423" spans="3:10" x14ac:dyDescent="0.2">
      <c r="C3423" s="209"/>
      <c r="D3423" s="209"/>
      <c r="E3423" s="209"/>
      <c r="J3423" s="124"/>
    </row>
    <row r="3424" spans="3:10" x14ac:dyDescent="0.2">
      <c r="C3424" s="209"/>
      <c r="D3424" s="209"/>
      <c r="E3424" s="209"/>
      <c r="J3424" s="124"/>
    </row>
    <row r="3425" spans="3:10" x14ac:dyDescent="0.2">
      <c r="C3425" s="209"/>
      <c r="D3425" s="209"/>
      <c r="E3425" s="209"/>
      <c r="J3425" s="124"/>
    </row>
    <row r="3426" spans="3:10" x14ac:dyDescent="0.2">
      <c r="C3426" s="209"/>
      <c r="D3426" s="209"/>
      <c r="E3426" s="209"/>
      <c r="J3426" s="124"/>
    </row>
    <row r="3427" spans="3:10" x14ac:dyDescent="0.2">
      <c r="C3427" s="209"/>
      <c r="D3427" s="209"/>
      <c r="E3427" s="209"/>
      <c r="J3427" s="124"/>
    </row>
    <row r="3428" spans="3:10" x14ac:dyDescent="0.2">
      <c r="C3428" s="209"/>
      <c r="D3428" s="209"/>
      <c r="E3428" s="209"/>
      <c r="J3428" s="124"/>
    </row>
    <row r="3429" spans="3:10" x14ac:dyDescent="0.2">
      <c r="C3429" s="209"/>
      <c r="D3429" s="209"/>
      <c r="E3429" s="209"/>
      <c r="J3429" s="124"/>
    </row>
    <row r="3430" spans="3:10" x14ac:dyDescent="0.2">
      <c r="C3430" s="209"/>
      <c r="D3430" s="209"/>
      <c r="E3430" s="209"/>
      <c r="J3430" s="124"/>
    </row>
    <row r="3431" spans="3:10" x14ac:dyDescent="0.2">
      <c r="C3431" s="209"/>
      <c r="D3431" s="209"/>
      <c r="E3431" s="209"/>
      <c r="J3431" s="124"/>
    </row>
    <row r="3432" spans="3:10" x14ac:dyDescent="0.2">
      <c r="C3432" s="209"/>
      <c r="D3432" s="209"/>
      <c r="E3432" s="209"/>
      <c r="J3432" s="124"/>
    </row>
    <row r="3433" spans="3:10" x14ac:dyDescent="0.2">
      <c r="C3433" s="209"/>
      <c r="D3433" s="209"/>
      <c r="E3433" s="209"/>
      <c r="J3433" s="124"/>
    </row>
    <row r="3434" spans="3:10" x14ac:dyDescent="0.2">
      <c r="C3434" s="209"/>
      <c r="D3434" s="209"/>
      <c r="E3434" s="209"/>
      <c r="J3434" s="124"/>
    </row>
    <row r="3435" spans="3:10" x14ac:dyDescent="0.2">
      <c r="C3435" s="209"/>
      <c r="D3435" s="209"/>
      <c r="E3435" s="209"/>
      <c r="J3435" s="124"/>
    </row>
    <row r="3436" spans="3:10" x14ac:dyDescent="0.2">
      <c r="C3436" s="209"/>
      <c r="D3436" s="209"/>
      <c r="E3436" s="209"/>
      <c r="J3436" s="124"/>
    </row>
    <row r="3437" spans="3:10" x14ac:dyDescent="0.2">
      <c r="C3437" s="209"/>
      <c r="D3437" s="209"/>
      <c r="E3437" s="209"/>
      <c r="J3437" s="124"/>
    </row>
    <row r="3438" spans="3:10" x14ac:dyDescent="0.2">
      <c r="C3438" s="209"/>
      <c r="D3438" s="209"/>
      <c r="E3438" s="209"/>
      <c r="J3438" s="124"/>
    </row>
    <row r="3439" spans="3:10" x14ac:dyDescent="0.2">
      <c r="C3439" s="209"/>
      <c r="D3439" s="209"/>
      <c r="E3439" s="209"/>
      <c r="J3439" s="124"/>
    </row>
    <row r="3440" spans="3:10" x14ac:dyDescent="0.2">
      <c r="C3440" s="209"/>
      <c r="D3440" s="209"/>
      <c r="E3440" s="209"/>
      <c r="J3440" s="124"/>
    </row>
    <row r="3441" spans="3:10" x14ac:dyDescent="0.2">
      <c r="C3441" s="209"/>
      <c r="D3441" s="209"/>
      <c r="E3441" s="209"/>
      <c r="J3441" s="124"/>
    </row>
    <row r="3442" spans="3:10" x14ac:dyDescent="0.2">
      <c r="C3442" s="209"/>
      <c r="D3442" s="209"/>
      <c r="E3442" s="209"/>
      <c r="J3442" s="124"/>
    </row>
    <row r="3443" spans="3:10" x14ac:dyDescent="0.2">
      <c r="C3443" s="209"/>
      <c r="D3443" s="209"/>
      <c r="E3443" s="209"/>
      <c r="J3443" s="124"/>
    </row>
    <row r="3444" spans="3:10" x14ac:dyDescent="0.2">
      <c r="C3444" s="209"/>
      <c r="D3444" s="209"/>
      <c r="E3444" s="209"/>
      <c r="J3444" s="124"/>
    </row>
    <row r="3445" spans="3:10" x14ac:dyDescent="0.2">
      <c r="C3445" s="209"/>
      <c r="D3445" s="209"/>
      <c r="E3445" s="209"/>
      <c r="J3445" s="124"/>
    </row>
    <row r="3446" spans="3:10" x14ac:dyDescent="0.2">
      <c r="C3446" s="209"/>
      <c r="D3446" s="209"/>
      <c r="E3446" s="209"/>
      <c r="J3446" s="124"/>
    </row>
    <row r="3447" spans="3:10" x14ac:dyDescent="0.2">
      <c r="C3447" s="209"/>
      <c r="D3447" s="209"/>
      <c r="E3447" s="209"/>
      <c r="J3447" s="124"/>
    </row>
    <row r="3448" spans="3:10" x14ac:dyDescent="0.2">
      <c r="C3448" s="209"/>
      <c r="D3448" s="209"/>
      <c r="E3448" s="209"/>
      <c r="J3448" s="124"/>
    </row>
    <row r="3449" spans="3:10" x14ac:dyDescent="0.2">
      <c r="C3449" s="209"/>
      <c r="D3449" s="209"/>
      <c r="E3449" s="209"/>
      <c r="J3449" s="124"/>
    </row>
    <row r="3450" spans="3:10" x14ac:dyDescent="0.2">
      <c r="C3450" s="209"/>
      <c r="D3450" s="209"/>
      <c r="E3450" s="209"/>
      <c r="J3450" s="124"/>
    </row>
    <row r="3451" spans="3:10" x14ac:dyDescent="0.2">
      <c r="C3451" s="209"/>
      <c r="D3451" s="209"/>
      <c r="E3451" s="209"/>
      <c r="J3451" s="124"/>
    </row>
    <row r="3452" spans="3:10" x14ac:dyDescent="0.2">
      <c r="C3452" s="209"/>
      <c r="D3452" s="209"/>
      <c r="E3452" s="209"/>
      <c r="J3452" s="124"/>
    </row>
    <row r="3453" spans="3:10" x14ac:dyDescent="0.2">
      <c r="C3453" s="209"/>
      <c r="D3453" s="209"/>
      <c r="E3453" s="209"/>
      <c r="J3453" s="124"/>
    </row>
    <row r="3454" spans="3:10" x14ac:dyDescent="0.2">
      <c r="C3454" s="209"/>
      <c r="D3454" s="209"/>
      <c r="E3454" s="209"/>
      <c r="J3454" s="124"/>
    </row>
    <row r="3455" spans="3:10" x14ac:dyDescent="0.2">
      <c r="C3455" s="209"/>
      <c r="D3455" s="209"/>
      <c r="E3455" s="209"/>
      <c r="J3455" s="124"/>
    </row>
    <row r="3456" spans="3:10" x14ac:dyDescent="0.2">
      <c r="C3456" s="209"/>
      <c r="D3456" s="209"/>
      <c r="E3456" s="209"/>
      <c r="J3456" s="124"/>
    </row>
    <row r="3457" spans="3:10" x14ac:dyDescent="0.2">
      <c r="C3457" s="209"/>
      <c r="D3457" s="209"/>
      <c r="E3457" s="209"/>
      <c r="J3457" s="124"/>
    </row>
    <row r="3458" spans="3:10" x14ac:dyDescent="0.2">
      <c r="C3458" s="209"/>
      <c r="D3458" s="209"/>
      <c r="E3458" s="209"/>
      <c r="J3458" s="124"/>
    </row>
    <row r="3459" spans="3:10" x14ac:dyDescent="0.2">
      <c r="C3459" s="209"/>
      <c r="D3459" s="209"/>
      <c r="E3459" s="209"/>
      <c r="J3459" s="124"/>
    </row>
    <row r="3460" spans="3:10" x14ac:dyDescent="0.2">
      <c r="C3460" s="209"/>
      <c r="D3460" s="209"/>
      <c r="E3460" s="209"/>
      <c r="J3460" s="124"/>
    </row>
    <row r="3461" spans="3:10" x14ac:dyDescent="0.2">
      <c r="C3461" s="209"/>
      <c r="D3461" s="209"/>
      <c r="E3461" s="209"/>
      <c r="J3461" s="124"/>
    </row>
    <row r="3462" spans="3:10" x14ac:dyDescent="0.2">
      <c r="C3462" s="209"/>
      <c r="D3462" s="209"/>
      <c r="E3462" s="209"/>
      <c r="J3462" s="124"/>
    </row>
    <row r="3463" spans="3:10" x14ac:dyDescent="0.2">
      <c r="C3463" s="209"/>
      <c r="D3463" s="209"/>
      <c r="E3463" s="209"/>
      <c r="J3463" s="124"/>
    </row>
    <row r="3464" spans="3:10" x14ac:dyDescent="0.2">
      <c r="C3464" s="209"/>
      <c r="D3464" s="209"/>
      <c r="E3464" s="209"/>
      <c r="J3464" s="124"/>
    </row>
    <row r="3465" spans="3:10" x14ac:dyDescent="0.2">
      <c r="C3465" s="209"/>
      <c r="D3465" s="209"/>
      <c r="E3465" s="209"/>
      <c r="J3465" s="124"/>
    </row>
    <row r="3466" spans="3:10" x14ac:dyDescent="0.2">
      <c r="C3466" s="209"/>
      <c r="D3466" s="209"/>
      <c r="E3466" s="209"/>
      <c r="J3466" s="124"/>
    </row>
    <row r="3467" spans="3:10" x14ac:dyDescent="0.2">
      <c r="C3467" s="209"/>
      <c r="D3467" s="209"/>
      <c r="E3467" s="209"/>
      <c r="J3467" s="124"/>
    </row>
    <row r="3468" spans="3:10" x14ac:dyDescent="0.2">
      <c r="C3468" s="209"/>
      <c r="D3468" s="209"/>
      <c r="E3468" s="209"/>
      <c r="J3468" s="124"/>
    </row>
    <row r="3469" spans="3:10" x14ac:dyDescent="0.2">
      <c r="C3469" s="209"/>
      <c r="D3469" s="209"/>
      <c r="E3469" s="209"/>
      <c r="J3469" s="124"/>
    </row>
    <row r="3470" spans="3:10" x14ac:dyDescent="0.2">
      <c r="C3470" s="209"/>
      <c r="D3470" s="209"/>
      <c r="E3470" s="209"/>
      <c r="J3470" s="124"/>
    </row>
    <row r="3471" spans="3:10" x14ac:dyDescent="0.2">
      <c r="C3471" s="209"/>
      <c r="D3471" s="209"/>
      <c r="E3471" s="209"/>
      <c r="J3471" s="124"/>
    </row>
    <row r="3472" spans="3:10" x14ac:dyDescent="0.2">
      <c r="C3472" s="209"/>
      <c r="D3472" s="209"/>
      <c r="E3472" s="209"/>
      <c r="J3472" s="124"/>
    </row>
    <row r="3473" spans="3:10" x14ac:dyDescent="0.2">
      <c r="C3473" s="209"/>
      <c r="D3473" s="209"/>
      <c r="E3473" s="209"/>
      <c r="J3473" s="124"/>
    </row>
    <row r="3474" spans="3:10" x14ac:dyDescent="0.2">
      <c r="C3474" s="209"/>
      <c r="D3474" s="209"/>
      <c r="E3474" s="209"/>
      <c r="J3474" s="124"/>
    </row>
    <row r="3475" spans="3:10" x14ac:dyDescent="0.2">
      <c r="C3475" s="209"/>
      <c r="D3475" s="209"/>
      <c r="E3475" s="209"/>
      <c r="J3475" s="124"/>
    </row>
    <row r="3476" spans="3:10" x14ac:dyDescent="0.2">
      <c r="C3476" s="209"/>
      <c r="D3476" s="209"/>
      <c r="E3476" s="209"/>
      <c r="J3476" s="124"/>
    </row>
    <row r="3477" spans="3:10" x14ac:dyDescent="0.2">
      <c r="C3477" s="209"/>
      <c r="D3477" s="209"/>
      <c r="E3477" s="209"/>
      <c r="J3477" s="124"/>
    </row>
    <row r="3478" spans="3:10" x14ac:dyDescent="0.2">
      <c r="C3478" s="209"/>
      <c r="D3478" s="209"/>
      <c r="E3478" s="209"/>
      <c r="J3478" s="124"/>
    </row>
    <row r="3479" spans="3:10" x14ac:dyDescent="0.2">
      <c r="C3479" s="209"/>
      <c r="D3479" s="209"/>
      <c r="E3479" s="209"/>
      <c r="J3479" s="124"/>
    </row>
    <row r="3480" spans="3:10" x14ac:dyDescent="0.2">
      <c r="C3480" s="209"/>
      <c r="D3480" s="209"/>
      <c r="E3480" s="209"/>
      <c r="J3480" s="124"/>
    </row>
    <row r="3481" spans="3:10" x14ac:dyDescent="0.2">
      <c r="C3481" s="209"/>
      <c r="D3481" s="209"/>
      <c r="E3481" s="209"/>
      <c r="J3481" s="124"/>
    </row>
    <row r="3482" spans="3:10" x14ac:dyDescent="0.2">
      <c r="C3482" s="209"/>
      <c r="D3482" s="209"/>
      <c r="E3482" s="209"/>
      <c r="J3482" s="124"/>
    </row>
    <row r="3483" spans="3:10" x14ac:dyDescent="0.2">
      <c r="C3483" s="209"/>
      <c r="D3483" s="209"/>
      <c r="E3483" s="209"/>
      <c r="J3483" s="124"/>
    </row>
    <row r="3484" spans="3:10" x14ac:dyDescent="0.2">
      <c r="C3484" s="209"/>
      <c r="D3484" s="209"/>
      <c r="E3484" s="209"/>
      <c r="J3484" s="124"/>
    </row>
    <row r="3485" spans="3:10" x14ac:dyDescent="0.2">
      <c r="C3485" s="209"/>
      <c r="D3485" s="209"/>
      <c r="E3485" s="209"/>
      <c r="J3485" s="124"/>
    </row>
    <row r="3486" spans="3:10" x14ac:dyDescent="0.2">
      <c r="C3486" s="209"/>
      <c r="D3486" s="209"/>
      <c r="E3486" s="209"/>
      <c r="J3486" s="124"/>
    </row>
    <row r="3487" spans="3:10" x14ac:dyDescent="0.2">
      <c r="C3487" s="209"/>
      <c r="D3487" s="209"/>
      <c r="E3487" s="209"/>
      <c r="J3487" s="124"/>
    </row>
    <row r="3488" spans="3:10" x14ac:dyDescent="0.2">
      <c r="C3488" s="209"/>
      <c r="D3488" s="209"/>
      <c r="E3488" s="209"/>
      <c r="J3488" s="124"/>
    </row>
    <row r="3489" spans="3:10" x14ac:dyDescent="0.2">
      <c r="C3489" s="209"/>
      <c r="D3489" s="209"/>
      <c r="E3489" s="209"/>
      <c r="J3489" s="124"/>
    </row>
    <row r="3490" spans="3:10" x14ac:dyDescent="0.2">
      <c r="C3490" s="209"/>
      <c r="D3490" s="209"/>
      <c r="E3490" s="209"/>
      <c r="J3490" s="124"/>
    </row>
    <row r="3491" spans="3:10" x14ac:dyDescent="0.2">
      <c r="C3491" s="209"/>
      <c r="D3491" s="209"/>
      <c r="E3491" s="209"/>
      <c r="J3491" s="124"/>
    </row>
    <row r="3492" spans="3:10" x14ac:dyDescent="0.2">
      <c r="C3492" s="209"/>
      <c r="D3492" s="209"/>
      <c r="E3492" s="209"/>
      <c r="J3492" s="124"/>
    </row>
    <row r="3493" spans="3:10" x14ac:dyDescent="0.2">
      <c r="C3493" s="209"/>
      <c r="D3493" s="209"/>
      <c r="E3493" s="209"/>
      <c r="J3493" s="124"/>
    </row>
    <row r="3494" spans="3:10" x14ac:dyDescent="0.2">
      <c r="C3494" s="209"/>
      <c r="D3494" s="209"/>
      <c r="E3494" s="209"/>
      <c r="J3494" s="124"/>
    </row>
    <row r="3495" spans="3:10" x14ac:dyDescent="0.2">
      <c r="C3495" s="209"/>
      <c r="D3495" s="209"/>
      <c r="E3495" s="209"/>
      <c r="J3495" s="124"/>
    </row>
    <row r="3496" spans="3:10" x14ac:dyDescent="0.2">
      <c r="C3496" s="209"/>
      <c r="D3496" s="209"/>
      <c r="E3496" s="209"/>
      <c r="J3496" s="124"/>
    </row>
    <row r="3497" spans="3:10" x14ac:dyDescent="0.2">
      <c r="C3497" s="209"/>
      <c r="D3497" s="209"/>
      <c r="E3497" s="209"/>
      <c r="J3497" s="124"/>
    </row>
    <row r="3498" spans="3:10" x14ac:dyDescent="0.2">
      <c r="C3498" s="209"/>
      <c r="D3498" s="209"/>
      <c r="E3498" s="209"/>
      <c r="J3498" s="124"/>
    </row>
    <row r="3499" spans="3:10" x14ac:dyDescent="0.2">
      <c r="C3499" s="209"/>
      <c r="D3499" s="209"/>
      <c r="E3499" s="209"/>
      <c r="J3499" s="124"/>
    </row>
    <row r="3500" spans="3:10" x14ac:dyDescent="0.2">
      <c r="C3500" s="209"/>
      <c r="D3500" s="209"/>
      <c r="E3500" s="209"/>
      <c r="J3500" s="124"/>
    </row>
    <row r="3501" spans="3:10" x14ac:dyDescent="0.2">
      <c r="C3501" s="209"/>
      <c r="D3501" s="209"/>
      <c r="E3501" s="209"/>
      <c r="J3501" s="124"/>
    </row>
    <row r="3502" spans="3:10" x14ac:dyDescent="0.2">
      <c r="C3502" s="209"/>
      <c r="D3502" s="209"/>
      <c r="E3502" s="209"/>
      <c r="J3502" s="124"/>
    </row>
    <row r="3503" spans="3:10" x14ac:dyDescent="0.2">
      <c r="C3503" s="209"/>
      <c r="D3503" s="209"/>
      <c r="E3503" s="209"/>
      <c r="J3503" s="124"/>
    </row>
    <row r="3504" spans="3:10" x14ac:dyDescent="0.2">
      <c r="C3504" s="209"/>
      <c r="D3504" s="209"/>
      <c r="E3504" s="209"/>
      <c r="J3504" s="124"/>
    </row>
    <row r="3505" spans="3:10" x14ac:dyDescent="0.2">
      <c r="C3505" s="209"/>
      <c r="D3505" s="209"/>
      <c r="E3505" s="209"/>
      <c r="J3505" s="124"/>
    </row>
    <row r="3506" spans="3:10" x14ac:dyDescent="0.2">
      <c r="C3506" s="209"/>
      <c r="D3506" s="209"/>
      <c r="E3506" s="209"/>
      <c r="J3506" s="124"/>
    </row>
    <row r="3507" spans="3:10" x14ac:dyDescent="0.2">
      <c r="C3507" s="209"/>
      <c r="D3507" s="209"/>
      <c r="E3507" s="209"/>
      <c r="J3507" s="124"/>
    </row>
    <row r="3508" spans="3:10" x14ac:dyDescent="0.2">
      <c r="C3508" s="209"/>
      <c r="D3508" s="209"/>
      <c r="E3508" s="209"/>
      <c r="J3508" s="124"/>
    </row>
    <row r="3509" spans="3:10" x14ac:dyDescent="0.2">
      <c r="C3509" s="209"/>
      <c r="D3509" s="209"/>
      <c r="E3509" s="209"/>
      <c r="J3509" s="124"/>
    </row>
    <row r="3510" spans="3:10" x14ac:dyDescent="0.2">
      <c r="C3510" s="209"/>
      <c r="D3510" s="209"/>
      <c r="E3510" s="209"/>
      <c r="J3510" s="124"/>
    </row>
    <row r="3511" spans="3:10" x14ac:dyDescent="0.2">
      <c r="C3511" s="209"/>
      <c r="D3511" s="209"/>
      <c r="E3511" s="209"/>
      <c r="J3511" s="124"/>
    </row>
    <row r="3512" spans="3:10" x14ac:dyDescent="0.2">
      <c r="C3512" s="209"/>
      <c r="D3512" s="209"/>
      <c r="E3512" s="209"/>
      <c r="J3512" s="124"/>
    </row>
    <row r="3513" spans="3:10" x14ac:dyDescent="0.2">
      <c r="C3513" s="209"/>
      <c r="D3513" s="209"/>
      <c r="E3513" s="209"/>
      <c r="J3513" s="124"/>
    </row>
    <row r="3514" spans="3:10" x14ac:dyDescent="0.2">
      <c r="C3514" s="209"/>
      <c r="D3514" s="209"/>
      <c r="E3514" s="209"/>
      <c r="J3514" s="124"/>
    </row>
    <row r="3515" spans="3:10" x14ac:dyDescent="0.2">
      <c r="C3515" s="209"/>
      <c r="D3515" s="209"/>
      <c r="E3515" s="209"/>
      <c r="J3515" s="124"/>
    </row>
    <row r="3516" spans="3:10" x14ac:dyDescent="0.2">
      <c r="C3516" s="209"/>
      <c r="D3516" s="209"/>
      <c r="E3516" s="209"/>
      <c r="J3516" s="124"/>
    </row>
    <row r="3517" spans="3:10" x14ac:dyDescent="0.2">
      <c r="C3517" s="209"/>
      <c r="D3517" s="209"/>
      <c r="E3517" s="209"/>
      <c r="J3517" s="124"/>
    </row>
    <row r="3518" spans="3:10" x14ac:dyDescent="0.2">
      <c r="C3518" s="209"/>
      <c r="D3518" s="209"/>
      <c r="E3518" s="209"/>
      <c r="J3518" s="124"/>
    </row>
    <row r="3519" spans="3:10" x14ac:dyDescent="0.2">
      <c r="C3519" s="209"/>
      <c r="D3519" s="209"/>
      <c r="E3519" s="209"/>
      <c r="J3519" s="124"/>
    </row>
    <row r="3520" spans="3:10" x14ac:dyDescent="0.2">
      <c r="C3520" s="209"/>
      <c r="D3520" s="209"/>
      <c r="E3520" s="209"/>
      <c r="J3520" s="124"/>
    </row>
    <row r="3521" spans="3:10" x14ac:dyDescent="0.2">
      <c r="C3521" s="209"/>
      <c r="D3521" s="209"/>
      <c r="E3521" s="209"/>
      <c r="J3521" s="124"/>
    </row>
    <row r="3522" spans="3:10" x14ac:dyDescent="0.2">
      <c r="C3522" s="209"/>
      <c r="D3522" s="209"/>
      <c r="E3522" s="209"/>
      <c r="J3522" s="124"/>
    </row>
    <row r="3523" spans="3:10" x14ac:dyDescent="0.2">
      <c r="C3523" s="209"/>
      <c r="D3523" s="209"/>
      <c r="E3523" s="209"/>
      <c r="J3523" s="124"/>
    </row>
    <row r="3524" spans="3:10" x14ac:dyDescent="0.2">
      <c r="C3524" s="209"/>
      <c r="D3524" s="209"/>
      <c r="E3524" s="209"/>
      <c r="J3524" s="124"/>
    </row>
    <row r="3525" spans="3:10" x14ac:dyDescent="0.2">
      <c r="C3525" s="209"/>
      <c r="D3525" s="209"/>
      <c r="E3525" s="209"/>
      <c r="J3525" s="124"/>
    </row>
    <row r="3526" spans="3:10" x14ac:dyDescent="0.2">
      <c r="C3526" s="209"/>
      <c r="D3526" s="209"/>
      <c r="E3526" s="209"/>
      <c r="J3526" s="124"/>
    </row>
    <row r="3527" spans="3:10" x14ac:dyDescent="0.2">
      <c r="C3527" s="209"/>
      <c r="D3527" s="209"/>
      <c r="E3527" s="209"/>
      <c r="J3527" s="124"/>
    </row>
    <row r="3528" spans="3:10" x14ac:dyDescent="0.2">
      <c r="C3528" s="209"/>
      <c r="D3528" s="209"/>
      <c r="E3528" s="209"/>
      <c r="J3528" s="124"/>
    </row>
    <row r="3529" spans="3:10" x14ac:dyDescent="0.2">
      <c r="C3529" s="209"/>
      <c r="D3529" s="209"/>
      <c r="E3529" s="209"/>
      <c r="J3529" s="124"/>
    </row>
    <row r="3530" spans="3:10" x14ac:dyDescent="0.2">
      <c r="C3530" s="209"/>
      <c r="D3530" s="209"/>
      <c r="E3530" s="209"/>
      <c r="J3530" s="124"/>
    </row>
    <row r="3531" spans="3:10" x14ac:dyDescent="0.2">
      <c r="C3531" s="209"/>
      <c r="D3531" s="209"/>
      <c r="E3531" s="209"/>
      <c r="J3531" s="124"/>
    </row>
    <row r="3532" spans="3:10" x14ac:dyDescent="0.2">
      <c r="C3532" s="209"/>
      <c r="D3532" s="209"/>
      <c r="E3532" s="209"/>
      <c r="J3532" s="124"/>
    </row>
    <row r="3533" spans="3:10" x14ac:dyDescent="0.2">
      <c r="C3533" s="209"/>
      <c r="D3533" s="209"/>
      <c r="E3533" s="209"/>
      <c r="J3533" s="124"/>
    </row>
    <row r="3534" spans="3:10" x14ac:dyDescent="0.2">
      <c r="C3534" s="209"/>
      <c r="D3534" s="209"/>
      <c r="E3534" s="209"/>
      <c r="J3534" s="124"/>
    </row>
    <row r="3535" spans="3:10" x14ac:dyDescent="0.2">
      <c r="C3535" s="209"/>
      <c r="D3535" s="209"/>
      <c r="E3535" s="209"/>
      <c r="J3535" s="124"/>
    </row>
    <row r="3536" spans="3:10" x14ac:dyDescent="0.2">
      <c r="C3536" s="209"/>
      <c r="D3536" s="209"/>
      <c r="E3536" s="209"/>
      <c r="J3536" s="124"/>
    </row>
    <row r="3537" spans="3:10" x14ac:dyDescent="0.2">
      <c r="C3537" s="209"/>
      <c r="D3537" s="209"/>
      <c r="E3537" s="209"/>
      <c r="J3537" s="124"/>
    </row>
    <row r="3538" spans="3:10" x14ac:dyDescent="0.2">
      <c r="C3538" s="209"/>
      <c r="D3538" s="209"/>
      <c r="E3538" s="209"/>
      <c r="J3538" s="124"/>
    </row>
    <row r="3539" spans="3:10" x14ac:dyDescent="0.2">
      <c r="C3539" s="209"/>
      <c r="D3539" s="209"/>
      <c r="E3539" s="209"/>
      <c r="J3539" s="124"/>
    </row>
    <row r="3540" spans="3:10" x14ac:dyDescent="0.2">
      <c r="C3540" s="209"/>
      <c r="D3540" s="209"/>
      <c r="E3540" s="209"/>
      <c r="J3540" s="124"/>
    </row>
    <row r="3541" spans="3:10" x14ac:dyDescent="0.2">
      <c r="C3541" s="209"/>
      <c r="D3541" s="209"/>
      <c r="E3541" s="209"/>
      <c r="J3541" s="124"/>
    </row>
    <row r="3542" spans="3:10" x14ac:dyDescent="0.2">
      <c r="C3542" s="209"/>
      <c r="D3542" s="209"/>
      <c r="E3542" s="209"/>
      <c r="J3542" s="124"/>
    </row>
    <row r="3543" spans="3:10" x14ac:dyDescent="0.2">
      <c r="C3543" s="209"/>
      <c r="D3543" s="209"/>
      <c r="E3543" s="209"/>
      <c r="J3543" s="124"/>
    </row>
    <row r="3544" spans="3:10" x14ac:dyDescent="0.2">
      <c r="C3544" s="209"/>
      <c r="D3544" s="209"/>
      <c r="E3544" s="209"/>
      <c r="J3544" s="124"/>
    </row>
    <row r="3545" spans="3:10" x14ac:dyDescent="0.2">
      <c r="C3545" s="209"/>
      <c r="D3545" s="209"/>
      <c r="E3545" s="209"/>
      <c r="J3545" s="124"/>
    </row>
    <row r="3546" spans="3:10" x14ac:dyDescent="0.2">
      <c r="C3546" s="209"/>
      <c r="D3546" s="209"/>
      <c r="E3546" s="209"/>
      <c r="J3546" s="124"/>
    </row>
    <row r="3547" spans="3:10" x14ac:dyDescent="0.2">
      <c r="C3547" s="209"/>
      <c r="D3547" s="209"/>
      <c r="E3547" s="209"/>
      <c r="J3547" s="124"/>
    </row>
    <row r="3548" spans="3:10" x14ac:dyDescent="0.2">
      <c r="C3548" s="209"/>
      <c r="D3548" s="209"/>
      <c r="E3548" s="209"/>
      <c r="J3548" s="124"/>
    </row>
    <row r="3549" spans="3:10" x14ac:dyDescent="0.2">
      <c r="C3549" s="209"/>
      <c r="D3549" s="209"/>
      <c r="E3549" s="209"/>
      <c r="J3549" s="124"/>
    </row>
    <row r="3550" spans="3:10" x14ac:dyDescent="0.2">
      <c r="C3550" s="209"/>
      <c r="D3550" s="209"/>
      <c r="E3550" s="209"/>
      <c r="J3550" s="124"/>
    </row>
    <row r="3551" spans="3:10" x14ac:dyDescent="0.2">
      <c r="C3551" s="209"/>
      <c r="D3551" s="209"/>
      <c r="E3551" s="209"/>
      <c r="J3551" s="124"/>
    </row>
    <row r="3552" spans="3:10" x14ac:dyDescent="0.2">
      <c r="C3552" s="209"/>
      <c r="D3552" s="209"/>
      <c r="E3552" s="209"/>
      <c r="J3552" s="124"/>
    </row>
    <row r="3553" spans="3:10" x14ac:dyDescent="0.2">
      <c r="C3553" s="209"/>
      <c r="D3553" s="209"/>
      <c r="E3553" s="209"/>
      <c r="J3553" s="124"/>
    </row>
    <row r="3554" spans="3:10" x14ac:dyDescent="0.2">
      <c r="C3554" s="209"/>
      <c r="D3554" s="209"/>
      <c r="E3554" s="209"/>
      <c r="J3554" s="124"/>
    </row>
    <row r="3555" spans="3:10" x14ac:dyDescent="0.2">
      <c r="C3555" s="209"/>
      <c r="D3555" s="209"/>
      <c r="E3555" s="209"/>
      <c r="J3555" s="124"/>
    </row>
    <row r="3556" spans="3:10" x14ac:dyDescent="0.2">
      <c r="C3556" s="209"/>
      <c r="D3556" s="209"/>
      <c r="E3556" s="209"/>
      <c r="J3556" s="124"/>
    </row>
    <row r="3557" spans="3:10" x14ac:dyDescent="0.2">
      <c r="C3557" s="209"/>
      <c r="D3557" s="209"/>
      <c r="E3557" s="209"/>
      <c r="J3557" s="124"/>
    </row>
    <row r="3558" spans="3:10" x14ac:dyDescent="0.2">
      <c r="C3558" s="209"/>
      <c r="D3558" s="209"/>
      <c r="E3558" s="209"/>
      <c r="J3558" s="124"/>
    </row>
    <row r="3559" spans="3:10" x14ac:dyDescent="0.2">
      <c r="C3559" s="209"/>
      <c r="D3559" s="209"/>
      <c r="E3559" s="209"/>
      <c r="J3559" s="124"/>
    </row>
    <row r="3560" spans="3:10" x14ac:dyDescent="0.2">
      <c r="C3560" s="209"/>
      <c r="D3560" s="209"/>
      <c r="E3560" s="209"/>
      <c r="J3560" s="124"/>
    </row>
    <row r="3561" spans="3:10" x14ac:dyDescent="0.2">
      <c r="C3561" s="209"/>
      <c r="D3561" s="209"/>
      <c r="E3561" s="209"/>
      <c r="J3561" s="124"/>
    </row>
    <row r="3562" spans="3:10" x14ac:dyDescent="0.2">
      <c r="C3562" s="209"/>
      <c r="D3562" s="209"/>
      <c r="E3562" s="209"/>
      <c r="J3562" s="124"/>
    </row>
    <row r="3563" spans="3:10" x14ac:dyDescent="0.2">
      <c r="C3563" s="209"/>
      <c r="D3563" s="209"/>
      <c r="E3563" s="209"/>
      <c r="J3563" s="124"/>
    </row>
    <row r="3564" spans="3:10" x14ac:dyDescent="0.2">
      <c r="C3564" s="209"/>
      <c r="D3564" s="209"/>
      <c r="E3564" s="209"/>
      <c r="J3564" s="124"/>
    </row>
    <row r="3565" spans="3:10" x14ac:dyDescent="0.2">
      <c r="C3565" s="209"/>
      <c r="D3565" s="209"/>
      <c r="E3565" s="209"/>
      <c r="J3565" s="124"/>
    </row>
    <row r="3566" spans="3:10" x14ac:dyDescent="0.2">
      <c r="C3566" s="209"/>
      <c r="D3566" s="209"/>
      <c r="E3566" s="209"/>
      <c r="J3566" s="124"/>
    </row>
    <row r="3567" spans="3:10" x14ac:dyDescent="0.2">
      <c r="C3567" s="209"/>
      <c r="D3567" s="209"/>
      <c r="E3567" s="209"/>
      <c r="J3567" s="124"/>
    </row>
    <row r="3568" spans="3:10" x14ac:dyDescent="0.2">
      <c r="C3568" s="209"/>
      <c r="D3568" s="209"/>
      <c r="E3568" s="209"/>
      <c r="J3568" s="124"/>
    </row>
    <row r="3569" spans="3:10" x14ac:dyDescent="0.2">
      <c r="C3569" s="209"/>
      <c r="D3569" s="209"/>
      <c r="E3569" s="209"/>
      <c r="J3569" s="124"/>
    </row>
    <row r="3570" spans="3:10" x14ac:dyDescent="0.2">
      <c r="C3570" s="209"/>
      <c r="D3570" s="209"/>
      <c r="E3570" s="209"/>
      <c r="J3570" s="124"/>
    </row>
    <row r="3571" spans="3:10" x14ac:dyDescent="0.2">
      <c r="C3571" s="209"/>
      <c r="D3571" s="209"/>
      <c r="E3571" s="209"/>
      <c r="J3571" s="124"/>
    </row>
    <row r="3572" spans="3:10" x14ac:dyDescent="0.2">
      <c r="C3572" s="209"/>
      <c r="D3572" s="209"/>
      <c r="E3572" s="209"/>
      <c r="J3572" s="124"/>
    </row>
    <row r="3573" spans="3:10" x14ac:dyDescent="0.2">
      <c r="C3573" s="209"/>
      <c r="D3573" s="209"/>
      <c r="E3573" s="209"/>
      <c r="J3573" s="124"/>
    </row>
    <row r="3574" spans="3:10" x14ac:dyDescent="0.2">
      <c r="C3574" s="209"/>
      <c r="D3574" s="209"/>
      <c r="E3574" s="209"/>
      <c r="J3574" s="124"/>
    </row>
    <row r="3575" spans="3:10" x14ac:dyDescent="0.2">
      <c r="C3575" s="209"/>
      <c r="D3575" s="209"/>
      <c r="E3575" s="209"/>
      <c r="J3575" s="124"/>
    </row>
    <row r="3576" spans="3:10" x14ac:dyDescent="0.2">
      <c r="C3576" s="209"/>
      <c r="D3576" s="209"/>
      <c r="E3576" s="209"/>
      <c r="J3576" s="124"/>
    </row>
    <row r="3577" spans="3:10" x14ac:dyDescent="0.2">
      <c r="C3577" s="209"/>
      <c r="D3577" s="209"/>
      <c r="E3577" s="209"/>
      <c r="J3577" s="124"/>
    </row>
    <row r="3578" spans="3:10" x14ac:dyDescent="0.2">
      <c r="C3578" s="209"/>
      <c r="D3578" s="209"/>
      <c r="E3578" s="209"/>
      <c r="J3578" s="124"/>
    </row>
    <row r="3579" spans="3:10" x14ac:dyDescent="0.2">
      <c r="C3579" s="209"/>
      <c r="D3579" s="209"/>
      <c r="E3579" s="209"/>
      <c r="J3579" s="124"/>
    </row>
    <row r="3580" spans="3:10" x14ac:dyDescent="0.2">
      <c r="C3580" s="209"/>
      <c r="D3580" s="209"/>
      <c r="E3580" s="209"/>
      <c r="J3580" s="124"/>
    </row>
    <row r="3581" spans="3:10" x14ac:dyDescent="0.2">
      <c r="C3581" s="209"/>
      <c r="D3581" s="209"/>
      <c r="E3581" s="209"/>
      <c r="J3581" s="124"/>
    </row>
    <row r="3582" spans="3:10" x14ac:dyDescent="0.2">
      <c r="C3582" s="209"/>
      <c r="D3582" s="209"/>
      <c r="E3582" s="209"/>
      <c r="J3582" s="124"/>
    </row>
    <row r="3583" spans="3:10" x14ac:dyDescent="0.2">
      <c r="C3583" s="209"/>
      <c r="D3583" s="209"/>
      <c r="E3583" s="209"/>
      <c r="J3583" s="124"/>
    </row>
    <row r="3584" spans="3:10" x14ac:dyDescent="0.2">
      <c r="C3584" s="209"/>
      <c r="D3584" s="209"/>
      <c r="E3584" s="209"/>
      <c r="J3584" s="124"/>
    </row>
    <row r="3585" spans="3:10" x14ac:dyDescent="0.2">
      <c r="C3585" s="209"/>
      <c r="D3585" s="209"/>
      <c r="E3585" s="209"/>
      <c r="J3585" s="124"/>
    </row>
    <row r="3586" spans="3:10" x14ac:dyDescent="0.2">
      <c r="C3586" s="209"/>
      <c r="D3586" s="209"/>
      <c r="E3586" s="209"/>
      <c r="J3586" s="124"/>
    </row>
    <row r="3587" spans="3:10" x14ac:dyDescent="0.2">
      <c r="C3587" s="209"/>
      <c r="D3587" s="209"/>
      <c r="E3587" s="209"/>
      <c r="J3587" s="124"/>
    </row>
    <row r="3588" spans="3:10" x14ac:dyDescent="0.2">
      <c r="C3588" s="209"/>
      <c r="D3588" s="209"/>
      <c r="E3588" s="209"/>
      <c r="J3588" s="124"/>
    </row>
    <row r="3589" spans="3:10" x14ac:dyDescent="0.2">
      <c r="C3589" s="209"/>
      <c r="D3589" s="209"/>
      <c r="E3589" s="209"/>
      <c r="J3589" s="124"/>
    </row>
    <row r="3590" spans="3:10" x14ac:dyDescent="0.2">
      <c r="C3590" s="209"/>
      <c r="D3590" s="209"/>
      <c r="E3590" s="209"/>
      <c r="J3590" s="124"/>
    </row>
    <row r="3591" spans="3:10" x14ac:dyDescent="0.2">
      <c r="C3591" s="209"/>
      <c r="D3591" s="209"/>
      <c r="E3591" s="209"/>
      <c r="J3591" s="124"/>
    </row>
    <row r="3592" spans="3:10" x14ac:dyDescent="0.2">
      <c r="C3592" s="209"/>
      <c r="D3592" s="209"/>
      <c r="E3592" s="209"/>
      <c r="J3592" s="124"/>
    </row>
    <row r="3593" spans="3:10" x14ac:dyDescent="0.2">
      <c r="C3593" s="209"/>
      <c r="D3593" s="209"/>
      <c r="E3593" s="209"/>
      <c r="J3593" s="124"/>
    </row>
    <row r="3594" spans="3:10" x14ac:dyDescent="0.2">
      <c r="C3594" s="209"/>
      <c r="D3594" s="209"/>
      <c r="E3594" s="209"/>
      <c r="J3594" s="124"/>
    </row>
    <row r="3595" spans="3:10" x14ac:dyDescent="0.2">
      <c r="C3595" s="209"/>
      <c r="D3595" s="209"/>
      <c r="E3595" s="209"/>
      <c r="J3595" s="124"/>
    </row>
    <row r="3596" spans="3:10" x14ac:dyDescent="0.2">
      <c r="C3596" s="209"/>
      <c r="D3596" s="209"/>
      <c r="E3596" s="209"/>
      <c r="J3596" s="124"/>
    </row>
    <row r="3597" spans="3:10" x14ac:dyDescent="0.2">
      <c r="C3597" s="209"/>
      <c r="D3597" s="209"/>
      <c r="E3597" s="209"/>
      <c r="J3597" s="124"/>
    </row>
    <row r="3598" spans="3:10" x14ac:dyDescent="0.2">
      <c r="C3598" s="209"/>
      <c r="D3598" s="209"/>
      <c r="E3598" s="209"/>
      <c r="J3598" s="124"/>
    </row>
    <row r="3599" spans="3:10" x14ac:dyDescent="0.2">
      <c r="C3599" s="209"/>
      <c r="D3599" s="209"/>
      <c r="E3599" s="209"/>
      <c r="J3599" s="124"/>
    </row>
    <row r="3600" spans="3:10" x14ac:dyDescent="0.2">
      <c r="C3600" s="209"/>
      <c r="D3600" s="209"/>
      <c r="E3600" s="209"/>
      <c r="J3600" s="124"/>
    </row>
    <row r="3601" spans="3:10" x14ac:dyDescent="0.2">
      <c r="C3601" s="209"/>
      <c r="D3601" s="209"/>
      <c r="E3601" s="209"/>
      <c r="J3601" s="124"/>
    </row>
    <row r="3602" spans="3:10" x14ac:dyDescent="0.2">
      <c r="C3602" s="209"/>
      <c r="D3602" s="209"/>
      <c r="E3602" s="209"/>
      <c r="J3602" s="124"/>
    </row>
    <row r="3603" spans="3:10" x14ac:dyDescent="0.2">
      <c r="C3603" s="209"/>
      <c r="D3603" s="209"/>
      <c r="E3603" s="209"/>
      <c r="J3603" s="124"/>
    </row>
    <row r="3604" spans="3:10" x14ac:dyDescent="0.2">
      <c r="C3604" s="209"/>
      <c r="D3604" s="209"/>
      <c r="E3604" s="209"/>
      <c r="J3604" s="124"/>
    </row>
    <row r="3605" spans="3:10" x14ac:dyDescent="0.2">
      <c r="C3605" s="209"/>
      <c r="D3605" s="209"/>
      <c r="E3605" s="209"/>
      <c r="J3605" s="124"/>
    </row>
    <row r="3606" spans="3:10" x14ac:dyDescent="0.2">
      <c r="C3606" s="209"/>
      <c r="D3606" s="209"/>
      <c r="E3606" s="209"/>
      <c r="J3606" s="124"/>
    </row>
    <row r="3607" spans="3:10" x14ac:dyDescent="0.2">
      <c r="C3607" s="209"/>
      <c r="D3607" s="209"/>
      <c r="E3607" s="209"/>
      <c r="J3607" s="124"/>
    </row>
    <row r="3608" spans="3:10" x14ac:dyDescent="0.2">
      <c r="C3608" s="209"/>
      <c r="D3608" s="209"/>
      <c r="E3608" s="209"/>
      <c r="J3608" s="124"/>
    </row>
    <row r="3609" spans="3:10" x14ac:dyDescent="0.2">
      <c r="C3609" s="209"/>
      <c r="D3609" s="209"/>
      <c r="E3609" s="209"/>
      <c r="J3609" s="124"/>
    </row>
    <row r="3610" spans="3:10" x14ac:dyDescent="0.2">
      <c r="C3610" s="209"/>
      <c r="D3610" s="209"/>
      <c r="E3610" s="209"/>
      <c r="J3610" s="124"/>
    </row>
    <row r="3611" spans="3:10" x14ac:dyDescent="0.2">
      <c r="C3611" s="209"/>
      <c r="D3611" s="209"/>
      <c r="E3611" s="209"/>
      <c r="J3611" s="124"/>
    </row>
    <row r="3612" spans="3:10" x14ac:dyDescent="0.2">
      <c r="C3612" s="209"/>
      <c r="D3612" s="209"/>
      <c r="E3612" s="209"/>
      <c r="J3612" s="124"/>
    </row>
    <row r="3613" spans="3:10" x14ac:dyDescent="0.2">
      <c r="C3613" s="209"/>
      <c r="D3613" s="209"/>
      <c r="E3613" s="209"/>
      <c r="J3613" s="124"/>
    </row>
    <row r="3614" spans="3:10" x14ac:dyDescent="0.2">
      <c r="C3614" s="209"/>
      <c r="D3614" s="209"/>
      <c r="E3614" s="209"/>
      <c r="J3614" s="124"/>
    </row>
    <row r="3615" spans="3:10" x14ac:dyDescent="0.2">
      <c r="C3615" s="209"/>
      <c r="D3615" s="209"/>
      <c r="E3615" s="209"/>
      <c r="J3615" s="124"/>
    </row>
    <row r="3616" spans="3:10" x14ac:dyDescent="0.2">
      <c r="C3616" s="209"/>
      <c r="D3616" s="209"/>
      <c r="E3616" s="209"/>
      <c r="J3616" s="124"/>
    </row>
    <row r="3617" spans="3:10" x14ac:dyDescent="0.2">
      <c r="C3617" s="209"/>
      <c r="D3617" s="209"/>
      <c r="E3617" s="209"/>
      <c r="J3617" s="124"/>
    </row>
    <row r="3618" spans="3:10" x14ac:dyDescent="0.2">
      <c r="C3618" s="209"/>
      <c r="D3618" s="209"/>
      <c r="E3618" s="209"/>
      <c r="J3618" s="124"/>
    </row>
    <row r="3619" spans="3:10" x14ac:dyDescent="0.2">
      <c r="C3619" s="209"/>
      <c r="D3619" s="209"/>
      <c r="E3619" s="209"/>
      <c r="J3619" s="124"/>
    </row>
    <row r="3620" spans="3:10" x14ac:dyDescent="0.2">
      <c r="C3620" s="209"/>
      <c r="D3620" s="209"/>
      <c r="E3620" s="209"/>
      <c r="J3620" s="124"/>
    </row>
    <row r="3621" spans="3:10" x14ac:dyDescent="0.2">
      <c r="C3621" s="209"/>
      <c r="D3621" s="209"/>
      <c r="E3621" s="209"/>
      <c r="J3621" s="124"/>
    </row>
    <row r="3622" spans="3:10" x14ac:dyDescent="0.2">
      <c r="C3622" s="209"/>
      <c r="D3622" s="209"/>
      <c r="E3622" s="209"/>
      <c r="J3622" s="124"/>
    </row>
    <row r="3623" spans="3:10" x14ac:dyDescent="0.2">
      <c r="C3623" s="209"/>
      <c r="D3623" s="209"/>
      <c r="E3623" s="209"/>
      <c r="J3623" s="124"/>
    </row>
    <row r="3624" spans="3:10" x14ac:dyDescent="0.2">
      <c r="C3624" s="209"/>
      <c r="D3624" s="209"/>
      <c r="E3624" s="209"/>
      <c r="J3624" s="124"/>
    </row>
    <row r="3625" spans="3:10" x14ac:dyDescent="0.2">
      <c r="C3625" s="209"/>
      <c r="D3625" s="209"/>
      <c r="E3625" s="209"/>
      <c r="J3625" s="124"/>
    </row>
    <row r="3626" spans="3:10" x14ac:dyDescent="0.2">
      <c r="C3626" s="209"/>
      <c r="D3626" s="209"/>
      <c r="E3626" s="209"/>
      <c r="J3626" s="124"/>
    </row>
    <row r="3627" spans="3:10" x14ac:dyDescent="0.2">
      <c r="C3627" s="209"/>
      <c r="D3627" s="209"/>
      <c r="E3627" s="209"/>
      <c r="J3627" s="124"/>
    </row>
    <row r="3628" spans="3:10" x14ac:dyDescent="0.2">
      <c r="C3628" s="209"/>
      <c r="D3628" s="209"/>
      <c r="E3628" s="209"/>
      <c r="J3628" s="124"/>
    </row>
    <row r="3629" spans="3:10" x14ac:dyDescent="0.2">
      <c r="C3629" s="209"/>
      <c r="D3629" s="209"/>
      <c r="E3629" s="209"/>
      <c r="J3629" s="124"/>
    </row>
    <row r="3630" spans="3:10" x14ac:dyDescent="0.2">
      <c r="C3630" s="209"/>
      <c r="D3630" s="209"/>
      <c r="E3630" s="209"/>
      <c r="J3630" s="124"/>
    </row>
    <row r="3631" spans="3:10" x14ac:dyDescent="0.2">
      <c r="C3631" s="209"/>
      <c r="D3631" s="209"/>
      <c r="E3631" s="209"/>
      <c r="J3631" s="124"/>
    </row>
    <row r="3632" spans="3:10" x14ac:dyDescent="0.2">
      <c r="C3632" s="209"/>
      <c r="D3632" s="209"/>
      <c r="E3632" s="209"/>
      <c r="J3632" s="124"/>
    </row>
    <row r="3633" spans="3:10" x14ac:dyDescent="0.2">
      <c r="C3633" s="209"/>
      <c r="D3633" s="209"/>
      <c r="E3633" s="209"/>
      <c r="J3633" s="124"/>
    </row>
    <row r="3634" spans="3:10" x14ac:dyDescent="0.2">
      <c r="C3634" s="209"/>
      <c r="D3634" s="209"/>
      <c r="E3634" s="209"/>
      <c r="J3634" s="124"/>
    </row>
    <row r="3635" spans="3:10" x14ac:dyDescent="0.2">
      <c r="C3635" s="209"/>
      <c r="D3635" s="209"/>
      <c r="E3635" s="209"/>
      <c r="J3635" s="124"/>
    </row>
    <row r="3636" spans="3:10" x14ac:dyDescent="0.2">
      <c r="C3636" s="209"/>
      <c r="D3636" s="209"/>
      <c r="E3636" s="209"/>
      <c r="J3636" s="124"/>
    </row>
    <row r="3637" spans="3:10" x14ac:dyDescent="0.2">
      <c r="C3637" s="209"/>
      <c r="D3637" s="209"/>
      <c r="E3637" s="209"/>
      <c r="J3637" s="124"/>
    </row>
    <row r="3638" spans="3:10" x14ac:dyDescent="0.2">
      <c r="C3638" s="209"/>
      <c r="D3638" s="209"/>
      <c r="E3638" s="209"/>
      <c r="J3638" s="124"/>
    </row>
    <row r="3639" spans="3:10" x14ac:dyDescent="0.2">
      <c r="C3639" s="209"/>
      <c r="D3639" s="209"/>
      <c r="E3639" s="209"/>
      <c r="J3639" s="124"/>
    </row>
    <row r="3640" spans="3:10" x14ac:dyDescent="0.2">
      <c r="C3640" s="209"/>
      <c r="D3640" s="209"/>
      <c r="E3640" s="209"/>
      <c r="J3640" s="124"/>
    </row>
    <row r="3641" spans="3:10" x14ac:dyDescent="0.2">
      <c r="C3641" s="209"/>
      <c r="D3641" s="209"/>
      <c r="E3641" s="209"/>
      <c r="J3641" s="124"/>
    </row>
    <row r="3642" spans="3:10" x14ac:dyDescent="0.2">
      <c r="C3642" s="209"/>
      <c r="D3642" s="209"/>
      <c r="E3642" s="209"/>
      <c r="J3642" s="124"/>
    </row>
    <row r="3643" spans="3:10" x14ac:dyDescent="0.2">
      <c r="C3643" s="209"/>
      <c r="D3643" s="209"/>
      <c r="E3643" s="209"/>
      <c r="J3643" s="124"/>
    </row>
    <row r="3644" spans="3:10" x14ac:dyDescent="0.2">
      <c r="C3644" s="209"/>
      <c r="D3644" s="209"/>
      <c r="E3644" s="209"/>
      <c r="J3644" s="124"/>
    </row>
    <row r="3645" spans="3:10" x14ac:dyDescent="0.2">
      <c r="C3645" s="209"/>
      <c r="D3645" s="209"/>
      <c r="E3645" s="209"/>
      <c r="J3645" s="124"/>
    </row>
    <row r="3646" spans="3:10" x14ac:dyDescent="0.2">
      <c r="C3646" s="209"/>
      <c r="D3646" s="209"/>
      <c r="E3646" s="209"/>
      <c r="J3646" s="124"/>
    </row>
    <row r="3647" spans="3:10" x14ac:dyDescent="0.2">
      <c r="C3647" s="209"/>
      <c r="D3647" s="209"/>
      <c r="E3647" s="209"/>
      <c r="J3647" s="124"/>
    </row>
    <row r="3648" spans="3:10" x14ac:dyDescent="0.2">
      <c r="C3648" s="209"/>
      <c r="D3648" s="209"/>
      <c r="E3648" s="209"/>
      <c r="J3648" s="124"/>
    </row>
    <row r="3649" spans="3:10" x14ac:dyDescent="0.2">
      <c r="C3649" s="209"/>
      <c r="D3649" s="209"/>
      <c r="E3649" s="209"/>
      <c r="J3649" s="124"/>
    </row>
    <row r="3650" spans="3:10" x14ac:dyDescent="0.2">
      <c r="C3650" s="209"/>
      <c r="D3650" s="209"/>
      <c r="E3650" s="209"/>
      <c r="J3650" s="124"/>
    </row>
    <row r="3651" spans="3:10" x14ac:dyDescent="0.2">
      <c r="C3651" s="209"/>
      <c r="D3651" s="209"/>
      <c r="E3651" s="209"/>
      <c r="J3651" s="124"/>
    </row>
    <row r="3652" spans="3:10" x14ac:dyDescent="0.2">
      <c r="C3652" s="209"/>
      <c r="D3652" s="209"/>
      <c r="E3652" s="209"/>
      <c r="J3652" s="124"/>
    </row>
    <row r="3653" spans="3:10" x14ac:dyDescent="0.2">
      <c r="C3653" s="209"/>
      <c r="D3653" s="209"/>
      <c r="E3653" s="209"/>
      <c r="J3653" s="124"/>
    </row>
    <row r="3654" spans="3:10" x14ac:dyDescent="0.2">
      <c r="C3654" s="209"/>
      <c r="D3654" s="209"/>
      <c r="E3654" s="209"/>
      <c r="J3654" s="124"/>
    </row>
    <row r="3655" spans="3:10" x14ac:dyDescent="0.2">
      <c r="C3655" s="209"/>
      <c r="D3655" s="209"/>
      <c r="E3655" s="209"/>
      <c r="J3655" s="124"/>
    </row>
    <row r="3656" spans="3:10" x14ac:dyDescent="0.2">
      <c r="C3656" s="209"/>
      <c r="D3656" s="209"/>
      <c r="E3656" s="209"/>
      <c r="J3656" s="124"/>
    </row>
    <row r="3657" spans="3:10" x14ac:dyDescent="0.2">
      <c r="C3657" s="209"/>
      <c r="D3657" s="209"/>
      <c r="E3657" s="209"/>
      <c r="J3657" s="124"/>
    </row>
    <row r="3658" spans="3:10" x14ac:dyDescent="0.2">
      <c r="C3658" s="209"/>
      <c r="D3658" s="209"/>
      <c r="E3658" s="209"/>
      <c r="J3658" s="124"/>
    </row>
    <row r="3659" spans="3:10" x14ac:dyDescent="0.2">
      <c r="C3659" s="209"/>
      <c r="D3659" s="209"/>
      <c r="E3659" s="209"/>
      <c r="J3659" s="124"/>
    </row>
    <row r="3660" spans="3:10" x14ac:dyDescent="0.2">
      <c r="C3660" s="209"/>
      <c r="D3660" s="209"/>
      <c r="E3660" s="209"/>
      <c r="J3660" s="124"/>
    </row>
    <row r="3661" spans="3:10" x14ac:dyDescent="0.2">
      <c r="C3661" s="209"/>
      <c r="D3661" s="209"/>
      <c r="E3661" s="209"/>
      <c r="J3661" s="124"/>
    </row>
    <row r="3662" spans="3:10" x14ac:dyDescent="0.2">
      <c r="C3662" s="209"/>
      <c r="D3662" s="209"/>
      <c r="E3662" s="209"/>
      <c r="J3662" s="124"/>
    </row>
    <row r="3663" spans="3:10" x14ac:dyDescent="0.2">
      <c r="C3663" s="209"/>
      <c r="D3663" s="209"/>
      <c r="E3663" s="209"/>
      <c r="J3663" s="124"/>
    </row>
    <row r="3664" spans="3:10" x14ac:dyDescent="0.2">
      <c r="C3664" s="209"/>
      <c r="D3664" s="209"/>
      <c r="E3664" s="209"/>
      <c r="J3664" s="124"/>
    </row>
    <row r="3665" spans="3:10" x14ac:dyDescent="0.2">
      <c r="C3665" s="209"/>
      <c r="D3665" s="209"/>
      <c r="E3665" s="209"/>
      <c r="J3665" s="124"/>
    </row>
    <row r="3666" spans="3:10" x14ac:dyDescent="0.2">
      <c r="C3666" s="209"/>
      <c r="D3666" s="209"/>
      <c r="E3666" s="209"/>
      <c r="J3666" s="124"/>
    </row>
    <row r="3667" spans="3:10" x14ac:dyDescent="0.2">
      <c r="C3667" s="209"/>
      <c r="D3667" s="209"/>
      <c r="E3667" s="209"/>
      <c r="J3667" s="124"/>
    </row>
    <row r="3668" spans="3:10" x14ac:dyDescent="0.2">
      <c r="C3668" s="209"/>
      <c r="D3668" s="209"/>
      <c r="E3668" s="209"/>
      <c r="J3668" s="124"/>
    </row>
    <row r="3669" spans="3:10" x14ac:dyDescent="0.2">
      <c r="C3669" s="209"/>
      <c r="D3669" s="209"/>
      <c r="E3669" s="209"/>
      <c r="J3669" s="124"/>
    </row>
    <row r="3670" spans="3:10" x14ac:dyDescent="0.2">
      <c r="C3670" s="209"/>
      <c r="D3670" s="209"/>
      <c r="E3670" s="209"/>
      <c r="J3670" s="124"/>
    </row>
    <row r="3671" spans="3:10" x14ac:dyDescent="0.2">
      <c r="C3671" s="209"/>
      <c r="D3671" s="209"/>
      <c r="E3671" s="209"/>
      <c r="J3671" s="124"/>
    </row>
    <row r="3672" spans="3:10" x14ac:dyDescent="0.2">
      <c r="C3672" s="209"/>
      <c r="D3672" s="209"/>
      <c r="E3672" s="209"/>
      <c r="J3672" s="124"/>
    </row>
    <row r="3673" spans="3:10" x14ac:dyDescent="0.2">
      <c r="C3673" s="209"/>
      <c r="D3673" s="209"/>
      <c r="E3673" s="209"/>
      <c r="J3673" s="124"/>
    </row>
    <row r="3674" spans="3:10" x14ac:dyDescent="0.2">
      <c r="C3674" s="209"/>
      <c r="D3674" s="209"/>
      <c r="E3674" s="209"/>
      <c r="J3674" s="124"/>
    </row>
    <row r="3675" spans="3:10" x14ac:dyDescent="0.2">
      <c r="C3675" s="209"/>
      <c r="D3675" s="209"/>
      <c r="E3675" s="209"/>
      <c r="J3675" s="124"/>
    </row>
    <row r="3676" spans="3:10" x14ac:dyDescent="0.2">
      <c r="C3676" s="209"/>
      <c r="D3676" s="209"/>
      <c r="E3676" s="209"/>
      <c r="J3676" s="124"/>
    </row>
    <row r="3677" spans="3:10" x14ac:dyDescent="0.2">
      <c r="C3677" s="209"/>
      <c r="D3677" s="209"/>
      <c r="E3677" s="209"/>
      <c r="J3677" s="124"/>
    </row>
    <row r="3678" spans="3:10" x14ac:dyDescent="0.2">
      <c r="C3678" s="209"/>
      <c r="D3678" s="209"/>
      <c r="E3678" s="209"/>
      <c r="J3678" s="124"/>
    </row>
    <row r="3679" spans="3:10" x14ac:dyDescent="0.2">
      <c r="C3679" s="209"/>
      <c r="D3679" s="209"/>
      <c r="E3679" s="209"/>
      <c r="J3679" s="124"/>
    </row>
    <row r="3680" spans="3:10" x14ac:dyDescent="0.2">
      <c r="C3680" s="209"/>
      <c r="D3680" s="209"/>
      <c r="E3680" s="209"/>
      <c r="J3680" s="124"/>
    </row>
    <row r="3681" spans="3:10" x14ac:dyDescent="0.2">
      <c r="C3681" s="209"/>
      <c r="D3681" s="209"/>
      <c r="E3681" s="209"/>
      <c r="J3681" s="124"/>
    </row>
    <row r="3682" spans="3:10" x14ac:dyDescent="0.2">
      <c r="C3682" s="209"/>
      <c r="D3682" s="209"/>
      <c r="E3682" s="209"/>
      <c r="J3682" s="124"/>
    </row>
    <row r="3683" spans="3:10" x14ac:dyDescent="0.2">
      <c r="C3683" s="209"/>
      <c r="D3683" s="209"/>
      <c r="E3683" s="209"/>
      <c r="J3683" s="124"/>
    </row>
    <row r="3684" spans="3:10" x14ac:dyDescent="0.2">
      <c r="C3684" s="209"/>
      <c r="D3684" s="209"/>
      <c r="E3684" s="209"/>
      <c r="J3684" s="124"/>
    </row>
    <row r="3685" spans="3:10" x14ac:dyDescent="0.2">
      <c r="C3685" s="209"/>
      <c r="D3685" s="209"/>
      <c r="E3685" s="209"/>
      <c r="J3685" s="124"/>
    </row>
    <row r="3686" spans="3:10" x14ac:dyDescent="0.2">
      <c r="C3686" s="209"/>
      <c r="D3686" s="209"/>
      <c r="E3686" s="209"/>
      <c r="J3686" s="124"/>
    </row>
    <row r="3687" spans="3:10" x14ac:dyDescent="0.2">
      <c r="C3687" s="209"/>
      <c r="D3687" s="209"/>
      <c r="E3687" s="209"/>
      <c r="J3687" s="124"/>
    </row>
    <row r="3688" spans="3:10" x14ac:dyDescent="0.2">
      <c r="C3688" s="209"/>
      <c r="D3688" s="209"/>
      <c r="E3688" s="209"/>
      <c r="J3688" s="124"/>
    </row>
    <row r="3689" spans="3:10" x14ac:dyDescent="0.2">
      <c r="C3689" s="209"/>
      <c r="D3689" s="209"/>
      <c r="E3689" s="209"/>
      <c r="J3689" s="124"/>
    </row>
    <row r="3690" spans="3:10" x14ac:dyDescent="0.2">
      <c r="C3690" s="209"/>
      <c r="D3690" s="209"/>
      <c r="E3690" s="209"/>
      <c r="J3690" s="124"/>
    </row>
    <row r="3691" spans="3:10" x14ac:dyDescent="0.2">
      <c r="C3691" s="209"/>
      <c r="D3691" s="209"/>
      <c r="E3691" s="209"/>
      <c r="J3691" s="124"/>
    </row>
    <row r="3692" spans="3:10" x14ac:dyDescent="0.2">
      <c r="C3692" s="209"/>
      <c r="D3692" s="209"/>
      <c r="E3692" s="209"/>
      <c r="J3692" s="124"/>
    </row>
    <row r="3693" spans="3:10" x14ac:dyDescent="0.2">
      <c r="C3693" s="209"/>
      <c r="D3693" s="209"/>
      <c r="E3693" s="209"/>
      <c r="J3693" s="124"/>
    </row>
    <row r="3694" spans="3:10" x14ac:dyDescent="0.2">
      <c r="C3694" s="209"/>
      <c r="D3694" s="209"/>
      <c r="E3694" s="209"/>
      <c r="J3694" s="124"/>
    </row>
    <row r="3695" spans="3:10" x14ac:dyDescent="0.2">
      <c r="C3695" s="209"/>
      <c r="D3695" s="209"/>
      <c r="E3695" s="209"/>
      <c r="J3695" s="124"/>
    </row>
    <row r="3696" spans="3:10" x14ac:dyDescent="0.2">
      <c r="C3696" s="209"/>
      <c r="D3696" s="209"/>
      <c r="E3696" s="209"/>
      <c r="J3696" s="124"/>
    </row>
    <row r="3697" spans="3:10" x14ac:dyDescent="0.2">
      <c r="C3697" s="209"/>
      <c r="D3697" s="209"/>
      <c r="E3697" s="209"/>
      <c r="J3697" s="124"/>
    </row>
    <row r="3698" spans="3:10" x14ac:dyDescent="0.2">
      <c r="C3698" s="209"/>
      <c r="D3698" s="209"/>
      <c r="E3698" s="209"/>
      <c r="J3698" s="124"/>
    </row>
    <row r="3699" spans="3:10" x14ac:dyDescent="0.2">
      <c r="C3699" s="209"/>
      <c r="D3699" s="209"/>
      <c r="E3699" s="209"/>
      <c r="J3699" s="124"/>
    </row>
    <row r="3700" spans="3:10" x14ac:dyDescent="0.2">
      <c r="C3700" s="209"/>
      <c r="D3700" s="209"/>
      <c r="E3700" s="209"/>
      <c r="J3700" s="124"/>
    </row>
    <row r="3701" spans="3:10" x14ac:dyDescent="0.2">
      <c r="C3701" s="209"/>
      <c r="D3701" s="209"/>
      <c r="E3701" s="209"/>
      <c r="J3701" s="124"/>
    </row>
    <row r="3702" spans="3:10" x14ac:dyDescent="0.2">
      <c r="C3702" s="209"/>
      <c r="D3702" s="209"/>
      <c r="E3702" s="209"/>
      <c r="J3702" s="124"/>
    </row>
    <row r="3703" spans="3:10" x14ac:dyDescent="0.2">
      <c r="C3703" s="209"/>
      <c r="D3703" s="209"/>
      <c r="E3703" s="209"/>
      <c r="J3703" s="124"/>
    </row>
    <row r="3704" spans="3:10" x14ac:dyDescent="0.2">
      <c r="C3704" s="209"/>
      <c r="D3704" s="209"/>
      <c r="E3704" s="209"/>
      <c r="J3704" s="124"/>
    </row>
    <row r="3705" spans="3:10" x14ac:dyDescent="0.2">
      <c r="C3705" s="209"/>
      <c r="D3705" s="209"/>
      <c r="E3705" s="209"/>
      <c r="J3705" s="124"/>
    </row>
    <row r="3706" spans="3:10" x14ac:dyDescent="0.2">
      <c r="C3706" s="209"/>
      <c r="D3706" s="209"/>
      <c r="E3706" s="209"/>
      <c r="J3706" s="124"/>
    </row>
    <row r="3707" spans="3:10" x14ac:dyDescent="0.2">
      <c r="C3707" s="209"/>
      <c r="D3707" s="209"/>
      <c r="E3707" s="209"/>
      <c r="J3707" s="124"/>
    </row>
    <row r="3708" spans="3:10" x14ac:dyDescent="0.2">
      <c r="C3708" s="209"/>
      <c r="D3708" s="209"/>
      <c r="E3708" s="209"/>
      <c r="J3708" s="124"/>
    </row>
    <row r="3709" spans="3:10" x14ac:dyDescent="0.2">
      <c r="C3709" s="209"/>
      <c r="D3709" s="209"/>
      <c r="E3709" s="209"/>
      <c r="J3709" s="124"/>
    </row>
    <row r="3710" spans="3:10" x14ac:dyDescent="0.2">
      <c r="C3710" s="209"/>
      <c r="D3710" s="209"/>
      <c r="E3710" s="209"/>
      <c r="J3710" s="124"/>
    </row>
    <row r="3711" spans="3:10" x14ac:dyDescent="0.2">
      <c r="C3711" s="209"/>
      <c r="D3711" s="209"/>
      <c r="E3711" s="209"/>
      <c r="J3711" s="124"/>
    </row>
    <row r="3712" spans="3:10" x14ac:dyDescent="0.2">
      <c r="C3712" s="209"/>
      <c r="D3712" s="209"/>
      <c r="E3712" s="209"/>
      <c r="J3712" s="124"/>
    </row>
    <row r="3713" spans="3:10" x14ac:dyDescent="0.2">
      <c r="C3713" s="209"/>
      <c r="D3713" s="209"/>
      <c r="E3713" s="209"/>
      <c r="J3713" s="124"/>
    </row>
    <row r="3714" spans="3:10" x14ac:dyDescent="0.2">
      <c r="C3714" s="209"/>
      <c r="D3714" s="209"/>
      <c r="E3714" s="209"/>
      <c r="J3714" s="124"/>
    </row>
    <row r="3715" spans="3:10" x14ac:dyDescent="0.2">
      <c r="C3715" s="209"/>
      <c r="D3715" s="209"/>
      <c r="E3715" s="209"/>
      <c r="J3715" s="124"/>
    </row>
    <row r="3716" spans="3:10" x14ac:dyDescent="0.2">
      <c r="C3716" s="209"/>
      <c r="D3716" s="209"/>
      <c r="E3716" s="209"/>
      <c r="J3716" s="124"/>
    </row>
    <row r="3717" spans="3:10" x14ac:dyDescent="0.2">
      <c r="C3717" s="209"/>
      <c r="D3717" s="209"/>
      <c r="E3717" s="209"/>
      <c r="J3717" s="124"/>
    </row>
    <row r="3718" spans="3:10" x14ac:dyDescent="0.2">
      <c r="C3718" s="209"/>
      <c r="D3718" s="209"/>
      <c r="E3718" s="209"/>
      <c r="J3718" s="124"/>
    </row>
    <row r="3719" spans="3:10" x14ac:dyDescent="0.2">
      <c r="C3719" s="209"/>
      <c r="D3719" s="209"/>
      <c r="E3719" s="209"/>
      <c r="J3719" s="124"/>
    </row>
    <row r="3720" spans="3:10" x14ac:dyDescent="0.2">
      <c r="C3720" s="209"/>
      <c r="D3720" s="209"/>
      <c r="E3720" s="209"/>
      <c r="J3720" s="124"/>
    </row>
    <row r="3721" spans="3:10" x14ac:dyDescent="0.2">
      <c r="C3721" s="209"/>
      <c r="D3721" s="209"/>
      <c r="E3721" s="209"/>
      <c r="J3721" s="124"/>
    </row>
    <row r="3722" spans="3:10" x14ac:dyDescent="0.2">
      <c r="C3722" s="209"/>
      <c r="D3722" s="209"/>
      <c r="E3722" s="209"/>
      <c r="J3722" s="124"/>
    </row>
    <row r="3723" spans="3:10" x14ac:dyDescent="0.2">
      <c r="C3723" s="209"/>
      <c r="D3723" s="209"/>
      <c r="E3723" s="209"/>
      <c r="J3723" s="124"/>
    </row>
    <row r="3724" spans="3:10" x14ac:dyDescent="0.2">
      <c r="C3724" s="209"/>
      <c r="D3724" s="209"/>
      <c r="E3724" s="209"/>
      <c r="J3724" s="124"/>
    </row>
    <row r="3725" spans="3:10" x14ac:dyDescent="0.2">
      <c r="C3725" s="209"/>
      <c r="D3725" s="209"/>
      <c r="E3725" s="209"/>
      <c r="J3725" s="124"/>
    </row>
    <row r="3726" spans="3:10" x14ac:dyDescent="0.2">
      <c r="C3726" s="209"/>
      <c r="D3726" s="209"/>
      <c r="E3726" s="209"/>
      <c r="J3726" s="124"/>
    </row>
    <row r="3727" spans="3:10" x14ac:dyDescent="0.2">
      <c r="C3727" s="209"/>
      <c r="D3727" s="209"/>
      <c r="E3727" s="209"/>
      <c r="J3727" s="124"/>
    </row>
    <row r="3728" spans="3:10" x14ac:dyDescent="0.2">
      <c r="C3728" s="209"/>
      <c r="D3728" s="209"/>
      <c r="E3728" s="209"/>
      <c r="J3728" s="124"/>
    </row>
    <row r="3729" spans="3:10" x14ac:dyDescent="0.2">
      <c r="C3729" s="209"/>
      <c r="D3729" s="209"/>
      <c r="E3729" s="209"/>
      <c r="J3729" s="124"/>
    </row>
    <row r="3730" spans="3:10" x14ac:dyDescent="0.2">
      <c r="C3730" s="209"/>
      <c r="D3730" s="209"/>
      <c r="E3730" s="209"/>
      <c r="J3730" s="124"/>
    </row>
    <row r="3731" spans="3:10" x14ac:dyDescent="0.2">
      <c r="C3731" s="209"/>
      <c r="D3731" s="209"/>
      <c r="E3731" s="209"/>
      <c r="J3731" s="124"/>
    </row>
    <row r="3732" spans="3:10" x14ac:dyDescent="0.2">
      <c r="C3732" s="209"/>
      <c r="D3732" s="209"/>
      <c r="E3732" s="209"/>
      <c r="J3732" s="124"/>
    </row>
    <row r="3733" spans="3:10" x14ac:dyDescent="0.2">
      <c r="C3733" s="209"/>
      <c r="D3733" s="209"/>
      <c r="E3733" s="209"/>
      <c r="J3733" s="124"/>
    </row>
    <row r="3734" spans="3:10" x14ac:dyDescent="0.2">
      <c r="C3734" s="209"/>
      <c r="D3734" s="209"/>
      <c r="E3734" s="209"/>
      <c r="J3734" s="124"/>
    </row>
    <row r="3735" spans="3:10" x14ac:dyDescent="0.2">
      <c r="C3735" s="209"/>
      <c r="D3735" s="209"/>
      <c r="E3735" s="209"/>
      <c r="J3735" s="124"/>
    </row>
    <row r="3736" spans="3:10" x14ac:dyDescent="0.2">
      <c r="C3736" s="209"/>
      <c r="D3736" s="209"/>
      <c r="E3736" s="209"/>
      <c r="J3736" s="124"/>
    </row>
    <row r="3737" spans="3:10" x14ac:dyDescent="0.2">
      <c r="C3737" s="209"/>
      <c r="D3737" s="209"/>
      <c r="E3737" s="209"/>
      <c r="J3737" s="124"/>
    </row>
    <row r="3738" spans="3:10" x14ac:dyDescent="0.2">
      <c r="C3738" s="209"/>
      <c r="D3738" s="209"/>
      <c r="E3738" s="209"/>
      <c r="J3738" s="124"/>
    </row>
    <row r="3739" spans="3:10" x14ac:dyDescent="0.2">
      <c r="C3739" s="209"/>
      <c r="D3739" s="209"/>
      <c r="E3739" s="209"/>
      <c r="J3739" s="124"/>
    </row>
    <row r="3740" spans="3:10" x14ac:dyDescent="0.2">
      <c r="C3740" s="209"/>
      <c r="D3740" s="209"/>
      <c r="E3740" s="209"/>
      <c r="J3740" s="124"/>
    </row>
    <row r="3741" spans="3:10" x14ac:dyDescent="0.2">
      <c r="C3741" s="209"/>
      <c r="D3741" s="209"/>
      <c r="E3741" s="209"/>
      <c r="J3741" s="124"/>
    </row>
    <row r="3742" spans="3:10" x14ac:dyDescent="0.2">
      <c r="C3742" s="209"/>
      <c r="D3742" s="209"/>
      <c r="E3742" s="209"/>
      <c r="J3742" s="124"/>
    </row>
    <row r="3743" spans="3:10" x14ac:dyDescent="0.2">
      <c r="C3743" s="209"/>
      <c r="D3743" s="209"/>
      <c r="E3743" s="209"/>
      <c r="J3743" s="124"/>
    </row>
    <row r="3744" spans="3:10" x14ac:dyDescent="0.2">
      <c r="C3744" s="209"/>
      <c r="D3744" s="209"/>
      <c r="E3744" s="209"/>
      <c r="J3744" s="124"/>
    </row>
    <row r="3745" spans="3:10" x14ac:dyDescent="0.2">
      <c r="C3745" s="209"/>
      <c r="D3745" s="209"/>
      <c r="E3745" s="209"/>
      <c r="J3745" s="124"/>
    </row>
    <row r="3746" spans="3:10" x14ac:dyDescent="0.2">
      <c r="C3746" s="209"/>
      <c r="D3746" s="209"/>
      <c r="E3746" s="209"/>
      <c r="J3746" s="124"/>
    </row>
    <row r="3747" spans="3:10" x14ac:dyDescent="0.2">
      <c r="C3747" s="209"/>
      <c r="D3747" s="209"/>
      <c r="E3747" s="209"/>
      <c r="J3747" s="124"/>
    </row>
    <row r="3748" spans="3:10" x14ac:dyDescent="0.2">
      <c r="C3748" s="209"/>
      <c r="D3748" s="209"/>
      <c r="E3748" s="209"/>
      <c r="J3748" s="124"/>
    </row>
    <row r="3749" spans="3:10" x14ac:dyDescent="0.2">
      <c r="C3749" s="209"/>
      <c r="D3749" s="209"/>
      <c r="E3749" s="209"/>
      <c r="J3749" s="124"/>
    </row>
    <row r="3750" spans="3:10" x14ac:dyDescent="0.2">
      <c r="C3750" s="209"/>
      <c r="D3750" s="209"/>
      <c r="E3750" s="209"/>
      <c r="J3750" s="124"/>
    </row>
    <row r="3751" spans="3:10" x14ac:dyDescent="0.2">
      <c r="C3751" s="209"/>
      <c r="D3751" s="209"/>
      <c r="E3751" s="209"/>
      <c r="J3751" s="124"/>
    </row>
    <row r="3752" spans="3:10" x14ac:dyDescent="0.2">
      <c r="C3752" s="209"/>
      <c r="D3752" s="209"/>
      <c r="E3752" s="209"/>
      <c r="J3752" s="124"/>
    </row>
    <row r="3753" spans="3:10" x14ac:dyDescent="0.2">
      <c r="C3753" s="209"/>
      <c r="D3753" s="209"/>
      <c r="E3753" s="209"/>
      <c r="J3753" s="124"/>
    </row>
    <row r="3754" spans="3:10" x14ac:dyDescent="0.2">
      <c r="C3754" s="209"/>
      <c r="D3754" s="209"/>
      <c r="E3754" s="209"/>
      <c r="J3754" s="124"/>
    </row>
    <row r="3755" spans="3:10" x14ac:dyDescent="0.2">
      <c r="C3755" s="209"/>
      <c r="D3755" s="209"/>
      <c r="E3755" s="209"/>
      <c r="J3755" s="124"/>
    </row>
    <row r="3756" spans="3:10" x14ac:dyDescent="0.2">
      <c r="C3756" s="209"/>
      <c r="D3756" s="209"/>
      <c r="E3756" s="209"/>
      <c r="J3756" s="124"/>
    </row>
    <row r="3757" spans="3:10" x14ac:dyDescent="0.2">
      <c r="C3757" s="209"/>
      <c r="D3757" s="209"/>
      <c r="E3757" s="209"/>
      <c r="J3757" s="124"/>
    </row>
    <row r="3758" spans="3:10" x14ac:dyDescent="0.2">
      <c r="C3758" s="209"/>
      <c r="D3758" s="209"/>
      <c r="E3758" s="209"/>
      <c r="J3758" s="124"/>
    </row>
    <row r="3759" spans="3:10" x14ac:dyDescent="0.2">
      <c r="C3759" s="209"/>
      <c r="D3759" s="209"/>
      <c r="E3759" s="209"/>
      <c r="J3759" s="124"/>
    </row>
    <row r="3760" spans="3:10" x14ac:dyDescent="0.2">
      <c r="C3760" s="209"/>
      <c r="D3760" s="209"/>
      <c r="E3760" s="209"/>
      <c r="J3760" s="124"/>
    </row>
    <row r="3761" spans="3:10" x14ac:dyDescent="0.2">
      <c r="C3761" s="209"/>
      <c r="D3761" s="209"/>
      <c r="E3761" s="209"/>
      <c r="J3761" s="124"/>
    </row>
    <row r="3762" spans="3:10" x14ac:dyDescent="0.2">
      <c r="C3762" s="209"/>
      <c r="D3762" s="209"/>
      <c r="E3762" s="209"/>
      <c r="J3762" s="124"/>
    </row>
    <row r="3763" spans="3:10" x14ac:dyDescent="0.2">
      <c r="C3763" s="209"/>
      <c r="D3763" s="209"/>
      <c r="E3763" s="209"/>
      <c r="J3763" s="124"/>
    </row>
    <row r="3764" spans="3:10" x14ac:dyDescent="0.2">
      <c r="C3764" s="209"/>
      <c r="D3764" s="209"/>
      <c r="E3764" s="209"/>
      <c r="J3764" s="124"/>
    </row>
    <row r="3765" spans="3:10" x14ac:dyDescent="0.2">
      <c r="C3765" s="209"/>
      <c r="D3765" s="209"/>
      <c r="E3765" s="209"/>
      <c r="J3765" s="124"/>
    </row>
    <row r="3766" spans="3:10" x14ac:dyDescent="0.2">
      <c r="C3766" s="209"/>
      <c r="D3766" s="209"/>
      <c r="E3766" s="209"/>
      <c r="J3766" s="124"/>
    </row>
    <row r="3767" spans="3:10" x14ac:dyDescent="0.2">
      <c r="C3767" s="209"/>
      <c r="D3767" s="209"/>
      <c r="E3767" s="209"/>
      <c r="J3767" s="124"/>
    </row>
    <row r="3768" spans="3:10" x14ac:dyDescent="0.2">
      <c r="C3768" s="209"/>
      <c r="D3768" s="209"/>
      <c r="E3768" s="209"/>
      <c r="J3768" s="124"/>
    </row>
    <row r="3769" spans="3:10" x14ac:dyDescent="0.2">
      <c r="C3769" s="209"/>
      <c r="D3769" s="209"/>
      <c r="E3769" s="209"/>
      <c r="J3769" s="124"/>
    </row>
    <row r="3770" spans="3:10" x14ac:dyDescent="0.2">
      <c r="C3770" s="209"/>
      <c r="D3770" s="209"/>
      <c r="E3770" s="209"/>
      <c r="J3770" s="124"/>
    </row>
    <row r="3771" spans="3:10" x14ac:dyDescent="0.2">
      <c r="C3771" s="209"/>
      <c r="D3771" s="209"/>
      <c r="E3771" s="209"/>
      <c r="J3771" s="124"/>
    </row>
    <row r="3772" spans="3:10" x14ac:dyDescent="0.2">
      <c r="C3772" s="209"/>
      <c r="D3772" s="209"/>
      <c r="E3772" s="209"/>
      <c r="J3772" s="124"/>
    </row>
    <row r="3773" spans="3:10" x14ac:dyDescent="0.2">
      <c r="C3773" s="209"/>
      <c r="D3773" s="209"/>
      <c r="E3773" s="209"/>
      <c r="J3773" s="124"/>
    </row>
    <row r="3774" spans="3:10" x14ac:dyDescent="0.2">
      <c r="C3774" s="209"/>
      <c r="D3774" s="209"/>
      <c r="E3774" s="209"/>
      <c r="J3774" s="124"/>
    </row>
    <row r="3775" spans="3:10" x14ac:dyDescent="0.2">
      <c r="C3775" s="209"/>
      <c r="D3775" s="209"/>
      <c r="E3775" s="209"/>
      <c r="J3775" s="124"/>
    </row>
    <row r="3776" spans="3:10" x14ac:dyDescent="0.2">
      <c r="C3776" s="209"/>
      <c r="D3776" s="209"/>
      <c r="E3776" s="209"/>
      <c r="J3776" s="124"/>
    </row>
    <row r="3777" spans="3:10" x14ac:dyDescent="0.2">
      <c r="C3777" s="209"/>
      <c r="D3777" s="209"/>
      <c r="E3777" s="209"/>
      <c r="J3777" s="124"/>
    </row>
    <row r="3778" spans="3:10" x14ac:dyDescent="0.2">
      <c r="C3778" s="209"/>
      <c r="D3778" s="209"/>
      <c r="E3778" s="209"/>
      <c r="J3778" s="124"/>
    </row>
    <row r="3779" spans="3:10" x14ac:dyDescent="0.2">
      <c r="C3779" s="209"/>
      <c r="D3779" s="209"/>
      <c r="E3779" s="209"/>
      <c r="J3779" s="124"/>
    </row>
    <row r="3780" spans="3:10" x14ac:dyDescent="0.2">
      <c r="C3780" s="209"/>
      <c r="D3780" s="209"/>
      <c r="E3780" s="209"/>
      <c r="J3780" s="124"/>
    </row>
    <row r="3781" spans="3:10" x14ac:dyDescent="0.2">
      <c r="C3781" s="209"/>
      <c r="D3781" s="209"/>
      <c r="E3781" s="209"/>
      <c r="J3781" s="124"/>
    </row>
    <row r="3782" spans="3:10" x14ac:dyDescent="0.2">
      <c r="C3782" s="209"/>
      <c r="D3782" s="209"/>
      <c r="E3782" s="209"/>
      <c r="J3782" s="124"/>
    </row>
    <row r="3783" spans="3:10" x14ac:dyDescent="0.2">
      <c r="C3783" s="209"/>
      <c r="D3783" s="209"/>
      <c r="E3783" s="209"/>
      <c r="J3783" s="124"/>
    </row>
    <row r="3784" spans="3:10" x14ac:dyDescent="0.2">
      <c r="C3784" s="209"/>
      <c r="D3784" s="209"/>
      <c r="E3784" s="209"/>
      <c r="J3784" s="124"/>
    </row>
    <row r="3785" spans="3:10" x14ac:dyDescent="0.2">
      <c r="C3785" s="209"/>
      <c r="D3785" s="209"/>
      <c r="E3785" s="209"/>
      <c r="J3785" s="124"/>
    </row>
    <row r="3786" spans="3:10" x14ac:dyDescent="0.2">
      <c r="C3786" s="209"/>
      <c r="D3786" s="209"/>
      <c r="E3786" s="209"/>
      <c r="J3786" s="124"/>
    </row>
    <row r="3787" spans="3:10" x14ac:dyDescent="0.2">
      <c r="C3787" s="209"/>
      <c r="D3787" s="209"/>
      <c r="E3787" s="209"/>
      <c r="J3787" s="124"/>
    </row>
    <row r="3788" spans="3:10" x14ac:dyDescent="0.2">
      <c r="C3788" s="209"/>
      <c r="D3788" s="209"/>
      <c r="E3788" s="209"/>
      <c r="J3788" s="124"/>
    </row>
    <row r="3789" spans="3:10" x14ac:dyDescent="0.2">
      <c r="C3789" s="209"/>
      <c r="D3789" s="209"/>
      <c r="E3789" s="209"/>
      <c r="J3789" s="124"/>
    </row>
    <row r="3790" spans="3:10" x14ac:dyDescent="0.2">
      <c r="C3790" s="209"/>
      <c r="D3790" s="209"/>
      <c r="E3790" s="209"/>
      <c r="J3790" s="124"/>
    </row>
    <row r="3791" spans="3:10" x14ac:dyDescent="0.2">
      <c r="C3791" s="209"/>
      <c r="D3791" s="209"/>
      <c r="E3791" s="209"/>
      <c r="J3791" s="124"/>
    </row>
    <row r="3792" spans="3:10" x14ac:dyDescent="0.2">
      <c r="C3792" s="209"/>
      <c r="D3792" s="209"/>
      <c r="E3792" s="209"/>
      <c r="J3792" s="124"/>
    </row>
    <row r="3793" spans="3:10" x14ac:dyDescent="0.2">
      <c r="C3793" s="209"/>
      <c r="D3793" s="209"/>
      <c r="E3793" s="209"/>
      <c r="J3793" s="124"/>
    </row>
    <row r="3794" spans="3:10" x14ac:dyDescent="0.2">
      <c r="C3794" s="209"/>
      <c r="D3794" s="209"/>
      <c r="E3794" s="209"/>
      <c r="J3794" s="124"/>
    </row>
    <row r="3795" spans="3:10" x14ac:dyDescent="0.2">
      <c r="C3795" s="209"/>
      <c r="D3795" s="209"/>
      <c r="E3795" s="209"/>
      <c r="J3795" s="124"/>
    </row>
    <row r="3796" spans="3:10" x14ac:dyDescent="0.2">
      <c r="C3796" s="209"/>
      <c r="D3796" s="209"/>
      <c r="E3796" s="209"/>
      <c r="J3796" s="124"/>
    </row>
    <row r="3797" spans="3:10" x14ac:dyDescent="0.2">
      <c r="C3797" s="209"/>
      <c r="D3797" s="209"/>
      <c r="E3797" s="209"/>
      <c r="J3797" s="124"/>
    </row>
    <row r="3798" spans="3:10" x14ac:dyDescent="0.2">
      <c r="C3798" s="209"/>
      <c r="D3798" s="209"/>
      <c r="E3798" s="209"/>
      <c r="J3798" s="124"/>
    </row>
    <row r="3799" spans="3:10" x14ac:dyDescent="0.2">
      <c r="C3799" s="209"/>
      <c r="D3799" s="209"/>
      <c r="E3799" s="209"/>
      <c r="J3799" s="124"/>
    </row>
    <row r="3800" spans="3:10" x14ac:dyDescent="0.2">
      <c r="C3800" s="209"/>
      <c r="D3800" s="209"/>
      <c r="E3800" s="209"/>
      <c r="J3800" s="124"/>
    </row>
    <row r="3801" spans="3:10" x14ac:dyDescent="0.2">
      <c r="C3801" s="209"/>
      <c r="D3801" s="209"/>
      <c r="E3801" s="209"/>
      <c r="J3801" s="124"/>
    </row>
    <row r="3802" spans="3:10" x14ac:dyDescent="0.2">
      <c r="C3802" s="209"/>
      <c r="D3802" s="209"/>
      <c r="E3802" s="209"/>
      <c r="J3802" s="124"/>
    </row>
    <row r="3803" spans="3:10" x14ac:dyDescent="0.2">
      <c r="C3803" s="209"/>
      <c r="D3803" s="209"/>
      <c r="E3803" s="209"/>
      <c r="J3803" s="124"/>
    </row>
    <row r="3804" spans="3:10" x14ac:dyDescent="0.2">
      <c r="C3804" s="209"/>
      <c r="D3804" s="209"/>
      <c r="E3804" s="209"/>
      <c r="J3804" s="124"/>
    </row>
    <row r="3805" spans="3:10" x14ac:dyDescent="0.2">
      <c r="C3805" s="209"/>
      <c r="D3805" s="209"/>
      <c r="E3805" s="209"/>
      <c r="J3805" s="124"/>
    </row>
    <row r="3806" spans="3:10" x14ac:dyDescent="0.2">
      <c r="C3806" s="209"/>
      <c r="D3806" s="209"/>
      <c r="E3806" s="209"/>
      <c r="J3806" s="124"/>
    </row>
    <row r="3807" spans="3:10" x14ac:dyDescent="0.2">
      <c r="C3807" s="209"/>
      <c r="D3807" s="209"/>
      <c r="E3807" s="209"/>
      <c r="J3807" s="124"/>
    </row>
    <row r="3808" spans="3:10" x14ac:dyDescent="0.2">
      <c r="C3808" s="209"/>
      <c r="D3808" s="209"/>
      <c r="E3808" s="209"/>
      <c r="J3808" s="124"/>
    </row>
    <row r="3809" spans="3:10" x14ac:dyDescent="0.2">
      <c r="C3809" s="209"/>
      <c r="D3809" s="209"/>
      <c r="E3809" s="209"/>
      <c r="J3809" s="124"/>
    </row>
    <row r="3810" spans="3:10" x14ac:dyDescent="0.2">
      <c r="C3810" s="209"/>
      <c r="D3810" s="209"/>
      <c r="E3810" s="209"/>
      <c r="J3810" s="124"/>
    </row>
    <row r="3811" spans="3:10" x14ac:dyDescent="0.2">
      <c r="C3811" s="209"/>
      <c r="D3811" s="209"/>
      <c r="E3811" s="209"/>
      <c r="J3811" s="124"/>
    </row>
    <row r="3812" spans="3:10" x14ac:dyDescent="0.2">
      <c r="C3812" s="209"/>
      <c r="D3812" s="209"/>
      <c r="E3812" s="209"/>
      <c r="J3812" s="124"/>
    </row>
    <row r="3813" spans="3:10" x14ac:dyDescent="0.2">
      <c r="C3813" s="209"/>
      <c r="D3813" s="209"/>
      <c r="E3813" s="209"/>
      <c r="J3813" s="124"/>
    </row>
    <row r="3814" spans="3:10" x14ac:dyDescent="0.2">
      <c r="C3814" s="209"/>
      <c r="D3814" s="209"/>
      <c r="E3814" s="209"/>
      <c r="J3814" s="124"/>
    </row>
    <row r="3815" spans="3:10" x14ac:dyDescent="0.2">
      <c r="C3815" s="209"/>
      <c r="D3815" s="209"/>
      <c r="E3815" s="209"/>
      <c r="J3815" s="124"/>
    </row>
    <row r="3816" spans="3:10" x14ac:dyDescent="0.2">
      <c r="C3816" s="209"/>
      <c r="D3816" s="209"/>
      <c r="E3816" s="209"/>
      <c r="J3816" s="124"/>
    </row>
    <row r="3817" spans="3:10" x14ac:dyDescent="0.2">
      <c r="C3817" s="209"/>
      <c r="D3817" s="209"/>
      <c r="E3817" s="209"/>
      <c r="J3817" s="124"/>
    </row>
    <row r="3818" spans="3:10" x14ac:dyDescent="0.2">
      <c r="C3818" s="209"/>
      <c r="D3818" s="209"/>
      <c r="E3818" s="209"/>
      <c r="J3818" s="124"/>
    </row>
    <row r="3819" spans="3:10" x14ac:dyDescent="0.2">
      <c r="C3819" s="209"/>
      <c r="D3819" s="209"/>
      <c r="E3819" s="209"/>
      <c r="J3819" s="124"/>
    </row>
    <row r="3820" spans="3:10" x14ac:dyDescent="0.2">
      <c r="C3820" s="209"/>
      <c r="D3820" s="209"/>
      <c r="E3820" s="209"/>
      <c r="J3820" s="124"/>
    </row>
    <row r="3821" spans="3:10" x14ac:dyDescent="0.2">
      <c r="C3821" s="209"/>
      <c r="D3821" s="209"/>
      <c r="E3821" s="209"/>
      <c r="J3821" s="124"/>
    </row>
    <row r="3822" spans="3:10" x14ac:dyDescent="0.2">
      <c r="C3822" s="209"/>
      <c r="D3822" s="209"/>
      <c r="E3822" s="209"/>
      <c r="J3822" s="124"/>
    </row>
    <row r="3823" spans="3:10" x14ac:dyDescent="0.2">
      <c r="C3823" s="209"/>
      <c r="D3823" s="209"/>
      <c r="E3823" s="209"/>
      <c r="J3823" s="124"/>
    </row>
    <row r="3824" spans="3:10" x14ac:dyDescent="0.2">
      <c r="C3824" s="209"/>
      <c r="D3824" s="209"/>
      <c r="E3824" s="209"/>
      <c r="J3824" s="124"/>
    </row>
    <row r="3825" spans="3:10" x14ac:dyDescent="0.2">
      <c r="C3825" s="209"/>
      <c r="D3825" s="209"/>
      <c r="E3825" s="209"/>
      <c r="J3825" s="124"/>
    </row>
    <row r="3826" spans="3:10" x14ac:dyDescent="0.2">
      <c r="C3826" s="209"/>
      <c r="D3826" s="209"/>
      <c r="E3826" s="209"/>
      <c r="J3826" s="124"/>
    </row>
    <row r="3827" spans="3:10" x14ac:dyDescent="0.2">
      <c r="C3827" s="209"/>
      <c r="D3827" s="209"/>
      <c r="E3827" s="209"/>
      <c r="J3827" s="124"/>
    </row>
    <row r="3828" spans="3:10" x14ac:dyDescent="0.2">
      <c r="C3828" s="209"/>
      <c r="D3828" s="209"/>
      <c r="E3828" s="209"/>
      <c r="J3828" s="124"/>
    </row>
    <row r="3829" spans="3:10" x14ac:dyDescent="0.2">
      <c r="C3829" s="209"/>
      <c r="D3829" s="209"/>
      <c r="E3829" s="209"/>
      <c r="J3829" s="124"/>
    </row>
    <row r="3830" spans="3:10" x14ac:dyDescent="0.2">
      <c r="C3830" s="209"/>
      <c r="D3830" s="209"/>
      <c r="E3830" s="209"/>
      <c r="J3830" s="124"/>
    </row>
    <row r="3831" spans="3:10" x14ac:dyDescent="0.2">
      <c r="C3831" s="209"/>
      <c r="D3831" s="209"/>
      <c r="E3831" s="209"/>
      <c r="J3831" s="124"/>
    </row>
    <row r="3832" spans="3:10" x14ac:dyDescent="0.2">
      <c r="C3832" s="209"/>
      <c r="D3832" s="209"/>
      <c r="E3832" s="209"/>
      <c r="J3832" s="124"/>
    </row>
    <row r="3833" spans="3:10" x14ac:dyDescent="0.2">
      <c r="C3833" s="209"/>
      <c r="D3833" s="209"/>
      <c r="E3833" s="209"/>
      <c r="J3833" s="124"/>
    </row>
    <row r="3834" spans="3:10" x14ac:dyDescent="0.2">
      <c r="C3834" s="209"/>
      <c r="D3834" s="209"/>
      <c r="E3834" s="209"/>
      <c r="J3834" s="124"/>
    </row>
    <row r="3835" spans="3:10" x14ac:dyDescent="0.2">
      <c r="C3835" s="209"/>
      <c r="D3835" s="209"/>
      <c r="E3835" s="209"/>
      <c r="J3835" s="124"/>
    </row>
    <row r="3836" spans="3:10" x14ac:dyDescent="0.2">
      <c r="C3836" s="209"/>
      <c r="D3836" s="209"/>
      <c r="E3836" s="209"/>
      <c r="J3836" s="124"/>
    </row>
    <row r="3837" spans="3:10" x14ac:dyDescent="0.2">
      <c r="C3837" s="209"/>
      <c r="D3837" s="209"/>
      <c r="E3837" s="209"/>
      <c r="J3837" s="124"/>
    </row>
    <row r="3838" spans="3:10" x14ac:dyDescent="0.2">
      <c r="C3838" s="209"/>
      <c r="D3838" s="209"/>
      <c r="E3838" s="209"/>
      <c r="J3838" s="124"/>
    </row>
    <row r="3839" spans="3:10" x14ac:dyDescent="0.2">
      <c r="C3839" s="209"/>
      <c r="D3839" s="209"/>
      <c r="E3839" s="209"/>
      <c r="J3839" s="124"/>
    </row>
    <row r="3840" spans="3:10" x14ac:dyDescent="0.2">
      <c r="C3840" s="209"/>
      <c r="D3840" s="209"/>
      <c r="E3840" s="209"/>
      <c r="J3840" s="124"/>
    </row>
    <row r="3841" spans="3:10" x14ac:dyDescent="0.2">
      <c r="C3841" s="209"/>
      <c r="D3841" s="209"/>
      <c r="E3841" s="209"/>
      <c r="J3841" s="124"/>
    </row>
    <row r="3842" spans="3:10" x14ac:dyDescent="0.2">
      <c r="C3842" s="209"/>
      <c r="D3842" s="209"/>
      <c r="E3842" s="209"/>
      <c r="J3842" s="124"/>
    </row>
    <row r="3843" spans="3:10" x14ac:dyDescent="0.2">
      <c r="C3843" s="209"/>
      <c r="D3843" s="209"/>
      <c r="E3843" s="209"/>
      <c r="J3843" s="124"/>
    </row>
    <row r="3844" spans="3:10" x14ac:dyDescent="0.2">
      <c r="C3844" s="209"/>
      <c r="D3844" s="209"/>
      <c r="E3844" s="209"/>
      <c r="J3844" s="124"/>
    </row>
    <row r="3845" spans="3:10" x14ac:dyDescent="0.2">
      <c r="C3845" s="209"/>
      <c r="D3845" s="209"/>
      <c r="E3845" s="209"/>
      <c r="J3845" s="124"/>
    </row>
    <row r="3846" spans="3:10" x14ac:dyDescent="0.2">
      <c r="C3846" s="209"/>
      <c r="D3846" s="209"/>
      <c r="E3846" s="209"/>
      <c r="J3846" s="124"/>
    </row>
    <row r="3847" spans="3:10" x14ac:dyDescent="0.2">
      <c r="C3847" s="209"/>
      <c r="D3847" s="209"/>
      <c r="E3847" s="209"/>
      <c r="J3847" s="124"/>
    </row>
    <row r="3848" spans="3:10" x14ac:dyDescent="0.2">
      <c r="C3848" s="209"/>
      <c r="D3848" s="209"/>
      <c r="E3848" s="209"/>
      <c r="J3848" s="124"/>
    </row>
    <row r="3849" spans="3:10" x14ac:dyDescent="0.2">
      <c r="C3849" s="209"/>
      <c r="D3849" s="209"/>
      <c r="E3849" s="209"/>
      <c r="J3849" s="124"/>
    </row>
    <row r="3850" spans="3:10" x14ac:dyDescent="0.2">
      <c r="C3850" s="209"/>
      <c r="D3850" s="209"/>
      <c r="E3850" s="209"/>
      <c r="J3850" s="124"/>
    </row>
    <row r="3851" spans="3:10" x14ac:dyDescent="0.2">
      <c r="C3851" s="209"/>
      <c r="D3851" s="209"/>
      <c r="E3851" s="209"/>
      <c r="J3851" s="124"/>
    </row>
    <row r="3852" spans="3:10" x14ac:dyDescent="0.2">
      <c r="C3852" s="209"/>
      <c r="D3852" s="209"/>
      <c r="E3852" s="209"/>
      <c r="J3852" s="124"/>
    </row>
    <row r="3853" spans="3:10" x14ac:dyDescent="0.2">
      <c r="C3853" s="209"/>
      <c r="D3853" s="209"/>
      <c r="E3853" s="209"/>
      <c r="J3853" s="124"/>
    </row>
    <row r="3854" spans="3:10" x14ac:dyDescent="0.2">
      <c r="C3854" s="209"/>
      <c r="D3854" s="209"/>
      <c r="E3854" s="209"/>
      <c r="J3854" s="124"/>
    </row>
    <row r="3855" spans="3:10" x14ac:dyDescent="0.2">
      <c r="C3855" s="209"/>
      <c r="D3855" s="209"/>
      <c r="E3855" s="209"/>
      <c r="J3855" s="124"/>
    </row>
    <row r="3856" spans="3:10" x14ac:dyDescent="0.2">
      <c r="C3856" s="209"/>
      <c r="D3856" s="209"/>
      <c r="E3856" s="209"/>
      <c r="J3856" s="124"/>
    </row>
    <row r="3857" spans="3:10" x14ac:dyDescent="0.2">
      <c r="C3857" s="209"/>
      <c r="D3857" s="209"/>
      <c r="E3857" s="209"/>
      <c r="J3857" s="124"/>
    </row>
    <row r="3858" spans="3:10" x14ac:dyDescent="0.2">
      <c r="C3858" s="209"/>
      <c r="D3858" s="209"/>
      <c r="E3858" s="209"/>
      <c r="J3858" s="124"/>
    </row>
    <row r="3859" spans="3:10" x14ac:dyDescent="0.2">
      <c r="C3859" s="209"/>
      <c r="D3859" s="209"/>
      <c r="E3859" s="209"/>
      <c r="J3859" s="124"/>
    </row>
    <row r="3860" spans="3:10" x14ac:dyDescent="0.2">
      <c r="C3860" s="209"/>
      <c r="D3860" s="209"/>
      <c r="E3860" s="209"/>
      <c r="J3860" s="124"/>
    </row>
    <row r="3861" spans="3:10" x14ac:dyDescent="0.2">
      <c r="C3861" s="209"/>
      <c r="D3861" s="209"/>
      <c r="E3861" s="209"/>
      <c r="J3861" s="124"/>
    </row>
    <row r="3862" spans="3:10" x14ac:dyDescent="0.2">
      <c r="C3862" s="209"/>
      <c r="D3862" s="209"/>
      <c r="E3862" s="209"/>
      <c r="J3862" s="124"/>
    </row>
    <row r="3863" spans="3:10" x14ac:dyDescent="0.2">
      <c r="C3863" s="209"/>
      <c r="D3863" s="209"/>
      <c r="E3863" s="209"/>
      <c r="J3863" s="124"/>
    </row>
    <row r="3864" spans="3:10" x14ac:dyDescent="0.2">
      <c r="C3864" s="209"/>
      <c r="D3864" s="209"/>
      <c r="E3864" s="209"/>
      <c r="J3864" s="124"/>
    </row>
    <row r="3865" spans="3:10" x14ac:dyDescent="0.2">
      <c r="C3865" s="209"/>
      <c r="D3865" s="209"/>
      <c r="E3865" s="209"/>
      <c r="J3865" s="124"/>
    </row>
    <row r="3866" spans="3:10" x14ac:dyDescent="0.2">
      <c r="C3866" s="209"/>
      <c r="D3866" s="209"/>
      <c r="E3866" s="209"/>
      <c r="J3866" s="124"/>
    </row>
    <row r="3867" spans="3:10" x14ac:dyDescent="0.2">
      <c r="C3867" s="209"/>
      <c r="D3867" s="209"/>
      <c r="E3867" s="209"/>
      <c r="J3867" s="124"/>
    </row>
    <row r="3868" spans="3:10" x14ac:dyDescent="0.2">
      <c r="C3868" s="209"/>
      <c r="D3868" s="209"/>
      <c r="E3868" s="209"/>
      <c r="J3868" s="124"/>
    </row>
    <row r="3869" spans="3:10" x14ac:dyDescent="0.2">
      <c r="C3869" s="209"/>
      <c r="D3869" s="209"/>
      <c r="E3869" s="209"/>
      <c r="J3869" s="124"/>
    </row>
    <row r="3870" spans="3:10" x14ac:dyDescent="0.2">
      <c r="C3870" s="209"/>
      <c r="D3870" s="209"/>
      <c r="E3870" s="209"/>
      <c r="J3870" s="124"/>
    </row>
    <row r="3871" spans="3:10" x14ac:dyDescent="0.2">
      <c r="C3871" s="209"/>
      <c r="D3871" s="209"/>
      <c r="E3871" s="209"/>
      <c r="J3871" s="124"/>
    </row>
    <row r="3872" spans="3:10" x14ac:dyDescent="0.2">
      <c r="C3872" s="209"/>
      <c r="D3872" s="209"/>
      <c r="E3872" s="209"/>
      <c r="J3872" s="124"/>
    </row>
    <row r="3873" spans="3:10" x14ac:dyDescent="0.2">
      <c r="C3873" s="209"/>
      <c r="D3873" s="209"/>
      <c r="E3873" s="209"/>
      <c r="J3873" s="124"/>
    </row>
    <row r="3874" spans="3:10" x14ac:dyDescent="0.2">
      <c r="C3874" s="209"/>
      <c r="D3874" s="209"/>
      <c r="E3874" s="209"/>
      <c r="J3874" s="124"/>
    </row>
    <row r="3875" spans="3:10" x14ac:dyDescent="0.2">
      <c r="C3875" s="209"/>
      <c r="D3875" s="209"/>
      <c r="E3875" s="209"/>
      <c r="J3875" s="124"/>
    </row>
    <row r="3876" spans="3:10" x14ac:dyDescent="0.2">
      <c r="C3876" s="209"/>
      <c r="D3876" s="209"/>
      <c r="E3876" s="209"/>
      <c r="J3876" s="124"/>
    </row>
    <row r="3877" spans="3:10" x14ac:dyDescent="0.2">
      <c r="C3877" s="209"/>
      <c r="D3877" s="209"/>
      <c r="E3877" s="209"/>
      <c r="J3877" s="124"/>
    </row>
    <row r="3878" spans="3:10" x14ac:dyDescent="0.2">
      <c r="C3878" s="209"/>
      <c r="D3878" s="209"/>
      <c r="E3878" s="209"/>
      <c r="J3878" s="124"/>
    </row>
    <row r="3879" spans="3:10" x14ac:dyDescent="0.2">
      <c r="C3879" s="209"/>
      <c r="D3879" s="209"/>
      <c r="E3879" s="209"/>
      <c r="J3879" s="124"/>
    </row>
    <row r="3880" spans="3:10" x14ac:dyDescent="0.2">
      <c r="C3880" s="209"/>
      <c r="D3880" s="209"/>
      <c r="E3880" s="209"/>
      <c r="J3880" s="124"/>
    </row>
    <row r="3881" spans="3:10" x14ac:dyDescent="0.2">
      <c r="C3881" s="209"/>
      <c r="D3881" s="209"/>
      <c r="E3881" s="209"/>
      <c r="J3881" s="124"/>
    </row>
    <row r="3882" spans="3:10" x14ac:dyDescent="0.2">
      <c r="C3882" s="209"/>
      <c r="D3882" s="209"/>
      <c r="E3882" s="209"/>
      <c r="J3882" s="124"/>
    </row>
    <row r="3883" spans="3:10" x14ac:dyDescent="0.2">
      <c r="C3883" s="209"/>
      <c r="D3883" s="209"/>
      <c r="E3883" s="209"/>
      <c r="J3883" s="124"/>
    </row>
    <row r="3884" spans="3:10" x14ac:dyDescent="0.2">
      <c r="C3884" s="209"/>
      <c r="D3884" s="209"/>
      <c r="E3884" s="209"/>
      <c r="J3884" s="124"/>
    </row>
    <row r="3885" spans="3:10" x14ac:dyDescent="0.2">
      <c r="C3885" s="209"/>
      <c r="D3885" s="209"/>
      <c r="E3885" s="209"/>
      <c r="J3885" s="124"/>
    </row>
    <row r="3886" spans="3:10" x14ac:dyDescent="0.2">
      <c r="C3886" s="209"/>
      <c r="D3886" s="209"/>
      <c r="E3886" s="209"/>
      <c r="J3886" s="124"/>
    </row>
    <row r="3887" spans="3:10" x14ac:dyDescent="0.2">
      <c r="C3887" s="209"/>
      <c r="D3887" s="209"/>
      <c r="E3887" s="209"/>
      <c r="J3887" s="124"/>
    </row>
    <row r="3888" spans="3:10" x14ac:dyDescent="0.2">
      <c r="C3888" s="209"/>
      <c r="D3888" s="209"/>
      <c r="E3888" s="209"/>
      <c r="J3888" s="124"/>
    </row>
    <row r="3889" spans="3:10" x14ac:dyDescent="0.2">
      <c r="C3889" s="209"/>
      <c r="D3889" s="209"/>
      <c r="E3889" s="209"/>
      <c r="J3889" s="124"/>
    </row>
    <row r="3890" spans="3:10" x14ac:dyDescent="0.2">
      <c r="C3890" s="209"/>
      <c r="D3890" s="209"/>
      <c r="E3890" s="209"/>
      <c r="J3890" s="124"/>
    </row>
    <row r="3891" spans="3:10" x14ac:dyDescent="0.2">
      <c r="C3891" s="209"/>
      <c r="D3891" s="209"/>
      <c r="E3891" s="209"/>
      <c r="J3891" s="124"/>
    </row>
    <row r="3892" spans="3:10" x14ac:dyDescent="0.2">
      <c r="C3892" s="209"/>
      <c r="D3892" s="209"/>
      <c r="E3892" s="209"/>
      <c r="J3892" s="124"/>
    </row>
    <row r="3893" spans="3:10" x14ac:dyDescent="0.2">
      <c r="C3893" s="209"/>
      <c r="D3893" s="209"/>
      <c r="E3893" s="209"/>
      <c r="J3893" s="124"/>
    </row>
    <row r="3894" spans="3:10" x14ac:dyDescent="0.2">
      <c r="C3894" s="209"/>
      <c r="D3894" s="209"/>
      <c r="E3894" s="209"/>
      <c r="J3894" s="124"/>
    </row>
    <row r="3895" spans="3:10" x14ac:dyDescent="0.2">
      <c r="C3895" s="209"/>
      <c r="D3895" s="209"/>
      <c r="E3895" s="209"/>
      <c r="J3895" s="124"/>
    </row>
    <row r="3896" spans="3:10" x14ac:dyDescent="0.2">
      <c r="C3896" s="209"/>
      <c r="D3896" s="209"/>
      <c r="E3896" s="209"/>
      <c r="J3896" s="124"/>
    </row>
    <row r="3897" spans="3:10" x14ac:dyDescent="0.2">
      <c r="C3897" s="209"/>
      <c r="D3897" s="209"/>
      <c r="E3897" s="209"/>
      <c r="J3897" s="124"/>
    </row>
    <row r="3898" spans="3:10" x14ac:dyDescent="0.2">
      <c r="C3898" s="209"/>
      <c r="D3898" s="209"/>
      <c r="E3898" s="209"/>
      <c r="J3898" s="124"/>
    </row>
    <row r="3899" spans="3:10" x14ac:dyDescent="0.2">
      <c r="C3899" s="209"/>
      <c r="D3899" s="209"/>
      <c r="E3899" s="209"/>
      <c r="J3899" s="124"/>
    </row>
    <row r="3900" spans="3:10" x14ac:dyDescent="0.2">
      <c r="C3900" s="209"/>
      <c r="D3900" s="209"/>
      <c r="E3900" s="209"/>
      <c r="J3900" s="124"/>
    </row>
    <row r="3901" spans="3:10" x14ac:dyDescent="0.2">
      <c r="C3901" s="209"/>
      <c r="D3901" s="209"/>
      <c r="E3901" s="209"/>
      <c r="J3901" s="124"/>
    </row>
    <row r="3902" spans="3:10" x14ac:dyDescent="0.2">
      <c r="C3902" s="209"/>
      <c r="D3902" s="209"/>
      <c r="E3902" s="209"/>
      <c r="J3902" s="124"/>
    </row>
    <row r="3903" spans="3:10" x14ac:dyDescent="0.2">
      <c r="C3903" s="209"/>
      <c r="D3903" s="209"/>
      <c r="E3903" s="209"/>
      <c r="J3903" s="124"/>
    </row>
    <row r="3904" spans="3:10" x14ac:dyDescent="0.2">
      <c r="C3904" s="209"/>
      <c r="D3904" s="209"/>
      <c r="E3904" s="209"/>
      <c r="J3904" s="124"/>
    </row>
    <row r="3905" spans="3:10" x14ac:dyDescent="0.2">
      <c r="C3905" s="209"/>
      <c r="D3905" s="209"/>
      <c r="E3905" s="209"/>
      <c r="J3905" s="124"/>
    </row>
    <row r="3906" spans="3:10" x14ac:dyDescent="0.2">
      <c r="C3906" s="209"/>
      <c r="D3906" s="209"/>
      <c r="E3906" s="209"/>
      <c r="J3906" s="124"/>
    </row>
    <row r="3907" spans="3:10" x14ac:dyDescent="0.2">
      <c r="C3907" s="209"/>
      <c r="D3907" s="209"/>
      <c r="E3907" s="209"/>
      <c r="J3907" s="124"/>
    </row>
    <row r="3908" spans="3:10" x14ac:dyDescent="0.2">
      <c r="C3908" s="209"/>
      <c r="D3908" s="209"/>
      <c r="E3908" s="209"/>
      <c r="J3908" s="124"/>
    </row>
    <row r="3909" spans="3:10" x14ac:dyDescent="0.2">
      <c r="C3909" s="209"/>
      <c r="D3909" s="209"/>
      <c r="E3909" s="209"/>
      <c r="J3909" s="124"/>
    </row>
    <row r="3910" spans="3:10" x14ac:dyDescent="0.2">
      <c r="C3910" s="209"/>
      <c r="D3910" s="209"/>
      <c r="E3910" s="209"/>
      <c r="J3910" s="124"/>
    </row>
    <row r="3911" spans="3:10" x14ac:dyDescent="0.2">
      <c r="C3911" s="209"/>
      <c r="D3911" s="209"/>
      <c r="E3911" s="209"/>
      <c r="J3911" s="124"/>
    </row>
    <row r="3912" spans="3:10" x14ac:dyDescent="0.2">
      <c r="C3912" s="209"/>
      <c r="D3912" s="209"/>
      <c r="E3912" s="209"/>
      <c r="J3912" s="124"/>
    </row>
    <row r="3913" spans="3:10" x14ac:dyDescent="0.2">
      <c r="C3913" s="209"/>
      <c r="D3913" s="209"/>
      <c r="E3913" s="209"/>
      <c r="J3913" s="124"/>
    </row>
    <row r="3914" spans="3:10" x14ac:dyDescent="0.2">
      <c r="C3914" s="209"/>
      <c r="D3914" s="209"/>
      <c r="E3914" s="209"/>
      <c r="J3914" s="124"/>
    </row>
    <row r="3915" spans="3:10" x14ac:dyDescent="0.2">
      <c r="C3915" s="209"/>
      <c r="D3915" s="209"/>
      <c r="E3915" s="209"/>
      <c r="J3915" s="124"/>
    </row>
    <row r="3916" spans="3:10" x14ac:dyDescent="0.2">
      <c r="C3916" s="209"/>
      <c r="D3916" s="209"/>
      <c r="E3916" s="209"/>
      <c r="J3916" s="124"/>
    </row>
    <row r="3917" spans="3:10" x14ac:dyDescent="0.2">
      <c r="C3917" s="209"/>
      <c r="D3917" s="209"/>
      <c r="E3917" s="209"/>
      <c r="J3917" s="124"/>
    </row>
    <row r="3918" spans="3:10" x14ac:dyDescent="0.2">
      <c r="C3918" s="209"/>
      <c r="D3918" s="209"/>
      <c r="E3918" s="209"/>
      <c r="J3918" s="124"/>
    </row>
    <row r="3919" spans="3:10" x14ac:dyDescent="0.2">
      <c r="C3919" s="209"/>
      <c r="D3919" s="209"/>
      <c r="E3919" s="209"/>
      <c r="J3919" s="124"/>
    </row>
    <row r="3920" spans="3:10" x14ac:dyDescent="0.2">
      <c r="C3920" s="209"/>
      <c r="D3920" s="209"/>
      <c r="E3920" s="209"/>
      <c r="J3920" s="124"/>
    </row>
    <row r="3921" spans="3:10" x14ac:dyDescent="0.2">
      <c r="C3921" s="209"/>
      <c r="D3921" s="209"/>
      <c r="E3921" s="209"/>
      <c r="J3921" s="124"/>
    </row>
    <row r="3922" spans="3:10" x14ac:dyDescent="0.2">
      <c r="C3922" s="209"/>
      <c r="D3922" s="209"/>
      <c r="E3922" s="209"/>
      <c r="J3922" s="124"/>
    </row>
    <row r="3923" spans="3:10" x14ac:dyDescent="0.2">
      <c r="C3923" s="209"/>
      <c r="D3923" s="209"/>
      <c r="E3923" s="209"/>
      <c r="J3923" s="124"/>
    </row>
    <row r="3924" spans="3:10" x14ac:dyDescent="0.2">
      <c r="C3924" s="209"/>
      <c r="D3924" s="209"/>
      <c r="E3924" s="209"/>
      <c r="J3924" s="124"/>
    </row>
    <row r="3925" spans="3:10" x14ac:dyDescent="0.2">
      <c r="C3925" s="209"/>
      <c r="D3925" s="209"/>
      <c r="E3925" s="209"/>
      <c r="J3925" s="124"/>
    </row>
    <row r="3926" spans="3:10" x14ac:dyDescent="0.2">
      <c r="C3926" s="209"/>
      <c r="D3926" s="209"/>
      <c r="E3926" s="209"/>
      <c r="J3926" s="124"/>
    </row>
    <row r="3927" spans="3:10" x14ac:dyDescent="0.2">
      <c r="C3927" s="209"/>
      <c r="D3927" s="209"/>
      <c r="E3927" s="209"/>
      <c r="J3927" s="124"/>
    </row>
    <row r="3928" spans="3:10" x14ac:dyDescent="0.2">
      <c r="C3928" s="209"/>
      <c r="D3928" s="209"/>
      <c r="E3928" s="209"/>
      <c r="J3928" s="124"/>
    </row>
    <row r="3929" spans="3:10" x14ac:dyDescent="0.2">
      <c r="C3929" s="209"/>
      <c r="D3929" s="209"/>
      <c r="E3929" s="209"/>
      <c r="J3929" s="124"/>
    </row>
    <row r="3930" spans="3:10" x14ac:dyDescent="0.2">
      <c r="C3930" s="209"/>
      <c r="D3930" s="209"/>
      <c r="E3930" s="209"/>
      <c r="J3930" s="124"/>
    </row>
    <row r="3931" spans="3:10" x14ac:dyDescent="0.2">
      <c r="C3931" s="209"/>
      <c r="D3931" s="209"/>
      <c r="E3931" s="209"/>
      <c r="J3931" s="124"/>
    </row>
    <row r="3932" spans="3:10" x14ac:dyDescent="0.2">
      <c r="C3932" s="209"/>
      <c r="D3932" s="209"/>
      <c r="E3932" s="209"/>
      <c r="J3932" s="124"/>
    </row>
    <row r="3933" spans="3:10" x14ac:dyDescent="0.2">
      <c r="C3933" s="209"/>
      <c r="D3933" s="209"/>
      <c r="E3933" s="209"/>
      <c r="J3933" s="124"/>
    </row>
    <row r="3934" spans="3:10" x14ac:dyDescent="0.2">
      <c r="C3934" s="209"/>
      <c r="D3934" s="209"/>
      <c r="E3934" s="209"/>
      <c r="J3934" s="124"/>
    </row>
    <row r="3935" spans="3:10" x14ac:dyDescent="0.2">
      <c r="C3935" s="209"/>
      <c r="D3935" s="209"/>
      <c r="E3935" s="209"/>
      <c r="J3935" s="124"/>
    </row>
    <row r="3936" spans="3:10" x14ac:dyDescent="0.2">
      <c r="C3936" s="209"/>
      <c r="D3936" s="209"/>
      <c r="E3936" s="209"/>
      <c r="J3936" s="124"/>
    </row>
    <row r="3937" spans="3:10" x14ac:dyDescent="0.2">
      <c r="C3937" s="209"/>
      <c r="D3937" s="209"/>
      <c r="E3937" s="209"/>
      <c r="J3937" s="124"/>
    </row>
    <row r="3938" spans="3:10" x14ac:dyDescent="0.2">
      <c r="C3938" s="209"/>
      <c r="D3938" s="209"/>
      <c r="E3938" s="209"/>
      <c r="J3938" s="124"/>
    </row>
    <row r="3939" spans="3:10" x14ac:dyDescent="0.2">
      <c r="C3939" s="209"/>
      <c r="D3939" s="209"/>
      <c r="E3939" s="209"/>
      <c r="J3939" s="124"/>
    </row>
    <row r="3940" spans="3:10" x14ac:dyDescent="0.2">
      <c r="C3940" s="209"/>
      <c r="D3940" s="209"/>
      <c r="E3940" s="209"/>
      <c r="J3940" s="124"/>
    </row>
    <row r="3941" spans="3:10" x14ac:dyDescent="0.2">
      <c r="C3941" s="209"/>
      <c r="D3941" s="209"/>
      <c r="E3941" s="209"/>
      <c r="J3941" s="124"/>
    </row>
    <row r="3942" spans="3:10" x14ac:dyDescent="0.2">
      <c r="C3942" s="209"/>
      <c r="D3942" s="209"/>
      <c r="E3942" s="209"/>
      <c r="J3942" s="124"/>
    </row>
    <row r="3943" spans="3:10" x14ac:dyDescent="0.2">
      <c r="C3943" s="209"/>
      <c r="D3943" s="209"/>
      <c r="E3943" s="209"/>
      <c r="J3943" s="124"/>
    </row>
    <row r="3944" spans="3:10" x14ac:dyDescent="0.2">
      <c r="C3944" s="209"/>
      <c r="D3944" s="209"/>
      <c r="E3944" s="209"/>
      <c r="J3944" s="124"/>
    </row>
    <row r="3945" spans="3:10" x14ac:dyDescent="0.2">
      <c r="C3945" s="209"/>
      <c r="D3945" s="209"/>
      <c r="E3945" s="209"/>
      <c r="J3945" s="124"/>
    </row>
    <row r="3946" spans="3:10" x14ac:dyDescent="0.2">
      <c r="C3946" s="209"/>
      <c r="D3946" s="209"/>
      <c r="E3946" s="209"/>
      <c r="J3946" s="124"/>
    </row>
    <row r="3947" spans="3:10" x14ac:dyDescent="0.2">
      <c r="C3947" s="209"/>
      <c r="D3947" s="209"/>
      <c r="E3947" s="209"/>
      <c r="J3947" s="124"/>
    </row>
    <row r="3948" spans="3:10" x14ac:dyDescent="0.2">
      <c r="C3948" s="209"/>
      <c r="D3948" s="209"/>
      <c r="E3948" s="209"/>
      <c r="J3948" s="124"/>
    </row>
    <row r="3949" spans="3:10" x14ac:dyDescent="0.2">
      <c r="C3949" s="209"/>
      <c r="D3949" s="209"/>
      <c r="E3949" s="209"/>
      <c r="J3949" s="124"/>
    </row>
    <row r="3950" spans="3:10" x14ac:dyDescent="0.2">
      <c r="C3950" s="209"/>
      <c r="D3950" s="209"/>
      <c r="E3950" s="209"/>
      <c r="J3950" s="124"/>
    </row>
    <row r="3951" spans="3:10" x14ac:dyDescent="0.2">
      <c r="C3951" s="209"/>
      <c r="D3951" s="209"/>
      <c r="E3951" s="209"/>
      <c r="J3951" s="124"/>
    </row>
    <row r="3952" spans="3:10" x14ac:dyDescent="0.2">
      <c r="C3952" s="209"/>
      <c r="D3952" s="209"/>
      <c r="E3952" s="209"/>
      <c r="J3952" s="124"/>
    </row>
    <row r="3953" spans="3:10" x14ac:dyDescent="0.2">
      <c r="C3953" s="209"/>
      <c r="D3953" s="209"/>
      <c r="E3953" s="209"/>
      <c r="J3953" s="124"/>
    </row>
    <row r="3954" spans="3:10" x14ac:dyDescent="0.2">
      <c r="C3954" s="209"/>
      <c r="D3954" s="209"/>
      <c r="E3954" s="209"/>
      <c r="J3954" s="124"/>
    </row>
    <row r="3955" spans="3:10" x14ac:dyDescent="0.2">
      <c r="C3955" s="209"/>
      <c r="D3955" s="209"/>
      <c r="E3955" s="209"/>
      <c r="J3955" s="124"/>
    </row>
    <row r="3956" spans="3:10" x14ac:dyDescent="0.2">
      <c r="C3956" s="209"/>
      <c r="D3956" s="209"/>
      <c r="E3956" s="209"/>
      <c r="J3956" s="124"/>
    </row>
    <row r="3957" spans="3:10" x14ac:dyDescent="0.2">
      <c r="C3957" s="209"/>
      <c r="D3957" s="209"/>
      <c r="E3957" s="209"/>
      <c r="J3957" s="124"/>
    </row>
    <row r="3958" spans="3:10" x14ac:dyDescent="0.2">
      <c r="C3958" s="209"/>
      <c r="D3958" s="209"/>
      <c r="E3958" s="209"/>
      <c r="J3958" s="124"/>
    </row>
    <row r="3959" spans="3:10" x14ac:dyDescent="0.2">
      <c r="C3959" s="209"/>
      <c r="D3959" s="209"/>
      <c r="E3959" s="209"/>
      <c r="J3959" s="124"/>
    </row>
    <row r="3960" spans="3:10" x14ac:dyDescent="0.2">
      <c r="C3960" s="209"/>
      <c r="D3960" s="209"/>
      <c r="E3960" s="209"/>
      <c r="J3960" s="124"/>
    </row>
    <row r="3961" spans="3:10" x14ac:dyDescent="0.2">
      <c r="C3961" s="209"/>
      <c r="D3961" s="209"/>
      <c r="E3961" s="209"/>
      <c r="J3961" s="124"/>
    </row>
    <row r="3962" spans="3:10" x14ac:dyDescent="0.2">
      <c r="C3962" s="209"/>
      <c r="D3962" s="209"/>
      <c r="E3962" s="209"/>
      <c r="J3962" s="124"/>
    </row>
    <row r="3963" spans="3:10" x14ac:dyDescent="0.2">
      <c r="C3963" s="209"/>
      <c r="D3963" s="209"/>
      <c r="E3963" s="209"/>
      <c r="J3963" s="124"/>
    </row>
    <row r="3964" spans="3:10" x14ac:dyDescent="0.2">
      <c r="C3964" s="209"/>
      <c r="D3964" s="209"/>
      <c r="E3964" s="209"/>
      <c r="J3964" s="124"/>
    </row>
    <row r="3965" spans="3:10" x14ac:dyDescent="0.2">
      <c r="C3965" s="209"/>
      <c r="D3965" s="209"/>
      <c r="E3965" s="209"/>
      <c r="J3965" s="124"/>
    </row>
    <row r="3966" spans="3:10" x14ac:dyDescent="0.2">
      <c r="C3966" s="209"/>
      <c r="D3966" s="209"/>
      <c r="E3966" s="209"/>
      <c r="J3966" s="124"/>
    </row>
    <row r="3967" spans="3:10" x14ac:dyDescent="0.2">
      <c r="C3967" s="209"/>
      <c r="D3967" s="209"/>
      <c r="E3967" s="209"/>
      <c r="J3967" s="124"/>
    </row>
    <row r="3968" spans="3:10" x14ac:dyDescent="0.2">
      <c r="C3968" s="209"/>
      <c r="D3968" s="209"/>
      <c r="E3968" s="209"/>
      <c r="J3968" s="124"/>
    </row>
    <row r="3969" spans="3:10" x14ac:dyDescent="0.2">
      <c r="C3969" s="209"/>
      <c r="D3969" s="209"/>
      <c r="E3969" s="209"/>
      <c r="J3969" s="124"/>
    </row>
    <row r="3970" spans="3:10" x14ac:dyDescent="0.2">
      <c r="C3970" s="209"/>
      <c r="D3970" s="209"/>
      <c r="E3970" s="209"/>
      <c r="J3970" s="124"/>
    </row>
    <row r="3971" spans="3:10" x14ac:dyDescent="0.2">
      <c r="C3971" s="209"/>
      <c r="D3971" s="209"/>
      <c r="E3971" s="209"/>
      <c r="J3971" s="124"/>
    </row>
    <row r="3972" spans="3:10" x14ac:dyDescent="0.2">
      <c r="C3972" s="209"/>
      <c r="D3972" s="209"/>
      <c r="E3972" s="209"/>
      <c r="J3972" s="124"/>
    </row>
    <row r="3973" spans="3:10" x14ac:dyDescent="0.2">
      <c r="C3973" s="209"/>
      <c r="D3973" s="209"/>
      <c r="E3973" s="209"/>
      <c r="J3973" s="124"/>
    </row>
    <row r="3974" spans="3:10" x14ac:dyDescent="0.2">
      <c r="C3974" s="209"/>
      <c r="D3974" s="209"/>
      <c r="E3974" s="209"/>
      <c r="J3974" s="124"/>
    </row>
    <row r="3975" spans="3:10" x14ac:dyDescent="0.2">
      <c r="C3975" s="209"/>
      <c r="D3975" s="209"/>
      <c r="E3975" s="209"/>
      <c r="J3975" s="124"/>
    </row>
    <row r="3976" spans="3:10" x14ac:dyDescent="0.2">
      <c r="C3976" s="209"/>
      <c r="D3976" s="209"/>
      <c r="E3976" s="209"/>
      <c r="J3976" s="124"/>
    </row>
    <row r="3977" spans="3:10" x14ac:dyDescent="0.2">
      <c r="C3977" s="209"/>
      <c r="D3977" s="209"/>
      <c r="E3977" s="209"/>
      <c r="J3977" s="124"/>
    </row>
    <row r="3978" spans="3:10" x14ac:dyDescent="0.2">
      <c r="C3978" s="209"/>
      <c r="D3978" s="209"/>
      <c r="E3978" s="209"/>
      <c r="J3978" s="124"/>
    </row>
    <row r="3979" spans="3:10" x14ac:dyDescent="0.2">
      <c r="C3979" s="209"/>
      <c r="D3979" s="209"/>
      <c r="E3979" s="209"/>
      <c r="J3979" s="124"/>
    </row>
    <row r="3980" spans="3:10" x14ac:dyDescent="0.2">
      <c r="C3980" s="209"/>
      <c r="D3980" s="209"/>
      <c r="E3980" s="209"/>
      <c r="J3980" s="124"/>
    </row>
    <row r="3981" spans="3:10" x14ac:dyDescent="0.2">
      <c r="C3981" s="209"/>
      <c r="D3981" s="209"/>
      <c r="E3981" s="209"/>
      <c r="J3981" s="124"/>
    </row>
    <row r="3982" spans="3:10" x14ac:dyDescent="0.2">
      <c r="C3982" s="209"/>
      <c r="D3982" s="209"/>
      <c r="E3982" s="209"/>
      <c r="J3982" s="124"/>
    </row>
    <row r="3983" spans="3:10" x14ac:dyDescent="0.2">
      <c r="C3983" s="209"/>
      <c r="D3983" s="209"/>
      <c r="E3983" s="209"/>
      <c r="J3983" s="124"/>
    </row>
    <row r="3984" spans="3:10" x14ac:dyDescent="0.2">
      <c r="C3984" s="209"/>
      <c r="D3984" s="209"/>
      <c r="E3984" s="209"/>
      <c r="J3984" s="124"/>
    </row>
    <row r="3985" spans="3:10" x14ac:dyDescent="0.2">
      <c r="C3985" s="209"/>
      <c r="D3985" s="209"/>
      <c r="E3985" s="209"/>
      <c r="J3985" s="124"/>
    </row>
    <row r="3986" spans="3:10" x14ac:dyDescent="0.2">
      <c r="C3986" s="209"/>
      <c r="D3986" s="209"/>
      <c r="E3986" s="209"/>
      <c r="J3986" s="124"/>
    </row>
    <row r="3987" spans="3:10" x14ac:dyDescent="0.2">
      <c r="C3987" s="209"/>
      <c r="D3987" s="209"/>
      <c r="E3987" s="209"/>
      <c r="J3987" s="124"/>
    </row>
    <row r="3988" spans="3:10" x14ac:dyDescent="0.2">
      <c r="C3988" s="209"/>
      <c r="D3988" s="209"/>
      <c r="E3988" s="209"/>
      <c r="J3988" s="124"/>
    </row>
    <row r="3989" spans="3:10" x14ac:dyDescent="0.2">
      <c r="C3989" s="209"/>
      <c r="D3989" s="209"/>
      <c r="E3989" s="209"/>
      <c r="J3989" s="124"/>
    </row>
    <row r="3990" spans="3:10" x14ac:dyDescent="0.2">
      <c r="C3990" s="209"/>
      <c r="D3990" s="209"/>
      <c r="E3990" s="209"/>
      <c r="J3990" s="124"/>
    </row>
    <row r="3991" spans="3:10" x14ac:dyDescent="0.2">
      <c r="C3991" s="209"/>
      <c r="D3991" s="209"/>
      <c r="E3991" s="209"/>
      <c r="J3991" s="124"/>
    </row>
    <row r="3992" spans="3:10" x14ac:dyDescent="0.2">
      <c r="C3992" s="209"/>
      <c r="D3992" s="209"/>
      <c r="E3992" s="209"/>
      <c r="J3992" s="124"/>
    </row>
    <row r="3993" spans="3:10" x14ac:dyDescent="0.2">
      <c r="C3993" s="209"/>
      <c r="D3993" s="209"/>
      <c r="E3993" s="209"/>
      <c r="J3993" s="124"/>
    </row>
    <row r="3994" spans="3:10" x14ac:dyDescent="0.2">
      <c r="C3994" s="209"/>
      <c r="D3994" s="209"/>
      <c r="E3994" s="209"/>
      <c r="J3994" s="124"/>
    </row>
    <row r="3995" spans="3:10" x14ac:dyDescent="0.2">
      <c r="C3995" s="209"/>
      <c r="D3995" s="209"/>
      <c r="E3995" s="209"/>
      <c r="J3995" s="124"/>
    </row>
    <row r="3996" spans="3:10" x14ac:dyDescent="0.2">
      <c r="C3996" s="209"/>
      <c r="D3996" s="209"/>
      <c r="E3996" s="209"/>
      <c r="J3996" s="124"/>
    </row>
    <row r="3997" spans="3:10" x14ac:dyDescent="0.2">
      <c r="C3997" s="209"/>
      <c r="D3997" s="209"/>
      <c r="E3997" s="209"/>
      <c r="J3997" s="124"/>
    </row>
    <row r="3998" spans="3:10" x14ac:dyDescent="0.2">
      <c r="C3998" s="209"/>
      <c r="D3998" s="209"/>
      <c r="E3998" s="209"/>
      <c r="J3998" s="124"/>
    </row>
    <row r="3999" spans="3:10" x14ac:dyDescent="0.2">
      <c r="C3999" s="209"/>
      <c r="D3999" s="209"/>
      <c r="E3999" s="209"/>
      <c r="J3999" s="124"/>
    </row>
    <row r="4000" spans="3:10" x14ac:dyDescent="0.2">
      <c r="C4000" s="209"/>
      <c r="D4000" s="209"/>
      <c r="E4000" s="209"/>
      <c r="J4000" s="124"/>
    </row>
    <row r="4001" spans="3:10" x14ac:dyDescent="0.2">
      <c r="C4001" s="209"/>
      <c r="D4001" s="209"/>
      <c r="E4001" s="209"/>
      <c r="J4001" s="124"/>
    </row>
    <row r="4002" spans="3:10" x14ac:dyDescent="0.2">
      <c r="C4002" s="209"/>
      <c r="D4002" s="209"/>
      <c r="E4002" s="209"/>
      <c r="J4002" s="124"/>
    </row>
    <row r="4003" spans="3:10" x14ac:dyDescent="0.2">
      <c r="C4003" s="209"/>
      <c r="D4003" s="209"/>
      <c r="E4003" s="209"/>
      <c r="J4003" s="124"/>
    </row>
    <row r="4004" spans="3:10" x14ac:dyDescent="0.2">
      <c r="C4004" s="209"/>
      <c r="D4004" s="209"/>
      <c r="E4004" s="209"/>
      <c r="J4004" s="124"/>
    </row>
    <row r="4005" spans="3:10" x14ac:dyDescent="0.2">
      <c r="C4005" s="209"/>
      <c r="D4005" s="209"/>
      <c r="E4005" s="209"/>
      <c r="J4005" s="124"/>
    </row>
    <row r="4006" spans="3:10" x14ac:dyDescent="0.2">
      <c r="C4006" s="209"/>
      <c r="D4006" s="209"/>
      <c r="E4006" s="209"/>
      <c r="J4006" s="124"/>
    </row>
    <row r="4007" spans="3:10" x14ac:dyDescent="0.2">
      <c r="C4007" s="209"/>
      <c r="D4007" s="209"/>
      <c r="E4007" s="209"/>
      <c r="J4007" s="124"/>
    </row>
    <row r="4008" spans="3:10" x14ac:dyDescent="0.2">
      <c r="C4008" s="209"/>
      <c r="D4008" s="209"/>
      <c r="E4008" s="209"/>
      <c r="J4008" s="124"/>
    </row>
    <row r="4009" spans="3:10" x14ac:dyDescent="0.2">
      <c r="C4009" s="209"/>
      <c r="D4009" s="209"/>
      <c r="E4009" s="209"/>
      <c r="J4009" s="124"/>
    </row>
    <row r="4010" spans="3:10" x14ac:dyDescent="0.2">
      <c r="C4010" s="209"/>
      <c r="D4010" s="209"/>
      <c r="E4010" s="209"/>
      <c r="J4010" s="124"/>
    </row>
    <row r="4011" spans="3:10" x14ac:dyDescent="0.2">
      <c r="C4011" s="209"/>
      <c r="D4011" s="209"/>
      <c r="E4011" s="209"/>
      <c r="J4011" s="124"/>
    </row>
    <row r="4012" spans="3:10" x14ac:dyDescent="0.2">
      <c r="C4012" s="209"/>
      <c r="D4012" s="209"/>
      <c r="E4012" s="209"/>
      <c r="J4012" s="124"/>
    </row>
    <row r="4013" spans="3:10" x14ac:dyDescent="0.2">
      <c r="C4013" s="209"/>
      <c r="D4013" s="209"/>
      <c r="E4013" s="209"/>
      <c r="J4013" s="124"/>
    </row>
    <row r="4014" spans="3:10" x14ac:dyDescent="0.2">
      <c r="C4014" s="209"/>
      <c r="D4014" s="209"/>
      <c r="E4014" s="209"/>
      <c r="J4014" s="124"/>
    </row>
    <row r="4015" spans="3:10" x14ac:dyDescent="0.2">
      <c r="C4015" s="209"/>
      <c r="D4015" s="209"/>
      <c r="E4015" s="209"/>
      <c r="J4015" s="124"/>
    </row>
    <row r="4016" spans="3:10" x14ac:dyDescent="0.2">
      <c r="C4016" s="209"/>
      <c r="D4016" s="209"/>
      <c r="E4016" s="209"/>
      <c r="J4016" s="124"/>
    </row>
    <row r="4017" spans="3:10" x14ac:dyDescent="0.2">
      <c r="C4017" s="209"/>
      <c r="D4017" s="209"/>
      <c r="E4017" s="209"/>
      <c r="J4017" s="124"/>
    </row>
    <row r="4018" spans="3:10" x14ac:dyDescent="0.2">
      <c r="C4018" s="209"/>
      <c r="D4018" s="209"/>
      <c r="E4018" s="209"/>
      <c r="J4018" s="124"/>
    </row>
    <row r="4019" spans="3:10" x14ac:dyDescent="0.2">
      <c r="C4019" s="209"/>
      <c r="D4019" s="209"/>
      <c r="E4019" s="209"/>
      <c r="J4019" s="124"/>
    </row>
    <row r="4020" spans="3:10" x14ac:dyDescent="0.2">
      <c r="C4020" s="209"/>
      <c r="D4020" s="209"/>
      <c r="E4020" s="209"/>
      <c r="J4020" s="124"/>
    </row>
    <row r="4021" spans="3:10" x14ac:dyDescent="0.2">
      <c r="C4021" s="209"/>
      <c r="D4021" s="209"/>
      <c r="E4021" s="209"/>
      <c r="J4021" s="124"/>
    </row>
    <row r="4022" spans="3:10" x14ac:dyDescent="0.2">
      <c r="C4022" s="209"/>
      <c r="D4022" s="209"/>
      <c r="E4022" s="209"/>
      <c r="J4022" s="124"/>
    </row>
    <row r="4023" spans="3:10" x14ac:dyDescent="0.2">
      <c r="C4023" s="209"/>
      <c r="D4023" s="209"/>
      <c r="E4023" s="209"/>
      <c r="J4023" s="124"/>
    </row>
    <row r="4024" spans="3:10" x14ac:dyDescent="0.2">
      <c r="C4024" s="209"/>
      <c r="D4024" s="209"/>
      <c r="E4024" s="209"/>
      <c r="J4024" s="124"/>
    </row>
    <row r="4025" spans="3:10" x14ac:dyDescent="0.2">
      <c r="C4025" s="209"/>
      <c r="D4025" s="209"/>
      <c r="E4025" s="209"/>
      <c r="J4025" s="124"/>
    </row>
    <row r="4026" spans="3:10" x14ac:dyDescent="0.2">
      <c r="C4026" s="209"/>
      <c r="D4026" s="209"/>
      <c r="E4026" s="209"/>
      <c r="J4026" s="124"/>
    </row>
    <row r="4027" spans="3:10" x14ac:dyDescent="0.2">
      <c r="C4027" s="209"/>
      <c r="D4027" s="209"/>
      <c r="E4027" s="209"/>
      <c r="J4027" s="124"/>
    </row>
    <row r="4028" spans="3:10" x14ac:dyDescent="0.2">
      <c r="C4028" s="209"/>
      <c r="D4028" s="209"/>
      <c r="E4028" s="209"/>
      <c r="J4028" s="124"/>
    </row>
    <row r="4029" spans="3:10" x14ac:dyDescent="0.2">
      <c r="C4029" s="209"/>
      <c r="D4029" s="209"/>
      <c r="E4029" s="209"/>
      <c r="J4029" s="124"/>
    </row>
    <row r="4030" spans="3:10" x14ac:dyDescent="0.2">
      <c r="C4030" s="209"/>
      <c r="D4030" s="209"/>
      <c r="E4030" s="209"/>
      <c r="J4030" s="124"/>
    </row>
    <row r="4031" spans="3:10" x14ac:dyDescent="0.2">
      <c r="C4031" s="209"/>
      <c r="D4031" s="209"/>
      <c r="E4031" s="209"/>
      <c r="J4031" s="124"/>
    </row>
    <row r="4032" spans="3:10" x14ac:dyDescent="0.2">
      <c r="C4032" s="209"/>
      <c r="D4032" s="209"/>
      <c r="E4032" s="209"/>
      <c r="J4032" s="124"/>
    </row>
    <row r="4033" spans="3:10" x14ac:dyDescent="0.2">
      <c r="C4033" s="209"/>
      <c r="D4033" s="209"/>
      <c r="E4033" s="209"/>
      <c r="J4033" s="124"/>
    </row>
    <row r="4034" spans="3:10" x14ac:dyDescent="0.2">
      <c r="C4034" s="209"/>
      <c r="D4034" s="209"/>
      <c r="E4034" s="209"/>
      <c r="J4034" s="124"/>
    </row>
    <row r="4035" spans="3:10" x14ac:dyDescent="0.2">
      <c r="C4035" s="209"/>
      <c r="D4035" s="209"/>
      <c r="E4035" s="209"/>
      <c r="J4035" s="124"/>
    </row>
    <row r="4036" spans="3:10" x14ac:dyDescent="0.2">
      <c r="C4036" s="209"/>
      <c r="D4036" s="209"/>
      <c r="E4036" s="209"/>
      <c r="J4036" s="124"/>
    </row>
    <row r="4037" spans="3:10" x14ac:dyDescent="0.2">
      <c r="C4037" s="209"/>
      <c r="D4037" s="209"/>
      <c r="E4037" s="209"/>
      <c r="J4037" s="124"/>
    </row>
    <row r="4038" spans="3:10" x14ac:dyDescent="0.2">
      <c r="C4038" s="209"/>
      <c r="D4038" s="209"/>
      <c r="E4038" s="209"/>
      <c r="J4038" s="124"/>
    </row>
    <row r="4039" spans="3:10" x14ac:dyDescent="0.2">
      <c r="C4039" s="209"/>
      <c r="D4039" s="209"/>
      <c r="E4039" s="209"/>
      <c r="J4039" s="124"/>
    </row>
    <row r="4040" spans="3:10" x14ac:dyDescent="0.2">
      <c r="C4040" s="209"/>
      <c r="D4040" s="209"/>
      <c r="E4040" s="209"/>
      <c r="J4040" s="124"/>
    </row>
    <row r="4041" spans="3:10" x14ac:dyDescent="0.2">
      <c r="C4041" s="209"/>
      <c r="D4041" s="209"/>
      <c r="E4041" s="209"/>
      <c r="J4041" s="124"/>
    </row>
    <row r="4042" spans="3:10" x14ac:dyDescent="0.2">
      <c r="C4042" s="209"/>
      <c r="D4042" s="209"/>
      <c r="E4042" s="209"/>
      <c r="J4042" s="124"/>
    </row>
    <row r="4043" spans="3:10" x14ac:dyDescent="0.2">
      <c r="C4043" s="209"/>
      <c r="D4043" s="209"/>
      <c r="E4043" s="209"/>
      <c r="J4043" s="124"/>
    </row>
    <row r="4044" spans="3:10" x14ac:dyDescent="0.2">
      <c r="C4044" s="209"/>
      <c r="D4044" s="209"/>
      <c r="E4044" s="209"/>
      <c r="J4044" s="124"/>
    </row>
    <row r="4045" spans="3:10" x14ac:dyDescent="0.2">
      <c r="C4045" s="209"/>
      <c r="D4045" s="209"/>
      <c r="E4045" s="209"/>
      <c r="J4045" s="124"/>
    </row>
    <row r="4046" spans="3:10" x14ac:dyDescent="0.2">
      <c r="C4046" s="209"/>
      <c r="D4046" s="209"/>
      <c r="E4046" s="209"/>
      <c r="J4046" s="124"/>
    </row>
    <row r="4047" spans="3:10" x14ac:dyDescent="0.2">
      <c r="C4047" s="209"/>
      <c r="D4047" s="209"/>
      <c r="E4047" s="209"/>
      <c r="J4047" s="124"/>
    </row>
    <row r="4048" spans="3:10" x14ac:dyDescent="0.2">
      <c r="C4048" s="209"/>
      <c r="D4048" s="209"/>
      <c r="E4048" s="209"/>
      <c r="J4048" s="124"/>
    </row>
    <row r="4049" spans="3:10" x14ac:dyDescent="0.2">
      <c r="C4049" s="209"/>
      <c r="D4049" s="209"/>
      <c r="E4049" s="209"/>
      <c r="J4049" s="124"/>
    </row>
    <row r="4050" spans="3:10" x14ac:dyDescent="0.2">
      <c r="C4050" s="209"/>
      <c r="D4050" s="209"/>
      <c r="E4050" s="209"/>
      <c r="J4050" s="124"/>
    </row>
    <row r="4051" spans="3:10" x14ac:dyDescent="0.2">
      <c r="C4051" s="209"/>
      <c r="D4051" s="209"/>
      <c r="E4051" s="209"/>
      <c r="J4051" s="124"/>
    </row>
    <row r="4052" spans="3:10" x14ac:dyDescent="0.2">
      <c r="C4052" s="209"/>
      <c r="D4052" s="209"/>
      <c r="E4052" s="209"/>
      <c r="J4052" s="124"/>
    </row>
    <row r="4053" spans="3:10" x14ac:dyDescent="0.2">
      <c r="C4053" s="209"/>
      <c r="D4053" s="209"/>
      <c r="E4053" s="209"/>
      <c r="J4053" s="124"/>
    </row>
    <row r="4054" spans="3:10" x14ac:dyDescent="0.2">
      <c r="C4054" s="209"/>
      <c r="D4054" s="209"/>
      <c r="E4054" s="209"/>
      <c r="J4054" s="124"/>
    </row>
    <row r="4055" spans="3:10" x14ac:dyDescent="0.2">
      <c r="C4055" s="209"/>
      <c r="D4055" s="209"/>
      <c r="E4055" s="209"/>
      <c r="J4055" s="124"/>
    </row>
    <row r="4056" spans="3:10" x14ac:dyDescent="0.2">
      <c r="C4056" s="209"/>
      <c r="D4056" s="209"/>
      <c r="E4056" s="209"/>
      <c r="J4056" s="124"/>
    </row>
    <row r="4057" spans="3:10" x14ac:dyDescent="0.2">
      <c r="C4057" s="209"/>
      <c r="D4057" s="209"/>
      <c r="E4057" s="209"/>
      <c r="J4057" s="124"/>
    </row>
    <row r="4058" spans="3:10" x14ac:dyDescent="0.2">
      <c r="C4058" s="209"/>
      <c r="D4058" s="209"/>
      <c r="E4058" s="209"/>
      <c r="J4058" s="124"/>
    </row>
    <row r="4059" spans="3:10" x14ac:dyDescent="0.2">
      <c r="C4059" s="209"/>
      <c r="D4059" s="209"/>
      <c r="E4059" s="209"/>
      <c r="J4059" s="124"/>
    </row>
    <row r="4060" spans="3:10" x14ac:dyDescent="0.2">
      <c r="C4060" s="209"/>
      <c r="D4060" s="209"/>
      <c r="E4060" s="209"/>
      <c r="J4060" s="124"/>
    </row>
    <row r="4061" spans="3:10" x14ac:dyDescent="0.2">
      <c r="C4061" s="209"/>
      <c r="D4061" s="209"/>
      <c r="E4061" s="209"/>
      <c r="J4061" s="124"/>
    </row>
    <row r="4062" spans="3:10" x14ac:dyDescent="0.2">
      <c r="C4062" s="209"/>
      <c r="D4062" s="209"/>
      <c r="E4062" s="209"/>
      <c r="J4062" s="124"/>
    </row>
    <row r="4063" spans="3:10" x14ac:dyDescent="0.2">
      <c r="C4063" s="209"/>
      <c r="D4063" s="209"/>
      <c r="E4063" s="209"/>
      <c r="J4063" s="124"/>
    </row>
    <row r="4064" spans="3:10" x14ac:dyDescent="0.2">
      <c r="C4064" s="209"/>
      <c r="D4064" s="209"/>
      <c r="E4064" s="209"/>
      <c r="J4064" s="124"/>
    </row>
    <row r="4065" spans="3:10" x14ac:dyDescent="0.2">
      <c r="C4065" s="209"/>
      <c r="D4065" s="209"/>
      <c r="E4065" s="209"/>
      <c r="J4065" s="124"/>
    </row>
    <row r="4066" spans="3:10" x14ac:dyDescent="0.2">
      <c r="C4066" s="209"/>
      <c r="D4066" s="209"/>
      <c r="E4066" s="209"/>
      <c r="J4066" s="124"/>
    </row>
    <row r="4067" spans="3:10" x14ac:dyDescent="0.2">
      <c r="C4067" s="209"/>
      <c r="D4067" s="209"/>
      <c r="E4067" s="209"/>
      <c r="J4067" s="124"/>
    </row>
    <row r="4068" spans="3:10" x14ac:dyDescent="0.2">
      <c r="C4068" s="209"/>
      <c r="D4068" s="209"/>
      <c r="E4068" s="209"/>
      <c r="J4068" s="124"/>
    </row>
    <row r="4069" spans="3:10" x14ac:dyDescent="0.2">
      <c r="C4069" s="209"/>
      <c r="D4069" s="209"/>
      <c r="E4069" s="209"/>
      <c r="J4069" s="124"/>
    </row>
    <row r="4070" spans="3:10" x14ac:dyDescent="0.2">
      <c r="C4070" s="209"/>
      <c r="D4070" s="209"/>
      <c r="E4070" s="209"/>
      <c r="J4070" s="124"/>
    </row>
    <row r="4071" spans="3:10" x14ac:dyDescent="0.2">
      <c r="C4071" s="209"/>
      <c r="D4071" s="209"/>
      <c r="E4071" s="209"/>
      <c r="J4071" s="124"/>
    </row>
    <row r="4072" spans="3:10" x14ac:dyDescent="0.2">
      <c r="C4072" s="209"/>
      <c r="D4072" s="209"/>
      <c r="E4072" s="209"/>
      <c r="J4072" s="124"/>
    </row>
    <row r="4073" spans="3:10" x14ac:dyDescent="0.2">
      <c r="C4073" s="209"/>
      <c r="D4073" s="209"/>
      <c r="E4073" s="209"/>
      <c r="J4073" s="124"/>
    </row>
    <row r="4074" spans="3:10" x14ac:dyDescent="0.2">
      <c r="C4074" s="209"/>
      <c r="D4074" s="209"/>
      <c r="E4074" s="209"/>
      <c r="J4074" s="124"/>
    </row>
    <row r="4075" spans="3:10" x14ac:dyDescent="0.2">
      <c r="C4075" s="209"/>
      <c r="D4075" s="209"/>
      <c r="E4075" s="209"/>
      <c r="J4075" s="124"/>
    </row>
    <row r="4076" spans="3:10" x14ac:dyDescent="0.2">
      <c r="C4076" s="209"/>
      <c r="D4076" s="209"/>
      <c r="E4076" s="209"/>
      <c r="J4076" s="124"/>
    </row>
    <row r="4077" spans="3:10" x14ac:dyDescent="0.2">
      <c r="C4077" s="209"/>
      <c r="D4077" s="209"/>
      <c r="E4077" s="209"/>
      <c r="J4077" s="124"/>
    </row>
    <row r="4078" spans="3:10" x14ac:dyDescent="0.2">
      <c r="C4078" s="209"/>
      <c r="D4078" s="209"/>
      <c r="E4078" s="209"/>
      <c r="J4078" s="124"/>
    </row>
    <row r="4079" spans="3:10" x14ac:dyDescent="0.2">
      <c r="C4079" s="209"/>
      <c r="D4079" s="209"/>
      <c r="E4079" s="209"/>
      <c r="J4079" s="124"/>
    </row>
    <row r="4080" spans="3:10" x14ac:dyDescent="0.2">
      <c r="C4080" s="209"/>
      <c r="D4080" s="209"/>
      <c r="E4080" s="209"/>
      <c r="J4080" s="124"/>
    </row>
    <row r="4081" spans="3:10" x14ac:dyDescent="0.2">
      <c r="C4081" s="209"/>
      <c r="D4081" s="209"/>
      <c r="E4081" s="209"/>
      <c r="J4081" s="124"/>
    </row>
    <row r="4082" spans="3:10" x14ac:dyDescent="0.2">
      <c r="C4082" s="209"/>
      <c r="D4082" s="209"/>
      <c r="E4082" s="209"/>
      <c r="J4082" s="124"/>
    </row>
    <row r="4083" spans="3:10" x14ac:dyDescent="0.2">
      <c r="C4083" s="209"/>
      <c r="D4083" s="209"/>
      <c r="E4083" s="209"/>
      <c r="J4083" s="124"/>
    </row>
    <row r="4084" spans="3:10" x14ac:dyDescent="0.2">
      <c r="C4084" s="209"/>
      <c r="D4084" s="209"/>
      <c r="E4084" s="209"/>
      <c r="J4084" s="124"/>
    </row>
    <row r="4085" spans="3:10" x14ac:dyDescent="0.2">
      <c r="C4085" s="209"/>
      <c r="D4085" s="209"/>
      <c r="E4085" s="209"/>
      <c r="J4085" s="124"/>
    </row>
    <row r="4086" spans="3:10" x14ac:dyDescent="0.2">
      <c r="C4086" s="209"/>
      <c r="D4086" s="209"/>
      <c r="E4086" s="209"/>
      <c r="J4086" s="124"/>
    </row>
    <row r="4087" spans="3:10" x14ac:dyDescent="0.2">
      <c r="C4087" s="209"/>
      <c r="D4087" s="209"/>
      <c r="E4087" s="209"/>
      <c r="J4087" s="124"/>
    </row>
    <row r="4088" spans="3:10" x14ac:dyDescent="0.2">
      <c r="C4088" s="209"/>
      <c r="D4088" s="209"/>
      <c r="E4088" s="209"/>
      <c r="J4088" s="124"/>
    </row>
    <row r="4089" spans="3:10" x14ac:dyDescent="0.2">
      <c r="C4089" s="209"/>
      <c r="D4089" s="209"/>
      <c r="E4089" s="209"/>
      <c r="J4089" s="124"/>
    </row>
    <row r="4090" spans="3:10" x14ac:dyDescent="0.2">
      <c r="C4090" s="209"/>
      <c r="D4090" s="209"/>
      <c r="E4090" s="209"/>
      <c r="J4090" s="124"/>
    </row>
    <row r="4091" spans="3:10" x14ac:dyDescent="0.2">
      <c r="C4091" s="209"/>
      <c r="D4091" s="209"/>
      <c r="E4091" s="209"/>
      <c r="J4091" s="124"/>
    </row>
    <row r="4092" spans="3:10" x14ac:dyDescent="0.2">
      <c r="C4092" s="209"/>
      <c r="D4092" s="209"/>
      <c r="E4092" s="209"/>
      <c r="J4092" s="124"/>
    </row>
    <row r="4093" spans="3:10" x14ac:dyDescent="0.2">
      <c r="C4093" s="209"/>
      <c r="D4093" s="209"/>
      <c r="E4093" s="209"/>
      <c r="J4093" s="124"/>
    </row>
    <row r="4094" spans="3:10" x14ac:dyDescent="0.2">
      <c r="C4094" s="209"/>
      <c r="D4094" s="209"/>
      <c r="E4094" s="209"/>
      <c r="J4094" s="124"/>
    </row>
    <row r="4095" spans="3:10" x14ac:dyDescent="0.2">
      <c r="C4095" s="209"/>
      <c r="D4095" s="209"/>
      <c r="E4095" s="209"/>
      <c r="J4095" s="124"/>
    </row>
    <row r="4096" spans="3:10" x14ac:dyDescent="0.2">
      <c r="C4096" s="209"/>
      <c r="D4096" s="209"/>
      <c r="E4096" s="209"/>
      <c r="J4096" s="124"/>
    </row>
    <row r="4097" spans="3:10" x14ac:dyDescent="0.2">
      <c r="C4097" s="209"/>
      <c r="D4097" s="209"/>
      <c r="E4097" s="209"/>
      <c r="J4097" s="124"/>
    </row>
    <row r="4098" spans="3:10" x14ac:dyDescent="0.2">
      <c r="C4098" s="209"/>
      <c r="D4098" s="209"/>
      <c r="E4098" s="209"/>
      <c r="J4098" s="124"/>
    </row>
    <row r="4099" spans="3:10" x14ac:dyDescent="0.2">
      <c r="C4099" s="209"/>
      <c r="D4099" s="209"/>
      <c r="E4099" s="209"/>
      <c r="J4099" s="124"/>
    </row>
    <row r="4100" spans="3:10" x14ac:dyDescent="0.2">
      <c r="C4100" s="209"/>
      <c r="D4100" s="209"/>
      <c r="E4100" s="209"/>
      <c r="J4100" s="124"/>
    </row>
    <row r="4101" spans="3:10" x14ac:dyDescent="0.2">
      <c r="C4101" s="209"/>
      <c r="D4101" s="209"/>
      <c r="E4101" s="209"/>
      <c r="J4101" s="124"/>
    </row>
    <row r="4102" spans="3:10" x14ac:dyDescent="0.2">
      <c r="C4102" s="209"/>
      <c r="D4102" s="209"/>
      <c r="E4102" s="209"/>
      <c r="J4102" s="124"/>
    </row>
    <row r="4103" spans="3:10" x14ac:dyDescent="0.2">
      <c r="C4103" s="209"/>
      <c r="D4103" s="209"/>
      <c r="E4103" s="209"/>
      <c r="J4103" s="124"/>
    </row>
    <row r="4104" spans="3:10" x14ac:dyDescent="0.2">
      <c r="C4104" s="209"/>
      <c r="D4104" s="209"/>
      <c r="E4104" s="209"/>
      <c r="J4104" s="124"/>
    </row>
    <row r="4105" spans="3:10" x14ac:dyDescent="0.2">
      <c r="C4105" s="209"/>
      <c r="D4105" s="209"/>
      <c r="E4105" s="209"/>
      <c r="J4105" s="124"/>
    </row>
    <row r="4106" spans="3:10" x14ac:dyDescent="0.2">
      <c r="C4106" s="209"/>
      <c r="D4106" s="209"/>
      <c r="E4106" s="209"/>
      <c r="J4106" s="124"/>
    </row>
    <row r="4107" spans="3:10" x14ac:dyDescent="0.2">
      <c r="C4107" s="209"/>
      <c r="D4107" s="209"/>
      <c r="E4107" s="209"/>
      <c r="J4107" s="124"/>
    </row>
    <row r="4108" spans="3:10" x14ac:dyDescent="0.2">
      <c r="C4108" s="209"/>
      <c r="D4108" s="209"/>
      <c r="E4108" s="209"/>
      <c r="J4108" s="124"/>
    </row>
    <row r="4109" spans="3:10" x14ac:dyDescent="0.2">
      <c r="C4109" s="209"/>
      <c r="D4109" s="209"/>
      <c r="E4109" s="209"/>
      <c r="J4109" s="124"/>
    </row>
    <row r="4110" spans="3:10" x14ac:dyDescent="0.2">
      <c r="C4110" s="209"/>
      <c r="D4110" s="209"/>
      <c r="E4110" s="209"/>
      <c r="J4110" s="124"/>
    </row>
    <row r="4111" spans="3:10" x14ac:dyDescent="0.2">
      <c r="C4111" s="209"/>
      <c r="D4111" s="209"/>
      <c r="E4111" s="209"/>
      <c r="J4111" s="124"/>
    </row>
    <row r="4112" spans="3:10" x14ac:dyDescent="0.2">
      <c r="C4112" s="209"/>
      <c r="D4112" s="209"/>
      <c r="E4112" s="209"/>
      <c r="J4112" s="124"/>
    </row>
    <row r="4113" spans="3:10" x14ac:dyDescent="0.2">
      <c r="C4113" s="209"/>
      <c r="D4113" s="209"/>
      <c r="E4113" s="209"/>
      <c r="J4113" s="124"/>
    </row>
    <row r="4114" spans="3:10" x14ac:dyDescent="0.2">
      <c r="C4114" s="209"/>
      <c r="D4114" s="209"/>
      <c r="E4114" s="209"/>
      <c r="J4114" s="124"/>
    </row>
    <row r="4115" spans="3:10" x14ac:dyDescent="0.2">
      <c r="C4115" s="209"/>
      <c r="D4115" s="209"/>
      <c r="E4115" s="209"/>
      <c r="J4115" s="124"/>
    </row>
    <row r="4116" spans="3:10" x14ac:dyDescent="0.2">
      <c r="C4116" s="209"/>
      <c r="D4116" s="209"/>
      <c r="E4116" s="209"/>
      <c r="J4116" s="124"/>
    </row>
    <row r="4117" spans="3:10" x14ac:dyDescent="0.2">
      <c r="C4117" s="209"/>
      <c r="D4117" s="209"/>
      <c r="E4117" s="209"/>
      <c r="J4117" s="124"/>
    </row>
    <row r="4118" spans="3:10" x14ac:dyDescent="0.2">
      <c r="C4118" s="209"/>
      <c r="D4118" s="209"/>
      <c r="E4118" s="209"/>
      <c r="J4118" s="124"/>
    </row>
    <row r="4119" spans="3:10" x14ac:dyDescent="0.2">
      <c r="C4119" s="209"/>
      <c r="D4119" s="209"/>
      <c r="E4119" s="209"/>
      <c r="J4119" s="124"/>
    </row>
    <row r="4120" spans="3:10" x14ac:dyDescent="0.2">
      <c r="C4120" s="209"/>
      <c r="D4120" s="209"/>
      <c r="E4120" s="209"/>
      <c r="J4120" s="124"/>
    </row>
    <row r="4121" spans="3:10" x14ac:dyDescent="0.2">
      <c r="C4121" s="209"/>
      <c r="D4121" s="209"/>
      <c r="E4121" s="209"/>
      <c r="J4121" s="124"/>
    </row>
    <row r="4122" spans="3:10" x14ac:dyDescent="0.2">
      <c r="C4122" s="209"/>
      <c r="D4122" s="209"/>
      <c r="E4122" s="209"/>
      <c r="J4122" s="124"/>
    </row>
    <row r="4123" spans="3:10" x14ac:dyDescent="0.2">
      <c r="C4123" s="209"/>
      <c r="D4123" s="209"/>
      <c r="E4123" s="209"/>
      <c r="J4123" s="124"/>
    </row>
    <row r="4124" spans="3:10" x14ac:dyDescent="0.2">
      <c r="C4124" s="209"/>
      <c r="D4124" s="209"/>
      <c r="E4124" s="209"/>
      <c r="J4124" s="124"/>
    </row>
    <row r="4125" spans="3:10" x14ac:dyDescent="0.2">
      <c r="C4125" s="209"/>
      <c r="D4125" s="209"/>
      <c r="E4125" s="209"/>
      <c r="J4125" s="124"/>
    </row>
    <row r="4126" spans="3:10" x14ac:dyDescent="0.2">
      <c r="C4126" s="209"/>
      <c r="D4126" s="209"/>
      <c r="E4126" s="209"/>
      <c r="J4126" s="124"/>
    </row>
    <row r="4127" spans="3:10" x14ac:dyDescent="0.2">
      <c r="C4127" s="209"/>
      <c r="D4127" s="209"/>
      <c r="E4127" s="209"/>
      <c r="J4127" s="124"/>
    </row>
    <row r="4128" spans="3:10" x14ac:dyDescent="0.2">
      <c r="C4128" s="209"/>
      <c r="D4128" s="209"/>
      <c r="E4128" s="209"/>
      <c r="J4128" s="124"/>
    </row>
    <row r="4129" spans="3:10" x14ac:dyDescent="0.2">
      <c r="C4129" s="209"/>
      <c r="D4129" s="209"/>
      <c r="E4129" s="209"/>
      <c r="J4129" s="124"/>
    </row>
    <row r="4130" spans="3:10" x14ac:dyDescent="0.2">
      <c r="C4130" s="209"/>
      <c r="D4130" s="209"/>
      <c r="E4130" s="209"/>
      <c r="J4130" s="124"/>
    </row>
    <row r="4131" spans="3:10" x14ac:dyDescent="0.2">
      <c r="C4131" s="209"/>
      <c r="D4131" s="209"/>
      <c r="E4131" s="209"/>
      <c r="J4131" s="124"/>
    </row>
    <row r="4132" spans="3:10" x14ac:dyDescent="0.2">
      <c r="C4132" s="209"/>
      <c r="D4132" s="209"/>
      <c r="E4132" s="209"/>
      <c r="J4132" s="124"/>
    </row>
    <row r="4133" spans="3:10" x14ac:dyDescent="0.2">
      <c r="C4133" s="209"/>
      <c r="D4133" s="209"/>
      <c r="E4133" s="209"/>
      <c r="J4133" s="124"/>
    </row>
    <row r="4134" spans="3:10" x14ac:dyDescent="0.2">
      <c r="C4134" s="209"/>
      <c r="D4134" s="209"/>
      <c r="E4134" s="209"/>
      <c r="J4134" s="124"/>
    </row>
    <row r="4135" spans="3:10" x14ac:dyDescent="0.2">
      <c r="C4135" s="209"/>
      <c r="D4135" s="209"/>
      <c r="E4135" s="209"/>
      <c r="J4135" s="124"/>
    </row>
    <row r="4136" spans="3:10" x14ac:dyDescent="0.2">
      <c r="C4136" s="209"/>
      <c r="D4136" s="209"/>
      <c r="E4136" s="209"/>
      <c r="J4136" s="124"/>
    </row>
    <row r="4137" spans="3:10" x14ac:dyDescent="0.2">
      <c r="C4137" s="209"/>
      <c r="D4137" s="209"/>
      <c r="E4137" s="209"/>
      <c r="J4137" s="124"/>
    </row>
    <row r="4138" spans="3:10" x14ac:dyDescent="0.2">
      <c r="C4138" s="209"/>
      <c r="D4138" s="209"/>
      <c r="E4138" s="209"/>
      <c r="J4138" s="124"/>
    </row>
    <row r="4139" spans="3:10" x14ac:dyDescent="0.2">
      <c r="C4139" s="209"/>
      <c r="D4139" s="209"/>
      <c r="E4139" s="209"/>
      <c r="J4139" s="124"/>
    </row>
    <row r="4140" spans="3:10" x14ac:dyDescent="0.2">
      <c r="C4140" s="209"/>
      <c r="D4140" s="209"/>
      <c r="E4140" s="209"/>
      <c r="J4140" s="124"/>
    </row>
    <row r="4141" spans="3:10" x14ac:dyDescent="0.2">
      <c r="C4141" s="209"/>
      <c r="D4141" s="209"/>
      <c r="E4141" s="209"/>
      <c r="J4141" s="124"/>
    </row>
    <row r="4142" spans="3:10" x14ac:dyDescent="0.2">
      <c r="C4142" s="209"/>
      <c r="D4142" s="209"/>
      <c r="E4142" s="209"/>
      <c r="J4142" s="124"/>
    </row>
    <row r="4143" spans="3:10" x14ac:dyDescent="0.2">
      <c r="C4143" s="209"/>
      <c r="D4143" s="209"/>
      <c r="E4143" s="209"/>
      <c r="J4143" s="124"/>
    </row>
    <row r="4144" spans="3:10" x14ac:dyDescent="0.2">
      <c r="C4144" s="209"/>
      <c r="D4144" s="209"/>
      <c r="E4144" s="209"/>
      <c r="J4144" s="124"/>
    </row>
    <row r="4145" spans="3:10" x14ac:dyDescent="0.2">
      <c r="C4145" s="209"/>
      <c r="D4145" s="209"/>
      <c r="E4145" s="209"/>
      <c r="J4145" s="124"/>
    </row>
    <row r="4146" spans="3:10" x14ac:dyDescent="0.2">
      <c r="C4146" s="209"/>
      <c r="D4146" s="209"/>
      <c r="E4146" s="209"/>
      <c r="J4146" s="124"/>
    </row>
    <row r="4147" spans="3:10" x14ac:dyDescent="0.2">
      <c r="C4147" s="209"/>
      <c r="D4147" s="209"/>
      <c r="E4147" s="209"/>
      <c r="J4147" s="124"/>
    </row>
    <row r="4148" spans="3:10" x14ac:dyDescent="0.2">
      <c r="C4148" s="209"/>
      <c r="D4148" s="209"/>
      <c r="E4148" s="209"/>
      <c r="J4148" s="124"/>
    </row>
    <row r="4149" spans="3:10" x14ac:dyDescent="0.2">
      <c r="C4149" s="209"/>
      <c r="D4149" s="209"/>
      <c r="E4149" s="209"/>
      <c r="J4149" s="124"/>
    </row>
    <row r="4150" spans="3:10" x14ac:dyDescent="0.2">
      <c r="C4150" s="209"/>
      <c r="D4150" s="209"/>
      <c r="E4150" s="209"/>
      <c r="J4150" s="124"/>
    </row>
    <row r="4151" spans="3:10" x14ac:dyDescent="0.2">
      <c r="C4151" s="209"/>
      <c r="D4151" s="209"/>
      <c r="E4151" s="209"/>
      <c r="J4151" s="124"/>
    </row>
    <row r="4152" spans="3:10" x14ac:dyDescent="0.2">
      <c r="C4152" s="209"/>
      <c r="D4152" s="209"/>
      <c r="E4152" s="209"/>
      <c r="J4152" s="124"/>
    </row>
    <row r="4153" spans="3:10" x14ac:dyDescent="0.2">
      <c r="C4153" s="209"/>
      <c r="D4153" s="209"/>
      <c r="E4153" s="209"/>
      <c r="J4153" s="124"/>
    </row>
    <row r="4154" spans="3:10" x14ac:dyDescent="0.2">
      <c r="C4154" s="209"/>
      <c r="D4154" s="209"/>
      <c r="E4154" s="209"/>
      <c r="J4154" s="124"/>
    </row>
    <row r="4155" spans="3:10" x14ac:dyDescent="0.2">
      <c r="C4155" s="209"/>
      <c r="D4155" s="209"/>
      <c r="E4155" s="209"/>
      <c r="J4155" s="124"/>
    </row>
    <row r="4156" spans="3:10" x14ac:dyDescent="0.2">
      <c r="C4156" s="209"/>
      <c r="D4156" s="209"/>
      <c r="E4156" s="209"/>
      <c r="J4156" s="124"/>
    </row>
    <row r="4157" spans="3:10" x14ac:dyDescent="0.2">
      <c r="C4157" s="209"/>
      <c r="D4157" s="209"/>
      <c r="E4157" s="209"/>
      <c r="J4157" s="124"/>
    </row>
    <row r="4158" spans="3:10" x14ac:dyDescent="0.2">
      <c r="C4158" s="209"/>
      <c r="D4158" s="209"/>
      <c r="E4158" s="209"/>
      <c r="J4158" s="124"/>
    </row>
    <row r="4159" spans="3:10" x14ac:dyDescent="0.2">
      <c r="C4159" s="209"/>
      <c r="D4159" s="209"/>
      <c r="E4159" s="209"/>
      <c r="J4159" s="124"/>
    </row>
    <row r="4160" spans="3:10" x14ac:dyDescent="0.2">
      <c r="C4160" s="209"/>
      <c r="D4160" s="209"/>
      <c r="E4160" s="209"/>
      <c r="J4160" s="124"/>
    </row>
    <row r="4161" spans="3:10" x14ac:dyDescent="0.2">
      <c r="C4161" s="209"/>
      <c r="D4161" s="209"/>
      <c r="E4161" s="209"/>
      <c r="J4161" s="124"/>
    </row>
    <row r="4162" spans="3:10" x14ac:dyDescent="0.2">
      <c r="C4162" s="209"/>
      <c r="D4162" s="209"/>
      <c r="E4162" s="209"/>
      <c r="J4162" s="124"/>
    </row>
    <row r="4163" spans="3:10" x14ac:dyDescent="0.2">
      <c r="C4163" s="209"/>
      <c r="D4163" s="209"/>
      <c r="E4163" s="209"/>
      <c r="J4163" s="124"/>
    </row>
    <row r="4164" spans="3:10" x14ac:dyDescent="0.2">
      <c r="C4164" s="209"/>
      <c r="D4164" s="209"/>
      <c r="E4164" s="209"/>
      <c r="J4164" s="124"/>
    </row>
    <row r="4165" spans="3:10" x14ac:dyDescent="0.2">
      <c r="C4165" s="209"/>
      <c r="D4165" s="209"/>
      <c r="E4165" s="209"/>
      <c r="J4165" s="124"/>
    </row>
    <row r="4166" spans="3:10" x14ac:dyDescent="0.2">
      <c r="C4166" s="209"/>
      <c r="D4166" s="209"/>
      <c r="E4166" s="209"/>
      <c r="J4166" s="124"/>
    </row>
    <row r="4167" spans="3:10" x14ac:dyDescent="0.2">
      <c r="C4167" s="209"/>
      <c r="D4167" s="209"/>
      <c r="E4167" s="209"/>
      <c r="J4167" s="124"/>
    </row>
    <row r="4168" spans="3:10" x14ac:dyDescent="0.2">
      <c r="C4168" s="209"/>
      <c r="D4168" s="209"/>
      <c r="E4168" s="209"/>
      <c r="J4168" s="124"/>
    </row>
    <row r="4169" spans="3:10" x14ac:dyDescent="0.2">
      <c r="C4169" s="209"/>
      <c r="D4169" s="209"/>
      <c r="E4169" s="209"/>
      <c r="J4169" s="124"/>
    </row>
    <row r="4170" spans="3:10" x14ac:dyDescent="0.2">
      <c r="C4170" s="209"/>
      <c r="D4170" s="209"/>
      <c r="E4170" s="209"/>
      <c r="J4170" s="124"/>
    </row>
    <row r="4171" spans="3:10" x14ac:dyDescent="0.2">
      <c r="C4171" s="209"/>
      <c r="D4171" s="209"/>
      <c r="E4171" s="209"/>
      <c r="J4171" s="124"/>
    </row>
    <row r="4172" spans="3:10" x14ac:dyDescent="0.2">
      <c r="C4172" s="209"/>
      <c r="D4172" s="209"/>
      <c r="E4172" s="209"/>
      <c r="J4172" s="124"/>
    </row>
    <row r="4173" spans="3:10" x14ac:dyDescent="0.2">
      <c r="C4173" s="209"/>
      <c r="D4173" s="209"/>
      <c r="E4173" s="209"/>
      <c r="J4173" s="124"/>
    </row>
    <row r="4174" spans="3:10" x14ac:dyDescent="0.2">
      <c r="C4174" s="209"/>
      <c r="D4174" s="209"/>
      <c r="E4174" s="209"/>
      <c r="J4174" s="124"/>
    </row>
    <row r="4175" spans="3:10" x14ac:dyDescent="0.2">
      <c r="C4175" s="209"/>
      <c r="D4175" s="209"/>
      <c r="E4175" s="209"/>
      <c r="J4175" s="124"/>
    </row>
    <row r="4176" spans="3:10" x14ac:dyDescent="0.2">
      <c r="C4176" s="209"/>
      <c r="D4176" s="209"/>
      <c r="E4176" s="209"/>
      <c r="J4176" s="124"/>
    </row>
    <row r="4177" spans="3:10" x14ac:dyDescent="0.2">
      <c r="C4177" s="209"/>
      <c r="D4177" s="209"/>
      <c r="E4177" s="209"/>
      <c r="J4177" s="124"/>
    </row>
    <row r="4178" spans="3:10" x14ac:dyDescent="0.2">
      <c r="C4178" s="209"/>
      <c r="D4178" s="209"/>
      <c r="E4178" s="209"/>
      <c r="J4178" s="124"/>
    </row>
    <row r="4179" spans="3:10" x14ac:dyDescent="0.2">
      <c r="C4179" s="209"/>
      <c r="D4179" s="209"/>
      <c r="E4179" s="209"/>
      <c r="J4179" s="124"/>
    </row>
    <row r="4180" spans="3:10" x14ac:dyDescent="0.2">
      <c r="C4180" s="209"/>
      <c r="D4180" s="209"/>
      <c r="E4180" s="209"/>
      <c r="J4180" s="124"/>
    </row>
    <row r="4181" spans="3:10" x14ac:dyDescent="0.2">
      <c r="C4181" s="209"/>
      <c r="D4181" s="209"/>
      <c r="E4181" s="209"/>
      <c r="J4181" s="124"/>
    </row>
    <row r="4182" spans="3:10" x14ac:dyDescent="0.2">
      <c r="C4182" s="209"/>
      <c r="D4182" s="209"/>
      <c r="E4182" s="209"/>
      <c r="J4182" s="124"/>
    </row>
    <row r="4183" spans="3:10" x14ac:dyDescent="0.2">
      <c r="C4183" s="209"/>
      <c r="D4183" s="209"/>
      <c r="E4183" s="209"/>
      <c r="J4183" s="124"/>
    </row>
    <row r="4184" spans="3:10" x14ac:dyDescent="0.2">
      <c r="C4184" s="209"/>
      <c r="D4184" s="209"/>
      <c r="E4184" s="209"/>
      <c r="J4184" s="124"/>
    </row>
    <row r="4185" spans="3:10" x14ac:dyDescent="0.2">
      <c r="C4185" s="209"/>
      <c r="D4185" s="209"/>
      <c r="E4185" s="209"/>
      <c r="J4185" s="124"/>
    </row>
    <row r="4186" spans="3:10" x14ac:dyDescent="0.2">
      <c r="C4186" s="209"/>
      <c r="D4186" s="209"/>
      <c r="E4186" s="209"/>
      <c r="J4186" s="124"/>
    </row>
    <row r="4187" spans="3:10" x14ac:dyDescent="0.2">
      <c r="C4187" s="209"/>
      <c r="D4187" s="209"/>
      <c r="E4187" s="209"/>
      <c r="J4187" s="124"/>
    </row>
    <row r="4188" spans="3:10" x14ac:dyDescent="0.2">
      <c r="C4188" s="209"/>
      <c r="D4188" s="209"/>
      <c r="E4188" s="209"/>
      <c r="J4188" s="124"/>
    </row>
    <row r="4189" spans="3:10" x14ac:dyDescent="0.2">
      <c r="C4189" s="209"/>
      <c r="D4189" s="209"/>
      <c r="E4189" s="209"/>
      <c r="J4189" s="124"/>
    </row>
    <row r="4190" spans="3:10" x14ac:dyDescent="0.2">
      <c r="C4190" s="209"/>
      <c r="D4190" s="209"/>
      <c r="E4190" s="209"/>
      <c r="J4190" s="124"/>
    </row>
    <row r="4191" spans="3:10" x14ac:dyDescent="0.2">
      <c r="C4191" s="209"/>
      <c r="D4191" s="209"/>
      <c r="E4191" s="209"/>
      <c r="J4191" s="124"/>
    </row>
    <row r="4192" spans="3:10" x14ac:dyDescent="0.2">
      <c r="C4192" s="209"/>
      <c r="D4192" s="209"/>
      <c r="E4192" s="209"/>
      <c r="J4192" s="124"/>
    </row>
    <row r="4193" spans="3:10" x14ac:dyDescent="0.2">
      <c r="C4193" s="209"/>
      <c r="D4193" s="209"/>
      <c r="E4193" s="209"/>
      <c r="J4193" s="124"/>
    </row>
    <row r="4194" spans="3:10" x14ac:dyDescent="0.2">
      <c r="C4194" s="209"/>
      <c r="D4194" s="209"/>
      <c r="E4194" s="209"/>
      <c r="J4194" s="124"/>
    </row>
    <row r="4195" spans="3:10" x14ac:dyDescent="0.2">
      <c r="C4195" s="209"/>
      <c r="D4195" s="209"/>
      <c r="E4195" s="209"/>
      <c r="J4195" s="124"/>
    </row>
    <row r="4196" spans="3:10" x14ac:dyDescent="0.2">
      <c r="C4196" s="209"/>
      <c r="D4196" s="209"/>
      <c r="E4196" s="209"/>
      <c r="J4196" s="124"/>
    </row>
    <row r="4197" spans="3:10" x14ac:dyDescent="0.2">
      <c r="C4197" s="209"/>
      <c r="D4197" s="209"/>
      <c r="E4197" s="209"/>
      <c r="J4197" s="124"/>
    </row>
    <row r="4198" spans="3:10" x14ac:dyDescent="0.2">
      <c r="C4198" s="209"/>
      <c r="D4198" s="209"/>
      <c r="E4198" s="209"/>
      <c r="J4198" s="124"/>
    </row>
    <row r="4199" spans="3:10" x14ac:dyDescent="0.2">
      <c r="C4199" s="209"/>
      <c r="D4199" s="209"/>
      <c r="E4199" s="209"/>
      <c r="J4199" s="124"/>
    </row>
    <row r="4200" spans="3:10" x14ac:dyDescent="0.2">
      <c r="C4200" s="209"/>
      <c r="D4200" s="209"/>
      <c r="E4200" s="209"/>
      <c r="J4200" s="124"/>
    </row>
    <row r="4201" spans="3:10" x14ac:dyDescent="0.2">
      <c r="C4201" s="209"/>
      <c r="D4201" s="209"/>
      <c r="E4201" s="209"/>
      <c r="J4201" s="124"/>
    </row>
    <row r="4202" spans="3:10" x14ac:dyDescent="0.2">
      <c r="C4202" s="209"/>
      <c r="D4202" s="209"/>
      <c r="E4202" s="209"/>
      <c r="J4202" s="124"/>
    </row>
    <row r="4203" spans="3:10" x14ac:dyDescent="0.2">
      <c r="C4203" s="209"/>
      <c r="D4203" s="209"/>
      <c r="E4203" s="209"/>
      <c r="J4203" s="124"/>
    </row>
    <row r="4204" spans="3:10" x14ac:dyDescent="0.2">
      <c r="C4204" s="209"/>
      <c r="D4204" s="209"/>
      <c r="E4204" s="209"/>
      <c r="J4204" s="124"/>
    </row>
    <row r="4205" spans="3:10" x14ac:dyDescent="0.2">
      <c r="C4205" s="209"/>
      <c r="D4205" s="209"/>
      <c r="E4205" s="209"/>
      <c r="J4205" s="124"/>
    </row>
    <row r="4206" spans="3:10" x14ac:dyDescent="0.2">
      <c r="C4206" s="209"/>
      <c r="D4206" s="209"/>
      <c r="E4206" s="209"/>
      <c r="J4206" s="124"/>
    </row>
    <row r="4207" spans="3:10" x14ac:dyDescent="0.2">
      <c r="C4207" s="209"/>
      <c r="D4207" s="209"/>
      <c r="E4207" s="209"/>
      <c r="J4207" s="124"/>
    </row>
    <row r="4208" spans="3:10" x14ac:dyDescent="0.2">
      <c r="C4208" s="209"/>
      <c r="D4208" s="209"/>
      <c r="E4208" s="209"/>
      <c r="J4208" s="124"/>
    </row>
    <row r="4209" spans="3:10" x14ac:dyDescent="0.2">
      <c r="C4209" s="209"/>
      <c r="D4209" s="209"/>
      <c r="E4209" s="209"/>
      <c r="J4209" s="124"/>
    </row>
    <row r="4210" spans="3:10" x14ac:dyDescent="0.2">
      <c r="C4210" s="209"/>
      <c r="D4210" s="209"/>
      <c r="E4210" s="209"/>
      <c r="J4210" s="124"/>
    </row>
    <row r="4211" spans="3:10" x14ac:dyDescent="0.2">
      <c r="C4211" s="209"/>
      <c r="D4211" s="209"/>
      <c r="E4211" s="209"/>
      <c r="J4211" s="124"/>
    </row>
    <row r="4212" spans="3:10" x14ac:dyDescent="0.2">
      <c r="C4212" s="209"/>
      <c r="D4212" s="209"/>
      <c r="E4212" s="209"/>
      <c r="J4212" s="124"/>
    </row>
    <row r="4213" spans="3:10" x14ac:dyDescent="0.2">
      <c r="C4213" s="209"/>
      <c r="D4213" s="209"/>
      <c r="E4213" s="209"/>
      <c r="J4213" s="124"/>
    </row>
    <row r="4214" spans="3:10" x14ac:dyDescent="0.2">
      <c r="C4214" s="209"/>
      <c r="D4214" s="209"/>
      <c r="E4214" s="209"/>
      <c r="J4214" s="124"/>
    </row>
    <row r="4215" spans="3:10" x14ac:dyDescent="0.2">
      <c r="C4215" s="209"/>
      <c r="D4215" s="209"/>
      <c r="E4215" s="209"/>
      <c r="J4215" s="124"/>
    </row>
    <row r="4216" spans="3:10" x14ac:dyDescent="0.2">
      <c r="C4216" s="209"/>
      <c r="D4216" s="209"/>
      <c r="E4216" s="209"/>
      <c r="J4216" s="124"/>
    </row>
    <row r="4217" spans="3:10" x14ac:dyDescent="0.2">
      <c r="C4217" s="209"/>
      <c r="D4217" s="209"/>
      <c r="E4217" s="209"/>
      <c r="J4217" s="124"/>
    </row>
    <row r="4218" spans="3:10" x14ac:dyDescent="0.2">
      <c r="C4218" s="209"/>
      <c r="D4218" s="209"/>
      <c r="E4218" s="209"/>
      <c r="J4218" s="124"/>
    </row>
    <row r="4219" spans="3:10" x14ac:dyDescent="0.2">
      <c r="C4219" s="209"/>
      <c r="D4219" s="209"/>
      <c r="E4219" s="209"/>
      <c r="J4219" s="124"/>
    </row>
    <row r="4220" spans="3:10" x14ac:dyDescent="0.2">
      <c r="C4220" s="209"/>
      <c r="D4220" s="209"/>
      <c r="E4220" s="209"/>
      <c r="J4220" s="124"/>
    </row>
    <row r="4221" spans="3:10" x14ac:dyDescent="0.2">
      <c r="C4221" s="209"/>
      <c r="D4221" s="209"/>
      <c r="E4221" s="209"/>
      <c r="J4221" s="124"/>
    </row>
    <row r="4222" spans="3:10" x14ac:dyDescent="0.2">
      <c r="C4222" s="209"/>
      <c r="D4222" s="209"/>
      <c r="E4222" s="209"/>
      <c r="J4222" s="124"/>
    </row>
    <row r="4223" spans="3:10" x14ac:dyDescent="0.2">
      <c r="C4223" s="209"/>
      <c r="D4223" s="209"/>
      <c r="E4223" s="209"/>
      <c r="J4223" s="124"/>
    </row>
    <row r="4224" spans="3:10" x14ac:dyDescent="0.2">
      <c r="C4224" s="209"/>
      <c r="D4224" s="209"/>
      <c r="E4224" s="209"/>
      <c r="J4224" s="124"/>
    </row>
    <row r="4225" spans="3:10" x14ac:dyDescent="0.2">
      <c r="C4225" s="209"/>
      <c r="D4225" s="209"/>
      <c r="E4225" s="209"/>
      <c r="J4225" s="124"/>
    </row>
    <row r="4226" spans="3:10" x14ac:dyDescent="0.2">
      <c r="C4226" s="209"/>
      <c r="D4226" s="209"/>
      <c r="E4226" s="209"/>
      <c r="J4226" s="124"/>
    </row>
    <row r="4227" spans="3:10" x14ac:dyDescent="0.2">
      <c r="C4227" s="209"/>
      <c r="D4227" s="209"/>
      <c r="E4227" s="209"/>
      <c r="J4227" s="124"/>
    </row>
    <row r="4228" spans="3:10" x14ac:dyDescent="0.2">
      <c r="C4228" s="209"/>
      <c r="D4228" s="209"/>
      <c r="E4228" s="209"/>
      <c r="J4228" s="124"/>
    </row>
    <row r="4229" spans="3:10" x14ac:dyDescent="0.2">
      <c r="C4229" s="209"/>
      <c r="D4229" s="209"/>
      <c r="E4229" s="209"/>
      <c r="J4229" s="124"/>
    </row>
    <row r="4230" spans="3:10" x14ac:dyDescent="0.2">
      <c r="C4230" s="209"/>
      <c r="D4230" s="209"/>
      <c r="E4230" s="209"/>
      <c r="J4230" s="124"/>
    </row>
    <row r="4231" spans="3:10" x14ac:dyDescent="0.2">
      <c r="C4231" s="209"/>
      <c r="D4231" s="209"/>
      <c r="E4231" s="209"/>
      <c r="J4231" s="124"/>
    </row>
    <row r="4232" spans="3:10" x14ac:dyDescent="0.2">
      <c r="C4232" s="209"/>
      <c r="D4232" s="209"/>
      <c r="E4232" s="209"/>
      <c r="J4232" s="124"/>
    </row>
    <row r="4233" spans="3:10" x14ac:dyDescent="0.2">
      <c r="C4233" s="209"/>
      <c r="D4233" s="209"/>
      <c r="E4233" s="209"/>
      <c r="J4233" s="124"/>
    </row>
    <row r="4234" spans="3:10" x14ac:dyDescent="0.2">
      <c r="C4234" s="209"/>
      <c r="D4234" s="209"/>
      <c r="E4234" s="209"/>
      <c r="J4234" s="124"/>
    </row>
    <row r="4235" spans="3:10" x14ac:dyDescent="0.2">
      <c r="C4235" s="209"/>
      <c r="D4235" s="209"/>
      <c r="E4235" s="209"/>
      <c r="J4235" s="124"/>
    </row>
    <row r="4236" spans="3:10" x14ac:dyDescent="0.2">
      <c r="C4236" s="209"/>
      <c r="D4236" s="209"/>
      <c r="E4236" s="209"/>
      <c r="J4236" s="124"/>
    </row>
    <row r="4237" spans="3:10" x14ac:dyDescent="0.2">
      <c r="C4237" s="209"/>
      <c r="D4237" s="209"/>
      <c r="E4237" s="209"/>
      <c r="J4237" s="124"/>
    </row>
    <row r="4238" spans="3:10" x14ac:dyDescent="0.2">
      <c r="C4238" s="209"/>
      <c r="D4238" s="209"/>
      <c r="E4238" s="209"/>
      <c r="J4238" s="124"/>
    </row>
    <row r="4239" spans="3:10" x14ac:dyDescent="0.2">
      <c r="C4239" s="209"/>
      <c r="D4239" s="209"/>
      <c r="E4239" s="209"/>
      <c r="J4239" s="124"/>
    </row>
    <row r="4240" spans="3:10" x14ac:dyDescent="0.2">
      <c r="C4240" s="209"/>
      <c r="D4240" s="209"/>
      <c r="E4240" s="209"/>
      <c r="J4240" s="124"/>
    </row>
    <row r="4241" spans="3:10" x14ac:dyDescent="0.2">
      <c r="C4241" s="209"/>
      <c r="D4241" s="209"/>
      <c r="E4241" s="209"/>
      <c r="J4241" s="124"/>
    </row>
    <row r="4242" spans="3:10" x14ac:dyDescent="0.2">
      <c r="C4242" s="209"/>
      <c r="D4242" s="209"/>
      <c r="E4242" s="209"/>
      <c r="J4242" s="124"/>
    </row>
    <row r="4243" spans="3:10" x14ac:dyDescent="0.2">
      <c r="C4243" s="209"/>
      <c r="D4243" s="209"/>
      <c r="E4243" s="209"/>
      <c r="J4243" s="124"/>
    </row>
    <row r="4244" spans="3:10" x14ac:dyDescent="0.2">
      <c r="C4244" s="209"/>
      <c r="D4244" s="209"/>
      <c r="E4244" s="209"/>
      <c r="J4244" s="124"/>
    </row>
    <row r="4245" spans="3:10" x14ac:dyDescent="0.2">
      <c r="C4245" s="209"/>
      <c r="D4245" s="209"/>
      <c r="E4245" s="209"/>
      <c r="J4245" s="124"/>
    </row>
    <row r="4246" spans="3:10" x14ac:dyDescent="0.2">
      <c r="C4246" s="209"/>
      <c r="D4246" s="209"/>
      <c r="E4246" s="209"/>
      <c r="J4246" s="124"/>
    </row>
    <row r="4247" spans="3:10" x14ac:dyDescent="0.2">
      <c r="C4247" s="209"/>
      <c r="D4247" s="209"/>
      <c r="E4247" s="209"/>
      <c r="J4247" s="124"/>
    </row>
    <row r="4248" spans="3:10" x14ac:dyDescent="0.2">
      <c r="C4248" s="209"/>
      <c r="D4248" s="209"/>
      <c r="E4248" s="209"/>
      <c r="J4248" s="124"/>
    </row>
    <row r="4249" spans="3:10" x14ac:dyDescent="0.2">
      <c r="C4249" s="209"/>
      <c r="D4249" s="209"/>
      <c r="E4249" s="209"/>
      <c r="J4249" s="124"/>
    </row>
    <row r="4250" spans="3:10" x14ac:dyDescent="0.2">
      <c r="C4250" s="209"/>
      <c r="D4250" s="209"/>
      <c r="E4250" s="209"/>
      <c r="J4250" s="124"/>
    </row>
    <row r="4251" spans="3:10" x14ac:dyDescent="0.2">
      <c r="C4251" s="209"/>
      <c r="D4251" s="209"/>
      <c r="E4251" s="209"/>
      <c r="J4251" s="124"/>
    </row>
    <row r="4252" spans="3:10" x14ac:dyDescent="0.2">
      <c r="C4252" s="209"/>
      <c r="D4252" s="209"/>
      <c r="E4252" s="209"/>
      <c r="J4252" s="124"/>
    </row>
    <row r="4253" spans="3:10" x14ac:dyDescent="0.2">
      <c r="C4253" s="209"/>
      <c r="D4253" s="209"/>
      <c r="E4253" s="209"/>
      <c r="J4253" s="124"/>
    </row>
    <row r="4254" spans="3:10" x14ac:dyDescent="0.2">
      <c r="C4254" s="209"/>
      <c r="D4254" s="209"/>
      <c r="E4254" s="209"/>
      <c r="J4254" s="124"/>
    </row>
    <row r="4255" spans="3:10" x14ac:dyDescent="0.2">
      <c r="C4255" s="209"/>
      <c r="D4255" s="209"/>
      <c r="E4255" s="209"/>
      <c r="J4255" s="124"/>
    </row>
    <row r="4256" spans="3:10" x14ac:dyDescent="0.2">
      <c r="C4256" s="209"/>
      <c r="D4256" s="209"/>
      <c r="E4256" s="209"/>
      <c r="J4256" s="124"/>
    </row>
    <row r="4257" spans="3:10" x14ac:dyDescent="0.2">
      <c r="C4257" s="209"/>
      <c r="D4257" s="209"/>
      <c r="E4257" s="209"/>
      <c r="J4257" s="124"/>
    </row>
    <row r="4258" spans="3:10" x14ac:dyDescent="0.2">
      <c r="C4258" s="209"/>
      <c r="D4258" s="209"/>
      <c r="E4258" s="209"/>
      <c r="J4258" s="124"/>
    </row>
    <row r="4259" spans="3:10" x14ac:dyDescent="0.2">
      <c r="C4259" s="209"/>
      <c r="D4259" s="209"/>
      <c r="E4259" s="209"/>
      <c r="J4259" s="124"/>
    </row>
    <row r="4260" spans="3:10" x14ac:dyDescent="0.2">
      <c r="C4260" s="209"/>
      <c r="D4260" s="209"/>
      <c r="E4260" s="209"/>
      <c r="J4260" s="124"/>
    </row>
    <row r="4261" spans="3:10" x14ac:dyDescent="0.2">
      <c r="C4261" s="209"/>
      <c r="D4261" s="209"/>
      <c r="E4261" s="209"/>
      <c r="J4261" s="124"/>
    </row>
    <row r="4262" spans="3:10" x14ac:dyDescent="0.2">
      <c r="C4262" s="209"/>
      <c r="D4262" s="209"/>
      <c r="E4262" s="209"/>
      <c r="J4262" s="124"/>
    </row>
    <row r="4263" spans="3:10" x14ac:dyDescent="0.2">
      <c r="C4263" s="209"/>
      <c r="D4263" s="209"/>
      <c r="E4263" s="209"/>
      <c r="J4263" s="124"/>
    </row>
    <row r="4264" spans="3:10" x14ac:dyDescent="0.2">
      <c r="C4264" s="209"/>
      <c r="D4264" s="209"/>
      <c r="E4264" s="209"/>
      <c r="J4264" s="124"/>
    </row>
    <row r="4265" spans="3:10" x14ac:dyDescent="0.2">
      <c r="C4265" s="209"/>
      <c r="D4265" s="209"/>
      <c r="E4265" s="209"/>
      <c r="J4265" s="124"/>
    </row>
    <row r="4266" spans="3:10" x14ac:dyDescent="0.2">
      <c r="C4266" s="209"/>
      <c r="D4266" s="209"/>
      <c r="E4266" s="209"/>
      <c r="J4266" s="124"/>
    </row>
    <row r="4267" spans="3:10" x14ac:dyDescent="0.2">
      <c r="C4267" s="209"/>
      <c r="D4267" s="209"/>
      <c r="E4267" s="209"/>
      <c r="J4267" s="124"/>
    </row>
    <row r="4268" spans="3:10" x14ac:dyDescent="0.2">
      <c r="C4268" s="209"/>
      <c r="D4268" s="209"/>
      <c r="E4268" s="209"/>
      <c r="J4268" s="124"/>
    </row>
    <row r="4269" spans="3:10" x14ac:dyDescent="0.2">
      <c r="C4269" s="209"/>
      <c r="D4269" s="209"/>
      <c r="E4269" s="209"/>
      <c r="J4269" s="124"/>
    </row>
    <row r="4270" spans="3:10" x14ac:dyDescent="0.2">
      <c r="C4270" s="209"/>
      <c r="D4270" s="209"/>
      <c r="E4270" s="209"/>
      <c r="J4270" s="124"/>
    </row>
    <row r="4271" spans="3:10" x14ac:dyDescent="0.2">
      <c r="C4271" s="209"/>
      <c r="D4271" s="209"/>
      <c r="E4271" s="209"/>
      <c r="J4271" s="124"/>
    </row>
    <row r="4272" spans="3:10" x14ac:dyDescent="0.2">
      <c r="C4272" s="209"/>
      <c r="D4272" s="209"/>
      <c r="E4272" s="209"/>
      <c r="J4272" s="124"/>
    </row>
    <row r="4273" spans="3:10" x14ac:dyDescent="0.2">
      <c r="C4273" s="209"/>
      <c r="D4273" s="209"/>
      <c r="E4273" s="209"/>
      <c r="J4273" s="124"/>
    </row>
    <row r="4274" spans="3:10" x14ac:dyDescent="0.2">
      <c r="C4274" s="209"/>
      <c r="D4274" s="209"/>
      <c r="E4274" s="209"/>
      <c r="J4274" s="124"/>
    </row>
    <row r="4275" spans="3:10" x14ac:dyDescent="0.2">
      <c r="C4275" s="209"/>
      <c r="D4275" s="209"/>
      <c r="E4275" s="209"/>
      <c r="J4275" s="124"/>
    </row>
    <row r="4276" spans="3:10" x14ac:dyDescent="0.2">
      <c r="C4276" s="209"/>
      <c r="D4276" s="209"/>
      <c r="E4276" s="209"/>
      <c r="J4276" s="124"/>
    </row>
    <row r="4277" spans="3:10" x14ac:dyDescent="0.2">
      <c r="C4277" s="209"/>
      <c r="D4277" s="209"/>
      <c r="E4277" s="209"/>
      <c r="J4277" s="124"/>
    </row>
    <row r="4278" spans="3:10" x14ac:dyDescent="0.2">
      <c r="C4278" s="209"/>
      <c r="D4278" s="209"/>
      <c r="E4278" s="209"/>
      <c r="J4278" s="124"/>
    </row>
    <row r="4279" spans="3:10" x14ac:dyDescent="0.2">
      <c r="C4279" s="209"/>
      <c r="D4279" s="209"/>
      <c r="E4279" s="209"/>
      <c r="J4279" s="124"/>
    </row>
    <row r="4280" spans="3:10" x14ac:dyDescent="0.2">
      <c r="C4280" s="209"/>
      <c r="D4280" s="209"/>
      <c r="E4280" s="209"/>
      <c r="J4280" s="124"/>
    </row>
    <row r="4281" spans="3:10" x14ac:dyDescent="0.2">
      <c r="C4281" s="209"/>
      <c r="D4281" s="209"/>
      <c r="E4281" s="209"/>
      <c r="J4281" s="124"/>
    </row>
    <row r="4282" spans="3:10" x14ac:dyDescent="0.2">
      <c r="C4282" s="209"/>
      <c r="D4282" s="209"/>
      <c r="E4282" s="209"/>
      <c r="J4282" s="124"/>
    </row>
    <row r="4283" spans="3:10" x14ac:dyDescent="0.2">
      <c r="C4283" s="209"/>
      <c r="D4283" s="209"/>
      <c r="E4283" s="209"/>
      <c r="J4283" s="124"/>
    </row>
    <row r="4284" spans="3:10" x14ac:dyDescent="0.2">
      <c r="C4284" s="209"/>
      <c r="D4284" s="209"/>
      <c r="E4284" s="209"/>
      <c r="J4284" s="124"/>
    </row>
    <row r="4285" spans="3:10" x14ac:dyDescent="0.2">
      <c r="C4285" s="209"/>
      <c r="D4285" s="209"/>
      <c r="E4285" s="209"/>
      <c r="J4285" s="124"/>
    </row>
    <row r="4286" spans="3:10" x14ac:dyDescent="0.2">
      <c r="C4286" s="209"/>
      <c r="D4286" s="209"/>
      <c r="E4286" s="209"/>
      <c r="J4286" s="124"/>
    </row>
    <row r="4287" spans="3:10" x14ac:dyDescent="0.2">
      <c r="C4287" s="209"/>
      <c r="D4287" s="209"/>
      <c r="E4287" s="209"/>
      <c r="J4287" s="124"/>
    </row>
    <row r="4288" spans="3:10" x14ac:dyDescent="0.2">
      <c r="C4288" s="209"/>
      <c r="D4288" s="209"/>
      <c r="E4288" s="209"/>
      <c r="J4288" s="124"/>
    </row>
    <row r="4289" spans="3:10" x14ac:dyDescent="0.2">
      <c r="C4289" s="209"/>
      <c r="D4289" s="209"/>
      <c r="E4289" s="209"/>
      <c r="J4289" s="124"/>
    </row>
    <row r="4290" spans="3:10" x14ac:dyDescent="0.2">
      <c r="C4290" s="209"/>
      <c r="D4290" s="209"/>
      <c r="E4290" s="209"/>
      <c r="J4290" s="124"/>
    </row>
    <row r="4291" spans="3:10" x14ac:dyDescent="0.2">
      <c r="C4291" s="209"/>
      <c r="D4291" s="209"/>
      <c r="E4291" s="209"/>
      <c r="J4291" s="124"/>
    </row>
    <row r="4292" spans="3:10" x14ac:dyDescent="0.2">
      <c r="C4292" s="209"/>
      <c r="D4292" s="209"/>
      <c r="E4292" s="209"/>
      <c r="J4292" s="124"/>
    </row>
    <row r="4293" spans="3:10" x14ac:dyDescent="0.2">
      <c r="C4293" s="209"/>
      <c r="D4293" s="209"/>
      <c r="E4293" s="209"/>
      <c r="J4293" s="124"/>
    </row>
    <row r="4294" spans="3:10" x14ac:dyDescent="0.2">
      <c r="C4294" s="209"/>
      <c r="D4294" s="209"/>
      <c r="E4294" s="209"/>
      <c r="J4294" s="124"/>
    </row>
    <row r="4295" spans="3:10" x14ac:dyDescent="0.2">
      <c r="C4295" s="209"/>
      <c r="D4295" s="209"/>
      <c r="E4295" s="209"/>
      <c r="J4295" s="124"/>
    </row>
    <row r="4296" spans="3:10" x14ac:dyDescent="0.2">
      <c r="C4296" s="209"/>
      <c r="D4296" s="209"/>
      <c r="E4296" s="209"/>
      <c r="J4296" s="124"/>
    </row>
    <row r="4297" spans="3:10" x14ac:dyDescent="0.2">
      <c r="C4297" s="209"/>
      <c r="D4297" s="209"/>
      <c r="E4297" s="209"/>
      <c r="J4297" s="124"/>
    </row>
    <row r="4298" spans="3:10" x14ac:dyDescent="0.2">
      <c r="C4298" s="209"/>
      <c r="D4298" s="209"/>
      <c r="E4298" s="209"/>
      <c r="J4298" s="124"/>
    </row>
    <row r="4299" spans="3:10" x14ac:dyDescent="0.2">
      <c r="C4299" s="209"/>
      <c r="D4299" s="209"/>
      <c r="E4299" s="209"/>
      <c r="J4299" s="124"/>
    </row>
    <row r="4300" spans="3:10" x14ac:dyDescent="0.2">
      <c r="C4300" s="209"/>
      <c r="D4300" s="209"/>
      <c r="E4300" s="209"/>
      <c r="J4300" s="124"/>
    </row>
    <row r="4301" spans="3:10" x14ac:dyDescent="0.2">
      <c r="C4301" s="209"/>
      <c r="D4301" s="209"/>
      <c r="E4301" s="209"/>
      <c r="J4301" s="124"/>
    </row>
    <row r="4302" spans="3:10" x14ac:dyDescent="0.2">
      <c r="C4302" s="209"/>
      <c r="D4302" s="209"/>
      <c r="E4302" s="209"/>
      <c r="J4302" s="124"/>
    </row>
    <row r="4303" spans="3:10" x14ac:dyDescent="0.2">
      <c r="C4303" s="209"/>
      <c r="D4303" s="209"/>
      <c r="E4303" s="209"/>
      <c r="J4303" s="124"/>
    </row>
    <row r="4304" spans="3:10" x14ac:dyDescent="0.2">
      <c r="C4304" s="209"/>
      <c r="D4304" s="209"/>
      <c r="E4304" s="209"/>
      <c r="J4304" s="124"/>
    </row>
    <row r="4305" spans="3:10" x14ac:dyDescent="0.2">
      <c r="C4305" s="209"/>
      <c r="D4305" s="209"/>
      <c r="E4305" s="209"/>
      <c r="J4305" s="124"/>
    </row>
    <row r="4306" spans="3:10" x14ac:dyDescent="0.2">
      <c r="C4306" s="209"/>
      <c r="D4306" s="209"/>
      <c r="E4306" s="209"/>
      <c r="J4306" s="124"/>
    </row>
    <row r="4307" spans="3:10" x14ac:dyDescent="0.2">
      <c r="C4307" s="209"/>
      <c r="D4307" s="209"/>
      <c r="E4307" s="209"/>
      <c r="J4307" s="124"/>
    </row>
    <row r="4308" spans="3:10" x14ac:dyDescent="0.2">
      <c r="C4308" s="209"/>
      <c r="D4308" s="209"/>
      <c r="E4308" s="209"/>
      <c r="J4308" s="124"/>
    </row>
    <row r="4309" spans="3:10" x14ac:dyDescent="0.2">
      <c r="C4309" s="209"/>
      <c r="D4309" s="209"/>
      <c r="E4309" s="209"/>
      <c r="J4309" s="124"/>
    </row>
    <row r="4310" spans="3:10" x14ac:dyDescent="0.2">
      <c r="C4310" s="209"/>
      <c r="D4310" s="209"/>
      <c r="E4310" s="209"/>
      <c r="J4310" s="124"/>
    </row>
    <row r="4311" spans="3:10" x14ac:dyDescent="0.2">
      <c r="C4311" s="209"/>
      <c r="D4311" s="209"/>
      <c r="E4311" s="209"/>
      <c r="J4311" s="124"/>
    </row>
    <row r="4312" spans="3:10" x14ac:dyDescent="0.2">
      <c r="C4312" s="209"/>
      <c r="D4312" s="209"/>
      <c r="E4312" s="209"/>
      <c r="J4312" s="124"/>
    </row>
    <row r="4313" spans="3:10" x14ac:dyDescent="0.2">
      <c r="C4313" s="209"/>
      <c r="D4313" s="209"/>
      <c r="E4313" s="209"/>
      <c r="J4313" s="124"/>
    </row>
    <row r="4314" spans="3:10" x14ac:dyDescent="0.2">
      <c r="C4314" s="209"/>
      <c r="D4314" s="209"/>
      <c r="E4314" s="209"/>
      <c r="J4314" s="124"/>
    </row>
    <row r="4315" spans="3:10" x14ac:dyDescent="0.2">
      <c r="C4315" s="209"/>
      <c r="D4315" s="209"/>
      <c r="E4315" s="209"/>
      <c r="J4315" s="124"/>
    </row>
    <row r="4316" spans="3:10" x14ac:dyDescent="0.2">
      <c r="C4316" s="209"/>
      <c r="D4316" s="209"/>
      <c r="E4316" s="209"/>
      <c r="J4316" s="124"/>
    </row>
    <row r="4317" spans="3:10" x14ac:dyDescent="0.2">
      <c r="C4317" s="209"/>
      <c r="D4317" s="209"/>
      <c r="E4317" s="209"/>
      <c r="J4317" s="124"/>
    </row>
    <row r="4318" spans="3:10" x14ac:dyDescent="0.2">
      <c r="C4318" s="209"/>
      <c r="D4318" s="209"/>
      <c r="E4318" s="209"/>
      <c r="J4318" s="124"/>
    </row>
    <row r="4319" spans="3:10" x14ac:dyDescent="0.2">
      <c r="C4319" s="209"/>
      <c r="D4319" s="209"/>
      <c r="E4319" s="209"/>
      <c r="J4319" s="124"/>
    </row>
    <row r="4320" spans="3:10" x14ac:dyDescent="0.2">
      <c r="C4320" s="209"/>
      <c r="D4320" s="209"/>
      <c r="E4320" s="209"/>
      <c r="J4320" s="124"/>
    </row>
    <row r="4321" spans="3:10" x14ac:dyDescent="0.2">
      <c r="C4321" s="209"/>
      <c r="D4321" s="209"/>
      <c r="E4321" s="209"/>
      <c r="J4321" s="124"/>
    </row>
    <row r="4322" spans="3:10" x14ac:dyDescent="0.2">
      <c r="C4322" s="209"/>
      <c r="D4322" s="209"/>
      <c r="E4322" s="209"/>
      <c r="J4322" s="124"/>
    </row>
    <row r="4323" spans="3:10" x14ac:dyDescent="0.2">
      <c r="C4323" s="209"/>
      <c r="D4323" s="209"/>
      <c r="E4323" s="209"/>
      <c r="J4323" s="124"/>
    </row>
    <row r="4324" spans="3:10" x14ac:dyDescent="0.2">
      <c r="C4324" s="209"/>
      <c r="D4324" s="209"/>
      <c r="E4324" s="209"/>
      <c r="J4324" s="124"/>
    </row>
    <row r="4325" spans="3:10" x14ac:dyDescent="0.2">
      <c r="C4325" s="209"/>
      <c r="D4325" s="209"/>
      <c r="E4325" s="209"/>
      <c r="J4325" s="124"/>
    </row>
    <row r="4326" spans="3:10" x14ac:dyDescent="0.2">
      <c r="C4326" s="209"/>
      <c r="D4326" s="209"/>
      <c r="E4326" s="209"/>
      <c r="J4326" s="124"/>
    </row>
    <row r="4327" spans="3:10" x14ac:dyDescent="0.2">
      <c r="C4327" s="209"/>
      <c r="D4327" s="209"/>
      <c r="E4327" s="209"/>
      <c r="J4327" s="124"/>
    </row>
    <row r="4328" spans="3:10" x14ac:dyDescent="0.2">
      <c r="C4328" s="209"/>
      <c r="D4328" s="209"/>
      <c r="E4328" s="209"/>
      <c r="J4328" s="124"/>
    </row>
    <row r="4329" spans="3:10" x14ac:dyDescent="0.2">
      <c r="C4329" s="209"/>
      <c r="D4329" s="209"/>
      <c r="E4329" s="209"/>
      <c r="J4329" s="124"/>
    </row>
    <row r="4330" spans="3:10" x14ac:dyDescent="0.2">
      <c r="C4330" s="209"/>
      <c r="D4330" s="209"/>
      <c r="E4330" s="209"/>
      <c r="J4330" s="124"/>
    </row>
    <row r="4331" spans="3:10" x14ac:dyDescent="0.2">
      <c r="C4331" s="209"/>
      <c r="D4331" s="209"/>
      <c r="E4331" s="209"/>
      <c r="J4331" s="124"/>
    </row>
    <row r="4332" spans="3:10" x14ac:dyDescent="0.2">
      <c r="C4332" s="209"/>
      <c r="D4332" s="209"/>
      <c r="E4332" s="209"/>
      <c r="J4332" s="124"/>
    </row>
    <row r="4333" spans="3:10" x14ac:dyDescent="0.2">
      <c r="C4333" s="209"/>
      <c r="D4333" s="209"/>
      <c r="E4333" s="209"/>
      <c r="J4333" s="124"/>
    </row>
    <row r="4334" spans="3:10" x14ac:dyDescent="0.2">
      <c r="C4334" s="209"/>
      <c r="D4334" s="209"/>
      <c r="E4334" s="209"/>
      <c r="J4334" s="124"/>
    </row>
    <row r="4335" spans="3:10" x14ac:dyDescent="0.2">
      <c r="C4335" s="209"/>
      <c r="D4335" s="209"/>
      <c r="E4335" s="209"/>
      <c r="J4335" s="124"/>
    </row>
    <row r="4336" spans="3:10" x14ac:dyDescent="0.2">
      <c r="C4336" s="209"/>
      <c r="D4336" s="209"/>
      <c r="E4336" s="209"/>
      <c r="J4336" s="124"/>
    </row>
    <row r="4337" spans="3:10" x14ac:dyDescent="0.2">
      <c r="C4337" s="209"/>
      <c r="D4337" s="209"/>
      <c r="E4337" s="209"/>
      <c r="J4337" s="124"/>
    </row>
    <row r="4338" spans="3:10" x14ac:dyDescent="0.2">
      <c r="C4338" s="209"/>
      <c r="D4338" s="209"/>
      <c r="E4338" s="209"/>
      <c r="J4338" s="124"/>
    </row>
    <row r="4339" spans="3:10" x14ac:dyDescent="0.2">
      <c r="C4339" s="209"/>
      <c r="D4339" s="209"/>
      <c r="E4339" s="209"/>
      <c r="J4339" s="124"/>
    </row>
    <row r="4340" spans="3:10" x14ac:dyDescent="0.2">
      <c r="C4340" s="209"/>
      <c r="D4340" s="209"/>
      <c r="E4340" s="209"/>
      <c r="J4340" s="124"/>
    </row>
    <row r="4341" spans="3:10" x14ac:dyDescent="0.2">
      <c r="C4341" s="209"/>
      <c r="D4341" s="209"/>
      <c r="E4341" s="209"/>
      <c r="J4341" s="124"/>
    </row>
    <row r="4342" spans="3:10" x14ac:dyDescent="0.2">
      <c r="C4342" s="209"/>
      <c r="D4342" s="209"/>
      <c r="E4342" s="209"/>
      <c r="J4342" s="124"/>
    </row>
    <row r="4343" spans="3:10" x14ac:dyDescent="0.2">
      <c r="C4343" s="209"/>
      <c r="D4343" s="209"/>
      <c r="E4343" s="209"/>
      <c r="J4343" s="124"/>
    </row>
    <row r="4344" spans="3:10" x14ac:dyDescent="0.2">
      <c r="C4344" s="209"/>
      <c r="D4344" s="209"/>
      <c r="E4344" s="209"/>
      <c r="J4344" s="124"/>
    </row>
    <row r="4345" spans="3:10" x14ac:dyDescent="0.2">
      <c r="C4345" s="209"/>
      <c r="D4345" s="209"/>
      <c r="E4345" s="209"/>
      <c r="J4345" s="124"/>
    </row>
    <row r="4346" spans="3:10" x14ac:dyDescent="0.2">
      <c r="C4346" s="209"/>
      <c r="D4346" s="209"/>
      <c r="E4346" s="209"/>
      <c r="J4346" s="124"/>
    </row>
    <row r="4347" spans="3:10" x14ac:dyDescent="0.2">
      <c r="C4347" s="209"/>
      <c r="D4347" s="209"/>
      <c r="E4347" s="209"/>
      <c r="J4347" s="124"/>
    </row>
    <row r="4348" spans="3:10" x14ac:dyDescent="0.2">
      <c r="C4348" s="209"/>
      <c r="D4348" s="209"/>
      <c r="E4348" s="209"/>
      <c r="J4348" s="124"/>
    </row>
    <row r="4349" spans="3:10" x14ac:dyDescent="0.2">
      <c r="C4349" s="209"/>
      <c r="D4349" s="209"/>
      <c r="E4349" s="209"/>
      <c r="J4349" s="124"/>
    </row>
    <row r="4350" spans="3:10" x14ac:dyDescent="0.2">
      <c r="C4350" s="209"/>
      <c r="D4350" s="209"/>
      <c r="E4350" s="209"/>
      <c r="J4350" s="124"/>
    </row>
    <row r="4351" spans="3:10" x14ac:dyDescent="0.2">
      <c r="C4351" s="209"/>
      <c r="D4351" s="209"/>
      <c r="E4351" s="209"/>
      <c r="J4351" s="124"/>
    </row>
    <row r="4352" spans="3:10" x14ac:dyDescent="0.2">
      <c r="C4352" s="209"/>
      <c r="D4352" s="209"/>
      <c r="E4352" s="209"/>
      <c r="J4352" s="124"/>
    </row>
    <row r="4353" spans="3:10" x14ac:dyDescent="0.2">
      <c r="C4353" s="209"/>
      <c r="D4353" s="209"/>
      <c r="E4353" s="209"/>
      <c r="J4353" s="124"/>
    </row>
    <row r="4354" spans="3:10" x14ac:dyDescent="0.2">
      <c r="C4354" s="209"/>
      <c r="D4354" s="209"/>
      <c r="E4354" s="209"/>
      <c r="J4354" s="124"/>
    </row>
    <row r="4355" spans="3:10" x14ac:dyDescent="0.2">
      <c r="C4355" s="209"/>
      <c r="D4355" s="209"/>
      <c r="E4355" s="209"/>
      <c r="J4355" s="124"/>
    </row>
    <row r="4356" spans="3:10" x14ac:dyDescent="0.2">
      <c r="C4356" s="209"/>
      <c r="D4356" s="209"/>
      <c r="E4356" s="209"/>
      <c r="J4356" s="124"/>
    </row>
    <row r="4357" spans="3:10" x14ac:dyDescent="0.2">
      <c r="C4357" s="209"/>
      <c r="D4357" s="209"/>
      <c r="E4357" s="209"/>
      <c r="J4357" s="124"/>
    </row>
    <row r="4358" spans="3:10" x14ac:dyDescent="0.2">
      <c r="C4358" s="209"/>
      <c r="D4358" s="209"/>
      <c r="E4358" s="209"/>
      <c r="J4358" s="124"/>
    </row>
    <row r="4359" spans="3:10" x14ac:dyDescent="0.2">
      <c r="C4359" s="209"/>
      <c r="D4359" s="209"/>
      <c r="E4359" s="209"/>
      <c r="J4359" s="124"/>
    </row>
    <row r="4360" spans="3:10" x14ac:dyDescent="0.2">
      <c r="C4360" s="209"/>
      <c r="D4360" s="209"/>
      <c r="E4360" s="209"/>
      <c r="J4360" s="124"/>
    </row>
    <row r="4361" spans="3:10" x14ac:dyDescent="0.2">
      <c r="C4361" s="209"/>
      <c r="D4361" s="209"/>
      <c r="E4361" s="209"/>
      <c r="J4361" s="124"/>
    </row>
    <row r="4362" spans="3:10" x14ac:dyDescent="0.2">
      <c r="C4362" s="209"/>
      <c r="D4362" s="209"/>
      <c r="E4362" s="209"/>
      <c r="J4362" s="124"/>
    </row>
    <row r="4363" spans="3:10" x14ac:dyDescent="0.2">
      <c r="C4363" s="209"/>
      <c r="D4363" s="209"/>
      <c r="E4363" s="209"/>
      <c r="J4363" s="124"/>
    </row>
    <row r="4364" spans="3:10" x14ac:dyDescent="0.2">
      <c r="C4364" s="209"/>
      <c r="D4364" s="209"/>
      <c r="E4364" s="209"/>
      <c r="J4364" s="124"/>
    </row>
    <row r="4365" spans="3:10" x14ac:dyDescent="0.2">
      <c r="C4365" s="209"/>
      <c r="D4365" s="209"/>
      <c r="E4365" s="209"/>
      <c r="J4365" s="124"/>
    </row>
    <row r="4366" spans="3:10" x14ac:dyDescent="0.2">
      <c r="C4366" s="209"/>
      <c r="D4366" s="209"/>
      <c r="E4366" s="209"/>
      <c r="J4366" s="124"/>
    </row>
    <row r="4367" spans="3:10" x14ac:dyDescent="0.2">
      <c r="C4367" s="209"/>
      <c r="D4367" s="209"/>
      <c r="E4367" s="209"/>
      <c r="J4367" s="124"/>
    </row>
    <row r="4368" spans="3:10" x14ac:dyDescent="0.2">
      <c r="C4368" s="209"/>
      <c r="D4368" s="209"/>
      <c r="E4368" s="209"/>
      <c r="J4368" s="124"/>
    </row>
    <row r="4369" spans="3:10" x14ac:dyDescent="0.2">
      <c r="C4369" s="209"/>
      <c r="D4369" s="209"/>
      <c r="E4369" s="209"/>
      <c r="J4369" s="124"/>
    </row>
    <row r="4370" spans="3:10" x14ac:dyDescent="0.2">
      <c r="C4370" s="209"/>
      <c r="D4370" s="209"/>
      <c r="E4370" s="209"/>
      <c r="J4370" s="124"/>
    </row>
    <row r="4371" spans="3:10" x14ac:dyDescent="0.2">
      <c r="C4371" s="209"/>
      <c r="D4371" s="209"/>
      <c r="E4371" s="209"/>
      <c r="J4371" s="124"/>
    </row>
    <row r="4372" spans="3:10" x14ac:dyDescent="0.2">
      <c r="C4372" s="209"/>
      <c r="D4372" s="209"/>
      <c r="E4372" s="209"/>
      <c r="J4372" s="124"/>
    </row>
    <row r="4373" spans="3:10" x14ac:dyDescent="0.2">
      <c r="C4373" s="209"/>
      <c r="D4373" s="209"/>
      <c r="E4373" s="209"/>
      <c r="J4373" s="124"/>
    </row>
    <row r="4374" spans="3:10" x14ac:dyDescent="0.2">
      <c r="C4374" s="209"/>
      <c r="D4374" s="209"/>
      <c r="E4374" s="209"/>
      <c r="J4374" s="124"/>
    </row>
    <row r="4375" spans="3:10" x14ac:dyDescent="0.2">
      <c r="C4375" s="209"/>
      <c r="D4375" s="209"/>
      <c r="E4375" s="209"/>
      <c r="J4375" s="124"/>
    </row>
    <row r="4376" spans="3:10" x14ac:dyDescent="0.2">
      <c r="C4376" s="209"/>
      <c r="D4376" s="209"/>
      <c r="E4376" s="209"/>
      <c r="J4376" s="124"/>
    </row>
    <row r="4377" spans="3:10" x14ac:dyDescent="0.2">
      <c r="C4377" s="209"/>
      <c r="D4377" s="209"/>
      <c r="E4377" s="209"/>
      <c r="J4377" s="124"/>
    </row>
    <row r="4378" spans="3:10" x14ac:dyDescent="0.2">
      <c r="C4378" s="209"/>
      <c r="D4378" s="209"/>
      <c r="E4378" s="209"/>
      <c r="J4378" s="124"/>
    </row>
    <row r="4379" spans="3:10" x14ac:dyDescent="0.2">
      <c r="C4379" s="209"/>
      <c r="D4379" s="209"/>
      <c r="E4379" s="209"/>
      <c r="J4379" s="124"/>
    </row>
    <row r="4380" spans="3:10" x14ac:dyDescent="0.2">
      <c r="C4380" s="209"/>
      <c r="D4380" s="209"/>
      <c r="E4380" s="209"/>
      <c r="J4380" s="124"/>
    </row>
    <row r="4381" spans="3:10" x14ac:dyDescent="0.2">
      <c r="C4381" s="209"/>
      <c r="D4381" s="209"/>
      <c r="E4381" s="209"/>
      <c r="J4381" s="124"/>
    </row>
    <row r="4382" spans="3:10" x14ac:dyDescent="0.2">
      <c r="C4382" s="209"/>
      <c r="D4382" s="209"/>
      <c r="E4382" s="209"/>
      <c r="J4382" s="124"/>
    </row>
    <row r="4383" spans="3:10" x14ac:dyDescent="0.2">
      <c r="C4383" s="209"/>
      <c r="D4383" s="209"/>
      <c r="E4383" s="209"/>
      <c r="J4383" s="124"/>
    </row>
    <row r="4384" spans="3:10" x14ac:dyDescent="0.2">
      <c r="C4384" s="209"/>
      <c r="D4384" s="209"/>
      <c r="E4384" s="209"/>
      <c r="J4384" s="124"/>
    </row>
    <row r="4385" spans="3:10" x14ac:dyDescent="0.2">
      <c r="C4385" s="209"/>
      <c r="D4385" s="209"/>
      <c r="E4385" s="209"/>
      <c r="J4385" s="124"/>
    </row>
    <row r="4386" spans="3:10" x14ac:dyDescent="0.2">
      <c r="C4386" s="209"/>
      <c r="D4386" s="209"/>
      <c r="E4386" s="209"/>
      <c r="J4386" s="124"/>
    </row>
    <row r="4387" spans="3:10" x14ac:dyDescent="0.2">
      <c r="C4387" s="209"/>
      <c r="D4387" s="209"/>
      <c r="E4387" s="209"/>
      <c r="J4387" s="124"/>
    </row>
    <row r="4388" spans="3:10" x14ac:dyDescent="0.2">
      <c r="C4388" s="209"/>
      <c r="D4388" s="209"/>
      <c r="E4388" s="209"/>
      <c r="J4388" s="124"/>
    </row>
    <row r="4389" spans="3:10" x14ac:dyDescent="0.2">
      <c r="C4389" s="209"/>
      <c r="D4389" s="209"/>
      <c r="E4389" s="209"/>
      <c r="J4389" s="124"/>
    </row>
    <row r="4390" spans="3:10" x14ac:dyDescent="0.2">
      <c r="C4390" s="209"/>
      <c r="D4390" s="209"/>
      <c r="E4390" s="209"/>
      <c r="J4390" s="124"/>
    </row>
    <row r="4391" spans="3:10" x14ac:dyDescent="0.2">
      <c r="C4391" s="209"/>
      <c r="D4391" s="209"/>
      <c r="E4391" s="209"/>
      <c r="J4391" s="124"/>
    </row>
    <row r="4392" spans="3:10" x14ac:dyDescent="0.2">
      <c r="C4392" s="209"/>
      <c r="D4392" s="209"/>
      <c r="E4392" s="209"/>
      <c r="J4392" s="124"/>
    </row>
    <row r="4393" spans="3:10" x14ac:dyDescent="0.2">
      <c r="C4393" s="209"/>
      <c r="D4393" s="209"/>
      <c r="E4393" s="209"/>
      <c r="J4393" s="124"/>
    </row>
    <row r="4394" spans="3:10" x14ac:dyDescent="0.2">
      <c r="C4394" s="209"/>
      <c r="D4394" s="209"/>
      <c r="E4394" s="209"/>
      <c r="J4394" s="124"/>
    </row>
    <row r="4395" spans="3:10" x14ac:dyDescent="0.2">
      <c r="C4395" s="209"/>
      <c r="D4395" s="209"/>
      <c r="E4395" s="209"/>
      <c r="J4395" s="124"/>
    </row>
    <row r="4396" spans="3:10" x14ac:dyDescent="0.2">
      <c r="C4396" s="209"/>
      <c r="D4396" s="209"/>
      <c r="E4396" s="209"/>
      <c r="J4396" s="124"/>
    </row>
    <row r="4397" spans="3:10" x14ac:dyDescent="0.2">
      <c r="C4397" s="209"/>
      <c r="D4397" s="209"/>
      <c r="E4397" s="209"/>
      <c r="J4397" s="124"/>
    </row>
    <row r="4398" spans="3:10" x14ac:dyDescent="0.2">
      <c r="C4398" s="209"/>
      <c r="D4398" s="209"/>
      <c r="E4398" s="209"/>
      <c r="J4398" s="124"/>
    </row>
    <row r="4399" spans="3:10" x14ac:dyDescent="0.2">
      <c r="C4399" s="209"/>
      <c r="D4399" s="209"/>
      <c r="E4399" s="209"/>
      <c r="J4399" s="124"/>
    </row>
    <row r="4400" spans="3:10" x14ac:dyDescent="0.2">
      <c r="C4400" s="209"/>
      <c r="D4400" s="209"/>
      <c r="E4400" s="209"/>
      <c r="J4400" s="124"/>
    </row>
    <row r="4401" spans="3:10" x14ac:dyDescent="0.2">
      <c r="C4401" s="209"/>
      <c r="D4401" s="209"/>
      <c r="E4401" s="209"/>
      <c r="J4401" s="124"/>
    </row>
    <row r="4402" spans="3:10" x14ac:dyDescent="0.2">
      <c r="C4402" s="209"/>
      <c r="D4402" s="209"/>
      <c r="E4402" s="209"/>
      <c r="J4402" s="124"/>
    </row>
    <row r="4403" spans="3:10" x14ac:dyDescent="0.2">
      <c r="C4403" s="209"/>
      <c r="D4403" s="209"/>
      <c r="E4403" s="209"/>
      <c r="J4403" s="124"/>
    </row>
    <row r="4404" spans="3:10" x14ac:dyDescent="0.2">
      <c r="C4404" s="209"/>
      <c r="D4404" s="209"/>
      <c r="E4404" s="209"/>
      <c r="J4404" s="124"/>
    </row>
    <row r="4405" spans="3:10" x14ac:dyDescent="0.2">
      <c r="C4405" s="209"/>
      <c r="D4405" s="209"/>
      <c r="E4405" s="209"/>
      <c r="J4405" s="124"/>
    </row>
    <row r="4406" spans="3:10" x14ac:dyDescent="0.2">
      <c r="C4406" s="209"/>
      <c r="D4406" s="209"/>
      <c r="E4406" s="209"/>
      <c r="J4406" s="124"/>
    </row>
    <row r="4407" spans="3:10" x14ac:dyDescent="0.2">
      <c r="C4407" s="209"/>
      <c r="D4407" s="209"/>
      <c r="E4407" s="209"/>
      <c r="J4407" s="124"/>
    </row>
    <row r="4408" spans="3:10" x14ac:dyDescent="0.2">
      <c r="C4408" s="209"/>
      <c r="D4408" s="209"/>
      <c r="E4408" s="209"/>
      <c r="J4408" s="124"/>
    </row>
    <row r="4409" spans="3:10" x14ac:dyDescent="0.2">
      <c r="C4409" s="209"/>
      <c r="D4409" s="209"/>
      <c r="E4409" s="209"/>
      <c r="J4409" s="124"/>
    </row>
    <row r="4410" spans="3:10" x14ac:dyDescent="0.2">
      <c r="C4410" s="209"/>
      <c r="D4410" s="209"/>
      <c r="E4410" s="209"/>
      <c r="J4410" s="124"/>
    </row>
    <row r="4411" spans="3:10" x14ac:dyDescent="0.2">
      <c r="C4411" s="209"/>
      <c r="D4411" s="209"/>
      <c r="E4411" s="209"/>
      <c r="J4411" s="124"/>
    </row>
    <row r="4412" spans="3:10" x14ac:dyDescent="0.2">
      <c r="C4412" s="209"/>
      <c r="D4412" s="209"/>
      <c r="E4412" s="209"/>
      <c r="J4412" s="124"/>
    </row>
    <row r="4413" spans="3:10" x14ac:dyDescent="0.2">
      <c r="C4413" s="209"/>
      <c r="D4413" s="209"/>
      <c r="E4413" s="209"/>
      <c r="J4413" s="124"/>
    </row>
    <row r="4414" spans="3:10" x14ac:dyDescent="0.2">
      <c r="C4414" s="209"/>
      <c r="D4414" s="209"/>
      <c r="E4414" s="209"/>
      <c r="J4414" s="124"/>
    </row>
    <row r="4415" spans="3:10" x14ac:dyDescent="0.2">
      <c r="C4415" s="209"/>
      <c r="D4415" s="209"/>
      <c r="E4415" s="209"/>
      <c r="J4415" s="124"/>
    </row>
    <row r="4416" spans="3:10" x14ac:dyDescent="0.2">
      <c r="C4416" s="209"/>
      <c r="D4416" s="209"/>
      <c r="E4416" s="209"/>
      <c r="J4416" s="124"/>
    </row>
    <row r="4417" spans="3:10" x14ac:dyDescent="0.2">
      <c r="C4417" s="209"/>
      <c r="D4417" s="209"/>
      <c r="E4417" s="209"/>
      <c r="J4417" s="124"/>
    </row>
    <row r="4418" spans="3:10" x14ac:dyDescent="0.2">
      <c r="C4418" s="209"/>
      <c r="D4418" s="209"/>
      <c r="E4418" s="209"/>
      <c r="J4418" s="124"/>
    </row>
    <row r="4419" spans="3:10" x14ac:dyDescent="0.2">
      <c r="C4419" s="209"/>
      <c r="D4419" s="209"/>
      <c r="E4419" s="209"/>
      <c r="J4419" s="124"/>
    </row>
    <row r="4420" spans="3:10" x14ac:dyDescent="0.2">
      <c r="C4420" s="209"/>
      <c r="D4420" s="209"/>
      <c r="E4420" s="209"/>
      <c r="J4420" s="124"/>
    </row>
    <row r="4421" spans="3:10" x14ac:dyDescent="0.2">
      <c r="C4421" s="209"/>
      <c r="D4421" s="209"/>
      <c r="E4421" s="209"/>
      <c r="J4421" s="124"/>
    </row>
    <row r="4422" spans="3:10" x14ac:dyDescent="0.2">
      <c r="C4422" s="209"/>
      <c r="D4422" s="209"/>
      <c r="E4422" s="209"/>
      <c r="J4422" s="124"/>
    </row>
    <row r="4423" spans="3:10" x14ac:dyDescent="0.2">
      <c r="C4423" s="209"/>
      <c r="D4423" s="209"/>
      <c r="E4423" s="209"/>
      <c r="J4423" s="124"/>
    </row>
    <row r="4424" spans="3:10" x14ac:dyDescent="0.2">
      <c r="C4424" s="209"/>
      <c r="D4424" s="209"/>
      <c r="E4424" s="209"/>
      <c r="J4424" s="124"/>
    </row>
    <row r="4425" spans="3:10" x14ac:dyDescent="0.2">
      <c r="C4425" s="209"/>
      <c r="D4425" s="209"/>
      <c r="E4425" s="209"/>
      <c r="J4425" s="124"/>
    </row>
    <row r="4426" spans="3:10" x14ac:dyDescent="0.2">
      <c r="C4426" s="209"/>
      <c r="D4426" s="209"/>
      <c r="E4426" s="209"/>
      <c r="J4426" s="124"/>
    </row>
    <row r="4427" spans="3:10" x14ac:dyDescent="0.2">
      <c r="C4427" s="209"/>
      <c r="D4427" s="209"/>
      <c r="E4427" s="209"/>
      <c r="J4427" s="124"/>
    </row>
    <row r="4428" spans="3:10" x14ac:dyDescent="0.2">
      <c r="C4428" s="209"/>
      <c r="D4428" s="209"/>
      <c r="E4428" s="209"/>
      <c r="J4428" s="124"/>
    </row>
    <row r="4429" spans="3:10" x14ac:dyDescent="0.2">
      <c r="C4429" s="209"/>
      <c r="D4429" s="209"/>
      <c r="E4429" s="209"/>
      <c r="J4429" s="124"/>
    </row>
    <row r="4430" spans="3:10" x14ac:dyDescent="0.2">
      <c r="C4430" s="209"/>
      <c r="D4430" s="209"/>
      <c r="E4430" s="209"/>
      <c r="J4430" s="124"/>
    </row>
    <row r="4431" spans="3:10" x14ac:dyDescent="0.2">
      <c r="C4431" s="209"/>
      <c r="D4431" s="209"/>
      <c r="E4431" s="209"/>
      <c r="J4431" s="124"/>
    </row>
    <row r="4432" spans="3:10" x14ac:dyDescent="0.2">
      <c r="C4432" s="209"/>
      <c r="D4432" s="209"/>
      <c r="E4432" s="209"/>
      <c r="J4432" s="124"/>
    </row>
    <row r="4433" spans="3:10" x14ac:dyDescent="0.2">
      <c r="C4433" s="209"/>
      <c r="D4433" s="209"/>
      <c r="E4433" s="209"/>
      <c r="J4433" s="124"/>
    </row>
    <row r="4434" spans="3:10" x14ac:dyDescent="0.2">
      <c r="C4434" s="209"/>
      <c r="D4434" s="209"/>
      <c r="E4434" s="209"/>
      <c r="J4434" s="124"/>
    </row>
    <row r="4435" spans="3:10" x14ac:dyDescent="0.2">
      <c r="C4435" s="209"/>
      <c r="D4435" s="209"/>
      <c r="E4435" s="209"/>
      <c r="J4435" s="124"/>
    </row>
    <row r="4436" spans="3:10" x14ac:dyDescent="0.2">
      <c r="C4436" s="209"/>
      <c r="D4436" s="209"/>
      <c r="E4436" s="209"/>
      <c r="J4436" s="124"/>
    </row>
    <row r="4437" spans="3:10" x14ac:dyDescent="0.2">
      <c r="C4437" s="209"/>
      <c r="D4437" s="209"/>
      <c r="E4437" s="209"/>
      <c r="J4437" s="124"/>
    </row>
    <row r="4438" spans="3:10" x14ac:dyDescent="0.2">
      <c r="C4438" s="209"/>
      <c r="D4438" s="209"/>
      <c r="E4438" s="209"/>
      <c r="J4438" s="124"/>
    </row>
    <row r="4439" spans="3:10" x14ac:dyDescent="0.2">
      <c r="C4439" s="209"/>
      <c r="D4439" s="209"/>
      <c r="E4439" s="209"/>
      <c r="J4439" s="124"/>
    </row>
    <row r="4440" spans="3:10" x14ac:dyDescent="0.2">
      <c r="C4440" s="209"/>
      <c r="D4440" s="209"/>
      <c r="E4440" s="209"/>
      <c r="J4440" s="124"/>
    </row>
    <row r="4441" spans="3:10" x14ac:dyDescent="0.2">
      <c r="C4441" s="209"/>
      <c r="D4441" s="209"/>
      <c r="E4441" s="209"/>
      <c r="J4441" s="124"/>
    </row>
    <row r="4442" spans="3:10" x14ac:dyDescent="0.2">
      <c r="C4442" s="209"/>
      <c r="D4442" s="209"/>
      <c r="E4442" s="209"/>
      <c r="J4442" s="124"/>
    </row>
    <row r="4443" spans="3:10" x14ac:dyDescent="0.2">
      <c r="C4443" s="209"/>
      <c r="D4443" s="209"/>
      <c r="E4443" s="209"/>
      <c r="J4443" s="124"/>
    </row>
    <row r="4444" spans="3:10" x14ac:dyDescent="0.2">
      <c r="C4444" s="209"/>
      <c r="D4444" s="209"/>
      <c r="E4444" s="209"/>
      <c r="J4444" s="124"/>
    </row>
    <row r="4445" spans="3:10" x14ac:dyDescent="0.2">
      <c r="C4445" s="209"/>
      <c r="D4445" s="209"/>
      <c r="E4445" s="209"/>
      <c r="J4445" s="124"/>
    </row>
    <row r="4446" spans="3:10" x14ac:dyDescent="0.2">
      <c r="C4446" s="209"/>
      <c r="D4446" s="209"/>
      <c r="E4446" s="209"/>
      <c r="J4446" s="124"/>
    </row>
    <row r="4447" spans="3:10" x14ac:dyDescent="0.2">
      <c r="C4447" s="209"/>
      <c r="D4447" s="209"/>
      <c r="E4447" s="209"/>
      <c r="J4447" s="124"/>
    </row>
    <row r="4448" spans="3:10" x14ac:dyDescent="0.2">
      <c r="C4448" s="209"/>
      <c r="D4448" s="209"/>
      <c r="E4448" s="209"/>
      <c r="J4448" s="124"/>
    </row>
    <row r="4449" spans="3:10" x14ac:dyDescent="0.2">
      <c r="C4449" s="209"/>
      <c r="D4449" s="209"/>
      <c r="E4449" s="209"/>
      <c r="J4449" s="124"/>
    </row>
    <row r="4450" spans="3:10" x14ac:dyDescent="0.2">
      <c r="C4450" s="209"/>
      <c r="D4450" s="209"/>
      <c r="E4450" s="209"/>
      <c r="J4450" s="124"/>
    </row>
    <row r="4451" spans="3:10" x14ac:dyDescent="0.2">
      <c r="C4451" s="209"/>
      <c r="D4451" s="209"/>
      <c r="E4451" s="209"/>
      <c r="J4451" s="124"/>
    </row>
    <row r="4452" spans="3:10" x14ac:dyDescent="0.2">
      <c r="C4452" s="209"/>
      <c r="D4452" s="209"/>
      <c r="E4452" s="209"/>
      <c r="J4452" s="124"/>
    </row>
    <row r="4453" spans="3:10" x14ac:dyDescent="0.2">
      <c r="C4453" s="209"/>
      <c r="D4453" s="209"/>
      <c r="E4453" s="209"/>
      <c r="J4453" s="124"/>
    </row>
    <row r="4454" spans="3:10" x14ac:dyDescent="0.2">
      <c r="C4454" s="209"/>
      <c r="D4454" s="209"/>
      <c r="E4454" s="209"/>
      <c r="J4454" s="124"/>
    </row>
    <row r="4455" spans="3:10" x14ac:dyDescent="0.2">
      <c r="C4455" s="209"/>
      <c r="D4455" s="209"/>
      <c r="E4455" s="209"/>
      <c r="J4455" s="124"/>
    </row>
    <row r="4456" spans="3:10" x14ac:dyDescent="0.2">
      <c r="C4456" s="209"/>
      <c r="D4456" s="209"/>
      <c r="E4456" s="209"/>
      <c r="J4456" s="124"/>
    </row>
    <row r="4457" spans="3:10" x14ac:dyDescent="0.2">
      <c r="C4457" s="209"/>
      <c r="D4457" s="209"/>
      <c r="E4457" s="209"/>
      <c r="J4457" s="124"/>
    </row>
    <row r="4458" spans="3:10" x14ac:dyDescent="0.2">
      <c r="C4458" s="209"/>
      <c r="D4458" s="209"/>
      <c r="E4458" s="209"/>
      <c r="J4458" s="124"/>
    </row>
    <row r="4459" spans="3:10" x14ac:dyDescent="0.2">
      <c r="C4459" s="209"/>
      <c r="D4459" s="209"/>
      <c r="E4459" s="209"/>
      <c r="J4459" s="124"/>
    </row>
    <row r="4460" spans="3:10" x14ac:dyDescent="0.2">
      <c r="C4460" s="209"/>
      <c r="D4460" s="209"/>
      <c r="E4460" s="209"/>
      <c r="J4460" s="124"/>
    </row>
    <row r="4461" spans="3:10" x14ac:dyDescent="0.2">
      <c r="C4461" s="209"/>
      <c r="D4461" s="209"/>
      <c r="E4461" s="209"/>
      <c r="J4461" s="124"/>
    </row>
    <row r="4462" spans="3:10" x14ac:dyDescent="0.2">
      <c r="C4462" s="209"/>
      <c r="D4462" s="209"/>
      <c r="E4462" s="209"/>
      <c r="J4462" s="124"/>
    </row>
    <row r="4463" spans="3:10" x14ac:dyDescent="0.2">
      <c r="C4463" s="209"/>
      <c r="D4463" s="209"/>
      <c r="E4463" s="209"/>
      <c r="J4463" s="124"/>
    </row>
    <row r="4464" spans="3:10" x14ac:dyDescent="0.2">
      <c r="C4464" s="209"/>
      <c r="D4464" s="209"/>
      <c r="E4464" s="209"/>
      <c r="J4464" s="124"/>
    </row>
    <row r="4465" spans="3:10" x14ac:dyDescent="0.2">
      <c r="C4465" s="209"/>
      <c r="D4465" s="209"/>
      <c r="E4465" s="209"/>
      <c r="J4465" s="124"/>
    </row>
    <row r="4466" spans="3:10" x14ac:dyDescent="0.2">
      <c r="C4466" s="209"/>
      <c r="D4466" s="209"/>
      <c r="E4466" s="209"/>
      <c r="J4466" s="124"/>
    </row>
    <row r="4467" spans="3:10" x14ac:dyDescent="0.2">
      <c r="C4467" s="209"/>
      <c r="D4467" s="209"/>
      <c r="E4467" s="209"/>
      <c r="J4467" s="124"/>
    </row>
    <row r="4468" spans="3:10" x14ac:dyDescent="0.2">
      <c r="C4468" s="209"/>
      <c r="D4468" s="209"/>
      <c r="E4468" s="209"/>
      <c r="J4468" s="124"/>
    </row>
    <row r="4469" spans="3:10" x14ac:dyDescent="0.2">
      <c r="C4469" s="209"/>
      <c r="D4469" s="209"/>
      <c r="E4469" s="209"/>
      <c r="J4469" s="124"/>
    </row>
    <row r="4470" spans="3:10" x14ac:dyDescent="0.2">
      <c r="C4470" s="209"/>
      <c r="D4470" s="209"/>
      <c r="E4470" s="209"/>
      <c r="J4470" s="124"/>
    </row>
    <row r="4471" spans="3:10" x14ac:dyDescent="0.2">
      <c r="C4471" s="209"/>
      <c r="D4471" s="209"/>
      <c r="E4471" s="209"/>
      <c r="J4471" s="124"/>
    </row>
    <row r="4472" spans="3:10" x14ac:dyDescent="0.2">
      <c r="C4472" s="209"/>
      <c r="D4472" s="209"/>
      <c r="E4472" s="209"/>
      <c r="J4472" s="124"/>
    </row>
    <row r="4473" spans="3:10" x14ac:dyDescent="0.2">
      <c r="C4473" s="209"/>
      <c r="D4473" s="209"/>
      <c r="E4473" s="209"/>
      <c r="J4473" s="124"/>
    </row>
    <row r="4474" spans="3:10" x14ac:dyDescent="0.2">
      <c r="C4474" s="209"/>
      <c r="D4474" s="209"/>
      <c r="E4474" s="209"/>
      <c r="J4474" s="124"/>
    </row>
    <row r="4475" spans="3:10" x14ac:dyDescent="0.2">
      <c r="C4475" s="209"/>
      <c r="D4475" s="209"/>
      <c r="E4475" s="209"/>
      <c r="J4475" s="124"/>
    </row>
    <row r="4476" spans="3:10" x14ac:dyDescent="0.2">
      <c r="C4476" s="209"/>
      <c r="D4476" s="209"/>
      <c r="E4476" s="209"/>
      <c r="J4476" s="124"/>
    </row>
    <row r="4477" spans="3:10" x14ac:dyDescent="0.2">
      <c r="C4477" s="209"/>
      <c r="D4477" s="209"/>
      <c r="E4477" s="209"/>
      <c r="J4477" s="124"/>
    </row>
    <row r="4478" spans="3:10" x14ac:dyDescent="0.2">
      <c r="C4478" s="209"/>
      <c r="D4478" s="209"/>
      <c r="E4478" s="209"/>
      <c r="J4478" s="124"/>
    </row>
    <row r="4479" spans="3:10" x14ac:dyDescent="0.2">
      <c r="C4479" s="209"/>
      <c r="D4479" s="209"/>
      <c r="E4479" s="209"/>
      <c r="J4479" s="124"/>
    </row>
    <row r="4480" spans="3:10" x14ac:dyDescent="0.2">
      <c r="C4480" s="209"/>
      <c r="D4480" s="209"/>
      <c r="E4480" s="209"/>
      <c r="J4480" s="124"/>
    </row>
    <row r="4481" spans="3:10" x14ac:dyDescent="0.2">
      <c r="C4481" s="209"/>
      <c r="D4481" s="209"/>
      <c r="E4481" s="209"/>
      <c r="J4481" s="124"/>
    </row>
    <row r="4482" spans="3:10" x14ac:dyDescent="0.2">
      <c r="C4482" s="209"/>
      <c r="D4482" s="209"/>
      <c r="E4482" s="209"/>
      <c r="J4482" s="124"/>
    </row>
    <row r="4483" spans="3:10" x14ac:dyDescent="0.2">
      <c r="C4483" s="209"/>
      <c r="D4483" s="209"/>
      <c r="E4483" s="209"/>
      <c r="J4483" s="124"/>
    </row>
    <row r="4484" spans="3:10" x14ac:dyDescent="0.2">
      <c r="C4484" s="209"/>
      <c r="D4484" s="209"/>
      <c r="E4484" s="209"/>
      <c r="J4484" s="124"/>
    </row>
    <row r="4485" spans="3:10" x14ac:dyDescent="0.2">
      <c r="C4485" s="209"/>
      <c r="D4485" s="209"/>
      <c r="E4485" s="209"/>
      <c r="J4485" s="124"/>
    </row>
    <row r="4486" spans="3:10" x14ac:dyDescent="0.2">
      <c r="C4486" s="209"/>
      <c r="D4486" s="209"/>
      <c r="E4486" s="209"/>
      <c r="J4486" s="124"/>
    </row>
    <row r="4487" spans="3:10" x14ac:dyDescent="0.2">
      <c r="C4487" s="209"/>
      <c r="D4487" s="209"/>
      <c r="E4487" s="209"/>
      <c r="J4487" s="124"/>
    </row>
    <row r="4488" spans="3:10" x14ac:dyDescent="0.2">
      <c r="C4488" s="209"/>
      <c r="D4488" s="209"/>
      <c r="E4488" s="209"/>
      <c r="J4488" s="124"/>
    </row>
    <row r="4489" spans="3:10" x14ac:dyDescent="0.2">
      <c r="C4489" s="209"/>
      <c r="D4489" s="209"/>
      <c r="E4489" s="209"/>
      <c r="J4489" s="124"/>
    </row>
    <row r="4490" spans="3:10" x14ac:dyDescent="0.2">
      <c r="C4490" s="209"/>
      <c r="D4490" s="209"/>
      <c r="E4490" s="209"/>
      <c r="J4490" s="124"/>
    </row>
    <row r="4491" spans="3:10" x14ac:dyDescent="0.2">
      <c r="C4491" s="209"/>
      <c r="D4491" s="209"/>
      <c r="E4491" s="209"/>
      <c r="J4491" s="124"/>
    </row>
    <row r="4492" spans="3:10" x14ac:dyDescent="0.2">
      <c r="C4492" s="209"/>
      <c r="D4492" s="209"/>
      <c r="E4492" s="209"/>
      <c r="J4492" s="124"/>
    </row>
    <row r="4493" spans="3:10" x14ac:dyDescent="0.2">
      <c r="C4493" s="209"/>
      <c r="D4493" s="209"/>
      <c r="E4493" s="209"/>
      <c r="J4493" s="124"/>
    </row>
    <row r="4494" spans="3:10" x14ac:dyDescent="0.2">
      <c r="C4494" s="209"/>
      <c r="D4494" s="209"/>
      <c r="E4494" s="209"/>
      <c r="J4494" s="124"/>
    </row>
    <row r="4495" spans="3:10" x14ac:dyDescent="0.2">
      <c r="C4495" s="209"/>
      <c r="D4495" s="209"/>
      <c r="E4495" s="209"/>
      <c r="J4495" s="124"/>
    </row>
    <row r="4496" spans="3:10" x14ac:dyDescent="0.2">
      <c r="C4496" s="209"/>
      <c r="D4496" s="209"/>
      <c r="E4496" s="209"/>
      <c r="J4496" s="124"/>
    </row>
    <row r="4497" spans="3:10" x14ac:dyDescent="0.2">
      <c r="C4497" s="209"/>
      <c r="D4497" s="209"/>
      <c r="E4497" s="209"/>
      <c r="J4497" s="124"/>
    </row>
    <row r="4498" spans="3:10" x14ac:dyDescent="0.2">
      <c r="C4498" s="209"/>
      <c r="D4498" s="209"/>
      <c r="E4498" s="209"/>
      <c r="J4498" s="124"/>
    </row>
    <row r="4499" spans="3:10" x14ac:dyDescent="0.2">
      <c r="C4499" s="209"/>
      <c r="D4499" s="209"/>
      <c r="E4499" s="209"/>
      <c r="J4499" s="124"/>
    </row>
    <row r="4500" spans="3:10" x14ac:dyDescent="0.2">
      <c r="C4500" s="209"/>
      <c r="D4500" s="209"/>
      <c r="E4500" s="209"/>
      <c r="J4500" s="124"/>
    </row>
    <row r="4501" spans="3:10" x14ac:dyDescent="0.2">
      <c r="C4501" s="209"/>
      <c r="D4501" s="209"/>
      <c r="E4501" s="209"/>
      <c r="J4501" s="124"/>
    </row>
    <row r="4502" spans="3:10" x14ac:dyDescent="0.2">
      <c r="C4502" s="209"/>
      <c r="D4502" s="209"/>
      <c r="E4502" s="209"/>
      <c r="J4502" s="124"/>
    </row>
    <row r="4503" spans="3:10" x14ac:dyDescent="0.2">
      <c r="C4503" s="209"/>
      <c r="D4503" s="209"/>
      <c r="E4503" s="209"/>
      <c r="J4503" s="124"/>
    </row>
    <row r="4504" spans="3:10" x14ac:dyDescent="0.2">
      <c r="C4504" s="209"/>
      <c r="D4504" s="209"/>
      <c r="E4504" s="209"/>
      <c r="J4504" s="124"/>
    </row>
    <row r="4505" spans="3:10" x14ac:dyDescent="0.2">
      <c r="C4505" s="209"/>
      <c r="D4505" s="209"/>
      <c r="E4505" s="209"/>
      <c r="J4505" s="124"/>
    </row>
    <row r="4506" spans="3:10" x14ac:dyDescent="0.2">
      <c r="C4506" s="209"/>
      <c r="D4506" s="209"/>
      <c r="E4506" s="209"/>
      <c r="J4506" s="124"/>
    </row>
    <row r="4507" spans="3:10" x14ac:dyDescent="0.2">
      <c r="C4507" s="209"/>
      <c r="D4507" s="209"/>
      <c r="E4507" s="209"/>
      <c r="J4507" s="124"/>
    </row>
    <row r="4508" spans="3:10" x14ac:dyDescent="0.2">
      <c r="C4508" s="209"/>
      <c r="D4508" s="209"/>
      <c r="E4508" s="209"/>
      <c r="J4508" s="124"/>
    </row>
    <row r="4509" spans="3:10" x14ac:dyDescent="0.2">
      <c r="C4509" s="209"/>
      <c r="D4509" s="209"/>
      <c r="E4509" s="209"/>
      <c r="J4509" s="124"/>
    </row>
    <row r="4510" spans="3:10" x14ac:dyDescent="0.2">
      <c r="C4510" s="209"/>
      <c r="D4510" s="209"/>
      <c r="E4510" s="209"/>
      <c r="J4510" s="124"/>
    </row>
    <row r="4511" spans="3:10" x14ac:dyDescent="0.2">
      <c r="C4511" s="209"/>
      <c r="D4511" s="209"/>
      <c r="E4511" s="209"/>
      <c r="J4511" s="124"/>
    </row>
    <row r="4512" spans="3:10" x14ac:dyDescent="0.2">
      <c r="C4512" s="209"/>
      <c r="D4512" s="209"/>
      <c r="E4512" s="209"/>
      <c r="J4512" s="124"/>
    </row>
    <row r="4513" spans="3:10" x14ac:dyDescent="0.2">
      <c r="C4513" s="209"/>
      <c r="D4513" s="209"/>
      <c r="E4513" s="209"/>
      <c r="J4513" s="124"/>
    </row>
    <row r="4514" spans="3:10" x14ac:dyDescent="0.2">
      <c r="C4514" s="209"/>
      <c r="D4514" s="209"/>
      <c r="E4514" s="209"/>
      <c r="J4514" s="124"/>
    </row>
    <row r="4515" spans="3:10" x14ac:dyDescent="0.2">
      <c r="C4515" s="209"/>
      <c r="D4515" s="209"/>
      <c r="E4515" s="209"/>
      <c r="J4515" s="124"/>
    </row>
    <row r="4516" spans="3:10" x14ac:dyDescent="0.2">
      <c r="C4516" s="209"/>
      <c r="D4516" s="209"/>
      <c r="E4516" s="209"/>
      <c r="J4516" s="124"/>
    </row>
    <row r="4517" spans="3:10" x14ac:dyDescent="0.2">
      <c r="C4517" s="209"/>
      <c r="D4517" s="209"/>
      <c r="E4517" s="209"/>
      <c r="J4517" s="124"/>
    </row>
    <row r="4518" spans="3:10" x14ac:dyDescent="0.2">
      <c r="C4518" s="209"/>
      <c r="D4518" s="209"/>
      <c r="E4518" s="209"/>
      <c r="J4518" s="124"/>
    </row>
    <row r="4519" spans="3:10" x14ac:dyDescent="0.2">
      <c r="C4519" s="209"/>
      <c r="D4519" s="209"/>
      <c r="E4519" s="209"/>
      <c r="J4519" s="124"/>
    </row>
    <row r="4520" spans="3:10" x14ac:dyDescent="0.2">
      <c r="C4520" s="209"/>
      <c r="D4520" s="209"/>
      <c r="E4520" s="209"/>
      <c r="J4520" s="124"/>
    </row>
    <row r="4521" spans="3:10" x14ac:dyDescent="0.2">
      <c r="C4521" s="209"/>
      <c r="D4521" s="209"/>
      <c r="E4521" s="209"/>
      <c r="J4521" s="124"/>
    </row>
    <row r="4522" spans="3:10" x14ac:dyDescent="0.2">
      <c r="C4522" s="209"/>
      <c r="D4522" s="209"/>
      <c r="E4522" s="209"/>
      <c r="J4522" s="124"/>
    </row>
    <row r="4523" spans="3:10" x14ac:dyDescent="0.2">
      <c r="C4523" s="209"/>
      <c r="D4523" s="209"/>
      <c r="E4523" s="209"/>
      <c r="J4523" s="124"/>
    </row>
    <row r="4524" spans="3:10" x14ac:dyDescent="0.2">
      <c r="C4524" s="209"/>
      <c r="D4524" s="209"/>
      <c r="E4524" s="209"/>
      <c r="J4524" s="124"/>
    </row>
    <row r="4525" spans="3:10" x14ac:dyDescent="0.2">
      <c r="C4525" s="209"/>
      <c r="D4525" s="209"/>
      <c r="E4525" s="209"/>
      <c r="J4525" s="124"/>
    </row>
    <row r="4526" spans="3:10" x14ac:dyDescent="0.2">
      <c r="C4526" s="209"/>
      <c r="D4526" s="209"/>
      <c r="E4526" s="209"/>
      <c r="J4526" s="124"/>
    </row>
    <row r="4527" spans="3:10" x14ac:dyDescent="0.2">
      <c r="C4527" s="209"/>
      <c r="D4527" s="209"/>
      <c r="E4527" s="209"/>
      <c r="J4527" s="124"/>
    </row>
    <row r="4528" spans="3:10" x14ac:dyDescent="0.2">
      <c r="C4528" s="209"/>
      <c r="D4528" s="209"/>
      <c r="E4528" s="209"/>
      <c r="J4528" s="124"/>
    </row>
    <row r="4529" spans="3:10" x14ac:dyDescent="0.2">
      <c r="C4529" s="209"/>
      <c r="D4529" s="209"/>
      <c r="E4529" s="209"/>
      <c r="J4529" s="124"/>
    </row>
    <row r="4530" spans="3:10" x14ac:dyDescent="0.2">
      <c r="C4530" s="209"/>
      <c r="D4530" s="209"/>
      <c r="E4530" s="209"/>
      <c r="J4530" s="124"/>
    </row>
    <row r="4531" spans="3:10" x14ac:dyDescent="0.2">
      <c r="C4531" s="209"/>
      <c r="D4531" s="209"/>
      <c r="E4531" s="209"/>
      <c r="J4531" s="124"/>
    </row>
    <row r="4532" spans="3:10" x14ac:dyDescent="0.2">
      <c r="C4532" s="209"/>
      <c r="D4532" s="209"/>
      <c r="E4532" s="209"/>
      <c r="J4532" s="124"/>
    </row>
    <row r="4533" spans="3:10" x14ac:dyDescent="0.2">
      <c r="C4533" s="209"/>
      <c r="D4533" s="209"/>
      <c r="E4533" s="209"/>
      <c r="J4533" s="124"/>
    </row>
    <row r="4534" spans="3:10" x14ac:dyDescent="0.2">
      <c r="C4534" s="209"/>
      <c r="D4534" s="209"/>
      <c r="E4534" s="209"/>
      <c r="J4534" s="124"/>
    </row>
    <row r="4535" spans="3:10" x14ac:dyDescent="0.2">
      <c r="C4535" s="209"/>
      <c r="D4535" s="209"/>
      <c r="E4535" s="209"/>
      <c r="J4535" s="124"/>
    </row>
    <row r="4536" spans="3:10" x14ac:dyDescent="0.2">
      <c r="C4536" s="209"/>
      <c r="D4536" s="209"/>
      <c r="E4536" s="209"/>
      <c r="J4536" s="124"/>
    </row>
    <row r="4537" spans="3:10" x14ac:dyDescent="0.2">
      <c r="C4537" s="209"/>
      <c r="D4537" s="209"/>
      <c r="E4537" s="209"/>
      <c r="J4537" s="124"/>
    </row>
    <row r="4538" spans="3:10" x14ac:dyDescent="0.2">
      <c r="C4538" s="209"/>
      <c r="D4538" s="209"/>
      <c r="E4538" s="209"/>
      <c r="J4538" s="124"/>
    </row>
    <row r="4539" spans="3:10" x14ac:dyDescent="0.2">
      <c r="C4539" s="209"/>
      <c r="D4539" s="209"/>
      <c r="E4539" s="209"/>
      <c r="J4539" s="124"/>
    </row>
    <row r="4540" spans="3:10" x14ac:dyDescent="0.2">
      <c r="C4540" s="209"/>
      <c r="D4540" s="209"/>
      <c r="E4540" s="209"/>
      <c r="J4540" s="124"/>
    </row>
    <row r="4541" spans="3:10" x14ac:dyDescent="0.2">
      <c r="C4541" s="209"/>
      <c r="D4541" s="209"/>
      <c r="E4541" s="209"/>
      <c r="J4541" s="124"/>
    </row>
    <row r="4542" spans="3:10" x14ac:dyDescent="0.2">
      <c r="C4542" s="209"/>
      <c r="D4542" s="209"/>
      <c r="E4542" s="209"/>
      <c r="J4542" s="124"/>
    </row>
    <row r="4543" spans="3:10" x14ac:dyDescent="0.2">
      <c r="C4543" s="209"/>
      <c r="D4543" s="209"/>
      <c r="E4543" s="209"/>
      <c r="J4543" s="124"/>
    </row>
    <row r="4544" spans="3:10" x14ac:dyDescent="0.2">
      <c r="C4544" s="209"/>
      <c r="D4544" s="209"/>
      <c r="E4544" s="209"/>
      <c r="J4544" s="124"/>
    </row>
    <row r="4545" spans="3:10" x14ac:dyDescent="0.2">
      <c r="C4545" s="209"/>
      <c r="D4545" s="209"/>
      <c r="E4545" s="209"/>
      <c r="J4545" s="124"/>
    </row>
    <row r="4546" spans="3:10" x14ac:dyDescent="0.2">
      <c r="C4546" s="209"/>
      <c r="D4546" s="209"/>
      <c r="E4546" s="209"/>
      <c r="J4546" s="124"/>
    </row>
    <row r="4547" spans="3:10" x14ac:dyDescent="0.2">
      <c r="C4547" s="209"/>
      <c r="D4547" s="209"/>
      <c r="E4547" s="209"/>
      <c r="J4547" s="124"/>
    </row>
    <row r="4548" spans="3:10" x14ac:dyDescent="0.2">
      <c r="C4548" s="209"/>
      <c r="D4548" s="209"/>
      <c r="E4548" s="209"/>
      <c r="J4548" s="124"/>
    </row>
    <row r="4549" spans="3:10" x14ac:dyDescent="0.2">
      <c r="C4549" s="209"/>
      <c r="D4549" s="209"/>
      <c r="E4549" s="209"/>
      <c r="J4549" s="124"/>
    </row>
    <row r="4550" spans="3:10" x14ac:dyDescent="0.2">
      <c r="C4550" s="209"/>
      <c r="D4550" s="209"/>
      <c r="E4550" s="209"/>
      <c r="J4550" s="124"/>
    </row>
    <row r="4551" spans="3:10" x14ac:dyDescent="0.2">
      <c r="C4551" s="209"/>
      <c r="D4551" s="209"/>
      <c r="E4551" s="209"/>
      <c r="J4551" s="124"/>
    </row>
    <row r="4552" spans="3:10" x14ac:dyDescent="0.2">
      <c r="C4552" s="209"/>
      <c r="D4552" s="209"/>
      <c r="E4552" s="209"/>
      <c r="J4552" s="124"/>
    </row>
    <row r="4553" spans="3:10" x14ac:dyDescent="0.2">
      <c r="C4553" s="209"/>
      <c r="D4553" s="209"/>
      <c r="E4553" s="209"/>
      <c r="J4553" s="124"/>
    </row>
    <row r="4554" spans="3:10" x14ac:dyDescent="0.2">
      <c r="C4554" s="209"/>
      <c r="D4554" s="209"/>
      <c r="E4554" s="209"/>
      <c r="J4554" s="124"/>
    </row>
    <row r="4555" spans="3:10" x14ac:dyDescent="0.2">
      <c r="C4555" s="209"/>
      <c r="D4555" s="209"/>
      <c r="E4555" s="209"/>
      <c r="J4555" s="124"/>
    </row>
    <row r="4556" spans="3:10" x14ac:dyDescent="0.2">
      <c r="C4556" s="209"/>
      <c r="D4556" s="209"/>
      <c r="E4556" s="209"/>
      <c r="J4556" s="124"/>
    </row>
    <row r="4557" spans="3:10" x14ac:dyDescent="0.2">
      <c r="C4557" s="209"/>
      <c r="D4557" s="209"/>
      <c r="E4557" s="209"/>
      <c r="J4557" s="124"/>
    </row>
    <row r="4558" spans="3:10" x14ac:dyDescent="0.2">
      <c r="C4558" s="209"/>
      <c r="D4558" s="209"/>
      <c r="E4558" s="209"/>
      <c r="J4558" s="124"/>
    </row>
    <row r="4559" spans="3:10" x14ac:dyDescent="0.2">
      <c r="C4559" s="209"/>
      <c r="D4559" s="209"/>
      <c r="E4559" s="209"/>
      <c r="J4559" s="124"/>
    </row>
    <row r="4560" spans="3:10" x14ac:dyDescent="0.2">
      <c r="C4560" s="209"/>
      <c r="D4560" s="209"/>
      <c r="E4560" s="209"/>
      <c r="J4560" s="124"/>
    </row>
    <row r="4561" spans="3:10" x14ac:dyDescent="0.2">
      <c r="C4561" s="209"/>
      <c r="D4561" s="209"/>
      <c r="E4561" s="209"/>
      <c r="J4561" s="124"/>
    </row>
    <row r="4562" spans="3:10" x14ac:dyDescent="0.2">
      <c r="C4562" s="209"/>
      <c r="D4562" s="209"/>
      <c r="E4562" s="209"/>
      <c r="J4562" s="124"/>
    </row>
    <row r="4563" spans="3:10" x14ac:dyDescent="0.2">
      <c r="C4563" s="209"/>
      <c r="D4563" s="209"/>
      <c r="E4563" s="209"/>
      <c r="J4563" s="124"/>
    </row>
    <row r="4564" spans="3:10" x14ac:dyDescent="0.2">
      <c r="C4564" s="209"/>
      <c r="D4564" s="209"/>
      <c r="E4564" s="209"/>
      <c r="J4564" s="124"/>
    </row>
    <row r="4565" spans="3:10" x14ac:dyDescent="0.2">
      <c r="C4565" s="209"/>
      <c r="D4565" s="209"/>
      <c r="E4565" s="209"/>
      <c r="J4565" s="124"/>
    </row>
    <row r="4566" spans="3:10" x14ac:dyDescent="0.2">
      <c r="C4566" s="209"/>
      <c r="D4566" s="209"/>
      <c r="E4566" s="209"/>
      <c r="J4566" s="124"/>
    </row>
    <row r="4567" spans="3:10" x14ac:dyDescent="0.2">
      <c r="C4567" s="209"/>
      <c r="D4567" s="209"/>
      <c r="E4567" s="209"/>
      <c r="J4567" s="124"/>
    </row>
    <row r="4568" spans="3:10" x14ac:dyDescent="0.2">
      <c r="C4568" s="209"/>
      <c r="D4568" s="209"/>
      <c r="E4568" s="209"/>
      <c r="J4568" s="124"/>
    </row>
    <row r="4569" spans="3:10" x14ac:dyDescent="0.2">
      <c r="C4569" s="209"/>
      <c r="D4569" s="209"/>
      <c r="E4569" s="209"/>
      <c r="J4569" s="124"/>
    </row>
    <row r="4570" spans="3:10" x14ac:dyDescent="0.2">
      <c r="C4570" s="209"/>
      <c r="D4570" s="209"/>
      <c r="E4570" s="209"/>
      <c r="J4570" s="124"/>
    </row>
    <row r="4571" spans="3:10" x14ac:dyDescent="0.2">
      <c r="C4571" s="209"/>
      <c r="D4571" s="209"/>
      <c r="E4571" s="209"/>
      <c r="J4571" s="124"/>
    </row>
    <row r="4572" spans="3:10" x14ac:dyDescent="0.2">
      <c r="C4572" s="209"/>
      <c r="D4572" s="209"/>
      <c r="E4572" s="209"/>
      <c r="J4572" s="124"/>
    </row>
    <row r="4573" spans="3:10" x14ac:dyDescent="0.2">
      <c r="C4573" s="209"/>
      <c r="D4573" s="209"/>
      <c r="E4573" s="209"/>
      <c r="J4573" s="124"/>
    </row>
    <row r="4574" spans="3:10" x14ac:dyDescent="0.2">
      <c r="C4574" s="209"/>
      <c r="D4574" s="209"/>
      <c r="E4574" s="209"/>
      <c r="J4574" s="124"/>
    </row>
    <row r="4575" spans="3:10" x14ac:dyDescent="0.2">
      <c r="C4575" s="209"/>
      <c r="D4575" s="209"/>
      <c r="E4575" s="209"/>
      <c r="J4575" s="124"/>
    </row>
    <row r="4576" spans="3:10" x14ac:dyDescent="0.2">
      <c r="C4576" s="209"/>
      <c r="D4576" s="209"/>
      <c r="E4576" s="209"/>
      <c r="J4576" s="124"/>
    </row>
    <row r="4577" spans="3:10" x14ac:dyDescent="0.2">
      <c r="C4577" s="209"/>
      <c r="D4577" s="209"/>
      <c r="E4577" s="209"/>
      <c r="J4577" s="124"/>
    </row>
    <row r="4578" spans="3:10" x14ac:dyDescent="0.2">
      <c r="C4578" s="209"/>
      <c r="D4578" s="209"/>
      <c r="E4578" s="209"/>
      <c r="J4578" s="124"/>
    </row>
    <row r="4579" spans="3:10" x14ac:dyDescent="0.2">
      <c r="C4579" s="209"/>
      <c r="D4579" s="209"/>
      <c r="E4579" s="209"/>
      <c r="J4579" s="124"/>
    </row>
    <row r="4580" spans="3:10" x14ac:dyDescent="0.2">
      <c r="C4580" s="209"/>
      <c r="D4580" s="209"/>
      <c r="E4580" s="209"/>
      <c r="J4580" s="124"/>
    </row>
    <row r="4581" spans="3:10" x14ac:dyDescent="0.2">
      <c r="C4581" s="209"/>
      <c r="D4581" s="209"/>
      <c r="E4581" s="209"/>
      <c r="J4581" s="124"/>
    </row>
    <row r="4582" spans="3:10" x14ac:dyDescent="0.2">
      <c r="C4582" s="209"/>
      <c r="D4582" s="209"/>
      <c r="E4582" s="209"/>
      <c r="J4582" s="124"/>
    </row>
    <row r="4583" spans="3:10" x14ac:dyDescent="0.2">
      <c r="C4583" s="209"/>
      <c r="D4583" s="209"/>
      <c r="E4583" s="209"/>
      <c r="J4583" s="124"/>
    </row>
    <row r="4584" spans="3:10" x14ac:dyDescent="0.2">
      <c r="C4584" s="209"/>
      <c r="D4584" s="209"/>
      <c r="E4584" s="209"/>
      <c r="J4584" s="124"/>
    </row>
    <row r="4585" spans="3:10" x14ac:dyDescent="0.2">
      <c r="C4585" s="209"/>
      <c r="D4585" s="209"/>
      <c r="E4585" s="209"/>
      <c r="J4585" s="124"/>
    </row>
    <row r="4586" spans="3:10" x14ac:dyDescent="0.2">
      <c r="C4586" s="209"/>
      <c r="D4586" s="209"/>
      <c r="E4586" s="209"/>
      <c r="J4586" s="124"/>
    </row>
    <row r="4587" spans="3:10" x14ac:dyDescent="0.2">
      <c r="C4587" s="209"/>
      <c r="D4587" s="209"/>
      <c r="E4587" s="209"/>
      <c r="J4587" s="124"/>
    </row>
    <row r="4588" spans="3:10" x14ac:dyDescent="0.2">
      <c r="C4588" s="209"/>
      <c r="D4588" s="209"/>
      <c r="E4588" s="209"/>
      <c r="J4588" s="124"/>
    </row>
    <row r="4589" spans="3:10" x14ac:dyDescent="0.2">
      <c r="C4589" s="209"/>
      <c r="D4589" s="209"/>
      <c r="E4589" s="209"/>
      <c r="J4589" s="124"/>
    </row>
    <row r="4590" spans="3:10" x14ac:dyDescent="0.2">
      <c r="C4590" s="209"/>
      <c r="D4590" s="209"/>
      <c r="E4590" s="209"/>
      <c r="J4590" s="124"/>
    </row>
    <row r="4591" spans="3:10" x14ac:dyDescent="0.2">
      <c r="C4591" s="209"/>
      <c r="D4591" s="209"/>
      <c r="E4591" s="209"/>
      <c r="J4591" s="124"/>
    </row>
    <row r="4592" spans="3:10" x14ac:dyDescent="0.2">
      <c r="C4592" s="209"/>
      <c r="D4592" s="209"/>
      <c r="E4592" s="209"/>
      <c r="J4592" s="124"/>
    </row>
    <row r="4593" spans="3:10" x14ac:dyDescent="0.2">
      <c r="C4593" s="209"/>
      <c r="D4593" s="209"/>
      <c r="E4593" s="209"/>
      <c r="J4593" s="124"/>
    </row>
    <row r="4594" spans="3:10" x14ac:dyDescent="0.2">
      <c r="C4594" s="209"/>
      <c r="D4594" s="209"/>
      <c r="E4594" s="209"/>
      <c r="J4594" s="124"/>
    </row>
    <row r="4595" spans="3:10" x14ac:dyDescent="0.2">
      <c r="C4595" s="209"/>
      <c r="D4595" s="209"/>
      <c r="E4595" s="209"/>
      <c r="J4595" s="124"/>
    </row>
    <row r="4596" spans="3:10" x14ac:dyDescent="0.2">
      <c r="C4596" s="209"/>
      <c r="D4596" s="209"/>
      <c r="E4596" s="209"/>
      <c r="J4596" s="124"/>
    </row>
    <row r="4597" spans="3:10" x14ac:dyDescent="0.2">
      <c r="C4597" s="209"/>
      <c r="D4597" s="209"/>
      <c r="E4597" s="209"/>
      <c r="J4597" s="124"/>
    </row>
    <row r="4598" spans="3:10" x14ac:dyDescent="0.2">
      <c r="C4598" s="209"/>
      <c r="D4598" s="209"/>
      <c r="E4598" s="209"/>
      <c r="J4598" s="124"/>
    </row>
    <row r="4599" spans="3:10" x14ac:dyDescent="0.2">
      <c r="C4599" s="209"/>
      <c r="D4599" s="209"/>
      <c r="E4599" s="209"/>
      <c r="J4599" s="124"/>
    </row>
    <row r="4600" spans="3:10" x14ac:dyDescent="0.2">
      <c r="C4600" s="209"/>
      <c r="D4600" s="209"/>
      <c r="E4600" s="209"/>
      <c r="J4600" s="124"/>
    </row>
    <row r="4601" spans="3:10" x14ac:dyDescent="0.2">
      <c r="C4601" s="209"/>
      <c r="D4601" s="209"/>
      <c r="E4601" s="209"/>
      <c r="J4601" s="124"/>
    </row>
    <row r="4602" spans="3:10" x14ac:dyDescent="0.2">
      <c r="C4602" s="209"/>
      <c r="D4602" s="209"/>
      <c r="E4602" s="209"/>
      <c r="J4602" s="124"/>
    </row>
    <row r="4603" spans="3:10" x14ac:dyDescent="0.2">
      <c r="C4603" s="209"/>
      <c r="D4603" s="209"/>
      <c r="E4603" s="209"/>
      <c r="J4603" s="124"/>
    </row>
    <row r="4604" spans="3:10" x14ac:dyDescent="0.2">
      <c r="C4604" s="209"/>
      <c r="D4604" s="209"/>
      <c r="E4604" s="209"/>
      <c r="J4604" s="124"/>
    </row>
    <row r="4605" spans="3:10" x14ac:dyDescent="0.2">
      <c r="C4605" s="209"/>
      <c r="D4605" s="209"/>
      <c r="E4605" s="209"/>
      <c r="J4605" s="124"/>
    </row>
    <row r="4606" spans="3:10" x14ac:dyDescent="0.2">
      <c r="C4606" s="209"/>
      <c r="D4606" s="209"/>
      <c r="E4606" s="209"/>
      <c r="J4606" s="124"/>
    </row>
    <row r="4607" spans="3:10" x14ac:dyDescent="0.2">
      <c r="C4607" s="209"/>
      <c r="D4607" s="209"/>
      <c r="E4607" s="209"/>
      <c r="J4607" s="124"/>
    </row>
    <row r="4608" spans="3:10" x14ac:dyDescent="0.2">
      <c r="C4608" s="209"/>
      <c r="D4608" s="209"/>
      <c r="E4608" s="209"/>
      <c r="J4608" s="124"/>
    </row>
    <row r="4609" spans="3:10" x14ac:dyDescent="0.2">
      <c r="C4609" s="209"/>
      <c r="D4609" s="209"/>
      <c r="E4609" s="209"/>
      <c r="J4609" s="124"/>
    </row>
    <row r="4610" spans="3:10" x14ac:dyDescent="0.2">
      <c r="C4610" s="209"/>
      <c r="D4610" s="209"/>
      <c r="E4610" s="209"/>
      <c r="J4610" s="124"/>
    </row>
    <row r="4611" spans="3:10" x14ac:dyDescent="0.2">
      <c r="C4611" s="209"/>
      <c r="D4611" s="209"/>
      <c r="E4611" s="209"/>
      <c r="J4611" s="124"/>
    </row>
    <row r="4612" spans="3:10" x14ac:dyDescent="0.2">
      <c r="C4612" s="209"/>
      <c r="D4612" s="209"/>
      <c r="E4612" s="209"/>
      <c r="J4612" s="124"/>
    </row>
    <row r="4613" spans="3:10" x14ac:dyDescent="0.2">
      <c r="C4613" s="209"/>
      <c r="D4613" s="209"/>
      <c r="E4613" s="209"/>
      <c r="J4613" s="124"/>
    </row>
    <row r="4614" spans="3:10" x14ac:dyDescent="0.2">
      <c r="C4614" s="209"/>
      <c r="D4614" s="209"/>
      <c r="E4614" s="209"/>
      <c r="J4614" s="124"/>
    </row>
    <row r="4615" spans="3:10" x14ac:dyDescent="0.2">
      <c r="C4615" s="209"/>
      <c r="D4615" s="209"/>
      <c r="E4615" s="209"/>
      <c r="J4615" s="124"/>
    </row>
    <row r="4616" spans="3:10" x14ac:dyDescent="0.2">
      <c r="C4616" s="209"/>
      <c r="D4616" s="209"/>
      <c r="E4616" s="209"/>
      <c r="J4616" s="124"/>
    </row>
    <row r="4617" spans="3:10" x14ac:dyDescent="0.2">
      <c r="C4617" s="209"/>
      <c r="D4617" s="209"/>
      <c r="E4617" s="209"/>
      <c r="J4617" s="124"/>
    </row>
    <row r="4618" spans="3:10" x14ac:dyDescent="0.2">
      <c r="C4618" s="209"/>
      <c r="D4618" s="209"/>
      <c r="E4618" s="209"/>
      <c r="J4618" s="124"/>
    </row>
    <row r="4619" spans="3:10" x14ac:dyDescent="0.2">
      <c r="C4619" s="209"/>
      <c r="D4619" s="209"/>
      <c r="E4619" s="209"/>
      <c r="J4619" s="124"/>
    </row>
    <row r="4620" spans="3:10" x14ac:dyDescent="0.2">
      <c r="C4620" s="209"/>
      <c r="D4620" s="209"/>
      <c r="E4620" s="209"/>
      <c r="J4620" s="124"/>
    </row>
    <row r="4621" spans="3:10" x14ac:dyDescent="0.2">
      <c r="C4621" s="209"/>
      <c r="D4621" s="209"/>
      <c r="E4621" s="209"/>
      <c r="J4621" s="124"/>
    </row>
    <row r="4622" spans="3:10" x14ac:dyDescent="0.2">
      <c r="C4622" s="209"/>
      <c r="D4622" s="209"/>
      <c r="E4622" s="209"/>
      <c r="J4622" s="124"/>
    </row>
    <row r="4623" spans="3:10" x14ac:dyDescent="0.2">
      <c r="C4623" s="209"/>
      <c r="D4623" s="209"/>
      <c r="E4623" s="209"/>
      <c r="J4623" s="124"/>
    </row>
    <row r="4624" spans="3:10" x14ac:dyDescent="0.2">
      <c r="C4624" s="209"/>
      <c r="D4624" s="209"/>
      <c r="E4624" s="209"/>
      <c r="J4624" s="124"/>
    </row>
    <row r="4625" spans="3:10" x14ac:dyDescent="0.2">
      <c r="C4625" s="209"/>
      <c r="D4625" s="209"/>
      <c r="E4625" s="209"/>
      <c r="J4625" s="124"/>
    </row>
    <row r="4626" spans="3:10" x14ac:dyDescent="0.2">
      <c r="C4626" s="209"/>
      <c r="D4626" s="209"/>
      <c r="E4626" s="209"/>
      <c r="J4626" s="124"/>
    </row>
    <row r="4627" spans="3:10" x14ac:dyDescent="0.2">
      <c r="C4627" s="209"/>
      <c r="D4627" s="209"/>
      <c r="E4627" s="209"/>
      <c r="J4627" s="124"/>
    </row>
    <row r="4628" spans="3:10" x14ac:dyDescent="0.2">
      <c r="C4628" s="209"/>
      <c r="D4628" s="209"/>
      <c r="E4628" s="209"/>
      <c r="J4628" s="124"/>
    </row>
    <row r="4629" spans="3:10" x14ac:dyDescent="0.2">
      <c r="C4629" s="209"/>
      <c r="D4629" s="209"/>
      <c r="E4629" s="209"/>
      <c r="J4629" s="124"/>
    </row>
    <row r="4630" spans="3:10" x14ac:dyDescent="0.2">
      <c r="C4630" s="209"/>
      <c r="D4630" s="209"/>
      <c r="E4630" s="209"/>
      <c r="J4630" s="124"/>
    </row>
    <row r="4631" spans="3:10" x14ac:dyDescent="0.2">
      <c r="C4631" s="209"/>
      <c r="D4631" s="209"/>
      <c r="E4631" s="209"/>
      <c r="J4631" s="124"/>
    </row>
    <row r="4632" spans="3:10" x14ac:dyDescent="0.2">
      <c r="C4632" s="209"/>
      <c r="D4632" s="209"/>
      <c r="E4632" s="209"/>
      <c r="J4632" s="124"/>
    </row>
    <row r="4633" spans="3:10" x14ac:dyDescent="0.2">
      <c r="C4633" s="209"/>
      <c r="D4633" s="209"/>
      <c r="E4633" s="209"/>
      <c r="J4633" s="124"/>
    </row>
    <row r="4634" spans="3:10" x14ac:dyDescent="0.2">
      <c r="C4634" s="209"/>
      <c r="D4634" s="209"/>
      <c r="E4634" s="209"/>
      <c r="J4634" s="124"/>
    </row>
    <row r="4635" spans="3:10" x14ac:dyDescent="0.2">
      <c r="C4635" s="209"/>
      <c r="D4635" s="209"/>
      <c r="E4635" s="209"/>
      <c r="J4635" s="124"/>
    </row>
    <row r="4636" spans="3:10" x14ac:dyDescent="0.2">
      <c r="C4636" s="209"/>
      <c r="D4636" s="209"/>
      <c r="E4636" s="209"/>
      <c r="J4636" s="124"/>
    </row>
    <row r="4637" spans="3:10" x14ac:dyDescent="0.2">
      <c r="C4637" s="209"/>
      <c r="D4637" s="209"/>
      <c r="E4637" s="209"/>
      <c r="J4637" s="124"/>
    </row>
    <row r="4638" spans="3:10" x14ac:dyDescent="0.2">
      <c r="C4638" s="209"/>
      <c r="D4638" s="209"/>
      <c r="E4638" s="209"/>
      <c r="J4638" s="124"/>
    </row>
    <row r="4639" spans="3:10" x14ac:dyDescent="0.2">
      <c r="C4639" s="209"/>
      <c r="D4639" s="209"/>
      <c r="E4639" s="209"/>
      <c r="J4639" s="124"/>
    </row>
    <row r="4640" spans="3:10" x14ac:dyDescent="0.2">
      <c r="C4640" s="209"/>
      <c r="D4640" s="209"/>
      <c r="E4640" s="209"/>
      <c r="J4640" s="124"/>
    </row>
    <row r="4641" spans="3:10" x14ac:dyDescent="0.2">
      <c r="C4641" s="209"/>
      <c r="D4641" s="209"/>
      <c r="E4641" s="209"/>
      <c r="J4641" s="124"/>
    </row>
    <row r="4642" spans="3:10" x14ac:dyDescent="0.2">
      <c r="C4642" s="209"/>
      <c r="D4642" s="209"/>
      <c r="E4642" s="209"/>
      <c r="J4642" s="124"/>
    </row>
    <row r="4643" spans="3:10" x14ac:dyDescent="0.2">
      <c r="C4643" s="209"/>
      <c r="D4643" s="209"/>
      <c r="E4643" s="209"/>
      <c r="J4643" s="124"/>
    </row>
    <row r="4644" spans="3:10" x14ac:dyDescent="0.2">
      <c r="C4644" s="209"/>
      <c r="D4644" s="209"/>
      <c r="E4644" s="209"/>
      <c r="J4644" s="124"/>
    </row>
    <row r="4645" spans="3:10" x14ac:dyDescent="0.2">
      <c r="C4645" s="209"/>
      <c r="D4645" s="209"/>
      <c r="E4645" s="209"/>
      <c r="J4645" s="124"/>
    </row>
    <row r="4646" spans="3:10" x14ac:dyDescent="0.2">
      <c r="C4646" s="209"/>
      <c r="D4646" s="209"/>
      <c r="E4646" s="209"/>
      <c r="J4646" s="124"/>
    </row>
    <row r="4647" spans="3:10" x14ac:dyDescent="0.2">
      <c r="C4647" s="209"/>
      <c r="D4647" s="209"/>
      <c r="E4647" s="209"/>
      <c r="J4647" s="124"/>
    </row>
    <row r="4648" spans="3:10" x14ac:dyDescent="0.2">
      <c r="C4648" s="209"/>
      <c r="D4648" s="209"/>
      <c r="E4648" s="209"/>
      <c r="J4648" s="124"/>
    </row>
    <row r="4649" spans="3:10" x14ac:dyDescent="0.2">
      <c r="C4649" s="209"/>
      <c r="D4649" s="209"/>
      <c r="E4649" s="209"/>
      <c r="J4649" s="124"/>
    </row>
    <row r="4650" spans="3:10" x14ac:dyDescent="0.2">
      <c r="C4650" s="209"/>
      <c r="D4650" s="209"/>
      <c r="E4650" s="209"/>
      <c r="J4650" s="124"/>
    </row>
    <row r="4651" spans="3:10" x14ac:dyDescent="0.2">
      <c r="C4651" s="209"/>
      <c r="D4651" s="209"/>
      <c r="E4651" s="209"/>
      <c r="J4651" s="124"/>
    </row>
    <row r="4652" spans="3:10" x14ac:dyDescent="0.2">
      <c r="C4652" s="209"/>
      <c r="D4652" s="209"/>
      <c r="E4652" s="209"/>
      <c r="J4652" s="124"/>
    </row>
    <row r="4653" spans="3:10" x14ac:dyDescent="0.2">
      <c r="C4653" s="209"/>
      <c r="D4653" s="209"/>
      <c r="E4653" s="209"/>
      <c r="J4653" s="124"/>
    </row>
    <row r="4654" spans="3:10" x14ac:dyDescent="0.2">
      <c r="C4654" s="209"/>
      <c r="D4654" s="209"/>
      <c r="E4654" s="209"/>
      <c r="J4654" s="124"/>
    </row>
    <row r="4655" spans="3:10" x14ac:dyDescent="0.2">
      <c r="C4655" s="209"/>
      <c r="D4655" s="209"/>
      <c r="E4655" s="209"/>
      <c r="J4655" s="124"/>
    </row>
    <row r="4656" spans="3:10" x14ac:dyDescent="0.2">
      <c r="C4656" s="209"/>
      <c r="D4656" s="209"/>
      <c r="E4656" s="209"/>
      <c r="J4656" s="124"/>
    </row>
    <row r="4657" spans="3:10" x14ac:dyDescent="0.2">
      <c r="C4657" s="209"/>
      <c r="D4657" s="209"/>
      <c r="E4657" s="209"/>
      <c r="J4657" s="124"/>
    </row>
    <row r="4658" spans="3:10" x14ac:dyDescent="0.2">
      <c r="C4658" s="209"/>
      <c r="D4658" s="209"/>
      <c r="E4658" s="209"/>
      <c r="J4658" s="124"/>
    </row>
    <row r="4659" spans="3:10" x14ac:dyDescent="0.2">
      <c r="C4659" s="209"/>
      <c r="D4659" s="209"/>
      <c r="E4659" s="209"/>
      <c r="J4659" s="124"/>
    </row>
    <row r="4660" spans="3:10" x14ac:dyDescent="0.2">
      <c r="C4660" s="209"/>
      <c r="D4660" s="209"/>
      <c r="E4660" s="209"/>
      <c r="J4660" s="124"/>
    </row>
    <row r="4661" spans="3:10" x14ac:dyDescent="0.2">
      <c r="C4661" s="209"/>
      <c r="D4661" s="209"/>
      <c r="E4661" s="209"/>
      <c r="J4661" s="124"/>
    </row>
    <row r="4662" spans="3:10" x14ac:dyDescent="0.2">
      <c r="C4662" s="209"/>
      <c r="D4662" s="209"/>
      <c r="E4662" s="209"/>
      <c r="J4662" s="124"/>
    </row>
    <row r="4663" spans="3:10" x14ac:dyDescent="0.2">
      <c r="C4663" s="209"/>
      <c r="D4663" s="209"/>
      <c r="E4663" s="209"/>
      <c r="J4663" s="124"/>
    </row>
    <row r="4664" spans="3:10" x14ac:dyDescent="0.2">
      <c r="C4664" s="209"/>
      <c r="D4664" s="209"/>
      <c r="E4664" s="209"/>
      <c r="J4664" s="124"/>
    </row>
    <row r="4665" spans="3:10" x14ac:dyDescent="0.2">
      <c r="C4665" s="209"/>
      <c r="D4665" s="209"/>
      <c r="E4665" s="209"/>
      <c r="J4665" s="124"/>
    </row>
    <row r="4666" spans="3:10" x14ac:dyDescent="0.2">
      <c r="C4666" s="209"/>
      <c r="D4666" s="209"/>
      <c r="E4666" s="209"/>
      <c r="J4666" s="124"/>
    </row>
    <row r="4667" spans="3:10" x14ac:dyDescent="0.2">
      <c r="C4667" s="209"/>
      <c r="D4667" s="209"/>
      <c r="E4667" s="209"/>
      <c r="J4667" s="124"/>
    </row>
    <row r="4668" spans="3:10" x14ac:dyDescent="0.2">
      <c r="C4668" s="209"/>
      <c r="D4668" s="209"/>
      <c r="E4668" s="209"/>
      <c r="J4668" s="124"/>
    </row>
    <row r="4669" spans="3:10" x14ac:dyDescent="0.2">
      <c r="C4669" s="209"/>
      <c r="D4669" s="209"/>
      <c r="E4669" s="209"/>
      <c r="J4669" s="124"/>
    </row>
    <row r="4670" spans="3:10" x14ac:dyDescent="0.2">
      <c r="C4670" s="209"/>
      <c r="D4670" s="209"/>
      <c r="E4670" s="209"/>
      <c r="J4670" s="124"/>
    </row>
    <row r="4671" spans="3:10" x14ac:dyDescent="0.2">
      <c r="C4671" s="209"/>
      <c r="D4671" s="209"/>
      <c r="E4671" s="209"/>
      <c r="J4671" s="124"/>
    </row>
    <row r="4672" spans="3:10" x14ac:dyDescent="0.2">
      <c r="C4672" s="209"/>
      <c r="D4672" s="209"/>
      <c r="E4672" s="209"/>
      <c r="J4672" s="124"/>
    </row>
    <row r="4673" spans="3:10" x14ac:dyDescent="0.2">
      <c r="C4673" s="209"/>
      <c r="D4673" s="209"/>
      <c r="E4673" s="209"/>
      <c r="J4673" s="124"/>
    </row>
    <row r="4674" spans="3:10" x14ac:dyDescent="0.2">
      <c r="C4674" s="209"/>
      <c r="D4674" s="209"/>
      <c r="E4674" s="209"/>
      <c r="J4674" s="124"/>
    </row>
    <row r="4675" spans="3:10" x14ac:dyDescent="0.2">
      <c r="C4675" s="209"/>
      <c r="D4675" s="209"/>
      <c r="E4675" s="209"/>
      <c r="J4675" s="124"/>
    </row>
    <row r="4676" spans="3:10" x14ac:dyDescent="0.2">
      <c r="C4676" s="209"/>
      <c r="D4676" s="209"/>
      <c r="E4676" s="209"/>
      <c r="J4676" s="124"/>
    </row>
    <row r="4677" spans="3:10" x14ac:dyDescent="0.2">
      <c r="C4677" s="209"/>
      <c r="D4677" s="209"/>
      <c r="E4677" s="209"/>
      <c r="J4677" s="124"/>
    </row>
    <row r="4678" spans="3:10" x14ac:dyDescent="0.2">
      <c r="C4678" s="209"/>
      <c r="D4678" s="209"/>
      <c r="E4678" s="209"/>
      <c r="J4678" s="124"/>
    </row>
    <row r="4679" spans="3:10" x14ac:dyDescent="0.2">
      <c r="C4679" s="209"/>
      <c r="D4679" s="209"/>
      <c r="E4679" s="209"/>
      <c r="J4679" s="124"/>
    </row>
    <row r="4680" spans="3:10" x14ac:dyDescent="0.2">
      <c r="C4680" s="209"/>
      <c r="D4680" s="209"/>
      <c r="E4680" s="209"/>
      <c r="J4680" s="124"/>
    </row>
    <row r="4681" spans="3:10" x14ac:dyDescent="0.2">
      <c r="C4681" s="209"/>
      <c r="D4681" s="209"/>
      <c r="E4681" s="209"/>
      <c r="J4681" s="124"/>
    </row>
    <row r="4682" spans="3:10" x14ac:dyDescent="0.2">
      <c r="C4682" s="209"/>
      <c r="D4682" s="209"/>
      <c r="E4682" s="209"/>
      <c r="J4682" s="124"/>
    </row>
    <row r="4683" spans="3:10" x14ac:dyDescent="0.2">
      <c r="C4683" s="209"/>
      <c r="D4683" s="209"/>
      <c r="E4683" s="209"/>
      <c r="J4683" s="124"/>
    </row>
    <row r="4684" spans="3:10" x14ac:dyDescent="0.2">
      <c r="C4684" s="209"/>
      <c r="D4684" s="209"/>
      <c r="E4684" s="209"/>
      <c r="J4684" s="124"/>
    </row>
    <row r="4685" spans="3:10" x14ac:dyDescent="0.2">
      <c r="C4685" s="209"/>
      <c r="D4685" s="209"/>
      <c r="E4685" s="209"/>
      <c r="J4685" s="124"/>
    </row>
    <row r="4686" spans="3:10" x14ac:dyDescent="0.2">
      <c r="C4686" s="209"/>
      <c r="D4686" s="209"/>
      <c r="E4686" s="209"/>
      <c r="J4686" s="124"/>
    </row>
    <row r="4687" spans="3:10" x14ac:dyDescent="0.2">
      <c r="C4687" s="209"/>
      <c r="D4687" s="209"/>
      <c r="E4687" s="209"/>
      <c r="J4687" s="124"/>
    </row>
    <row r="4688" spans="3:10" x14ac:dyDescent="0.2">
      <c r="C4688" s="209"/>
      <c r="D4688" s="209"/>
      <c r="E4688" s="209"/>
      <c r="J4688" s="124"/>
    </row>
    <row r="4689" spans="3:10" x14ac:dyDescent="0.2">
      <c r="C4689" s="209"/>
      <c r="D4689" s="209"/>
      <c r="E4689" s="209"/>
      <c r="J4689" s="124"/>
    </row>
    <row r="4690" spans="3:10" x14ac:dyDescent="0.2">
      <c r="C4690" s="209"/>
      <c r="D4690" s="209"/>
      <c r="E4690" s="209"/>
      <c r="J4690" s="124"/>
    </row>
    <row r="4691" spans="3:10" x14ac:dyDescent="0.2">
      <c r="C4691" s="209"/>
      <c r="D4691" s="209"/>
      <c r="E4691" s="209"/>
      <c r="J4691" s="124"/>
    </row>
    <row r="4692" spans="3:10" x14ac:dyDescent="0.2">
      <c r="C4692" s="209"/>
      <c r="D4692" s="209"/>
      <c r="E4692" s="209"/>
      <c r="J4692" s="124"/>
    </row>
    <row r="4693" spans="3:10" x14ac:dyDescent="0.2">
      <c r="C4693" s="209"/>
      <c r="D4693" s="209"/>
      <c r="E4693" s="209"/>
      <c r="J4693" s="124"/>
    </row>
    <row r="4694" spans="3:10" x14ac:dyDescent="0.2">
      <c r="C4694" s="209"/>
      <c r="D4694" s="209"/>
      <c r="E4694" s="209"/>
      <c r="J4694" s="124"/>
    </row>
    <row r="4695" spans="3:10" x14ac:dyDescent="0.2">
      <c r="C4695" s="209"/>
      <c r="D4695" s="209"/>
      <c r="E4695" s="209"/>
      <c r="J4695" s="124"/>
    </row>
    <row r="4696" spans="3:10" x14ac:dyDescent="0.2">
      <c r="C4696" s="209"/>
      <c r="D4696" s="209"/>
      <c r="E4696" s="209"/>
      <c r="J4696" s="124"/>
    </row>
    <row r="4697" spans="3:10" x14ac:dyDescent="0.2">
      <c r="C4697" s="209"/>
      <c r="D4697" s="209"/>
      <c r="E4697" s="209"/>
      <c r="J4697" s="124"/>
    </row>
    <row r="4698" spans="3:10" x14ac:dyDescent="0.2">
      <c r="C4698" s="209"/>
      <c r="D4698" s="209"/>
      <c r="E4698" s="209"/>
      <c r="J4698" s="124"/>
    </row>
    <row r="4699" spans="3:10" x14ac:dyDescent="0.2">
      <c r="C4699" s="209"/>
      <c r="D4699" s="209"/>
      <c r="E4699" s="209"/>
      <c r="J4699" s="124"/>
    </row>
    <row r="4700" spans="3:10" x14ac:dyDescent="0.2">
      <c r="C4700" s="209"/>
      <c r="D4700" s="209"/>
      <c r="E4700" s="209"/>
      <c r="J4700" s="124"/>
    </row>
    <row r="4701" spans="3:10" x14ac:dyDescent="0.2">
      <c r="C4701" s="209"/>
      <c r="D4701" s="209"/>
      <c r="E4701" s="209"/>
      <c r="J4701" s="124"/>
    </row>
    <row r="4702" spans="3:10" x14ac:dyDescent="0.2">
      <c r="C4702" s="209"/>
      <c r="D4702" s="209"/>
      <c r="E4702" s="209"/>
      <c r="J4702" s="124"/>
    </row>
    <row r="4703" spans="3:10" x14ac:dyDescent="0.2">
      <c r="C4703" s="209"/>
      <c r="D4703" s="209"/>
      <c r="E4703" s="209"/>
      <c r="J4703" s="124"/>
    </row>
    <row r="4704" spans="3:10" x14ac:dyDescent="0.2">
      <c r="C4704" s="209"/>
      <c r="D4704" s="209"/>
      <c r="E4704" s="209"/>
      <c r="J4704" s="124"/>
    </row>
    <row r="4705" spans="3:10" x14ac:dyDescent="0.2">
      <c r="C4705" s="209"/>
      <c r="D4705" s="209"/>
      <c r="E4705" s="209"/>
      <c r="J4705" s="124"/>
    </row>
    <row r="4706" spans="3:10" x14ac:dyDescent="0.2">
      <c r="C4706" s="209"/>
      <c r="D4706" s="209"/>
      <c r="E4706" s="209"/>
      <c r="J4706" s="124"/>
    </row>
    <row r="4707" spans="3:10" x14ac:dyDescent="0.2">
      <c r="C4707" s="209"/>
      <c r="D4707" s="209"/>
      <c r="E4707" s="209"/>
      <c r="J4707" s="124"/>
    </row>
    <row r="4708" spans="3:10" x14ac:dyDescent="0.2">
      <c r="C4708" s="209"/>
      <c r="D4708" s="209"/>
      <c r="E4708" s="209"/>
      <c r="J4708" s="124"/>
    </row>
    <row r="4709" spans="3:10" x14ac:dyDescent="0.2">
      <c r="C4709" s="209"/>
      <c r="D4709" s="209"/>
      <c r="E4709" s="209"/>
      <c r="J4709" s="124"/>
    </row>
    <row r="4710" spans="3:10" x14ac:dyDescent="0.2">
      <c r="C4710" s="209"/>
      <c r="D4710" s="209"/>
      <c r="E4710" s="209"/>
      <c r="J4710" s="124"/>
    </row>
    <row r="4711" spans="3:10" x14ac:dyDescent="0.2">
      <c r="C4711" s="209"/>
      <c r="D4711" s="209"/>
      <c r="E4711" s="209"/>
      <c r="J4711" s="124"/>
    </row>
    <row r="4712" spans="3:10" x14ac:dyDescent="0.2">
      <c r="C4712" s="209"/>
      <c r="D4712" s="209"/>
      <c r="E4712" s="209"/>
      <c r="J4712" s="124"/>
    </row>
    <row r="4713" spans="3:10" x14ac:dyDescent="0.2">
      <c r="C4713" s="209"/>
      <c r="D4713" s="209"/>
      <c r="E4713" s="209"/>
      <c r="J4713" s="124"/>
    </row>
    <row r="4714" spans="3:10" x14ac:dyDescent="0.2">
      <c r="C4714" s="209"/>
      <c r="D4714" s="209"/>
      <c r="E4714" s="209"/>
      <c r="J4714" s="124"/>
    </row>
    <row r="4715" spans="3:10" x14ac:dyDescent="0.2">
      <c r="C4715" s="209"/>
      <c r="D4715" s="209"/>
      <c r="E4715" s="209"/>
      <c r="J4715" s="124"/>
    </row>
    <row r="4716" spans="3:10" x14ac:dyDescent="0.2">
      <c r="C4716" s="209"/>
      <c r="D4716" s="209"/>
      <c r="E4716" s="209"/>
      <c r="J4716" s="124"/>
    </row>
    <row r="4717" spans="3:10" x14ac:dyDescent="0.2">
      <c r="C4717" s="209"/>
      <c r="D4717" s="209"/>
      <c r="E4717" s="209"/>
      <c r="J4717" s="124"/>
    </row>
    <row r="4718" spans="3:10" x14ac:dyDescent="0.2">
      <c r="C4718" s="209"/>
      <c r="D4718" s="209"/>
      <c r="E4718" s="209"/>
      <c r="J4718" s="124"/>
    </row>
    <row r="4719" spans="3:10" x14ac:dyDescent="0.2">
      <c r="C4719" s="209"/>
      <c r="D4719" s="209"/>
      <c r="E4719" s="209"/>
      <c r="J4719" s="124"/>
    </row>
    <row r="4720" spans="3:10" x14ac:dyDescent="0.2">
      <c r="C4720" s="209"/>
      <c r="D4720" s="209"/>
      <c r="E4720" s="209"/>
      <c r="J4720" s="124"/>
    </row>
    <row r="4721" spans="3:10" x14ac:dyDescent="0.2">
      <c r="C4721" s="209"/>
      <c r="D4721" s="209"/>
      <c r="E4721" s="209"/>
      <c r="J4721" s="124"/>
    </row>
    <row r="4722" spans="3:10" x14ac:dyDescent="0.2">
      <c r="C4722" s="209"/>
      <c r="D4722" s="209"/>
      <c r="E4722" s="209"/>
      <c r="J4722" s="124"/>
    </row>
    <row r="4723" spans="3:10" x14ac:dyDescent="0.2">
      <c r="C4723" s="209"/>
      <c r="D4723" s="209"/>
      <c r="E4723" s="209"/>
      <c r="J4723" s="124"/>
    </row>
    <row r="4724" spans="3:10" x14ac:dyDescent="0.2">
      <c r="C4724" s="209"/>
      <c r="D4724" s="209"/>
      <c r="E4724" s="209"/>
      <c r="J4724" s="124"/>
    </row>
    <row r="4725" spans="3:10" x14ac:dyDescent="0.2">
      <c r="C4725" s="209"/>
      <c r="D4725" s="209"/>
      <c r="E4725" s="209"/>
      <c r="J4725" s="124"/>
    </row>
    <row r="4726" spans="3:10" x14ac:dyDescent="0.2">
      <c r="C4726" s="209"/>
      <c r="D4726" s="209"/>
      <c r="E4726" s="209"/>
      <c r="J4726" s="124"/>
    </row>
    <row r="4727" spans="3:10" x14ac:dyDescent="0.2">
      <c r="C4727" s="209"/>
      <c r="D4727" s="209"/>
      <c r="E4727" s="209"/>
      <c r="J4727" s="124"/>
    </row>
    <row r="4728" spans="3:10" x14ac:dyDescent="0.2">
      <c r="C4728" s="209"/>
      <c r="D4728" s="209"/>
      <c r="E4728" s="209"/>
      <c r="J4728" s="124"/>
    </row>
    <row r="4729" spans="3:10" x14ac:dyDescent="0.2">
      <c r="C4729" s="209"/>
      <c r="D4729" s="209"/>
      <c r="E4729" s="209"/>
      <c r="J4729" s="124"/>
    </row>
    <row r="4730" spans="3:10" x14ac:dyDescent="0.2">
      <c r="C4730" s="209"/>
      <c r="D4730" s="209"/>
      <c r="E4730" s="209"/>
      <c r="J4730" s="124"/>
    </row>
    <row r="4731" spans="3:10" x14ac:dyDescent="0.2">
      <c r="C4731" s="209"/>
      <c r="D4731" s="209"/>
      <c r="E4731" s="209"/>
      <c r="J4731" s="124"/>
    </row>
    <row r="4732" spans="3:10" x14ac:dyDescent="0.2">
      <c r="C4732" s="209"/>
      <c r="D4732" s="209"/>
      <c r="E4732" s="209"/>
      <c r="J4732" s="124"/>
    </row>
    <row r="4733" spans="3:10" x14ac:dyDescent="0.2">
      <c r="C4733" s="209"/>
      <c r="D4733" s="209"/>
      <c r="E4733" s="209"/>
      <c r="J4733" s="124"/>
    </row>
    <row r="4734" spans="3:10" x14ac:dyDescent="0.2">
      <c r="C4734" s="209"/>
      <c r="D4734" s="209"/>
      <c r="E4734" s="209"/>
      <c r="J4734" s="124"/>
    </row>
    <row r="4735" spans="3:10" x14ac:dyDescent="0.2">
      <c r="C4735" s="209"/>
      <c r="D4735" s="209"/>
      <c r="E4735" s="209"/>
      <c r="J4735" s="124"/>
    </row>
    <row r="4736" spans="3:10" x14ac:dyDescent="0.2">
      <c r="C4736" s="209"/>
      <c r="D4736" s="209"/>
      <c r="E4736" s="209"/>
      <c r="J4736" s="124"/>
    </row>
    <row r="4737" spans="3:10" x14ac:dyDescent="0.2">
      <c r="C4737" s="209"/>
      <c r="D4737" s="209"/>
      <c r="E4737" s="209"/>
      <c r="J4737" s="124"/>
    </row>
    <row r="4738" spans="3:10" x14ac:dyDescent="0.2">
      <c r="C4738" s="209"/>
      <c r="D4738" s="209"/>
      <c r="E4738" s="209"/>
      <c r="J4738" s="124"/>
    </row>
    <row r="4739" spans="3:10" x14ac:dyDescent="0.2">
      <c r="C4739" s="209"/>
      <c r="D4739" s="209"/>
      <c r="E4739" s="209"/>
      <c r="J4739" s="124"/>
    </row>
    <row r="4740" spans="3:10" x14ac:dyDescent="0.2">
      <c r="C4740" s="209"/>
      <c r="D4740" s="209"/>
      <c r="E4740" s="209"/>
      <c r="J4740" s="124"/>
    </row>
    <row r="4741" spans="3:10" x14ac:dyDescent="0.2">
      <c r="C4741" s="209"/>
      <c r="D4741" s="209"/>
      <c r="E4741" s="209"/>
      <c r="J4741" s="124"/>
    </row>
    <row r="4742" spans="3:10" x14ac:dyDescent="0.2">
      <c r="C4742" s="209"/>
      <c r="D4742" s="209"/>
      <c r="E4742" s="209"/>
      <c r="J4742" s="124"/>
    </row>
    <row r="4743" spans="3:10" x14ac:dyDescent="0.2">
      <c r="C4743" s="209"/>
      <c r="D4743" s="209"/>
      <c r="E4743" s="209"/>
      <c r="J4743" s="124"/>
    </row>
    <row r="4744" spans="3:10" x14ac:dyDescent="0.2">
      <c r="C4744" s="209"/>
      <c r="D4744" s="209"/>
      <c r="E4744" s="209"/>
      <c r="J4744" s="124"/>
    </row>
    <row r="4745" spans="3:10" x14ac:dyDescent="0.2">
      <c r="C4745" s="209"/>
      <c r="D4745" s="209"/>
      <c r="E4745" s="209"/>
      <c r="J4745" s="124"/>
    </row>
    <row r="4746" spans="3:10" x14ac:dyDescent="0.2">
      <c r="C4746" s="209"/>
      <c r="D4746" s="209"/>
      <c r="E4746" s="209"/>
      <c r="J4746" s="124"/>
    </row>
    <row r="4747" spans="3:10" x14ac:dyDescent="0.2">
      <c r="C4747" s="209"/>
      <c r="D4747" s="209"/>
      <c r="E4747" s="209"/>
      <c r="J4747" s="124"/>
    </row>
    <row r="4748" spans="3:10" x14ac:dyDescent="0.2">
      <c r="C4748" s="209"/>
      <c r="D4748" s="209"/>
      <c r="E4748" s="209"/>
      <c r="J4748" s="124"/>
    </row>
    <row r="4749" spans="3:10" x14ac:dyDescent="0.2">
      <c r="C4749" s="209"/>
      <c r="D4749" s="209"/>
      <c r="E4749" s="209"/>
      <c r="J4749" s="124"/>
    </row>
    <row r="4750" spans="3:10" x14ac:dyDescent="0.2">
      <c r="C4750" s="209"/>
      <c r="D4750" s="209"/>
      <c r="E4750" s="209"/>
      <c r="J4750" s="124"/>
    </row>
    <row r="4751" spans="3:10" x14ac:dyDescent="0.2">
      <c r="C4751" s="209"/>
      <c r="D4751" s="209"/>
      <c r="E4751" s="209"/>
      <c r="J4751" s="124"/>
    </row>
    <row r="4752" spans="3:10" x14ac:dyDescent="0.2">
      <c r="C4752" s="209"/>
      <c r="D4752" s="209"/>
      <c r="E4752" s="209"/>
      <c r="J4752" s="124"/>
    </row>
    <row r="4753" spans="3:10" x14ac:dyDescent="0.2">
      <c r="C4753" s="209"/>
      <c r="D4753" s="209"/>
      <c r="E4753" s="209"/>
      <c r="J4753" s="124"/>
    </row>
    <row r="4754" spans="3:10" x14ac:dyDescent="0.2">
      <c r="C4754" s="209"/>
      <c r="D4754" s="209"/>
      <c r="E4754" s="209"/>
      <c r="J4754" s="124"/>
    </row>
    <row r="4755" spans="3:10" x14ac:dyDescent="0.2">
      <c r="C4755" s="209"/>
      <c r="D4755" s="209"/>
      <c r="E4755" s="209"/>
      <c r="J4755" s="124"/>
    </row>
    <row r="4756" spans="3:10" x14ac:dyDescent="0.2">
      <c r="C4756" s="209"/>
      <c r="D4756" s="209"/>
      <c r="E4756" s="209"/>
      <c r="J4756" s="124"/>
    </row>
    <row r="4757" spans="3:10" x14ac:dyDescent="0.2">
      <c r="C4757" s="209"/>
      <c r="D4757" s="209"/>
      <c r="E4757" s="209"/>
      <c r="J4757" s="124"/>
    </row>
    <row r="4758" spans="3:10" x14ac:dyDescent="0.2">
      <c r="C4758" s="209"/>
      <c r="D4758" s="209"/>
      <c r="E4758" s="209"/>
      <c r="J4758" s="124"/>
    </row>
    <row r="4759" spans="3:10" x14ac:dyDescent="0.2">
      <c r="C4759" s="209"/>
      <c r="D4759" s="209"/>
      <c r="E4759" s="209"/>
      <c r="J4759" s="124"/>
    </row>
    <row r="4760" spans="3:10" x14ac:dyDescent="0.2">
      <c r="C4760" s="209"/>
      <c r="D4760" s="209"/>
      <c r="E4760" s="209"/>
      <c r="J4760" s="124"/>
    </row>
    <row r="4761" spans="3:10" x14ac:dyDescent="0.2">
      <c r="C4761" s="209"/>
      <c r="D4761" s="209"/>
      <c r="E4761" s="209"/>
      <c r="J4761" s="124"/>
    </row>
    <row r="4762" spans="3:10" x14ac:dyDescent="0.2">
      <c r="C4762" s="209"/>
      <c r="D4762" s="209"/>
      <c r="E4762" s="209"/>
      <c r="J4762" s="124"/>
    </row>
    <row r="4763" spans="3:10" x14ac:dyDescent="0.2">
      <c r="C4763" s="209"/>
      <c r="D4763" s="209"/>
      <c r="E4763" s="209"/>
      <c r="J4763" s="124"/>
    </row>
    <row r="4764" spans="3:10" x14ac:dyDescent="0.2">
      <c r="C4764" s="209"/>
      <c r="D4764" s="209"/>
      <c r="E4764" s="209"/>
      <c r="J4764" s="124"/>
    </row>
    <row r="4765" spans="3:10" x14ac:dyDescent="0.2">
      <c r="C4765" s="209"/>
      <c r="D4765" s="209"/>
      <c r="E4765" s="209"/>
      <c r="J4765" s="124"/>
    </row>
    <row r="4766" spans="3:10" x14ac:dyDescent="0.2">
      <c r="C4766" s="209"/>
      <c r="D4766" s="209"/>
      <c r="E4766" s="209"/>
      <c r="J4766" s="124"/>
    </row>
    <row r="4767" spans="3:10" x14ac:dyDescent="0.2">
      <c r="C4767" s="209"/>
      <c r="D4767" s="209"/>
      <c r="E4767" s="209"/>
      <c r="J4767" s="124"/>
    </row>
    <row r="4768" spans="3:10" x14ac:dyDescent="0.2">
      <c r="C4768" s="209"/>
      <c r="D4768" s="209"/>
      <c r="E4768" s="209"/>
      <c r="J4768" s="124"/>
    </row>
    <row r="4769" spans="3:10" x14ac:dyDescent="0.2">
      <c r="C4769" s="209"/>
      <c r="D4769" s="209"/>
      <c r="E4769" s="209"/>
      <c r="J4769" s="124"/>
    </row>
    <row r="4770" spans="3:10" x14ac:dyDescent="0.2">
      <c r="C4770" s="209"/>
      <c r="D4770" s="209"/>
      <c r="E4770" s="209"/>
      <c r="J4770" s="124"/>
    </row>
    <row r="4771" spans="3:10" x14ac:dyDescent="0.2">
      <c r="C4771" s="209"/>
      <c r="D4771" s="209"/>
      <c r="E4771" s="209"/>
      <c r="J4771" s="124"/>
    </row>
    <row r="4772" spans="3:10" x14ac:dyDescent="0.2">
      <c r="C4772" s="209"/>
      <c r="D4772" s="209"/>
      <c r="E4772" s="209"/>
      <c r="J4772" s="124"/>
    </row>
    <row r="4773" spans="3:10" x14ac:dyDescent="0.2">
      <c r="C4773" s="209"/>
      <c r="D4773" s="209"/>
      <c r="E4773" s="209"/>
      <c r="J4773" s="124"/>
    </row>
    <row r="4774" spans="3:10" x14ac:dyDescent="0.2">
      <c r="C4774" s="209"/>
      <c r="D4774" s="209"/>
      <c r="E4774" s="209"/>
      <c r="J4774" s="124"/>
    </row>
    <row r="4775" spans="3:10" x14ac:dyDescent="0.2">
      <c r="C4775" s="209"/>
      <c r="D4775" s="209"/>
      <c r="E4775" s="209"/>
      <c r="J4775" s="124"/>
    </row>
    <row r="4776" spans="3:10" x14ac:dyDescent="0.2">
      <c r="C4776" s="209"/>
      <c r="D4776" s="209"/>
      <c r="E4776" s="209"/>
      <c r="J4776" s="124"/>
    </row>
    <row r="4777" spans="3:10" x14ac:dyDescent="0.2">
      <c r="C4777" s="209"/>
      <c r="D4777" s="209"/>
      <c r="E4777" s="209"/>
      <c r="J4777" s="124"/>
    </row>
    <row r="4778" spans="3:10" x14ac:dyDescent="0.2">
      <c r="C4778" s="209"/>
      <c r="D4778" s="209"/>
      <c r="E4778" s="209"/>
      <c r="J4778" s="124"/>
    </row>
    <row r="4779" spans="3:10" x14ac:dyDescent="0.2">
      <c r="C4779" s="209"/>
      <c r="D4779" s="209"/>
      <c r="E4779" s="209"/>
      <c r="J4779" s="124"/>
    </row>
    <row r="4780" spans="3:10" x14ac:dyDescent="0.2">
      <c r="C4780" s="209"/>
      <c r="D4780" s="209"/>
      <c r="E4780" s="209"/>
      <c r="J4780" s="124"/>
    </row>
    <row r="4781" spans="3:10" x14ac:dyDescent="0.2">
      <c r="C4781" s="209"/>
      <c r="D4781" s="209"/>
      <c r="E4781" s="209"/>
      <c r="J4781" s="124"/>
    </row>
    <row r="4782" spans="3:10" x14ac:dyDescent="0.2">
      <c r="C4782" s="209"/>
      <c r="D4782" s="209"/>
      <c r="E4782" s="209"/>
      <c r="J4782" s="124"/>
    </row>
    <row r="4783" spans="3:10" x14ac:dyDescent="0.2">
      <c r="C4783" s="209"/>
      <c r="D4783" s="209"/>
      <c r="E4783" s="209"/>
      <c r="J4783" s="124"/>
    </row>
    <row r="4784" spans="3:10" x14ac:dyDescent="0.2">
      <c r="C4784" s="209"/>
      <c r="D4784" s="209"/>
      <c r="E4784" s="209"/>
      <c r="J4784" s="124"/>
    </row>
    <row r="4785" spans="3:10" x14ac:dyDescent="0.2">
      <c r="C4785" s="209"/>
      <c r="D4785" s="209"/>
      <c r="E4785" s="209"/>
      <c r="J4785" s="124"/>
    </row>
    <row r="4786" spans="3:10" x14ac:dyDescent="0.2">
      <c r="C4786" s="209"/>
      <c r="D4786" s="209"/>
      <c r="E4786" s="209"/>
      <c r="J4786" s="124"/>
    </row>
    <row r="4787" spans="3:10" x14ac:dyDescent="0.2">
      <c r="C4787" s="209"/>
      <c r="D4787" s="209"/>
      <c r="E4787" s="209"/>
      <c r="J4787" s="124"/>
    </row>
    <row r="4788" spans="3:10" x14ac:dyDescent="0.2">
      <c r="C4788" s="209"/>
      <c r="D4788" s="209"/>
      <c r="E4788" s="209"/>
      <c r="J4788" s="124"/>
    </row>
    <row r="4789" spans="3:10" x14ac:dyDescent="0.2">
      <c r="C4789" s="209"/>
      <c r="D4789" s="209"/>
      <c r="E4789" s="209"/>
      <c r="J4789" s="124"/>
    </row>
    <row r="4790" spans="3:10" x14ac:dyDescent="0.2">
      <c r="C4790" s="209"/>
      <c r="D4790" s="209"/>
      <c r="E4790" s="209"/>
      <c r="J4790" s="124"/>
    </row>
    <row r="4791" spans="3:10" x14ac:dyDescent="0.2">
      <c r="C4791" s="209"/>
      <c r="D4791" s="209"/>
      <c r="E4791" s="209"/>
      <c r="J4791" s="124"/>
    </row>
    <row r="4792" spans="3:10" x14ac:dyDescent="0.2">
      <c r="C4792" s="209"/>
      <c r="D4792" s="209"/>
      <c r="E4792" s="209"/>
      <c r="J4792" s="124"/>
    </row>
    <row r="4793" spans="3:10" x14ac:dyDescent="0.2">
      <c r="C4793" s="209"/>
      <c r="D4793" s="209"/>
      <c r="E4793" s="209"/>
      <c r="J4793" s="124"/>
    </row>
    <row r="4794" spans="3:10" x14ac:dyDescent="0.2">
      <c r="C4794" s="209"/>
      <c r="D4794" s="209"/>
      <c r="E4794" s="209"/>
      <c r="J4794" s="124"/>
    </row>
    <row r="4795" spans="3:10" x14ac:dyDescent="0.2">
      <c r="C4795" s="209"/>
      <c r="D4795" s="209"/>
      <c r="E4795" s="209"/>
      <c r="J4795" s="124"/>
    </row>
    <row r="4796" spans="3:10" x14ac:dyDescent="0.2">
      <c r="C4796" s="209"/>
      <c r="D4796" s="209"/>
      <c r="E4796" s="209"/>
      <c r="J4796" s="124"/>
    </row>
    <row r="4797" spans="3:10" x14ac:dyDescent="0.2">
      <c r="C4797" s="209"/>
      <c r="D4797" s="209"/>
      <c r="E4797" s="209"/>
      <c r="J4797" s="124"/>
    </row>
    <row r="4798" spans="3:10" x14ac:dyDescent="0.2">
      <c r="C4798" s="209"/>
      <c r="D4798" s="209"/>
      <c r="E4798" s="209"/>
      <c r="J4798" s="124"/>
    </row>
    <row r="4799" spans="3:10" x14ac:dyDescent="0.2">
      <c r="C4799" s="209"/>
      <c r="D4799" s="209"/>
      <c r="E4799" s="209"/>
      <c r="J4799" s="124"/>
    </row>
    <row r="4800" spans="3:10" x14ac:dyDescent="0.2">
      <c r="C4800" s="209"/>
      <c r="D4800" s="209"/>
      <c r="E4800" s="209"/>
      <c r="J4800" s="124"/>
    </row>
    <row r="4801" spans="3:10" x14ac:dyDescent="0.2">
      <c r="C4801" s="209"/>
      <c r="D4801" s="209"/>
      <c r="E4801" s="209"/>
      <c r="J4801" s="124"/>
    </row>
    <row r="4802" spans="3:10" x14ac:dyDescent="0.2">
      <c r="C4802" s="209"/>
      <c r="D4802" s="209"/>
      <c r="E4802" s="209"/>
      <c r="J4802" s="124"/>
    </row>
    <row r="4803" spans="3:10" x14ac:dyDescent="0.2">
      <c r="C4803" s="209"/>
      <c r="D4803" s="209"/>
      <c r="E4803" s="209"/>
      <c r="J4803" s="124"/>
    </row>
    <row r="4804" spans="3:10" x14ac:dyDescent="0.2">
      <c r="C4804" s="209"/>
      <c r="D4804" s="209"/>
      <c r="E4804" s="209"/>
      <c r="J4804" s="124"/>
    </row>
    <row r="4805" spans="3:10" x14ac:dyDescent="0.2">
      <c r="C4805" s="209"/>
      <c r="D4805" s="209"/>
      <c r="E4805" s="209"/>
      <c r="J4805" s="124"/>
    </row>
    <row r="4806" spans="3:10" x14ac:dyDescent="0.2">
      <c r="C4806" s="209"/>
      <c r="D4806" s="209"/>
      <c r="E4806" s="209"/>
      <c r="J4806" s="124"/>
    </row>
    <row r="4807" spans="3:10" x14ac:dyDescent="0.2">
      <c r="C4807" s="209"/>
      <c r="D4807" s="209"/>
      <c r="E4807" s="209"/>
      <c r="J4807" s="124"/>
    </row>
    <row r="4808" spans="3:10" x14ac:dyDescent="0.2">
      <c r="C4808" s="209"/>
      <c r="D4808" s="209"/>
      <c r="E4808" s="209"/>
      <c r="J4808" s="124"/>
    </row>
    <row r="4809" spans="3:10" x14ac:dyDescent="0.2">
      <c r="C4809" s="209"/>
      <c r="D4809" s="209"/>
      <c r="E4809" s="209"/>
      <c r="J4809" s="124"/>
    </row>
    <row r="4810" spans="3:10" x14ac:dyDescent="0.2">
      <c r="C4810" s="209"/>
      <c r="D4810" s="209"/>
      <c r="E4810" s="209"/>
      <c r="J4810" s="124"/>
    </row>
    <row r="4811" spans="3:10" x14ac:dyDescent="0.2">
      <c r="C4811" s="209"/>
      <c r="D4811" s="209"/>
      <c r="E4811" s="209"/>
      <c r="J4811" s="124"/>
    </row>
    <row r="4812" spans="3:10" x14ac:dyDescent="0.2">
      <c r="C4812" s="209"/>
      <c r="D4812" s="209"/>
      <c r="E4812" s="209"/>
      <c r="J4812" s="124"/>
    </row>
    <row r="4813" spans="3:10" x14ac:dyDescent="0.2">
      <c r="C4813" s="209"/>
      <c r="D4813" s="209"/>
      <c r="E4813" s="209"/>
      <c r="J4813" s="124"/>
    </row>
    <row r="4814" spans="3:10" x14ac:dyDescent="0.2">
      <c r="C4814" s="209"/>
      <c r="D4814" s="209"/>
      <c r="E4814" s="209"/>
      <c r="J4814" s="124"/>
    </row>
    <row r="4815" spans="3:10" x14ac:dyDescent="0.2">
      <c r="C4815" s="209"/>
      <c r="D4815" s="209"/>
      <c r="E4815" s="209"/>
      <c r="J4815" s="124"/>
    </row>
    <row r="4816" spans="3:10" x14ac:dyDescent="0.2">
      <c r="C4816" s="209"/>
      <c r="D4816" s="209"/>
      <c r="E4816" s="209"/>
      <c r="J4816" s="124"/>
    </row>
    <row r="4817" spans="3:10" x14ac:dyDescent="0.2">
      <c r="C4817" s="209"/>
      <c r="D4817" s="209"/>
      <c r="E4817" s="209"/>
      <c r="J4817" s="124"/>
    </row>
    <row r="4818" spans="3:10" x14ac:dyDescent="0.2">
      <c r="C4818" s="209"/>
      <c r="D4818" s="209"/>
      <c r="E4818" s="209"/>
      <c r="J4818" s="124"/>
    </row>
    <row r="4819" spans="3:10" x14ac:dyDescent="0.2">
      <c r="C4819" s="209"/>
      <c r="D4819" s="209"/>
      <c r="E4819" s="209"/>
      <c r="J4819" s="124"/>
    </row>
    <row r="4820" spans="3:10" x14ac:dyDescent="0.2">
      <c r="C4820" s="209"/>
      <c r="D4820" s="209"/>
      <c r="E4820" s="209"/>
      <c r="J4820" s="124"/>
    </row>
    <row r="4821" spans="3:10" x14ac:dyDescent="0.2">
      <c r="C4821" s="209"/>
      <c r="D4821" s="209"/>
      <c r="E4821" s="209"/>
      <c r="J4821" s="124"/>
    </row>
    <row r="4822" spans="3:10" x14ac:dyDescent="0.2">
      <c r="C4822" s="209"/>
      <c r="D4822" s="209"/>
      <c r="E4822" s="209"/>
      <c r="J4822" s="124"/>
    </row>
    <row r="4823" spans="3:10" x14ac:dyDescent="0.2">
      <c r="C4823" s="209"/>
      <c r="D4823" s="209"/>
      <c r="E4823" s="209"/>
      <c r="J4823" s="124"/>
    </row>
    <row r="4824" spans="3:10" x14ac:dyDescent="0.2">
      <c r="C4824" s="209"/>
      <c r="D4824" s="209"/>
      <c r="E4824" s="209"/>
      <c r="J4824" s="124"/>
    </row>
    <row r="4825" spans="3:10" x14ac:dyDescent="0.2">
      <c r="C4825" s="209"/>
      <c r="D4825" s="209"/>
      <c r="E4825" s="209"/>
      <c r="J4825" s="124"/>
    </row>
    <row r="4826" spans="3:10" x14ac:dyDescent="0.2">
      <c r="C4826" s="209"/>
      <c r="D4826" s="209"/>
      <c r="E4826" s="209"/>
      <c r="J4826" s="124"/>
    </row>
    <row r="4827" spans="3:10" x14ac:dyDescent="0.2">
      <c r="C4827" s="209"/>
      <c r="D4827" s="209"/>
      <c r="E4827" s="209"/>
      <c r="J4827" s="124"/>
    </row>
    <row r="4828" spans="3:10" x14ac:dyDescent="0.2">
      <c r="C4828" s="209"/>
      <c r="D4828" s="209"/>
      <c r="E4828" s="209"/>
      <c r="J4828" s="124"/>
    </row>
    <row r="4829" spans="3:10" x14ac:dyDescent="0.2">
      <c r="C4829" s="209"/>
      <c r="D4829" s="209"/>
      <c r="E4829" s="209"/>
      <c r="J4829" s="124"/>
    </row>
    <row r="4830" spans="3:10" x14ac:dyDescent="0.2">
      <c r="C4830" s="209"/>
      <c r="D4830" s="209"/>
      <c r="E4830" s="209"/>
      <c r="J4830" s="124"/>
    </row>
    <row r="4831" spans="3:10" x14ac:dyDescent="0.2">
      <c r="C4831" s="209"/>
      <c r="D4831" s="209"/>
      <c r="E4831" s="209"/>
      <c r="J4831" s="124"/>
    </row>
    <row r="4832" spans="3:10" x14ac:dyDescent="0.2">
      <c r="C4832" s="209"/>
      <c r="D4832" s="209"/>
      <c r="E4832" s="209"/>
      <c r="J4832" s="124"/>
    </row>
    <row r="4833" spans="3:10" x14ac:dyDescent="0.2">
      <c r="C4833" s="209"/>
      <c r="D4833" s="209"/>
      <c r="E4833" s="209"/>
      <c r="J4833" s="124"/>
    </row>
    <row r="4834" spans="3:10" x14ac:dyDescent="0.2">
      <c r="C4834" s="209"/>
      <c r="D4834" s="209"/>
      <c r="E4834" s="209"/>
      <c r="J4834" s="124"/>
    </row>
    <row r="4835" spans="3:10" x14ac:dyDescent="0.2">
      <c r="C4835" s="209"/>
      <c r="D4835" s="209"/>
      <c r="E4835" s="209"/>
      <c r="J4835" s="124"/>
    </row>
    <row r="4836" spans="3:10" x14ac:dyDescent="0.2">
      <c r="C4836" s="209"/>
      <c r="D4836" s="209"/>
      <c r="E4836" s="209"/>
      <c r="J4836" s="124"/>
    </row>
    <row r="4837" spans="3:10" x14ac:dyDescent="0.2">
      <c r="C4837" s="209"/>
      <c r="D4837" s="209"/>
      <c r="E4837" s="209"/>
      <c r="J4837" s="124"/>
    </row>
    <row r="4838" spans="3:10" x14ac:dyDescent="0.2">
      <c r="C4838" s="209"/>
      <c r="D4838" s="209"/>
      <c r="E4838" s="209"/>
      <c r="J4838" s="124"/>
    </row>
    <row r="4839" spans="3:10" x14ac:dyDescent="0.2">
      <c r="C4839" s="209"/>
      <c r="D4839" s="209"/>
      <c r="E4839" s="209"/>
      <c r="J4839" s="124"/>
    </row>
    <row r="4840" spans="3:10" x14ac:dyDescent="0.2">
      <c r="C4840" s="209"/>
      <c r="D4840" s="209"/>
      <c r="E4840" s="209"/>
      <c r="J4840" s="124"/>
    </row>
    <row r="4841" spans="3:10" x14ac:dyDescent="0.2">
      <c r="C4841" s="209"/>
      <c r="D4841" s="209"/>
      <c r="E4841" s="209"/>
      <c r="J4841" s="124"/>
    </row>
    <row r="4842" spans="3:10" x14ac:dyDescent="0.2">
      <c r="C4842" s="209"/>
      <c r="D4842" s="209"/>
      <c r="E4842" s="209"/>
      <c r="J4842" s="124"/>
    </row>
    <row r="4843" spans="3:10" x14ac:dyDescent="0.2">
      <c r="C4843" s="209"/>
      <c r="D4843" s="209"/>
      <c r="E4843" s="209"/>
      <c r="J4843" s="124"/>
    </row>
    <row r="4844" spans="3:10" x14ac:dyDescent="0.2">
      <c r="C4844" s="209"/>
      <c r="D4844" s="209"/>
      <c r="E4844" s="209"/>
      <c r="J4844" s="124"/>
    </row>
    <row r="4845" spans="3:10" x14ac:dyDescent="0.2">
      <c r="C4845" s="209"/>
      <c r="D4845" s="209"/>
      <c r="E4845" s="209"/>
      <c r="J4845" s="124"/>
    </row>
    <row r="4846" spans="3:10" x14ac:dyDescent="0.2">
      <c r="C4846" s="209"/>
      <c r="D4846" s="209"/>
      <c r="E4846" s="209"/>
      <c r="J4846" s="124"/>
    </row>
    <row r="4847" spans="3:10" x14ac:dyDescent="0.2">
      <c r="C4847" s="209"/>
      <c r="D4847" s="209"/>
      <c r="E4847" s="209"/>
      <c r="J4847" s="124"/>
    </row>
    <row r="4848" spans="3:10" x14ac:dyDescent="0.2">
      <c r="C4848" s="209"/>
      <c r="D4848" s="209"/>
      <c r="E4848" s="209"/>
      <c r="J4848" s="124"/>
    </row>
    <row r="4849" spans="3:10" x14ac:dyDescent="0.2">
      <c r="C4849" s="209"/>
      <c r="D4849" s="209"/>
      <c r="E4849" s="209"/>
      <c r="J4849" s="124"/>
    </row>
    <row r="4850" spans="3:10" x14ac:dyDescent="0.2">
      <c r="C4850" s="209"/>
      <c r="D4850" s="209"/>
      <c r="E4850" s="209"/>
      <c r="J4850" s="124"/>
    </row>
    <row r="4851" spans="3:10" x14ac:dyDescent="0.2">
      <c r="C4851" s="209"/>
      <c r="D4851" s="209"/>
      <c r="E4851" s="209"/>
      <c r="J4851" s="124"/>
    </row>
    <row r="4852" spans="3:10" x14ac:dyDescent="0.2">
      <c r="C4852" s="209"/>
      <c r="D4852" s="209"/>
      <c r="E4852" s="209"/>
      <c r="J4852" s="124"/>
    </row>
    <row r="4853" spans="3:10" x14ac:dyDescent="0.2">
      <c r="C4853" s="209"/>
      <c r="D4853" s="209"/>
      <c r="E4853" s="209"/>
      <c r="J4853" s="124"/>
    </row>
    <row r="4854" spans="3:10" x14ac:dyDescent="0.2">
      <c r="C4854" s="209"/>
      <c r="D4854" s="209"/>
      <c r="E4854" s="209"/>
      <c r="J4854" s="124"/>
    </row>
    <row r="4855" spans="3:10" x14ac:dyDescent="0.2">
      <c r="C4855" s="209"/>
      <c r="D4855" s="209"/>
      <c r="E4855" s="209"/>
      <c r="J4855" s="124"/>
    </row>
    <row r="4856" spans="3:10" x14ac:dyDescent="0.2">
      <c r="C4856" s="209"/>
      <c r="D4856" s="209"/>
      <c r="E4856" s="209"/>
      <c r="J4856" s="124"/>
    </row>
    <row r="4857" spans="3:10" x14ac:dyDescent="0.2">
      <c r="C4857" s="209"/>
      <c r="D4857" s="209"/>
      <c r="E4857" s="209"/>
      <c r="J4857" s="124"/>
    </row>
    <row r="4858" spans="3:10" x14ac:dyDescent="0.2">
      <c r="C4858" s="209"/>
      <c r="D4858" s="209"/>
      <c r="E4858" s="209"/>
      <c r="J4858" s="124"/>
    </row>
    <row r="4859" spans="3:10" x14ac:dyDescent="0.2">
      <c r="C4859" s="209"/>
      <c r="D4859" s="209"/>
      <c r="E4859" s="209"/>
      <c r="J4859" s="124"/>
    </row>
    <row r="4860" spans="3:10" x14ac:dyDescent="0.2">
      <c r="C4860" s="209"/>
      <c r="D4860" s="209"/>
      <c r="E4860" s="209"/>
      <c r="J4860" s="124"/>
    </row>
    <row r="4861" spans="3:10" x14ac:dyDescent="0.2">
      <c r="C4861" s="209"/>
      <c r="D4861" s="209"/>
      <c r="E4861" s="209"/>
      <c r="J4861" s="124"/>
    </row>
    <row r="4862" spans="3:10" x14ac:dyDescent="0.2">
      <c r="C4862" s="209"/>
      <c r="D4862" s="209"/>
      <c r="E4862" s="209"/>
      <c r="J4862" s="124"/>
    </row>
    <row r="4863" spans="3:10" x14ac:dyDescent="0.2">
      <c r="C4863" s="209"/>
      <c r="D4863" s="209"/>
      <c r="E4863" s="209"/>
      <c r="J4863" s="124"/>
    </row>
    <row r="4864" spans="3:10" x14ac:dyDescent="0.2">
      <c r="C4864" s="209"/>
      <c r="D4864" s="209"/>
      <c r="E4864" s="209"/>
      <c r="J4864" s="124"/>
    </row>
    <row r="4865" spans="3:10" x14ac:dyDescent="0.2">
      <c r="C4865" s="209"/>
      <c r="D4865" s="209"/>
      <c r="E4865" s="209"/>
      <c r="J4865" s="124"/>
    </row>
    <row r="4866" spans="3:10" x14ac:dyDescent="0.2">
      <c r="C4866" s="209"/>
      <c r="D4866" s="209"/>
      <c r="E4866" s="209"/>
      <c r="J4866" s="124"/>
    </row>
    <row r="4867" spans="3:10" x14ac:dyDescent="0.2">
      <c r="C4867" s="209"/>
      <c r="D4867" s="209"/>
      <c r="E4867" s="209"/>
      <c r="J4867" s="124"/>
    </row>
    <row r="4868" spans="3:10" x14ac:dyDescent="0.2">
      <c r="C4868" s="209"/>
      <c r="D4868" s="209"/>
      <c r="E4868" s="209"/>
      <c r="J4868" s="124"/>
    </row>
    <row r="4869" spans="3:10" x14ac:dyDescent="0.2">
      <c r="C4869" s="209"/>
      <c r="D4869" s="209"/>
      <c r="E4869" s="209"/>
      <c r="J4869" s="124"/>
    </row>
    <row r="4870" spans="3:10" x14ac:dyDescent="0.2">
      <c r="C4870" s="209"/>
      <c r="D4870" s="209"/>
      <c r="E4870" s="209"/>
      <c r="J4870" s="124"/>
    </row>
    <row r="4871" spans="3:10" x14ac:dyDescent="0.2">
      <c r="C4871" s="209"/>
      <c r="D4871" s="209"/>
      <c r="E4871" s="209"/>
      <c r="J4871" s="124"/>
    </row>
    <row r="4872" spans="3:10" x14ac:dyDescent="0.2">
      <c r="C4872" s="209"/>
      <c r="D4872" s="209"/>
      <c r="E4872" s="209"/>
      <c r="J4872" s="124"/>
    </row>
    <row r="4873" spans="3:10" x14ac:dyDescent="0.2">
      <c r="C4873" s="209"/>
      <c r="D4873" s="209"/>
      <c r="E4873" s="209"/>
      <c r="J4873" s="124"/>
    </row>
    <row r="4874" spans="3:10" x14ac:dyDescent="0.2">
      <c r="C4874" s="209"/>
      <c r="D4874" s="209"/>
      <c r="E4874" s="209"/>
      <c r="J4874" s="124"/>
    </row>
    <row r="4875" spans="3:10" x14ac:dyDescent="0.2">
      <c r="C4875" s="209"/>
      <c r="D4875" s="209"/>
      <c r="E4875" s="209"/>
      <c r="J4875" s="124"/>
    </row>
    <row r="4876" spans="3:10" x14ac:dyDescent="0.2">
      <c r="C4876" s="209"/>
      <c r="D4876" s="209"/>
      <c r="E4876" s="209"/>
      <c r="J4876" s="124"/>
    </row>
    <row r="4877" spans="3:10" x14ac:dyDescent="0.2">
      <c r="C4877" s="209"/>
      <c r="D4877" s="209"/>
      <c r="E4877" s="209"/>
      <c r="J4877" s="124"/>
    </row>
    <row r="4878" spans="3:10" x14ac:dyDescent="0.2">
      <c r="C4878" s="209"/>
      <c r="D4878" s="209"/>
      <c r="E4878" s="209"/>
      <c r="J4878" s="124"/>
    </row>
    <row r="4879" spans="3:10" x14ac:dyDescent="0.2">
      <c r="C4879" s="209"/>
      <c r="D4879" s="209"/>
      <c r="E4879" s="209"/>
      <c r="J4879" s="124"/>
    </row>
    <row r="4880" spans="3:10" x14ac:dyDescent="0.2">
      <c r="C4880" s="209"/>
      <c r="D4880" s="209"/>
      <c r="E4880" s="209"/>
      <c r="J4880" s="124"/>
    </row>
    <row r="4881" spans="3:10" x14ac:dyDescent="0.2">
      <c r="C4881" s="209"/>
      <c r="D4881" s="209"/>
      <c r="E4881" s="209"/>
      <c r="J4881" s="124"/>
    </row>
    <row r="4882" spans="3:10" x14ac:dyDescent="0.2">
      <c r="C4882" s="209"/>
      <c r="D4882" s="209"/>
      <c r="E4882" s="209"/>
      <c r="J4882" s="124"/>
    </row>
    <row r="4883" spans="3:10" x14ac:dyDescent="0.2">
      <c r="C4883" s="209"/>
      <c r="D4883" s="209"/>
      <c r="E4883" s="209"/>
      <c r="J4883" s="124"/>
    </row>
    <row r="4884" spans="3:10" x14ac:dyDescent="0.2">
      <c r="C4884" s="209"/>
      <c r="D4884" s="209"/>
      <c r="E4884" s="209"/>
      <c r="J4884" s="124"/>
    </row>
    <row r="4885" spans="3:10" x14ac:dyDescent="0.2">
      <c r="C4885" s="209"/>
      <c r="D4885" s="209"/>
      <c r="E4885" s="209"/>
      <c r="J4885" s="124"/>
    </row>
    <row r="4886" spans="3:10" x14ac:dyDescent="0.2">
      <c r="C4886" s="209"/>
      <c r="D4886" s="209"/>
      <c r="E4886" s="209"/>
      <c r="J4886" s="124"/>
    </row>
    <row r="4887" spans="3:10" x14ac:dyDescent="0.2">
      <c r="C4887" s="209"/>
      <c r="D4887" s="209"/>
      <c r="E4887" s="209"/>
      <c r="J4887" s="124"/>
    </row>
    <row r="4888" spans="3:10" x14ac:dyDescent="0.2">
      <c r="C4888" s="209"/>
      <c r="D4888" s="209"/>
      <c r="E4888" s="209"/>
      <c r="J4888" s="124"/>
    </row>
    <row r="4889" spans="3:10" x14ac:dyDescent="0.2">
      <c r="C4889" s="209"/>
      <c r="D4889" s="209"/>
      <c r="E4889" s="209"/>
      <c r="J4889" s="124"/>
    </row>
    <row r="4890" spans="3:10" x14ac:dyDescent="0.2">
      <c r="C4890" s="209"/>
      <c r="D4890" s="209"/>
      <c r="E4890" s="209"/>
      <c r="J4890" s="124"/>
    </row>
    <row r="4891" spans="3:10" x14ac:dyDescent="0.2">
      <c r="C4891" s="209"/>
      <c r="D4891" s="209"/>
      <c r="E4891" s="209"/>
      <c r="J4891" s="124"/>
    </row>
    <row r="4892" spans="3:10" x14ac:dyDescent="0.2">
      <c r="C4892" s="209"/>
      <c r="D4892" s="209"/>
      <c r="E4892" s="209"/>
      <c r="J4892" s="124"/>
    </row>
    <row r="4893" spans="3:10" x14ac:dyDescent="0.2">
      <c r="C4893" s="209"/>
      <c r="D4893" s="209"/>
      <c r="E4893" s="209"/>
      <c r="J4893" s="124"/>
    </row>
    <row r="4894" spans="3:10" x14ac:dyDescent="0.2">
      <c r="C4894" s="209"/>
      <c r="D4894" s="209"/>
      <c r="E4894" s="209"/>
      <c r="J4894" s="124"/>
    </row>
    <row r="4895" spans="3:10" x14ac:dyDescent="0.2">
      <c r="C4895" s="209"/>
      <c r="D4895" s="209"/>
      <c r="E4895" s="209"/>
      <c r="J4895" s="124"/>
    </row>
    <row r="4896" spans="3:10" x14ac:dyDescent="0.2">
      <c r="C4896" s="209"/>
      <c r="D4896" s="209"/>
      <c r="E4896" s="209"/>
      <c r="J4896" s="124"/>
    </row>
    <row r="4897" spans="3:10" x14ac:dyDescent="0.2">
      <c r="C4897" s="209"/>
      <c r="D4897" s="209"/>
      <c r="E4897" s="209"/>
      <c r="J4897" s="124"/>
    </row>
    <row r="4898" spans="3:10" x14ac:dyDescent="0.2">
      <c r="C4898" s="209"/>
      <c r="D4898" s="209"/>
      <c r="E4898" s="209"/>
      <c r="J4898" s="124"/>
    </row>
    <row r="4899" spans="3:10" x14ac:dyDescent="0.2">
      <c r="C4899" s="209"/>
      <c r="D4899" s="209"/>
      <c r="E4899" s="209"/>
      <c r="J4899" s="124"/>
    </row>
    <row r="4900" spans="3:10" x14ac:dyDescent="0.2">
      <c r="C4900" s="209"/>
      <c r="D4900" s="209"/>
      <c r="E4900" s="209"/>
      <c r="J4900" s="124"/>
    </row>
    <row r="4901" spans="3:10" x14ac:dyDescent="0.2">
      <c r="C4901" s="209"/>
      <c r="D4901" s="209"/>
      <c r="E4901" s="209"/>
      <c r="J4901" s="124"/>
    </row>
    <row r="4902" spans="3:10" x14ac:dyDescent="0.2">
      <c r="C4902" s="209"/>
      <c r="D4902" s="209"/>
      <c r="E4902" s="209"/>
      <c r="J4902" s="124"/>
    </row>
    <row r="4903" spans="3:10" x14ac:dyDescent="0.2">
      <c r="C4903" s="209"/>
      <c r="D4903" s="209"/>
      <c r="E4903" s="209"/>
      <c r="J4903" s="124"/>
    </row>
    <row r="4904" spans="3:10" x14ac:dyDescent="0.2">
      <c r="C4904" s="209"/>
      <c r="D4904" s="209"/>
      <c r="E4904" s="209"/>
      <c r="J4904" s="124"/>
    </row>
    <row r="4905" spans="3:10" x14ac:dyDescent="0.2">
      <c r="C4905" s="209"/>
      <c r="D4905" s="209"/>
      <c r="E4905" s="209"/>
      <c r="J4905" s="124"/>
    </row>
    <row r="4906" spans="3:10" x14ac:dyDescent="0.2">
      <c r="C4906" s="209"/>
      <c r="D4906" s="209"/>
      <c r="E4906" s="209"/>
      <c r="J4906" s="124"/>
    </row>
    <row r="4907" spans="3:10" x14ac:dyDescent="0.2">
      <c r="C4907" s="209"/>
      <c r="D4907" s="209"/>
      <c r="E4907" s="209"/>
      <c r="J4907" s="124"/>
    </row>
    <row r="4908" spans="3:10" x14ac:dyDescent="0.2">
      <c r="C4908" s="209"/>
      <c r="D4908" s="209"/>
      <c r="E4908" s="209"/>
      <c r="J4908" s="124"/>
    </row>
    <row r="4909" spans="3:10" x14ac:dyDescent="0.2">
      <c r="C4909" s="209"/>
      <c r="D4909" s="209"/>
      <c r="E4909" s="209"/>
      <c r="J4909" s="124"/>
    </row>
    <row r="4910" spans="3:10" x14ac:dyDescent="0.2">
      <c r="C4910" s="209"/>
      <c r="D4910" s="209"/>
      <c r="E4910" s="209"/>
      <c r="J4910" s="124"/>
    </row>
    <row r="4911" spans="3:10" x14ac:dyDescent="0.2">
      <c r="C4911" s="209"/>
      <c r="D4911" s="209"/>
      <c r="E4911" s="209"/>
      <c r="J4911" s="124"/>
    </row>
    <row r="4912" spans="3:10" x14ac:dyDescent="0.2">
      <c r="C4912" s="209"/>
      <c r="D4912" s="209"/>
      <c r="E4912" s="209"/>
      <c r="J4912" s="124"/>
    </row>
    <row r="4913" spans="3:10" x14ac:dyDescent="0.2">
      <c r="C4913" s="209"/>
      <c r="D4913" s="209"/>
      <c r="E4913" s="209"/>
      <c r="J4913" s="124"/>
    </row>
    <row r="4914" spans="3:10" x14ac:dyDescent="0.2">
      <c r="C4914" s="209"/>
      <c r="D4914" s="209"/>
      <c r="E4914" s="209"/>
      <c r="J4914" s="124"/>
    </row>
    <row r="4915" spans="3:10" x14ac:dyDescent="0.2">
      <c r="C4915" s="209"/>
      <c r="D4915" s="209"/>
      <c r="E4915" s="209"/>
      <c r="J4915" s="124"/>
    </row>
    <row r="4916" spans="3:10" x14ac:dyDescent="0.2">
      <c r="C4916" s="209"/>
      <c r="D4916" s="209"/>
      <c r="E4916" s="209"/>
      <c r="J4916" s="124"/>
    </row>
    <row r="4917" spans="3:10" x14ac:dyDescent="0.2">
      <c r="C4917" s="209"/>
      <c r="D4917" s="209"/>
      <c r="E4917" s="209"/>
      <c r="J4917" s="124"/>
    </row>
    <row r="4918" spans="3:10" x14ac:dyDescent="0.2">
      <c r="C4918" s="209"/>
      <c r="D4918" s="209"/>
      <c r="E4918" s="209"/>
      <c r="J4918" s="124"/>
    </row>
    <row r="4919" spans="3:10" x14ac:dyDescent="0.2">
      <c r="C4919" s="209"/>
      <c r="D4919" s="209"/>
      <c r="E4919" s="209"/>
      <c r="J4919" s="124"/>
    </row>
    <row r="4920" spans="3:10" x14ac:dyDescent="0.2">
      <c r="C4920" s="209"/>
      <c r="D4920" s="209"/>
      <c r="E4920" s="209"/>
      <c r="J4920" s="124"/>
    </row>
    <row r="4921" spans="3:10" x14ac:dyDescent="0.2">
      <c r="C4921" s="209"/>
      <c r="D4921" s="209"/>
      <c r="E4921" s="209"/>
      <c r="J4921" s="124"/>
    </row>
    <row r="4922" spans="3:10" x14ac:dyDescent="0.2">
      <c r="C4922" s="209"/>
      <c r="D4922" s="209"/>
      <c r="E4922" s="209"/>
      <c r="J4922" s="124"/>
    </row>
    <row r="4923" spans="3:10" x14ac:dyDescent="0.2">
      <c r="C4923" s="209"/>
      <c r="D4923" s="209"/>
      <c r="E4923" s="209"/>
      <c r="J4923" s="124"/>
    </row>
    <row r="4924" spans="3:10" x14ac:dyDescent="0.2">
      <c r="C4924" s="209"/>
      <c r="D4924" s="209"/>
      <c r="E4924" s="209"/>
      <c r="J4924" s="124"/>
    </row>
    <row r="4925" spans="3:10" x14ac:dyDescent="0.2">
      <c r="C4925" s="209"/>
      <c r="D4925" s="209"/>
      <c r="E4925" s="209"/>
      <c r="J4925" s="124"/>
    </row>
    <row r="4926" spans="3:10" x14ac:dyDescent="0.2">
      <c r="C4926" s="209"/>
      <c r="D4926" s="209"/>
      <c r="E4926" s="209"/>
      <c r="J4926" s="124"/>
    </row>
    <row r="4927" spans="3:10" x14ac:dyDescent="0.2">
      <c r="C4927" s="209"/>
      <c r="D4927" s="209"/>
      <c r="E4927" s="209"/>
      <c r="J4927" s="124"/>
    </row>
    <row r="4928" spans="3:10" x14ac:dyDescent="0.2">
      <c r="C4928" s="209"/>
      <c r="D4928" s="209"/>
      <c r="E4928" s="209"/>
      <c r="J4928" s="124"/>
    </row>
    <row r="4929" spans="3:10" x14ac:dyDescent="0.2">
      <c r="C4929" s="209"/>
      <c r="D4929" s="209"/>
      <c r="E4929" s="209"/>
      <c r="J4929" s="124"/>
    </row>
    <row r="4930" spans="3:10" x14ac:dyDescent="0.2">
      <c r="C4930" s="209"/>
      <c r="D4930" s="209"/>
      <c r="E4930" s="209"/>
      <c r="J4930" s="124"/>
    </row>
    <row r="4931" spans="3:10" x14ac:dyDescent="0.2">
      <c r="C4931" s="209"/>
      <c r="D4931" s="209"/>
      <c r="E4931" s="209"/>
      <c r="J4931" s="124"/>
    </row>
    <row r="4932" spans="3:10" x14ac:dyDescent="0.2">
      <c r="C4932" s="209"/>
      <c r="D4932" s="209"/>
      <c r="E4932" s="209"/>
      <c r="J4932" s="124"/>
    </row>
    <row r="4933" spans="3:10" x14ac:dyDescent="0.2">
      <c r="C4933" s="209"/>
      <c r="D4933" s="209"/>
      <c r="E4933" s="209"/>
      <c r="J4933" s="124"/>
    </row>
    <row r="4934" spans="3:10" x14ac:dyDescent="0.2">
      <c r="C4934" s="209"/>
      <c r="D4934" s="209"/>
      <c r="E4934" s="209"/>
      <c r="J4934" s="124"/>
    </row>
    <row r="4935" spans="3:10" x14ac:dyDescent="0.2">
      <c r="C4935" s="209"/>
      <c r="D4935" s="209"/>
      <c r="E4935" s="209"/>
      <c r="J4935" s="124"/>
    </row>
    <row r="4936" spans="3:10" x14ac:dyDescent="0.2">
      <c r="C4936" s="209"/>
      <c r="D4936" s="209"/>
      <c r="E4936" s="209"/>
      <c r="J4936" s="124"/>
    </row>
    <row r="4937" spans="3:10" x14ac:dyDescent="0.2">
      <c r="C4937" s="209"/>
      <c r="D4937" s="209"/>
      <c r="E4937" s="209"/>
      <c r="J4937" s="124"/>
    </row>
    <row r="4938" spans="3:10" x14ac:dyDescent="0.2">
      <c r="C4938" s="209"/>
      <c r="D4938" s="209"/>
      <c r="E4938" s="209"/>
      <c r="J4938" s="124"/>
    </row>
    <row r="4939" spans="3:10" x14ac:dyDescent="0.2">
      <c r="C4939" s="209"/>
      <c r="D4939" s="209"/>
      <c r="E4939" s="209"/>
      <c r="J4939" s="124"/>
    </row>
    <row r="4940" spans="3:10" x14ac:dyDescent="0.2">
      <c r="C4940" s="209"/>
      <c r="D4940" s="209"/>
      <c r="E4940" s="209"/>
      <c r="J4940" s="124"/>
    </row>
    <row r="4941" spans="3:10" x14ac:dyDescent="0.2">
      <c r="C4941" s="209"/>
      <c r="D4941" s="209"/>
      <c r="E4941" s="209"/>
      <c r="J4941" s="124"/>
    </row>
    <row r="4942" spans="3:10" x14ac:dyDescent="0.2">
      <c r="C4942" s="209"/>
      <c r="D4942" s="209"/>
      <c r="E4942" s="209"/>
      <c r="J4942" s="124"/>
    </row>
    <row r="4943" spans="3:10" x14ac:dyDescent="0.2">
      <c r="C4943" s="209"/>
      <c r="D4943" s="209"/>
      <c r="E4943" s="209"/>
      <c r="J4943" s="124"/>
    </row>
    <row r="4944" spans="3:10" x14ac:dyDescent="0.2">
      <c r="C4944" s="209"/>
      <c r="D4944" s="209"/>
      <c r="E4944" s="209"/>
      <c r="J4944" s="124"/>
    </row>
    <row r="4945" spans="3:10" x14ac:dyDescent="0.2">
      <c r="C4945" s="209"/>
      <c r="D4945" s="209"/>
      <c r="E4945" s="209"/>
      <c r="J4945" s="124"/>
    </row>
    <row r="4946" spans="3:10" x14ac:dyDescent="0.2">
      <c r="C4946" s="209"/>
      <c r="D4946" s="209"/>
      <c r="E4946" s="209"/>
      <c r="J4946" s="124"/>
    </row>
    <row r="4947" spans="3:10" x14ac:dyDescent="0.2">
      <c r="C4947" s="209"/>
      <c r="D4947" s="209"/>
      <c r="E4947" s="209"/>
      <c r="J4947" s="124"/>
    </row>
    <row r="4948" spans="3:10" x14ac:dyDescent="0.2">
      <c r="C4948" s="209"/>
      <c r="D4948" s="209"/>
      <c r="E4948" s="209"/>
      <c r="J4948" s="124"/>
    </row>
    <row r="4949" spans="3:10" x14ac:dyDescent="0.2">
      <c r="C4949" s="209"/>
      <c r="D4949" s="209"/>
      <c r="E4949" s="209"/>
      <c r="J4949" s="124"/>
    </row>
    <row r="4950" spans="3:10" x14ac:dyDescent="0.2">
      <c r="C4950" s="209"/>
      <c r="D4950" s="209"/>
      <c r="E4950" s="209"/>
      <c r="J4950" s="124"/>
    </row>
    <row r="4951" spans="3:10" x14ac:dyDescent="0.2">
      <c r="C4951" s="209"/>
      <c r="D4951" s="209"/>
      <c r="E4951" s="209"/>
      <c r="J4951" s="124"/>
    </row>
    <row r="4952" spans="3:10" x14ac:dyDescent="0.2">
      <c r="C4952" s="209"/>
      <c r="D4952" s="209"/>
      <c r="E4952" s="209"/>
      <c r="J4952" s="124"/>
    </row>
    <row r="4953" spans="3:10" x14ac:dyDescent="0.2">
      <c r="C4953" s="209"/>
      <c r="D4953" s="209"/>
      <c r="E4953" s="209"/>
      <c r="J4953" s="124"/>
    </row>
    <row r="4954" spans="3:10" x14ac:dyDescent="0.2">
      <c r="C4954" s="209"/>
      <c r="D4954" s="209"/>
      <c r="E4954" s="209"/>
      <c r="J4954" s="124"/>
    </row>
    <row r="4955" spans="3:10" x14ac:dyDescent="0.2">
      <c r="C4955" s="209"/>
      <c r="D4955" s="209"/>
      <c r="E4955" s="209"/>
      <c r="J4955" s="124"/>
    </row>
    <row r="4956" spans="3:10" x14ac:dyDescent="0.2">
      <c r="C4956" s="209"/>
      <c r="D4956" s="209"/>
      <c r="E4956" s="209"/>
      <c r="J4956" s="124"/>
    </row>
    <row r="4957" spans="3:10" x14ac:dyDescent="0.2">
      <c r="C4957" s="209"/>
      <c r="D4957" s="209"/>
      <c r="E4957" s="209"/>
      <c r="J4957" s="124"/>
    </row>
    <row r="4958" spans="3:10" x14ac:dyDescent="0.2">
      <c r="C4958" s="209"/>
      <c r="D4958" s="209"/>
      <c r="E4958" s="209"/>
      <c r="J4958" s="124"/>
    </row>
    <row r="4959" spans="3:10" x14ac:dyDescent="0.2">
      <c r="C4959" s="209"/>
      <c r="D4959" s="209"/>
      <c r="E4959" s="209"/>
      <c r="J4959" s="124"/>
    </row>
    <row r="4960" spans="3:10" x14ac:dyDescent="0.2">
      <c r="C4960" s="209"/>
      <c r="D4960" s="209"/>
      <c r="E4960" s="209"/>
      <c r="J4960" s="124"/>
    </row>
    <row r="4961" spans="3:10" x14ac:dyDescent="0.2">
      <c r="C4961" s="209"/>
      <c r="D4961" s="209"/>
      <c r="E4961" s="209"/>
      <c r="J4961" s="124"/>
    </row>
    <row r="4962" spans="3:10" x14ac:dyDescent="0.2">
      <c r="C4962" s="209"/>
      <c r="D4962" s="209"/>
      <c r="E4962" s="209"/>
      <c r="J4962" s="124"/>
    </row>
    <row r="4963" spans="3:10" x14ac:dyDescent="0.2">
      <c r="C4963" s="209"/>
      <c r="D4963" s="209"/>
      <c r="E4963" s="209"/>
      <c r="J4963" s="124"/>
    </row>
    <row r="4964" spans="3:10" x14ac:dyDescent="0.2">
      <c r="C4964" s="209"/>
      <c r="D4964" s="209"/>
      <c r="E4964" s="209"/>
      <c r="J4964" s="124"/>
    </row>
    <row r="4965" spans="3:10" x14ac:dyDescent="0.2">
      <c r="C4965" s="209"/>
      <c r="D4965" s="209"/>
      <c r="E4965" s="209"/>
      <c r="J4965" s="124"/>
    </row>
    <row r="4966" spans="3:10" x14ac:dyDescent="0.2">
      <c r="C4966" s="209"/>
      <c r="D4966" s="209"/>
      <c r="E4966" s="209"/>
      <c r="J4966" s="124"/>
    </row>
    <row r="4967" spans="3:10" x14ac:dyDescent="0.2">
      <c r="C4967" s="209"/>
      <c r="D4967" s="209"/>
      <c r="E4967" s="209"/>
      <c r="J4967" s="124"/>
    </row>
    <row r="4968" spans="3:10" x14ac:dyDescent="0.2">
      <c r="C4968" s="209"/>
      <c r="D4968" s="209"/>
      <c r="E4968" s="209"/>
      <c r="J4968" s="124"/>
    </row>
    <row r="4969" spans="3:10" x14ac:dyDescent="0.2">
      <c r="C4969" s="209"/>
      <c r="D4969" s="209"/>
      <c r="E4969" s="209"/>
      <c r="J4969" s="124"/>
    </row>
    <row r="4970" spans="3:10" x14ac:dyDescent="0.2">
      <c r="C4970" s="209"/>
      <c r="D4970" s="209"/>
      <c r="E4970" s="209"/>
      <c r="J4970" s="124"/>
    </row>
    <row r="4971" spans="3:10" x14ac:dyDescent="0.2">
      <c r="C4971" s="209"/>
      <c r="D4971" s="209"/>
      <c r="E4971" s="209"/>
      <c r="J4971" s="124"/>
    </row>
    <row r="4972" spans="3:10" x14ac:dyDescent="0.2">
      <c r="C4972" s="209"/>
      <c r="D4972" s="209"/>
      <c r="E4972" s="209"/>
      <c r="J4972" s="124"/>
    </row>
    <row r="4973" spans="3:10" x14ac:dyDescent="0.2">
      <c r="C4973" s="209"/>
      <c r="D4973" s="209"/>
      <c r="E4973" s="209"/>
      <c r="J4973" s="124"/>
    </row>
    <row r="4974" spans="3:10" x14ac:dyDescent="0.2">
      <c r="C4974" s="209"/>
      <c r="D4974" s="209"/>
      <c r="E4974" s="209"/>
      <c r="J4974" s="124"/>
    </row>
    <row r="4975" spans="3:10" x14ac:dyDescent="0.2">
      <c r="C4975" s="209"/>
      <c r="D4975" s="209"/>
      <c r="E4975" s="209"/>
      <c r="J4975" s="124"/>
    </row>
    <row r="4976" spans="3:10" x14ac:dyDescent="0.2">
      <c r="C4976" s="209"/>
      <c r="D4976" s="209"/>
      <c r="E4976" s="209"/>
      <c r="J4976" s="124"/>
    </row>
    <row r="4977" spans="3:10" x14ac:dyDescent="0.2">
      <c r="C4977" s="209"/>
      <c r="D4977" s="209"/>
      <c r="E4977" s="209"/>
      <c r="J4977" s="124"/>
    </row>
    <row r="4978" spans="3:10" x14ac:dyDescent="0.2">
      <c r="C4978" s="209"/>
      <c r="D4978" s="209"/>
      <c r="E4978" s="209"/>
      <c r="J4978" s="124"/>
    </row>
    <row r="4979" spans="3:10" x14ac:dyDescent="0.2">
      <c r="C4979" s="209"/>
      <c r="D4979" s="209"/>
      <c r="E4979" s="209"/>
      <c r="J4979" s="124"/>
    </row>
    <row r="4980" spans="3:10" x14ac:dyDescent="0.2">
      <c r="C4980" s="209"/>
      <c r="D4980" s="209"/>
      <c r="E4980" s="209"/>
      <c r="J4980" s="124"/>
    </row>
    <row r="4981" spans="3:10" x14ac:dyDescent="0.2">
      <c r="C4981" s="209"/>
      <c r="D4981" s="209"/>
      <c r="E4981" s="209"/>
      <c r="J4981" s="124"/>
    </row>
    <row r="4982" spans="3:10" x14ac:dyDescent="0.2">
      <c r="C4982" s="209"/>
      <c r="D4982" s="209"/>
      <c r="E4982" s="209"/>
      <c r="J4982" s="124"/>
    </row>
    <row r="4983" spans="3:10" x14ac:dyDescent="0.2">
      <c r="C4983" s="209"/>
      <c r="D4983" s="209"/>
      <c r="E4983" s="209"/>
      <c r="J4983" s="124"/>
    </row>
    <row r="4984" spans="3:10" x14ac:dyDescent="0.2">
      <c r="C4984" s="209"/>
      <c r="D4984" s="209"/>
      <c r="E4984" s="209"/>
      <c r="J4984" s="124"/>
    </row>
    <row r="4985" spans="3:10" x14ac:dyDescent="0.2">
      <c r="C4985" s="209"/>
      <c r="D4985" s="209"/>
      <c r="E4985" s="209"/>
      <c r="J4985" s="124"/>
    </row>
    <row r="4986" spans="3:10" x14ac:dyDescent="0.2">
      <c r="C4986" s="209"/>
      <c r="D4986" s="209"/>
      <c r="E4986" s="209"/>
      <c r="J4986" s="124"/>
    </row>
    <row r="4987" spans="3:10" x14ac:dyDescent="0.2">
      <c r="C4987" s="209"/>
      <c r="D4987" s="209"/>
      <c r="E4987" s="209"/>
      <c r="J4987" s="124"/>
    </row>
    <row r="4988" spans="3:10" x14ac:dyDescent="0.2">
      <c r="C4988" s="209"/>
      <c r="D4988" s="209"/>
      <c r="E4988" s="209"/>
      <c r="J4988" s="124"/>
    </row>
    <row r="4989" spans="3:10" x14ac:dyDescent="0.2">
      <c r="C4989" s="209"/>
      <c r="D4989" s="209"/>
      <c r="E4989" s="209"/>
      <c r="J4989" s="124"/>
    </row>
    <row r="4990" spans="3:10" x14ac:dyDescent="0.2">
      <c r="C4990" s="209"/>
      <c r="D4990" s="209"/>
      <c r="E4990" s="209"/>
      <c r="J4990" s="124"/>
    </row>
    <row r="4991" spans="3:10" x14ac:dyDescent="0.2">
      <c r="C4991" s="209"/>
      <c r="D4991" s="209"/>
      <c r="E4991" s="209"/>
      <c r="J4991" s="124"/>
    </row>
    <row r="4992" spans="3:10" x14ac:dyDescent="0.2">
      <c r="C4992" s="209"/>
      <c r="D4992" s="209"/>
      <c r="E4992" s="209"/>
      <c r="J4992" s="124"/>
    </row>
    <row r="4993" spans="3:10" x14ac:dyDescent="0.2">
      <c r="C4993" s="209"/>
      <c r="D4993" s="209"/>
      <c r="E4993" s="209"/>
      <c r="J4993" s="124"/>
    </row>
    <row r="4994" spans="3:10" x14ac:dyDescent="0.2">
      <c r="C4994" s="209"/>
      <c r="D4994" s="209"/>
      <c r="E4994" s="209"/>
      <c r="J4994" s="124"/>
    </row>
    <row r="4995" spans="3:10" x14ac:dyDescent="0.2">
      <c r="C4995" s="209"/>
      <c r="D4995" s="209"/>
      <c r="E4995" s="209"/>
      <c r="J4995" s="124"/>
    </row>
    <row r="4996" spans="3:10" x14ac:dyDescent="0.2">
      <c r="C4996" s="209"/>
      <c r="D4996" s="209"/>
      <c r="E4996" s="209"/>
      <c r="J4996" s="124"/>
    </row>
    <row r="4997" spans="3:10" x14ac:dyDescent="0.2">
      <c r="C4997" s="209"/>
      <c r="D4997" s="209"/>
      <c r="E4997" s="209"/>
      <c r="J4997" s="124"/>
    </row>
    <row r="4998" spans="3:10" x14ac:dyDescent="0.2">
      <c r="C4998" s="209"/>
      <c r="D4998" s="209"/>
      <c r="E4998" s="209"/>
      <c r="J4998" s="124"/>
    </row>
    <row r="4999" spans="3:10" x14ac:dyDescent="0.2">
      <c r="C4999" s="209"/>
      <c r="D4999" s="209"/>
      <c r="E4999" s="209"/>
      <c r="J4999" s="124"/>
    </row>
    <row r="5000" spans="3:10" x14ac:dyDescent="0.2">
      <c r="C5000" s="209"/>
      <c r="D5000" s="209"/>
      <c r="E5000" s="209"/>
      <c r="J5000" s="124"/>
    </row>
    <row r="5001" spans="3:10" x14ac:dyDescent="0.2">
      <c r="C5001" s="209"/>
      <c r="D5001" s="209"/>
      <c r="E5001" s="209"/>
      <c r="J5001" s="124"/>
    </row>
    <row r="5002" spans="3:10" x14ac:dyDescent="0.2">
      <c r="C5002" s="209"/>
      <c r="D5002" s="209"/>
      <c r="E5002" s="209"/>
      <c r="J5002" s="124"/>
    </row>
    <row r="5003" spans="3:10" x14ac:dyDescent="0.2">
      <c r="C5003" s="209"/>
      <c r="D5003" s="209"/>
      <c r="E5003" s="209"/>
      <c r="J5003" s="124"/>
    </row>
    <row r="5004" spans="3:10" x14ac:dyDescent="0.2">
      <c r="C5004" s="209"/>
      <c r="D5004" s="209"/>
      <c r="E5004" s="209"/>
      <c r="J5004" s="124"/>
    </row>
    <row r="5005" spans="3:10" x14ac:dyDescent="0.2">
      <c r="C5005" s="209"/>
      <c r="D5005" s="209"/>
      <c r="E5005" s="209"/>
      <c r="J5005" s="124"/>
    </row>
    <row r="5006" spans="3:10" x14ac:dyDescent="0.2">
      <c r="C5006" s="209"/>
      <c r="D5006" s="209"/>
      <c r="E5006" s="209"/>
      <c r="J5006" s="124"/>
    </row>
    <row r="5007" spans="3:10" x14ac:dyDescent="0.2">
      <c r="C5007" s="209"/>
      <c r="D5007" s="209"/>
      <c r="E5007" s="209"/>
      <c r="J5007" s="124"/>
    </row>
    <row r="5008" spans="3:10" x14ac:dyDescent="0.2">
      <c r="C5008" s="209"/>
      <c r="D5008" s="209"/>
      <c r="E5008" s="209"/>
      <c r="J5008" s="124"/>
    </row>
    <row r="5009" spans="3:10" x14ac:dyDescent="0.2">
      <c r="C5009" s="209"/>
      <c r="D5009" s="209"/>
      <c r="E5009" s="209"/>
      <c r="J5009" s="124"/>
    </row>
    <row r="5010" spans="3:10" x14ac:dyDescent="0.2">
      <c r="C5010" s="209"/>
      <c r="D5010" s="209"/>
      <c r="E5010" s="209"/>
      <c r="J5010" s="124"/>
    </row>
    <row r="5011" spans="3:10" x14ac:dyDescent="0.2">
      <c r="C5011" s="209"/>
      <c r="D5011" s="209"/>
      <c r="E5011" s="209"/>
      <c r="J5011" s="124"/>
    </row>
    <row r="5012" spans="3:10" x14ac:dyDescent="0.2">
      <c r="C5012" s="209"/>
      <c r="D5012" s="209"/>
      <c r="E5012" s="209"/>
      <c r="J5012" s="124"/>
    </row>
    <row r="5013" spans="3:10" x14ac:dyDescent="0.2">
      <c r="C5013" s="209"/>
      <c r="D5013" s="209"/>
      <c r="E5013" s="209"/>
      <c r="J5013" s="124"/>
    </row>
    <row r="5014" spans="3:10" x14ac:dyDescent="0.2">
      <c r="C5014" s="209"/>
      <c r="D5014" s="209"/>
      <c r="E5014" s="209"/>
      <c r="J5014" s="124"/>
    </row>
    <row r="5015" spans="3:10" x14ac:dyDescent="0.2">
      <c r="C5015" s="209"/>
      <c r="D5015" s="209"/>
      <c r="E5015" s="209"/>
      <c r="J5015" s="124"/>
    </row>
    <row r="5016" spans="3:10" x14ac:dyDescent="0.2">
      <c r="C5016" s="209"/>
      <c r="D5016" s="209"/>
      <c r="E5016" s="209"/>
      <c r="J5016" s="124"/>
    </row>
    <row r="5017" spans="3:10" x14ac:dyDescent="0.2">
      <c r="C5017" s="209"/>
      <c r="D5017" s="209"/>
      <c r="E5017" s="209"/>
      <c r="J5017" s="124"/>
    </row>
    <row r="5018" spans="3:10" x14ac:dyDescent="0.2">
      <c r="C5018" s="209"/>
      <c r="D5018" s="209"/>
      <c r="E5018" s="209"/>
      <c r="J5018" s="124"/>
    </row>
    <row r="5019" spans="3:10" x14ac:dyDescent="0.2">
      <c r="C5019" s="209"/>
      <c r="D5019" s="209"/>
      <c r="E5019" s="209"/>
      <c r="J5019" s="124"/>
    </row>
    <row r="5020" spans="3:10" x14ac:dyDescent="0.2">
      <c r="C5020" s="209"/>
      <c r="D5020" s="209"/>
      <c r="E5020" s="209"/>
      <c r="J5020" s="124"/>
    </row>
    <row r="5021" spans="3:10" x14ac:dyDescent="0.2">
      <c r="C5021" s="209"/>
      <c r="D5021" s="209"/>
      <c r="E5021" s="209"/>
      <c r="J5021" s="124"/>
    </row>
    <row r="5022" spans="3:10" x14ac:dyDescent="0.2">
      <c r="C5022" s="209"/>
      <c r="D5022" s="209"/>
      <c r="E5022" s="209"/>
      <c r="J5022" s="124"/>
    </row>
    <row r="5023" spans="3:10" x14ac:dyDescent="0.2">
      <c r="C5023" s="209"/>
      <c r="D5023" s="209"/>
      <c r="E5023" s="209"/>
      <c r="J5023" s="124"/>
    </row>
    <row r="5024" spans="3:10" x14ac:dyDescent="0.2">
      <c r="C5024" s="209"/>
      <c r="D5024" s="209"/>
      <c r="E5024" s="209"/>
      <c r="J5024" s="124"/>
    </row>
    <row r="5025" spans="3:10" x14ac:dyDescent="0.2">
      <c r="C5025" s="209"/>
      <c r="D5025" s="209"/>
      <c r="E5025" s="209"/>
      <c r="J5025" s="124"/>
    </row>
    <row r="5026" spans="3:10" x14ac:dyDescent="0.2">
      <c r="C5026" s="209"/>
      <c r="D5026" s="209"/>
      <c r="E5026" s="209"/>
      <c r="J5026" s="124"/>
    </row>
    <row r="5027" spans="3:10" x14ac:dyDescent="0.2">
      <c r="C5027" s="209"/>
      <c r="D5027" s="209"/>
      <c r="E5027" s="209"/>
      <c r="J5027" s="124"/>
    </row>
    <row r="5028" spans="3:10" x14ac:dyDescent="0.2">
      <c r="C5028" s="209"/>
      <c r="D5028" s="209"/>
      <c r="E5028" s="209"/>
      <c r="J5028" s="124"/>
    </row>
    <row r="5029" spans="3:10" x14ac:dyDescent="0.2">
      <c r="C5029" s="209"/>
      <c r="D5029" s="209"/>
      <c r="E5029" s="209"/>
      <c r="J5029" s="124"/>
    </row>
    <row r="5030" spans="3:10" x14ac:dyDescent="0.2">
      <c r="C5030" s="209"/>
      <c r="D5030" s="209"/>
      <c r="E5030" s="209"/>
      <c r="J5030" s="124"/>
    </row>
    <row r="5031" spans="3:10" x14ac:dyDescent="0.2">
      <c r="C5031" s="209"/>
      <c r="D5031" s="209"/>
      <c r="E5031" s="209"/>
      <c r="J5031" s="124"/>
    </row>
    <row r="5032" spans="3:10" x14ac:dyDescent="0.2">
      <c r="C5032" s="209"/>
      <c r="D5032" s="209"/>
      <c r="E5032" s="209"/>
      <c r="J5032" s="124"/>
    </row>
    <row r="5033" spans="3:10" x14ac:dyDescent="0.2">
      <c r="C5033" s="209"/>
      <c r="D5033" s="209"/>
      <c r="E5033" s="209"/>
      <c r="J5033" s="124"/>
    </row>
    <row r="5034" spans="3:10" x14ac:dyDescent="0.2">
      <c r="C5034" s="209"/>
      <c r="D5034" s="209"/>
      <c r="E5034" s="209"/>
      <c r="J5034" s="124"/>
    </row>
    <row r="5035" spans="3:10" x14ac:dyDescent="0.2">
      <c r="C5035" s="209"/>
      <c r="D5035" s="209"/>
      <c r="E5035" s="209"/>
      <c r="J5035" s="124"/>
    </row>
    <row r="5036" spans="3:10" x14ac:dyDescent="0.2">
      <c r="C5036" s="209"/>
      <c r="D5036" s="209"/>
      <c r="E5036" s="209"/>
      <c r="J5036" s="124"/>
    </row>
    <row r="5037" spans="3:10" x14ac:dyDescent="0.2">
      <c r="C5037" s="209"/>
      <c r="D5037" s="209"/>
      <c r="E5037" s="209"/>
      <c r="J5037" s="124"/>
    </row>
    <row r="5038" spans="3:10" x14ac:dyDescent="0.2">
      <c r="C5038" s="209"/>
      <c r="D5038" s="209"/>
      <c r="E5038" s="209"/>
      <c r="J5038" s="124"/>
    </row>
    <row r="5039" spans="3:10" x14ac:dyDescent="0.2">
      <c r="C5039" s="209"/>
      <c r="D5039" s="209"/>
      <c r="E5039" s="209"/>
      <c r="J5039" s="124"/>
    </row>
    <row r="5040" spans="3:10" x14ac:dyDescent="0.2">
      <c r="C5040" s="209"/>
      <c r="D5040" s="209"/>
      <c r="E5040" s="209"/>
      <c r="J5040" s="124"/>
    </row>
    <row r="5041" spans="3:10" x14ac:dyDescent="0.2">
      <c r="C5041" s="209"/>
      <c r="D5041" s="209"/>
      <c r="E5041" s="209"/>
      <c r="J5041" s="124"/>
    </row>
    <row r="5042" spans="3:10" x14ac:dyDescent="0.2">
      <c r="C5042" s="209"/>
      <c r="D5042" s="209"/>
      <c r="E5042" s="209"/>
      <c r="J5042" s="124"/>
    </row>
    <row r="5043" spans="3:10" x14ac:dyDescent="0.2">
      <c r="C5043" s="209"/>
      <c r="D5043" s="209"/>
      <c r="E5043" s="209"/>
      <c r="J5043" s="124"/>
    </row>
    <row r="5044" spans="3:10" x14ac:dyDescent="0.2">
      <c r="C5044" s="209"/>
      <c r="D5044" s="209"/>
      <c r="E5044" s="209"/>
      <c r="J5044" s="124"/>
    </row>
    <row r="5045" spans="3:10" x14ac:dyDescent="0.2">
      <c r="C5045" s="209"/>
      <c r="D5045" s="209"/>
      <c r="E5045" s="209"/>
      <c r="J5045" s="124"/>
    </row>
    <row r="5046" spans="3:10" x14ac:dyDescent="0.2">
      <c r="C5046" s="209"/>
      <c r="D5046" s="209"/>
      <c r="E5046" s="209"/>
      <c r="J5046" s="124"/>
    </row>
    <row r="5047" spans="3:10" x14ac:dyDescent="0.2">
      <c r="C5047" s="209"/>
      <c r="D5047" s="209"/>
      <c r="E5047" s="209"/>
      <c r="J5047" s="124"/>
    </row>
    <row r="5048" spans="3:10" x14ac:dyDescent="0.2">
      <c r="C5048" s="209"/>
      <c r="D5048" s="209"/>
      <c r="E5048" s="209"/>
      <c r="J5048" s="124"/>
    </row>
    <row r="5049" spans="3:10" x14ac:dyDescent="0.2">
      <c r="C5049" s="209"/>
      <c r="D5049" s="209"/>
      <c r="E5049" s="209"/>
      <c r="J5049" s="124"/>
    </row>
    <row r="5050" spans="3:10" x14ac:dyDescent="0.2">
      <c r="C5050" s="209"/>
      <c r="D5050" s="209"/>
      <c r="E5050" s="209"/>
      <c r="J5050" s="124"/>
    </row>
    <row r="5051" spans="3:10" x14ac:dyDescent="0.2">
      <c r="C5051" s="209"/>
      <c r="D5051" s="209"/>
      <c r="E5051" s="209"/>
      <c r="J5051" s="124"/>
    </row>
    <row r="5052" spans="3:10" x14ac:dyDescent="0.2">
      <c r="C5052" s="209"/>
      <c r="D5052" s="209"/>
      <c r="E5052" s="209"/>
      <c r="J5052" s="124"/>
    </row>
    <row r="5053" spans="3:10" x14ac:dyDescent="0.2">
      <c r="C5053" s="209"/>
      <c r="D5053" s="209"/>
      <c r="E5053" s="209"/>
      <c r="J5053" s="124"/>
    </row>
    <row r="5054" spans="3:10" x14ac:dyDescent="0.2">
      <c r="C5054" s="209"/>
      <c r="D5054" s="209"/>
      <c r="E5054" s="209"/>
      <c r="J5054" s="124"/>
    </row>
    <row r="5055" spans="3:10" x14ac:dyDescent="0.2">
      <c r="C5055" s="209"/>
      <c r="D5055" s="209"/>
      <c r="E5055" s="209"/>
      <c r="J5055" s="124"/>
    </row>
    <row r="5056" spans="3:10" x14ac:dyDescent="0.2">
      <c r="C5056" s="209"/>
      <c r="D5056" s="209"/>
      <c r="E5056" s="209"/>
      <c r="J5056" s="124"/>
    </row>
    <row r="5057" spans="3:10" x14ac:dyDescent="0.2">
      <c r="C5057" s="209"/>
      <c r="D5057" s="209"/>
      <c r="E5057" s="209"/>
      <c r="J5057" s="124"/>
    </row>
    <row r="5058" spans="3:10" x14ac:dyDescent="0.2">
      <c r="C5058" s="209"/>
      <c r="D5058" s="209"/>
      <c r="E5058" s="209"/>
      <c r="J5058" s="124"/>
    </row>
    <row r="5059" spans="3:10" x14ac:dyDescent="0.2">
      <c r="C5059" s="209"/>
      <c r="D5059" s="209"/>
      <c r="E5059" s="209"/>
      <c r="J5059" s="124"/>
    </row>
    <row r="5060" spans="3:10" x14ac:dyDescent="0.2">
      <c r="C5060" s="209"/>
      <c r="D5060" s="209"/>
      <c r="E5060" s="209"/>
      <c r="J5060" s="124"/>
    </row>
    <row r="5061" spans="3:10" x14ac:dyDescent="0.2">
      <c r="C5061" s="209"/>
      <c r="D5061" s="209"/>
      <c r="E5061" s="209"/>
      <c r="J5061" s="124"/>
    </row>
    <row r="5062" spans="3:10" x14ac:dyDescent="0.2">
      <c r="C5062" s="209"/>
      <c r="D5062" s="209"/>
      <c r="E5062" s="209"/>
      <c r="J5062" s="124"/>
    </row>
    <row r="5063" spans="3:10" x14ac:dyDescent="0.2">
      <c r="C5063" s="209"/>
      <c r="D5063" s="209"/>
      <c r="E5063" s="209"/>
      <c r="J5063" s="124"/>
    </row>
    <row r="5064" spans="3:10" x14ac:dyDescent="0.2">
      <c r="C5064" s="209"/>
      <c r="D5064" s="209"/>
      <c r="E5064" s="209"/>
      <c r="J5064" s="124"/>
    </row>
    <row r="5065" spans="3:10" x14ac:dyDescent="0.2">
      <c r="C5065" s="209"/>
      <c r="D5065" s="209"/>
      <c r="E5065" s="209"/>
      <c r="J5065" s="124"/>
    </row>
    <row r="5066" spans="3:10" x14ac:dyDescent="0.2">
      <c r="C5066" s="209"/>
      <c r="D5066" s="209"/>
      <c r="E5066" s="209"/>
      <c r="J5066" s="124"/>
    </row>
    <row r="5067" spans="3:10" x14ac:dyDescent="0.2">
      <c r="C5067" s="209"/>
      <c r="D5067" s="209"/>
      <c r="E5067" s="209"/>
      <c r="J5067" s="124"/>
    </row>
    <row r="5068" spans="3:10" x14ac:dyDescent="0.2">
      <c r="C5068" s="209"/>
      <c r="D5068" s="209"/>
      <c r="E5068" s="209"/>
      <c r="J5068" s="124"/>
    </row>
    <row r="5069" spans="3:10" x14ac:dyDescent="0.2">
      <c r="C5069" s="209"/>
      <c r="D5069" s="209"/>
      <c r="E5069" s="209"/>
      <c r="J5069" s="124"/>
    </row>
    <row r="5070" spans="3:10" x14ac:dyDescent="0.2">
      <c r="C5070" s="209"/>
      <c r="D5070" s="209"/>
      <c r="E5070" s="209"/>
      <c r="J5070" s="124"/>
    </row>
    <row r="5071" spans="3:10" x14ac:dyDescent="0.2">
      <c r="C5071" s="209"/>
      <c r="D5071" s="209"/>
      <c r="E5071" s="209"/>
      <c r="J5071" s="124"/>
    </row>
    <row r="5072" spans="3:10" x14ac:dyDescent="0.2">
      <c r="C5072" s="209"/>
      <c r="D5072" s="209"/>
      <c r="E5072" s="209"/>
      <c r="J5072" s="124"/>
    </row>
    <row r="5073" spans="3:10" x14ac:dyDescent="0.2">
      <c r="C5073" s="209"/>
      <c r="D5073" s="209"/>
      <c r="E5073" s="209"/>
      <c r="J5073" s="124"/>
    </row>
    <row r="5074" spans="3:10" x14ac:dyDescent="0.2">
      <c r="C5074" s="209"/>
      <c r="D5074" s="209"/>
      <c r="E5074" s="209"/>
      <c r="J5074" s="124"/>
    </row>
    <row r="5075" spans="3:10" x14ac:dyDescent="0.2">
      <c r="C5075" s="209"/>
      <c r="D5075" s="209"/>
      <c r="E5075" s="209"/>
      <c r="J5075" s="124"/>
    </row>
    <row r="5076" spans="3:10" x14ac:dyDescent="0.2">
      <c r="C5076" s="209"/>
      <c r="D5076" s="209"/>
      <c r="E5076" s="209"/>
      <c r="J5076" s="124"/>
    </row>
    <row r="5077" spans="3:10" x14ac:dyDescent="0.2">
      <c r="C5077" s="209"/>
      <c r="D5077" s="209"/>
      <c r="E5077" s="209"/>
      <c r="J5077" s="124"/>
    </row>
    <row r="5078" spans="3:10" x14ac:dyDescent="0.2">
      <c r="C5078" s="209"/>
      <c r="D5078" s="209"/>
      <c r="E5078" s="209"/>
      <c r="J5078" s="124"/>
    </row>
    <row r="5079" spans="3:10" x14ac:dyDescent="0.2">
      <c r="C5079" s="209"/>
      <c r="D5079" s="209"/>
      <c r="E5079" s="209"/>
      <c r="J5079" s="124"/>
    </row>
    <row r="5080" spans="3:10" x14ac:dyDescent="0.2">
      <c r="C5080" s="209"/>
      <c r="D5080" s="209"/>
      <c r="E5080" s="209"/>
      <c r="J5080" s="124"/>
    </row>
    <row r="5081" spans="3:10" x14ac:dyDescent="0.2">
      <c r="C5081" s="209"/>
      <c r="D5081" s="209"/>
      <c r="E5081" s="209"/>
      <c r="J5081" s="124"/>
    </row>
    <row r="5082" spans="3:10" x14ac:dyDescent="0.2">
      <c r="C5082" s="209"/>
      <c r="D5082" s="209"/>
      <c r="E5082" s="209"/>
      <c r="J5082" s="124"/>
    </row>
    <row r="5083" spans="3:10" x14ac:dyDescent="0.2">
      <c r="C5083" s="209"/>
      <c r="D5083" s="209"/>
      <c r="E5083" s="209"/>
      <c r="J5083" s="124"/>
    </row>
    <row r="5084" spans="3:10" x14ac:dyDescent="0.2">
      <c r="C5084" s="209"/>
      <c r="D5084" s="209"/>
      <c r="E5084" s="209"/>
      <c r="J5084" s="124"/>
    </row>
    <row r="5085" spans="3:10" x14ac:dyDescent="0.2">
      <c r="C5085" s="209"/>
      <c r="D5085" s="209"/>
      <c r="E5085" s="209"/>
      <c r="J5085" s="124"/>
    </row>
    <row r="5086" spans="3:10" x14ac:dyDescent="0.2">
      <c r="C5086" s="209"/>
      <c r="D5086" s="209"/>
      <c r="E5086" s="209"/>
      <c r="J5086" s="124"/>
    </row>
    <row r="5087" spans="3:10" x14ac:dyDescent="0.2">
      <c r="C5087" s="209"/>
      <c r="D5087" s="209"/>
      <c r="E5087" s="209"/>
      <c r="J5087" s="124"/>
    </row>
    <row r="5088" spans="3:10" x14ac:dyDescent="0.2">
      <c r="C5088" s="209"/>
      <c r="D5088" s="209"/>
      <c r="E5088" s="209"/>
      <c r="J5088" s="124"/>
    </row>
    <row r="5089" spans="3:10" x14ac:dyDescent="0.2">
      <c r="C5089" s="209"/>
      <c r="D5089" s="209"/>
      <c r="E5089" s="209"/>
      <c r="J5089" s="124"/>
    </row>
    <row r="5090" spans="3:10" x14ac:dyDescent="0.2">
      <c r="C5090" s="209"/>
      <c r="D5090" s="209"/>
      <c r="E5090" s="209"/>
      <c r="J5090" s="124"/>
    </row>
    <row r="5091" spans="3:10" x14ac:dyDescent="0.2">
      <c r="C5091" s="209"/>
      <c r="D5091" s="209"/>
      <c r="E5091" s="209"/>
      <c r="J5091" s="124"/>
    </row>
    <row r="5092" spans="3:10" x14ac:dyDescent="0.2">
      <c r="C5092" s="209"/>
      <c r="D5092" s="209"/>
      <c r="E5092" s="209"/>
      <c r="J5092" s="124"/>
    </row>
    <row r="5093" spans="3:10" x14ac:dyDescent="0.2">
      <c r="C5093" s="209"/>
      <c r="D5093" s="209"/>
      <c r="E5093" s="209"/>
      <c r="J5093" s="124"/>
    </row>
    <row r="5094" spans="3:10" x14ac:dyDescent="0.2">
      <c r="C5094" s="209"/>
      <c r="D5094" s="209"/>
      <c r="E5094" s="209"/>
      <c r="J5094" s="124"/>
    </row>
    <row r="5095" spans="3:10" x14ac:dyDescent="0.2">
      <c r="C5095" s="209"/>
      <c r="D5095" s="209"/>
      <c r="E5095" s="209"/>
      <c r="J5095" s="124"/>
    </row>
    <row r="5096" spans="3:10" x14ac:dyDescent="0.2">
      <c r="C5096" s="209"/>
      <c r="D5096" s="209"/>
      <c r="E5096" s="209"/>
      <c r="J5096" s="124"/>
    </row>
    <row r="5097" spans="3:10" x14ac:dyDescent="0.2">
      <c r="C5097" s="209"/>
      <c r="D5097" s="209"/>
      <c r="E5097" s="209"/>
      <c r="J5097" s="124"/>
    </row>
    <row r="5098" spans="3:10" x14ac:dyDescent="0.2">
      <c r="C5098" s="209"/>
      <c r="D5098" s="209"/>
      <c r="E5098" s="209"/>
      <c r="J5098" s="124"/>
    </row>
    <row r="5099" spans="3:10" x14ac:dyDescent="0.2">
      <c r="C5099" s="209"/>
      <c r="D5099" s="209"/>
      <c r="E5099" s="209"/>
      <c r="J5099" s="124"/>
    </row>
    <row r="5100" spans="3:10" x14ac:dyDescent="0.2">
      <c r="C5100" s="209"/>
      <c r="D5100" s="209"/>
      <c r="E5100" s="209"/>
      <c r="J5100" s="124"/>
    </row>
    <row r="5101" spans="3:10" x14ac:dyDescent="0.2">
      <c r="C5101" s="209"/>
      <c r="D5101" s="209"/>
      <c r="E5101" s="209"/>
      <c r="J5101" s="124"/>
    </row>
    <row r="5102" spans="3:10" x14ac:dyDescent="0.2">
      <c r="C5102" s="209"/>
      <c r="D5102" s="209"/>
      <c r="E5102" s="209"/>
      <c r="J5102" s="124"/>
    </row>
    <row r="5103" spans="3:10" x14ac:dyDescent="0.2">
      <c r="C5103" s="209"/>
      <c r="D5103" s="209"/>
      <c r="E5103" s="209"/>
      <c r="J5103" s="124"/>
    </row>
    <row r="5104" spans="3:10" x14ac:dyDescent="0.2">
      <c r="C5104" s="209"/>
      <c r="D5104" s="209"/>
      <c r="E5104" s="209"/>
      <c r="J5104" s="124"/>
    </row>
    <row r="5105" spans="3:10" x14ac:dyDescent="0.2">
      <c r="C5105" s="209"/>
      <c r="D5105" s="209"/>
      <c r="E5105" s="209"/>
      <c r="J5105" s="124"/>
    </row>
    <row r="5106" spans="3:10" x14ac:dyDescent="0.2">
      <c r="C5106" s="209"/>
      <c r="D5106" s="209"/>
      <c r="E5106" s="209"/>
      <c r="J5106" s="124"/>
    </row>
    <row r="5107" spans="3:10" x14ac:dyDescent="0.2">
      <c r="C5107" s="209"/>
      <c r="D5107" s="209"/>
      <c r="E5107" s="209"/>
      <c r="J5107" s="124"/>
    </row>
    <row r="5108" spans="3:10" x14ac:dyDescent="0.2">
      <c r="C5108" s="209"/>
      <c r="D5108" s="209"/>
      <c r="E5108" s="209"/>
      <c r="J5108" s="124"/>
    </row>
    <row r="5109" spans="3:10" x14ac:dyDescent="0.2">
      <c r="C5109" s="209"/>
      <c r="D5109" s="209"/>
      <c r="E5109" s="209"/>
      <c r="J5109" s="124"/>
    </row>
    <row r="5110" spans="3:10" x14ac:dyDescent="0.2">
      <c r="C5110" s="209"/>
      <c r="D5110" s="209"/>
      <c r="E5110" s="209"/>
      <c r="J5110" s="124"/>
    </row>
    <row r="5111" spans="3:10" x14ac:dyDescent="0.2">
      <c r="C5111" s="209"/>
      <c r="D5111" s="209"/>
      <c r="E5111" s="209"/>
      <c r="J5111" s="124"/>
    </row>
    <row r="5112" spans="3:10" x14ac:dyDescent="0.2">
      <c r="C5112" s="209"/>
      <c r="D5112" s="209"/>
      <c r="E5112" s="209"/>
      <c r="J5112" s="124"/>
    </row>
    <row r="5113" spans="3:10" x14ac:dyDescent="0.2">
      <c r="C5113" s="209"/>
      <c r="D5113" s="209"/>
      <c r="E5113" s="209"/>
      <c r="J5113" s="124"/>
    </row>
    <row r="5114" spans="3:10" x14ac:dyDescent="0.2">
      <c r="C5114" s="209"/>
      <c r="D5114" s="209"/>
      <c r="E5114" s="209"/>
      <c r="J5114" s="124"/>
    </row>
    <row r="5115" spans="3:10" x14ac:dyDescent="0.2">
      <c r="C5115" s="209"/>
      <c r="D5115" s="209"/>
      <c r="E5115" s="209"/>
      <c r="J5115" s="124"/>
    </row>
    <row r="5116" spans="3:10" x14ac:dyDescent="0.2">
      <c r="C5116" s="209"/>
      <c r="D5116" s="209"/>
      <c r="E5116" s="209"/>
      <c r="J5116" s="124"/>
    </row>
    <row r="5117" spans="3:10" x14ac:dyDescent="0.2">
      <c r="C5117" s="209"/>
      <c r="D5117" s="209"/>
      <c r="E5117" s="209"/>
      <c r="J5117" s="124"/>
    </row>
    <row r="5118" spans="3:10" x14ac:dyDescent="0.2">
      <c r="C5118" s="209"/>
      <c r="D5118" s="209"/>
      <c r="E5118" s="209"/>
      <c r="J5118" s="124"/>
    </row>
    <row r="5119" spans="3:10" x14ac:dyDescent="0.2">
      <c r="C5119" s="209"/>
      <c r="D5119" s="209"/>
      <c r="E5119" s="209"/>
      <c r="J5119" s="124"/>
    </row>
    <row r="5120" spans="3:10" x14ac:dyDescent="0.2">
      <c r="C5120" s="209"/>
      <c r="D5120" s="209"/>
      <c r="E5120" s="209"/>
      <c r="J5120" s="124"/>
    </row>
    <row r="5121" spans="3:10" x14ac:dyDescent="0.2">
      <c r="C5121" s="209"/>
      <c r="D5121" s="209"/>
      <c r="E5121" s="209"/>
      <c r="J5121" s="124"/>
    </row>
    <row r="5122" spans="3:10" x14ac:dyDescent="0.2">
      <c r="C5122" s="209"/>
      <c r="D5122" s="209"/>
      <c r="E5122" s="209"/>
      <c r="J5122" s="124"/>
    </row>
    <row r="5123" spans="3:10" x14ac:dyDescent="0.2">
      <c r="C5123" s="209"/>
      <c r="D5123" s="209"/>
      <c r="E5123" s="209"/>
      <c r="J5123" s="124"/>
    </row>
    <row r="5124" spans="3:10" x14ac:dyDescent="0.2">
      <c r="C5124" s="209"/>
      <c r="D5124" s="209"/>
      <c r="E5124" s="209"/>
      <c r="J5124" s="124"/>
    </row>
    <row r="5125" spans="3:10" x14ac:dyDescent="0.2">
      <c r="C5125" s="209"/>
      <c r="D5125" s="209"/>
      <c r="E5125" s="209"/>
      <c r="J5125" s="124"/>
    </row>
    <row r="5126" spans="3:10" x14ac:dyDescent="0.2">
      <c r="C5126" s="209"/>
      <c r="D5126" s="209"/>
      <c r="E5126" s="209"/>
      <c r="J5126" s="124"/>
    </row>
    <row r="5127" spans="3:10" x14ac:dyDescent="0.2">
      <c r="C5127" s="209"/>
      <c r="D5127" s="209"/>
      <c r="E5127" s="209"/>
      <c r="J5127" s="124"/>
    </row>
    <row r="5128" spans="3:10" x14ac:dyDescent="0.2">
      <c r="C5128" s="209"/>
      <c r="D5128" s="209"/>
      <c r="E5128" s="209"/>
      <c r="J5128" s="124"/>
    </row>
    <row r="5129" spans="3:10" x14ac:dyDescent="0.2">
      <c r="C5129" s="209"/>
      <c r="D5129" s="209"/>
      <c r="E5129" s="209"/>
      <c r="J5129" s="124"/>
    </row>
    <row r="5130" spans="3:10" x14ac:dyDescent="0.2">
      <c r="C5130" s="209"/>
      <c r="D5130" s="209"/>
      <c r="E5130" s="209"/>
      <c r="J5130" s="124"/>
    </row>
    <row r="5131" spans="3:10" x14ac:dyDescent="0.2">
      <c r="C5131" s="209"/>
      <c r="D5131" s="209"/>
      <c r="E5131" s="209"/>
      <c r="J5131" s="124"/>
    </row>
    <row r="5132" spans="3:10" x14ac:dyDescent="0.2">
      <c r="C5132" s="209"/>
      <c r="D5132" s="209"/>
      <c r="E5132" s="209"/>
      <c r="J5132" s="124"/>
    </row>
    <row r="5133" spans="3:10" x14ac:dyDescent="0.2">
      <c r="C5133" s="209"/>
      <c r="D5133" s="209"/>
      <c r="E5133" s="209"/>
      <c r="J5133" s="124"/>
    </row>
    <row r="5134" spans="3:10" x14ac:dyDescent="0.2">
      <c r="C5134" s="209"/>
      <c r="D5134" s="209"/>
      <c r="E5134" s="209"/>
      <c r="J5134" s="124"/>
    </row>
    <row r="5135" spans="3:10" x14ac:dyDescent="0.2">
      <c r="C5135" s="209"/>
      <c r="D5135" s="209"/>
      <c r="E5135" s="209"/>
      <c r="J5135" s="124"/>
    </row>
    <row r="5136" spans="3:10" x14ac:dyDescent="0.2">
      <c r="C5136" s="209"/>
      <c r="D5136" s="209"/>
      <c r="E5136" s="209"/>
      <c r="J5136" s="124"/>
    </row>
    <row r="5137" spans="3:10" x14ac:dyDescent="0.2">
      <c r="C5137" s="209"/>
      <c r="D5137" s="209"/>
      <c r="E5137" s="209"/>
      <c r="J5137" s="124"/>
    </row>
    <row r="5138" spans="3:10" x14ac:dyDescent="0.2">
      <c r="C5138" s="209"/>
      <c r="D5138" s="209"/>
      <c r="E5138" s="209"/>
      <c r="J5138" s="124"/>
    </row>
    <row r="5139" spans="3:10" x14ac:dyDescent="0.2">
      <c r="C5139" s="209"/>
      <c r="D5139" s="209"/>
      <c r="E5139" s="209"/>
      <c r="J5139" s="124"/>
    </row>
    <row r="5140" spans="3:10" x14ac:dyDescent="0.2">
      <c r="C5140" s="209"/>
      <c r="D5140" s="209"/>
      <c r="E5140" s="209"/>
      <c r="J5140" s="124"/>
    </row>
    <row r="5141" spans="3:10" x14ac:dyDescent="0.2">
      <c r="C5141" s="209"/>
      <c r="D5141" s="209"/>
      <c r="E5141" s="209"/>
      <c r="J5141" s="124"/>
    </row>
    <row r="5142" spans="3:10" x14ac:dyDescent="0.2">
      <c r="C5142" s="209"/>
      <c r="D5142" s="209"/>
      <c r="E5142" s="209"/>
      <c r="J5142" s="124"/>
    </row>
    <row r="5143" spans="3:10" x14ac:dyDescent="0.2">
      <c r="C5143" s="209"/>
      <c r="D5143" s="209"/>
      <c r="E5143" s="209"/>
      <c r="J5143" s="124"/>
    </row>
    <row r="5144" spans="3:10" x14ac:dyDescent="0.2">
      <c r="C5144" s="209"/>
      <c r="D5144" s="209"/>
      <c r="E5144" s="209"/>
      <c r="J5144" s="124"/>
    </row>
    <row r="5145" spans="3:10" x14ac:dyDescent="0.2">
      <c r="C5145" s="209"/>
      <c r="D5145" s="209"/>
      <c r="E5145" s="209"/>
      <c r="J5145" s="124"/>
    </row>
    <row r="5146" spans="3:10" x14ac:dyDescent="0.2">
      <c r="C5146" s="209"/>
      <c r="D5146" s="209"/>
      <c r="E5146" s="209"/>
      <c r="J5146" s="124"/>
    </row>
    <row r="5147" spans="3:10" x14ac:dyDescent="0.2">
      <c r="C5147" s="209"/>
      <c r="D5147" s="209"/>
      <c r="E5147" s="209"/>
      <c r="J5147" s="124"/>
    </row>
    <row r="5148" spans="3:10" x14ac:dyDescent="0.2">
      <c r="C5148" s="209"/>
      <c r="D5148" s="209"/>
      <c r="E5148" s="209"/>
      <c r="J5148" s="124"/>
    </row>
    <row r="5149" spans="3:10" x14ac:dyDescent="0.2">
      <c r="C5149" s="209"/>
      <c r="D5149" s="209"/>
      <c r="E5149" s="209"/>
      <c r="J5149" s="124"/>
    </row>
    <row r="5150" spans="3:10" x14ac:dyDescent="0.2">
      <c r="C5150" s="209"/>
      <c r="D5150" s="209"/>
      <c r="E5150" s="209"/>
      <c r="J5150" s="124"/>
    </row>
    <row r="5151" spans="3:10" x14ac:dyDescent="0.2">
      <c r="C5151" s="209"/>
      <c r="D5151" s="209"/>
      <c r="E5151" s="209"/>
      <c r="J5151" s="124"/>
    </row>
    <row r="5152" spans="3:10" x14ac:dyDescent="0.2">
      <c r="C5152" s="209"/>
      <c r="D5152" s="209"/>
      <c r="E5152" s="209"/>
      <c r="J5152" s="124"/>
    </row>
    <row r="5153" spans="3:10" x14ac:dyDescent="0.2">
      <c r="C5153" s="209"/>
      <c r="D5153" s="209"/>
      <c r="E5153" s="209"/>
      <c r="J5153" s="124"/>
    </row>
    <row r="5154" spans="3:10" x14ac:dyDescent="0.2">
      <c r="C5154" s="209"/>
      <c r="D5154" s="209"/>
      <c r="E5154" s="209"/>
      <c r="J5154" s="124"/>
    </row>
    <row r="5155" spans="3:10" x14ac:dyDescent="0.2">
      <c r="C5155" s="209"/>
      <c r="D5155" s="209"/>
      <c r="E5155" s="209"/>
      <c r="J5155" s="124"/>
    </row>
    <row r="5156" spans="3:10" x14ac:dyDescent="0.2">
      <c r="C5156" s="209"/>
      <c r="D5156" s="209"/>
      <c r="E5156" s="209"/>
      <c r="J5156" s="124"/>
    </row>
    <row r="5157" spans="3:10" x14ac:dyDescent="0.2">
      <c r="C5157" s="209"/>
      <c r="D5157" s="209"/>
      <c r="E5157" s="209"/>
      <c r="J5157" s="124"/>
    </row>
    <row r="5158" spans="3:10" x14ac:dyDescent="0.2">
      <c r="C5158" s="209"/>
      <c r="D5158" s="209"/>
      <c r="E5158" s="209"/>
      <c r="J5158" s="124"/>
    </row>
    <row r="5159" spans="3:10" x14ac:dyDescent="0.2">
      <c r="C5159" s="209"/>
      <c r="D5159" s="209"/>
      <c r="E5159" s="209"/>
      <c r="J5159" s="124"/>
    </row>
    <row r="5160" spans="3:10" x14ac:dyDescent="0.2">
      <c r="C5160" s="209"/>
      <c r="D5160" s="209"/>
      <c r="E5160" s="209"/>
      <c r="J5160" s="124"/>
    </row>
    <row r="5161" spans="3:10" x14ac:dyDescent="0.2">
      <c r="C5161" s="209"/>
      <c r="D5161" s="209"/>
      <c r="E5161" s="209"/>
      <c r="J5161" s="124"/>
    </row>
    <row r="5162" spans="3:10" x14ac:dyDescent="0.2">
      <c r="C5162" s="209"/>
      <c r="D5162" s="209"/>
      <c r="E5162" s="209"/>
      <c r="J5162" s="124"/>
    </row>
    <row r="5163" spans="3:10" x14ac:dyDescent="0.2">
      <c r="C5163" s="209"/>
      <c r="D5163" s="209"/>
      <c r="E5163" s="209"/>
      <c r="J5163" s="124"/>
    </row>
    <row r="5164" spans="3:10" x14ac:dyDescent="0.2">
      <c r="C5164" s="209"/>
      <c r="D5164" s="209"/>
      <c r="E5164" s="209"/>
      <c r="J5164" s="124"/>
    </row>
    <row r="5165" spans="3:10" x14ac:dyDescent="0.2">
      <c r="C5165" s="209"/>
      <c r="D5165" s="209"/>
      <c r="E5165" s="209"/>
      <c r="J5165" s="124"/>
    </row>
    <row r="5166" spans="3:10" x14ac:dyDescent="0.2">
      <c r="C5166" s="209"/>
      <c r="D5166" s="209"/>
      <c r="E5166" s="209"/>
      <c r="J5166" s="124"/>
    </row>
    <row r="5167" spans="3:10" x14ac:dyDescent="0.2">
      <c r="C5167" s="209"/>
      <c r="D5167" s="209"/>
      <c r="E5167" s="209"/>
      <c r="J5167" s="124"/>
    </row>
    <row r="5168" spans="3:10" x14ac:dyDescent="0.2">
      <c r="C5168" s="209"/>
      <c r="D5168" s="209"/>
      <c r="E5168" s="209"/>
      <c r="J5168" s="124"/>
    </row>
    <row r="5169" spans="3:10" x14ac:dyDescent="0.2">
      <c r="C5169" s="209"/>
      <c r="D5169" s="209"/>
      <c r="E5169" s="209"/>
      <c r="J5169" s="124"/>
    </row>
    <row r="5170" spans="3:10" x14ac:dyDescent="0.2">
      <c r="C5170" s="209"/>
      <c r="D5170" s="209"/>
      <c r="E5170" s="209"/>
      <c r="J5170" s="124"/>
    </row>
    <row r="5171" spans="3:10" x14ac:dyDescent="0.2">
      <c r="C5171" s="209"/>
      <c r="D5171" s="209"/>
      <c r="E5171" s="209"/>
      <c r="J5171" s="124"/>
    </row>
    <row r="5172" spans="3:10" x14ac:dyDescent="0.2">
      <c r="C5172" s="209"/>
      <c r="D5172" s="209"/>
      <c r="E5172" s="209"/>
      <c r="J5172" s="124"/>
    </row>
    <row r="5173" spans="3:10" x14ac:dyDescent="0.2">
      <c r="C5173" s="209"/>
      <c r="D5173" s="209"/>
      <c r="E5173" s="209"/>
      <c r="J5173" s="124"/>
    </row>
    <row r="5174" spans="3:10" x14ac:dyDescent="0.2">
      <c r="C5174" s="209"/>
      <c r="D5174" s="209"/>
      <c r="E5174" s="209"/>
      <c r="J5174" s="124"/>
    </row>
    <row r="5175" spans="3:10" x14ac:dyDescent="0.2">
      <c r="C5175" s="209"/>
      <c r="D5175" s="209"/>
      <c r="E5175" s="209"/>
      <c r="J5175" s="124"/>
    </row>
    <row r="5176" spans="3:10" x14ac:dyDescent="0.2">
      <c r="C5176" s="209"/>
      <c r="D5176" s="209"/>
      <c r="E5176" s="209"/>
      <c r="J5176" s="124"/>
    </row>
    <row r="5177" spans="3:10" x14ac:dyDescent="0.2">
      <c r="C5177" s="209"/>
      <c r="D5177" s="209"/>
      <c r="E5177" s="209"/>
      <c r="J5177" s="124"/>
    </row>
    <row r="5178" spans="3:10" x14ac:dyDescent="0.2">
      <c r="C5178" s="209"/>
      <c r="D5178" s="209"/>
      <c r="E5178" s="209"/>
      <c r="J5178" s="124"/>
    </row>
    <row r="5179" spans="3:10" x14ac:dyDescent="0.2">
      <c r="C5179" s="209"/>
      <c r="D5179" s="209"/>
      <c r="E5179" s="209"/>
      <c r="J5179" s="124"/>
    </row>
    <row r="5180" spans="3:10" x14ac:dyDescent="0.2">
      <c r="C5180" s="209"/>
      <c r="D5180" s="209"/>
      <c r="E5180" s="209"/>
      <c r="J5180" s="124"/>
    </row>
    <row r="5181" spans="3:10" x14ac:dyDescent="0.2">
      <c r="C5181" s="209"/>
      <c r="D5181" s="209"/>
      <c r="E5181" s="209"/>
      <c r="J5181" s="124"/>
    </row>
    <row r="5182" spans="3:10" x14ac:dyDescent="0.2">
      <c r="C5182" s="209"/>
      <c r="D5182" s="209"/>
      <c r="E5182" s="209"/>
      <c r="J5182" s="124"/>
    </row>
    <row r="5183" spans="3:10" x14ac:dyDescent="0.2">
      <c r="C5183" s="209"/>
      <c r="D5183" s="209"/>
      <c r="E5183" s="209"/>
      <c r="J5183" s="124"/>
    </row>
    <row r="5184" spans="3:10" x14ac:dyDescent="0.2">
      <c r="C5184" s="209"/>
      <c r="D5184" s="209"/>
      <c r="E5184" s="209"/>
      <c r="J5184" s="124"/>
    </row>
    <row r="5185" spans="3:10" x14ac:dyDescent="0.2">
      <c r="C5185" s="209"/>
      <c r="D5185" s="209"/>
      <c r="E5185" s="209"/>
      <c r="J5185" s="124"/>
    </row>
    <row r="5186" spans="3:10" x14ac:dyDescent="0.2">
      <c r="C5186" s="209"/>
      <c r="D5186" s="209"/>
      <c r="E5186" s="209"/>
      <c r="J5186" s="124"/>
    </row>
    <row r="5187" spans="3:10" x14ac:dyDescent="0.2">
      <c r="C5187" s="209"/>
      <c r="D5187" s="209"/>
      <c r="E5187" s="209"/>
      <c r="J5187" s="124"/>
    </row>
    <row r="5188" spans="3:10" x14ac:dyDescent="0.2">
      <c r="C5188" s="209"/>
      <c r="D5188" s="209"/>
      <c r="E5188" s="209"/>
      <c r="J5188" s="124"/>
    </row>
    <row r="5189" spans="3:10" x14ac:dyDescent="0.2">
      <c r="C5189" s="209"/>
      <c r="D5189" s="209"/>
      <c r="E5189" s="209"/>
      <c r="J5189" s="124"/>
    </row>
    <row r="5190" spans="3:10" x14ac:dyDescent="0.2">
      <c r="C5190" s="209"/>
      <c r="D5190" s="209"/>
      <c r="E5190" s="209"/>
      <c r="J5190" s="124"/>
    </row>
    <row r="5191" spans="3:10" x14ac:dyDescent="0.2">
      <c r="C5191" s="209"/>
      <c r="D5191" s="209"/>
      <c r="E5191" s="209"/>
      <c r="J5191" s="124"/>
    </row>
    <row r="5192" spans="3:10" x14ac:dyDescent="0.2">
      <c r="C5192" s="209"/>
      <c r="D5192" s="209"/>
      <c r="E5192" s="209"/>
      <c r="J5192" s="124"/>
    </row>
    <row r="5193" spans="3:10" x14ac:dyDescent="0.2">
      <c r="C5193" s="209"/>
      <c r="D5193" s="209"/>
      <c r="E5193" s="209"/>
      <c r="J5193" s="124"/>
    </row>
    <row r="5194" spans="3:10" x14ac:dyDescent="0.2">
      <c r="C5194" s="209"/>
      <c r="D5194" s="209"/>
      <c r="E5194" s="209"/>
      <c r="J5194" s="124"/>
    </row>
    <row r="5195" spans="3:10" x14ac:dyDescent="0.2">
      <c r="C5195" s="209"/>
      <c r="D5195" s="209"/>
      <c r="E5195" s="209"/>
      <c r="J5195" s="124"/>
    </row>
    <row r="5196" spans="3:10" x14ac:dyDescent="0.2">
      <c r="C5196" s="209"/>
      <c r="D5196" s="209"/>
      <c r="E5196" s="209"/>
      <c r="J5196" s="124"/>
    </row>
    <row r="5197" spans="3:10" x14ac:dyDescent="0.2">
      <c r="C5197" s="209"/>
      <c r="D5197" s="209"/>
      <c r="E5197" s="209"/>
      <c r="J5197" s="124"/>
    </row>
    <row r="5198" spans="3:10" x14ac:dyDescent="0.2">
      <c r="C5198" s="209"/>
      <c r="D5198" s="209"/>
      <c r="E5198" s="209"/>
      <c r="J5198" s="124"/>
    </row>
    <row r="5199" spans="3:10" x14ac:dyDescent="0.2">
      <c r="C5199" s="209"/>
      <c r="D5199" s="209"/>
      <c r="E5199" s="209"/>
      <c r="J5199" s="124"/>
    </row>
    <row r="5200" spans="3:10" x14ac:dyDescent="0.2">
      <c r="C5200" s="209"/>
      <c r="D5200" s="209"/>
      <c r="E5200" s="209"/>
      <c r="J5200" s="124"/>
    </row>
    <row r="5201" spans="3:10" x14ac:dyDescent="0.2">
      <c r="C5201" s="209"/>
      <c r="D5201" s="209"/>
      <c r="E5201" s="209"/>
      <c r="J5201" s="124"/>
    </row>
    <row r="5202" spans="3:10" x14ac:dyDescent="0.2">
      <c r="C5202" s="209"/>
      <c r="D5202" s="209"/>
      <c r="E5202" s="209"/>
      <c r="J5202" s="124"/>
    </row>
    <row r="5203" spans="3:10" x14ac:dyDescent="0.2">
      <c r="C5203" s="209"/>
      <c r="D5203" s="209"/>
      <c r="E5203" s="209"/>
      <c r="J5203" s="124"/>
    </row>
    <row r="5204" spans="3:10" x14ac:dyDescent="0.2">
      <c r="C5204" s="209"/>
      <c r="D5204" s="209"/>
      <c r="E5204" s="209"/>
      <c r="J5204" s="124"/>
    </row>
    <row r="5205" spans="3:10" x14ac:dyDescent="0.2">
      <c r="C5205" s="209"/>
      <c r="D5205" s="209"/>
      <c r="E5205" s="209"/>
      <c r="J5205" s="124"/>
    </row>
    <row r="5206" spans="3:10" x14ac:dyDescent="0.2">
      <c r="C5206" s="209"/>
      <c r="D5206" s="209"/>
      <c r="E5206" s="209"/>
      <c r="J5206" s="124"/>
    </row>
    <row r="5207" spans="3:10" x14ac:dyDescent="0.2">
      <c r="C5207" s="209"/>
      <c r="D5207" s="209"/>
      <c r="E5207" s="209"/>
      <c r="J5207" s="124"/>
    </row>
    <row r="5208" spans="3:10" x14ac:dyDescent="0.2">
      <c r="C5208" s="209"/>
      <c r="D5208" s="209"/>
      <c r="E5208" s="209"/>
      <c r="J5208" s="124"/>
    </row>
    <row r="5209" spans="3:10" x14ac:dyDescent="0.2">
      <c r="C5209" s="209"/>
      <c r="D5209" s="209"/>
      <c r="E5209" s="209"/>
      <c r="J5209" s="124"/>
    </row>
    <row r="5210" spans="3:10" x14ac:dyDescent="0.2">
      <c r="C5210" s="209"/>
      <c r="D5210" s="209"/>
      <c r="E5210" s="209"/>
      <c r="J5210" s="124"/>
    </row>
    <row r="5211" spans="3:10" x14ac:dyDescent="0.2">
      <c r="C5211" s="209"/>
      <c r="D5211" s="209"/>
      <c r="E5211" s="209"/>
      <c r="J5211" s="124"/>
    </row>
    <row r="5212" spans="3:10" x14ac:dyDescent="0.2">
      <c r="C5212" s="209"/>
      <c r="D5212" s="209"/>
      <c r="E5212" s="209"/>
      <c r="J5212" s="124"/>
    </row>
    <row r="5213" spans="3:10" x14ac:dyDescent="0.2">
      <c r="C5213" s="209"/>
      <c r="D5213" s="209"/>
      <c r="E5213" s="209"/>
      <c r="J5213" s="124"/>
    </row>
    <row r="5214" spans="3:10" x14ac:dyDescent="0.2">
      <c r="C5214" s="209"/>
      <c r="D5214" s="209"/>
      <c r="E5214" s="209"/>
      <c r="J5214" s="124"/>
    </row>
    <row r="5215" spans="3:10" x14ac:dyDescent="0.2">
      <c r="C5215" s="209"/>
      <c r="D5215" s="209"/>
      <c r="E5215" s="209"/>
      <c r="J5215" s="124"/>
    </row>
    <row r="5216" spans="3:10" x14ac:dyDescent="0.2">
      <c r="C5216" s="209"/>
      <c r="D5216" s="209"/>
      <c r="E5216" s="209"/>
      <c r="J5216" s="124"/>
    </row>
    <row r="5217" spans="3:10" x14ac:dyDescent="0.2">
      <c r="C5217" s="209"/>
      <c r="D5217" s="209"/>
      <c r="E5217" s="209"/>
      <c r="J5217" s="124"/>
    </row>
    <row r="5218" spans="3:10" x14ac:dyDescent="0.2">
      <c r="C5218" s="209"/>
      <c r="D5218" s="209"/>
      <c r="E5218" s="209"/>
      <c r="J5218" s="124"/>
    </row>
    <row r="5219" spans="3:10" x14ac:dyDescent="0.2">
      <c r="C5219" s="209"/>
      <c r="D5219" s="209"/>
      <c r="E5219" s="209"/>
      <c r="J5219" s="124"/>
    </row>
    <row r="5220" spans="3:10" x14ac:dyDescent="0.2">
      <c r="C5220" s="209"/>
      <c r="D5220" s="209"/>
      <c r="E5220" s="209"/>
      <c r="J5220" s="124"/>
    </row>
    <row r="5221" spans="3:10" x14ac:dyDescent="0.2">
      <c r="C5221" s="209"/>
      <c r="D5221" s="209"/>
      <c r="E5221" s="209"/>
      <c r="J5221" s="124"/>
    </row>
    <row r="5222" spans="3:10" x14ac:dyDescent="0.2">
      <c r="C5222" s="209"/>
      <c r="D5222" s="209"/>
      <c r="E5222" s="209"/>
      <c r="J5222" s="124"/>
    </row>
    <row r="5223" spans="3:10" x14ac:dyDescent="0.2">
      <c r="C5223" s="209"/>
      <c r="D5223" s="209"/>
      <c r="E5223" s="209"/>
      <c r="J5223" s="124"/>
    </row>
    <row r="5224" spans="3:10" x14ac:dyDescent="0.2">
      <c r="C5224" s="209"/>
      <c r="D5224" s="209"/>
      <c r="E5224" s="209"/>
      <c r="J5224" s="124"/>
    </row>
    <row r="5225" spans="3:10" x14ac:dyDescent="0.2">
      <c r="C5225" s="209"/>
      <c r="D5225" s="209"/>
      <c r="E5225" s="209"/>
      <c r="J5225" s="124"/>
    </row>
    <row r="5226" spans="3:10" x14ac:dyDescent="0.2">
      <c r="C5226" s="209"/>
      <c r="D5226" s="209"/>
      <c r="E5226" s="209"/>
      <c r="J5226" s="124"/>
    </row>
    <row r="5227" spans="3:10" x14ac:dyDescent="0.2">
      <c r="C5227" s="209"/>
      <c r="D5227" s="209"/>
      <c r="E5227" s="209"/>
      <c r="J5227" s="124"/>
    </row>
    <row r="5228" spans="3:10" x14ac:dyDescent="0.2">
      <c r="C5228" s="209"/>
      <c r="D5228" s="209"/>
      <c r="E5228" s="209"/>
      <c r="J5228" s="124"/>
    </row>
    <row r="5229" spans="3:10" x14ac:dyDescent="0.2">
      <c r="C5229" s="209"/>
      <c r="D5229" s="209"/>
      <c r="E5229" s="209"/>
      <c r="J5229" s="124"/>
    </row>
    <row r="5230" spans="3:10" x14ac:dyDescent="0.2">
      <c r="C5230" s="209"/>
      <c r="D5230" s="209"/>
      <c r="E5230" s="209"/>
      <c r="J5230" s="124"/>
    </row>
    <row r="5231" spans="3:10" x14ac:dyDescent="0.2">
      <c r="C5231" s="209"/>
      <c r="D5231" s="209"/>
      <c r="E5231" s="209"/>
      <c r="J5231" s="124"/>
    </row>
    <row r="5232" spans="3:10" x14ac:dyDescent="0.2">
      <c r="C5232" s="209"/>
      <c r="D5232" s="209"/>
      <c r="E5232" s="209"/>
      <c r="J5232" s="124"/>
    </row>
    <row r="5233" spans="3:10" x14ac:dyDescent="0.2">
      <c r="C5233" s="209"/>
      <c r="D5233" s="209"/>
      <c r="E5233" s="209"/>
      <c r="J5233" s="124"/>
    </row>
    <row r="5234" spans="3:10" x14ac:dyDescent="0.2">
      <c r="C5234" s="209"/>
      <c r="D5234" s="209"/>
      <c r="E5234" s="209"/>
      <c r="J5234" s="124"/>
    </row>
    <row r="5235" spans="3:10" x14ac:dyDescent="0.2">
      <c r="C5235" s="209"/>
      <c r="D5235" s="209"/>
      <c r="E5235" s="209"/>
      <c r="J5235" s="124"/>
    </row>
    <row r="5236" spans="3:10" x14ac:dyDescent="0.2">
      <c r="C5236" s="209"/>
      <c r="D5236" s="209"/>
      <c r="E5236" s="209"/>
      <c r="J5236" s="124"/>
    </row>
    <row r="5237" spans="3:10" x14ac:dyDescent="0.2">
      <c r="C5237" s="209"/>
      <c r="D5237" s="209"/>
      <c r="E5237" s="209"/>
      <c r="J5237" s="124"/>
    </row>
    <row r="5238" spans="3:10" x14ac:dyDescent="0.2">
      <c r="C5238" s="209"/>
      <c r="D5238" s="209"/>
      <c r="E5238" s="209"/>
      <c r="J5238" s="124"/>
    </row>
    <row r="5239" spans="3:10" x14ac:dyDescent="0.2">
      <c r="C5239" s="209"/>
      <c r="D5239" s="209"/>
      <c r="E5239" s="209"/>
      <c r="J5239" s="124"/>
    </row>
    <row r="5240" spans="3:10" x14ac:dyDescent="0.2">
      <c r="C5240" s="209"/>
      <c r="D5240" s="209"/>
      <c r="E5240" s="209"/>
      <c r="J5240" s="124"/>
    </row>
    <row r="5241" spans="3:10" x14ac:dyDescent="0.2">
      <c r="C5241" s="209"/>
      <c r="D5241" s="209"/>
      <c r="E5241" s="209"/>
      <c r="J5241" s="124"/>
    </row>
    <row r="5242" spans="3:10" x14ac:dyDescent="0.2">
      <c r="C5242" s="209"/>
      <c r="D5242" s="209"/>
      <c r="E5242" s="209"/>
      <c r="J5242" s="124"/>
    </row>
    <row r="5243" spans="3:10" x14ac:dyDescent="0.2">
      <c r="C5243" s="209"/>
      <c r="D5243" s="209"/>
      <c r="E5243" s="209"/>
      <c r="J5243" s="124"/>
    </row>
    <row r="5244" spans="3:10" x14ac:dyDescent="0.2">
      <c r="C5244" s="209"/>
      <c r="D5244" s="209"/>
      <c r="E5244" s="209"/>
      <c r="J5244" s="124"/>
    </row>
    <row r="5245" spans="3:10" x14ac:dyDescent="0.2">
      <c r="C5245" s="209"/>
      <c r="D5245" s="209"/>
      <c r="E5245" s="209"/>
      <c r="J5245" s="124"/>
    </row>
    <row r="5246" spans="3:10" x14ac:dyDescent="0.2">
      <c r="C5246" s="209"/>
      <c r="D5246" s="209"/>
      <c r="E5246" s="209"/>
      <c r="J5246" s="124"/>
    </row>
    <row r="5247" spans="3:10" x14ac:dyDescent="0.2">
      <c r="C5247" s="209"/>
      <c r="D5247" s="209"/>
      <c r="E5247" s="209"/>
      <c r="J5247" s="124"/>
    </row>
    <row r="5248" spans="3:10" x14ac:dyDescent="0.2">
      <c r="C5248" s="209"/>
      <c r="D5248" s="209"/>
      <c r="E5248" s="209"/>
      <c r="J5248" s="124"/>
    </row>
    <row r="5249" spans="3:10" x14ac:dyDescent="0.2">
      <c r="C5249" s="209"/>
      <c r="D5249" s="209"/>
      <c r="E5249" s="209"/>
      <c r="J5249" s="124"/>
    </row>
    <row r="5250" spans="3:10" x14ac:dyDescent="0.2">
      <c r="C5250" s="209"/>
      <c r="D5250" s="209"/>
      <c r="E5250" s="209"/>
      <c r="J5250" s="124"/>
    </row>
    <row r="5251" spans="3:10" x14ac:dyDescent="0.2">
      <c r="C5251" s="209"/>
      <c r="D5251" s="209"/>
      <c r="E5251" s="209"/>
      <c r="J5251" s="124"/>
    </row>
    <row r="5252" spans="3:10" x14ac:dyDescent="0.2">
      <c r="C5252" s="209"/>
      <c r="D5252" s="209"/>
      <c r="E5252" s="209"/>
      <c r="J5252" s="124"/>
    </row>
    <row r="5253" spans="3:10" x14ac:dyDescent="0.2">
      <c r="C5253" s="209"/>
      <c r="D5253" s="209"/>
      <c r="E5253" s="209"/>
      <c r="J5253" s="124"/>
    </row>
    <row r="5254" spans="3:10" x14ac:dyDescent="0.2">
      <c r="C5254" s="209"/>
      <c r="D5254" s="209"/>
      <c r="E5254" s="209"/>
      <c r="J5254" s="124"/>
    </row>
    <row r="5255" spans="3:10" x14ac:dyDescent="0.2">
      <c r="C5255" s="209"/>
      <c r="D5255" s="209"/>
      <c r="E5255" s="209"/>
      <c r="J5255" s="124"/>
    </row>
    <row r="5256" spans="3:10" x14ac:dyDescent="0.2">
      <c r="C5256" s="209"/>
      <c r="D5256" s="209"/>
      <c r="E5256" s="209"/>
      <c r="J5256" s="124"/>
    </row>
    <row r="5257" spans="3:10" x14ac:dyDescent="0.2">
      <c r="C5257" s="209"/>
      <c r="D5257" s="209"/>
      <c r="E5257" s="209"/>
      <c r="J5257" s="124"/>
    </row>
    <row r="5258" spans="3:10" x14ac:dyDescent="0.2">
      <c r="C5258" s="209"/>
      <c r="D5258" s="209"/>
      <c r="E5258" s="209"/>
      <c r="J5258" s="124"/>
    </row>
    <row r="5259" spans="3:10" x14ac:dyDescent="0.2">
      <c r="C5259" s="209"/>
      <c r="D5259" s="209"/>
      <c r="E5259" s="209"/>
      <c r="J5259" s="124"/>
    </row>
    <row r="5260" spans="3:10" x14ac:dyDescent="0.2">
      <c r="C5260" s="209"/>
      <c r="D5260" s="209"/>
      <c r="E5260" s="209"/>
      <c r="J5260" s="124"/>
    </row>
    <row r="5261" spans="3:10" x14ac:dyDescent="0.2">
      <c r="C5261" s="209"/>
      <c r="D5261" s="209"/>
      <c r="E5261" s="209"/>
      <c r="J5261" s="124"/>
    </row>
    <row r="5262" spans="3:10" x14ac:dyDescent="0.2">
      <c r="C5262" s="209"/>
      <c r="D5262" s="209"/>
      <c r="E5262" s="209"/>
      <c r="J5262" s="124"/>
    </row>
    <row r="5263" spans="3:10" x14ac:dyDescent="0.2">
      <c r="C5263" s="209"/>
      <c r="D5263" s="209"/>
      <c r="E5263" s="209"/>
      <c r="J5263" s="124"/>
    </row>
    <row r="5264" spans="3:10" x14ac:dyDescent="0.2">
      <c r="C5264" s="209"/>
      <c r="D5264" s="209"/>
      <c r="E5264" s="209"/>
      <c r="J5264" s="124"/>
    </row>
    <row r="5265" spans="3:10" x14ac:dyDescent="0.2">
      <c r="C5265" s="209"/>
      <c r="D5265" s="209"/>
      <c r="E5265" s="209"/>
      <c r="J5265" s="124"/>
    </row>
    <row r="5266" spans="3:10" x14ac:dyDescent="0.2">
      <c r="C5266" s="209"/>
      <c r="D5266" s="209"/>
      <c r="E5266" s="209"/>
      <c r="J5266" s="124"/>
    </row>
    <row r="5267" spans="3:10" x14ac:dyDescent="0.2">
      <c r="C5267" s="209"/>
      <c r="D5267" s="209"/>
      <c r="E5267" s="209"/>
      <c r="J5267" s="124"/>
    </row>
    <row r="5268" spans="3:10" x14ac:dyDescent="0.2">
      <c r="C5268" s="209"/>
      <c r="D5268" s="209"/>
      <c r="E5268" s="209"/>
      <c r="J5268" s="124"/>
    </row>
    <row r="5269" spans="3:10" x14ac:dyDescent="0.2">
      <c r="C5269" s="209"/>
      <c r="D5269" s="209"/>
      <c r="E5269" s="209"/>
      <c r="J5269" s="124"/>
    </row>
    <row r="5270" spans="3:10" x14ac:dyDescent="0.2">
      <c r="C5270" s="209"/>
      <c r="D5270" s="209"/>
      <c r="E5270" s="209"/>
      <c r="J5270" s="124"/>
    </row>
    <row r="5271" spans="3:10" x14ac:dyDescent="0.2">
      <c r="C5271" s="209"/>
      <c r="D5271" s="209"/>
      <c r="E5271" s="209"/>
      <c r="J5271" s="124"/>
    </row>
    <row r="5272" spans="3:10" x14ac:dyDescent="0.2">
      <c r="C5272" s="209"/>
      <c r="D5272" s="209"/>
      <c r="E5272" s="209"/>
      <c r="J5272" s="124"/>
    </row>
    <row r="5273" spans="3:10" x14ac:dyDescent="0.2">
      <c r="C5273" s="209"/>
      <c r="D5273" s="209"/>
      <c r="E5273" s="209"/>
      <c r="J5273" s="124"/>
    </row>
    <row r="5274" spans="3:10" x14ac:dyDescent="0.2">
      <c r="C5274" s="209"/>
      <c r="D5274" s="209"/>
      <c r="E5274" s="209"/>
      <c r="J5274" s="124"/>
    </row>
    <row r="5275" spans="3:10" x14ac:dyDescent="0.2">
      <c r="C5275" s="209"/>
      <c r="D5275" s="209"/>
      <c r="E5275" s="209"/>
      <c r="J5275" s="124"/>
    </row>
    <row r="5276" spans="3:10" x14ac:dyDescent="0.2">
      <c r="C5276" s="209"/>
      <c r="D5276" s="209"/>
      <c r="E5276" s="209"/>
      <c r="J5276" s="124"/>
    </row>
    <row r="5277" spans="3:10" x14ac:dyDescent="0.2">
      <c r="C5277" s="209"/>
      <c r="D5277" s="209"/>
      <c r="E5277" s="209"/>
      <c r="J5277" s="124"/>
    </row>
    <row r="5278" spans="3:10" x14ac:dyDescent="0.2">
      <c r="C5278" s="209"/>
      <c r="D5278" s="209"/>
      <c r="E5278" s="209"/>
      <c r="J5278" s="124"/>
    </row>
    <row r="5279" spans="3:10" x14ac:dyDescent="0.2">
      <c r="C5279" s="209"/>
      <c r="D5279" s="209"/>
      <c r="E5279" s="209"/>
      <c r="J5279" s="124"/>
    </row>
    <row r="5280" spans="3:10" x14ac:dyDescent="0.2">
      <c r="C5280" s="209"/>
      <c r="D5280" s="209"/>
      <c r="E5280" s="209"/>
      <c r="J5280" s="124"/>
    </row>
    <row r="5281" spans="3:10" x14ac:dyDescent="0.2">
      <c r="C5281" s="209"/>
      <c r="D5281" s="209"/>
      <c r="E5281" s="209"/>
      <c r="J5281" s="124"/>
    </row>
    <row r="5282" spans="3:10" x14ac:dyDescent="0.2">
      <c r="C5282" s="209"/>
      <c r="D5282" s="209"/>
      <c r="E5282" s="209"/>
      <c r="J5282" s="124"/>
    </row>
    <row r="5283" spans="3:10" x14ac:dyDescent="0.2">
      <c r="C5283" s="209"/>
      <c r="D5283" s="209"/>
      <c r="E5283" s="209"/>
      <c r="J5283" s="124"/>
    </row>
    <row r="5284" spans="3:10" x14ac:dyDescent="0.2">
      <c r="C5284" s="209"/>
      <c r="D5284" s="209"/>
      <c r="E5284" s="209"/>
      <c r="J5284" s="124"/>
    </row>
    <row r="5285" spans="3:10" x14ac:dyDescent="0.2">
      <c r="C5285" s="209"/>
      <c r="D5285" s="209"/>
      <c r="E5285" s="209"/>
      <c r="J5285" s="124"/>
    </row>
    <row r="5286" spans="3:10" x14ac:dyDescent="0.2">
      <c r="C5286" s="209"/>
      <c r="D5286" s="209"/>
      <c r="E5286" s="209"/>
      <c r="J5286" s="124"/>
    </row>
    <row r="5287" spans="3:10" x14ac:dyDescent="0.2">
      <c r="C5287" s="209"/>
      <c r="D5287" s="209"/>
      <c r="E5287" s="209"/>
      <c r="J5287" s="124"/>
    </row>
    <row r="5288" spans="3:10" x14ac:dyDescent="0.2">
      <c r="C5288" s="209"/>
      <c r="D5288" s="209"/>
      <c r="E5288" s="209"/>
      <c r="J5288" s="124"/>
    </row>
    <row r="5289" spans="3:10" x14ac:dyDescent="0.2">
      <c r="C5289" s="209"/>
      <c r="D5289" s="209"/>
      <c r="E5289" s="209"/>
      <c r="J5289" s="124"/>
    </row>
    <row r="5290" spans="3:10" x14ac:dyDescent="0.2">
      <c r="C5290" s="209"/>
      <c r="D5290" s="209"/>
      <c r="E5290" s="209"/>
      <c r="J5290" s="124"/>
    </row>
    <row r="5291" spans="3:10" x14ac:dyDescent="0.2">
      <c r="C5291" s="209"/>
      <c r="D5291" s="209"/>
      <c r="E5291" s="209"/>
      <c r="J5291" s="124"/>
    </row>
    <row r="5292" spans="3:10" x14ac:dyDescent="0.2">
      <c r="C5292" s="209"/>
      <c r="D5292" s="209"/>
      <c r="E5292" s="209"/>
      <c r="J5292" s="124"/>
    </row>
    <row r="5293" spans="3:10" x14ac:dyDescent="0.2">
      <c r="C5293" s="209"/>
      <c r="D5293" s="209"/>
      <c r="E5293" s="209"/>
      <c r="J5293" s="124"/>
    </row>
    <row r="5294" spans="3:10" x14ac:dyDescent="0.2">
      <c r="C5294" s="209"/>
      <c r="D5294" s="209"/>
      <c r="E5294" s="209"/>
      <c r="J5294" s="124"/>
    </row>
    <row r="5295" spans="3:10" x14ac:dyDescent="0.2">
      <c r="C5295" s="209"/>
      <c r="D5295" s="209"/>
      <c r="E5295" s="209"/>
      <c r="J5295" s="124"/>
    </row>
    <row r="5296" spans="3:10" x14ac:dyDescent="0.2">
      <c r="C5296" s="209"/>
      <c r="D5296" s="209"/>
      <c r="E5296" s="209"/>
      <c r="J5296" s="124"/>
    </row>
    <row r="5297" spans="3:10" x14ac:dyDescent="0.2">
      <c r="C5297" s="209"/>
      <c r="D5297" s="209"/>
      <c r="E5297" s="209"/>
      <c r="J5297" s="124"/>
    </row>
    <row r="5298" spans="3:10" x14ac:dyDescent="0.2">
      <c r="C5298" s="209"/>
      <c r="D5298" s="209"/>
      <c r="E5298" s="209"/>
      <c r="J5298" s="124"/>
    </row>
    <row r="5299" spans="3:10" x14ac:dyDescent="0.2">
      <c r="C5299" s="209"/>
      <c r="D5299" s="209"/>
      <c r="E5299" s="209"/>
      <c r="J5299" s="124"/>
    </row>
    <row r="5300" spans="3:10" x14ac:dyDescent="0.2">
      <c r="C5300" s="209"/>
      <c r="D5300" s="209"/>
      <c r="E5300" s="209"/>
      <c r="J5300" s="124"/>
    </row>
    <row r="5301" spans="3:10" x14ac:dyDescent="0.2">
      <c r="C5301" s="209"/>
      <c r="D5301" s="209"/>
      <c r="E5301" s="209"/>
      <c r="J5301" s="124"/>
    </row>
    <row r="5302" spans="3:10" x14ac:dyDescent="0.2">
      <c r="C5302" s="209"/>
      <c r="D5302" s="209"/>
      <c r="E5302" s="209"/>
      <c r="J5302" s="124"/>
    </row>
    <row r="5303" spans="3:10" x14ac:dyDescent="0.2">
      <c r="C5303" s="209"/>
      <c r="D5303" s="209"/>
      <c r="E5303" s="209"/>
      <c r="J5303" s="124"/>
    </row>
    <row r="5304" spans="3:10" x14ac:dyDescent="0.2">
      <c r="C5304" s="209"/>
      <c r="D5304" s="209"/>
      <c r="E5304" s="209"/>
      <c r="J5304" s="124"/>
    </row>
    <row r="5305" spans="3:10" x14ac:dyDescent="0.2">
      <c r="C5305" s="209"/>
      <c r="D5305" s="209"/>
      <c r="E5305" s="209"/>
      <c r="J5305" s="124"/>
    </row>
    <row r="5306" spans="3:10" x14ac:dyDescent="0.2">
      <c r="C5306" s="209"/>
      <c r="D5306" s="209"/>
      <c r="E5306" s="209"/>
      <c r="J5306" s="124"/>
    </row>
    <row r="5307" spans="3:10" x14ac:dyDescent="0.2">
      <c r="C5307" s="209"/>
      <c r="D5307" s="209"/>
      <c r="E5307" s="209"/>
      <c r="J5307" s="124"/>
    </row>
    <row r="5308" spans="3:10" x14ac:dyDescent="0.2">
      <c r="C5308" s="209"/>
      <c r="D5308" s="209"/>
      <c r="E5308" s="209"/>
      <c r="J5308" s="124"/>
    </row>
    <row r="5309" spans="3:10" x14ac:dyDescent="0.2">
      <c r="C5309" s="209"/>
      <c r="D5309" s="209"/>
      <c r="E5309" s="209"/>
      <c r="J5309" s="124"/>
    </row>
    <row r="5310" spans="3:10" x14ac:dyDescent="0.2">
      <c r="C5310" s="209"/>
      <c r="D5310" s="209"/>
      <c r="E5310" s="209"/>
      <c r="J5310" s="124"/>
    </row>
    <row r="5311" spans="3:10" x14ac:dyDescent="0.2">
      <c r="C5311" s="209"/>
      <c r="D5311" s="209"/>
      <c r="E5311" s="209"/>
      <c r="J5311" s="124"/>
    </row>
    <row r="5312" spans="3:10" x14ac:dyDescent="0.2">
      <c r="C5312" s="209"/>
      <c r="D5312" s="209"/>
      <c r="E5312" s="209"/>
      <c r="J5312" s="124"/>
    </row>
    <row r="5313" spans="3:10" x14ac:dyDescent="0.2">
      <c r="C5313" s="209"/>
      <c r="D5313" s="209"/>
      <c r="E5313" s="209"/>
      <c r="J5313" s="124"/>
    </row>
    <row r="5314" spans="3:10" x14ac:dyDescent="0.2">
      <c r="C5314" s="209"/>
      <c r="D5314" s="209"/>
      <c r="E5314" s="209"/>
      <c r="J5314" s="124"/>
    </row>
    <row r="5315" spans="3:10" x14ac:dyDescent="0.2">
      <c r="C5315" s="209"/>
      <c r="D5315" s="209"/>
      <c r="E5315" s="209"/>
      <c r="J5315" s="124"/>
    </row>
    <row r="5316" spans="3:10" x14ac:dyDescent="0.2">
      <c r="C5316" s="209"/>
      <c r="D5316" s="209"/>
      <c r="E5316" s="209"/>
      <c r="J5316" s="124"/>
    </row>
    <row r="5317" spans="3:10" x14ac:dyDescent="0.2">
      <c r="C5317" s="209"/>
      <c r="D5317" s="209"/>
      <c r="E5317" s="209"/>
      <c r="J5317" s="124"/>
    </row>
    <row r="5318" spans="3:10" x14ac:dyDescent="0.2">
      <c r="C5318" s="209"/>
      <c r="D5318" s="209"/>
      <c r="E5318" s="209"/>
      <c r="J5318" s="124"/>
    </row>
    <row r="5319" spans="3:10" x14ac:dyDescent="0.2">
      <c r="C5319" s="209"/>
      <c r="D5319" s="209"/>
      <c r="E5319" s="209"/>
      <c r="J5319" s="124"/>
    </row>
    <row r="5320" spans="3:10" x14ac:dyDescent="0.2">
      <c r="C5320" s="209"/>
      <c r="D5320" s="209"/>
      <c r="E5320" s="209"/>
      <c r="J5320" s="124"/>
    </row>
    <row r="5321" spans="3:10" x14ac:dyDescent="0.2">
      <c r="C5321" s="209"/>
      <c r="D5321" s="209"/>
      <c r="E5321" s="209"/>
      <c r="J5321" s="124"/>
    </row>
    <row r="5322" spans="3:10" x14ac:dyDescent="0.2">
      <c r="C5322" s="209"/>
      <c r="D5322" s="209"/>
      <c r="E5322" s="209"/>
      <c r="J5322" s="124"/>
    </row>
    <row r="5323" spans="3:10" x14ac:dyDescent="0.2">
      <c r="C5323" s="209"/>
      <c r="D5323" s="209"/>
      <c r="E5323" s="209"/>
      <c r="J5323" s="124"/>
    </row>
    <row r="5324" spans="3:10" x14ac:dyDescent="0.2">
      <c r="C5324" s="209"/>
      <c r="D5324" s="209"/>
      <c r="E5324" s="209"/>
      <c r="J5324" s="124"/>
    </row>
    <row r="5325" spans="3:10" x14ac:dyDescent="0.2">
      <c r="C5325" s="209"/>
      <c r="D5325" s="209"/>
      <c r="E5325" s="209"/>
      <c r="J5325" s="124"/>
    </row>
    <row r="5326" spans="3:10" x14ac:dyDescent="0.2">
      <c r="C5326" s="209"/>
      <c r="D5326" s="209"/>
      <c r="E5326" s="209"/>
      <c r="J5326" s="124"/>
    </row>
    <row r="5327" spans="3:10" x14ac:dyDescent="0.2">
      <c r="C5327" s="209"/>
      <c r="D5327" s="209"/>
      <c r="E5327" s="209"/>
      <c r="J5327" s="124"/>
    </row>
    <row r="5328" spans="3:10" x14ac:dyDescent="0.2">
      <c r="C5328" s="209"/>
      <c r="D5328" s="209"/>
      <c r="E5328" s="209"/>
      <c r="J5328" s="124"/>
    </row>
    <row r="5329" spans="3:10" x14ac:dyDescent="0.2">
      <c r="C5329" s="209"/>
      <c r="D5329" s="209"/>
      <c r="E5329" s="209"/>
      <c r="J5329" s="124"/>
    </row>
    <row r="5330" spans="3:10" x14ac:dyDescent="0.2">
      <c r="C5330" s="209"/>
      <c r="D5330" s="209"/>
      <c r="E5330" s="209"/>
      <c r="J5330" s="124"/>
    </row>
    <row r="5331" spans="3:10" x14ac:dyDescent="0.2">
      <c r="C5331" s="209"/>
      <c r="D5331" s="209"/>
      <c r="E5331" s="209"/>
      <c r="J5331" s="124"/>
    </row>
    <row r="5332" spans="3:10" x14ac:dyDescent="0.2">
      <c r="C5332" s="209"/>
      <c r="D5332" s="209"/>
      <c r="E5332" s="209"/>
      <c r="J5332" s="124"/>
    </row>
    <row r="5333" spans="3:10" x14ac:dyDescent="0.2">
      <c r="C5333" s="209"/>
      <c r="D5333" s="209"/>
      <c r="E5333" s="209"/>
      <c r="J5333" s="124"/>
    </row>
    <row r="5334" spans="3:10" x14ac:dyDescent="0.2">
      <c r="C5334" s="209"/>
      <c r="D5334" s="209"/>
      <c r="E5334" s="209"/>
      <c r="J5334" s="124"/>
    </row>
    <row r="5335" spans="3:10" x14ac:dyDescent="0.2">
      <c r="C5335" s="209"/>
      <c r="D5335" s="209"/>
      <c r="E5335" s="209"/>
      <c r="J5335" s="124"/>
    </row>
    <row r="5336" spans="3:10" x14ac:dyDescent="0.2">
      <c r="C5336" s="209"/>
      <c r="D5336" s="209"/>
      <c r="E5336" s="209"/>
      <c r="J5336" s="124"/>
    </row>
    <row r="5337" spans="3:10" x14ac:dyDescent="0.2">
      <c r="C5337" s="209"/>
      <c r="D5337" s="209"/>
      <c r="E5337" s="209"/>
      <c r="J5337" s="124"/>
    </row>
    <row r="5338" spans="3:10" x14ac:dyDescent="0.2">
      <c r="C5338" s="209"/>
      <c r="D5338" s="209"/>
      <c r="E5338" s="209"/>
      <c r="J5338" s="124"/>
    </row>
    <row r="5339" spans="3:10" x14ac:dyDescent="0.2">
      <c r="C5339" s="209"/>
      <c r="D5339" s="209"/>
      <c r="E5339" s="209"/>
      <c r="J5339" s="124"/>
    </row>
    <row r="5340" spans="3:10" x14ac:dyDescent="0.2">
      <c r="C5340" s="209"/>
      <c r="D5340" s="209"/>
      <c r="E5340" s="209"/>
      <c r="J5340" s="124"/>
    </row>
    <row r="5341" spans="3:10" x14ac:dyDescent="0.2">
      <c r="C5341" s="209"/>
      <c r="D5341" s="209"/>
      <c r="E5341" s="209"/>
      <c r="J5341" s="124"/>
    </row>
    <row r="5342" spans="3:10" x14ac:dyDescent="0.2">
      <c r="C5342" s="209"/>
      <c r="D5342" s="209"/>
      <c r="E5342" s="209"/>
      <c r="J5342" s="124"/>
    </row>
    <row r="5343" spans="3:10" x14ac:dyDescent="0.2">
      <c r="C5343" s="209"/>
      <c r="D5343" s="209"/>
      <c r="E5343" s="209"/>
      <c r="J5343" s="124"/>
    </row>
    <row r="5344" spans="3:10" x14ac:dyDescent="0.2">
      <c r="C5344" s="209"/>
      <c r="D5344" s="209"/>
      <c r="E5344" s="209"/>
      <c r="J5344" s="124"/>
    </row>
    <row r="5345" spans="3:10" x14ac:dyDescent="0.2">
      <c r="C5345" s="209"/>
      <c r="D5345" s="209"/>
      <c r="E5345" s="209"/>
      <c r="J5345" s="124"/>
    </row>
    <row r="5346" spans="3:10" x14ac:dyDescent="0.2">
      <c r="C5346" s="209"/>
      <c r="D5346" s="209"/>
      <c r="E5346" s="209"/>
      <c r="J5346" s="124"/>
    </row>
    <row r="5347" spans="3:10" x14ac:dyDescent="0.2">
      <c r="C5347" s="209"/>
      <c r="D5347" s="209"/>
      <c r="E5347" s="209"/>
      <c r="J5347" s="124"/>
    </row>
    <row r="5348" spans="3:10" x14ac:dyDescent="0.2">
      <c r="C5348" s="209"/>
      <c r="D5348" s="209"/>
      <c r="E5348" s="209"/>
      <c r="J5348" s="124"/>
    </row>
    <row r="5349" spans="3:10" x14ac:dyDescent="0.2">
      <c r="C5349" s="209"/>
      <c r="D5349" s="209"/>
      <c r="E5349" s="209"/>
      <c r="J5349" s="124"/>
    </row>
    <row r="5350" spans="3:10" x14ac:dyDescent="0.2">
      <c r="C5350" s="209"/>
      <c r="D5350" s="209"/>
      <c r="E5350" s="209"/>
      <c r="J5350" s="124"/>
    </row>
    <row r="5351" spans="3:10" x14ac:dyDescent="0.2">
      <c r="C5351" s="209"/>
      <c r="D5351" s="209"/>
      <c r="E5351" s="209"/>
      <c r="J5351" s="124"/>
    </row>
    <row r="5352" spans="3:10" x14ac:dyDescent="0.2">
      <c r="C5352" s="209"/>
      <c r="D5352" s="209"/>
      <c r="E5352" s="209"/>
      <c r="J5352" s="124"/>
    </row>
    <row r="5353" spans="3:10" x14ac:dyDescent="0.2">
      <c r="C5353" s="209"/>
      <c r="D5353" s="209"/>
      <c r="E5353" s="209"/>
      <c r="J5353" s="124"/>
    </row>
    <row r="5354" spans="3:10" x14ac:dyDescent="0.2">
      <c r="C5354" s="209"/>
      <c r="D5354" s="209"/>
      <c r="E5354" s="209"/>
      <c r="J5354" s="124"/>
    </row>
    <row r="5355" spans="3:10" x14ac:dyDescent="0.2">
      <c r="C5355" s="209"/>
      <c r="D5355" s="209"/>
      <c r="E5355" s="209"/>
      <c r="J5355" s="124"/>
    </row>
    <row r="5356" spans="3:10" x14ac:dyDescent="0.2">
      <c r="C5356" s="209"/>
      <c r="D5356" s="209"/>
      <c r="E5356" s="209"/>
      <c r="J5356" s="124"/>
    </row>
    <row r="5357" spans="3:10" x14ac:dyDescent="0.2">
      <c r="C5357" s="209"/>
      <c r="D5357" s="209"/>
      <c r="E5357" s="209"/>
      <c r="J5357" s="124"/>
    </row>
    <row r="5358" spans="3:10" x14ac:dyDescent="0.2">
      <c r="C5358" s="209"/>
      <c r="D5358" s="209"/>
      <c r="E5358" s="209"/>
      <c r="J5358" s="124"/>
    </row>
    <row r="5359" spans="3:10" x14ac:dyDescent="0.2">
      <c r="C5359" s="209"/>
      <c r="D5359" s="209"/>
      <c r="E5359" s="209"/>
      <c r="J5359" s="124"/>
    </row>
    <row r="5360" spans="3:10" x14ac:dyDescent="0.2">
      <c r="C5360" s="209"/>
      <c r="D5360" s="209"/>
      <c r="E5360" s="209"/>
      <c r="J5360" s="124"/>
    </row>
    <row r="5361" spans="3:10" x14ac:dyDescent="0.2">
      <c r="C5361" s="209"/>
      <c r="D5361" s="209"/>
      <c r="E5361" s="209"/>
      <c r="J5361" s="124"/>
    </row>
    <row r="5362" spans="3:10" x14ac:dyDescent="0.2">
      <c r="C5362" s="209"/>
      <c r="D5362" s="209"/>
      <c r="E5362" s="209"/>
      <c r="J5362" s="124"/>
    </row>
    <row r="5363" spans="3:10" x14ac:dyDescent="0.2">
      <c r="C5363" s="209"/>
      <c r="D5363" s="209"/>
      <c r="E5363" s="209"/>
      <c r="J5363" s="124"/>
    </row>
    <row r="5364" spans="3:10" x14ac:dyDescent="0.2">
      <c r="C5364" s="209"/>
      <c r="D5364" s="209"/>
      <c r="E5364" s="209"/>
      <c r="J5364" s="124"/>
    </row>
    <row r="5365" spans="3:10" x14ac:dyDescent="0.2">
      <c r="C5365" s="209"/>
      <c r="D5365" s="209"/>
      <c r="E5365" s="209"/>
      <c r="J5365" s="124"/>
    </row>
    <row r="5366" spans="3:10" x14ac:dyDescent="0.2">
      <c r="C5366" s="209"/>
      <c r="D5366" s="209"/>
      <c r="E5366" s="209"/>
      <c r="J5366" s="124"/>
    </row>
    <row r="5367" spans="3:10" x14ac:dyDescent="0.2">
      <c r="C5367" s="209"/>
      <c r="D5367" s="209"/>
      <c r="E5367" s="209"/>
      <c r="J5367" s="124"/>
    </row>
    <row r="5368" spans="3:10" x14ac:dyDescent="0.2">
      <c r="C5368" s="209"/>
      <c r="D5368" s="209"/>
      <c r="E5368" s="209"/>
      <c r="J5368" s="124"/>
    </row>
    <row r="5369" spans="3:10" x14ac:dyDescent="0.2">
      <c r="C5369" s="209"/>
      <c r="D5369" s="209"/>
      <c r="E5369" s="209"/>
      <c r="J5369" s="124"/>
    </row>
    <row r="5370" spans="3:10" x14ac:dyDescent="0.2">
      <c r="C5370" s="209"/>
      <c r="D5370" s="209"/>
      <c r="E5370" s="209"/>
      <c r="J5370" s="124"/>
    </row>
    <row r="5371" spans="3:10" x14ac:dyDescent="0.2">
      <c r="C5371" s="209"/>
      <c r="D5371" s="209"/>
      <c r="E5371" s="209"/>
      <c r="J5371" s="124"/>
    </row>
    <row r="5372" spans="3:10" x14ac:dyDescent="0.2">
      <c r="C5372" s="209"/>
      <c r="D5372" s="209"/>
      <c r="E5372" s="209"/>
      <c r="J5372" s="124"/>
    </row>
    <row r="5373" spans="3:10" x14ac:dyDescent="0.2">
      <c r="C5373" s="209"/>
      <c r="D5373" s="209"/>
      <c r="E5373" s="209"/>
      <c r="J5373" s="124"/>
    </row>
    <row r="5374" spans="3:10" x14ac:dyDescent="0.2">
      <c r="C5374" s="209"/>
      <c r="D5374" s="209"/>
      <c r="E5374" s="209"/>
      <c r="J5374" s="124"/>
    </row>
    <row r="5375" spans="3:10" x14ac:dyDescent="0.2">
      <c r="C5375" s="209"/>
      <c r="D5375" s="209"/>
      <c r="E5375" s="209"/>
      <c r="J5375" s="124"/>
    </row>
    <row r="5376" spans="3:10" x14ac:dyDescent="0.2">
      <c r="C5376" s="209"/>
      <c r="D5376" s="209"/>
      <c r="E5376" s="209"/>
      <c r="J5376" s="124"/>
    </row>
    <row r="5377" spans="3:10" x14ac:dyDescent="0.2">
      <c r="C5377" s="209"/>
      <c r="D5377" s="209"/>
      <c r="E5377" s="209"/>
      <c r="J5377" s="124"/>
    </row>
    <row r="5378" spans="3:10" x14ac:dyDescent="0.2">
      <c r="C5378" s="209"/>
      <c r="D5378" s="209"/>
      <c r="E5378" s="209"/>
      <c r="J5378" s="124"/>
    </row>
    <row r="5379" spans="3:10" x14ac:dyDescent="0.2">
      <c r="C5379" s="209"/>
      <c r="D5379" s="209"/>
      <c r="E5379" s="209"/>
      <c r="J5379" s="124"/>
    </row>
    <row r="5380" spans="3:10" x14ac:dyDescent="0.2">
      <c r="C5380" s="209"/>
      <c r="D5380" s="209"/>
      <c r="E5380" s="209"/>
      <c r="J5380" s="124"/>
    </row>
    <row r="5381" spans="3:10" x14ac:dyDescent="0.2">
      <c r="C5381" s="209"/>
      <c r="D5381" s="209"/>
      <c r="E5381" s="209"/>
      <c r="J5381" s="124"/>
    </row>
    <row r="5382" spans="3:10" x14ac:dyDescent="0.2">
      <c r="C5382" s="209"/>
      <c r="D5382" s="209"/>
      <c r="E5382" s="209"/>
      <c r="J5382" s="124"/>
    </row>
    <row r="5383" spans="3:10" x14ac:dyDescent="0.2">
      <c r="C5383" s="209"/>
      <c r="D5383" s="209"/>
      <c r="E5383" s="209"/>
      <c r="J5383" s="124"/>
    </row>
    <row r="5384" spans="3:10" x14ac:dyDescent="0.2">
      <c r="C5384" s="209"/>
      <c r="D5384" s="209"/>
      <c r="E5384" s="209"/>
      <c r="J5384" s="124"/>
    </row>
    <row r="5385" spans="3:10" x14ac:dyDescent="0.2">
      <c r="C5385" s="209"/>
      <c r="D5385" s="209"/>
      <c r="E5385" s="209"/>
      <c r="J5385" s="124"/>
    </row>
    <row r="5386" spans="3:10" x14ac:dyDescent="0.2">
      <c r="C5386" s="209"/>
      <c r="D5386" s="209"/>
      <c r="E5386" s="209"/>
      <c r="J5386" s="124"/>
    </row>
    <row r="5387" spans="3:10" x14ac:dyDescent="0.2">
      <c r="C5387" s="209"/>
      <c r="D5387" s="209"/>
      <c r="E5387" s="209"/>
      <c r="J5387" s="124"/>
    </row>
    <row r="5388" spans="3:10" x14ac:dyDescent="0.2">
      <c r="C5388" s="209"/>
      <c r="D5388" s="209"/>
      <c r="E5388" s="209"/>
      <c r="J5388" s="124"/>
    </row>
    <row r="5389" spans="3:10" x14ac:dyDescent="0.2">
      <c r="C5389" s="209"/>
      <c r="D5389" s="209"/>
      <c r="E5389" s="209"/>
      <c r="J5389" s="124"/>
    </row>
    <row r="5390" spans="3:10" x14ac:dyDescent="0.2">
      <c r="C5390" s="209"/>
      <c r="D5390" s="209"/>
      <c r="E5390" s="209"/>
      <c r="J5390" s="124"/>
    </row>
    <row r="5391" spans="3:10" x14ac:dyDescent="0.2">
      <c r="C5391" s="209"/>
      <c r="D5391" s="209"/>
      <c r="E5391" s="209"/>
      <c r="J5391" s="124"/>
    </row>
    <row r="5392" spans="3:10" x14ac:dyDescent="0.2">
      <c r="C5392" s="209"/>
      <c r="D5392" s="209"/>
      <c r="E5392" s="209"/>
      <c r="J5392" s="124"/>
    </row>
    <row r="5393" spans="3:10" x14ac:dyDescent="0.2">
      <c r="C5393" s="209"/>
      <c r="D5393" s="209"/>
      <c r="E5393" s="209"/>
      <c r="J5393" s="124"/>
    </row>
    <row r="5394" spans="3:10" x14ac:dyDescent="0.2">
      <c r="C5394" s="209"/>
      <c r="D5394" s="209"/>
      <c r="E5394" s="209"/>
      <c r="J5394" s="124"/>
    </row>
    <row r="5395" spans="3:10" x14ac:dyDescent="0.2">
      <c r="C5395" s="209"/>
      <c r="D5395" s="209"/>
      <c r="E5395" s="209"/>
      <c r="J5395" s="124"/>
    </row>
    <row r="5396" spans="3:10" x14ac:dyDescent="0.2">
      <c r="C5396" s="209"/>
      <c r="D5396" s="209"/>
      <c r="E5396" s="209"/>
      <c r="J5396" s="124"/>
    </row>
    <row r="5397" spans="3:10" x14ac:dyDescent="0.2">
      <c r="C5397" s="209"/>
      <c r="D5397" s="209"/>
      <c r="E5397" s="209"/>
      <c r="J5397" s="124"/>
    </row>
    <row r="5398" spans="3:10" x14ac:dyDescent="0.2">
      <c r="C5398" s="209"/>
      <c r="D5398" s="209"/>
      <c r="E5398" s="209"/>
      <c r="J5398" s="124"/>
    </row>
    <row r="5399" spans="3:10" x14ac:dyDescent="0.2">
      <c r="C5399" s="209"/>
      <c r="D5399" s="209"/>
      <c r="E5399" s="209"/>
      <c r="J5399" s="124"/>
    </row>
    <row r="5400" spans="3:10" x14ac:dyDescent="0.2">
      <c r="C5400" s="209"/>
      <c r="D5400" s="209"/>
      <c r="E5400" s="209"/>
      <c r="J5400" s="124"/>
    </row>
    <row r="5401" spans="3:10" x14ac:dyDescent="0.2">
      <c r="C5401" s="209"/>
      <c r="D5401" s="209"/>
      <c r="E5401" s="209"/>
      <c r="J5401" s="124"/>
    </row>
    <row r="5402" spans="3:10" x14ac:dyDescent="0.2">
      <c r="C5402" s="209"/>
      <c r="D5402" s="209"/>
      <c r="E5402" s="209"/>
      <c r="J5402" s="124"/>
    </row>
    <row r="5403" spans="3:10" x14ac:dyDescent="0.2">
      <c r="C5403" s="209"/>
      <c r="D5403" s="209"/>
      <c r="E5403" s="209"/>
      <c r="J5403" s="124"/>
    </row>
    <row r="5404" spans="3:10" x14ac:dyDescent="0.2">
      <c r="C5404" s="209"/>
      <c r="D5404" s="209"/>
      <c r="E5404" s="209"/>
      <c r="J5404" s="124"/>
    </row>
    <row r="5405" spans="3:10" x14ac:dyDescent="0.2">
      <c r="C5405" s="209"/>
      <c r="D5405" s="209"/>
      <c r="E5405" s="209"/>
      <c r="J5405" s="124"/>
    </row>
    <row r="5406" spans="3:10" x14ac:dyDescent="0.2">
      <c r="C5406" s="209"/>
      <c r="D5406" s="209"/>
      <c r="E5406" s="209"/>
      <c r="J5406" s="124"/>
    </row>
    <row r="5407" spans="3:10" x14ac:dyDescent="0.2">
      <c r="C5407" s="209"/>
      <c r="D5407" s="209"/>
      <c r="E5407" s="209"/>
      <c r="J5407" s="124"/>
    </row>
    <row r="5408" spans="3:10" x14ac:dyDescent="0.2">
      <c r="C5408" s="209"/>
      <c r="D5408" s="209"/>
      <c r="E5408" s="209"/>
      <c r="J5408" s="124"/>
    </row>
    <row r="5409" spans="3:10" x14ac:dyDescent="0.2">
      <c r="C5409" s="209"/>
      <c r="D5409" s="209"/>
      <c r="E5409" s="209"/>
      <c r="J5409" s="124"/>
    </row>
    <row r="5410" spans="3:10" x14ac:dyDescent="0.2">
      <c r="C5410" s="209"/>
      <c r="D5410" s="209"/>
      <c r="E5410" s="209"/>
      <c r="J5410" s="124"/>
    </row>
    <row r="5411" spans="3:10" x14ac:dyDescent="0.2">
      <c r="C5411" s="209"/>
      <c r="D5411" s="209"/>
      <c r="E5411" s="209"/>
      <c r="J5411" s="124"/>
    </row>
    <row r="5412" spans="3:10" x14ac:dyDescent="0.2">
      <c r="C5412" s="209"/>
      <c r="D5412" s="209"/>
      <c r="E5412" s="209"/>
      <c r="J5412" s="124"/>
    </row>
    <row r="5413" spans="3:10" x14ac:dyDescent="0.2">
      <c r="C5413" s="209"/>
      <c r="D5413" s="209"/>
      <c r="E5413" s="209"/>
      <c r="J5413" s="124"/>
    </row>
    <row r="5414" spans="3:10" x14ac:dyDescent="0.2">
      <c r="C5414" s="209"/>
      <c r="D5414" s="209"/>
      <c r="E5414" s="209"/>
      <c r="J5414" s="124"/>
    </row>
    <row r="5415" spans="3:10" x14ac:dyDescent="0.2">
      <c r="C5415" s="209"/>
      <c r="D5415" s="209"/>
      <c r="E5415" s="209"/>
      <c r="J5415" s="124"/>
    </row>
    <row r="5416" spans="3:10" x14ac:dyDescent="0.2">
      <c r="C5416" s="209"/>
      <c r="D5416" s="209"/>
      <c r="E5416" s="209"/>
      <c r="J5416" s="124"/>
    </row>
    <row r="5417" spans="3:10" x14ac:dyDescent="0.2">
      <c r="C5417" s="209"/>
      <c r="D5417" s="209"/>
      <c r="E5417" s="209"/>
      <c r="J5417" s="124"/>
    </row>
    <row r="5418" spans="3:10" x14ac:dyDescent="0.2">
      <c r="C5418" s="209"/>
      <c r="D5418" s="209"/>
      <c r="E5418" s="209"/>
      <c r="J5418" s="124"/>
    </row>
    <row r="5419" spans="3:10" x14ac:dyDescent="0.2">
      <c r="C5419" s="209"/>
      <c r="D5419" s="209"/>
      <c r="E5419" s="209"/>
      <c r="J5419" s="124"/>
    </row>
    <row r="5420" spans="3:10" x14ac:dyDescent="0.2">
      <c r="C5420" s="209"/>
      <c r="D5420" s="209"/>
      <c r="E5420" s="209"/>
      <c r="J5420" s="124"/>
    </row>
    <row r="5421" spans="3:10" x14ac:dyDescent="0.2">
      <c r="C5421" s="209"/>
      <c r="D5421" s="209"/>
      <c r="E5421" s="209"/>
      <c r="J5421" s="124"/>
    </row>
    <row r="5422" spans="3:10" x14ac:dyDescent="0.2">
      <c r="C5422" s="209"/>
      <c r="D5422" s="209"/>
      <c r="E5422" s="209"/>
      <c r="J5422" s="124"/>
    </row>
    <row r="5423" spans="3:10" x14ac:dyDescent="0.2">
      <c r="C5423" s="209"/>
      <c r="D5423" s="209"/>
      <c r="E5423" s="209"/>
      <c r="J5423" s="124"/>
    </row>
    <row r="5424" spans="3:10" x14ac:dyDescent="0.2">
      <c r="C5424" s="209"/>
      <c r="D5424" s="209"/>
      <c r="E5424" s="209"/>
      <c r="J5424" s="124"/>
    </row>
    <row r="5425" spans="3:10" x14ac:dyDescent="0.2">
      <c r="C5425" s="209"/>
      <c r="D5425" s="209"/>
      <c r="E5425" s="209"/>
      <c r="J5425" s="124"/>
    </row>
    <row r="5426" spans="3:10" x14ac:dyDescent="0.2">
      <c r="C5426" s="209"/>
      <c r="D5426" s="209"/>
      <c r="E5426" s="209"/>
      <c r="J5426" s="124"/>
    </row>
    <row r="5427" spans="3:10" x14ac:dyDescent="0.2">
      <c r="C5427" s="209"/>
      <c r="D5427" s="209"/>
      <c r="E5427" s="209"/>
      <c r="J5427" s="124"/>
    </row>
    <row r="5428" spans="3:10" x14ac:dyDescent="0.2">
      <c r="C5428" s="209"/>
      <c r="D5428" s="209"/>
      <c r="E5428" s="209"/>
      <c r="J5428" s="124"/>
    </row>
    <row r="5429" spans="3:10" x14ac:dyDescent="0.2">
      <c r="C5429" s="209"/>
      <c r="D5429" s="209"/>
      <c r="E5429" s="209"/>
      <c r="J5429" s="124"/>
    </row>
    <row r="5430" spans="3:10" x14ac:dyDescent="0.2">
      <c r="C5430" s="209"/>
      <c r="D5430" s="209"/>
      <c r="E5430" s="209"/>
      <c r="J5430" s="124"/>
    </row>
    <row r="5431" spans="3:10" x14ac:dyDescent="0.2">
      <c r="C5431" s="209"/>
      <c r="D5431" s="209"/>
      <c r="E5431" s="209"/>
      <c r="J5431" s="124"/>
    </row>
    <row r="5432" spans="3:10" x14ac:dyDescent="0.2">
      <c r="C5432" s="209"/>
      <c r="D5432" s="209"/>
      <c r="E5432" s="209"/>
      <c r="J5432" s="124"/>
    </row>
    <row r="5433" spans="3:10" x14ac:dyDescent="0.2">
      <c r="C5433" s="209"/>
      <c r="D5433" s="209"/>
      <c r="E5433" s="209"/>
      <c r="J5433" s="124"/>
    </row>
    <row r="5434" spans="3:10" x14ac:dyDescent="0.2">
      <c r="C5434" s="209"/>
      <c r="D5434" s="209"/>
      <c r="E5434" s="209"/>
      <c r="J5434" s="124"/>
    </row>
    <row r="5435" spans="3:10" x14ac:dyDescent="0.2">
      <c r="C5435" s="209"/>
      <c r="D5435" s="209"/>
      <c r="E5435" s="209"/>
      <c r="J5435" s="124"/>
    </row>
    <row r="5436" spans="3:10" x14ac:dyDescent="0.2">
      <c r="C5436" s="209"/>
      <c r="D5436" s="209"/>
      <c r="E5436" s="209"/>
      <c r="J5436" s="124"/>
    </row>
    <row r="5437" spans="3:10" x14ac:dyDescent="0.2">
      <c r="C5437" s="209"/>
      <c r="D5437" s="209"/>
      <c r="E5437" s="209"/>
      <c r="J5437" s="124"/>
    </row>
    <row r="5438" spans="3:10" x14ac:dyDescent="0.2">
      <c r="C5438" s="209"/>
      <c r="D5438" s="209"/>
      <c r="E5438" s="209"/>
      <c r="J5438" s="124"/>
    </row>
    <row r="5439" spans="3:10" x14ac:dyDescent="0.2">
      <c r="C5439" s="209"/>
      <c r="D5439" s="209"/>
      <c r="E5439" s="209"/>
      <c r="J5439" s="124"/>
    </row>
    <row r="5440" spans="3:10" x14ac:dyDescent="0.2">
      <c r="C5440" s="209"/>
      <c r="D5440" s="209"/>
      <c r="E5440" s="209"/>
      <c r="J5440" s="124"/>
    </row>
    <row r="5441" spans="3:10" x14ac:dyDescent="0.2">
      <c r="C5441" s="209"/>
      <c r="D5441" s="209"/>
      <c r="E5441" s="209"/>
      <c r="J5441" s="124"/>
    </row>
    <row r="5442" spans="3:10" x14ac:dyDescent="0.2">
      <c r="C5442" s="209"/>
      <c r="D5442" s="209"/>
      <c r="E5442" s="209"/>
      <c r="J5442" s="124"/>
    </row>
    <row r="5443" spans="3:10" x14ac:dyDescent="0.2">
      <c r="C5443" s="209"/>
      <c r="D5443" s="209"/>
      <c r="E5443" s="209"/>
      <c r="J5443" s="124"/>
    </row>
    <row r="5444" spans="3:10" x14ac:dyDescent="0.2">
      <c r="C5444" s="209"/>
      <c r="D5444" s="209"/>
      <c r="E5444" s="209"/>
      <c r="J5444" s="124"/>
    </row>
    <row r="5445" spans="3:10" x14ac:dyDescent="0.2">
      <c r="C5445" s="209"/>
      <c r="D5445" s="209"/>
      <c r="E5445" s="209"/>
      <c r="J5445" s="124"/>
    </row>
    <row r="5446" spans="3:10" x14ac:dyDescent="0.2">
      <c r="C5446" s="209"/>
      <c r="D5446" s="209"/>
      <c r="E5446" s="209"/>
      <c r="J5446" s="124"/>
    </row>
    <row r="5447" spans="3:10" x14ac:dyDescent="0.2">
      <c r="C5447" s="209"/>
      <c r="D5447" s="209"/>
      <c r="E5447" s="209"/>
      <c r="J5447" s="124"/>
    </row>
    <row r="5448" spans="3:10" x14ac:dyDescent="0.2">
      <c r="C5448" s="209"/>
      <c r="D5448" s="209"/>
      <c r="E5448" s="209"/>
      <c r="J5448" s="124"/>
    </row>
    <row r="5449" spans="3:10" x14ac:dyDescent="0.2">
      <c r="C5449" s="209"/>
      <c r="D5449" s="209"/>
      <c r="E5449" s="209"/>
      <c r="J5449" s="124"/>
    </row>
    <row r="5450" spans="3:10" x14ac:dyDescent="0.2">
      <c r="C5450" s="209"/>
      <c r="D5450" s="209"/>
      <c r="E5450" s="209"/>
      <c r="J5450" s="124"/>
    </row>
    <row r="5451" spans="3:10" x14ac:dyDescent="0.2">
      <c r="C5451" s="209"/>
      <c r="D5451" s="209"/>
      <c r="E5451" s="209"/>
      <c r="J5451" s="124"/>
    </row>
    <row r="5452" spans="3:10" x14ac:dyDescent="0.2">
      <c r="C5452" s="209"/>
      <c r="D5452" s="209"/>
      <c r="E5452" s="209"/>
      <c r="J5452" s="124"/>
    </row>
    <row r="5453" spans="3:10" x14ac:dyDescent="0.2">
      <c r="C5453" s="209"/>
      <c r="D5453" s="209"/>
      <c r="E5453" s="209"/>
      <c r="J5453" s="124"/>
    </row>
    <row r="5454" spans="3:10" x14ac:dyDescent="0.2">
      <c r="C5454" s="209"/>
      <c r="D5454" s="209"/>
      <c r="E5454" s="209"/>
      <c r="J5454" s="124"/>
    </row>
    <row r="5455" spans="3:10" x14ac:dyDescent="0.2">
      <c r="C5455" s="209"/>
      <c r="D5455" s="209"/>
      <c r="E5455" s="209"/>
      <c r="J5455" s="124"/>
    </row>
    <row r="5456" spans="3:10" x14ac:dyDescent="0.2">
      <c r="C5456" s="209"/>
      <c r="D5456" s="209"/>
      <c r="E5456" s="209"/>
      <c r="J5456" s="124"/>
    </row>
    <row r="5457" spans="3:10" x14ac:dyDescent="0.2">
      <c r="C5457" s="209"/>
      <c r="D5457" s="209"/>
      <c r="E5457" s="209"/>
      <c r="J5457" s="124"/>
    </row>
    <row r="5458" spans="3:10" x14ac:dyDescent="0.2">
      <c r="C5458" s="209"/>
      <c r="D5458" s="209"/>
      <c r="E5458" s="209"/>
      <c r="J5458" s="124"/>
    </row>
    <row r="5459" spans="3:10" x14ac:dyDescent="0.2">
      <c r="C5459" s="209"/>
      <c r="D5459" s="209"/>
      <c r="E5459" s="209"/>
      <c r="J5459" s="124"/>
    </row>
    <row r="5460" spans="3:10" x14ac:dyDescent="0.2">
      <c r="C5460" s="209"/>
      <c r="D5460" s="209"/>
      <c r="E5460" s="209"/>
      <c r="J5460" s="124"/>
    </row>
    <row r="5461" spans="3:10" x14ac:dyDescent="0.2">
      <c r="C5461" s="209"/>
      <c r="D5461" s="209"/>
      <c r="E5461" s="209"/>
      <c r="J5461" s="124"/>
    </row>
    <row r="5462" spans="3:10" x14ac:dyDescent="0.2">
      <c r="C5462" s="209"/>
      <c r="D5462" s="209"/>
      <c r="E5462" s="209"/>
      <c r="J5462" s="124"/>
    </row>
    <row r="5463" spans="3:10" x14ac:dyDescent="0.2">
      <c r="C5463" s="209"/>
      <c r="D5463" s="209"/>
      <c r="E5463" s="209"/>
      <c r="J5463" s="124"/>
    </row>
    <row r="5464" spans="3:10" x14ac:dyDescent="0.2">
      <c r="C5464" s="209"/>
      <c r="D5464" s="209"/>
      <c r="E5464" s="209"/>
      <c r="J5464" s="124"/>
    </row>
    <row r="5465" spans="3:10" x14ac:dyDescent="0.2">
      <c r="C5465" s="209"/>
      <c r="D5465" s="209"/>
      <c r="E5465" s="209"/>
      <c r="J5465" s="124"/>
    </row>
    <row r="5466" spans="3:10" x14ac:dyDescent="0.2">
      <c r="C5466" s="209"/>
      <c r="D5466" s="209"/>
      <c r="E5466" s="209"/>
      <c r="J5466" s="124"/>
    </row>
    <row r="5467" spans="3:10" x14ac:dyDescent="0.2">
      <c r="C5467" s="209"/>
      <c r="D5467" s="209"/>
      <c r="E5467" s="209"/>
      <c r="J5467" s="124"/>
    </row>
    <row r="5468" spans="3:10" x14ac:dyDescent="0.2">
      <c r="C5468" s="209"/>
      <c r="D5468" s="209"/>
      <c r="E5468" s="209"/>
      <c r="J5468" s="124"/>
    </row>
    <row r="5469" spans="3:10" x14ac:dyDescent="0.2">
      <c r="C5469" s="209"/>
      <c r="D5469" s="209"/>
      <c r="E5469" s="209"/>
      <c r="J5469" s="124"/>
    </row>
    <row r="5470" spans="3:10" x14ac:dyDescent="0.2">
      <c r="C5470" s="209"/>
      <c r="D5470" s="209"/>
      <c r="E5470" s="209"/>
      <c r="J5470" s="124"/>
    </row>
    <row r="5471" spans="3:10" x14ac:dyDescent="0.2">
      <c r="C5471" s="209"/>
      <c r="D5471" s="209"/>
      <c r="E5471" s="209"/>
      <c r="J5471" s="124"/>
    </row>
    <row r="5472" spans="3:10" x14ac:dyDescent="0.2">
      <c r="C5472" s="209"/>
      <c r="D5472" s="209"/>
      <c r="E5472" s="209"/>
      <c r="J5472" s="124"/>
    </row>
    <row r="5473" spans="3:10" x14ac:dyDescent="0.2">
      <c r="C5473" s="209"/>
      <c r="D5473" s="209"/>
      <c r="E5473" s="209"/>
      <c r="J5473" s="124"/>
    </row>
    <row r="5474" spans="3:10" x14ac:dyDescent="0.2">
      <c r="C5474" s="209"/>
      <c r="D5474" s="209"/>
      <c r="E5474" s="209"/>
      <c r="J5474" s="124"/>
    </row>
    <row r="5475" spans="3:10" x14ac:dyDescent="0.2">
      <c r="C5475" s="209"/>
      <c r="D5475" s="209"/>
      <c r="E5475" s="209"/>
      <c r="J5475" s="124"/>
    </row>
    <row r="5476" spans="3:10" x14ac:dyDescent="0.2">
      <c r="C5476" s="209"/>
      <c r="D5476" s="209"/>
      <c r="E5476" s="209"/>
      <c r="J5476" s="124"/>
    </row>
    <row r="5477" spans="3:10" x14ac:dyDescent="0.2">
      <c r="C5477" s="209"/>
      <c r="D5477" s="209"/>
      <c r="E5477" s="209"/>
      <c r="J5477" s="124"/>
    </row>
    <row r="5478" spans="3:10" x14ac:dyDescent="0.2">
      <c r="C5478" s="209"/>
      <c r="D5478" s="209"/>
      <c r="E5478" s="209"/>
      <c r="J5478" s="124"/>
    </row>
    <row r="5479" spans="3:10" x14ac:dyDescent="0.2">
      <c r="C5479" s="209"/>
      <c r="D5479" s="209"/>
      <c r="E5479" s="209"/>
      <c r="J5479" s="124"/>
    </row>
    <row r="5480" spans="3:10" x14ac:dyDescent="0.2">
      <c r="C5480" s="209"/>
      <c r="D5480" s="209"/>
      <c r="E5480" s="209"/>
      <c r="J5480" s="124"/>
    </row>
    <row r="5481" spans="3:10" x14ac:dyDescent="0.2">
      <c r="C5481" s="209"/>
      <c r="D5481" s="209"/>
      <c r="E5481" s="209"/>
      <c r="J5481" s="124"/>
    </row>
    <row r="5482" spans="3:10" x14ac:dyDescent="0.2">
      <c r="C5482" s="209"/>
      <c r="D5482" s="209"/>
      <c r="E5482" s="209"/>
      <c r="J5482" s="124"/>
    </row>
    <row r="5483" spans="3:10" x14ac:dyDescent="0.2">
      <c r="C5483" s="209"/>
      <c r="D5483" s="209"/>
      <c r="E5483" s="209"/>
      <c r="J5483" s="124"/>
    </row>
    <row r="5484" spans="3:10" x14ac:dyDescent="0.2">
      <c r="C5484" s="209"/>
      <c r="D5484" s="209"/>
      <c r="E5484" s="209"/>
      <c r="J5484" s="124"/>
    </row>
    <row r="5485" spans="3:10" x14ac:dyDescent="0.2">
      <c r="C5485" s="209"/>
      <c r="D5485" s="209"/>
      <c r="E5485" s="209"/>
      <c r="J5485" s="124"/>
    </row>
    <row r="5486" spans="3:10" x14ac:dyDescent="0.2">
      <c r="C5486" s="209"/>
      <c r="D5486" s="209"/>
      <c r="E5486" s="209"/>
      <c r="J5486" s="124"/>
    </row>
    <row r="5487" spans="3:10" x14ac:dyDescent="0.2">
      <c r="C5487" s="209"/>
      <c r="D5487" s="209"/>
      <c r="E5487" s="209"/>
      <c r="J5487" s="124"/>
    </row>
    <row r="5488" spans="3:10" x14ac:dyDescent="0.2">
      <c r="C5488" s="209"/>
      <c r="D5488" s="209"/>
      <c r="E5488" s="209"/>
      <c r="J5488" s="124"/>
    </row>
    <row r="5489" spans="3:10" x14ac:dyDescent="0.2">
      <c r="C5489" s="209"/>
      <c r="D5489" s="209"/>
      <c r="E5489" s="209"/>
      <c r="J5489" s="124"/>
    </row>
    <row r="5490" spans="3:10" x14ac:dyDescent="0.2">
      <c r="C5490" s="209"/>
      <c r="D5490" s="209"/>
      <c r="E5490" s="209"/>
      <c r="J5490" s="124"/>
    </row>
    <row r="5491" spans="3:10" x14ac:dyDescent="0.2">
      <c r="C5491" s="209"/>
      <c r="D5491" s="209"/>
      <c r="E5491" s="209"/>
      <c r="J5491" s="124"/>
    </row>
    <row r="5492" spans="3:10" x14ac:dyDescent="0.2">
      <c r="C5492" s="209"/>
      <c r="D5492" s="209"/>
      <c r="E5492" s="209"/>
      <c r="J5492" s="124"/>
    </row>
    <row r="5493" spans="3:10" x14ac:dyDescent="0.2">
      <c r="C5493" s="209"/>
      <c r="D5493" s="209"/>
      <c r="E5493" s="209"/>
      <c r="J5493" s="124"/>
    </row>
    <row r="5494" spans="3:10" x14ac:dyDescent="0.2">
      <c r="C5494" s="209"/>
      <c r="D5494" s="209"/>
      <c r="E5494" s="209"/>
      <c r="J5494" s="124"/>
    </row>
    <row r="5495" spans="3:10" x14ac:dyDescent="0.2">
      <c r="C5495" s="209"/>
      <c r="D5495" s="209"/>
      <c r="E5495" s="209"/>
      <c r="J5495" s="124"/>
    </row>
    <row r="5496" spans="3:10" x14ac:dyDescent="0.2">
      <c r="C5496" s="209"/>
      <c r="D5496" s="209"/>
      <c r="E5496" s="209"/>
      <c r="J5496" s="124"/>
    </row>
    <row r="5497" spans="3:10" x14ac:dyDescent="0.2">
      <c r="C5497" s="209"/>
      <c r="D5497" s="209"/>
      <c r="E5497" s="209"/>
      <c r="J5497" s="124"/>
    </row>
    <row r="5498" spans="3:10" x14ac:dyDescent="0.2">
      <c r="C5498" s="209"/>
      <c r="D5498" s="209"/>
      <c r="E5498" s="209"/>
      <c r="J5498" s="124"/>
    </row>
    <row r="5499" spans="3:10" x14ac:dyDescent="0.2">
      <c r="C5499" s="209"/>
      <c r="D5499" s="209"/>
      <c r="E5499" s="209"/>
      <c r="J5499" s="124"/>
    </row>
    <row r="5500" spans="3:10" x14ac:dyDescent="0.2">
      <c r="C5500" s="209"/>
      <c r="D5500" s="209"/>
      <c r="E5500" s="209"/>
      <c r="J5500" s="124"/>
    </row>
    <row r="5501" spans="3:10" x14ac:dyDescent="0.2">
      <c r="C5501" s="209"/>
      <c r="D5501" s="209"/>
      <c r="E5501" s="209"/>
      <c r="J5501" s="124"/>
    </row>
    <row r="5502" spans="3:10" x14ac:dyDescent="0.2">
      <c r="C5502" s="209"/>
      <c r="D5502" s="209"/>
      <c r="E5502" s="209"/>
      <c r="J5502" s="124"/>
    </row>
    <row r="5503" spans="3:10" x14ac:dyDescent="0.2">
      <c r="C5503" s="209"/>
      <c r="D5503" s="209"/>
      <c r="E5503" s="209"/>
      <c r="J5503" s="124"/>
    </row>
    <row r="5504" spans="3:10" x14ac:dyDescent="0.2">
      <c r="C5504" s="209"/>
      <c r="D5504" s="209"/>
      <c r="E5504" s="209"/>
      <c r="J5504" s="124"/>
    </row>
    <row r="5505" spans="3:10" x14ac:dyDescent="0.2">
      <c r="C5505" s="209"/>
      <c r="D5505" s="209"/>
      <c r="E5505" s="209"/>
      <c r="J5505" s="124"/>
    </row>
    <row r="5506" spans="3:10" x14ac:dyDescent="0.2">
      <c r="C5506" s="209"/>
      <c r="D5506" s="209"/>
      <c r="E5506" s="209"/>
      <c r="J5506" s="124"/>
    </row>
    <row r="5507" spans="3:10" x14ac:dyDescent="0.2">
      <c r="C5507" s="209"/>
      <c r="D5507" s="209"/>
      <c r="E5507" s="209"/>
      <c r="J5507" s="124"/>
    </row>
    <row r="5508" spans="3:10" x14ac:dyDescent="0.2">
      <c r="C5508" s="209"/>
      <c r="D5508" s="209"/>
      <c r="E5508" s="209"/>
      <c r="J5508" s="124"/>
    </row>
    <row r="5509" spans="3:10" x14ac:dyDescent="0.2">
      <c r="C5509" s="209"/>
      <c r="D5509" s="209"/>
      <c r="E5509" s="209"/>
      <c r="J5509" s="124"/>
    </row>
    <row r="5510" spans="3:10" x14ac:dyDescent="0.2">
      <c r="C5510" s="209"/>
      <c r="D5510" s="209"/>
      <c r="E5510" s="209"/>
      <c r="J5510" s="124"/>
    </row>
    <row r="5511" spans="3:10" x14ac:dyDescent="0.2">
      <c r="C5511" s="209"/>
      <c r="D5511" s="209"/>
      <c r="E5511" s="209"/>
      <c r="J5511" s="124"/>
    </row>
    <row r="5512" spans="3:10" x14ac:dyDescent="0.2">
      <c r="C5512" s="209"/>
      <c r="D5512" s="209"/>
      <c r="E5512" s="209"/>
      <c r="J5512" s="124"/>
    </row>
    <row r="5513" spans="3:10" x14ac:dyDescent="0.2">
      <c r="C5513" s="209"/>
      <c r="D5513" s="209"/>
      <c r="E5513" s="209"/>
      <c r="J5513" s="124"/>
    </row>
    <row r="5514" spans="3:10" x14ac:dyDescent="0.2">
      <c r="C5514" s="209"/>
      <c r="D5514" s="209"/>
      <c r="E5514" s="209"/>
      <c r="J5514" s="124"/>
    </row>
    <row r="5515" spans="3:10" x14ac:dyDescent="0.2">
      <c r="C5515" s="209"/>
      <c r="D5515" s="209"/>
      <c r="E5515" s="209"/>
      <c r="J5515" s="124"/>
    </row>
    <row r="5516" spans="3:10" x14ac:dyDescent="0.2">
      <c r="C5516" s="209"/>
      <c r="D5516" s="209"/>
      <c r="E5516" s="209"/>
      <c r="J5516" s="124"/>
    </row>
    <row r="5517" spans="3:10" x14ac:dyDescent="0.2">
      <c r="C5517" s="209"/>
      <c r="D5517" s="209"/>
      <c r="E5517" s="209"/>
      <c r="J5517" s="124"/>
    </row>
    <row r="5518" spans="3:10" x14ac:dyDescent="0.2">
      <c r="C5518" s="209"/>
      <c r="D5518" s="209"/>
      <c r="E5518" s="209"/>
      <c r="J5518" s="124"/>
    </row>
    <row r="5519" spans="3:10" x14ac:dyDescent="0.2">
      <c r="C5519" s="209"/>
      <c r="D5519" s="209"/>
      <c r="E5519" s="209"/>
      <c r="J5519" s="124"/>
    </row>
    <row r="5520" spans="3:10" x14ac:dyDescent="0.2">
      <c r="C5520" s="209"/>
      <c r="D5520" s="209"/>
      <c r="E5520" s="209"/>
      <c r="J5520" s="124"/>
    </row>
    <row r="5521" spans="3:10" x14ac:dyDescent="0.2">
      <c r="C5521" s="209"/>
      <c r="D5521" s="209"/>
      <c r="E5521" s="209"/>
      <c r="J5521" s="124"/>
    </row>
    <row r="5522" spans="3:10" x14ac:dyDescent="0.2">
      <c r="C5522" s="209"/>
      <c r="D5522" s="209"/>
      <c r="E5522" s="209"/>
      <c r="J5522" s="124"/>
    </row>
    <row r="5523" spans="3:10" x14ac:dyDescent="0.2">
      <c r="C5523" s="209"/>
      <c r="D5523" s="209"/>
      <c r="E5523" s="209"/>
      <c r="J5523" s="124"/>
    </row>
    <row r="5524" spans="3:10" x14ac:dyDescent="0.2">
      <c r="C5524" s="209"/>
      <c r="D5524" s="209"/>
      <c r="E5524" s="209"/>
      <c r="J5524" s="124"/>
    </row>
    <row r="5525" spans="3:10" x14ac:dyDescent="0.2">
      <c r="C5525" s="209"/>
      <c r="D5525" s="209"/>
      <c r="E5525" s="209"/>
      <c r="J5525" s="124"/>
    </row>
    <row r="5526" spans="3:10" x14ac:dyDescent="0.2">
      <c r="C5526" s="209"/>
      <c r="D5526" s="209"/>
      <c r="E5526" s="209"/>
      <c r="J5526" s="124"/>
    </row>
    <row r="5527" spans="3:10" x14ac:dyDescent="0.2">
      <c r="C5527" s="209"/>
      <c r="D5527" s="209"/>
      <c r="E5527" s="209"/>
      <c r="J5527" s="124"/>
    </row>
    <row r="5528" spans="3:10" x14ac:dyDescent="0.2">
      <c r="C5528" s="209"/>
      <c r="D5528" s="209"/>
      <c r="E5528" s="209"/>
      <c r="J5528" s="124"/>
    </row>
    <row r="5529" spans="3:10" x14ac:dyDescent="0.2">
      <c r="C5529" s="209"/>
      <c r="D5529" s="209"/>
      <c r="E5529" s="209"/>
      <c r="J5529" s="124"/>
    </row>
    <row r="5530" spans="3:10" x14ac:dyDescent="0.2">
      <c r="C5530" s="209"/>
      <c r="D5530" s="209"/>
      <c r="E5530" s="209"/>
      <c r="J5530" s="124"/>
    </row>
    <row r="5531" spans="3:10" x14ac:dyDescent="0.2">
      <c r="C5531" s="209"/>
      <c r="D5531" s="209"/>
      <c r="E5531" s="209"/>
      <c r="J5531" s="124"/>
    </row>
    <row r="5532" spans="3:10" x14ac:dyDescent="0.2">
      <c r="C5532" s="209"/>
      <c r="D5532" s="209"/>
      <c r="E5532" s="209"/>
      <c r="J5532" s="124"/>
    </row>
    <row r="5533" spans="3:10" x14ac:dyDescent="0.2">
      <c r="C5533" s="209"/>
      <c r="D5533" s="209"/>
      <c r="E5533" s="209"/>
      <c r="J5533" s="124"/>
    </row>
    <row r="5534" spans="3:10" x14ac:dyDescent="0.2">
      <c r="C5534" s="209"/>
      <c r="D5534" s="209"/>
      <c r="E5534" s="209"/>
      <c r="J5534" s="124"/>
    </row>
    <row r="5535" spans="3:10" x14ac:dyDescent="0.2">
      <c r="C5535" s="209"/>
      <c r="D5535" s="209"/>
      <c r="E5535" s="209"/>
      <c r="J5535" s="124"/>
    </row>
    <row r="5536" spans="3:10" x14ac:dyDescent="0.2">
      <c r="C5536" s="209"/>
      <c r="D5536" s="209"/>
      <c r="E5536" s="209"/>
      <c r="J5536" s="124"/>
    </row>
    <row r="5537" spans="3:10" x14ac:dyDescent="0.2">
      <c r="C5537" s="209"/>
      <c r="D5537" s="209"/>
      <c r="E5537" s="209"/>
      <c r="J5537" s="124"/>
    </row>
    <row r="5538" spans="3:10" x14ac:dyDescent="0.2">
      <c r="C5538" s="209"/>
      <c r="D5538" s="209"/>
      <c r="E5538" s="209"/>
      <c r="J5538" s="124"/>
    </row>
    <row r="5539" spans="3:10" x14ac:dyDescent="0.2">
      <c r="C5539" s="209"/>
      <c r="D5539" s="209"/>
      <c r="E5539" s="209"/>
      <c r="J5539" s="124"/>
    </row>
    <row r="5540" spans="3:10" x14ac:dyDescent="0.2">
      <c r="C5540" s="209"/>
      <c r="D5540" s="209"/>
      <c r="E5540" s="209"/>
      <c r="J5540" s="124"/>
    </row>
    <row r="5541" spans="3:10" x14ac:dyDescent="0.2">
      <c r="C5541" s="209"/>
      <c r="D5541" s="209"/>
      <c r="E5541" s="209"/>
      <c r="J5541" s="124"/>
    </row>
    <row r="5542" spans="3:10" x14ac:dyDescent="0.2">
      <c r="C5542" s="209"/>
      <c r="D5542" s="209"/>
      <c r="E5542" s="209"/>
      <c r="J5542" s="124"/>
    </row>
    <row r="5543" spans="3:10" x14ac:dyDescent="0.2">
      <c r="C5543" s="209"/>
      <c r="D5543" s="209"/>
      <c r="E5543" s="209"/>
      <c r="J5543" s="124"/>
    </row>
    <row r="5544" spans="3:10" x14ac:dyDescent="0.2">
      <c r="C5544" s="209"/>
      <c r="D5544" s="209"/>
      <c r="E5544" s="209"/>
      <c r="J5544" s="124"/>
    </row>
    <row r="5545" spans="3:10" x14ac:dyDescent="0.2">
      <c r="C5545" s="209"/>
      <c r="D5545" s="209"/>
      <c r="E5545" s="209"/>
      <c r="J5545" s="124"/>
    </row>
    <row r="5546" spans="3:10" x14ac:dyDescent="0.2">
      <c r="C5546" s="209"/>
      <c r="D5546" s="209"/>
      <c r="E5546" s="209"/>
      <c r="J5546" s="124"/>
    </row>
    <row r="5547" spans="3:10" x14ac:dyDescent="0.2">
      <c r="C5547" s="209"/>
      <c r="D5547" s="209"/>
      <c r="E5547" s="209"/>
      <c r="J5547" s="124"/>
    </row>
    <row r="5548" spans="3:10" x14ac:dyDescent="0.2">
      <c r="C5548" s="209"/>
      <c r="D5548" s="209"/>
      <c r="E5548" s="209"/>
      <c r="J5548" s="124"/>
    </row>
    <row r="5549" spans="3:10" x14ac:dyDescent="0.2">
      <c r="C5549" s="209"/>
      <c r="D5549" s="209"/>
      <c r="E5549" s="209"/>
      <c r="J5549" s="124"/>
    </row>
    <row r="5550" spans="3:10" x14ac:dyDescent="0.2">
      <c r="C5550" s="209"/>
      <c r="D5550" s="209"/>
      <c r="E5550" s="209"/>
      <c r="J5550" s="124"/>
    </row>
    <row r="5551" spans="3:10" x14ac:dyDescent="0.2">
      <c r="C5551" s="209"/>
      <c r="D5551" s="209"/>
      <c r="E5551" s="209"/>
      <c r="J5551" s="124"/>
    </row>
    <row r="5552" spans="3:10" x14ac:dyDescent="0.2">
      <c r="C5552" s="209"/>
      <c r="D5552" s="209"/>
      <c r="E5552" s="209"/>
      <c r="J5552" s="124"/>
    </row>
    <row r="5553" spans="3:10" x14ac:dyDescent="0.2">
      <c r="C5553" s="209"/>
      <c r="D5553" s="209"/>
      <c r="E5553" s="209"/>
      <c r="J5553" s="124"/>
    </row>
    <row r="5554" spans="3:10" x14ac:dyDescent="0.2">
      <c r="C5554" s="209"/>
      <c r="D5554" s="209"/>
      <c r="E5554" s="209"/>
      <c r="J5554" s="124"/>
    </row>
    <row r="5555" spans="3:10" x14ac:dyDescent="0.2">
      <c r="C5555" s="209"/>
      <c r="D5555" s="209"/>
      <c r="E5555" s="209"/>
      <c r="J5555" s="124"/>
    </row>
    <row r="5556" spans="3:10" x14ac:dyDescent="0.2">
      <c r="C5556" s="209"/>
      <c r="D5556" s="209"/>
      <c r="E5556" s="209"/>
      <c r="J5556" s="124"/>
    </row>
    <row r="5557" spans="3:10" x14ac:dyDescent="0.2">
      <c r="C5557" s="209"/>
      <c r="D5557" s="209"/>
      <c r="E5557" s="209"/>
      <c r="J5557" s="124"/>
    </row>
    <row r="5558" spans="3:10" x14ac:dyDescent="0.2">
      <c r="C5558" s="209"/>
      <c r="D5558" s="209"/>
      <c r="E5558" s="209"/>
      <c r="J5558" s="124"/>
    </row>
    <row r="5559" spans="3:10" x14ac:dyDescent="0.2">
      <c r="C5559" s="209"/>
      <c r="D5559" s="209"/>
      <c r="E5559" s="209"/>
      <c r="J5559" s="124"/>
    </row>
    <row r="5560" spans="3:10" x14ac:dyDescent="0.2">
      <c r="C5560" s="209"/>
      <c r="D5560" s="209"/>
      <c r="E5560" s="209"/>
      <c r="J5560" s="124"/>
    </row>
    <row r="5561" spans="3:10" x14ac:dyDescent="0.2">
      <c r="C5561" s="209"/>
      <c r="D5561" s="209"/>
      <c r="E5561" s="209"/>
      <c r="J5561" s="124"/>
    </row>
    <row r="5562" spans="3:10" x14ac:dyDescent="0.2">
      <c r="C5562" s="209"/>
      <c r="D5562" s="209"/>
      <c r="E5562" s="209"/>
      <c r="J5562" s="124"/>
    </row>
    <row r="5563" spans="3:10" x14ac:dyDescent="0.2">
      <c r="C5563" s="209"/>
      <c r="D5563" s="209"/>
      <c r="E5563" s="209"/>
      <c r="J5563" s="124"/>
    </row>
    <row r="5564" spans="3:10" x14ac:dyDescent="0.2">
      <c r="C5564" s="209"/>
      <c r="D5564" s="209"/>
      <c r="E5564" s="209"/>
      <c r="J5564" s="124"/>
    </row>
    <row r="5565" spans="3:10" x14ac:dyDescent="0.2">
      <c r="C5565" s="209"/>
      <c r="D5565" s="209"/>
      <c r="E5565" s="209"/>
      <c r="J5565" s="124"/>
    </row>
    <row r="5566" spans="3:10" x14ac:dyDescent="0.2">
      <c r="C5566" s="209"/>
      <c r="D5566" s="209"/>
      <c r="E5566" s="209"/>
      <c r="J5566" s="124"/>
    </row>
    <row r="5567" spans="3:10" x14ac:dyDescent="0.2">
      <c r="C5567" s="209"/>
      <c r="D5567" s="209"/>
      <c r="E5567" s="209"/>
      <c r="J5567" s="124"/>
    </row>
    <row r="5568" spans="3:10" x14ac:dyDescent="0.2">
      <c r="C5568" s="209"/>
      <c r="D5568" s="209"/>
      <c r="E5568" s="209"/>
      <c r="J5568" s="124"/>
    </row>
    <row r="5569" spans="3:10" x14ac:dyDescent="0.2">
      <c r="C5569" s="209"/>
      <c r="D5569" s="209"/>
      <c r="E5569" s="209"/>
      <c r="J5569" s="124"/>
    </row>
    <row r="5570" spans="3:10" x14ac:dyDescent="0.2">
      <c r="C5570" s="209"/>
      <c r="D5570" s="209"/>
      <c r="E5570" s="209"/>
      <c r="J5570" s="124"/>
    </row>
    <row r="5571" spans="3:10" x14ac:dyDescent="0.2">
      <c r="C5571" s="209"/>
      <c r="D5571" s="209"/>
      <c r="E5571" s="209"/>
      <c r="J5571" s="124"/>
    </row>
    <row r="5572" spans="3:10" x14ac:dyDescent="0.2">
      <c r="C5572" s="209"/>
      <c r="D5572" s="209"/>
      <c r="E5572" s="209"/>
      <c r="J5572" s="124"/>
    </row>
    <row r="5573" spans="3:10" x14ac:dyDescent="0.2">
      <c r="C5573" s="209"/>
      <c r="D5573" s="209"/>
      <c r="E5573" s="209"/>
      <c r="J5573" s="124"/>
    </row>
    <row r="5574" spans="3:10" x14ac:dyDescent="0.2">
      <c r="C5574" s="209"/>
      <c r="D5574" s="209"/>
      <c r="E5574" s="209"/>
      <c r="J5574" s="124"/>
    </row>
    <row r="5575" spans="3:10" x14ac:dyDescent="0.2">
      <c r="C5575" s="209"/>
      <c r="D5575" s="209"/>
      <c r="E5575" s="209"/>
      <c r="J5575" s="124"/>
    </row>
    <row r="5576" spans="3:10" x14ac:dyDescent="0.2">
      <c r="C5576" s="209"/>
      <c r="D5576" s="209"/>
      <c r="E5576" s="209"/>
      <c r="J5576" s="124"/>
    </row>
    <row r="5577" spans="3:10" x14ac:dyDescent="0.2">
      <c r="C5577" s="209"/>
      <c r="D5577" s="209"/>
      <c r="E5577" s="209"/>
      <c r="J5577" s="124"/>
    </row>
    <row r="5578" spans="3:10" x14ac:dyDescent="0.2">
      <c r="C5578" s="209"/>
      <c r="D5578" s="209"/>
      <c r="E5578" s="209"/>
      <c r="J5578" s="124"/>
    </row>
    <row r="5579" spans="3:10" x14ac:dyDescent="0.2">
      <c r="C5579" s="209"/>
      <c r="D5579" s="209"/>
      <c r="E5579" s="209"/>
      <c r="J5579" s="124"/>
    </row>
    <row r="5580" spans="3:10" x14ac:dyDescent="0.2">
      <c r="C5580" s="209"/>
      <c r="D5580" s="209"/>
      <c r="E5580" s="209"/>
      <c r="J5580" s="124"/>
    </row>
    <row r="5581" spans="3:10" x14ac:dyDescent="0.2">
      <c r="C5581" s="209"/>
      <c r="D5581" s="209"/>
      <c r="E5581" s="209"/>
      <c r="J5581" s="124"/>
    </row>
    <row r="5582" spans="3:10" x14ac:dyDescent="0.2">
      <c r="C5582" s="209"/>
      <c r="D5582" s="209"/>
      <c r="E5582" s="209"/>
      <c r="J5582" s="124"/>
    </row>
    <row r="5583" spans="3:10" x14ac:dyDescent="0.2">
      <c r="C5583" s="209"/>
      <c r="D5583" s="209"/>
      <c r="E5583" s="209"/>
      <c r="J5583" s="124"/>
    </row>
    <row r="5584" spans="3:10" x14ac:dyDescent="0.2">
      <c r="C5584" s="209"/>
      <c r="D5584" s="209"/>
      <c r="E5584" s="209"/>
      <c r="J5584" s="124"/>
    </row>
    <row r="5585" spans="3:10" x14ac:dyDescent="0.2">
      <c r="C5585" s="209"/>
      <c r="D5585" s="209"/>
      <c r="E5585" s="209"/>
      <c r="J5585" s="124"/>
    </row>
    <row r="5586" spans="3:10" x14ac:dyDescent="0.2">
      <c r="C5586" s="209"/>
      <c r="D5586" s="209"/>
      <c r="E5586" s="209"/>
      <c r="J5586" s="124"/>
    </row>
    <row r="5587" spans="3:10" x14ac:dyDescent="0.2">
      <c r="C5587" s="209"/>
      <c r="D5587" s="209"/>
      <c r="E5587" s="209"/>
      <c r="J5587" s="124"/>
    </row>
    <row r="5588" spans="3:10" x14ac:dyDescent="0.2">
      <c r="C5588" s="209"/>
      <c r="D5588" s="209"/>
      <c r="E5588" s="209"/>
      <c r="J5588" s="124"/>
    </row>
    <row r="5589" spans="3:10" x14ac:dyDescent="0.2">
      <c r="C5589" s="209"/>
      <c r="D5589" s="209"/>
      <c r="E5589" s="209"/>
      <c r="J5589" s="124"/>
    </row>
    <row r="5590" spans="3:10" x14ac:dyDescent="0.2">
      <c r="C5590" s="209"/>
      <c r="D5590" s="209"/>
      <c r="E5590" s="209"/>
      <c r="J5590" s="124"/>
    </row>
    <row r="5591" spans="3:10" x14ac:dyDescent="0.2">
      <c r="C5591" s="209"/>
      <c r="D5591" s="209"/>
      <c r="E5591" s="209"/>
      <c r="J5591" s="124"/>
    </row>
    <row r="5592" spans="3:10" x14ac:dyDescent="0.2">
      <c r="C5592" s="209"/>
      <c r="D5592" s="209"/>
      <c r="E5592" s="209"/>
      <c r="J5592" s="124"/>
    </row>
    <row r="5593" spans="3:10" x14ac:dyDescent="0.2">
      <c r="C5593" s="209"/>
      <c r="D5593" s="209"/>
      <c r="E5593" s="209"/>
      <c r="J5593" s="124"/>
    </row>
    <row r="5594" spans="3:10" x14ac:dyDescent="0.2">
      <c r="C5594" s="209"/>
      <c r="D5594" s="209"/>
      <c r="E5594" s="209"/>
      <c r="J5594" s="124"/>
    </row>
    <row r="5595" spans="3:10" x14ac:dyDescent="0.2">
      <c r="C5595" s="209"/>
      <c r="D5595" s="209"/>
      <c r="E5595" s="209"/>
      <c r="J5595" s="124"/>
    </row>
    <row r="5596" spans="3:10" x14ac:dyDescent="0.2">
      <c r="C5596" s="209"/>
      <c r="D5596" s="209"/>
      <c r="E5596" s="209"/>
      <c r="J5596" s="124"/>
    </row>
    <row r="5597" spans="3:10" x14ac:dyDescent="0.2">
      <c r="C5597" s="209"/>
      <c r="D5597" s="209"/>
      <c r="E5597" s="209"/>
      <c r="J5597" s="124"/>
    </row>
    <row r="5598" spans="3:10" x14ac:dyDescent="0.2">
      <c r="C5598" s="209"/>
      <c r="D5598" s="209"/>
      <c r="E5598" s="209"/>
      <c r="J5598" s="124"/>
    </row>
    <row r="5599" spans="3:10" x14ac:dyDescent="0.2">
      <c r="C5599" s="209"/>
      <c r="D5599" s="209"/>
      <c r="E5599" s="209"/>
      <c r="J5599" s="124"/>
    </row>
    <row r="5600" spans="3:10" x14ac:dyDescent="0.2">
      <c r="C5600" s="209"/>
      <c r="D5600" s="209"/>
      <c r="E5600" s="209"/>
      <c r="J5600" s="124"/>
    </row>
    <row r="5601" spans="3:10" x14ac:dyDescent="0.2">
      <c r="C5601" s="209"/>
      <c r="D5601" s="209"/>
      <c r="E5601" s="209"/>
      <c r="J5601" s="124"/>
    </row>
    <row r="5602" spans="3:10" x14ac:dyDescent="0.2">
      <c r="C5602" s="209"/>
      <c r="D5602" s="209"/>
      <c r="E5602" s="209"/>
      <c r="J5602" s="124"/>
    </row>
    <row r="5603" spans="3:10" x14ac:dyDescent="0.2">
      <c r="C5603" s="209"/>
      <c r="D5603" s="209"/>
      <c r="E5603" s="209"/>
      <c r="J5603" s="124"/>
    </row>
    <row r="5604" spans="3:10" x14ac:dyDescent="0.2">
      <c r="C5604" s="209"/>
      <c r="D5604" s="209"/>
      <c r="E5604" s="209"/>
      <c r="J5604" s="124"/>
    </row>
    <row r="5605" spans="3:10" x14ac:dyDescent="0.2">
      <c r="C5605" s="209"/>
      <c r="D5605" s="209"/>
      <c r="E5605" s="209"/>
      <c r="J5605" s="124"/>
    </row>
    <row r="5606" spans="3:10" x14ac:dyDescent="0.2">
      <c r="C5606" s="209"/>
      <c r="D5606" s="209"/>
      <c r="E5606" s="209"/>
      <c r="J5606" s="124"/>
    </row>
    <row r="5607" spans="3:10" x14ac:dyDescent="0.2">
      <c r="C5607" s="209"/>
      <c r="D5607" s="209"/>
      <c r="E5607" s="209"/>
      <c r="J5607" s="124"/>
    </row>
    <row r="5608" spans="3:10" x14ac:dyDescent="0.2">
      <c r="C5608" s="209"/>
      <c r="D5608" s="209"/>
      <c r="E5608" s="209"/>
      <c r="J5608" s="124"/>
    </row>
    <row r="5609" spans="3:10" x14ac:dyDescent="0.2">
      <c r="C5609" s="209"/>
      <c r="D5609" s="209"/>
      <c r="E5609" s="209"/>
      <c r="J5609" s="124"/>
    </row>
    <row r="5610" spans="3:10" x14ac:dyDescent="0.2">
      <c r="C5610" s="209"/>
      <c r="D5610" s="209"/>
      <c r="E5610" s="209"/>
      <c r="J5610" s="124"/>
    </row>
    <row r="5611" spans="3:10" x14ac:dyDescent="0.2">
      <c r="C5611" s="209"/>
      <c r="D5611" s="209"/>
      <c r="E5611" s="209"/>
      <c r="J5611" s="124"/>
    </row>
    <row r="5612" spans="3:10" x14ac:dyDescent="0.2">
      <c r="C5612" s="209"/>
      <c r="D5612" s="209"/>
      <c r="E5612" s="209"/>
      <c r="J5612" s="124"/>
    </row>
    <row r="5613" spans="3:10" x14ac:dyDescent="0.2">
      <c r="C5613" s="209"/>
      <c r="D5613" s="209"/>
      <c r="E5613" s="209"/>
      <c r="J5613" s="124"/>
    </row>
    <row r="5614" spans="3:10" x14ac:dyDescent="0.2">
      <c r="C5614" s="209"/>
      <c r="D5614" s="209"/>
      <c r="E5614" s="209"/>
      <c r="J5614" s="124"/>
    </row>
    <row r="5615" spans="3:10" x14ac:dyDescent="0.2">
      <c r="C5615" s="209"/>
      <c r="D5615" s="209"/>
      <c r="E5615" s="209"/>
      <c r="J5615" s="124"/>
    </row>
    <row r="5616" spans="3:10" x14ac:dyDescent="0.2">
      <c r="C5616" s="209"/>
      <c r="D5616" s="209"/>
      <c r="E5616" s="209"/>
      <c r="J5616" s="124"/>
    </row>
    <row r="5617" spans="3:10" x14ac:dyDescent="0.2">
      <c r="C5617" s="209"/>
      <c r="D5617" s="209"/>
      <c r="E5617" s="209"/>
      <c r="J5617" s="124"/>
    </row>
    <row r="5618" spans="3:10" x14ac:dyDescent="0.2">
      <c r="C5618" s="209"/>
      <c r="D5618" s="209"/>
      <c r="E5618" s="209"/>
      <c r="J5618" s="124"/>
    </row>
    <row r="5619" spans="3:10" x14ac:dyDescent="0.2">
      <c r="C5619" s="209"/>
      <c r="D5619" s="209"/>
      <c r="E5619" s="209"/>
      <c r="J5619" s="124"/>
    </row>
    <row r="5620" spans="3:10" x14ac:dyDescent="0.2">
      <c r="C5620" s="209"/>
      <c r="D5620" s="209"/>
      <c r="E5620" s="209"/>
      <c r="J5620" s="124"/>
    </row>
    <row r="5621" spans="3:10" x14ac:dyDescent="0.2">
      <c r="C5621" s="209"/>
      <c r="D5621" s="209"/>
      <c r="E5621" s="209"/>
      <c r="J5621" s="124"/>
    </row>
    <row r="5622" spans="3:10" x14ac:dyDescent="0.2">
      <c r="C5622" s="209"/>
      <c r="D5622" s="209"/>
      <c r="E5622" s="209"/>
      <c r="J5622" s="124"/>
    </row>
    <row r="5623" spans="3:10" x14ac:dyDescent="0.2">
      <c r="C5623" s="209"/>
      <c r="D5623" s="209"/>
      <c r="E5623" s="209"/>
      <c r="J5623" s="124"/>
    </row>
    <row r="5624" spans="3:10" x14ac:dyDescent="0.2">
      <c r="C5624" s="209"/>
      <c r="D5624" s="209"/>
      <c r="E5624" s="209"/>
      <c r="J5624" s="124"/>
    </row>
    <row r="5625" spans="3:10" x14ac:dyDescent="0.2">
      <c r="C5625" s="209"/>
      <c r="D5625" s="209"/>
      <c r="E5625" s="209"/>
      <c r="J5625" s="124"/>
    </row>
    <row r="5626" spans="3:10" x14ac:dyDescent="0.2">
      <c r="C5626" s="209"/>
      <c r="D5626" s="209"/>
      <c r="E5626" s="209"/>
      <c r="J5626" s="124"/>
    </row>
    <row r="5627" spans="3:10" x14ac:dyDescent="0.2">
      <c r="C5627" s="209"/>
      <c r="D5627" s="209"/>
      <c r="E5627" s="209"/>
      <c r="J5627" s="124"/>
    </row>
    <row r="5628" spans="3:10" x14ac:dyDescent="0.2">
      <c r="C5628" s="209"/>
      <c r="D5628" s="209"/>
      <c r="E5628" s="209"/>
      <c r="J5628" s="124"/>
    </row>
    <row r="5629" spans="3:10" x14ac:dyDescent="0.2">
      <c r="C5629" s="209"/>
      <c r="D5629" s="209"/>
      <c r="E5629" s="209"/>
      <c r="J5629" s="124"/>
    </row>
    <row r="5630" spans="3:10" x14ac:dyDescent="0.2">
      <c r="C5630" s="209"/>
      <c r="D5630" s="209"/>
      <c r="E5630" s="209"/>
      <c r="J5630" s="124"/>
    </row>
    <row r="5631" spans="3:10" x14ac:dyDescent="0.2">
      <c r="C5631" s="209"/>
      <c r="D5631" s="209"/>
      <c r="E5631" s="209"/>
      <c r="J5631" s="124"/>
    </row>
    <row r="5632" spans="3:10" x14ac:dyDescent="0.2">
      <c r="C5632" s="209"/>
      <c r="D5632" s="209"/>
      <c r="E5632" s="209"/>
      <c r="J5632" s="124"/>
    </row>
    <row r="5633" spans="3:10" x14ac:dyDescent="0.2">
      <c r="C5633" s="209"/>
      <c r="D5633" s="209"/>
      <c r="E5633" s="209"/>
      <c r="J5633" s="124"/>
    </row>
    <row r="5634" spans="3:10" x14ac:dyDescent="0.2">
      <c r="C5634" s="209"/>
      <c r="D5634" s="209"/>
      <c r="E5634" s="209"/>
      <c r="J5634" s="124"/>
    </row>
    <row r="5635" spans="3:10" x14ac:dyDescent="0.2">
      <c r="C5635" s="209"/>
      <c r="D5635" s="209"/>
      <c r="E5635" s="209"/>
      <c r="J5635" s="124"/>
    </row>
    <row r="5636" spans="3:10" x14ac:dyDescent="0.2">
      <c r="C5636" s="209"/>
      <c r="D5636" s="209"/>
      <c r="E5636" s="209"/>
      <c r="J5636" s="124"/>
    </row>
    <row r="5637" spans="3:10" x14ac:dyDescent="0.2">
      <c r="C5637" s="209"/>
      <c r="D5637" s="209"/>
      <c r="E5637" s="209"/>
      <c r="J5637" s="124"/>
    </row>
    <row r="5638" spans="3:10" x14ac:dyDescent="0.2">
      <c r="C5638" s="209"/>
      <c r="D5638" s="209"/>
      <c r="E5638" s="209"/>
      <c r="J5638" s="124"/>
    </row>
    <row r="5639" spans="3:10" x14ac:dyDescent="0.2">
      <c r="C5639" s="209"/>
      <c r="D5639" s="209"/>
      <c r="E5639" s="209"/>
      <c r="J5639" s="124"/>
    </row>
    <row r="5640" spans="3:10" x14ac:dyDescent="0.2">
      <c r="C5640" s="209"/>
      <c r="D5640" s="209"/>
      <c r="E5640" s="209"/>
      <c r="J5640" s="124"/>
    </row>
    <row r="5641" spans="3:10" x14ac:dyDescent="0.2">
      <c r="C5641" s="209"/>
      <c r="D5641" s="209"/>
      <c r="E5641" s="209"/>
      <c r="J5641" s="124"/>
    </row>
    <row r="5642" spans="3:10" x14ac:dyDescent="0.2">
      <c r="C5642" s="209"/>
      <c r="D5642" s="209"/>
      <c r="E5642" s="209"/>
      <c r="J5642" s="124"/>
    </row>
    <row r="5643" spans="3:10" x14ac:dyDescent="0.2">
      <c r="C5643" s="209"/>
      <c r="D5643" s="209"/>
      <c r="E5643" s="209"/>
      <c r="J5643" s="124"/>
    </row>
    <row r="5644" spans="3:10" x14ac:dyDescent="0.2">
      <c r="C5644" s="209"/>
      <c r="D5644" s="209"/>
      <c r="E5644" s="209"/>
      <c r="J5644" s="124"/>
    </row>
    <row r="5645" spans="3:10" x14ac:dyDescent="0.2">
      <c r="C5645" s="209"/>
      <c r="D5645" s="209"/>
      <c r="E5645" s="209"/>
      <c r="J5645" s="124"/>
    </row>
    <row r="5646" spans="3:10" x14ac:dyDescent="0.2">
      <c r="C5646" s="209"/>
      <c r="D5646" s="209"/>
      <c r="E5646" s="209"/>
      <c r="J5646" s="124"/>
    </row>
    <row r="5647" spans="3:10" x14ac:dyDescent="0.2">
      <c r="C5647" s="209"/>
      <c r="D5647" s="209"/>
      <c r="E5647" s="209"/>
      <c r="J5647" s="124"/>
    </row>
    <row r="5648" spans="3:10" x14ac:dyDescent="0.2">
      <c r="C5648" s="209"/>
      <c r="D5648" s="209"/>
      <c r="E5648" s="209"/>
      <c r="J5648" s="124"/>
    </row>
    <row r="5649" spans="3:10" x14ac:dyDescent="0.2">
      <c r="C5649" s="209"/>
      <c r="D5649" s="209"/>
      <c r="E5649" s="209"/>
      <c r="J5649" s="124"/>
    </row>
    <row r="5650" spans="3:10" x14ac:dyDescent="0.2">
      <c r="C5650" s="209"/>
      <c r="D5650" s="209"/>
      <c r="E5650" s="209"/>
      <c r="J5650" s="124"/>
    </row>
    <row r="5651" spans="3:10" x14ac:dyDescent="0.2">
      <c r="C5651" s="209"/>
      <c r="D5651" s="209"/>
      <c r="E5651" s="209"/>
      <c r="J5651" s="124"/>
    </row>
    <row r="5652" spans="3:10" x14ac:dyDescent="0.2">
      <c r="C5652" s="209"/>
      <c r="D5652" s="209"/>
      <c r="E5652" s="209"/>
      <c r="J5652" s="124"/>
    </row>
    <row r="5653" spans="3:10" x14ac:dyDescent="0.2">
      <c r="C5653" s="209"/>
      <c r="D5653" s="209"/>
      <c r="E5653" s="209"/>
      <c r="J5653" s="124"/>
    </row>
    <row r="5654" spans="3:10" x14ac:dyDescent="0.2">
      <c r="C5654" s="209"/>
      <c r="D5654" s="209"/>
      <c r="E5654" s="209"/>
      <c r="J5654" s="124"/>
    </row>
    <row r="5655" spans="3:10" x14ac:dyDescent="0.2">
      <c r="C5655" s="209"/>
      <c r="D5655" s="209"/>
      <c r="E5655" s="209"/>
      <c r="J5655" s="124"/>
    </row>
    <row r="5656" spans="3:10" x14ac:dyDescent="0.2">
      <c r="C5656" s="209"/>
      <c r="D5656" s="209"/>
      <c r="E5656" s="209"/>
      <c r="J5656" s="124"/>
    </row>
    <row r="5657" spans="3:10" x14ac:dyDescent="0.2">
      <c r="C5657" s="209"/>
      <c r="D5657" s="209"/>
      <c r="E5657" s="209"/>
      <c r="J5657" s="124"/>
    </row>
    <row r="5658" spans="3:10" x14ac:dyDescent="0.2">
      <c r="C5658" s="209"/>
      <c r="D5658" s="209"/>
      <c r="E5658" s="209"/>
      <c r="J5658" s="124"/>
    </row>
    <row r="5659" spans="3:10" x14ac:dyDescent="0.2">
      <c r="C5659" s="209"/>
      <c r="D5659" s="209"/>
      <c r="E5659" s="209"/>
      <c r="J5659" s="124"/>
    </row>
    <row r="5660" spans="3:10" x14ac:dyDescent="0.2">
      <c r="C5660" s="209"/>
      <c r="D5660" s="209"/>
      <c r="E5660" s="209"/>
      <c r="J5660" s="124"/>
    </row>
    <row r="5661" spans="3:10" x14ac:dyDescent="0.2">
      <c r="C5661" s="209"/>
      <c r="D5661" s="209"/>
      <c r="E5661" s="209"/>
      <c r="J5661" s="124"/>
    </row>
    <row r="5662" spans="3:10" x14ac:dyDescent="0.2">
      <c r="C5662" s="209"/>
      <c r="D5662" s="209"/>
      <c r="E5662" s="209"/>
      <c r="J5662" s="124"/>
    </row>
    <row r="5663" spans="3:10" x14ac:dyDescent="0.2">
      <c r="C5663" s="209"/>
      <c r="D5663" s="209"/>
      <c r="E5663" s="209"/>
      <c r="J5663" s="124"/>
    </row>
    <row r="5664" spans="3:10" x14ac:dyDescent="0.2">
      <c r="C5664" s="209"/>
      <c r="D5664" s="209"/>
      <c r="E5664" s="209"/>
      <c r="J5664" s="124"/>
    </row>
    <row r="5665" spans="3:10" x14ac:dyDescent="0.2">
      <c r="C5665" s="209"/>
      <c r="D5665" s="209"/>
      <c r="E5665" s="209"/>
      <c r="J5665" s="124"/>
    </row>
    <row r="5666" spans="3:10" x14ac:dyDescent="0.2">
      <c r="C5666" s="209"/>
      <c r="D5666" s="209"/>
      <c r="E5666" s="209"/>
      <c r="J5666" s="124"/>
    </row>
    <row r="5667" spans="3:10" x14ac:dyDescent="0.2">
      <c r="C5667" s="209"/>
      <c r="D5667" s="209"/>
      <c r="E5667" s="209"/>
      <c r="J5667" s="124"/>
    </row>
    <row r="5668" spans="3:10" x14ac:dyDescent="0.2">
      <c r="C5668" s="209"/>
      <c r="D5668" s="209"/>
      <c r="E5668" s="209"/>
      <c r="J5668" s="124"/>
    </row>
    <row r="5669" spans="3:10" x14ac:dyDescent="0.2">
      <c r="C5669" s="209"/>
      <c r="D5669" s="209"/>
      <c r="E5669" s="209"/>
      <c r="J5669" s="124"/>
    </row>
    <row r="5670" spans="3:10" x14ac:dyDescent="0.2">
      <c r="C5670" s="209"/>
      <c r="D5670" s="209"/>
      <c r="E5670" s="209"/>
      <c r="J5670" s="124"/>
    </row>
    <row r="5671" spans="3:10" x14ac:dyDescent="0.2">
      <c r="C5671" s="209"/>
      <c r="D5671" s="209"/>
      <c r="E5671" s="209"/>
      <c r="J5671" s="124"/>
    </row>
    <row r="5672" spans="3:10" x14ac:dyDescent="0.2">
      <c r="C5672" s="209"/>
      <c r="D5672" s="209"/>
      <c r="E5672" s="209"/>
      <c r="J5672" s="124"/>
    </row>
    <row r="5673" spans="3:10" x14ac:dyDescent="0.2">
      <c r="C5673" s="209"/>
      <c r="D5673" s="209"/>
      <c r="E5673" s="209"/>
      <c r="J5673" s="124"/>
    </row>
    <row r="5674" spans="3:10" x14ac:dyDescent="0.2">
      <c r="C5674" s="209"/>
      <c r="D5674" s="209"/>
      <c r="E5674" s="209"/>
      <c r="J5674" s="124"/>
    </row>
    <row r="5675" spans="3:10" x14ac:dyDescent="0.2">
      <c r="C5675" s="209"/>
      <c r="D5675" s="209"/>
      <c r="E5675" s="209"/>
      <c r="J5675" s="124"/>
    </row>
    <row r="5676" spans="3:10" x14ac:dyDescent="0.2">
      <c r="C5676" s="209"/>
      <c r="D5676" s="209"/>
      <c r="E5676" s="209"/>
      <c r="J5676" s="124"/>
    </row>
    <row r="5677" spans="3:10" x14ac:dyDescent="0.2">
      <c r="C5677" s="209"/>
      <c r="D5677" s="209"/>
      <c r="E5677" s="209"/>
      <c r="J5677" s="124"/>
    </row>
    <row r="5678" spans="3:10" x14ac:dyDescent="0.2">
      <c r="C5678" s="209"/>
      <c r="D5678" s="209"/>
      <c r="E5678" s="209"/>
      <c r="J5678" s="124"/>
    </row>
    <row r="5679" spans="3:10" x14ac:dyDescent="0.2">
      <c r="C5679" s="209"/>
      <c r="D5679" s="209"/>
      <c r="E5679" s="209"/>
      <c r="J5679" s="124"/>
    </row>
    <row r="5680" spans="3:10" x14ac:dyDescent="0.2">
      <c r="C5680" s="209"/>
      <c r="D5680" s="209"/>
      <c r="E5680" s="209"/>
      <c r="J5680" s="124"/>
    </row>
    <row r="5681" spans="3:10" x14ac:dyDescent="0.2">
      <c r="C5681" s="209"/>
      <c r="D5681" s="209"/>
      <c r="E5681" s="209"/>
      <c r="J5681" s="124"/>
    </row>
    <row r="5682" spans="3:10" x14ac:dyDescent="0.2">
      <c r="C5682" s="209"/>
      <c r="D5682" s="209"/>
      <c r="E5682" s="209"/>
      <c r="J5682" s="124"/>
    </row>
    <row r="5683" spans="3:10" x14ac:dyDescent="0.2">
      <c r="C5683" s="209"/>
      <c r="D5683" s="209"/>
      <c r="E5683" s="209"/>
      <c r="J5683" s="124"/>
    </row>
    <row r="5684" spans="3:10" x14ac:dyDescent="0.2">
      <c r="C5684" s="209"/>
      <c r="D5684" s="209"/>
      <c r="E5684" s="209"/>
      <c r="J5684" s="124"/>
    </row>
    <row r="5685" spans="3:10" x14ac:dyDescent="0.2">
      <c r="C5685" s="209"/>
      <c r="D5685" s="209"/>
      <c r="E5685" s="209"/>
      <c r="J5685" s="124"/>
    </row>
    <row r="5686" spans="3:10" x14ac:dyDescent="0.2">
      <c r="C5686" s="209"/>
      <c r="D5686" s="209"/>
      <c r="E5686" s="209"/>
      <c r="J5686" s="124"/>
    </row>
    <row r="5687" spans="3:10" x14ac:dyDescent="0.2">
      <c r="C5687" s="209"/>
      <c r="D5687" s="209"/>
      <c r="E5687" s="209"/>
      <c r="J5687" s="124"/>
    </row>
    <row r="5688" spans="3:10" x14ac:dyDescent="0.2">
      <c r="C5688" s="209"/>
      <c r="D5688" s="209"/>
      <c r="E5688" s="209"/>
      <c r="J5688" s="124"/>
    </row>
    <row r="5689" spans="3:10" x14ac:dyDescent="0.2">
      <c r="C5689" s="209"/>
      <c r="D5689" s="209"/>
      <c r="E5689" s="209"/>
      <c r="J5689" s="124"/>
    </row>
    <row r="5690" spans="3:10" x14ac:dyDescent="0.2">
      <c r="C5690" s="209"/>
      <c r="D5690" s="209"/>
      <c r="E5690" s="209"/>
      <c r="J5690" s="124"/>
    </row>
    <row r="5691" spans="3:10" x14ac:dyDescent="0.2">
      <c r="C5691" s="209"/>
      <c r="D5691" s="209"/>
      <c r="E5691" s="209"/>
      <c r="J5691" s="124"/>
    </row>
    <row r="5692" spans="3:10" x14ac:dyDescent="0.2">
      <c r="C5692" s="209"/>
      <c r="D5692" s="209"/>
      <c r="E5692" s="209"/>
      <c r="J5692" s="124"/>
    </row>
    <row r="5693" spans="3:10" x14ac:dyDescent="0.2">
      <c r="C5693" s="209"/>
      <c r="D5693" s="209"/>
      <c r="E5693" s="209"/>
      <c r="J5693" s="124"/>
    </row>
    <row r="5694" spans="3:10" x14ac:dyDescent="0.2">
      <c r="C5694" s="209"/>
      <c r="D5694" s="209"/>
      <c r="E5694" s="209"/>
      <c r="J5694" s="124"/>
    </row>
    <row r="5695" spans="3:10" x14ac:dyDescent="0.2">
      <c r="C5695" s="209"/>
      <c r="D5695" s="209"/>
      <c r="E5695" s="209"/>
      <c r="J5695" s="124"/>
    </row>
    <row r="5696" spans="3:10" x14ac:dyDescent="0.2">
      <c r="C5696" s="209"/>
      <c r="D5696" s="209"/>
      <c r="E5696" s="209"/>
      <c r="J5696" s="124"/>
    </row>
    <row r="5697" spans="3:10" x14ac:dyDescent="0.2">
      <c r="C5697" s="209"/>
      <c r="D5697" s="209"/>
      <c r="E5697" s="209"/>
      <c r="J5697" s="124"/>
    </row>
    <row r="5698" spans="3:10" x14ac:dyDescent="0.2">
      <c r="C5698" s="209"/>
      <c r="D5698" s="209"/>
      <c r="E5698" s="209"/>
      <c r="J5698" s="124"/>
    </row>
    <row r="5699" spans="3:10" x14ac:dyDescent="0.2">
      <c r="C5699" s="209"/>
      <c r="D5699" s="209"/>
      <c r="E5699" s="209"/>
      <c r="J5699" s="124"/>
    </row>
    <row r="5700" spans="3:10" x14ac:dyDescent="0.2">
      <c r="C5700" s="209"/>
      <c r="D5700" s="209"/>
      <c r="E5700" s="209"/>
      <c r="J5700" s="124"/>
    </row>
    <row r="5701" spans="3:10" x14ac:dyDescent="0.2">
      <c r="C5701" s="209"/>
      <c r="D5701" s="209"/>
      <c r="E5701" s="209"/>
      <c r="J5701" s="124"/>
    </row>
    <row r="5702" spans="3:10" x14ac:dyDescent="0.2">
      <c r="C5702" s="209"/>
      <c r="D5702" s="209"/>
      <c r="E5702" s="209"/>
      <c r="J5702" s="124"/>
    </row>
    <row r="5703" spans="3:10" x14ac:dyDescent="0.2">
      <c r="C5703" s="209"/>
      <c r="D5703" s="209"/>
      <c r="E5703" s="209"/>
      <c r="J5703" s="124"/>
    </row>
    <row r="5704" spans="3:10" x14ac:dyDescent="0.2">
      <c r="C5704" s="209"/>
      <c r="D5704" s="209"/>
      <c r="E5704" s="209"/>
      <c r="J5704" s="124"/>
    </row>
    <row r="5705" spans="3:10" x14ac:dyDescent="0.2">
      <c r="C5705" s="209"/>
      <c r="D5705" s="209"/>
      <c r="E5705" s="209"/>
      <c r="J5705" s="124"/>
    </row>
    <row r="5706" spans="3:10" x14ac:dyDescent="0.2">
      <c r="C5706" s="209"/>
      <c r="D5706" s="209"/>
      <c r="E5706" s="209"/>
      <c r="J5706" s="124"/>
    </row>
    <row r="5707" spans="3:10" x14ac:dyDescent="0.2">
      <c r="C5707" s="209"/>
      <c r="D5707" s="209"/>
      <c r="E5707" s="209"/>
      <c r="J5707" s="124"/>
    </row>
    <row r="5708" spans="3:10" x14ac:dyDescent="0.2">
      <c r="C5708" s="209"/>
      <c r="D5708" s="209"/>
      <c r="E5708" s="209"/>
      <c r="J5708" s="124"/>
    </row>
    <row r="5709" spans="3:10" x14ac:dyDescent="0.2">
      <c r="C5709" s="209"/>
      <c r="D5709" s="209"/>
      <c r="E5709" s="209"/>
      <c r="J5709" s="124"/>
    </row>
    <row r="5710" spans="3:10" x14ac:dyDescent="0.2">
      <c r="C5710" s="209"/>
      <c r="D5710" s="209"/>
      <c r="E5710" s="209"/>
      <c r="J5710" s="124"/>
    </row>
    <row r="5711" spans="3:10" x14ac:dyDescent="0.2">
      <c r="C5711" s="209"/>
      <c r="D5711" s="209"/>
      <c r="E5711" s="209"/>
      <c r="J5711" s="124"/>
    </row>
    <row r="5712" spans="3:10" x14ac:dyDescent="0.2">
      <c r="C5712" s="209"/>
      <c r="D5712" s="209"/>
      <c r="E5712" s="209"/>
      <c r="J5712" s="124"/>
    </row>
    <row r="5713" spans="3:10" x14ac:dyDescent="0.2">
      <c r="C5713" s="209"/>
      <c r="D5713" s="209"/>
      <c r="E5713" s="209"/>
      <c r="J5713" s="124"/>
    </row>
    <row r="5714" spans="3:10" x14ac:dyDescent="0.2">
      <c r="C5714" s="209"/>
      <c r="D5714" s="209"/>
      <c r="E5714" s="209"/>
      <c r="J5714" s="124"/>
    </row>
    <row r="5715" spans="3:10" x14ac:dyDescent="0.2">
      <c r="C5715" s="209"/>
      <c r="D5715" s="209"/>
      <c r="E5715" s="209"/>
      <c r="J5715" s="124"/>
    </row>
    <row r="5716" spans="3:10" x14ac:dyDescent="0.2">
      <c r="C5716" s="209"/>
      <c r="D5716" s="209"/>
      <c r="E5716" s="209"/>
      <c r="J5716" s="124"/>
    </row>
    <row r="5717" spans="3:10" x14ac:dyDescent="0.2">
      <c r="C5717" s="209"/>
      <c r="D5717" s="209"/>
      <c r="E5717" s="209"/>
      <c r="J5717" s="124"/>
    </row>
    <row r="5718" spans="3:10" x14ac:dyDescent="0.2">
      <c r="C5718" s="209"/>
      <c r="D5718" s="209"/>
      <c r="E5718" s="209"/>
      <c r="J5718" s="124"/>
    </row>
    <row r="5719" spans="3:10" x14ac:dyDescent="0.2">
      <c r="C5719" s="209"/>
      <c r="D5719" s="209"/>
      <c r="E5719" s="209"/>
      <c r="J5719" s="124"/>
    </row>
    <row r="5720" spans="3:10" x14ac:dyDescent="0.2">
      <c r="C5720" s="209"/>
      <c r="D5720" s="209"/>
      <c r="E5720" s="209"/>
      <c r="J5720" s="124"/>
    </row>
    <row r="5721" spans="3:10" x14ac:dyDescent="0.2">
      <c r="C5721" s="209"/>
      <c r="D5721" s="209"/>
      <c r="E5721" s="209"/>
      <c r="J5721" s="124"/>
    </row>
    <row r="5722" spans="3:10" x14ac:dyDescent="0.2">
      <c r="C5722" s="209"/>
      <c r="D5722" s="209"/>
      <c r="E5722" s="209"/>
      <c r="J5722" s="124"/>
    </row>
    <row r="5723" spans="3:10" x14ac:dyDescent="0.2">
      <c r="C5723" s="209"/>
      <c r="D5723" s="209"/>
      <c r="E5723" s="209"/>
      <c r="J5723" s="124"/>
    </row>
    <row r="5724" spans="3:10" x14ac:dyDescent="0.2">
      <c r="C5724" s="209"/>
      <c r="D5724" s="209"/>
      <c r="E5724" s="209"/>
      <c r="J5724" s="124"/>
    </row>
    <row r="5725" spans="3:10" x14ac:dyDescent="0.2">
      <c r="C5725" s="209"/>
      <c r="D5725" s="209"/>
      <c r="E5725" s="209"/>
      <c r="J5725" s="124"/>
    </row>
    <row r="5726" spans="3:10" x14ac:dyDescent="0.2">
      <c r="C5726" s="209"/>
      <c r="D5726" s="209"/>
      <c r="E5726" s="209"/>
      <c r="J5726" s="124"/>
    </row>
    <row r="5727" spans="3:10" x14ac:dyDescent="0.2">
      <c r="C5727" s="209"/>
      <c r="D5727" s="209"/>
      <c r="E5727" s="209"/>
      <c r="J5727" s="124"/>
    </row>
    <row r="5728" spans="3:10" x14ac:dyDescent="0.2">
      <c r="C5728" s="209"/>
      <c r="D5728" s="209"/>
      <c r="E5728" s="209"/>
      <c r="J5728" s="124"/>
    </row>
    <row r="5729" spans="3:10" x14ac:dyDescent="0.2">
      <c r="C5729" s="209"/>
      <c r="D5729" s="209"/>
      <c r="E5729" s="209"/>
      <c r="J5729" s="124"/>
    </row>
    <row r="5730" spans="3:10" x14ac:dyDescent="0.2">
      <c r="C5730" s="209"/>
      <c r="D5730" s="209"/>
      <c r="E5730" s="209"/>
      <c r="J5730" s="124"/>
    </row>
    <row r="5731" spans="3:10" x14ac:dyDescent="0.2">
      <c r="C5731" s="209"/>
      <c r="D5731" s="209"/>
      <c r="E5731" s="209"/>
      <c r="J5731" s="124"/>
    </row>
    <row r="5732" spans="3:10" x14ac:dyDescent="0.2">
      <c r="C5732" s="209"/>
      <c r="D5732" s="209"/>
      <c r="E5732" s="209"/>
      <c r="J5732" s="124"/>
    </row>
    <row r="5733" spans="3:10" x14ac:dyDescent="0.2">
      <c r="C5733" s="209"/>
      <c r="D5733" s="209"/>
      <c r="E5733" s="209"/>
      <c r="J5733" s="124"/>
    </row>
    <row r="5734" spans="3:10" x14ac:dyDescent="0.2">
      <c r="C5734" s="209"/>
      <c r="D5734" s="209"/>
      <c r="E5734" s="209"/>
      <c r="J5734" s="124"/>
    </row>
    <row r="5735" spans="3:10" x14ac:dyDescent="0.2">
      <c r="C5735" s="209"/>
      <c r="D5735" s="209"/>
      <c r="E5735" s="209"/>
      <c r="J5735" s="124"/>
    </row>
    <row r="5736" spans="3:10" x14ac:dyDescent="0.2">
      <c r="C5736" s="209"/>
      <c r="D5736" s="209"/>
      <c r="E5736" s="209"/>
      <c r="J5736" s="124"/>
    </row>
    <row r="5737" spans="3:10" x14ac:dyDescent="0.2">
      <c r="C5737" s="209"/>
      <c r="D5737" s="209"/>
      <c r="E5737" s="209"/>
      <c r="J5737" s="124"/>
    </row>
    <row r="5738" spans="3:10" x14ac:dyDescent="0.2">
      <c r="C5738" s="209"/>
      <c r="D5738" s="209"/>
      <c r="E5738" s="209"/>
      <c r="J5738" s="124"/>
    </row>
    <row r="5739" spans="3:10" x14ac:dyDescent="0.2">
      <c r="C5739" s="209"/>
      <c r="D5739" s="209"/>
      <c r="E5739" s="209"/>
      <c r="J5739" s="124"/>
    </row>
    <row r="5740" spans="3:10" x14ac:dyDescent="0.2">
      <c r="C5740" s="209"/>
      <c r="D5740" s="209"/>
      <c r="E5740" s="209"/>
      <c r="J5740" s="124"/>
    </row>
    <row r="5741" spans="3:10" x14ac:dyDescent="0.2">
      <c r="C5741" s="209"/>
      <c r="D5741" s="209"/>
      <c r="E5741" s="209"/>
      <c r="J5741" s="124"/>
    </row>
    <row r="5742" spans="3:10" x14ac:dyDescent="0.2">
      <c r="C5742" s="209"/>
      <c r="D5742" s="209"/>
      <c r="E5742" s="209"/>
      <c r="J5742" s="124"/>
    </row>
    <row r="5743" spans="3:10" x14ac:dyDescent="0.2">
      <c r="C5743" s="209"/>
      <c r="D5743" s="209"/>
      <c r="E5743" s="209"/>
      <c r="J5743" s="124"/>
    </row>
    <row r="5744" spans="3:10" x14ac:dyDescent="0.2">
      <c r="C5744" s="209"/>
      <c r="D5744" s="209"/>
      <c r="E5744" s="209"/>
      <c r="J5744" s="124"/>
    </row>
    <row r="5745" spans="3:10" x14ac:dyDescent="0.2">
      <c r="C5745" s="209"/>
      <c r="D5745" s="209"/>
      <c r="E5745" s="209"/>
      <c r="J5745" s="124"/>
    </row>
    <row r="5746" spans="3:10" x14ac:dyDescent="0.2">
      <c r="C5746" s="209"/>
      <c r="D5746" s="209"/>
      <c r="E5746" s="209"/>
      <c r="J5746" s="124"/>
    </row>
    <row r="5747" spans="3:10" x14ac:dyDescent="0.2">
      <c r="C5747" s="209"/>
      <c r="D5747" s="209"/>
      <c r="E5747" s="209"/>
      <c r="J5747" s="124"/>
    </row>
    <row r="5748" spans="3:10" x14ac:dyDescent="0.2">
      <c r="C5748" s="209"/>
      <c r="D5748" s="209"/>
      <c r="E5748" s="209"/>
      <c r="J5748" s="124"/>
    </row>
    <row r="5749" spans="3:10" x14ac:dyDescent="0.2">
      <c r="C5749" s="209"/>
      <c r="D5749" s="209"/>
      <c r="E5749" s="209"/>
      <c r="J5749" s="124"/>
    </row>
    <row r="5750" spans="3:10" x14ac:dyDescent="0.2">
      <c r="C5750" s="209"/>
      <c r="D5750" s="209"/>
      <c r="E5750" s="209"/>
      <c r="J5750" s="124"/>
    </row>
    <row r="5751" spans="3:10" x14ac:dyDescent="0.2">
      <c r="C5751" s="209"/>
      <c r="D5751" s="209"/>
      <c r="E5751" s="209"/>
      <c r="J5751" s="124"/>
    </row>
    <row r="5752" spans="3:10" x14ac:dyDescent="0.2">
      <c r="C5752" s="209"/>
      <c r="D5752" s="209"/>
      <c r="E5752" s="209"/>
      <c r="J5752" s="124"/>
    </row>
    <row r="5753" spans="3:10" x14ac:dyDescent="0.2">
      <c r="C5753" s="209"/>
      <c r="D5753" s="209"/>
      <c r="E5753" s="209"/>
      <c r="J5753" s="124"/>
    </row>
    <row r="5754" spans="3:10" x14ac:dyDescent="0.2">
      <c r="C5754" s="209"/>
      <c r="D5754" s="209"/>
      <c r="E5754" s="209"/>
      <c r="J5754" s="124"/>
    </row>
    <row r="5755" spans="3:10" x14ac:dyDescent="0.2">
      <c r="C5755" s="209"/>
      <c r="D5755" s="209"/>
      <c r="E5755" s="209"/>
      <c r="J5755" s="124"/>
    </row>
    <row r="5756" spans="3:10" x14ac:dyDescent="0.2">
      <c r="C5756" s="209"/>
      <c r="D5756" s="209"/>
      <c r="E5756" s="209"/>
      <c r="J5756" s="124"/>
    </row>
    <row r="5757" spans="3:10" x14ac:dyDescent="0.2">
      <c r="C5757" s="209"/>
      <c r="D5757" s="209"/>
      <c r="E5757" s="209"/>
      <c r="J5757" s="124"/>
    </row>
    <row r="5758" spans="3:10" x14ac:dyDescent="0.2">
      <c r="C5758" s="209"/>
      <c r="D5758" s="209"/>
      <c r="E5758" s="209"/>
      <c r="J5758" s="124"/>
    </row>
    <row r="5759" spans="3:10" x14ac:dyDescent="0.2">
      <c r="C5759" s="209"/>
      <c r="D5759" s="209"/>
      <c r="E5759" s="209"/>
      <c r="J5759" s="124"/>
    </row>
    <row r="5760" spans="3:10" x14ac:dyDescent="0.2">
      <c r="C5760" s="209"/>
      <c r="D5760" s="209"/>
      <c r="E5760" s="209"/>
      <c r="J5760" s="124"/>
    </row>
    <row r="5761" spans="3:10" x14ac:dyDescent="0.2">
      <c r="C5761" s="209"/>
      <c r="D5761" s="209"/>
      <c r="E5761" s="209"/>
      <c r="J5761" s="124"/>
    </row>
    <row r="5762" spans="3:10" x14ac:dyDescent="0.2">
      <c r="C5762" s="209"/>
      <c r="D5762" s="209"/>
      <c r="E5762" s="209"/>
      <c r="J5762" s="124"/>
    </row>
    <row r="5763" spans="3:10" x14ac:dyDescent="0.2">
      <c r="C5763" s="209"/>
      <c r="D5763" s="209"/>
      <c r="E5763" s="209"/>
      <c r="J5763" s="124"/>
    </row>
    <row r="5764" spans="3:10" x14ac:dyDescent="0.2">
      <c r="C5764" s="209"/>
      <c r="D5764" s="209"/>
      <c r="E5764" s="209"/>
      <c r="J5764" s="124"/>
    </row>
    <row r="5765" spans="3:10" x14ac:dyDescent="0.2">
      <c r="C5765" s="209"/>
      <c r="D5765" s="209"/>
      <c r="E5765" s="209"/>
      <c r="J5765" s="124"/>
    </row>
    <row r="5766" spans="3:10" x14ac:dyDescent="0.2">
      <c r="C5766" s="209"/>
      <c r="D5766" s="209"/>
      <c r="E5766" s="209"/>
      <c r="J5766" s="124"/>
    </row>
    <row r="5767" spans="3:10" x14ac:dyDescent="0.2">
      <c r="C5767" s="209"/>
      <c r="D5767" s="209"/>
      <c r="E5767" s="209"/>
      <c r="J5767" s="124"/>
    </row>
    <row r="5768" spans="3:10" x14ac:dyDescent="0.2">
      <c r="C5768" s="209"/>
      <c r="D5768" s="209"/>
      <c r="E5768" s="209"/>
      <c r="J5768" s="124"/>
    </row>
    <row r="5769" spans="3:10" x14ac:dyDescent="0.2">
      <c r="C5769" s="209"/>
      <c r="D5769" s="209"/>
      <c r="E5769" s="209"/>
      <c r="J5769" s="124"/>
    </row>
    <row r="5770" spans="3:10" x14ac:dyDescent="0.2">
      <c r="C5770" s="209"/>
      <c r="D5770" s="209"/>
      <c r="E5770" s="209"/>
      <c r="J5770" s="124"/>
    </row>
    <row r="5771" spans="3:10" x14ac:dyDescent="0.2">
      <c r="C5771" s="209"/>
      <c r="D5771" s="209"/>
      <c r="E5771" s="209"/>
      <c r="J5771" s="124"/>
    </row>
    <row r="5772" spans="3:10" x14ac:dyDescent="0.2">
      <c r="C5772" s="209"/>
      <c r="D5772" s="209"/>
      <c r="E5772" s="209"/>
      <c r="J5772" s="124"/>
    </row>
    <row r="5773" spans="3:10" x14ac:dyDescent="0.2">
      <c r="C5773" s="209"/>
      <c r="D5773" s="209"/>
      <c r="E5773" s="209"/>
      <c r="J5773" s="124"/>
    </row>
    <row r="5774" spans="3:10" x14ac:dyDescent="0.2">
      <c r="C5774" s="209"/>
      <c r="D5774" s="209"/>
      <c r="E5774" s="209"/>
      <c r="J5774" s="124"/>
    </row>
    <row r="5775" spans="3:10" x14ac:dyDescent="0.2">
      <c r="C5775" s="209"/>
      <c r="D5775" s="209"/>
      <c r="E5775" s="209"/>
      <c r="J5775" s="124"/>
    </row>
    <row r="5776" spans="3:10" x14ac:dyDescent="0.2">
      <c r="C5776" s="209"/>
      <c r="D5776" s="209"/>
      <c r="E5776" s="209"/>
      <c r="J5776" s="124"/>
    </row>
    <row r="5777" spans="3:10" x14ac:dyDescent="0.2">
      <c r="C5777" s="209"/>
      <c r="D5777" s="209"/>
      <c r="E5777" s="209"/>
      <c r="J5777" s="124"/>
    </row>
    <row r="5778" spans="3:10" x14ac:dyDescent="0.2">
      <c r="C5778" s="209"/>
      <c r="D5778" s="209"/>
      <c r="E5778" s="209"/>
      <c r="J5778" s="124"/>
    </row>
    <row r="5779" spans="3:10" x14ac:dyDescent="0.2">
      <c r="C5779" s="209"/>
      <c r="D5779" s="209"/>
      <c r="E5779" s="209"/>
      <c r="J5779" s="124"/>
    </row>
    <row r="5780" spans="3:10" x14ac:dyDescent="0.2">
      <c r="C5780" s="209"/>
      <c r="D5780" s="209"/>
      <c r="E5780" s="209"/>
      <c r="J5780" s="124"/>
    </row>
    <row r="5781" spans="3:10" x14ac:dyDescent="0.2">
      <c r="C5781" s="209"/>
      <c r="D5781" s="209"/>
      <c r="E5781" s="209"/>
      <c r="J5781" s="124"/>
    </row>
    <row r="5782" spans="3:10" x14ac:dyDescent="0.2">
      <c r="C5782" s="209"/>
      <c r="D5782" s="209"/>
      <c r="E5782" s="209"/>
      <c r="J5782" s="124"/>
    </row>
    <row r="5783" spans="3:10" x14ac:dyDescent="0.2">
      <c r="C5783" s="209"/>
      <c r="D5783" s="209"/>
      <c r="E5783" s="209"/>
      <c r="J5783" s="124"/>
    </row>
    <row r="5784" spans="3:10" x14ac:dyDescent="0.2">
      <c r="C5784" s="209"/>
      <c r="D5784" s="209"/>
      <c r="E5784" s="209"/>
      <c r="J5784" s="124"/>
    </row>
    <row r="5785" spans="3:10" x14ac:dyDescent="0.2">
      <c r="C5785" s="209"/>
      <c r="D5785" s="209"/>
      <c r="E5785" s="209"/>
      <c r="J5785" s="124"/>
    </row>
    <row r="5786" spans="3:10" x14ac:dyDescent="0.2">
      <c r="C5786" s="209"/>
      <c r="D5786" s="209"/>
      <c r="E5786" s="209"/>
      <c r="J5786" s="124"/>
    </row>
    <row r="5787" spans="3:10" x14ac:dyDescent="0.2">
      <c r="C5787" s="209"/>
      <c r="D5787" s="209"/>
      <c r="E5787" s="209"/>
      <c r="J5787" s="124"/>
    </row>
    <row r="5788" spans="3:10" x14ac:dyDescent="0.2">
      <c r="C5788" s="209"/>
      <c r="D5788" s="209"/>
      <c r="E5788" s="209"/>
      <c r="J5788" s="124"/>
    </row>
    <row r="5789" spans="3:10" x14ac:dyDescent="0.2">
      <c r="C5789" s="209"/>
      <c r="D5789" s="209"/>
      <c r="E5789" s="209"/>
      <c r="J5789" s="124"/>
    </row>
    <row r="5790" spans="3:10" x14ac:dyDescent="0.2">
      <c r="C5790" s="209"/>
      <c r="D5790" s="209"/>
      <c r="E5790" s="209"/>
      <c r="J5790" s="124"/>
    </row>
    <row r="5791" spans="3:10" x14ac:dyDescent="0.2">
      <c r="C5791" s="209"/>
      <c r="D5791" s="209"/>
      <c r="E5791" s="209"/>
      <c r="J5791" s="124"/>
    </row>
    <row r="5792" spans="3:10" x14ac:dyDescent="0.2">
      <c r="C5792" s="209"/>
      <c r="D5792" s="209"/>
      <c r="E5792" s="209"/>
      <c r="J5792" s="124"/>
    </row>
    <row r="5793" spans="3:10" x14ac:dyDescent="0.2">
      <c r="C5793" s="209"/>
      <c r="D5793" s="209"/>
      <c r="E5793" s="209"/>
      <c r="J5793" s="124"/>
    </row>
    <row r="5794" spans="3:10" x14ac:dyDescent="0.2">
      <c r="C5794" s="209"/>
      <c r="D5794" s="209"/>
      <c r="E5794" s="209"/>
      <c r="J5794" s="124"/>
    </row>
    <row r="5795" spans="3:10" x14ac:dyDescent="0.2">
      <c r="C5795" s="209"/>
      <c r="D5795" s="209"/>
      <c r="E5795" s="209"/>
      <c r="J5795" s="124"/>
    </row>
    <row r="5796" spans="3:10" x14ac:dyDescent="0.2">
      <c r="C5796" s="209"/>
      <c r="D5796" s="209"/>
      <c r="E5796" s="209"/>
      <c r="J5796" s="124"/>
    </row>
    <row r="5797" spans="3:10" x14ac:dyDescent="0.2">
      <c r="C5797" s="209"/>
      <c r="D5797" s="209"/>
      <c r="E5797" s="209"/>
      <c r="J5797" s="124"/>
    </row>
    <row r="5798" spans="3:10" x14ac:dyDescent="0.2">
      <c r="C5798" s="209"/>
      <c r="D5798" s="209"/>
      <c r="E5798" s="209"/>
      <c r="J5798" s="124"/>
    </row>
    <row r="5799" spans="3:10" x14ac:dyDescent="0.2">
      <c r="C5799" s="209"/>
      <c r="D5799" s="209"/>
      <c r="E5799" s="209"/>
      <c r="J5799" s="124"/>
    </row>
    <row r="5800" spans="3:10" x14ac:dyDescent="0.2">
      <c r="C5800" s="209"/>
      <c r="D5800" s="209"/>
      <c r="E5800" s="209"/>
      <c r="J5800" s="124"/>
    </row>
    <row r="5801" spans="3:10" x14ac:dyDescent="0.2">
      <c r="C5801" s="209"/>
      <c r="D5801" s="209"/>
      <c r="E5801" s="209"/>
      <c r="J5801" s="124"/>
    </row>
    <row r="5802" spans="3:10" x14ac:dyDescent="0.2">
      <c r="C5802" s="209"/>
      <c r="D5802" s="209"/>
      <c r="E5802" s="209"/>
      <c r="J5802" s="124"/>
    </row>
    <row r="5803" spans="3:10" x14ac:dyDescent="0.2">
      <c r="C5803" s="209"/>
      <c r="D5803" s="209"/>
      <c r="E5803" s="209"/>
      <c r="J5803" s="124"/>
    </row>
    <row r="5804" spans="3:10" x14ac:dyDescent="0.2">
      <c r="C5804" s="209"/>
      <c r="D5804" s="209"/>
      <c r="E5804" s="209"/>
      <c r="J5804" s="124"/>
    </row>
    <row r="5805" spans="3:10" x14ac:dyDescent="0.2">
      <c r="C5805" s="209"/>
      <c r="D5805" s="209"/>
      <c r="E5805" s="209"/>
      <c r="J5805" s="124"/>
    </row>
    <row r="5806" spans="3:10" x14ac:dyDescent="0.2">
      <c r="C5806" s="209"/>
      <c r="D5806" s="209"/>
      <c r="E5806" s="209"/>
      <c r="J5806" s="124"/>
    </row>
    <row r="5807" spans="3:10" x14ac:dyDescent="0.2">
      <c r="C5807" s="209"/>
      <c r="D5807" s="209"/>
      <c r="E5807" s="209"/>
      <c r="J5807" s="124"/>
    </row>
    <row r="5808" spans="3:10" x14ac:dyDescent="0.2">
      <c r="C5808" s="209"/>
      <c r="D5808" s="209"/>
      <c r="E5808" s="209"/>
      <c r="J5808" s="124"/>
    </row>
    <row r="5809" spans="3:10" x14ac:dyDescent="0.2">
      <c r="C5809" s="209"/>
      <c r="D5809" s="209"/>
      <c r="E5809" s="209"/>
      <c r="J5809" s="124"/>
    </row>
    <row r="5810" spans="3:10" x14ac:dyDescent="0.2">
      <c r="C5810" s="209"/>
      <c r="D5810" s="209"/>
      <c r="E5810" s="209"/>
      <c r="J5810" s="124"/>
    </row>
    <row r="5811" spans="3:10" x14ac:dyDescent="0.2">
      <c r="C5811" s="209"/>
      <c r="D5811" s="209"/>
      <c r="E5811" s="209"/>
      <c r="J5811" s="124"/>
    </row>
    <row r="5812" spans="3:10" x14ac:dyDescent="0.2">
      <c r="C5812" s="209"/>
      <c r="D5812" s="209"/>
      <c r="E5812" s="209"/>
      <c r="J5812" s="124"/>
    </row>
    <row r="5813" spans="3:10" x14ac:dyDescent="0.2">
      <c r="C5813" s="209"/>
      <c r="D5813" s="209"/>
      <c r="E5813" s="209"/>
      <c r="J5813" s="124"/>
    </row>
    <row r="5814" spans="3:10" x14ac:dyDescent="0.2">
      <c r="C5814" s="209"/>
      <c r="D5814" s="209"/>
      <c r="E5814" s="209"/>
      <c r="J5814" s="124"/>
    </row>
    <row r="5815" spans="3:10" x14ac:dyDescent="0.2">
      <c r="C5815" s="209"/>
      <c r="D5815" s="209"/>
      <c r="E5815" s="209"/>
      <c r="J5815" s="124"/>
    </row>
    <row r="5816" spans="3:10" x14ac:dyDescent="0.2">
      <c r="C5816" s="209"/>
      <c r="D5816" s="209"/>
      <c r="E5816" s="209"/>
      <c r="J5816" s="124"/>
    </row>
    <row r="5817" spans="3:10" x14ac:dyDescent="0.2">
      <c r="C5817" s="209"/>
      <c r="D5817" s="209"/>
      <c r="E5817" s="209"/>
      <c r="J5817" s="124"/>
    </row>
    <row r="5818" spans="3:10" x14ac:dyDescent="0.2">
      <c r="C5818" s="209"/>
      <c r="D5818" s="209"/>
      <c r="E5818" s="209"/>
      <c r="J5818" s="124"/>
    </row>
    <row r="5819" spans="3:10" x14ac:dyDescent="0.2">
      <c r="C5819" s="209"/>
      <c r="D5819" s="209"/>
      <c r="E5819" s="209"/>
      <c r="J5819" s="124"/>
    </row>
    <row r="5820" spans="3:10" x14ac:dyDescent="0.2">
      <c r="C5820" s="209"/>
      <c r="D5820" s="209"/>
      <c r="E5820" s="209"/>
      <c r="J5820" s="124"/>
    </row>
    <row r="5821" spans="3:10" x14ac:dyDescent="0.2">
      <c r="C5821" s="209"/>
      <c r="D5821" s="209"/>
      <c r="E5821" s="209"/>
      <c r="J5821" s="124"/>
    </row>
    <row r="5822" spans="3:10" x14ac:dyDescent="0.2">
      <c r="C5822" s="209"/>
      <c r="D5822" s="209"/>
      <c r="E5822" s="209"/>
      <c r="J5822" s="124"/>
    </row>
    <row r="5823" spans="3:10" x14ac:dyDescent="0.2">
      <c r="C5823" s="209"/>
      <c r="D5823" s="209"/>
      <c r="E5823" s="209"/>
      <c r="J5823" s="124"/>
    </row>
    <row r="5824" spans="3:10" x14ac:dyDescent="0.2">
      <c r="C5824" s="209"/>
      <c r="D5824" s="209"/>
      <c r="E5824" s="209"/>
      <c r="J5824" s="124"/>
    </row>
    <row r="5825" spans="3:10" x14ac:dyDescent="0.2">
      <c r="C5825" s="209"/>
      <c r="D5825" s="209"/>
      <c r="E5825" s="209"/>
      <c r="J5825" s="124"/>
    </row>
    <row r="5826" spans="3:10" x14ac:dyDescent="0.2">
      <c r="C5826" s="209"/>
      <c r="D5826" s="209"/>
      <c r="E5826" s="209"/>
      <c r="J5826" s="124"/>
    </row>
    <row r="5827" spans="3:10" x14ac:dyDescent="0.2">
      <c r="C5827" s="209"/>
      <c r="D5827" s="209"/>
      <c r="E5827" s="209"/>
      <c r="J5827" s="124"/>
    </row>
    <row r="5828" spans="3:10" x14ac:dyDescent="0.2">
      <c r="C5828" s="209"/>
      <c r="D5828" s="209"/>
      <c r="E5828" s="209"/>
      <c r="J5828" s="124"/>
    </row>
    <row r="5829" spans="3:10" x14ac:dyDescent="0.2">
      <c r="C5829" s="209"/>
      <c r="D5829" s="209"/>
      <c r="E5829" s="209"/>
      <c r="J5829" s="124"/>
    </row>
    <row r="5830" spans="3:10" x14ac:dyDescent="0.2">
      <c r="C5830" s="209"/>
      <c r="D5830" s="209"/>
      <c r="E5830" s="209"/>
      <c r="J5830" s="124"/>
    </row>
    <row r="5831" spans="3:10" x14ac:dyDescent="0.2">
      <c r="C5831" s="209"/>
      <c r="D5831" s="209"/>
      <c r="E5831" s="209"/>
      <c r="J5831" s="124"/>
    </row>
    <row r="5832" spans="3:10" x14ac:dyDescent="0.2">
      <c r="C5832" s="209"/>
      <c r="D5832" s="209"/>
      <c r="E5832" s="209"/>
      <c r="J5832" s="124"/>
    </row>
    <row r="5833" spans="3:10" x14ac:dyDescent="0.2">
      <c r="C5833" s="209"/>
      <c r="D5833" s="209"/>
      <c r="E5833" s="209"/>
      <c r="J5833" s="124"/>
    </row>
    <row r="5834" spans="3:10" x14ac:dyDescent="0.2">
      <c r="C5834" s="209"/>
      <c r="D5834" s="209"/>
      <c r="E5834" s="209"/>
      <c r="J5834" s="124"/>
    </row>
    <row r="5835" spans="3:10" x14ac:dyDescent="0.2">
      <c r="C5835" s="209"/>
      <c r="D5835" s="209"/>
      <c r="E5835" s="209"/>
      <c r="J5835" s="124"/>
    </row>
    <row r="5836" spans="3:10" x14ac:dyDescent="0.2">
      <c r="C5836" s="209"/>
      <c r="D5836" s="209"/>
      <c r="E5836" s="209"/>
      <c r="J5836" s="124"/>
    </row>
    <row r="5837" spans="3:10" x14ac:dyDescent="0.2">
      <c r="C5837" s="209"/>
      <c r="D5837" s="209"/>
      <c r="E5837" s="209"/>
      <c r="J5837" s="124"/>
    </row>
    <row r="5838" spans="3:10" x14ac:dyDescent="0.2">
      <c r="C5838" s="209"/>
      <c r="D5838" s="209"/>
      <c r="E5838" s="209"/>
      <c r="J5838" s="124"/>
    </row>
    <row r="5839" spans="3:10" x14ac:dyDescent="0.2">
      <c r="C5839" s="209"/>
      <c r="D5839" s="209"/>
      <c r="E5839" s="209"/>
      <c r="J5839" s="124"/>
    </row>
    <row r="5840" spans="3:10" x14ac:dyDescent="0.2">
      <c r="C5840" s="209"/>
      <c r="D5840" s="209"/>
      <c r="E5840" s="209"/>
      <c r="J5840" s="124"/>
    </row>
    <row r="5841" spans="3:10" x14ac:dyDescent="0.2">
      <c r="C5841" s="209"/>
      <c r="D5841" s="209"/>
      <c r="E5841" s="209"/>
      <c r="J5841" s="124"/>
    </row>
    <row r="5842" spans="3:10" x14ac:dyDescent="0.2">
      <c r="C5842" s="209"/>
      <c r="D5842" s="209"/>
      <c r="E5842" s="209"/>
      <c r="J5842" s="124"/>
    </row>
    <row r="5843" spans="3:10" x14ac:dyDescent="0.2">
      <c r="C5843" s="209"/>
      <c r="D5843" s="209"/>
      <c r="E5843" s="209"/>
      <c r="J5843" s="124"/>
    </row>
    <row r="5844" spans="3:10" x14ac:dyDescent="0.2">
      <c r="C5844" s="209"/>
      <c r="D5844" s="209"/>
      <c r="E5844" s="209"/>
      <c r="J5844" s="124"/>
    </row>
    <row r="5845" spans="3:10" x14ac:dyDescent="0.2">
      <c r="C5845" s="209"/>
      <c r="D5845" s="209"/>
      <c r="E5845" s="209"/>
      <c r="J5845" s="124"/>
    </row>
    <row r="5846" spans="3:10" x14ac:dyDescent="0.2">
      <c r="C5846" s="209"/>
      <c r="D5846" s="209"/>
      <c r="E5846" s="209"/>
      <c r="J5846" s="124"/>
    </row>
    <row r="5847" spans="3:10" x14ac:dyDescent="0.2">
      <c r="C5847" s="209"/>
      <c r="D5847" s="209"/>
      <c r="E5847" s="209"/>
      <c r="J5847" s="124"/>
    </row>
    <row r="5848" spans="3:10" x14ac:dyDescent="0.2">
      <c r="C5848" s="209"/>
      <c r="D5848" s="209"/>
      <c r="E5848" s="209"/>
      <c r="J5848" s="124"/>
    </row>
    <row r="5849" spans="3:10" x14ac:dyDescent="0.2">
      <c r="C5849" s="209"/>
      <c r="D5849" s="209"/>
      <c r="E5849" s="209"/>
      <c r="J5849" s="124"/>
    </row>
    <row r="5850" spans="3:10" x14ac:dyDescent="0.2">
      <c r="C5850" s="209"/>
      <c r="D5850" s="209"/>
      <c r="E5850" s="209"/>
      <c r="J5850" s="124"/>
    </row>
    <row r="5851" spans="3:10" x14ac:dyDescent="0.2">
      <c r="C5851" s="209"/>
      <c r="D5851" s="209"/>
      <c r="E5851" s="209"/>
      <c r="J5851" s="124"/>
    </row>
    <row r="5852" spans="3:10" x14ac:dyDescent="0.2">
      <c r="C5852" s="209"/>
      <c r="D5852" s="209"/>
      <c r="E5852" s="209"/>
      <c r="J5852" s="124"/>
    </row>
    <row r="5853" spans="3:10" x14ac:dyDescent="0.2">
      <c r="C5853" s="209"/>
      <c r="D5853" s="209"/>
      <c r="E5853" s="209"/>
      <c r="J5853" s="124"/>
    </row>
    <row r="5854" spans="3:10" x14ac:dyDescent="0.2">
      <c r="C5854" s="209"/>
      <c r="D5854" s="209"/>
      <c r="E5854" s="209"/>
      <c r="J5854" s="124"/>
    </row>
    <row r="5855" spans="3:10" x14ac:dyDescent="0.2">
      <c r="C5855" s="209"/>
      <c r="D5855" s="209"/>
      <c r="E5855" s="209"/>
      <c r="J5855" s="124"/>
    </row>
    <row r="5856" spans="3:10" x14ac:dyDescent="0.2">
      <c r="C5856" s="209"/>
      <c r="D5856" s="209"/>
      <c r="E5856" s="209"/>
      <c r="J5856" s="124"/>
    </row>
    <row r="5857" spans="3:10" x14ac:dyDescent="0.2">
      <c r="C5857" s="209"/>
      <c r="D5857" s="209"/>
      <c r="E5857" s="209"/>
      <c r="J5857" s="124"/>
    </row>
    <row r="5858" spans="3:10" x14ac:dyDescent="0.2">
      <c r="C5858" s="209"/>
      <c r="D5858" s="209"/>
      <c r="E5858" s="209"/>
      <c r="J5858" s="124"/>
    </row>
    <row r="5859" spans="3:10" x14ac:dyDescent="0.2">
      <c r="C5859" s="209"/>
      <c r="D5859" s="209"/>
      <c r="E5859" s="209"/>
      <c r="J5859" s="124"/>
    </row>
    <row r="5860" spans="3:10" x14ac:dyDescent="0.2">
      <c r="C5860" s="209"/>
      <c r="D5860" s="209"/>
      <c r="E5860" s="209"/>
      <c r="J5860" s="124"/>
    </row>
    <row r="5861" spans="3:10" x14ac:dyDescent="0.2">
      <c r="C5861" s="209"/>
      <c r="D5861" s="209"/>
      <c r="E5861" s="209"/>
      <c r="J5861" s="124"/>
    </row>
    <row r="5862" spans="3:10" x14ac:dyDescent="0.2">
      <c r="C5862" s="209"/>
      <c r="D5862" s="209"/>
      <c r="E5862" s="209"/>
      <c r="J5862" s="124"/>
    </row>
    <row r="5863" spans="3:10" x14ac:dyDescent="0.2">
      <c r="C5863" s="209"/>
      <c r="D5863" s="209"/>
      <c r="E5863" s="209"/>
      <c r="J5863" s="124"/>
    </row>
    <row r="5864" spans="3:10" x14ac:dyDescent="0.2">
      <c r="C5864" s="209"/>
      <c r="D5864" s="209"/>
      <c r="E5864" s="209"/>
      <c r="J5864" s="124"/>
    </row>
    <row r="5865" spans="3:10" x14ac:dyDescent="0.2">
      <c r="C5865" s="209"/>
      <c r="D5865" s="209"/>
      <c r="E5865" s="209"/>
      <c r="J5865" s="124"/>
    </row>
    <row r="5866" spans="3:10" x14ac:dyDescent="0.2">
      <c r="C5866" s="209"/>
      <c r="D5866" s="209"/>
      <c r="E5866" s="209"/>
      <c r="J5866" s="124"/>
    </row>
    <row r="5867" spans="3:10" x14ac:dyDescent="0.2">
      <c r="C5867" s="209"/>
      <c r="D5867" s="209"/>
      <c r="E5867" s="209"/>
      <c r="J5867" s="124"/>
    </row>
    <row r="5868" spans="3:10" x14ac:dyDescent="0.2">
      <c r="C5868" s="209"/>
      <c r="D5868" s="209"/>
      <c r="E5868" s="209"/>
      <c r="J5868" s="124"/>
    </row>
    <row r="5869" spans="3:10" x14ac:dyDescent="0.2">
      <c r="C5869" s="209"/>
      <c r="D5869" s="209"/>
      <c r="E5869" s="209"/>
      <c r="J5869" s="124"/>
    </row>
    <row r="5870" spans="3:10" x14ac:dyDescent="0.2">
      <c r="C5870" s="209"/>
      <c r="D5870" s="209"/>
      <c r="E5870" s="209"/>
      <c r="J5870" s="124"/>
    </row>
    <row r="5871" spans="3:10" x14ac:dyDescent="0.2">
      <c r="C5871" s="209"/>
      <c r="D5871" s="209"/>
      <c r="E5871" s="209"/>
      <c r="J5871" s="124"/>
    </row>
    <row r="5872" spans="3:10" x14ac:dyDescent="0.2">
      <c r="C5872" s="209"/>
      <c r="D5872" s="209"/>
      <c r="E5872" s="209"/>
      <c r="J5872" s="124"/>
    </row>
    <row r="5873" spans="3:10" x14ac:dyDescent="0.2">
      <c r="C5873" s="209"/>
      <c r="D5873" s="209"/>
      <c r="E5873" s="209"/>
      <c r="J5873" s="124"/>
    </row>
    <row r="5874" spans="3:10" x14ac:dyDescent="0.2">
      <c r="C5874" s="209"/>
      <c r="D5874" s="209"/>
      <c r="E5874" s="209"/>
      <c r="J5874" s="124"/>
    </row>
    <row r="5875" spans="3:10" x14ac:dyDescent="0.2">
      <c r="C5875" s="209"/>
      <c r="D5875" s="209"/>
      <c r="E5875" s="209"/>
      <c r="J5875" s="124"/>
    </row>
    <row r="5876" spans="3:10" x14ac:dyDescent="0.2">
      <c r="C5876" s="209"/>
      <c r="D5876" s="209"/>
      <c r="E5876" s="209"/>
      <c r="J5876" s="124"/>
    </row>
    <row r="5877" spans="3:10" x14ac:dyDescent="0.2">
      <c r="C5877" s="209"/>
      <c r="D5877" s="209"/>
      <c r="E5877" s="209"/>
      <c r="J5877" s="124"/>
    </row>
    <row r="5878" spans="3:10" x14ac:dyDescent="0.2">
      <c r="C5878" s="209"/>
      <c r="D5878" s="209"/>
      <c r="E5878" s="209"/>
      <c r="J5878" s="124"/>
    </row>
    <row r="5879" spans="3:10" x14ac:dyDescent="0.2">
      <c r="C5879" s="209"/>
      <c r="D5879" s="209"/>
      <c r="E5879" s="209"/>
      <c r="J5879" s="124"/>
    </row>
    <row r="5880" spans="3:10" x14ac:dyDescent="0.2">
      <c r="C5880" s="209"/>
      <c r="D5880" s="209"/>
      <c r="E5880" s="209"/>
      <c r="J5880" s="124"/>
    </row>
    <row r="5881" spans="3:10" x14ac:dyDescent="0.2">
      <c r="C5881" s="209"/>
      <c r="D5881" s="209"/>
      <c r="E5881" s="209"/>
      <c r="J5881" s="124"/>
    </row>
    <row r="5882" spans="3:10" x14ac:dyDescent="0.2">
      <c r="C5882" s="209"/>
      <c r="D5882" s="209"/>
      <c r="E5882" s="209"/>
      <c r="J5882" s="124"/>
    </row>
    <row r="5883" spans="3:10" x14ac:dyDescent="0.2">
      <c r="C5883" s="209"/>
      <c r="D5883" s="209"/>
      <c r="E5883" s="209"/>
      <c r="J5883" s="124"/>
    </row>
    <row r="5884" spans="3:10" x14ac:dyDescent="0.2">
      <c r="C5884" s="209"/>
      <c r="D5884" s="209"/>
      <c r="E5884" s="209"/>
      <c r="J5884" s="124"/>
    </row>
    <row r="5885" spans="3:10" x14ac:dyDescent="0.2">
      <c r="C5885" s="209"/>
      <c r="D5885" s="209"/>
      <c r="E5885" s="209"/>
      <c r="J5885" s="124"/>
    </row>
    <row r="5886" spans="3:10" x14ac:dyDescent="0.2">
      <c r="C5886" s="209"/>
      <c r="D5886" s="209"/>
      <c r="E5886" s="209"/>
      <c r="J5886" s="124"/>
    </row>
    <row r="5887" spans="3:10" x14ac:dyDescent="0.2">
      <c r="C5887" s="209"/>
      <c r="D5887" s="209"/>
      <c r="E5887" s="209"/>
      <c r="J5887" s="124"/>
    </row>
    <row r="5888" spans="3:10" x14ac:dyDescent="0.2">
      <c r="C5888" s="209"/>
      <c r="D5888" s="209"/>
      <c r="E5888" s="209"/>
      <c r="J5888" s="124"/>
    </row>
    <row r="5889" spans="3:10" x14ac:dyDescent="0.2">
      <c r="C5889" s="209"/>
      <c r="D5889" s="209"/>
      <c r="E5889" s="209"/>
      <c r="J5889" s="124"/>
    </row>
    <row r="5890" spans="3:10" x14ac:dyDescent="0.2">
      <c r="C5890" s="209"/>
      <c r="D5890" s="209"/>
      <c r="E5890" s="209"/>
      <c r="J5890" s="124"/>
    </row>
    <row r="5891" spans="3:10" x14ac:dyDescent="0.2">
      <c r="C5891" s="209"/>
      <c r="D5891" s="209"/>
      <c r="E5891" s="209"/>
      <c r="J5891" s="124"/>
    </row>
    <row r="5892" spans="3:10" x14ac:dyDescent="0.2">
      <c r="C5892" s="209"/>
      <c r="D5892" s="209"/>
      <c r="E5892" s="209"/>
      <c r="J5892" s="124"/>
    </row>
    <row r="5893" spans="3:10" x14ac:dyDescent="0.2">
      <c r="C5893" s="209"/>
      <c r="D5893" s="209"/>
      <c r="E5893" s="209"/>
      <c r="J5893" s="124"/>
    </row>
    <row r="5894" spans="3:10" x14ac:dyDescent="0.2">
      <c r="C5894" s="209"/>
      <c r="D5894" s="209"/>
      <c r="E5894" s="209"/>
      <c r="J5894" s="124"/>
    </row>
    <row r="5895" spans="3:10" x14ac:dyDescent="0.2">
      <c r="C5895" s="209"/>
      <c r="D5895" s="209"/>
      <c r="E5895" s="209"/>
      <c r="J5895" s="124"/>
    </row>
    <row r="5896" spans="3:10" x14ac:dyDescent="0.2">
      <c r="C5896" s="209"/>
      <c r="D5896" s="209"/>
      <c r="E5896" s="209"/>
      <c r="J5896" s="124"/>
    </row>
    <row r="5897" spans="3:10" x14ac:dyDescent="0.2">
      <c r="C5897" s="209"/>
      <c r="D5897" s="209"/>
      <c r="E5897" s="209"/>
      <c r="J5897" s="124"/>
    </row>
    <row r="5898" spans="3:10" x14ac:dyDescent="0.2">
      <c r="C5898" s="209"/>
      <c r="D5898" s="209"/>
      <c r="E5898" s="209"/>
      <c r="J5898" s="124"/>
    </row>
    <row r="5899" spans="3:10" x14ac:dyDescent="0.2">
      <c r="C5899" s="209"/>
      <c r="D5899" s="209"/>
      <c r="E5899" s="209"/>
      <c r="J5899" s="124"/>
    </row>
    <row r="5900" spans="3:10" x14ac:dyDescent="0.2">
      <c r="C5900" s="209"/>
      <c r="D5900" s="209"/>
      <c r="E5900" s="209"/>
      <c r="J5900" s="124"/>
    </row>
    <row r="5901" spans="3:10" x14ac:dyDescent="0.2">
      <c r="C5901" s="209"/>
      <c r="D5901" s="209"/>
      <c r="E5901" s="209"/>
      <c r="J5901" s="124"/>
    </row>
    <row r="5902" spans="3:10" x14ac:dyDescent="0.2">
      <c r="C5902" s="209"/>
      <c r="D5902" s="209"/>
      <c r="E5902" s="209"/>
      <c r="J5902" s="124"/>
    </row>
    <row r="5903" spans="3:10" x14ac:dyDescent="0.2">
      <c r="C5903" s="209"/>
      <c r="D5903" s="209"/>
      <c r="E5903" s="209"/>
      <c r="J5903" s="124"/>
    </row>
    <row r="5904" spans="3:10" x14ac:dyDescent="0.2">
      <c r="C5904" s="209"/>
      <c r="D5904" s="209"/>
      <c r="E5904" s="209"/>
      <c r="J5904" s="124"/>
    </row>
    <row r="5905" spans="3:10" x14ac:dyDescent="0.2">
      <c r="C5905" s="209"/>
      <c r="D5905" s="209"/>
      <c r="E5905" s="209"/>
      <c r="J5905" s="124"/>
    </row>
    <row r="5906" spans="3:10" x14ac:dyDescent="0.2">
      <c r="C5906" s="209"/>
      <c r="D5906" s="209"/>
      <c r="E5906" s="209"/>
      <c r="J5906" s="124"/>
    </row>
    <row r="5907" spans="3:10" x14ac:dyDescent="0.2">
      <c r="C5907" s="209"/>
      <c r="D5907" s="209"/>
      <c r="E5907" s="209"/>
      <c r="J5907" s="124"/>
    </row>
    <row r="5908" spans="3:10" x14ac:dyDescent="0.2">
      <c r="C5908" s="209"/>
      <c r="D5908" s="209"/>
      <c r="E5908" s="209"/>
      <c r="J5908" s="124"/>
    </row>
    <row r="5909" spans="3:10" x14ac:dyDescent="0.2">
      <c r="C5909" s="209"/>
      <c r="D5909" s="209"/>
      <c r="E5909" s="209"/>
      <c r="J5909" s="124"/>
    </row>
    <row r="5910" spans="3:10" x14ac:dyDescent="0.2">
      <c r="C5910" s="209"/>
      <c r="D5910" s="209"/>
      <c r="E5910" s="209"/>
      <c r="J5910" s="124"/>
    </row>
    <row r="5911" spans="3:10" x14ac:dyDescent="0.2">
      <c r="C5911" s="209"/>
      <c r="D5911" s="209"/>
      <c r="E5911" s="209"/>
      <c r="J5911" s="124"/>
    </row>
    <row r="5912" spans="3:10" x14ac:dyDescent="0.2">
      <c r="C5912" s="209"/>
      <c r="D5912" s="209"/>
      <c r="E5912" s="209"/>
      <c r="J5912" s="124"/>
    </row>
    <row r="5913" spans="3:10" x14ac:dyDescent="0.2">
      <c r="C5913" s="209"/>
      <c r="D5913" s="209"/>
      <c r="E5913" s="209"/>
      <c r="J5913" s="124"/>
    </row>
    <row r="5914" spans="3:10" x14ac:dyDescent="0.2">
      <c r="C5914" s="209"/>
      <c r="D5914" s="209"/>
      <c r="E5914" s="209"/>
      <c r="J5914" s="124"/>
    </row>
    <row r="5915" spans="3:10" x14ac:dyDescent="0.2">
      <c r="C5915" s="209"/>
      <c r="D5915" s="209"/>
      <c r="E5915" s="209"/>
      <c r="J5915" s="124"/>
    </row>
    <row r="5916" spans="3:10" x14ac:dyDescent="0.2">
      <c r="C5916" s="209"/>
      <c r="D5916" s="209"/>
      <c r="E5916" s="209"/>
      <c r="J5916" s="124"/>
    </row>
    <row r="5917" spans="3:10" x14ac:dyDescent="0.2">
      <c r="C5917" s="209"/>
      <c r="D5917" s="209"/>
      <c r="E5917" s="209"/>
      <c r="J5917" s="124"/>
    </row>
    <row r="5918" spans="3:10" x14ac:dyDescent="0.2">
      <c r="C5918" s="209"/>
      <c r="D5918" s="209"/>
      <c r="E5918" s="209"/>
      <c r="J5918" s="124"/>
    </row>
    <row r="5919" spans="3:10" x14ac:dyDescent="0.2">
      <c r="C5919" s="209"/>
      <c r="D5919" s="209"/>
      <c r="E5919" s="209"/>
      <c r="J5919" s="124"/>
    </row>
    <row r="5920" spans="3:10" x14ac:dyDescent="0.2">
      <c r="C5920" s="209"/>
      <c r="D5920" s="209"/>
      <c r="E5920" s="209"/>
      <c r="J5920" s="124"/>
    </row>
    <row r="5921" spans="3:10" x14ac:dyDescent="0.2">
      <c r="C5921" s="209"/>
      <c r="D5921" s="209"/>
      <c r="E5921" s="209"/>
      <c r="J5921" s="124"/>
    </row>
    <row r="5922" spans="3:10" x14ac:dyDescent="0.2">
      <c r="C5922" s="209"/>
      <c r="D5922" s="209"/>
      <c r="E5922" s="209"/>
      <c r="J5922" s="124"/>
    </row>
    <row r="5923" spans="3:10" x14ac:dyDescent="0.2">
      <c r="C5923" s="209"/>
      <c r="D5923" s="209"/>
      <c r="E5923" s="209"/>
      <c r="J5923" s="124"/>
    </row>
    <row r="5924" spans="3:10" x14ac:dyDescent="0.2">
      <c r="C5924" s="209"/>
      <c r="D5924" s="209"/>
      <c r="E5924" s="209"/>
      <c r="J5924" s="124"/>
    </row>
    <row r="5925" spans="3:10" x14ac:dyDescent="0.2">
      <c r="C5925" s="209"/>
      <c r="D5925" s="209"/>
      <c r="E5925" s="209"/>
      <c r="J5925" s="124"/>
    </row>
    <row r="5926" spans="3:10" x14ac:dyDescent="0.2">
      <c r="C5926" s="209"/>
      <c r="D5926" s="209"/>
      <c r="E5926" s="209"/>
      <c r="J5926" s="124"/>
    </row>
    <row r="5927" spans="3:10" x14ac:dyDescent="0.2">
      <c r="C5927" s="209"/>
      <c r="D5927" s="209"/>
      <c r="E5927" s="209"/>
      <c r="J5927" s="124"/>
    </row>
    <row r="5928" spans="3:10" x14ac:dyDescent="0.2">
      <c r="C5928" s="209"/>
      <c r="D5928" s="209"/>
      <c r="E5928" s="209"/>
      <c r="J5928" s="124"/>
    </row>
    <row r="5929" spans="3:10" x14ac:dyDescent="0.2">
      <c r="C5929" s="209"/>
      <c r="D5929" s="209"/>
      <c r="E5929" s="209"/>
      <c r="J5929" s="124"/>
    </row>
    <row r="5930" spans="3:10" x14ac:dyDescent="0.2">
      <c r="C5930" s="209"/>
      <c r="D5930" s="209"/>
      <c r="E5930" s="209"/>
      <c r="J5930" s="124"/>
    </row>
    <row r="5931" spans="3:10" x14ac:dyDescent="0.2">
      <c r="C5931" s="209"/>
      <c r="D5931" s="209"/>
      <c r="E5931" s="209"/>
      <c r="J5931" s="124"/>
    </row>
    <row r="5932" spans="3:10" x14ac:dyDescent="0.2">
      <c r="C5932" s="209"/>
      <c r="D5932" s="209"/>
      <c r="E5932" s="209"/>
      <c r="J5932" s="124"/>
    </row>
    <row r="5933" spans="3:10" x14ac:dyDescent="0.2">
      <c r="C5933" s="209"/>
      <c r="D5933" s="209"/>
      <c r="E5933" s="209"/>
      <c r="J5933" s="124"/>
    </row>
    <row r="5934" spans="3:10" x14ac:dyDescent="0.2">
      <c r="C5934" s="209"/>
      <c r="D5934" s="209"/>
      <c r="E5934" s="209"/>
      <c r="J5934" s="124"/>
    </row>
    <row r="5935" spans="3:10" x14ac:dyDescent="0.2">
      <c r="C5935" s="209"/>
      <c r="D5935" s="209"/>
      <c r="E5935" s="209"/>
      <c r="J5935" s="124"/>
    </row>
    <row r="5936" spans="3:10" x14ac:dyDescent="0.2">
      <c r="C5936" s="209"/>
      <c r="D5936" s="209"/>
      <c r="E5936" s="209"/>
      <c r="J5936" s="124"/>
    </row>
    <row r="5937" spans="3:10" x14ac:dyDescent="0.2">
      <c r="C5937" s="209"/>
      <c r="D5937" s="209"/>
      <c r="E5937" s="209"/>
      <c r="J5937" s="124"/>
    </row>
    <row r="5938" spans="3:10" x14ac:dyDescent="0.2">
      <c r="C5938" s="209"/>
      <c r="D5938" s="209"/>
      <c r="E5938" s="209"/>
      <c r="J5938" s="124"/>
    </row>
    <row r="5939" spans="3:10" x14ac:dyDescent="0.2">
      <c r="C5939" s="209"/>
      <c r="D5939" s="209"/>
      <c r="E5939" s="209"/>
      <c r="J5939" s="124"/>
    </row>
    <row r="5940" spans="3:10" x14ac:dyDescent="0.2">
      <c r="C5940" s="209"/>
      <c r="D5940" s="209"/>
      <c r="E5940" s="209"/>
      <c r="J5940" s="124"/>
    </row>
    <row r="5941" spans="3:10" x14ac:dyDescent="0.2">
      <c r="C5941" s="209"/>
      <c r="D5941" s="209"/>
      <c r="E5941" s="209"/>
      <c r="J5941" s="124"/>
    </row>
    <row r="5942" spans="3:10" x14ac:dyDescent="0.2">
      <c r="C5942" s="209"/>
      <c r="D5942" s="209"/>
      <c r="E5942" s="209"/>
      <c r="J5942" s="124"/>
    </row>
    <row r="5943" spans="3:10" x14ac:dyDescent="0.2">
      <c r="C5943" s="209"/>
      <c r="D5943" s="209"/>
      <c r="E5943" s="209"/>
      <c r="J5943" s="124"/>
    </row>
    <row r="5944" spans="3:10" x14ac:dyDescent="0.2">
      <c r="C5944" s="209"/>
      <c r="D5944" s="209"/>
      <c r="E5944" s="209"/>
      <c r="J5944" s="124"/>
    </row>
    <row r="5945" spans="3:10" x14ac:dyDescent="0.2">
      <c r="C5945" s="209"/>
      <c r="D5945" s="209"/>
      <c r="E5945" s="209"/>
      <c r="J5945" s="124"/>
    </row>
    <row r="5946" spans="3:10" x14ac:dyDescent="0.2">
      <c r="C5946" s="209"/>
      <c r="D5946" s="209"/>
      <c r="E5946" s="209"/>
      <c r="J5946" s="124"/>
    </row>
    <row r="5947" spans="3:10" x14ac:dyDescent="0.2">
      <c r="C5947" s="209"/>
      <c r="D5947" s="209"/>
      <c r="E5947" s="209"/>
      <c r="J5947" s="124"/>
    </row>
    <row r="5948" spans="3:10" x14ac:dyDescent="0.2">
      <c r="C5948" s="209"/>
      <c r="D5948" s="209"/>
      <c r="E5948" s="209"/>
      <c r="J5948" s="124"/>
    </row>
    <row r="5949" spans="3:10" x14ac:dyDescent="0.2">
      <c r="C5949" s="209"/>
      <c r="D5949" s="209"/>
      <c r="E5949" s="209"/>
      <c r="J5949" s="124"/>
    </row>
    <row r="5950" spans="3:10" x14ac:dyDescent="0.2">
      <c r="C5950" s="209"/>
      <c r="D5950" s="209"/>
      <c r="E5950" s="209"/>
      <c r="J5950" s="124"/>
    </row>
    <row r="5951" spans="3:10" x14ac:dyDescent="0.2">
      <c r="C5951" s="209"/>
      <c r="D5951" s="209"/>
      <c r="E5951" s="209"/>
      <c r="J5951" s="124"/>
    </row>
    <row r="5952" spans="3:10" x14ac:dyDescent="0.2">
      <c r="C5952" s="209"/>
      <c r="D5952" s="209"/>
      <c r="E5952" s="209"/>
      <c r="J5952" s="124"/>
    </row>
    <row r="5953" spans="3:10" x14ac:dyDescent="0.2">
      <c r="C5953" s="209"/>
      <c r="D5953" s="209"/>
      <c r="E5953" s="209"/>
      <c r="J5953" s="124"/>
    </row>
    <row r="5954" spans="3:10" x14ac:dyDescent="0.2">
      <c r="C5954" s="209"/>
      <c r="D5954" s="209"/>
      <c r="E5954" s="209"/>
      <c r="J5954" s="124"/>
    </row>
    <row r="5955" spans="3:10" x14ac:dyDescent="0.2">
      <c r="C5955" s="209"/>
      <c r="D5955" s="209"/>
      <c r="E5955" s="209"/>
      <c r="J5955" s="124"/>
    </row>
    <row r="5956" spans="3:10" x14ac:dyDescent="0.2">
      <c r="C5956" s="209"/>
      <c r="D5956" s="209"/>
      <c r="E5956" s="209"/>
      <c r="J5956" s="124"/>
    </row>
    <row r="5957" spans="3:10" x14ac:dyDescent="0.2">
      <c r="C5957" s="209"/>
      <c r="D5957" s="209"/>
      <c r="E5957" s="209"/>
      <c r="J5957" s="124"/>
    </row>
    <row r="5958" spans="3:10" x14ac:dyDescent="0.2">
      <c r="C5958" s="209"/>
      <c r="D5958" s="209"/>
      <c r="E5958" s="209"/>
      <c r="J5958" s="124"/>
    </row>
    <row r="5959" spans="3:10" x14ac:dyDescent="0.2">
      <c r="C5959" s="209"/>
      <c r="D5959" s="209"/>
      <c r="E5959" s="209"/>
      <c r="J5959" s="124"/>
    </row>
    <row r="5960" spans="3:10" x14ac:dyDescent="0.2">
      <c r="C5960" s="209"/>
      <c r="D5960" s="209"/>
      <c r="E5960" s="209"/>
      <c r="J5960" s="124"/>
    </row>
    <row r="5961" spans="3:10" x14ac:dyDescent="0.2">
      <c r="C5961" s="209"/>
      <c r="D5961" s="209"/>
      <c r="E5961" s="209"/>
      <c r="J5961" s="124"/>
    </row>
    <row r="5962" spans="3:10" x14ac:dyDescent="0.2">
      <c r="C5962" s="209"/>
      <c r="D5962" s="209"/>
      <c r="E5962" s="209"/>
      <c r="J5962" s="124"/>
    </row>
    <row r="5963" spans="3:10" x14ac:dyDescent="0.2">
      <c r="C5963" s="209"/>
      <c r="D5963" s="209"/>
      <c r="E5963" s="209"/>
      <c r="J5963" s="124"/>
    </row>
    <row r="5964" spans="3:10" x14ac:dyDescent="0.2">
      <c r="C5964" s="209"/>
      <c r="D5964" s="209"/>
      <c r="E5964" s="209"/>
      <c r="J5964" s="124"/>
    </row>
    <row r="5965" spans="3:10" x14ac:dyDescent="0.2">
      <c r="C5965" s="209"/>
      <c r="D5965" s="209"/>
      <c r="E5965" s="209"/>
      <c r="J5965" s="124"/>
    </row>
    <row r="5966" spans="3:10" x14ac:dyDescent="0.2">
      <c r="C5966" s="209"/>
      <c r="D5966" s="209"/>
      <c r="E5966" s="209"/>
      <c r="J5966" s="124"/>
    </row>
    <row r="5967" spans="3:10" x14ac:dyDescent="0.2">
      <c r="C5967" s="209"/>
      <c r="D5967" s="209"/>
      <c r="E5967" s="209"/>
      <c r="J5967" s="124"/>
    </row>
    <row r="5968" spans="3:10" x14ac:dyDescent="0.2">
      <c r="C5968" s="209"/>
      <c r="D5968" s="209"/>
      <c r="E5968" s="209"/>
      <c r="J5968" s="124"/>
    </row>
    <row r="5969" spans="3:10" x14ac:dyDescent="0.2">
      <c r="C5969" s="209"/>
      <c r="D5969" s="209"/>
      <c r="E5969" s="209"/>
      <c r="J5969" s="124"/>
    </row>
    <row r="5970" spans="3:10" x14ac:dyDescent="0.2">
      <c r="C5970" s="209"/>
      <c r="D5970" s="209"/>
      <c r="E5970" s="209"/>
      <c r="J5970" s="124"/>
    </row>
    <row r="5971" spans="3:10" x14ac:dyDescent="0.2">
      <c r="C5971" s="209"/>
      <c r="D5971" s="209"/>
      <c r="E5971" s="209"/>
      <c r="J5971" s="124"/>
    </row>
    <row r="5972" spans="3:10" x14ac:dyDescent="0.2">
      <c r="C5972" s="209"/>
      <c r="D5972" s="209"/>
      <c r="E5972" s="209"/>
      <c r="J5972" s="124"/>
    </row>
    <row r="5973" spans="3:10" x14ac:dyDescent="0.2">
      <c r="C5973" s="209"/>
      <c r="D5973" s="209"/>
      <c r="E5973" s="209"/>
      <c r="J5973" s="124"/>
    </row>
    <row r="5974" spans="3:10" x14ac:dyDescent="0.2">
      <c r="C5974" s="209"/>
      <c r="D5974" s="209"/>
      <c r="E5974" s="209"/>
      <c r="J5974" s="124"/>
    </row>
    <row r="5975" spans="3:10" x14ac:dyDescent="0.2">
      <c r="C5975" s="209"/>
      <c r="D5975" s="209"/>
      <c r="E5975" s="209"/>
      <c r="J5975" s="124"/>
    </row>
    <row r="5976" spans="3:10" x14ac:dyDescent="0.2">
      <c r="C5976" s="209"/>
      <c r="D5976" s="209"/>
      <c r="E5976" s="209"/>
      <c r="J5976" s="124"/>
    </row>
    <row r="5977" spans="3:10" x14ac:dyDescent="0.2">
      <c r="C5977" s="209"/>
      <c r="D5977" s="209"/>
      <c r="E5977" s="209"/>
      <c r="J5977" s="124"/>
    </row>
    <row r="5978" spans="3:10" x14ac:dyDescent="0.2">
      <c r="C5978" s="209"/>
      <c r="D5978" s="209"/>
      <c r="E5978" s="209"/>
      <c r="J5978" s="124"/>
    </row>
    <row r="5979" spans="3:10" x14ac:dyDescent="0.2">
      <c r="C5979" s="209"/>
      <c r="D5979" s="209"/>
      <c r="E5979" s="209"/>
      <c r="J5979" s="124"/>
    </row>
    <row r="5980" spans="3:10" x14ac:dyDescent="0.2">
      <c r="C5980" s="209"/>
      <c r="D5980" s="209"/>
      <c r="E5980" s="209"/>
      <c r="J5980" s="124"/>
    </row>
    <row r="5981" spans="3:10" x14ac:dyDescent="0.2">
      <c r="C5981" s="209"/>
      <c r="D5981" s="209"/>
      <c r="E5981" s="209"/>
      <c r="J5981" s="124"/>
    </row>
    <row r="5982" spans="3:10" x14ac:dyDescent="0.2">
      <c r="C5982" s="209"/>
      <c r="D5982" s="209"/>
      <c r="E5982" s="209"/>
      <c r="J5982" s="124"/>
    </row>
    <row r="5983" spans="3:10" x14ac:dyDescent="0.2">
      <c r="C5983" s="209"/>
      <c r="D5983" s="209"/>
      <c r="E5983" s="209"/>
      <c r="J5983" s="124"/>
    </row>
    <row r="5984" spans="3:10" x14ac:dyDescent="0.2">
      <c r="C5984" s="209"/>
      <c r="D5984" s="209"/>
      <c r="E5984" s="209"/>
      <c r="J5984" s="124"/>
    </row>
    <row r="5985" spans="3:10" x14ac:dyDescent="0.2">
      <c r="C5985" s="209"/>
      <c r="D5985" s="209"/>
      <c r="E5985" s="209"/>
      <c r="J5985" s="124"/>
    </row>
    <row r="5986" spans="3:10" x14ac:dyDescent="0.2">
      <c r="C5986" s="209"/>
      <c r="D5986" s="209"/>
      <c r="E5986" s="209"/>
      <c r="J5986" s="124"/>
    </row>
    <row r="5987" spans="3:10" x14ac:dyDescent="0.2">
      <c r="C5987" s="209"/>
      <c r="D5987" s="209"/>
      <c r="E5987" s="209"/>
      <c r="J5987" s="124"/>
    </row>
    <row r="5988" spans="3:10" x14ac:dyDescent="0.2">
      <c r="C5988" s="209"/>
      <c r="D5988" s="209"/>
      <c r="E5988" s="209"/>
      <c r="J5988" s="124"/>
    </row>
    <row r="5989" spans="3:10" x14ac:dyDescent="0.2">
      <c r="C5989" s="209"/>
      <c r="D5989" s="209"/>
      <c r="E5989" s="209"/>
      <c r="J5989" s="124"/>
    </row>
    <row r="5990" spans="3:10" x14ac:dyDescent="0.2">
      <c r="C5990" s="209"/>
      <c r="D5990" s="209"/>
      <c r="E5990" s="209"/>
      <c r="J5990" s="124"/>
    </row>
    <row r="5991" spans="3:10" x14ac:dyDescent="0.2">
      <c r="C5991" s="209"/>
      <c r="D5991" s="209"/>
      <c r="E5991" s="209"/>
      <c r="J5991" s="124"/>
    </row>
    <row r="5992" spans="3:10" x14ac:dyDescent="0.2">
      <c r="C5992" s="209"/>
      <c r="D5992" s="209"/>
      <c r="E5992" s="209"/>
      <c r="J5992" s="124"/>
    </row>
    <row r="5993" spans="3:10" x14ac:dyDescent="0.2">
      <c r="C5993" s="209"/>
      <c r="D5993" s="209"/>
      <c r="E5993" s="209"/>
      <c r="J5993" s="124"/>
    </row>
    <row r="5994" spans="3:10" x14ac:dyDescent="0.2">
      <c r="C5994" s="209"/>
      <c r="D5994" s="209"/>
      <c r="E5994" s="209"/>
      <c r="J5994" s="124"/>
    </row>
    <row r="5995" spans="3:10" x14ac:dyDescent="0.2">
      <c r="C5995" s="209"/>
      <c r="D5995" s="209"/>
      <c r="E5995" s="209"/>
      <c r="J5995" s="124"/>
    </row>
    <row r="5996" spans="3:10" x14ac:dyDescent="0.2">
      <c r="C5996" s="209"/>
      <c r="D5996" s="209"/>
      <c r="E5996" s="209"/>
      <c r="J5996" s="124"/>
    </row>
    <row r="5997" spans="3:10" x14ac:dyDescent="0.2">
      <c r="C5997" s="209"/>
      <c r="D5997" s="209"/>
      <c r="E5997" s="209"/>
      <c r="J5997" s="124"/>
    </row>
    <row r="5998" spans="3:10" x14ac:dyDescent="0.2">
      <c r="C5998" s="209"/>
      <c r="D5998" s="209"/>
      <c r="E5998" s="209"/>
      <c r="J5998" s="124"/>
    </row>
    <row r="5999" spans="3:10" x14ac:dyDescent="0.2">
      <c r="C5999" s="209"/>
      <c r="D5999" s="209"/>
      <c r="E5999" s="209"/>
      <c r="J5999" s="124"/>
    </row>
    <row r="6000" spans="3:10" x14ac:dyDescent="0.2">
      <c r="C6000" s="209"/>
      <c r="D6000" s="209"/>
      <c r="E6000" s="209"/>
      <c r="J6000" s="124"/>
    </row>
    <row r="6001" spans="3:10" x14ac:dyDescent="0.2">
      <c r="C6001" s="209"/>
      <c r="D6001" s="209"/>
      <c r="E6001" s="209"/>
      <c r="J6001" s="124"/>
    </row>
    <row r="6002" spans="3:10" x14ac:dyDescent="0.2">
      <c r="C6002" s="209"/>
      <c r="D6002" s="209"/>
      <c r="E6002" s="209"/>
      <c r="J6002" s="124"/>
    </row>
    <row r="6003" spans="3:10" x14ac:dyDescent="0.2">
      <c r="C6003" s="209"/>
      <c r="D6003" s="209"/>
      <c r="E6003" s="209"/>
      <c r="J6003" s="124"/>
    </row>
    <row r="6004" spans="3:10" x14ac:dyDescent="0.2">
      <c r="C6004" s="209"/>
      <c r="D6004" s="209"/>
      <c r="E6004" s="209"/>
      <c r="J6004" s="124"/>
    </row>
    <row r="6005" spans="3:10" x14ac:dyDescent="0.2">
      <c r="C6005" s="209"/>
      <c r="D6005" s="209"/>
      <c r="E6005" s="209"/>
      <c r="J6005" s="124"/>
    </row>
    <row r="6006" spans="3:10" x14ac:dyDescent="0.2">
      <c r="C6006" s="209"/>
      <c r="D6006" s="209"/>
      <c r="E6006" s="209"/>
      <c r="J6006" s="124"/>
    </row>
    <row r="6007" spans="3:10" x14ac:dyDescent="0.2">
      <c r="C6007" s="209"/>
      <c r="D6007" s="209"/>
      <c r="E6007" s="209"/>
      <c r="J6007" s="124"/>
    </row>
    <row r="6008" spans="3:10" x14ac:dyDescent="0.2">
      <c r="C6008" s="209"/>
      <c r="D6008" s="209"/>
      <c r="E6008" s="209"/>
      <c r="J6008" s="124"/>
    </row>
    <row r="6009" spans="3:10" x14ac:dyDescent="0.2">
      <c r="C6009" s="209"/>
      <c r="D6009" s="209"/>
      <c r="E6009" s="209"/>
      <c r="J6009" s="124"/>
    </row>
    <row r="6010" spans="3:10" x14ac:dyDescent="0.2">
      <c r="C6010" s="209"/>
      <c r="D6010" s="209"/>
      <c r="E6010" s="209"/>
      <c r="J6010" s="124"/>
    </row>
    <row r="6011" spans="3:10" x14ac:dyDescent="0.2">
      <c r="C6011" s="209"/>
      <c r="D6011" s="209"/>
      <c r="E6011" s="209"/>
      <c r="J6011" s="124"/>
    </row>
    <row r="6012" spans="3:10" x14ac:dyDescent="0.2">
      <c r="C6012" s="209"/>
      <c r="D6012" s="209"/>
      <c r="E6012" s="209"/>
      <c r="J6012" s="124"/>
    </row>
    <row r="6013" spans="3:10" x14ac:dyDescent="0.2">
      <c r="C6013" s="209"/>
      <c r="D6013" s="209"/>
      <c r="E6013" s="209"/>
      <c r="J6013" s="124"/>
    </row>
    <row r="6014" spans="3:10" x14ac:dyDescent="0.2">
      <c r="C6014" s="209"/>
      <c r="D6014" s="209"/>
      <c r="E6014" s="209"/>
      <c r="J6014" s="124"/>
    </row>
    <row r="6015" spans="3:10" x14ac:dyDescent="0.2">
      <c r="C6015" s="209"/>
      <c r="D6015" s="209"/>
      <c r="E6015" s="209"/>
      <c r="J6015" s="124"/>
    </row>
    <row r="6016" spans="3:10" x14ac:dyDescent="0.2">
      <c r="C6016" s="209"/>
      <c r="D6016" s="209"/>
      <c r="E6016" s="209"/>
      <c r="J6016" s="124"/>
    </row>
    <row r="6017" spans="3:10" x14ac:dyDescent="0.2">
      <c r="C6017" s="209"/>
      <c r="D6017" s="209"/>
      <c r="E6017" s="209"/>
      <c r="J6017" s="124"/>
    </row>
    <row r="6018" spans="3:10" x14ac:dyDescent="0.2">
      <c r="C6018" s="209"/>
      <c r="D6018" s="209"/>
      <c r="E6018" s="209"/>
      <c r="J6018" s="124"/>
    </row>
    <row r="6019" spans="3:10" x14ac:dyDescent="0.2">
      <c r="C6019" s="209"/>
      <c r="D6019" s="209"/>
      <c r="E6019" s="209"/>
      <c r="J6019" s="124"/>
    </row>
    <row r="6020" spans="3:10" x14ac:dyDescent="0.2">
      <c r="C6020" s="209"/>
      <c r="D6020" s="209"/>
      <c r="E6020" s="209"/>
      <c r="J6020" s="124"/>
    </row>
    <row r="6021" spans="3:10" x14ac:dyDescent="0.2">
      <c r="C6021" s="209"/>
      <c r="D6021" s="209"/>
      <c r="E6021" s="209"/>
      <c r="J6021" s="124"/>
    </row>
    <row r="6022" spans="3:10" x14ac:dyDescent="0.2">
      <c r="C6022" s="209"/>
      <c r="D6022" s="209"/>
      <c r="E6022" s="209"/>
      <c r="J6022" s="124"/>
    </row>
    <row r="6023" spans="3:10" x14ac:dyDescent="0.2">
      <c r="C6023" s="209"/>
      <c r="D6023" s="209"/>
      <c r="E6023" s="209"/>
      <c r="J6023" s="124"/>
    </row>
    <row r="6024" spans="3:10" x14ac:dyDescent="0.2">
      <c r="C6024" s="209"/>
      <c r="D6024" s="209"/>
      <c r="E6024" s="209"/>
      <c r="J6024" s="124"/>
    </row>
    <row r="6025" spans="3:10" x14ac:dyDescent="0.2">
      <c r="C6025" s="209"/>
      <c r="D6025" s="209"/>
      <c r="E6025" s="209"/>
      <c r="J6025" s="124"/>
    </row>
    <row r="6026" spans="3:10" x14ac:dyDescent="0.2">
      <c r="C6026" s="209"/>
      <c r="D6026" s="209"/>
      <c r="E6026" s="209"/>
      <c r="J6026" s="124"/>
    </row>
    <row r="6027" spans="3:10" x14ac:dyDescent="0.2">
      <c r="C6027" s="209"/>
      <c r="D6027" s="209"/>
      <c r="E6027" s="209"/>
      <c r="J6027" s="124"/>
    </row>
    <row r="6028" spans="3:10" x14ac:dyDescent="0.2">
      <c r="C6028" s="209"/>
      <c r="D6028" s="209"/>
      <c r="E6028" s="209"/>
      <c r="J6028" s="124"/>
    </row>
    <row r="6029" spans="3:10" x14ac:dyDescent="0.2">
      <c r="C6029" s="209"/>
      <c r="D6029" s="209"/>
      <c r="E6029" s="209"/>
      <c r="J6029" s="124"/>
    </row>
    <row r="6030" spans="3:10" x14ac:dyDescent="0.2">
      <c r="C6030" s="209"/>
      <c r="D6030" s="209"/>
      <c r="E6030" s="209"/>
      <c r="J6030" s="124"/>
    </row>
    <row r="6031" spans="3:10" x14ac:dyDescent="0.2">
      <c r="C6031" s="209"/>
      <c r="D6031" s="209"/>
      <c r="E6031" s="209"/>
      <c r="J6031" s="124"/>
    </row>
    <row r="6032" spans="3:10" x14ac:dyDescent="0.2">
      <c r="C6032" s="209"/>
      <c r="D6032" s="209"/>
      <c r="E6032" s="209"/>
      <c r="J6032" s="124"/>
    </row>
    <row r="6033" spans="3:10" x14ac:dyDescent="0.2">
      <c r="C6033" s="209"/>
      <c r="D6033" s="209"/>
      <c r="E6033" s="209"/>
      <c r="J6033" s="124"/>
    </row>
    <row r="6034" spans="3:10" x14ac:dyDescent="0.2">
      <c r="C6034" s="209"/>
      <c r="D6034" s="209"/>
      <c r="E6034" s="209"/>
      <c r="J6034" s="124"/>
    </row>
    <row r="6035" spans="3:10" x14ac:dyDescent="0.2">
      <c r="C6035" s="209"/>
      <c r="D6035" s="209"/>
      <c r="E6035" s="209"/>
      <c r="J6035" s="124"/>
    </row>
    <row r="6036" spans="3:10" x14ac:dyDescent="0.2">
      <c r="C6036" s="209"/>
      <c r="D6036" s="209"/>
      <c r="E6036" s="209"/>
      <c r="J6036" s="124"/>
    </row>
    <row r="6037" spans="3:10" x14ac:dyDescent="0.2">
      <c r="C6037" s="209"/>
      <c r="D6037" s="209"/>
      <c r="E6037" s="209"/>
      <c r="J6037" s="124"/>
    </row>
    <row r="6038" spans="3:10" x14ac:dyDescent="0.2">
      <c r="C6038" s="209"/>
      <c r="D6038" s="209"/>
      <c r="E6038" s="209"/>
      <c r="J6038" s="124"/>
    </row>
    <row r="6039" spans="3:10" x14ac:dyDescent="0.2">
      <c r="C6039" s="209"/>
      <c r="D6039" s="209"/>
      <c r="E6039" s="209"/>
      <c r="J6039" s="124"/>
    </row>
    <row r="6040" spans="3:10" x14ac:dyDescent="0.2">
      <c r="C6040" s="209"/>
      <c r="D6040" s="209"/>
      <c r="E6040" s="209"/>
      <c r="J6040" s="124"/>
    </row>
    <row r="6041" spans="3:10" x14ac:dyDescent="0.2">
      <c r="C6041" s="209"/>
      <c r="D6041" s="209"/>
      <c r="E6041" s="209"/>
      <c r="J6041" s="124"/>
    </row>
    <row r="6042" spans="3:10" x14ac:dyDescent="0.2">
      <c r="C6042" s="209"/>
      <c r="D6042" s="209"/>
      <c r="E6042" s="209"/>
      <c r="J6042" s="124"/>
    </row>
    <row r="6043" spans="3:10" x14ac:dyDescent="0.2">
      <c r="C6043" s="209"/>
      <c r="D6043" s="209"/>
      <c r="E6043" s="209"/>
      <c r="J6043" s="124"/>
    </row>
    <row r="6044" spans="3:10" x14ac:dyDescent="0.2">
      <c r="C6044" s="209"/>
      <c r="D6044" s="209"/>
      <c r="E6044" s="209"/>
      <c r="J6044" s="124"/>
    </row>
    <row r="6045" spans="3:10" x14ac:dyDescent="0.2">
      <c r="C6045" s="209"/>
      <c r="D6045" s="209"/>
      <c r="E6045" s="209"/>
      <c r="J6045" s="124"/>
    </row>
    <row r="6046" spans="3:10" x14ac:dyDescent="0.2">
      <c r="C6046" s="209"/>
      <c r="D6046" s="209"/>
      <c r="E6046" s="209"/>
      <c r="J6046" s="124"/>
    </row>
    <row r="6047" spans="3:10" x14ac:dyDescent="0.2">
      <c r="C6047" s="209"/>
      <c r="D6047" s="209"/>
      <c r="E6047" s="209"/>
      <c r="J6047" s="124"/>
    </row>
    <row r="6048" spans="3:10" x14ac:dyDescent="0.2">
      <c r="C6048" s="209"/>
      <c r="D6048" s="209"/>
      <c r="E6048" s="209"/>
      <c r="J6048" s="124"/>
    </row>
    <row r="6049" spans="3:10" x14ac:dyDescent="0.2">
      <c r="C6049" s="209"/>
      <c r="D6049" s="209"/>
      <c r="E6049" s="209"/>
      <c r="J6049" s="124"/>
    </row>
    <row r="6050" spans="3:10" x14ac:dyDescent="0.2">
      <c r="C6050" s="209"/>
      <c r="D6050" s="209"/>
      <c r="E6050" s="209"/>
      <c r="J6050" s="124"/>
    </row>
    <row r="6051" spans="3:10" x14ac:dyDescent="0.2">
      <c r="C6051" s="209"/>
      <c r="D6051" s="209"/>
      <c r="E6051" s="209"/>
      <c r="J6051" s="124"/>
    </row>
    <row r="6052" spans="3:10" x14ac:dyDescent="0.2">
      <c r="C6052" s="209"/>
      <c r="D6052" s="209"/>
      <c r="E6052" s="209"/>
      <c r="J6052" s="124"/>
    </row>
    <row r="6053" spans="3:10" x14ac:dyDescent="0.2">
      <c r="C6053" s="209"/>
      <c r="D6053" s="209"/>
      <c r="E6053" s="209"/>
      <c r="J6053" s="124"/>
    </row>
    <row r="6054" spans="3:10" x14ac:dyDescent="0.2">
      <c r="C6054" s="209"/>
      <c r="D6054" s="209"/>
      <c r="E6054" s="209"/>
      <c r="J6054" s="124"/>
    </row>
    <row r="6055" spans="3:10" x14ac:dyDescent="0.2">
      <c r="C6055" s="209"/>
      <c r="D6055" s="209"/>
      <c r="E6055" s="209"/>
      <c r="J6055" s="124"/>
    </row>
    <row r="6056" spans="3:10" x14ac:dyDescent="0.2">
      <c r="C6056" s="209"/>
      <c r="D6056" s="209"/>
      <c r="E6056" s="209"/>
      <c r="J6056" s="124"/>
    </row>
    <row r="6057" spans="3:10" x14ac:dyDescent="0.2">
      <c r="C6057" s="209"/>
      <c r="D6057" s="209"/>
      <c r="E6057" s="209"/>
      <c r="J6057" s="124"/>
    </row>
    <row r="6058" spans="3:10" x14ac:dyDescent="0.2">
      <c r="C6058" s="209"/>
      <c r="D6058" s="209"/>
      <c r="E6058" s="209"/>
      <c r="J6058" s="124"/>
    </row>
    <row r="6059" spans="3:10" x14ac:dyDescent="0.2">
      <c r="C6059" s="209"/>
      <c r="D6059" s="209"/>
      <c r="E6059" s="209"/>
      <c r="J6059" s="124"/>
    </row>
    <row r="6060" spans="3:10" x14ac:dyDescent="0.2">
      <c r="C6060" s="209"/>
      <c r="D6060" s="209"/>
      <c r="E6060" s="209"/>
      <c r="J6060" s="124"/>
    </row>
    <row r="6061" spans="3:10" x14ac:dyDescent="0.2">
      <c r="C6061" s="209"/>
      <c r="D6061" s="209"/>
      <c r="E6061" s="209"/>
      <c r="J6061" s="124"/>
    </row>
    <row r="6062" spans="3:10" x14ac:dyDescent="0.2">
      <c r="C6062" s="209"/>
      <c r="D6062" s="209"/>
      <c r="E6062" s="209"/>
      <c r="J6062" s="124"/>
    </row>
    <row r="6063" spans="3:10" x14ac:dyDescent="0.2">
      <c r="C6063" s="209"/>
      <c r="D6063" s="209"/>
      <c r="E6063" s="209"/>
      <c r="J6063" s="124"/>
    </row>
    <row r="6064" spans="3:10" x14ac:dyDescent="0.2">
      <c r="C6064" s="209"/>
      <c r="D6064" s="209"/>
      <c r="E6064" s="209"/>
      <c r="J6064" s="124"/>
    </row>
    <row r="6065" spans="3:10" x14ac:dyDescent="0.2">
      <c r="C6065" s="209"/>
      <c r="D6065" s="209"/>
      <c r="E6065" s="209"/>
      <c r="J6065" s="124"/>
    </row>
    <row r="6066" spans="3:10" x14ac:dyDescent="0.2">
      <c r="C6066" s="209"/>
      <c r="D6066" s="209"/>
      <c r="E6066" s="209"/>
      <c r="J6066" s="124"/>
    </row>
    <row r="6067" spans="3:10" x14ac:dyDescent="0.2">
      <c r="C6067" s="209"/>
      <c r="D6067" s="209"/>
      <c r="E6067" s="209"/>
      <c r="J6067" s="124"/>
    </row>
    <row r="6068" spans="3:10" x14ac:dyDescent="0.2">
      <c r="C6068" s="209"/>
      <c r="D6068" s="209"/>
      <c r="E6068" s="209"/>
      <c r="J6068" s="124"/>
    </row>
    <row r="6069" spans="3:10" x14ac:dyDescent="0.2">
      <c r="C6069" s="209"/>
      <c r="D6069" s="209"/>
      <c r="E6069" s="209"/>
      <c r="J6069" s="124"/>
    </row>
    <row r="6070" spans="3:10" x14ac:dyDescent="0.2">
      <c r="C6070" s="209"/>
      <c r="D6070" s="209"/>
      <c r="E6070" s="209"/>
      <c r="J6070" s="124"/>
    </row>
    <row r="6071" spans="3:10" x14ac:dyDescent="0.2">
      <c r="C6071" s="209"/>
      <c r="D6071" s="209"/>
      <c r="E6071" s="209"/>
      <c r="J6071" s="124"/>
    </row>
    <row r="6072" spans="3:10" x14ac:dyDescent="0.2">
      <c r="C6072" s="209"/>
      <c r="D6072" s="209"/>
      <c r="E6072" s="209"/>
      <c r="J6072" s="124"/>
    </row>
    <row r="6073" spans="3:10" x14ac:dyDescent="0.2">
      <c r="C6073" s="209"/>
      <c r="D6073" s="209"/>
      <c r="E6073" s="209"/>
      <c r="J6073" s="124"/>
    </row>
    <row r="6074" spans="3:10" x14ac:dyDescent="0.2">
      <c r="C6074" s="209"/>
      <c r="D6074" s="209"/>
      <c r="E6074" s="209"/>
      <c r="J6074" s="124"/>
    </row>
    <row r="6075" spans="3:10" x14ac:dyDescent="0.2">
      <c r="C6075" s="209"/>
      <c r="D6075" s="209"/>
      <c r="E6075" s="209"/>
      <c r="J6075" s="124"/>
    </row>
    <row r="6076" spans="3:10" x14ac:dyDescent="0.2">
      <c r="C6076" s="209"/>
      <c r="D6076" s="209"/>
      <c r="E6076" s="209"/>
      <c r="J6076" s="124"/>
    </row>
    <row r="6077" spans="3:10" x14ac:dyDescent="0.2">
      <c r="C6077" s="209"/>
      <c r="D6077" s="209"/>
      <c r="E6077" s="209"/>
      <c r="J6077" s="124"/>
    </row>
    <row r="6078" spans="3:10" x14ac:dyDescent="0.2">
      <c r="C6078" s="209"/>
      <c r="D6078" s="209"/>
      <c r="E6078" s="209"/>
      <c r="J6078" s="124"/>
    </row>
    <row r="6079" spans="3:10" x14ac:dyDescent="0.2">
      <c r="C6079" s="209"/>
      <c r="D6079" s="209"/>
      <c r="E6079" s="209"/>
      <c r="J6079" s="124"/>
    </row>
    <row r="6080" spans="3:10" x14ac:dyDescent="0.2">
      <c r="C6080" s="209"/>
      <c r="D6080" s="209"/>
      <c r="E6080" s="209"/>
      <c r="J6080" s="124"/>
    </row>
    <row r="6081" spans="3:10" x14ac:dyDescent="0.2">
      <c r="C6081" s="209"/>
      <c r="D6081" s="209"/>
      <c r="E6081" s="209"/>
      <c r="J6081" s="124"/>
    </row>
    <row r="6082" spans="3:10" x14ac:dyDescent="0.2">
      <c r="C6082" s="209"/>
      <c r="D6082" s="209"/>
      <c r="E6082" s="209"/>
      <c r="J6082" s="124"/>
    </row>
    <row r="6083" spans="3:10" x14ac:dyDescent="0.2">
      <c r="C6083" s="209"/>
      <c r="D6083" s="209"/>
      <c r="E6083" s="209"/>
      <c r="J6083" s="124"/>
    </row>
    <row r="6084" spans="3:10" x14ac:dyDescent="0.2">
      <c r="C6084" s="209"/>
      <c r="D6084" s="209"/>
      <c r="E6084" s="209"/>
      <c r="J6084" s="124"/>
    </row>
    <row r="6085" spans="3:10" x14ac:dyDescent="0.2">
      <c r="C6085" s="209"/>
      <c r="D6085" s="209"/>
      <c r="E6085" s="209"/>
      <c r="J6085" s="124"/>
    </row>
    <row r="6086" spans="3:10" x14ac:dyDescent="0.2">
      <c r="C6086" s="209"/>
      <c r="D6086" s="209"/>
      <c r="E6086" s="209"/>
      <c r="J6086" s="124"/>
    </row>
    <row r="6087" spans="3:10" x14ac:dyDescent="0.2">
      <c r="C6087" s="209"/>
      <c r="D6087" s="209"/>
      <c r="E6087" s="209"/>
      <c r="J6087" s="124"/>
    </row>
    <row r="6088" spans="3:10" x14ac:dyDescent="0.2">
      <c r="C6088" s="209"/>
      <c r="D6088" s="209"/>
      <c r="E6088" s="209"/>
      <c r="J6088" s="124"/>
    </row>
    <row r="6089" spans="3:10" x14ac:dyDescent="0.2">
      <c r="C6089" s="209"/>
      <c r="D6089" s="209"/>
      <c r="E6089" s="209"/>
      <c r="J6089" s="124"/>
    </row>
    <row r="6090" spans="3:10" x14ac:dyDescent="0.2">
      <c r="C6090" s="209"/>
      <c r="D6090" s="209"/>
      <c r="E6090" s="209"/>
      <c r="J6090" s="124"/>
    </row>
    <row r="6091" spans="3:10" x14ac:dyDescent="0.2">
      <c r="C6091" s="209"/>
      <c r="D6091" s="209"/>
      <c r="E6091" s="209"/>
      <c r="J6091" s="124"/>
    </row>
    <row r="6092" spans="3:10" x14ac:dyDescent="0.2">
      <c r="C6092" s="209"/>
      <c r="D6092" s="209"/>
      <c r="E6092" s="209"/>
      <c r="J6092" s="124"/>
    </row>
    <row r="6093" spans="3:10" x14ac:dyDescent="0.2">
      <c r="C6093" s="209"/>
      <c r="D6093" s="209"/>
      <c r="E6093" s="209"/>
      <c r="J6093" s="124"/>
    </row>
    <row r="6094" spans="3:10" x14ac:dyDescent="0.2">
      <c r="C6094" s="209"/>
      <c r="D6094" s="209"/>
      <c r="E6094" s="209"/>
      <c r="J6094" s="124"/>
    </row>
    <row r="6095" spans="3:10" x14ac:dyDescent="0.2">
      <c r="C6095" s="209"/>
      <c r="D6095" s="209"/>
      <c r="E6095" s="209"/>
      <c r="J6095" s="124"/>
    </row>
    <row r="6096" spans="3:10" x14ac:dyDescent="0.2">
      <c r="C6096" s="209"/>
      <c r="D6096" s="209"/>
      <c r="E6096" s="209"/>
      <c r="J6096" s="124"/>
    </row>
    <row r="6097" spans="3:10" x14ac:dyDescent="0.2">
      <c r="C6097" s="209"/>
      <c r="D6097" s="209"/>
      <c r="E6097" s="209"/>
      <c r="J6097" s="124"/>
    </row>
    <row r="6098" spans="3:10" x14ac:dyDescent="0.2">
      <c r="C6098" s="209"/>
      <c r="D6098" s="209"/>
      <c r="E6098" s="209"/>
      <c r="J6098" s="124"/>
    </row>
    <row r="6099" spans="3:10" x14ac:dyDescent="0.2">
      <c r="C6099" s="209"/>
      <c r="D6099" s="209"/>
      <c r="E6099" s="209"/>
      <c r="J6099" s="124"/>
    </row>
    <row r="6100" spans="3:10" x14ac:dyDescent="0.2">
      <c r="C6100" s="209"/>
      <c r="D6100" s="209"/>
      <c r="E6100" s="209"/>
      <c r="J6100" s="124"/>
    </row>
    <row r="6101" spans="3:10" x14ac:dyDescent="0.2">
      <c r="C6101" s="209"/>
      <c r="D6101" s="209"/>
      <c r="E6101" s="209"/>
      <c r="J6101" s="124"/>
    </row>
    <row r="6102" spans="3:10" x14ac:dyDescent="0.2">
      <c r="C6102" s="209"/>
      <c r="D6102" s="209"/>
      <c r="E6102" s="209"/>
      <c r="J6102" s="124"/>
    </row>
    <row r="6103" spans="3:10" x14ac:dyDescent="0.2">
      <c r="C6103" s="209"/>
      <c r="D6103" s="209"/>
      <c r="E6103" s="209"/>
      <c r="J6103" s="124"/>
    </row>
    <row r="6104" spans="3:10" x14ac:dyDescent="0.2">
      <c r="C6104" s="209"/>
      <c r="D6104" s="209"/>
      <c r="E6104" s="209"/>
      <c r="J6104" s="124"/>
    </row>
    <row r="6105" spans="3:10" x14ac:dyDescent="0.2">
      <c r="C6105" s="209"/>
      <c r="D6105" s="209"/>
      <c r="E6105" s="209"/>
      <c r="J6105" s="124"/>
    </row>
    <row r="6106" spans="3:10" x14ac:dyDescent="0.2">
      <c r="C6106" s="209"/>
      <c r="D6106" s="209"/>
      <c r="E6106" s="209"/>
      <c r="J6106" s="124"/>
    </row>
    <row r="6107" spans="3:10" x14ac:dyDescent="0.2">
      <c r="C6107" s="209"/>
      <c r="D6107" s="209"/>
      <c r="E6107" s="209"/>
      <c r="J6107" s="124"/>
    </row>
    <row r="6108" spans="3:10" x14ac:dyDescent="0.2">
      <c r="C6108" s="209"/>
      <c r="D6108" s="209"/>
      <c r="E6108" s="209"/>
      <c r="J6108" s="124"/>
    </row>
    <row r="6109" spans="3:10" x14ac:dyDescent="0.2">
      <c r="C6109" s="209"/>
      <c r="D6109" s="209"/>
      <c r="E6109" s="209"/>
      <c r="J6109" s="124"/>
    </row>
    <row r="6110" spans="3:10" x14ac:dyDescent="0.2">
      <c r="C6110" s="209"/>
      <c r="D6110" s="209"/>
      <c r="E6110" s="209"/>
      <c r="J6110" s="124"/>
    </row>
    <row r="6111" spans="3:10" x14ac:dyDescent="0.2">
      <c r="C6111" s="209"/>
      <c r="D6111" s="209"/>
      <c r="E6111" s="209"/>
      <c r="J6111" s="124"/>
    </row>
    <row r="6112" spans="3:10" x14ac:dyDescent="0.2">
      <c r="C6112" s="209"/>
      <c r="D6112" s="209"/>
      <c r="E6112" s="209"/>
      <c r="J6112" s="124"/>
    </row>
    <row r="6113" spans="3:10" x14ac:dyDescent="0.2">
      <c r="C6113" s="209"/>
      <c r="D6113" s="209"/>
      <c r="E6113" s="209"/>
      <c r="J6113" s="124"/>
    </row>
    <row r="6114" spans="3:10" x14ac:dyDescent="0.2">
      <c r="C6114" s="209"/>
      <c r="D6114" s="209"/>
      <c r="E6114" s="209"/>
      <c r="J6114" s="124"/>
    </row>
    <row r="6115" spans="3:10" x14ac:dyDescent="0.2">
      <c r="C6115" s="209"/>
      <c r="D6115" s="209"/>
      <c r="E6115" s="209"/>
      <c r="J6115" s="124"/>
    </row>
    <row r="6116" spans="3:10" x14ac:dyDescent="0.2">
      <c r="C6116" s="209"/>
      <c r="D6116" s="209"/>
      <c r="E6116" s="209"/>
      <c r="J6116" s="124"/>
    </row>
    <row r="6117" spans="3:10" x14ac:dyDescent="0.2">
      <c r="C6117" s="209"/>
      <c r="D6117" s="209"/>
      <c r="E6117" s="209"/>
      <c r="J6117" s="124"/>
    </row>
    <row r="6118" spans="3:10" x14ac:dyDescent="0.2">
      <c r="C6118" s="209"/>
      <c r="D6118" s="209"/>
      <c r="E6118" s="209"/>
      <c r="J6118" s="124"/>
    </row>
    <row r="6119" spans="3:10" x14ac:dyDescent="0.2">
      <c r="C6119" s="209"/>
      <c r="D6119" s="209"/>
      <c r="E6119" s="209"/>
      <c r="J6119" s="124"/>
    </row>
    <row r="6120" spans="3:10" x14ac:dyDescent="0.2">
      <c r="C6120" s="209"/>
      <c r="D6120" s="209"/>
      <c r="E6120" s="209"/>
      <c r="J6120" s="124"/>
    </row>
    <row r="6121" spans="3:10" x14ac:dyDescent="0.2">
      <c r="C6121" s="209"/>
      <c r="D6121" s="209"/>
      <c r="E6121" s="209"/>
      <c r="J6121" s="124"/>
    </row>
    <row r="6122" spans="3:10" x14ac:dyDescent="0.2">
      <c r="C6122" s="209"/>
      <c r="D6122" s="209"/>
      <c r="E6122" s="209"/>
      <c r="J6122" s="124"/>
    </row>
    <row r="6123" spans="3:10" x14ac:dyDescent="0.2">
      <c r="C6123" s="209"/>
      <c r="D6123" s="209"/>
      <c r="E6123" s="209"/>
      <c r="J6123" s="124"/>
    </row>
    <row r="6124" spans="3:10" x14ac:dyDescent="0.2">
      <c r="C6124" s="209"/>
      <c r="D6124" s="209"/>
      <c r="E6124" s="209"/>
      <c r="J6124" s="124"/>
    </row>
    <row r="6125" spans="3:10" x14ac:dyDescent="0.2">
      <c r="C6125" s="209"/>
      <c r="D6125" s="209"/>
      <c r="E6125" s="209"/>
      <c r="J6125" s="124"/>
    </row>
    <row r="6126" spans="3:10" x14ac:dyDescent="0.2">
      <c r="C6126" s="209"/>
      <c r="D6126" s="209"/>
      <c r="E6126" s="209"/>
      <c r="J6126" s="124"/>
    </row>
    <row r="6127" spans="3:10" x14ac:dyDescent="0.2">
      <c r="C6127" s="209"/>
      <c r="D6127" s="209"/>
      <c r="E6127" s="209"/>
      <c r="J6127" s="124"/>
    </row>
    <row r="6128" spans="3:10" x14ac:dyDescent="0.2">
      <c r="C6128" s="209"/>
      <c r="D6128" s="209"/>
      <c r="E6128" s="209"/>
      <c r="J6128" s="124"/>
    </row>
    <row r="6129" spans="3:10" x14ac:dyDescent="0.2">
      <c r="C6129" s="209"/>
      <c r="D6129" s="209"/>
      <c r="E6129" s="209"/>
      <c r="J6129" s="124"/>
    </row>
    <row r="6130" spans="3:10" x14ac:dyDescent="0.2">
      <c r="C6130" s="209"/>
      <c r="D6130" s="209"/>
      <c r="E6130" s="209"/>
      <c r="J6130" s="124"/>
    </row>
    <row r="6131" spans="3:10" x14ac:dyDescent="0.2">
      <c r="C6131" s="209"/>
      <c r="D6131" s="209"/>
      <c r="E6131" s="209"/>
      <c r="J6131" s="124"/>
    </row>
    <row r="6132" spans="3:10" x14ac:dyDescent="0.2">
      <c r="C6132" s="209"/>
      <c r="D6132" s="209"/>
      <c r="E6132" s="209"/>
      <c r="J6132" s="124"/>
    </row>
    <row r="6133" spans="3:10" x14ac:dyDescent="0.2">
      <c r="C6133" s="209"/>
      <c r="D6133" s="209"/>
      <c r="E6133" s="209"/>
      <c r="J6133" s="124"/>
    </row>
    <row r="6134" spans="3:10" x14ac:dyDescent="0.2">
      <c r="C6134" s="209"/>
      <c r="D6134" s="209"/>
      <c r="E6134" s="209"/>
      <c r="J6134" s="124"/>
    </row>
    <row r="6135" spans="3:10" x14ac:dyDescent="0.2">
      <c r="C6135" s="209"/>
      <c r="D6135" s="209"/>
      <c r="E6135" s="209"/>
      <c r="J6135" s="124"/>
    </row>
    <row r="6136" spans="3:10" x14ac:dyDescent="0.2">
      <c r="C6136" s="209"/>
      <c r="D6136" s="209"/>
      <c r="E6136" s="209"/>
      <c r="J6136" s="124"/>
    </row>
    <row r="6137" spans="3:10" x14ac:dyDescent="0.2">
      <c r="C6137" s="209"/>
      <c r="D6137" s="209"/>
      <c r="E6137" s="209"/>
      <c r="J6137" s="124"/>
    </row>
    <row r="6138" spans="3:10" x14ac:dyDescent="0.2">
      <c r="C6138" s="209"/>
      <c r="D6138" s="209"/>
      <c r="E6138" s="209"/>
      <c r="J6138" s="124"/>
    </row>
    <row r="6139" spans="3:10" x14ac:dyDescent="0.2">
      <c r="C6139" s="209"/>
      <c r="D6139" s="209"/>
      <c r="E6139" s="209"/>
      <c r="J6139" s="124"/>
    </row>
    <row r="6140" spans="3:10" x14ac:dyDescent="0.2">
      <c r="C6140" s="209"/>
      <c r="D6140" s="209"/>
      <c r="E6140" s="209"/>
      <c r="J6140" s="124"/>
    </row>
    <row r="6141" spans="3:10" x14ac:dyDescent="0.2">
      <c r="C6141" s="209"/>
      <c r="D6141" s="209"/>
      <c r="E6141" s="209"/>
      <c r="J6141" s="124"/>
    </row>
    <row r="6142" spans="3:10" x14ac:dyDescent="0.2">
      <c r="C6142" s="209"/>
      <c r="D6142" s="209"/>
      <c r="E6142" s="209"/>
      <c r="J6142" s="124"/>
    </row>
    <row r="6143" spans="3:10" x14ac:dyDescent="0.2">
      <c r="C6143" s="209"/>
      <c r="D6143" s="209"/>
      <c r="E6143" s="209"/>
      <c r="J6143" s="124"/>
    </row>
    <row r="6144" spans="3:10" x14ac:dyDescent="0.2">
      <c r="C6144" s="209"/>
      <c r="D6144" s="209"/>
      <c r="E6144" s="209"/>
      <c r="J6144" s="124"/>
    </row>
    <row r="6145" spans="3:10" x14ac:dyDescent="0.2">
      <c r="C6145" s="209"/>
      <c r="D6145" s="209"/>
      <c r="E6145" s="209"/>
      <c r="J6145" s="124"/>
    </row>
    <row r="6146" spans="3:10" x14ac:dyDescent="0.2">
      <c r="C6146" s="209"/>
      <c r="D6146" s="209"/>
      <c r="E6146" s="209"/>
      <c r="J6146" s="124"/>
    </row>
    <row r="6147" spans="3:10" x14ac:dyDescent="0.2">
      <c r="C6147" s="209"/>
      <c r="D6147" s="209"/>
      <c r="E6147" s="209"/>
      <c r="J6147" s="124"/>
    </row>
    <row r="6148" spans="3:10" x14ac:dyDescent="0.2">
      <c r="C6148" s="209"/>
      <c r="D6148" s="209"/>
      <c r="E6148" s="209"/>
      <c r="J6148" s="124"/>
    </row>
    <row r="6149" spans="3:10" x14ac:dyDescent="0.2">
      <c r="C6149" s="209"/>
      <c r="D6149" s="209"/>
      <c r="E6149" s="209"/>
      <c r="J6149" s="124"/>
    </row>
    <row r="6150" spans="3:10" x14ac:dyDescent="0.2">
      <c r="C6150" s="209"/>
      <c r="D6150" s="209"/>
      <c r="E6150" s="209"/>
      <c r="J6150" s="124"/>
    </row>
    <row r="6151" spans="3:10" x14ac:dyDescent="0.2">
      <c r="C6151" s="209"/>
      <c r="D6151" s="209"/>
      <c r="E6151" s="209"/>
      <c r="J6151" s="124"/>
    </row>
    <row r="6152" spans="3:10" x14ac:dyDescent="0.2">
      <c r="C6152" s="209"/>
      <c r="D6152" s="209"/>
      <c r="E6152" s="209"/>
      <c r="J6152" s="124"/>
    </row>
    <row r="6153" spans="3:10" x14ac:dyDescent="0.2">
      <c r="C6153" s="209"/>
      <c r="D6153" s="209"/>
      <c r="E6153" s="209"/>
      <c r="J6153" s="124"/>
    </row>
    <row r="6154" spans="3:10" x14ac:dyDescent="0.2">
      <c r="C6154" s="209"/>
      <c r="D6154" s="209"/>
      <c r="E6154" s="209"/>
      <c r="J6154" s="124"/>
    </row>
    <row r="6155" spans="3:10" x14ac:dyDescent="0.2">
      <c r="C6155" s="209"/>
      <c r="D6155" s="209"/>
      <c r="E6155" s="209"/>
      <c r="J6155" s="124"/>
    </row>
    <row r="6156" spans="3:10" x14ac:dyDescent="0.2">
      <c r="C6156" s="209"/>
      <c r="D6156" s="209"/>
      <c r="E6156" s="209"/>
      <c r="J6156" s="124"/>
    </row>
    <row r="6157" spans="3:10" x14ac:dyDescent="0.2">
      <c r="C6157" s="209"/>
      <c r="D6157" s="209"/>
      <c r="E6157" s="209"/>
      <c r="J6157" s="124"/>
    </row>
    <row r="6158" spans="3:10" x14ac:dyDescent="0.2">
      <c r="C6158" s="209"/>
      <c r="D6158" s="209"/>
      <c r="E6158" s="209"/>
      <c r="J6158" s="124"/>
    </row>
    <row r="6159" spans="3:10" x14ac:dyDescent="0.2">
      <c r="C6159" s="209"/>
      <c r="D6159" s="209"/>
      <c r="E6159" s="209"/>
      <c r="J6159" s="124"/>
    </row>
    <row r="6160" spans="3:10" x14ac:dyDescent="0.2">
      <c r="C6160" s="209"/>
      <c r="D6160" s="209"/>
      <c r="E6160" s="209"/>
      <c r="J6160" s="124"/>
    </row>
    <row r="6161" spans="3:10" x14ac:dyDescent="0.2">
      <c r="C6161" s="209"/>
      <c r="D6161" s="209"/>
      <c r="E6161" s="209"/>
      <c r="J6161" s="124"/>
    </row>
    <row r="6162" spans="3:10" x14ac:dyDescent="0.2">
      <c r="C6162" s="209"/>
      <c r="D6162" s="209"/>
      <c r="E6162" s="209"/>
      <c r="J6162" s="124"/>
    </row>
    <row r="6163" spans="3:10" x14ac:dyDescent="0.2">
      <c r="C6163" s="209"/>
      <c r="D6163" s="209"/>
      <c r="E6163" s="209"/>
      <c r="J6163" s="124"/>
    </row>
    <row r="6164" spans="3:10" x14ac:dyDescent="0.2">
      <c r="C6164" s="209"/>
      <c r="D6164" s="209"/>
      <c r="E6164" s="209"/>
      <c r="J6164" s="124"/>
    </row>
    <row r="6165" spans="3:10" x14ac:dyDescent="0.2">
      <c r="C6165" s="209"/>
      <c r="D6165" s="209"/>
      <c r="E6165" s="209"/>
      <c r="J6165" s="124"/>
    </row>
    <row r="6166" spans="3:10" x14ac:dyDescent="0.2">
      <c r="C6166" s="209"/>
      <c r="D6166" s="209"/>
      <c r="E6166" s="209"/>
      <c r="J6166" s="124"/>
    </row>
    <row r="6167" spans="3:10" x14ac:dyDescent="0.2">
      <c r="C6167" s="209"/>
      <c r="D6167" s="209"/>
      <c r="E6167" s="209"/>
      <c r="J6167" s="124"/>
    </row>
    <row r="6168" spans="3:10" x14ac:dyDescent="0.2">
      <c r="C6168" s="209"/>
      <c r="D6168" s="209"/>
      <c r="E6168" s="209"/>
      <c r="J6168" s="124"/>
    </row>
    <row r="6169" spans="3:10" x14ac:dyDescent="0.2">
      <c r="C6169" s="209"/>
      <c r="D6169" s="209"/>
      <c r="E6169" s="209"/>
      <c r="J6169" s="124"/>
    </row>
    <row r="6170" spans="3:10" x14ac:dyDescent="0.2">
      <c r="C6170" s="209"/>
      <c r="D6170" s="209"/>
      <c r="E6170" s="209"/>
      <c r="J6170" s="124"/>
    </row>
    <row r="6171" spans="3:10" x14ac:dyDescent="0.2">
      <c r="C6171" s="209"/>
      <c r="D6171" s="209"/>
      <c r="E6171" s="209"/>
      <c r="J6171" s="124"/>
    </row>
    <row r="6172" spans="3:10" x14ac:dyDescent="0.2">
      <c r="C6172" s="209"/>
      <c r="D6172" s="209"/>
      <c r="E6172" s="209"/>
      <c r="J6172" s="124"/>
    </row>
    <row r="6173" spans="3:10" x14ac:dyDescent="0.2">
      <c r="C6173" s="209"/>
      <c r="D6173" s="209"/>
      <c r="E6173" s="209"/>
      <c r="J6173" s="124"/>
    </row>
    <row r="6174" spans="3:10" x14ac:dyDescent="0.2">
      <c r="C6174" s="209"/>
      <c r="D6174" s="209"/>
      <c r="E6174" s="209"/>
      <c r="J6174" s="124"/>
    </row>
    <row r="6175" spans="3:10" x14ac:dyDescent="0.2">
      <c r="C6175" s="209"/>
      <c r="D6175" s="209"/>
      <c r="E6175" s="209"/>
      <c r="J6175" s="124"/>
    </row>
    <row r="6176" spans="3:10" x14ac:dyDescent="0.2">
      <c r="C6176" s="209"/>
      <c r="D6176" s="209"/>
      <c r="E6176" s="209"/>
      <c r="J6176" s="124"/>
    </row>
    <row r="6177" spans="3:10" x14ac:dyDescent="0.2">
      <c r="C6177" s="209"/>
      <c r="D6177" s="209"/>
      <c r="E6177" s="209"/>
      <c r="J6177" s="124"/>
    </row>
    <row r="6178" spans="3:10" x14ac:dyDescent="0.2">
      <c r="C6178" s="209"/>
      <c r="D6178" s="209"/>
      <c r="E6178" s="209"/>
      <c r="J6178" s="124"/>
    </row>
    <row r="6179" spans="3:10" x14ac:dyDescent="0.2">
      <c r="C6179" s="209"/>
      <c r="D6179" s="209"/>
      <c r="E6179" s="209"/>
      <c r="J6179" s="124"/>
    </row>
    <row r="6180" spans="3:10" x14ac:dyDescent="0.2">
      <c r="C6180" s="209"/>
      <c r="D6180" s="209"/>
      <c r="E6180" s="209"/>
      <c r="J6180" s="124"/>
    </row>
    <row r="6181" spans="3:10" x14ac:dyDescent="0.2">
      <c r="C6181" s="209"/>
      <c r="D6181" s="209"/>
      <c r="E6181" s="209"/>
      <c r="J6181" s="124"/>
    </row>
    <row r="6182" spans="3:10" x14ac:dyDescent="0.2">
      <c r="C6182" s="209"/>
      <c r="D6182" s="209"/>
      <c r="E6182" s="209"/>
      <c r="J6182" s="124"/>
    </row>
    <row r="6183" spans="3:10" x14ac:dyDescent="0.2">
      <c r="C6183" s="209"/>
      <c r="D6183" s="209"/>
      <c r="E6183" s="209"/>
      <c r="J6183" s="124"/>
    </row>
    <row r="6184" spans="3:10" x14ac:dyDescent="0.2">
      <c r="C6184" s="209"/>
      <c r="D6184" s="209"/>
      <c r="E6184" s="209"/>
      <c r="J6184" s="124"/>
    </row>
    <row r="6185" spans="3:10" x14ac:dyDescent="0.2">
      <c r="C6185" s="209"/>
      <c r="D6185" s="209"/>
      <c r="E6185" s="209"/>
      <c r="J6185" s="124"/>
    </row>
    <row r="6186" spans="3:10" x14ac:dyDescent="0.2">
      <c r="C6186" s="209"/>
      <c r="D6186" s="209"/>
      <c r="E6186" s="209"/>
      <c r="J6186" s="124"/>
    </row>
    <row r="6187" spans="3:10" x14ac:dyDescent="0.2">
      <c r="C6187" s="209"/>
      <c r="D6187" s="209"/>
      <c r="E6187" s="209"/>
      <c r="J6187" s="124"/>
    </row>
    <row r="6188" spans="3:10" x14ac:dyDescent="0.2">
      <c r="C6188" s="209"/>
      <c r="D6188" s="209"/>
      <c r="E6188" s="209"/>
      <c r="J6188" s="124"/>
    </row>
    <row r="6189" spans="3:10" x14ac:dyDescent="0.2">
      <c r="C6189" s="209"/>
      <c r="D6189" s="209"/>
      <c r="E6189" s="209"/>
      <c r="J6189" s="124"/>
    </row>
    <row r="6190" spans="3:10" x14ac:dyDescent="0.2">
      <c r="C6190" s="209"/>
      <c r="D6190" s="209"/>
      <c r="E6190" s="209"/>
      <c r="J6190" s="124"/>
    </row>
    <row r="6191" spans="3:10" x14ac:dyDescent="0.2">
      <c r="C6191" s="209"/>
      <c r="D6191" s="209"/>
      <c r="E6191" s="209"/>
      <c r="J6191" s="124"/>
    </row>
    <row r="6192" spans="3:10" x14ac:dyDescent="0.2">
      <c r="C6192" s="209"/>
      <c r="D6192" s="209"/>
      <c r="E6192" s="209"/>
      <c r="J6192" s="124"/>
    </row>
    <row r="6193" spans="3:10" x14ac:dyDescent="0.2">
      <c r="C6193" s="209"/>
      <c r="D6193" s="209"/>
      <c r="E6193" s="209"/>
      <c r="J6193" s="124"/>
    </row>
    <row r="6194" spans="3:10" x14ac:dyDescent="0.2">
      <c r="C6194" s="209"/>
      <c r="D6194" s="209"/>
      <c r="E6194" s="209"/>
      <c r="J6194" s="124"/>
    </row>
    <row r="6195" spans="3:10" x14ac:dyDescent="0.2">
      <c r="C6195" s="209"/>
      <c r="D6195" s="209"/>
      <c r="E6195" s="209"/>
      <c r="J6195" s="124"/>
    </row>
    <row r="6196" spans="3:10" x14ac:dyDescent="0.2">
      <c r="C6196" s="209"/>
      <c r="D6196" s="209"/>
      <c r="E6196" s="209"/>
      <c r="J6196" s="124"/>
    </row>
    <row r="6197" spans="3:10" x14ac:dyDescent="0.2">
      <c r="C6197" s="209"/>
      <c r="D6197" s="209"/>
      <c r="E6197" s="209"/>
      <c r="J6197" s="124"/>
    </row>
    <row r="6198" spans="3:10" x14ac:dyDescent="0.2">
      <c r="C6198" s="209"/>
      <c r="D6198" s="209"/>
      <c r="E6198" s="209"/>
      <c r="J6198" s="124"/>
    </row>
    <row r="6199" spans="3:10" x14ac:dyDescent="0.2">
      <c r="C6199" s="209"/>
      <c r="D6199" s="209"/>
      <c r="E6199" s="209"/>
      <c r="J6199" s="124"/>
    </row>
    <row r="6200" spans="3:10" x14ac:dyDescent="0.2">
      <c r="C6200" s="209"/>
      <c r="D6200" s="209"/>
      <c r="E6200" s="209"/>
      <c r="J6200" s="124"/>
    </row>
    <row r="6201" spans="3:10" x14ac:dyDescent="0.2">
      <c r="C6201" s="209"/>
      <c r="D6201" s="209"/>
      <c r="E6201" s="209"/>
      <c r="J6201" s="124"/>
    </row>
    <row r="6202" spans="3:10" x14ac:dyDescent="0.2">
      <c r="C6202" s="209"/>
      <c r="D6202" s="209"/>
      <c r="E6202" s="209"/>
      <c r="J6202" s="124"/>
    </row>
    <row r="6203" spans="3:10" x14ac:dyDescent="0.2">
      <c r="C6203" s="209"/>
      <c r="D6203" s="209"/>
      <c r="E6203" s="209"/>
      <c r="J6203" s="124"/>
    </row>
    <row r="6204" spans="3:10" x14ac:dyDescent="0.2">
      <c r="C6204" s="209"/>
      <c r="D6204" s="209"/>
      <c r="E6204" s="209"/>
      <c r="J6204" s="124"/>
    </row>
    <row r="6205" spans="3:10" x14ac:dyDescent="0.2">
      <c r="C6205" s="209"/>
      <c r="D6205" s="209"/>
      <c r="E6205" s="209"/>
      <c r="J6205" s="124"/>
    </row>
    <row r="6206" spans="3:10" x14ac:dyDescent="0.2">
      <c r="C6206" s="209"/>
      <c r="D6206" s="209"/>
      <c r="E6206" s="209"/>
      <c r="J6206" s="124"/>
    </row>
    <row r="6207" spans="3:10" x14ac:dyDescent="0.2">
      <c r="C6207" s="209"/>
      <c r="D6207" s="209"/>
      <c r="E6207" s="209"/>
      <c r="J6207" s="124"/>
    </row>
    <row r="6208" spans="3:10" x14ac:dyDescent="0.2">
      <c r="C6208" s="209"/>
      <c r="D6208" s="209"/>
      <c r="E6208" s="209"/>
      <c r="J6208" s="124"/>
    </row>
    <row r="6209" spans="3:10" x14ac:dyDescent="0.2">
      <c r="C6209" s="209"/>
      <c r="D6209" s="209"/>
      <c r="E6209" s="209"/>
      <c r="J6209" s="124"/>
    </row>
    <row r="6210" spans="3:10" x14ac:dyDescent="0.2">
      <c r="C6210" s="209"/>
      <c r="D6210" s="209"/>
      <c r="E6210" s="209"/>
      <c r="J6210" s="124"/>
    </row>
    <row r="6211" spans="3:10" x14ac:dyDescent="0.2">
      <c r="C6211" s="209"/>
      <c r="D6211" s="209"/>
      <c r="E6211" s="209"/>
      <c r="J6211" s="124"/>
    </row>
    <row r="6212" spans="3:10" x14ac:dyDescent="0.2">
      <c r="C6212" s="209"/>
      <c r="D6212" s="209"/>
      <c r="E6212" s="209"/>
      <c r="J6212" s="124"/>
    </row>
    <row r="6213" spans="3:10" x14ac:dyDescent="0.2">
      <c r="C6213" s="209"/>
      <c r="D6213" s="209"/>
      <c r="E6213" s="209"/>
      <c r="J6213" s="124"/>
    </row>
    <row r="6214" spans="3:10" x14ac:dyDescent="0.2">
      <c r="C6214" s="209"/>
      <c r="D6214" s="209"/>
      <c r="E6214" s="209"/>
      <c r="J6214" s="124"/>
    </row>
    <row r="6215" spans="3:10" x14ac:dyDescent="0.2">
      <c r="C6215" s="209"/>
      <c r="D6215" s="209"/>
      <c r="E6215" s="209"/>
      <c r="J6215" s="124"/>
    </row>
    <row r="6216" spans="3:10" x14ac:dyDescent="0.2">
      <c r="C6216" s="209"/>
      <c r="D6216" s="209"/>
      <c r="E6216" s="209"/>
      <c r="J6216" s="124"/>
    </row>
    <row r="6217" spans="3:10" x14ac:dyDescent="0.2">
      <c r="C6217" s="209"/>
      <c r="D6217" s="209"/>
      <c r="E6217" s="209"/>
      <c r="J6217" s="124"/>
    </row>
    <row r="6218" spans="3:10" x14ac:dyDescent="0.2">
      <c r="C6218" s="209"/>
      <c r="D6218" s="209"/>
      <c r="E6218" s="209"/>
      <c r="J6218" s="124"/>
    </row>
    <row r="6219" spans="3:10" x14ac:dyDescent="0.2">
      <c r="C6219" s="209"/>
      <c r="D6219" s="209"/>
      <c r="E6219" s="209"/>
      <c r="J6219" s="124"/>
    </row>
    <row r="6220" spans="3:10" x14ac:dyDescent="0.2">
      <c r="C6220" s="209"/>
      <c r="D6220" s="209"/>
      <c r="E6220" s="209"/>
      <c r="J6220" s="124"/>
    </row>
    <row r="6221" spans="3:10" x14ac:dyDescent="0.2">
      <c r="C6221" s="209"/>
      <c r="D6221" s="209"/>
      <c r="E6221" s="209"/>
      <c r="J6221" s="124"/>
    </row>
    <row r="6222" spans="3:10" x14ac:dyDescent="0.2">
      <c r="C6222" s="209"/>
      <c r="D6222" s="209"/>
      <c r="E6222" s="209"/>
      <c r="J6222" s="124"/>
    </row>
    <row r="6223" spans="3:10" x14ac:dyDescent="0.2">
      <c r="C6223" s="209"/>
      <c r="D6223" s="209"/>
      <c r="E6223" s="209"/>
      <c r="J6223" s="124"/>
    </row>
    <row r="6224" spans="3:10" x14ac:dyDescent="0.2">
      <c r="C6224" s="209"/>
      <c r="D6224" s="209"/>
      <c r="E6224" s="209"/>
      <c r="J6224" s="124"/>
    </row>
    <row r="6225" spans="3:10" x14ac:dyDescent="0.2">
      <c r="C6225" s="209"/>
      <c r="D6225" s="209"/>
      <c r="E6225" s="209"/>
      <c r="J6225" s="124"/>
    </row>
    <row r="6226" spans="3:10" x14ac:dyDescent="0.2">
      <c r="C6226" s="209"/>
      <c r="D6226" s="209"/>
      <c r="E6226" s="209"/>
      <c r="J6226" s="124"/>
    </row>
    <row r="6227" spans="3:10" x14ac:dyDescent="0.2">
      <c r="C6227" s="209"/>
      <c r="D6227" s="209"/>
      <c r="E6227" s="209"/>
      <c r="J6227" s="124"/>
    </row>
    <row r="6228" spans="3:10" x14ac:dyDescent="0.2">
      <c r="C6228" s="209"/>
      <c r="D6228" s="209"/>
      <c r="E6228" s="209"/>
      <c r="J6228" s="124"/>
    </row>
    <row r="6229" spans="3:10" x14ac:dyDescent="0.2">
      <c r="C6229" s="209"/>
      <c r="D6229" s="209"/>
      <c r="E6229" s="209"/>
      <c r="J6229" s="124"/>
    </row>
    <row r="6230" spans="3:10" x14ac:dyDescent="0.2">
      <c r="C6230" s="209"/>
      <c r="D6230" s="209"/>
      <c r="E6230" s="209"/>
      <c r="J6230" s="124"/>
    </row>
    <row r="6231" spans="3:10" x14ac:dyDescent="0.2">
      <c r="C6231" s="209"/>
      <c r="D6231" s="209"/>
      <c r="E6231" s="209"/>
      <c r="J6231" s="124"/>
    </row>
    <row r="6232" spans="3:10" x14ac:dyDescent="0.2">
      <c r="C6232" s="209"/>
      <c r="D6232" s="209"/>
      <c r="E6232" s="209"/>
      <c r="J6232" s="124"/>
    </row>
    <row r="6233" spans="3:10" x14ac:dyDescent="0.2">
      <c r="C6233" s="209"/>
      <c r="D6233" s="209"/>
      <c r="E6233" s="209"/>
      <c r="J6233" s="124"/>
    </row>
    <row r="6234" spans="3:10" x14ac:dyDescent="0.2">
      <c r="C6234" s="209"/>
      <c r="D6234" s="209"/>
      <c r="E6234" s="209"/>
      <c r="J6234" s="124"/>
    </row>
    <row r="6235" spans="3:10" x14ac:dyDescent="0.2">
      <c r="C6235" s="209"/>
      <c r="D6235" s="209"/>
      <c r="E6235" s="209"/>
      <c r="J6235" s="124"/>
    </row>
    <row r="6236" spans="3:10" x14ac:dyDescent="0.2">
      <c r="C6236" s="209"/>
      <c r="D6236" s="209"/>
      <c r="E6236" s="209"/>
      <c r="J6236" s="124"/>
    </row>
    <row r="6237" spans="3:10" x14ac:dyDescent="0.2">
      <c r="C6237" s="209"/>
      <c r="D6237" s="209"/>
      <c r="E6237" s="209"/>
      <c r="J6237" s="124"/>
    </row>
    <row r="6238" spans="3:10" x14ac:dyDescent="0.2">
      <c r="C6238" s="209"/>
      <c r="D6238" s="209"/>
      <c r="E6238" s="209"/>
      <c r="J6238" s="124"/>
    </row>
    <row r="6239" spans="3:10" x14ac:dyDescent="0.2">
      <c r="C6239" s="209"/>
      <c r="D6239" s="209"/>
      <c r="E6239" s="209"/>
      <c r="J6239" s="124"/>
    </row>
    <row r="6240" spans="3:10" x14ac:dyDescent="0.2">
      <c r="C6240" s="209"/>
      <c r="D6240" s="209"/>
      <c r="E6240" s="209"/>
      <c r="J6240" s="124"/>
    </row>
    <row r="6241" spans="3:10" x14ac:dyDescent="0.2">
      <c r="C6241" s="209"/>
      <c r="D6241" s="209"/>
      <c r="E6241" s="209"/>
      <c r="J6241" s="124"/>
    </row>
    <row r="6242" spans="3:10" x14ac:dyDescent="0.2">
      <c r="C6242" s="209"/>
      <c r="D6242" s="209"/>
      <c r="E6242" s="209"/>
      <c r="J6242" s="124"/>
    </row>
    <row r="6243" spans="3:10" x14ac:dyDescent="0.2">
      <c r="C6243" s="209"/>
      <c r="D6243" s="209"/>
      <c r="E6243" s="209"/>
      <c r="J6243" s="124"/>
    </row>
    <row r="6244" spans="3:10" x14ac:dyDescent="0.2">
      <c r="C6244" s="209"/>
      <c r="D6244" s="209"/>
      <c r="E6244" s="209"/>
      <c r="J6244" s="124"/>
    </row>
    <row r="6245" spans="3:10" x14ac:dyDescent="0.2">
      <c r="C6245" s="209"/>
      <c r="D6245" s="209"/>
      <c r="E6245" s="209"/>
      <c r="J6245" s="124"/>
    </row>
    <row r="6246" spans="3:10" x14ac:dyDescent="0.2">
      <c r="C6246" s="209"/>
      <c r="D6246" s="209"/>
      <c r="E6246" s="209"/>
      <c r="J6246" s="124"/>
    </row>
    <row r="6247" spans="3:10" x14ac:dyDescent="0.2">
      <c r="C6247" s="209"/>
      <c r="D6247" s="209"/>
      <c r="E6247" s="209"/>
      <c r="J6247" s="124"/>
    </row>
    <row r="6248" spans="3:10" x14ac:dyDescent="0.2">
      <c r="C6248" s="209"/>
      <c r="D6248" s="209"/>
      <c r="E6248" s="209"/>
      <c r="J6248" s="124"/>
    </row>
    <row r="6249" spans="3:10" x14ac:dyDescent="0.2">
      <c r="C6249" s="209"/>
      <c r="D6249" s="209"/>
      <c r="E6249" s="209"/>
      <c r="J6249" s="124"/>
    </row>
    <row r="6250" spans="3:10" x14ac:dyDescent="0.2">
      <c r="C6250" s="209"/>
      <c r="D6250" s="209"/>
      <c r="E6250" s="209"/>
      <c r="J6250" s="124"/>
    </row>
    <row r="6251" spans="3:10" x14ac:dyDescent="0.2">
      <c r="C6251" s="209"/>
      <c r="D6251" s="209"/>
      <c r="E6251" s="209"/>
      <c r="J6251" s="124"/>
    </row>
    <row r="6252" spans="3:10" x14ac:dyDescent="0.2">
      <c r="C6252" s="209"/>
      <c r="D6252" s="209"/>
      <c r="E6252" s="209"/>
      <c r="J6252" s="124"/>
    </row>
    <row r="6253" spans="3:10" x14ac:dyDescent="0.2">
      <c r="C6253" s="209"/>
      <c r="D6253" s="209"/>
      <c r="E6253" s="209"/>
      <c r="J6253" s="124"/>
    </row>
    <row r="6254" spans="3:10" x14ac:dyDescent="0.2">
      <c r="C6254" s="209"/>
      <c r="D6254" s="209"/>
      <c r="E6254" s="209"/>
      <c r="J6254" s="124"/>
    </row>
    <row r="6255" spans="3:10" x14ac:dyDescent="0.2">
      <c r="C6255" s="209"/>
      <c r="D6255" s="209"/>
      <c r="E6255" s="209"/>
      <c r="J6255" s="124"/>
    </row>
    <row r="6256" spans="3:10" x14ac:dyDescent="0.2">
      <c r="C6256" s="209"/>
      <c r="D6256" s="209"/>
      <c r="E6256" s="209"/>
      <c r="J6256" s="124"/>
    </row>
    <row r="6257" spans="3:10" x14ac:dyDescent="0.2">
      <c r="C6257" s="209"/>
      <c r="D6257" s="209"/>
      <c r="E6257" s="209"/>
      <c r="J6257" s="124"/>
    </row>
    <row r="6258" spans="3:10" x14ac:dyDescent="0.2">
      <c r="C6258" s="209"/>
      <c r="D6258" s="209"/>
      <c r="E6258" s="209"/>
      <c r="J6258" s="124"/>
    </row>
    <row r="6259" spans="3:10" x14ac:dyDescent="0.2">
      <c r="C6259" s="209"/>
      <c r="D6259" s="209"/>
      <c r="E6259" s="209"/>
      <c r="J6259" s="124"/>
    </row>
    <row r="6260" spans="3:10" x14ac:dyDescent="0.2">
      <c r="C6260" s="209"/>
      <c r="D6260" s="209"/>
      <c r="E6260" s="209"/>
      <c r="J6260" s="124"/>
    </row>
    <row r="6261" spans="3:10" x14ac:dyDescent="0.2">
      <c r="C6261" s="209"/>
      <c r="D6261" s="209"/>
      <c r="E6261" s="209"/>
      <c r="J6261" s="124"/>
    </row>
    <row r="6262" spans="3:10" x14ac:dyDescent="0.2">
      <c r="C6262" s="209"/>
      <c r="D6262" s="209"/>
      <c r="E6262" s="209"/>
      <c r="J6262" s="124"/>
    </row>
    <row r="6263" spans="3:10" x14ac:dyDescent="0.2">
      <c r="C6263" s="209"/>
      <c r="D6263" s="209"/>
      <c r="E6263" s="209"/>
      <c r="J6263" s="124"/>
    </row>
    <row r="6264" spans="3:10" x14ac:dyDescent="0.2">
      <c r="C6264" s="209"/>
      <c r="D6264" s="209"/>
      <c r="E6264" s="209"/>
      <c r="J6264" s="124"/>
    </row>
    <row r="6265" spans="3:10" x14ac:dyDescent="0.2">
      <c r="C6265" s="209"/>
      <c r="D6265" s="209"/>
      <c r="E6265" s="209"/>
      <c r="J6265" s="124"/>
    </row>
    <row r="6266" spans="3:10" x14ac:dyDescent="0.2">
      <c r="C6266" s="209"/>
      <c r="D6266" s="209"/>
      <c r="E6266" s="209"/>
      <c r="J6266" s="124"/>
    </row>
    <row r="6267" spans="3:10" x14ac:dyDescent="0.2">
      <c r="C6267" s="209"/>
      <c r="D6267" s="209"/>
      <c r="E6267" s="209"/>
      <c r="J6267" s="124"/>
    </row>
    <row r="6268" spans="3:10" x14ac:dyDescent="0.2">
      <c r="C6268" s="209"/>
      <c r="D6268" s="209"/>
      <c r="E6268" s="209"/>
      <c r="J6268" s="124"/>
    </row>
    <row r="6269" spans="3:10" x14ac:dyDescent="0.2">
      <c r="C6269" s="209"/>
      <c r="D6269" s="209"/>
      <c r="E6269" s="209"/>
      <c r="J6269" s="124"/>
    </row>
    <row r="6270" spans="3:10" x14ac:dyDescent="0.2">
      <c r="C6270" s="209"/>
      <c r="D6270" s="209"/>
      <c r="E6270" s="209"/>
      <c r="J6270" s="124"/>
    </row>
    <row r="6271" spans="3:10" x14ac:dyDescent="0.2">
      <c r="C6271" s="209"/>
      <c r="D6271" s="209"/>
      <c r="E6271" s="209"/>
      <c r="J6271" s="124"/>
    </row>
    <row r="6272" spans="3:10" x14ac:dyDescent="0.2">
      <c r="C6272" s="209"/>
      <c r="D6272" s="209"/>
      <c r="E6272" s="209"/>
      <c r="J6272" s="124"/>
    </row>
    <row r="6273" spans="3:10" x14ac:dyDescent="0.2">
      <c r="C6273" s="209"/>
      <c r="D6273" s="209"/>
      <c r="E6273" s="209"/>
      <c r="J6273" s="124"/>
    </row>
    <row r="6274" spans="3:10" x14ac:dyDescent="0.2">
      <c r="C6274" s="209"/>
      <c r="D6274" s="209"/>
      <c r="E6274" s="209"/>
      <c r="J6274" s="124"/>
    </row>
    <row r="6275" spans="3:10" x14ac:dyDescent="0.2">
      <c r="C6275" s="209"/>
      <c r="D6275" s="209"/>
      <c r="E6275" s="209"/>
      <c r="J6275" s="124"/>
    </row>
    <row r="6276" spans="3:10" x14ac:dyDescent="0.2">
      <c r="C6276" s="209"/>
      <c r="D6276" s="209"/>
      <c r="E6276" s="209"/>
      <c r="J6276" s="124"/>
    </row>
    <row r="6277" spans="3:10" x14ac:dyDescent="0.2">
      <c r="C6277" s="209"/>
      <c r="D6277" s="209"/>
      <c r="E6277" s="209"/>
      <c r="J6277" s="124"/>
    </row>
    <row r="6278" spans="3:10" x14ac:dyDescent="0.2">
      <c r="C6278" s="209"/>
      <c r="D6278" s="209"/>
      <c r="E6278" s="209"/>
      <c r="J6278" s="124"/>
    </row>
    <row r="6279" spans="3:10" x14ac:dyDescent="0.2">
      <c r="C6279" s="209"/>
      <c r="D6279" s="209"/>
      <c r="E6279" s="209"/>
      <c r="J6279" s="124"/>
    </row>
    <row r="6280" spans="3:10" x14ac:dyDescent="0.2">
      <c r="C6280" s="209"/>
      <c r="D6280" s="209"/>
      <c r="E6280" s="209"/>
      <c r="J6280" s="124"/>
    </row>
    <row r="6281" spans="3:10" x14ac:dyDescent="0.2">
      <c r="C6281" s="209"/>
      <c r="D6281" s="209"/>
      <c r="E6281" s="209"/>
      <c r="J6281" s="124"/>
    </row>
    <row r="6282" spans="3:10" x14ac:dyDescent="0.2">
      <c r="C6282" s="209"/>
      <c r="D6282" s="209"/>
      <c r="E6282" s="209"/>
      <c r="J6282" s="124"/>
    </row>
    <row r="6283" spans="3:10" x14ac:dyDescent="0.2">
      <c r="C6283" s="209"/>
      <c r="D6283" s="209"/>
      <c r="E6283" s="209"/>
      <c r="J6283" s="124"/>
    </row>
    <row r="6284" spans="3:10" x14ac:dyDescent="0.2">
      <c r="C6284" s="209"/>
      <c r="D6284" s="209"/>
      <c r="E6284" s="209"/>
      <c r="J6284" s="124"/>
    </row>
    <row r="6285" spans="3:10" x14ac:dyDescent="0.2">
      <c r="C6285" s="209"/>
      <c r="D6285" s="209"/>
      <c r="E6285" s="209"/>
      <c r="J6285" s="124"/>
    </row>
    <row r="6286" spans="3:10" x14ac:dyDescent="0.2">
      <c r="C6286" s="209"/>
      <c r="D6286" s="209"/>
      <c r="E6286" s="209"/>
      <c r="J6286" s="124"/>
    </row>
    <row r="6287" spans="3:10" x14ac:dyDescent="0.2">
      <c r="C6287" s="209"/>
      <c r="D6287" s="209"/>
      <c r="E6287" s="209"/>
      <c r="J6287" s="124"/>
    </row>
    <row r="6288" spans="3:10" x14ac:dyDescent="0.2">
      <c r="C6288" s="209"/>
      <c r="D6288" s="209"/>
      <c r="E6288" s="209"/>
      <c r="J6288" s="124"/>
    </row>
    <row r="6289" spans="3:10" x14ac:dyDescent="0.2">
      <c r="C6289" s="209"/>
      <c r="D6289" s="209"/>
      <c r="E6289" s="209"/>
      <c r="J6289" s="124"/>
    </row>
    <row r="6290" spans="3:10" x14ac:dyDescent="0.2">
      <c r="C6290" s="209"/>
      <c r="D6290" s="209"/>
      <c r="E6290" s="209"/>
      <c r="J6290" s="124"/>
    </row>
    <row r="6291" spans="3:10" x14ac:dyDescent="0.2">
      <c r="C6291" s="209"/>
      <c r="D6291" s="209"/>
      <c r="E6291" s="209"/>
      <c r="J6291" s="124"/>
    </row>
    <row r="6292" spans="3:10" x14ac:dyDescent="0.2">
      <c r="C6292" s="209"/>
      <c r="D6292" s="209"/>
      <c r="E6292" s="209"/>
      <c r="J6292" s="124"/>
    </row>
    <row r="6293" spans="3:10" x14ac:dyDescent="0.2">
      <c r="C6293" s="209"/>
      <c r="D6293" s="209"/>
      <c r="E6293" s="209"/>
      <c r="J6293" s="124"/>
    </row>
    <row r="6294" spans="3:10" x14ac:dyDescent="0.2">
      <c r="C6294" s="209"/>
      <c r="D6294" s="209"/>
      <c r="E6294" s="209"/>
      <c r="J6294" s="124"/>
    </row>
    <row r="6295" spans="3:10" x14ac:dyDescent="0.2">
      <c r="C6295" s="209"/>
      <c r="D6295" s="209"/>
      <c r="E6295" s="209"/>
      <c r="J6295" s="124"/>
    </row>
    <row r="6296" spans="3:10" x14ac:dyDescent="0.2">
      <c r="C6296" s="209"/>
      <c r="D6296" s="209"/>
      <c r="E6296" s="209"/>
      <c r="J6296" s="124"/>
    </row>
    <row r="6297" spans="3:10" x14ac:dyDescent="0.2">
      <c r="C6297" s="209"/>
      <c r="D6297" s="209"/>
      <c r="E6297" s="209"/>
      <c r="J6297" s="124"/>
    </row>
    <row r="6298" spans="3:10" x14ac:dyDescent="0.2">
      <c r="C6298" s="209"/>
      <c r="D6298" s="209"/>
      <c r="E6298" s="209"/>
      <c r="J6298" s="124"/>
    </row>
    <row r="6299" spans="3:10" x14ac:dyDescent="0.2">
      <c r="C6299" s="209"/>
      <c r="D6299" s="209"/>
      <c r="E6299" s="209"/>
      <c r="J6299" s="124"/>
    </row>
    <row r="6300" spans="3:10" x14ac:dyDescent="0.2">
      <c r="C6300" s="209"/>
      <c r="D6300" s="209"/>
      <c r="E6300" s="209"/>
      <c r="J6300" s="124"/>
    </row>
    <row r="6301" spans="3:10" x14ac:dyDescent="0.2">
      <c r="C6301" s="209"/>
      <c r="D6301" s="209"/>
      <c r="E6301" s="209"/>
      <c r="J6301" s="124"/>
    </row>
    <row r="6302" spans="3:10" x14ac:dyDescent="0.2">
      <c r="C6302" s="209"/>
      <c r="D6302" s="209"/>
      <c r="E6302" s="209"/>
      <c r="J6302" s="124"/>
    </row>
    <row r="6303" spans="3:10" x14ac:dyDescent="0.2">
      <c r="C6303" s="209"/>
      <c r="D6303" s="209"/>
      <c r="E6303" s="209"/>
      <c r="J6303" s="124"/>
    </row>
    <row r="6304" spans="3:10" x14ac:dyDescent="0.2">
      <c r="C6304" s="209"/>
      <c r="D6304" s="209"/>
      <c r="E6304" s="209"/>
      <c r="J6304" s="124"/>
    </row>
    <row r="6305" spans="3:10" x14ac:dyDescent="0.2">
      <c r="C6305" s="209"/>
      <c r="D6305" s="209"/>
      <c r="E6305" s="209"/>
      <c r="J6305" s="124"/>
    </row>
    <row r="6306" spans="3:10" x14ac:dyDescent="0.2">
      <c r="C6306" s="209"/>
      <c r="D6306" s="209"/>
      <c r="E6306" s="209"/>
      <c r="J6306" s="124"/>
    </row>
    <row r="6307" spans="3:10" x14ac:dyDescent="0.2">
      <c r="C6307" s="209"/>
      <c r="D6307" s="209"/>
      <c r="E6307" s="209"/>
      <c r="J6307" s="124"/>
    </row>
    <row r="6308" spans="3:10" x14ac:dyDescent="0.2">
      <c r="C6308" s="209"/>
      <c r="D6308" s="209"/>
      <c r="E6308" s="209"/>
      <c r="J6308" s="124"/>
    </row>
    <row r="6309" spans="3:10" x14ac:dyDescent="0.2">
      <c r="C6309" s="209"/>
      <c r="D6309" s="209"/>
      <c r="E6309" s="209"/>
      <c r="J6309" s="124"/>
    </row>
    <row r="6310" spans="3:10" x14ac:dyDescent="0.2">
      <c r="C6310" s="209"/>
      <c r="D6310" s="209"/>
      <c r="E6310" s="209"/>
      <c r="J6310" s="124"/>
    </row>
    <row r="6311" spans="3:10" x14ac:dyDescent="0.2">
      <c r="C6311" s="209"/>
      <c r="D6311" s="209"/>
      <c r="E6311" s="209"/>
      <c r="J6311" s="124"/>
    </row>
    <row r="6312" spans="3:10" x14ac:dyDescent="0.2">
      <c r="C6312" s="209"/>
      <c r="D6312" s="209"/>
      <c r="E6312" s="209"/>
      <c r="J6312" s="124"/>
    </row>
    <row r="6313" spans="3:10" x14ac:dyDescent="0.2">
      <c r="C6313" s="209"/>
      <c r="D6313" s="209"/>
      <c r="E6313" s="209"/>
      <c r="J6313" s="124"/>
    </row>
    <row r="6314" spans="3:10" x14ac:dyDescent="0.2">
      <c r="C6314" s="209"/>
      <c r="D6314" s="209"/>
      <c r="E6314" s="209"/>
      <c r="J6314" s="124"/>
    </row>
    <row r="6315" spans="3:10" x14ac:dyDescent="0.2">
      <c r="C6315" s="209"/>
      <c r="D6315" s="209"/>
      <c r="E6315" s="209"/>
      <c r="J6315" s="124"/>
    </row>
    <row r="6316" spans="3:10" x14ac:dyDescent="0.2">
      <c r="C6316" s="209"/>
      <c r="D6316" s="209"/>
      <c r="E6316" s="209"/>
      <c r="J6316" s="124"/>
    </row>
    <row r="6317" spans="3:10" x14ac:dyDescent="0.2">
      <c r="C6317" s="209"/>
      <c r="D6317" s="209"/>
      <c r="E6317" s="209"/>
      <c r="J6317" s="124"/>
    </row>
    <row r="6318" spans="3:10" x14ac:dyDescent="0.2">
      <c r="C6318" s="209"/>
      <c r="D6318" s="209"/>
      <c r="E6318" s="209"/>
      <c r="J6318" s="124"/>
    </row>
    <row r="6319" spans="3:10" x14ac:dyDescent="0.2">
      <c r="C6319" s="209"/>
      <c r="D6319" s="209"/>
      <c r="E6319" s="209"/>
      <c r="J6319" s="124"/>
    </row>
    <row r="6320" spans="3:10" x14ac:dyDescent="0.2">
      <c r="C6320" s="209"/>
      <c r="D6320" s="209"/>
      <c r="E6320" s="209"/>
      <c r="J6320" s="124"/>
    </row>
    <row r="6321" spans="3:10" x14ac:dyDescent="0.2">
      <c r="C6321" s="209"/>
      <c r="D6321" s="209"/>
      <c r="E6321" s="209"/>
      <c r="J6321" s="124"/>
    </row>
    <row r="6322" spans="3:10" x14ac:dyDescent="0.2">
      <c r="C6322" s="209"/>
      <c r="D6322" s="209"/>
      <c r="E6322" s="209"/>
      <c r="J6322" s="124"/>
    </row>
    <row r="6323" spans="3:10" x14ac:dyDescent="0.2">
      <c r="C6323" s="209"/>
      <c r="D6323" s="209"/>
      <c r="E6323" s="209"/>
      <c r="J6323" s="124"/>
    </row>
    <row r="6324" spans="3:10" x14ac:dyDescent="0.2">
      <c r="C6324" s="209"/>
      <c r="D6324" s="209"/>
      <c r="E6324" s="209"/>
      <c r="J6324" s="124"/>
    </row>
    <row r="6325" spans="3:10" x14ac:dyDescent="0.2">
      <c r="C6325" s="209"/>
      <c r="D6325" s="209"/>
      <c r="E6325" s="209"/>
      <c r="J6325" s="124"/>
    </row>
    <row r="6326" spans="3:10" x14ac:dyDescent="0.2">
      <c r="C6326" s="209"/>
      <c r="D6326" s="209"/>
      <c r="E6326" s="209"/>
      <c r="J6326" s="124"/>
    </row>
    <row r="6327" spans="3:10" x14ac:dyDescent="0.2">
      <c r="C6327" s="209"/>
      <c r="D6327" s="209"/>
      <c r="E6327" s="209"/>
      <c r="J6327" s="124"/>
    </row>
    <row r="6328" spans="3:10" x14ac:dyDescent="0.2">
      <c r="C6328" s="209"/>
      <c r="D6328" s="209"/>
      <c r="E6328" s="209"/>
      <c r="J6328" s="124"/>
    </row>
    <row r="6329" spans="3:10" x14ac:dyDescent="0.2">
      <c r="C6329" s="209"/>
      <c r="D6329" s="209"/>
      <c r="E6329" s="209"/>
      <c r="J6329" s="124"/>
    </row>
    <row r="6330" spans="3:10" x14ac:dyDescent="0.2">
      <c r="C6330" s="209"/>
      <c r="D6330" s="209"/>
      <c r="E6330" s="209"/>
      <c r="J6330" s="124"/>
    </row>
    <row r="6331" spans="3:10" x14ac:dyDescent="0.2">
      <c r="C6331" s="209"/>
      <c r="D6331" s="209"/>
      <c r="E6331" s="209"/>
      <c r="J6331" s="124"/>
    </row>
    <row r="6332" spans="3:10" x14ac:dyDescent="0.2">
      <c r="C6332" s="209"/>
      <c r="D6332" s="209"/>
      <c r="E6332" s="209"/>
      <c r="J6332" s="124"/>
    </row>
    <row r="6333" spans="3:10" x14ac:dyDescent="0.2">
      <c r="C6333" s="209"/>
      <c r="D6333" s="209"/>
      <c r="E6333" s="209"/>
      <c r="J6333" s="124"/>
    </row>
    <row r="6334" spans="3:10" x14ac:dyDescent="0.2">
      <c r="C6334" s="209"/>
      <c r="D6334" s="209"/>
      <c r="E6334" s="209"/>
      <c r="J6334" s="124"/>
    </row>
    <row r="6335" spans="3:10" x14ac:dyDescent="0.2">
      <c r="C6335" s="209"/>
      <c r="D6335" s="209"/>
      <c r="E6335" s="209"/>
      <c r="J6335" s="124"/>
    </row>
    <row r="6336" spans="3:10" x14ac:dyDescent="0.2">
      <c r="C6336" s="209"/>
      <c r="D6336" s="209"/>
      <c r="E6336" s="209"/>
      <c r="J6336" s="124"/>
    </row>
    <row r="6337" spans="3:10" x14ac:dyDescent="0.2">
      <c r="C6337" s="209"/>
      <c r="D6337" s="209"/>
      <c r="E6337" s="209"/>
      <c r="J6337" s="124"/>
    </row>
    <row r="6338" spans="3:10" x14ac:dyDescent="0.2">
      <c r="C6338" s="209"/>
      <c r="D6338" s="209"/>
      <c r="E6338" s="209"/>
      <c r="J6338" s="124"/>
    </row>
    <row r="6339" spans="3:10" x14ac:dyDescent="0.2">
      <c r="C6339" s="209"/>
      <c r="D6339" s="209"/>
      <c r="E6339" s="209"/>
      <c r="J6339" s="124"/>
    </row>
    <row r="6340" spans="3:10" x14ac:dyDescent="0.2">
      <c r="C6340" s="209"/>
      <c r="D6340" s="209"/>
      <c r="E6340" s="209"/>
      <c r="J6340" s="124"/>
    </row>
    <row r="6341" spans="3:10" x14ac:dyDescent="0.2">
      <c r="C6341" s="209"/>
      <c r="D6341" s="209"/>
      <c r="E6341" s="209"/>
      <c r="J6341" s="124"/>
    </row>
    <row r="6342" spans="3:10" x14ac:dyDescent="0.2">
      <c r="C6342" s="209"/>
      <c r="D6342" s="209"/>
      <c r="E6342" s="209"/>
      <c r="J6342" s="124"/>
    </row>
    <row r="6343" spans="3:10" x14ac:dyDescent="0.2">
      <c r="C6343" s="209"/>
      <c r="D6343" s="209"/>
      <c r="E6343" s="209"/>
      <c r="J6343" s="124"/>
    </row>
    <row r="6344" spans="3:10" x14ac:dyDescent="0.2">
      <c r="C6344" s="209"/>
      <c r="D6344" s="209"/>
      <c r="E6344" s="209"/>
      <c r="J6344" s="124"/>
    </row>
    <row r="6345" spans="3:10" x14ac:dyDescent="0.2">
      <c r="C6345" s="209"/>
      <c r="D6345" s="209"/>
      <c r="E6345" s="209"/>
      <c r="J6345" s="124"/>
    </row>
    <row r="6346" spans="3:10" x14ac:dyDescent="0.2">
      <c r="C6346" s="209"/>
      <c r="D6346" s="209"/>
      <c r="E6346" s="209"/>
      <c r="J6346" s="124"/>
    </row>
    <row r="6347" spans="3:10" x14ac:dyDescent="0.2">
      <c r="C6347" s="209"/>
      <c r="D6347" s="209"/>
      <c r="E6347" s="209"/>
      <c r="J6347" s="124"/>
    </row>
    <row r="6348" spans="3:10" x14ac:dyDescent="0.2">
      <c r="C6348" s="209"/>
      <c r="D6348" s="209"/>
      <c r="E6348" s="209"/>
      <c r="J6348" s="124"/>
    </row>
    <row r="6349" spans="3:10" x14ac:dyDescent="0.2">
      <c r="C6349" s="209"/>
      <c r="D6349" s="209"/>
      <c r="E6349" s="209"/>
      <c r="J6349" s="124"/>
    </row>
    <row r="6350" spans="3:10" x14ac:dyDescent="0.2">
      <c r="C6350" s="209"/>
      <c r="D6350" s="209"/>
      <c r="E6350" s="209"/>
      <c r="J6350" s="124"/>
    </row>
    <row r="6351" spans="3:10" x14ac:dyDescent="0.2">
      <c r="C6351" s="209"/>
      <c r="D6351" s="209"/>
      <c r="E6351" s="209"/>
      <c r="J6351" s="124"/>
    </row>
    <row r="6352" spans="3:10" x14ac:dyDescent="0.2">
      <c r="C6352" s="209"/>
      <c r="D6352" s="209"/>
      <c r="E6352" s="209"/>
      <c r="J6352" s="124"/>
    </row>
    <row r="6353" spans="3:10" x14ac:dyDescent="0.2">
      <c r="C6353" s="209"/>
      <c r="D6353" s="209"/>
      <c r="E6353" s="209"/>
      <c r="J6353" s="124"/>
    </row>
    <row r="6354" spans="3:10" x14ac:dyDescent="0.2">
      <c r="C6354" s="209"/>
      <c r="D6354" s="209"/>
      <c r="E6354" s="209"/>
      <c r="J6354" s="124"/>
    </row>
    <row r="6355" spans="3:10" x14ac:dyDescent="0.2">
      <c r="C6355" s="209"/>
      <c r="D6355" s="209"/>
      <c r="E6355" s="209"/>
      <c r="J6355" s="124"/>
    </row>
    <row r="6356" spans="3:10" x14ac:dyDescent="0.2">
      <c r="C6356" s="209"/>
      <c r="D6356" s="209"/>
      <c r="E6356" s="209"/>
      <c r="J6356" s="124"/>
    </row>
    <row r="6357" spans="3:10" x14ac:dyDescent="0.2">
      <c r="C6357" s="209"/>
      <c r="D6357" s="209"/>
      <c r="E6357" s="209"/>
      <c r="J6357" s="124"/>
    </row>
    <row r="6358" spans="3:10" x14ac:dyDescent="0.2">
      <c r="C6358" s="209"/>
      <c r="D6358" s="209"/>
      <c r="E6358" s="209"/>
      <c r="J6358" s="124"/>
    </row>
    <row r="6359" spans="3:10" x14ac:dyDescent="0.2">
      <c r="C6359" s="209"/>
      <c r="D6359" s="209"/>
      <c r="E6359" s="209"/>
      <c r="J6359" s="124"/>
    </row>
    <row r="6360" spans="3:10" x14ac:dyDescent="0.2">
      <c r="C6360" s="209"/>
      <c r="D6360" s="209"/>
      <c r="E6360" s="209"/>
      <c r="J6360" s="124"/>
    </row>
    <row r="6361" spans="3:10" x14ac:dyDescent="0.2">
      <c r="C6361" s="209"/>
      <c r="D6361" s="209"/>
      <c r="E6361" s="209"/>
      <c r="J6361" s="124"/>
    </row>
    <row r="6362" spans="3:10" x14ac:dyDescent="0.2">
      <c r="C6362" s="209"/>
      <c r="D6362" s="209"/>
      <c r="E6362" s="209"/>
      <c r="J6362" s="124"/>
    </row>
    <row r="6363" spans="3:10" x14ac:dyDescent="0.2">
      <c r="C6363" s="209"/>
      <c r="D6363" s="209"/>
      <c r="E6363" s="209"/>
      <c r="J6363" s="124"/>
    </row>
    <row r="6364" spans="3:10" x14ac:dyDescent="0.2">
      <c r="C6364" s="209"/>
      <c r="D6364" s="209"/>
      <c r="E6364" s="209"/>
      <c r="J6364" s="124"/>
    </row>
    <row r="6365" spans="3:10" x14ac:dyDescent="0.2">
      <c r="C6365" s="209"/>
      <c r="D6365" s="209"/>
      <c r="E6365" s="209"/>
      <c r="J6365" s="124"/>
    </row>
    <row r="6366" spans="3:10" x14ac:dyDescent="0.2">
      <c r="C6366" s="209"/>
      <c r="D6366" s="209"/>
      <c r="E6366" s="209"/>
      <c r="J6366" s="124"/>
    </row>
    <row r="6367" spans="3:10" x14ac:dyDescent="0.2">
      <c r="C6367" s="209"/>
      <c r="D6367" s="209"/>
      <c r="E6367" s="209"/>
      <c r="J6367" s="124"/>
    </row>
    <row r="6368" spans="3:10" x14ac:dyDescent="0.2">
      <c r="C6368" s="209"/>
      <c r="D6368" s="209"/>
      <c r="E6368" s="209"/>
      <c r="J6368" s="124"/>
    </row>
    <row r="6369" spans="3:10" x14ac:dyDescent="0.2">
      <c r="C6369" s="209"/>
      <c r="D6369" s="209"/>
      <c r="E6369" s="209"/>
      <c r="J6369" s="124"/>
    </row>
    <row r="6370" spans="3:10" x14ac:dyDescent="0.2">
      <c r="C6370" s="209"/>
      <c r="D6370" s="209"/>
      <c r="E6370" s="209"/>
      <c r="J6370" s="124"/>
    </row>
    <row r="6371" spans="3:10" x14ac:dyDescent="0.2">
      <c r="C6371" s="209"/>
      <c r="D6371" s="209"/>
      <c r="E6371" s="209"/>
      <c r="J6371" s="124"/>
    </row>
    <row r="6372" spans="3:10" x14ac:dyDescent="0.2">
      <c r="C6372" s="209"/>
      <c r="D6372" s="209"/>
      <c r="E6372" s="209"/>
      <c r="J6372" s="124"/>
    </row>
    <row r="6373" spans="3:10" x14ac:dyDescent="0.2">
      <c r="C6373" s="209"/>
      <c r="D6373" s="209"/>
      <c r="E6373" s="209"/>
      <c r="J6373" s="124"/>
    </row>
    <row r="6374" spans="3:10" x14ac:dyDescent="0.2">
      <c r="C6374" s="209"/>
      <c r="D6374" s="209"/>
      <c r="E6374" s="209"/>
      <c r="J6374" s="124"/>
    </row>
    <row r="6375" spans="3:10" x14ac:dyDescent="0.2">
      <c r="C6375" s="209"/>
      <c r="D6375" s="209"/>
      <c r="E6375" s="209"/>
      <c r="J6375" s="124"/>
    </row>
    <row r="6376" spans="3:10" x14ac:dyDescent="0.2">
      <c r="C6376" s="209"/>
      <c r="D6376" s="209"/>
      <c r="E6376" s="209"/>
      <c r="J6376" s="124"/>
    </row>
    <row r="6377" spans="3:10" x14ac:dyDescent="0.2">
      <c r="C6377" s="209"/>
      <c r="D6377" s="209"/>
      <c r="E6377" s="209"/>
      <c r="J6377" s="124"/>
    </row>
    <row r="6378" spans="3:10" x14ac:dyDescent="0.2">
      <c r="C6378" s="209"/>
      <c r="D6378" s="209"/>
      <c r="E6378" s="209"/>
      <c r="J6378" s="124"/>
    </row>
    <row r="6379" spans="3:10" x14ac:dyDescent="0.2">
      <c r="C6379" s="209"/>
      <c r="D6379" s="209"/>
      <c r="E6379" s="209"/>
      <c r="J6379" s="124"/>
    </row>
    <row r="6380" spans="3:10" x14ac:dyDescent="0.2">
      <c r="C6380" s="209"/>
      <c r="D6380" s="209"/>
      <c r="E6380" s="209"/>
      <c r="J6380" s="124"/>
    </row>
    <row r="6381" spans="3:10" x14ac:dyDescent="0.2">
      <c r="C6381" s="209"/>
      <c r="D6381" s="209"/>
      <c r="E6381" s="209"/>
      <c r="J6381" s="124"/>
    </row>
    <row r="6382" spans="3:10" x14ac:dyDescent="0.2">
      <c r="C6382" s="209"/>
      <c r="D6382" s="209"/>
      <c r="E6382" s="209"/>
      <c r="J6382" s="124"/>
    </row>
    <row r="6383" spans="3:10" x14ac:dyDescent="0.2">
      <c r="C6383" s="209"/>
      <c r="D6383" s="209"/>
      <c r="E6383" s="209"/>
      <c r="J6383" s="124"/>
    </row>
    <row r="6384" spans="3:10" x14ac:dyDescent="0.2">
      <c r="C6384" s="209"/>
      <c r="D6384" s="209"/>
      <c r="E6384" s="209"/>
      <c r="J6384" s="124"/>
    </row>
    <row r="6385" spans="3:10" x14ac:dyDescent="0.2">
      <c r="C6385" s="209"/>
      <c r="D6385" s="209"/>
      <c r="E6385" s="209"/>
      <c r="J6385" s="124"/>
    </row>
    <row r="6386" spans="3:10" x14ac:dyDescent="0.2">
      <c r="C6386" s="209"/>
      <c r="D6386" s="209"/>
      <c r="E6386" s="209"/>
      <c r="J6386" s="124"/>
    </row>
    <row r="6387" spans="3:10" x14ac:dyDescent="0.2">
      <c r="C6387" s="209"/>
      <c r="D6387" s="209"/>
      <c r="E6387" s="209"/>
      <c r="J6387" s="124"/>
    </row>
    <row r="6388" spans="3:10" x14ac:dyDescent="0.2">
      <c r="C6388" s="209"/>
      <c r="D6388" s="209"/>
      <c r="E6388" s="209"/>
      <c r="J6388" s="124"/>
    </row>
    <row r="6389" spans="3:10" x14ac:dyDescent="0.2">
      <c r="C6389" s="209"/>
      <c r="D6389" s="209"/>
      <c r="E6389" s="209"/>
      <c r="J6389" s="124"/>
    </row>
    <row r="6390" spans="3:10" x14ac:dyDescent="0.2">
      <c r="C6390" s="209"/>
      <c r="D6390" s="209"/>
      <c r="E6390" s="209"/>
      <c r="J6390" s="124"/>
    </row>
    <row r="6391" spans="3:10" x14ac:dyDescent="0.2">
      <c r="C6391" s="209"/>
      <c r="D6391" s="209"/>
      <c r="E6391" s="209"/>
      <c r="J6391" s="124"/>
    </row>
    <row r="6392" spans="3:10" x14ac:dyDescent="0.2">
      <c r="C6392" s="209"/>
      <c r="D6392" s="209"/>
      <c r="E6392" s="209"/>
      <c r="J6392" s="124"/>
    </row>
    <row r="6393" spans="3:10" x14ac:dyDescent="0.2">
      <c r="C6393" s="209"/>
      <c r="D6393" s="209"/>
      <c r="E6393" s="209"/>
      <c r="J6393" s="124"/>
    </row>
    <row r="6394" spans="3:10" x14ac:dyDescent="0.2">
      <c r="C6394" s="209"/>
      <c r="D6394" s="209"/>
      <c r="E6394" s="209"/>
      <c r="J6394" s="124"/>
    </row>
    <row r="6395" spans="3:10" x14ac:dyDescent="0.2">
      <c r="C6395" s="209"/>
      <c r="D6395" s="209"/>
      <c r="E6395" s="209"/>
      <c r="J6395" s="124"/>
    </row>
    <row r="6396" spans="3:10" x14ac:dyDescent="0.2">
      <c r="C6396" s="209"/>
      <c r="D6396" s="209"/>
      <c r="E6396" s="209"/>
      <c r="J6396" s="124"/>
    </row>
    <row r="6397" spans="3:10" x14ac:dyDescent="0.2">
      <c r="C6397" s="209"/>
      <c r="D6397" s="209"/>
      <c r="E6397" s="209"/>
      <c r="J6397" s="124"/>
    </row>
    <row r="6398" spans="3:10" x14ac:dyDescent="0.2">
      <c r="C6398" s="209"/>
      <c r="D6398" s="209"/>
      <c r="E6398" s="209"/>
      <c r="J6398" s="124"/>
    </row>
    <row r="6399" spans="3:10" x14ac:dyDescent="0.2">
      <c r="C6399" s="209"/>
      <c r="D6399" s="209"/>
      <c r="E6399" s="209"/>
      <c r="J6399" s="124"/>
    </row>
    <row r="6400" spans="3:10" x14ac:dyDescent="0.2">
      <c r="C6400" s="209"/>
      <c r="D6400" s="209"/>
      <c r="E6400" s="209"/>
      <c r="J6400" s="124"/>
    </row>
    <row r="6401" spans="3:10" x14ac:dyDescent="0.2">
      <c r="C6401" s="209"/>
      <c r="D6401" s="209"/>
      <c r="E6401" s="209"/>
      <c r="J6401" s="124"/>
    </row>
    <row r="6402" spans="3:10" x14ac:dyDescent="0.2">
      <c r="C6402" s="209"/>
      <c r="D6402" s="209"/>
      <c r="E6402" s="209"/>
      <c r="J6402" s="124"/>
    </row>
    <row r="6403" spans="3:10" x14ac:dyDescent="0.2">
      <c r="C6403" s="209"/>
      <c r="D6403" s="209"/>
      <c r="E6403" s="209"/>
      <c r="J6403" s="124"/>
    </row>
    <row r="6404" spans="3:10" x14ac:dyDescent="0.2">
      <c r="C6404" s="209"/>
      <c r="D6404" s="209"/>
      <c r="E6404" s="209"/>
      <c r="J6404" s="124"/>
    </row>
    <row r="6405" spans="3:10" x14ac:dyDescent="0.2">
      <c r="C6405" s="209"/>
      <c r="D6405" s="209"/>
      <c r="E6405" s="209"/>
      <c r="J6405" s="124"/>
    </row>
    <row r="6406" spans="3:10" x14ac:dyDescent="0.2">
      <c r="C6406" s="209"/>
      <c r="D6406" s="209"/>
      <c r="E6406" s="209"/>
      <c r="J6406" s="124"/>
    </row>
    <row r="6407" spans="3:10" x14ac:dyDescent="0.2">
      <c r="C6407" s="209"/>
      <c r="D6407" s="209"/>
      <c r="E6407" s="209"/>
      <c r="J6407" s="124"/>
    </row>
    <row r="6408" spans="3:10" x14ac:dyDescent="0.2">
      <c r="C6408" s="209"/>
      <c r="D6408" s="209"/>
      <c r="E6408" s="209"/>
      <c r="J6408" s="124"/>
    </row>
    <row r="6409" spans="3:10" x14ac:dyDescent="0.2">
      <c r="C6409" s="209"/>
      <c r="D6409" s="209"/>
      <c r="E6409" s="209"/>
      <c r="J6409" s="124"/>
    </row>
    <row r="6410" spans="3:10" x14ac:dyDescent="0.2">
      <c r="C6410" s="209"/>
      <c r="D6410" s="209"/>
      <c r="E6410" s="209"/>
      <c r="J6410" s="124"/>
    </row>
    <row r="6411" spans="3:10" x14ac:dyDescent="0.2">
      <c r="C6411" s="209"/>
      <c r="D6411" s="209"/>
      <c r="E6411" s="209"/>
      <c r="J6411" s="124"/>
    </row>
    <row r="6412" spans="3:10" x14ac:dyDescent="0.2">
      <c r="C6412" s="209"/>
      <c r="D6412" s="209"/>
      <c r="E6412" s="209"/>
      <c r="J6412" s="124"/>
    </row>
    <row r="6413" spans="3:10" x14ac:dyDescent="0.2">
      <c r="C6413" s="209"/>
      <c r="D6413" s="209"/>
      <c r="E6413" s="209"/>
      <c r="J6413" s="124"/>
    </row>
    <row r="6414" spans="3:10" x14ac:dyDescent="0.2">
      <c r="C6414" s="209"/>
      <c r="D6414" s="209"/>
      <c r="E6414" s="209"/>
      <c r="J6414" s="124"/>
    </row>
    <row r="6415" spans="3:10" x14ac:dyDescent="0.2">
      <c r="C6415" s="209"/>
      <c r="D6415" s="209"/>
      <c r="E6415" s="209"/>
      <c r="J6415" s="124"/>
    </row>
    <row r="6416" spans="3:10" x14ac:dyDescent="0.2">
      <c r="C6416" s="209"/>
      <c r="D6416" s="209"/>
      <c r="E6416" s="209"/>
      <c r="J6416" s="124"/>
    </row>
    <row r="6417" spans="3:10" x14ac:dyDescent="0.2">
      <c r="C6417" s="209"/>
      <c r="D6417" s="209"/>
      <c r="E6417" s="209"/>
      <c r="J6417" s="124"/>
    </row>
    <row r="6418" spans="3:10" x14ac:dyDescent="0.2">
      <c r="C6418" s="209"/>
      <c r="D6418" s="209"/>
      <c r="E6418" s="209"/>
      <c r="J6418" s="124"/>
    </row>
    <row r="6419" spans="3:10" x14ac:dyDescent="0.2">
      <c r="C6419" s="209"/>
      <c r="D6419" s="209"/>
      <c r="E6419" s="209"/>
      <c r="J6419" s="124"/>
    </row>
    <row r="6420" spans="3:10" x14ac:dyDescent="0.2">
      <c r="C6420" s="209"/>
      <c r="D6420" s="209"/>
      <c r="E6420" s="209"/>
      <c r="J6420" s="124"/>
    </row>
    <row r="6421" spans="3:10" x14ac:dyDescent="0.2">
      <c r="C6421" s="209"/>
      <c r="D6421" s="209"/>
      <c r="E6421" s="209"/>
      <c r="J6421" s="124"/>
    </row>
    <row r="6422" spans="3:10" x14ac:dyDescent="0.2">
      <c r="C6422" s="209"/>
      <c r="D6422" s="209"/>
      <c r="E6422" s="209"/>
      <c r="J6422" s="124"/>
    </row>
    <row r="6423" spans="3:10" x14ac:dyDescent="0.2">
      <c r="C6423" s="209"/>
      <c r="D6423" s="209"/>
      <c r="E6423" s="209"/>
      <c r="J6423" s="124"/>
    </row>
    <row r="6424" spans="3:10" x14ac:dyDescent="0.2">
      <c r="C6424" s="209"/>
      <c r="D6424" s="209"/>
      <c r="E6424" s="209"/>
      <c r="J6424" s="124"/>
    </row>
    <row r="6425" spans="3:10" x14ac:dyDescent="0.2">
      <c r="C6425" s="209"/>
      <c r="D6425" s="209"/>
      <c r="E6425" s="209"/>
      <c r="J6425" s="124"/>
    </row>
    <row r="6426" spans="3:10" x14ac:dyDescent="0.2">
      <c r="C6426" s="209"/>
      <c r="D6426" s="209"/>
      <c r="E6426" s="209"/>
      <c r="J6426" s="124"/>
    </row>
    <row r="6427" spans="3:10" x14ac:dyDescent="0.2">
      <c r="C6427" s="209"/>
      <c r="D6427" s="209"/>
      <c r="E6427" s="209"/>
      <c r="J6427" s="124"/>
    </row>
    <row r="6428" spans="3:10" x14ac:dyDescent="0.2">
      <c r="C6428" s="209"/>
      <c r="D6428" s="209"/>
      <c r="E6428" s="209"/>
      <c r="J6428" s="124"/>
    </row>
    <row r="6429" spans="3:10" x14ac:dyDescent="0.2">
      <c r="C6429" s="209"/>
      <c r="D6429" s="209"/>
      <c r="E6429" s="209"/>
      <c r="J6429" s="124"/>
    </row>
    <row r="6430" spans="3:10" x14ac:dyDescent="0.2">
      <c r="C6430" s="209"/>
      <c r="D6430" s="209"/>
      <c r="E6430" s="209"/>
      <c r="J6430" s="124"/>
    </row>
    <row r="6431" spans="3:10" x14ac:dyDescent="0.2">
      <c r="C6431" s="209"/>
      <c r="D6431" s="209"/>
      <c r="E6431" s="209"/>
      <c r="J6431" s="124"/>
    </row>
    <row r="6432" spans="3:10" x14ac:dyDescent="0.2">
      <c r="C6432" s="209"/>
      <c r="D6432" s="209"/>
      <c r="E6432" s="209"/>
      <c r="J6432" s="124"/>
    </row>
    <row r="6433" spans="3:10" x14ac:dyDescent="0.2">
      <c r="C6433" s="209"/>
      <c r="D6433" s="209"/>
      <c r="E6433" s="209"/>
      <c r="J6433" s="124"/>
    </row>
    <row r="6434" spans="3:10" x14ac:dyDescent="0.2">
      <c r="C6434" s="209"/>
      <c r="D6434" s="209"/>
      <c r="E6434" s="209"/>
      <c r="J6434" s="124"/>
    </row>
    <row r="6435" spans="3:10" x14ac:dyDescent="0.2">
      <c r="C6435" s="209"/>
      <c r="D6435" s="209"/>
      <c r="E6435" s="209"/>
      <c r="J6435" s="124"/>
    </row>
    <row r="6436" spans="3:10" x14ac:dyDescent="0.2">
      <c r="C6436" s="209"/>
      <c r="D6436" s="209"/>
      <c r="E6436" s="209"/>
      <c r="J6436" s="124"/>
    </row>
    <row r="6437" spans="3:10" x14ac:dyDescent="0.2">
      <c r="C6437" s="209"/>
      <c r="D6437" s="209"/>
      <c r="E6437" s="209"/>
      <c r="J6437" s="124"/>
    </row>
    <row r="6438" spans="3:10" x14ac:dyDescent="0.2">
      <c r="C6438" s="209"/>
      <c r="D6438" s="209"/>
      <c r="E6438" s="209"/>
      <c r="J6438" s="124"/>
    </row>
    <row r="6439" spans="3:10" x14ac:dyDescent="0.2">
      <c r="C6439" s="209"/>
      <c r="D6439" s="209"/>
      <c r="E6439" s="209"/>
      <c r="J6439" s="124"/>
    </row>
    <row r="6440" spans="3:10" x14ac:dyDescent="0.2">
      <c r="C6440" s="209"/>
      <c r="D6440" s="209"/>
      <c r="E6440" s="209"/>
      <c r="J6440" s="124"/>
    </row>
    <row r="6441" spans="3:10" x14ac:dyDescent="0.2">
      <c r="C6441" s="209"/>
      <c r="D6441" s="209"/>
      <c r="E6441" s="209"/>
      <c r="J6441" s="124"/>
    </row>
    <row r="6442" spans="3:10" x14ac:dyDescent="0.2">
      <c r="C6442" s="209"/>
      <c r="D6442" s="209"/>
      <c r="E6442" s="209"/>
      <c r="J6442" s="124"/>
    </row>
    <row r="6443" spans="3:10" x14ac:dyDescent="0.2">
      <c r="C6443" s="209"/>
      <c r="D6443" s="209"/>
      <c r="E6443" s="209"/>
      <c r="J6443" s="124"/>
    </row>
    <row r="6444" spans="3:10" x14ac:dyDescent="0.2">
      <c r="C6444" s="209"/>
      <c r="D6444" s="209"/>
      <c r="E6444" s="209"/>
      <c r="J6444" s="124"/>
    </row>
    <row r="6445" spans="3:10" x14ac:dyDescent="0.2">
      <c r="C6445" s="209"/>
      <c r="D6445" s="209"/>
      <c r="E6445" s="209"/>
      <c r="J6445" s="124"/>
    </row>
    <row r="6446" spans="3:10" x14ac:dyDescent="0.2">
      <c r="C6446" s="209"/>
      <c r="D6446" s="209"/>
      <c r="E6446" s="209"/>
      <c r="J6446" s="124"/>
    </row>
    <row r="6447" spans="3:10" x14ac:dyDescent="0.2">
      <c r="C6447" s="209"/>
      <c r="D6447" s="209"/>
      <c r="E6447" s="209"/>
      <c r="J6447" s="124"/>
    </row>
    <row r="6448" spans="3:10" x14ac:dyDescent="0.2">
      <c r="C6448" s="209"/>
      <c r="D6448" s="209"/>
      <c r="E6448" s="209"/>
      <c r="J6448" s="124"/>
    </row>
    <row r="6449" spans="3:10" x14ac:dyDescent="0.2">
      <c r="C6449" s="209"/>
      <c r="D6449" s="209"/>
      <c r="E6449" s="209"/>
      <c r="J6449" s="124"/>
    </row>
    <row r="6450" spans="3:10" x14ac:dyDescent="0.2">
      <c r="C6450" s="209"/>
      <c r="D6450" s="209"/>
      <c r="E6450" s="209"/>
      <c r="J6450" s="124"/>
    </row>
    <row r="6451" spans="3:10" x14ac:dyDescent="0.2">
      <c r="C6451" s="209"/>
      <c r="D6451" s="209"/>
      <c r="E6451" s="209"/>
      <c r="J6451" s="124"/>
    </row>
    <row r="6452" spans="3:10" x14ac:dyDescent="0.2">
      <c r="C6452" s="209"/>
      <c r="D6452" s="209"/>
      <c r="E6452" s="209"/>
      <c r="J6452" s="124"/>
    </row>
    <row r="6453" spans="3:10" x14ac:dyDescent="0.2">
      <c r="C6453" s="209"/>
      <c r="D6453" s="209"/>
      <c r="E6453" s="209"/>
      <c r="J6453" s="124"/>
    </row>
    <row r="6454" spans="3:10" x14ac:dyDescent="0.2">
      <c r="C6454" s="209"/>
      <c r="D6454" s="209"/>
      <c r="E6454" s="209"/>
      <c r="J6454" s="124"/>
    </row>
    <row r="6455" spans="3:10" x14ac:dyDescent="0.2">
      <c r="C6455" s="209"/>
      <c r="D6455" s="209"/>
      <c r="E6455" s="209"/>
      <c r="J6455" s="124"/>
    </row>
    <row r="6456" spans="3:10" x14ac:dyDescent="0.2">
      <c r="C6456" s="209"/>
      <c r="D6456" s="209"/>
      <c r="E6456" s="209"/>
      <c r="J6456" s="124"/>
    </row>
    <row r="6457" spans="3:10" x14ac:dyDescent="0.2">
      <c r="C6457" s="209"/>
      <c r="D6457" s="209"/>
      <c r="E6457" s="209"/>
      <c r="J6457" s="124"/>
    </row>
    <row r="6458" spans="3:10" x14ac:dyDescent="0.2">
      <c r="C6458" s="209"/>
      <c r="D6458" s="209"/>
      <c r="E6458" s="209"/>
      <c r="J6458" s="124"/>
    </row>
    <row r="6459" spans="3:10" x14ac:dyDescent="0.2">
      <c r="C6459" s="209"/>
      <c r="D6459" s="209"/>
      <c r="E6459" s="209"/>
      <c r="J6459" s="124"/>
    </row>
    <row r="6460" spans="3:10" x14ac:dyDescent="0.2">
      <c r="C6460" s="209"/>
      <c r="D6460" s="209"/>
      <c r="E6460" s="209"/>
      <c r="J6460" s="124"/>
    </row>
    <row r="6461" spans="3:10" x14ac:dyDescent="0.2">
      <c r="C6461" s="209"/>
      <c r="D6461" s="209"/>
      <c r="E6461" s="209"/>
      <c r="J6461" s="124"/>
    </row>
    <row r="6462" spans="3:10" x14ac:dyDescent="0.2">
      <c r="C6462" s="209"/>
      <c r="D6462" s="209"/>
      <c r="E6462" s="209"/>
      <c r="J6462" s="124"/>
    </row>
    <row r="6463" spans="3:10" x14ac:dyDescent="0.2">
      <c r="C6463" s="209"/>
      <c r="D6463" s="209"/>
      <c r="E6463" s="209"/>
      <c r="J6463" s="124"/>
    </row>
    <row r="6464" spans="3:10" x14ac:dyDescent="0.2">
      <c r="C6464" s="209"/>
      <c r="D6464" s="209"/>
      <c r="E6464" s="209"/>
      <c r="J6464" s="124"/>
    </row>
    <row r="6465" spans="3:10" x14ac:dyDescent="0.2">
      <c r="C6465" s="209"/>
      <c r="D6465" s="209"/>
      <c r="E6465" s="209"/>
      <c r="J6465" s="124"/>
    </row>
    <row r="6466" spans="3:10" x14ac:dyDescent="0.2">
      <c r="C6466" s="209"/>
      <c r="D6466" s="209"/>
      <c r="E6466" s="209"/>
      <c r="J6466" s="124"/>
    </row>
    <row r="6467" spans="3:10" x14ac:dyDescent="0.2">
      <c r="C6467" s="209"/>
      <c r="D6467" s="209"/>
      <c r="E6467" s="209"/>
      <c r="J6467" s="124"/>
    </row>
    <row r="6468" spans="3:10" x14ac:dyDescent="0.2">
      <c r="C6468" s="209"/>
      <c r="D6468" s="209"/>
      <c r="E6468" s="209"/>
      <c r="J6468" s="124"/>
    </row>
    <row r="6469" spans="3:10" x14ac:dyDescent="0.2">
      <c r="C6469" s="209"/>
      <c r="D6469" s="209"/>
      <c r="E6469" s="209"/>
      <c r="J6469" s="124"/>
    </row>
    <row r="6470" spans="3:10" x14ac:dyDescent="0.2">
      <c r="C6470" s="209"/>
      <c r="D6470" s="209"/>
      <c r="E6470" s="209"/>
      <c r="J6470" s="124"/>
    </row>
    <row r="6471" spans="3:10" x14ac:dyDescent="0.2">
      <c r="C6471" s="209"/>
      <c r="D6471" s="209"/>
      <c r="E6471" s="209"/>
      <c r="J6471" s="124"/>
    </row>
    <row r="6472" spans="3:10" x14ac:dyDescent="0.2">
      <c r="C6472" s="209"/>
      <c r="D6472" s="209"/>
      <c r="E6472" s="209"/>
      <c r="J6472" s="124"/>
    </row>
    <row r="6473" spans="3:10" x14ac:dyDescent="0.2">
      <c r="C6473" s="209"/>
      <c r="D6473" s="209"/>
      <c r="E6473" s="209"/>
      <c r="J6473" s="124"/>
    </row>
    <row r="6474" spans="3:10" x14ac:dyDescent="0.2">
      <c r="C6474" s="209"/>
      <c r="D6474" s="209"/>
      <c r="E6474" s="209"/>
      <c r="J6474" s="124"/>
    </row>
    <row r="6475" spans="3:10" x14ac:dyDescent="0.2">
      <c r="C6475" s="209"/>
      <c r="D6475" s="209"/>
      <c r="E6475" s="209"/>
      <c r="J6475" s="124"/>
    </row>
    <row r="6476" spans="3:10" x14ac:dyDescent="0.2">
      <c r="C6476" s="209"/>
      <c r="D6476" s="209"/>
      <c r="E6476" s="209"/>
      <c r="J6476" s="124"/>
    </row>
    <row r="6477" spans="3:10" x14ac:dyDescent="0.2">
      <c r="C6477" s="209"/>
      <c r="D6477" s="209"/>
      <c r="E6477" s="209"/>
      <c r="J6477" s="124"/>
    </row>
    <row r="6478" spans="3:10" x14ac:dyDescent="0.2">
      <c r="C6478" s="209"/>
      <c r="D6478" s="209"/>
      <c r="E6478" s="209"/>
      <c r="J6478" s="124"/>
    </row>
    <row r="6479" spans="3:10" x14ac:dyDescent="0.2">
      <c r="C6479" s="209"/>
      <c r="D6479" s="209"/>
      <c r="E6479" s="209"/>
      <c r="J6479" s="124"/>
    </row>
    <row r="6480" spans="3:10" x14ac:dyDescent="0.2">
      <c r="C6480" s="209"/>
      <c r="D6480" s="209"/>
      <c r="E6480" s="209"/>
      <c r="J6480" s="124"/>
    </row>
    <row r="6481" spans="3:10" x14ac:dyDescent="0.2">
      <c r="C6481" s="209"/>
      <c r="D6481" s="209"/>
      <c r="E6481" s="209"/>
      <c r="J6481" s="124"/>
    </row>
    <row r="6482" spans="3:10" x14ac:dyDescent="0.2">
      <c r="C6482" s="209"/>
      <c r="D6482" s="209"/>
      <c r="E6482" s="209"/>
      <c r="J6482" s="124"/>
    </row>
    <row r="6483" spans="3:10" x14ac:dyDescent="0.2">
      <c r="C6483" s="209"/>
      <c r="D6483" s="209"/>
      <c r="E6483" s="209"/>
      <c r="J6483" s="124"/>
    </row>
    <row r="6484" spans="3:10" x14ac:dyDescent="0.2">
      <c r="C6484" s="209"/>
      <c r="D6484" s="209"/>
      <c r="E6484" s="209"/>
      <c r="J6484" s="124"/>
    </row>
    <row r="6485" spans="3:10" x14ac:dyDescent="0.2">
      <c r="C6485" s="209"/>
      <c r="D6485" s="209"/>
      <c r="E6485" s="209"/>
      <c r="J6485" s="124"/>
    </row>
    <row r="6486" spans="3:10" x14ac:dyDescent="0.2">
      <c r="C6486" s="209"/>
      <c r="D6486" s="209"/>
      <c r="E6486" s="209"/>
      <c r="J6486" s="124"/>
    </row>
    <row r="6487" spans="3:10" x14ac:dyDescent="0.2">
      <c r="C6487" s="209"/>
      <c r="D6487" s="209"/>
      <c r="E6487" s="209"/>
      <c r="J6487" s="124"/>
    </row>
    <row r="6488" spans="3:10" x14ac:dyDescent="0.2">
      <c r="C6488" s="209"/>
      <c r="D6488" s="209"/>
      <c r="E6488" s="209"/>
      <c r="J6488" s="124"/>
    </row>
    <row r="6489" spans="3:10" x14ac:dyDescent="0.2">
      <c r="C6489" s="209"/>
      <c r="D6489" s="209"/>
      <c r="E6489" s="209"/>
      <c r="J6489" s="124"/>
    </row>
    <row r="6490" spans="3:10" x14ac:dyDescent="0.2">
      <c r="C6490" s="209"/>
      <c r="D6490" s="209"/>
      <c r="E6490" s="209"/>
      <c r="J6490" s="124"/>
    </row>
    <row r="6491" spans="3:10" x14ac:dyDescent="0.2">
      <c r="C6491" s="209"/>
      <c r="D6491" s="209"/>
      <c r="E6491" s="209"/>
      <c r="J6491" s="124"/>
    </row>
    <row r="6492" spans="3:10" x14ac:dyDescent="0.2">
      <c r="C6492" s="209"/>
      <c r="D6492" s="209"/>
      <c r="E6492" s="209"/>
      <c r="J6492" s="124"/>
    </row>
    <row r="6493" spans="3:10" x14ac:dyDescent="0.2">
      <c r="C6493" s="209"/>
      <c r="D6493" s="209"/>
      <c r="E6493" s="209"/>
      <c r="J6493" s="124"/>
    </row>
    <row r="6494" spans="3:10" x14ac:dyDescent="0.2">
      <c r="C6494" s="209"/>
      <c r="D6494" s="209"/>
      <c r="E6494" s="209"/>
      <c r="J6494" s="124"/>
    </row>
    <row r="6495" spans="3:10" x14ac:dyDescent="0.2">
      <c r="C6495" s="209"/>
      <c r="D6495" s="209"/>
      <c r="E6495" s="209"/>
      <c r="J6495" s="124"/>
    </row>
    <row r="6496" spans="3:10" x14ac:dyDescent="0.2">
      <c r="C6496" s="209"/>
      <c r="D6496" s="209"/>
      <c r="E6496" s="209"/>
      <c r="J6496" s="124"/>
    </row>
    <row r="6497" spans="3:10" x14ac:dyDescent="0.2">
      <c r="C6497" s="209"/>
      <c r="D6497" s="209"/>
      <c r="E6497" s="209"/>
      <c r="J6497" s="124"/>
    </row>
    <row r="6498" spans="3:10" x14ac:dyDescent="0.2">
      <c r="C6498" s="209"/>
      <c r="D6498" s="209"/>
      <c r="E6498" s="209"/>
      <c r="J6498" s="124"/>
    </row>
    <row r="6499" spans="3:10" x14ac:dyDescent="0.2">
      <c r="C6499" s="209"/>
      <c r="D6499" s="209"/>
      <c r="E6499" s="209"/>
      <c r="J6499" s="124"/>
    </row>
    <row r="6500" spans="3:10" x14ac:dyDescent="0.2">
      <c r="C6500" s="209"/>
      <c r="D6500" s="209"/>
      <c r="E6500" s="209"/>
      <c r="J6500" s="124"/>
    </row>
    <row r="6501" spans="3:10" x14ac:dyDescent="0.2">
      <c r="C6501" s="209"/>
      <c r="D6501" s="209"/>
      <c r="E6501" s="209"/>
      <c r="J6501" s="124"/>
    </row>
    <row r="6502" spans="3:10" x14ac:dyDescent="0.2">
      <c r="C6502" s="209"/>
      <c r="D6502" s="209"/>
      <c r="E6502" s="209"/>
      <c r="J6502" s="124"/>
    </row>
    <row r="6503" spans="3:10" x14ac:dyDescent="0.2">
      <c r="C6503" s="209"/>
      <c r="D6503" s="209"/>
      <c r="E6503" s="209"/>
      <c r="J6503" s="124"/>
    </row>
    <row r="6504" spans="3:10" x14ac:dyDescent="0.2">
      <c r="C6504" s="209"/>
      <c r="D6504" s="209"/>
      <c r="E6504" s="209"/>
      <c r="J6504" s="124"/>
    </row>
    <row r="6505" spans="3:10" x14ac:dyDescent="0.2">
      <c r="C6505" s="209"/>
      <c r="D6505" s="209"/>
      <c r="E6505" s="209"/>
      <c r="J6505" s="124"/>
    </row>
    <row r="6506" spans="3:10" x14ac:dyDescent="0.2">
      <c r="C6506" s="209"/>
      <c r="D6506" s="209"/>
      <c r="E6506" s="209"/>
      <c r="J6506" s="124"/>
    </row>
    <row r="6507" spans="3:10" x14ac:dyDescent="0.2">
      <c r="C6507" s="209"/>
      <c r="D6507" s="209"/>
      <c r="E6507" s="209"/>
      <c r="J6507" s="124"/>
    </row>
    <row r="6508" spans="3:10" x14ac:dyDescent="0.2">
      <c r="C6508" s="209"/>
      <c r="D6508" s="209"/>
      <c r="E6508" s="209"/>
      <c r="J6508" s="124"/>
    </row>
    <row r="6509" spans="3:10" x14ac:dyDescent="0.2">
      <c r="C6509" s="209"/>
      <c r="D6509" s="209"/>
      <c r="E6509" s="209"/>
      <c r="J6509" s="124"/>
    </row>
    <row r="6510" spans="3:10" x14ac:dyDescent="0.2">
      <c r="C6510" s="209"/>
      <c r="D6510" s="209"/>
      <c r="E6510" s="209"/>
      <c r="J6510" s="124"/>
    </row>
    <row r="6511" spans="3:10" x14ac:dyDescent="0.2">
      <c r="C6511" s="209"/>
      <c r="D6511" s="209"/>
      <c r="E6511" s="209"/>
      <c r="J6511" s="124"/>
    </row>
    <row r="6512" spans="3:10" x14ac:dyDescent="0.2">
      <c r="C6512" s="209"/>
      <c r="D6512" s="209"/>
      <c r="E6512" s="209"/>
      <c r="J6512" s="124"/>
    </row>
    <row r="6513" spans="3:10" x14ac:dyDescent="0.2">
      <c r="C6513" s="209"/>
      <c r="D6513" s="209"/>
      <c r="E6513" s="209"/>
      <c r="J6513" s="124"/>
    </row>
    <row r="6514" spans="3:10" x14ac:dyDescent="0.2">
      <c r="C6514" s="209"/>
      <c r="D6514" s="209"/>
      <c r="E6514" s="209"/>
      <c r="J6514" s="124"/>
    </row>
    <row r="6515" spans="3:10" x14ac:dyDescent="0.2">
      <c r="C6515" s="209"/>
      <c r="D6515" s="209"/>
      <c r="E6515" s="209"/>
      <c r="J6515" s="124"/>
    </row>
    <row r="6516" spans="3:10" x14ac:dyDescent="0.2">
      <c r="C6516" s="209"/>
      <c r="D6516" s="209"/>
      <c r="E6516" s="209"/>
      <c r="J6516" s="124"/>
    </row>
    <row r="6517" spans="3:10" x14ac:dyDescent="0.2">
      <c r="C6517" s="209"/>
      <c r="D6517" s="209"/>
      <c r="E6517" s="209"/>
      <c r="J6517" s="124"/>
    </row>
    <row r="6518" spans="3:10" x14ac:dyDescent="0.2">
      <c r="C6518" s="209"/>
      <c r="D6518" s="209"/>
      <c r="E6518" s="209"/>
      <c r="J6518" s="124"/>
    </row>
    <row r="6519" spans="3:10" x14ac:dyDescent="0.2">
      <c r="C6519" s="209"/>
      <c r="D6519" s="209"/>
      <c r="E6519" s="209"/>
      <c r="J6519" s="124"/>
    </row>
    <row r="6520" spans="3:10" x14ac:dyDescent="0.2">
      <c r="C6520" s="209"/>
      <c r="D6520" s="209"/>
      <c r="E6520" s="209"/>
      <c r="J6520" s="124"/>
    </row>
    <row r="6521" spans="3:10" x14ac:dyDescent="0.2">
      <c r="C6521" s="209"/>
      <c r="D6521" s="209"/>
      <c r="E6521" s="209"/>
      <c r="J6521" s="124"/>
    </row>
    <row r="6522" spans="3:10" x14ac:dyDescent="0.2">
      <c r="C6522" s="209"/>
      <c r="D6522" s="209"/>
      <c r="E6522" s="209"/>
      <c r="J6522" s="124"/>
    </row>
    <row r="6523" spans="3:10" x14ac:dyDescent="0.2">
      <c r="C6523" s="209"/>
      <c r="D6523" s="209"/>
      <c r="E6523" s="209"/>
      <c r="J6523" s="124"/>
    </row>
    <row r="6524" spans="3:10" x14ac:dyDescent="0.2">
      <c r="C6524" s="209"/>
      <c r="D6524" s="209"/>
      <c r="E6524" s="209"/>
      <c r="J6524" s="124"/>
    </row>
    <row r="6525" spans="3:10" x14ac:dyDescent="0.2">
      <c r="C6525" s="209"/>
      <c r="D6525" s="209"/>
      <c r="E6525" s="209"/>
      <c r="J6525" s="124"/>
    </row>
    <row r="6526" spans="3:10" x14ac:dyDescent="0.2">
      <c r="C6526" s="209"/>
      <c r="D6526" s="209"/>
      <c r="E6526" s="209"/>
      <c r="J6526" s="124"/>
    </row>
    <row r="6527" spans="3:10" x14ac:dyDescent="0.2">
      <c r="C6527" s="209"/>
      <c r="D6527" s="209"/>
      <c r="E6527" s="209"/>
      <c r="J6527" s="124"/>
    </row>
    <row r="6528" spans="3:10" x14ac:dyDescent="0.2">
      <c r="C6528" s="209"/>
      <c r="D6528" s="209"/>
      <c r="E6528" s="209"/>
      <c r="J6528" s="124"/>
    </row>
    <row r="6529" spans="3:10" x14ac:dyDescent="0.2">
      <c r="C6529" s="209"/>
      <c r="D6529" s="209"/>
      <c r="E6529" s="209"/>
      <c r="J6529" s="124"/>
    </row>
    <row r="6530" spans="3:10" x14ac:dyDescent="0.2">
      <c r="C6530" s="209"/>
      <c r="D6530" s="209"/>
      <c r="E6530" s="209"/>
      <c r="J6530" s="124"/>
    </row>
    <row r="6531" spans="3:10" x14ac:dyDescent="0.2">
      <c r="C6531" s="209"/>
      <c r="D6531" s="209"/>
      <c r="E6531" s="209"/>
      <c r="J6531" s="124"/>
    </row>
    <row r="6532" spans="3:10" x14ac:dyDescent="0.2">
      <c r="C6532" s="209"/>
      <c r="D6532" s="209"/>
      <c r="E6532" s="209"/>
      <c r="J6532" s="124"/>
    </row>
    <row r="6533" spans="3:10" x14ac:dyDescent="0.2">
      <c r="C6533" s="209"/>
      <c r="D6533" s="209"/>
      <c r="E6533" s="209"/>
      <c r="J6533" s="124"/>
    </row>
    <row r="6534" spans="3:10" x14ac:dyDescent="0.2">
      <c r="C6534" s="209"/>
      <c r="D6534" s="209"/>
      <c r="E6534" s="209"/>
      <c r="J6534" s="124"/>
    </row>
    <row r="6535" spans="3:10" x14ac:dyDescent="0.2">
      <c r="C6535" s="209"/>
      <c r="D6535" s="209"/>
      <c r="E6535" s="209"/>
      <c r="J6535" s="124"/>
    </row>
    <row r="6536" spans="3:10" x14ac:dyDescent="0.2">
      <c r="C6536" s="209"/>
      <c r="D6536" s="209"/>
      <c r="E6536" s="209"/>
      <c r="J6536" s="124"/>
    </row>
    <row r="6537" spans="3:10" x14ac:dyDescent="0.2">
      <c r="C6537" s="209"/>
      <c r="D6537" s="209"/>
      <c r="E6537" s="209"/>
      <c r="J6537" s="124"/>
    </row>
    <row r="6538" spans="3:10" x14ac:dyDescent="0.2">
      <c r="C6538" s="209"/>
      <c r="D6538" s="209"/>
      <c r="E6538" s="209"/>
      <c r="J6538" s="124"/>
    </row>
    <row r="6539" spans="3:10" x14ac:dyDescent="0.2">
      <c r="C6539" s="209"/>
      <c r="D6539" s="209"/>
      <c r="E6539" s="209"/>
      <c r="J6539" s="124"/>
    </row>
    <row r="6540" spans="3:10" x14ac:dyDescent="0.2">
      <c r="C6540" s="209"/>
      <c r="D6540" s="209"/>
      <c r="E6540" s="209"/>
      <c r="J6540" s="124"/>
    </row>
    <row r="6541" spans="3:10" x14ac:dyDescent="0.2">
      <c r="C6541" s="209"/>
      <c r="D6541" s="209"/>
      <c r="E6541" s="209"/>
      <c r="J6541" s="124"/>
    </row>
    <row r="6542" spans="3:10" x14ac:dyDescent="0.2">
      <c r="C6542" s="209"/>
      <c r="D6542" s="209"/>
      <c r="E6542" s="209"/>
      <c r="J6542" s="124"/>
    </row>
    <row r="6543" spans="3:10" x14ac:dyDescent="0.2">
      <c r="C6543" s="209"/>
      <c r="D6543" s="209"/>
      <c r="E6543" s="209"/>
      <c r="J6543" s="124"/>
    </row>
    <row r="6544" spans="3:10" x14ac:dyDescent="0.2">
      <c r="C6544" s="209"/>
      <c r="D6544" s="209"/>
      <c r="E6544" s="209"/>
      <c r="J6544" s="124"/>
    </row>
    <row r="6545" spans="3:10" x14ac:dyDescent="0.2">
      <c r="C6545" s="209"/>
      <c r="D6545" s="209"/>
      <c r="E6545" s="209"/>
      <c r="J6545" s="124"/>
    </row>
    <row r="6546" spans="3:10" x14ac:dyDescent="0.2">
      <c r="C6546" s="209"/>
      <c r="D6546" s="209"/>
      <c r="E6546" s="209"/>
      <c r="J6546" s="124"/>
    </row>
    <row r="6547" spans="3:10" x14ac:dyDescent="0.2">
      <c r="C6547" s="209"/>
      <c r="D6547" s="209"/>
      <c r="E6547" s="209"/>
      <c r="J6547" s="124"/>
    </row>
    <row r="6548" spans="3:10" x14ac:dyDescent="0.2">
      <c r="C6548" s="209"/>
      <c r="D6548" s="209"/>
      <c r="E6548" s="209"/>
      <c r="J6548" s="124"/>
    </row>
    <row r="6549" spans="3:10" x14ac:dyDescent="0.2">
      <c r="C6549" s="209"/>
      <c r="D6549" s="209"/>
      <c r="E6549" s="209"/>
      <c r="J6549" s="124"/>
    </row>
    <row r="6550" spans="3:10" x14ac:dyDescent="0.2">
      <c r="C6550" s="209"/>
      <c r="D6550" s="209"/>
      <c r="E6550" s="209"/>
      <c r="J6550" s="124"/>
    </row>
    <row r="6551" spans="3:10" x14ac:dyDescent="0.2">
      <c r="C6551" s="209"/>
      <c r="D6551" s="209"/>
      <c r="E6551" s="209"/>
      <c r="J6551" s="124"/>
    </row>
    <row r="6552" spans="3:10" x14ac:dyDescent="0.2">
      <c r="C6552" s="209"/>
      <c r="D6552" s="209"/>
      <c r="E6552" s="209"/>
      <c r="J6552" s="124"/>
    </row>
    <row r="6553" spans="3:10" x14ac:dyDescent="0.2">
      <c r="C6553" s="209"/>
      <c r="D6553" s="209"/>
      <c r="E6553" s="209"/>
      <c r="J6553" s="124"/>
    </row>
    <row r="6554" spans="3:10" x14ac:dyDescent="0.2">
      <c r="C6554" s="209"/>
      <c r="D6554" s="209"/>
      <c r="E6554" s="209"/>
      <c r="J6554" s="124"/>
    </row>
    <row r="6555" spans="3:10" x14ac:dyDescent="0.2">
      <c r="C6555" s="209"/>
      <c r="D6555" s="209"/>
      <c r="E6555" s="209"/>
      <c r="J6555" s="124"/>
    </row>
    <row r="6556" spans="3:10" x14ac:dyDescent="0.2">
      <c r="C6556" s="209"/>
      <c r="D6556" s="209"/>
      <c r="E6556" s="209"/>
      <c r="J6556" s="124"/>
    </row>
    <row r="6557" spans="3:10" x14ac:dyDescent="0.2">
      <c r="C6557" s="209"/>
      <c r="D6557" s="209"/>
      <c r="E6557" s="209"/>
      <c r="J6557" s="124"/>
    </row>
    <row r="6558" spans="3:10" x14ac:dyDescent="0.2">
      <c r="C6558" s="209"/>
      <c r="D6558" s="209"/>
      <c r="E6558" s="209"/>
      <c r="J6558" s="124"/>
    </row>
    <row r="6559" spans="3:10" x14ac:dyDescent="0.2">
      <c r="C6559" s="209"/>
      <c r="D6559" s="209"/>
      <c r="E6559" s="209"/>
      <c r="J6559" s="124"/>
    </row>
    <row r="6560" spans="3:10" x14ac:dyDescent="0.2">
      <c r="C6560" s="209"/>
      <c r="D6560" s="209"/>
      <c r="E6560" s="209"/>
      <c r="J6560" s="124"/>
    </row>
    <row r="6561" spans="3:10" x14ac:dyDescent="0.2">
      <c r="C6561" s="209"/>
      <c r="D6561" s="209"/>
      <c r="E6561" s="209"/>
      <c r="J6561" s="124"/>
    </row>
    <row r="6562" spans="3:10" x14ac:dyDescent="0.2">
      <c r="C6562" s="209"/>
      <c r="D6562" s="209"/>
      <c r="E6562" s="209"/>
      <c r="J6562" s="124"/>
    </row>
    <row r="6563" spans="3:10" x14ac:dyDescent="0.2">
      <c r="C6563" s="209"/>
      <c r="D6563" s="209"/>
      <c r="E6563" s="209"/>
      <c r="J6563" s="124"/>
    </row>
    <row r="6564" spans="3:10" x14ac:dyDescent="0.2">
      <c r="C6564" s="209"/>
      <c r="D6564" s="209"/>
      <c r="E6564" s="209"/>
      <c r="J6564" s="124"/>
    </row>
    <row r="6565" spans="3:10" x14ac:dyDescent="0.2">
      <c r="C6565" s="209"/>
      <c r="D6565" s="209"/>
      <c r="E6565" s="209"/>
      <c r="J6565" s="124"/>
    </row>
    <row r="6566" spans="3:10" x14ac:dyDescent="0.2">
      <c r="C6566" s="209"/>
      <c r="D6566" s="209"/>
      <c r="E6566" s="209"/>
      <c r="J6566" s="124"/>
    </row>
    <row r="6567" spans="3:10" x14ac:dyDescent="0.2">
      <c r="C6567" s="209"/>
      <c r="D6567" s="209"/>
      <c r="E6567" s="209"/>
      <c r="J6567" s="124"/>
    </row>
    <row r="6568" spans="3:10" x14ac:dyDescent="0.2">
      <c r="C6568" s="209"/>
      <c r="D6568" s="209"/>
      <c r="E6568" s="209"/>
      <c r="J6568" s="124"/>
    </row>
    <row r="6569" spans="3:10" x14ac:dyDescent="0.2">
      <c r="C6569" s="209"/>
      <c r="D6569" s="209"/>
      <c r="E6569" s="209"/>
      <c r="J6569" s="124"/>
    </row>
    <row r="6570" spans="3:10" x14ac:dyDescent="0.2">
      <c r="C6570" s="209"/>
      <c r="D6570" s="209"/>
      <c r="E6570" s="209"/>
      <c r="J6570" s="124"/>
    </row>
    <row r="6571" spans="3:10" x14ac:dyDescent="0.2">
      <c r="C6571" s="209"/>
      <c r="D6571" s="209"/>
      <c r="E6571" s="209"/>
      <c r="J6571" s="124"/>
    </row>
    <row r="6572" spans="3:10" x14ac:dyDescent="0.2">
      <c r="C6572" s="209"/>
      <c r="D6572" s="209"/>
      <c r="E6572" s="209"/>
      <c r="J6572" s="124"/>
    </row>
    <row r="6573" spans="3:10" x14ac:dyDescent="0.2">
      <c r="C6573" s="209"/>
      <c r="D6573" s="209"/>
      <c r="E6573" s="209"/>
      <c r="J6573" s="124"/>
    </row>
    <row r="6574" spans="3:10" x14ac:dyDescent="0.2">
      <c r="C6574" s="209"/>
      <c r="D6574" s="209"/>
      <c r="E6574" s="209"/>
      <c r="J6574" s="124"/>
    </row>
    <row r="6575" spans="3:10" x14ac:dyDescent="0.2">
      <c r="C6575" s="209"/>
      <c r="D6575" s="209"/>
      <c r="E6575" s="209"/>
      <c r="J6575" s="124"/>
    </row>
    <row r="6576" spans="3:10" x14ac:dyDescent="0.2">
      <c r="C6576" s="209"/>
      <c r="D6576" s="209"/>
      <c r="E6576" s="209"/>
      <c r="J6576" s="124"/>
    </row>
    <row r="6577" spans="3:10" x14ac:dyDescent="0.2">
      <c r="C6577" s="209"/>
      <c r="D6577" s="209"/>
      <c r="E6577" s="209"/>
      <c r="J6577" s="124"/>
    </row>
    <row r="6578" spans="3:10" x14ac:dyDescent="0.2">
      <c r="C6578" s="209"/>
      <c r="D6578" s="209"/>
      <c r="E6578" s="209"/>
      <c r="J6578" s="124"/>
    </row>
    <row r="6579" spans="3:10" x14ac:dyDescent="0.2">
      <c r="C6579" s="209"/>
      <c r="D6579" s="209"/>
      <c r="E6579" s="209"/>
      <c r="J6579" s="124"/>
    </row>
    <row r="6580" spans="3:10" x14ac:dyDescent="0.2">
      <c r="C6580" s="209"/>
      <c r="D6580" s="209"/>
      <c r="E6580" s="209"/>
      <c r="J6580" s="124"/>
    </row>
    <row r="6581" spans="3:10" x14ac:dyDescent="0.2">
      <c r="C6581" s="209"/>
      <c r="D6581" s="209"/>
      <c r="E6581" s="209"/>
      <c r="J6581" s="124"/>
    </row>
    <row r="6582" spans="3:10" x14ac:dyDescent="0.2">
      <c r="C6582" s="209"/>
      <c r="D6582" s="209"/>
      <c r="E6582" s="209"/>
      <c r="J6582" s="124"/>
    </row>
    <row r="6583" spans="3:10" x14ac:dyDescent="0.2">
      <c r="C6583" s="209"/>
      <c r="D6583" s="209"/>
      <c r="E6583" s="209"/>
      <c r="J6583" s="124"/>
    </row>
    <row r="6584" spans="3:10" x14ac:dyDescent="0.2">
      <c r="C6584" s="209"/>
      <c r="D6584" s="209"/>
      <c r="E6584" s="209"/>
      <c r="J6584" s="124"/>
    </row>
    <row r="6585" spans="3:10" x14ac:dyDescent="0.2">
      <c r="C6585" s="209"/>
      <c r="D6585" s="209"/>
      <c r="E6585" s="209"/>
      <c r="J6585" s="124"/>
    </row>
    <row r="6586" spans="3:10" x14ac:dyDescent="0.2">
      <c r="C6586" s="209"/>
      <c r="D6586" s="209"/>
      <c r="E6586" s="209"/>
      <c r="J6586" s="124"/>
    </row>
    <row r="6587" spans="3:10" x14ac:dyDescent="0.2">
      <c r="C6587" s="209"/>
      <c r="D6587" s="209"/>
      <c r="E6587" s="209"/>
      <c r="J6587" s="124"/>
    </row>
    <row r="6588" spans="3:10" x14ac:dyDescent="0.2">
      <c r="C6588" s="209"/>
      <c r="D6588" s="209"/>
      <c r="E6588" s="209"/>
      <c r="J6588" s="124"/>
    </row>
    <row r="6589" spans="3:10" x14ac:dyDescent="0.2">
      <c r="C6589" s="209"/>
      <c r="D6589" s="209"/>
      <c r="E6589" s="209"/>
      <c r="J6589" s="124"/>
    </row>
    <row r="6590" spans="3:10" x14ac:dyDescent="0.2">
      <c r="C6590" s="209"/>
      <c r="D6590" s="209"/>
      <c r="E6590" s="209"/>
      <c r="J6590" s="124"/>
    </row>
    <row r="6591" spans="3:10" x14ac:dyDescent="0.2">
      <c r="C6591" s="209"/>
      <c r="D6591" s="209"/>
      <c r="E6591" s="209"/>
      <c r="J6591" s="124"/>
    </row>
    <row r="6592" spans="3:10" x14ac:dyDescent="0.2">
      <c r="C6592" s="209"/>
      <c r="D6592" s="209"/>
      <c r="E6592" s="209"/>
      <c r="J6592" s="124"/>
    </row>
    <row r="6593" spans="3:10" x14ac:dyDescent="0.2">
      <c r="C6593" s="209"/>
      <c r="D6593" s="209"/>
      <c r="E6593" s="209"/>
      <c r="J6593" s="124"/>
    </row>
    <row r="6594" spans="3:10" x14ac:dyDescent="0.2">
      <c r="C6594" s="209"/>
      <c r="D6594" s="209"/>
      <c r="E6594" s="209"/>
      <c r="J6594" s="124"/>
    </row>
    <row r="6595" spans="3:10" x14ac:dyDescent="0.2">
      <c r="C6595" s="209"/>
      <c r="D6595" s="209"/>
      <c r="E6595" s="209"/>
      <c r="J6595" s="124"/>
    </row>
    <row r="6596" spans="3:10" x14ac:dyDescent="0.2">
      <c r="C6596" s="209"/>
      <c r="D6596" s="209"/>
      <c r="E6596" s="209"/>
      <c r="J6596" s="124"/>
    </row>
    <row r="6597" spans="3:10" x14ac:dyDescent="0.2">
      <c r="C6597" s="209"/>
      <c r="D6597" s="209"/>
      <c r="E6597" s="209"/>
      <c r="J6597" s="124"/>
    </row>
    <row r="6598" spans="3:10" x14ac:dyDescent="0.2">
      <c r="C6598" s="209"/>
      <c r="D6598" s="209"/>
      <c r="E6598" s="209"/>
      <c r="J6598" s="124"/>
    </row>
    <row r="6599" spans="3:10" x14ac:dyDescent="0.2">
      <c r="C6599" s="209"/>
      <c r="D6599" s="209"/>
      <c r="E6599" s="209"/>
      <c r="J6599" s="124"/>
    </row>
    <row r="6600" spans="3:10" x14ac:dyDescent="0.2">
      <c r="C6600" s="209"/>
      <c r="D6600" s="209"/>
      <c r="E6600" s="209"/>
      <c r="J6600" s="124"/>
    </row>
    <row r="6601" spans="3:10" x14ac:dyDescent="0.2">
      <c r="C6601" s="209"/>
      <c r="D6601" s="209"/>
      <c r="E6601" s="209"/>
      <c r="J6601" s="124"/>
    </row>
    <row r="6602" spans="3:10" x14ac:dyDescent="0.2">
      <c r="C6602" s="209"/>
      <c r="D6602" s="209"/>
      <c r="E6602" s="209"/>
      <c r="J6602" s="124"/>
    </row>
    <row r="6603" spans="3:10" x14ac:dyDescent="0.2">
      <c r="C6603" s="209"/>
      <c r="D6603" s="209"/>
      <c r="E6603" s="209"/>
      <c r="J6603" s="124"/>
    </row>
    <row r="6604" spans="3:10" x14ac:dyDescent="0.2">
      <c r="C6604" s="209"/>
      <c r="D6604" s="209"/>
      <c r="E6604" s="209"/>
      <c r="J6604" s="124"/>
    </row>
    <row r="6605" spans="3:10" x14ac:dyDescent="0.2">
      <c r="C6605" s="209"/>
      <c r="D6605" s="209"/>
      <c r="E6605" s="209"/>
      <c r="J6605" s="124"/>
    </row>
    <row r="6606" spans="3:10" x14ac:dyDescent="0.2">
      <c r="C6606" s="209"/>
      <c r="D6606" s="209"/>
      <c r="E6606" s="209"/>
      <c r="J6606" s="124"/>
    </row>
    <row r="6607" spans="3:10" x14ac:dyDescent="0.2">
      <c r="C6607" s="209"/>
      <c r="D6607" s="209"/>
      <c r="E6607" s="209"/>
      <c r="J6607" s="124"/>
    </row>
    <row r="6608" spans="3:10" x14ac:dyDescent="0.2">
      <c r="C6608" s="209"/>
      <c r="D6608" s="209"/>
      <c r="E6608" s="209"/>
      <c r="J6608" s="124"/>
    </row>
    <row r="6609" spans="3:10" x14ac:dyDescent="0.2">
      <c r="C6609" s="209"/>
      <c r="D6609" s="209"/>
      <c r="E6609" s="209"/>
      <c r="J6609" s="124"/>
    </row>
    <row r="6610" spans="3:10" x14ac:dyDescent="0.2">
      <c r="C6610" s="209"/>
      <c r="D6610" s="209"/>
      <c r="E6610" s="209"/>
      <c r="J6610" s="124"/>
    </row>
    <row r="6611" spans="3:10" x14ac:dyDescent="0.2">
      <c r="C6611" s="209"/>
      <c r="D6611" s="209"/>
      <c r="E6611" s="209"/>
      <c r="J6611" s="124"/>
    </row>
    <row r="6612" spans="3:10" x14ac:dyDescent="0.2">
      <c r="C6612" s="209"/>
      <c r="D6612" s="209"/>
      <c r="E6612" s="209"/>
      <c r="J6612" s="124"/>
    </row>
    <row r="6613" spans="3:10" x14ac:dyDescent="0.2">
      <c r="C6613" s="209"/>
      <c r="D6613" s="209"/>
      <c r="E6613" s="209"/>
      <c r="J6613" s="124"/>
    </row>
    <row r="6614" spans="3:10" x14ac:dyDescent="0.2">
      <c r="C6614" s="209"/>
      <c r="D6614" s="209"/>
      <c r="E6614" s="209"/>
      <c r="J6614" s="124"/>
    </row>
    <row r="6615" spans="3:10" x14ac:dyDescent="0.2">
      <c r="C6615" s="209"/>
      <c r="D6615" s="209"/>
      <c r="E6615" s="209"/>
      <c r="J6615" s="124"/>
    </row>
    <row r="6616" spans="3:10" x14ac:dyDescent="0.2">
      <c r="C6616" s="209"/>
      <c r="D6616" s="209"/>
      <c r="E6616" s="209"/>
      <c r="J6616" s="124"/>
    </row>
    <row r="6617" spans="3:10" x14ac:dyDescent="0.2">
      <c r="C6617" s="209"/>
      <c r="D6617" s="209"/>
      <c r="E6617" s="209"/>
      <c r="J6617" s="124"/>
    </row>
    <row r="6618" spans="3:10" x14ac:dyDescent="0.2">
      <c r="C6618" s="209"/>
      <c r="D6618" s="209"/>
      <c r="E6618" s="209"/>
      <c r="J6618" s="124"/>
    </row>
    <row r="6619" spans="3:10" x14ac:dyDescent="0.2">
      <c r="C6619" s="209"/>
      <c r="D6619" s="209"/>
      <c r="E6619" s="209"/>
      <c r="J6619" s="124"/>
    </row>
    <row r="6620" spans="3:10" x14ac:dyDescent="0.2">
      <c r="C6620" s="209"/>
      <c r="D6620" s="209"/>
      <c r="E6620" s="209"/>
      <c r="J6620" s="124"/>
    </row>
    <row r="6621" spans="3:10" x14ac:dyDescent="0.2">
      <c r="C6621" s="209"/>
      <c r="D6621" s="209"/>
      <c r="E6621" s="209"/>
      <c r="J6621" s="124"/>
    </row>
    <row r="6622" spans="3:10" x14ac:dyDescent="0.2">
      <c r="C6622" s="209"/>
      <c r="D6622" s="209"/>
      <c r="E6622" s="209"/>
      <c r="J6622" s="124"/>
    </row>
    <row r="6623" spans="3:10" x14ac:dyDescent="0.2">
      <c r="C6623" s="209"/>
      <c r="D6623" s="209"/>
      <c r="E6623" s="209"/>
      <c r="J6623" s="124"/>
    </row>
    <row r="6624" spans="3:10" x14ac:dyDescent="0.2">
      <c r="C6624" s="209"/>
      <c r="D6624" s="209"/>
      <c r="E6624" s="209"/>
      <c r="J6624" s="124"/>
    </row>
    <row r="6625" spans="3:10" x14ac:dyDescent="0.2">
      <c r="C6625" s="209"/>
      <c r="D6625" s="209"/>
      <c r="E6625" s="209"/>
      <c r="J6625" s="124"/>
    </row>
    <row r="6626" spans="3:10" x14ac:dyDescent="0.2">
      <c r="C6626" s="209"/>
      <c r="D6626" s="209"/>
      <c r="E6626" s="209"/>
      <c r="J6626" s="124"/>
    </row>
    <row r="6627" spans="3:10" x14ac:dyDescent="0.2">
      <c r="C6627" s="209"/>
      <c r="D6627" s="209"/>
      <c r="E6627" s="209"/>
      <c r="J6627" s="124"/>
    </row>
    <row r="6628" spans="3:10" x14ac:dyDescent="0.2">
      <c r="C6628" s="209"/>
      <c r="D6628" s="209"/>
      <c r="E6628" s="209"/>
      <c r="J6628" s="124"/>
    </row>
    <row r="6629" spans="3:10" x14ac:dyDescent="0.2">
      <c r="C6629" s="209"/>
      <c r="D6629" s="209"/>
      <c r="E6629" s="209"/>
      <c r="J6629" s="124"/>
    </row>
    <row r="6630" spans="3:10" x14ac:dyDescent="0.2">
      <c r="C6630" s="209"/>
      <c r="D6630" s="209"/>
      <c r="E6630" s="209"/>
      <c r="J6630" s="124"/>
    </row>
    <row r="6631" spans="3:10" x14ac:dyDescent="0.2">
      <c r="C6631" s="209"/>
      <c r="D6631" s="209"/>
      <c r="E6631" s="209"/>
      <c r="J6631" s="124"/>
    </row>
    <row r="6632" spans="3:10" x14ac:dyDescent="0.2">
      <c r="C6632" s="209"/>
      <c r="D6632" s="209"/>
      <c r="E6632" s="209"/>
      <c r="J6632" s="124"/>
    </row>
    <row r="6633" spans="3:10" x14ac:dyDescent="0.2">
      <c r="C6633" s="209"/>
      <c r="D6633" s="209"/>
      <c r="E6633" s="209"/>
      <c r="J6633" s="124"/>
    </row>
    <row r="6634" spans="3:10" x14ac:dyDescent="0.2">
      <c r="C6634" s="209"/>
      <c r="D6634" s="209"/>
      <c r="E6634" s="209"/>
      <c r="J6634" s="124"/>
    </row>
    <row r="6635" spans="3:10" x14ac:dyDescent="0.2">
      <c r="C6635" s="209"/>
      <c r="D6635" s="209"/>
      <c r="E6635" s="209"/>
      <c r="J6635" s="124"/>
    </row>
    <row r="6636" spans="3:10" x14ac:dyDescent="0.2">
      <c r="C6636" s="209"/>
      <c r="D6636" s="209"/>
      <c r="E6636" s="209"/>
      <c r="J6636" s="124"/>
    </row>
    <row r="6637" spans="3:10" x14ac:dyDescent="0.2">
      <c r="C6637" s="209"/>
      <c r="D6637" s="209"/>
      <c r="E6637" s="209"/>
      <c r="J6637" s="124"/>
    </row>
    <row r="6638" spans="3:10" x14ac:dyDescent="0.2">
      <c r="C6638" s="209"/>
      <c r="D6638" s="209"/>
      <c r="E6638" s="209"/>
      <c r="J6638" s="124"/>
    </row>
    <row r="6639" spans="3:10" x14ac:dyDescent="0.2">
      <c r="C6639" s="209"/>
      <c r="D6639" s="209"/>
      <c r="E6639" s="209"/>
      <c r="J6639" s="124"/>
    </row>
    <row r="6640" spans="3:10" x14ac:dyDescent="0.2">
      <c r="C6640" s="209"/>
      <c r="D6640" s="209"/>
      <c r="E6640" s="209"/>
      <c r="J6640" s="124"/>
    </row>
    <row r="6641" spans="3:10" x14ac:dyDescent="0.2">
      <c r="C6641" s="209"/>
      <c r="D6641" s="209"/>
      <c r="E6641" s="209"/>
      <c r="J6641" s="124"/>
    </row>
    <row r="6642" spans="3:10" x14ac:dyDescent="0.2">
      <c r="C6642" s="209"/>
      <c r="D6642" s="209"/>
      <c r="E6642" s="209"/>
      <c r="J6642" s="124"/>
    </row>
    <row r="6643" spans="3:10" x14ac:dyDescent="0.2">
      <c r="C6643" s="209"/>
      <c r="D6643" s="209"/>
      <c r="E6643" s="209"/>
      <c r="J6643" s="124"/>
    </row>
    <row r="6644" spans="3:10" x14ac:dyDescent="0.2">
      <c r="C6644" s="209"/>
      <c r="D6644" s="209"/>
      <c r="E6644" s="209"/>
      <c r="J6644" s="124"/>
    </row>
    <row r="6645" spans="3:10" x14ac:dyDescent="0.2">
      <c r="C6645" s="209"/>
      <c r="D6645" s="209"/>
      <c r="E6645" s="209"/>
      <c r="J6645" s="124"/>
    </row>
    <row r="6646" spans="3:10" x14ac:dyDescent="0.2">
      <c r="C6646" s="209"/>
      <c r="D6646" s="209"/>
      <c r="E6646" s="209"/>
      <c r="J6646" s="124"/>
    </row>
    <row r="6647" spans="3:10" x14ac:dyDescent="0.2">
      <c r="C6647" s="209"/>
      <c r="D6647" s="209"/>
      <c r="E6647" s="209"/>
      <c r="J6647" s="124"/>
    </row>
    <row r="6648" spans="3:10" x14ac:dyDescent="0.2">
      <c r="C6648" s="209"/>
      <c r="D6648" s="209"/>
      <c r="E6648" s="209"/>
      <c r="J6648" s="124"/>
    </row>
    <row r="6649" spans="3:10" x14ac:dyDescent="0.2">
      <c r="C6649" s="209"/>
      <c r="D6649" s="209"/>
      <c r="E6649" s="209"/>
      <c r="J6649" s="124"/>
    </row>
    <row r="6650" spans="3:10" x14ac:dyDescent="0.2">
      <c r="C6650" s="209"/>
      <c r="D6650" s="209"/>
      <c r="E6650" s="209"/>
      <c r="J6650" s="124"/>
    </row>
    <row r="6651" spans="3:10" x14ac:dyDescent="0.2">
      <c r="C6651" s="209"/>
      <c r="D6651" s="209"/>
      <c r="E6651" s="209"/>
      <c r="J6651" s="124"/>
    </row>
    <row r="6652" spans="3:10" x14ac:dyDescent="0.2">
      <c r="C6652" s="209"/>
      <c r="D6652" s="209"/>
      <c r="E6652" s="209"/>
      <c r="J6652" s="124"/>
    </row>
    <row r="6653" spans="3:10" x14ac:dyDescent="0.2">
      <c r="C6653" s="209"/>
      <c r="D6653" s="209"/>
      <c r="E6653" s="209"/>
      <c r="J6653" s="124"/>
    </row>
    <row r="6654" spans="3:10" x14ac:dyDescent="0.2">
      <c r="C6654" s="209"/>
      <c r="D6654" s="209"/>
      <c r="E6654" s="209"/>
      <c r="J6654" s="124"/>
    </row>
    <row r="6655" spans="3:10" x14ac:dyDescent="0.2">
      <c r="C6655" s="209"/>
      <c r="D6655" s="209"/>
      <c r="E6655" s="209"/>
      <c r="J6655" s="124"/>
    </row>
    <row r="6656" spans="3:10" x14ac:dyDescent="0.2">
      <c r="C6656" s="209"/>
      <c r="D6656" s="209"/>
      <c r="E6656" s="209"/>
      <c r="J6656" s="124"/>
    </row>
    <row r="6657" spans="3:10" x14ac:dyDescent="0.2">
      <c r="C6657" s="209"/>
      <c r="D6657" s="209"/>
      <c r="E6657" s="209"/>
      <c r="J6657" s="124"/>
    </row>
    <row r="6658" spans="3:10" x14ac:dyDescent="0.2">
      <c r="C6658" s="209"/>
      <c r="D6658" s="209"/>
      <c r="E6658" s="209"/>
      <c r="J6658" s="124"/>
    </row>
    <row r="6659" spans="3:10" x14ac:dyDescent="0.2">
      <c r="C6659" s="209"/>
      <c r="D6659" s="209"/>
      <c r="E6659" s="209"/>
      <c r="J6659" s="124"/>
    </row>
    <row r="6660" spans="3:10" x14ac:dyDescent="0.2">
      <c r="C6660" s="209"/>
      <c r="D6660" s="209"/>
      <c r="E6660" s="209"/>
      <c r="J6660" s="124"/>
    </row>
    <row r="6661" spans="3:10" x14ac:dyDescent="0.2">
      <c r="C6661" s="209"/>
      <c r="D6661" s="209"/>
      <c r="E6661" s="209"/>
      <c r="J6661" s="124"/>
    </row>
    <row r="6662" spans="3:10" x14ac:dyDescent="0.2">
      <c r="C6662" s="209"/>
      <c r="D6662" s="209"/>
      <c r="E6662" s="209"/>
      <c r="J6662" s="124"/>
    </row>
    <row r="6663" spans="3:10" x14ac:dyDescent="0.2">
      <c r="C6663" s="209"/>
      <c r="D6663" s="209"/>
      <c r="E6663" s="209"/>
      <c r="J6663" s="124"/>
    </row>
    <row r="6664" spans="3:10" x14ac:dyDescent="0.2">
      <c r="C6664" s="209"/>
      <c r="D6664" s="209"/>
      <c r="E6664" s="209"/>
      <c r="J6664" s="124"/>
    </row>
    <row r="6665" spans="3:10" x14ac:dyDescent="0.2">
      <c r="C6665" s="209"/>
      <c r="D6665" s="209"/>
      <c r="E6665" s="209"/>
      <c r="J6665" s="124"/>
    </row>
    <row r="6666" spans="3:10" x14ac:dyDescent="0.2">
      <c r="C6666" s="209"/>
      <c r="D6666" s="209"/>
      <c r="E6666" s="209"/>
      <c r="J6666" s="124"/>
    </row>
    <row r="6667" spans="3:10" x14ac:dyDescent="0.2">
      <c r="C6667" s="209"/>
      <c r="D6667" s="209"/>
      <c r="E6667" s="209"/>
      <c r="J6667" s="124"/>
    </row>
    <row r="6668" spans="3:10" x14ac:dyDescent="0.2">
      <c r="C6668" s="209"/>
      <c r="D6668" s="209"/>
      <c r="E6668" s="209"/>
      <c r="J6668" s="124"/>
    </row>
    <row r="6669" spans="3:10" x14ac:dyDescent="0.2">
      <c r="C6669" s="209"/>
      <c r="D6669" s="209"/>
      <c r="E6669" s="209"/>
      <c r="J6669" s="124"/>
    </row>
    <row r="6670" spans="3:10" x14ac:dyDescent="0.2">
      <c r="C6670" s="209"/>
      <c r="D6670" s="209"/>
      <c r="E6670" s="209"/>
      <c r="J6670" s="124"/>
    </row>
    <row r="6671" spans="3:10" x14ac:dyDescent="0.2">
      <c r="C6671" s="209"/>
      <c r="D6671" s="209"/>
      <c r="E6671" s="209"/>
      <c r="J6671" s="124"/>
    </row>
    <row r="6672" spans="3:10" x14ac:dyDescent="0.2">
      <c r="C6672" s="209"/>
      <c r="D6672" s="209"/>
      <c r="E6672" s="209"/>
      <c r="J6672" s="124"/>
    </row>
    <row r="6673" spans="3:10" x14ac:dyDescent="0.2">
      <c r="C6673" s="209"/>
      <c r="D6673" s="209"/>
      <c r="E6673" s="209"/>
      <c r="J6673" s="124"/>
    </row>
    <row r="6674" spans="3:10" x14ac:dyDescent="0.2">
      <c r="C6674" s="209"/>
      <c r="D6674" s="209"/>
      <c r="E6674" s="209"/>
      <c r="J6674" s="124"/>
    </row>
    <row r="6675" spans="3:10" x14ac:dyDescent="0.2">
      <c r="C6675" s="209"/>
      <c r="D6675" s="209"/>
      <c r="E6675" s="209"/>
      <c r="J6675" s="124"/>
    </row>
    <row r="6676" spans="3:10" x14ac:dyDescent="0.2">
      <c r="C6676" s="209"/>
      <c r="D6676" s="209"/>
      <c r="E6676" s="209"/>
      <c r="J6676" s="124"/>
    </row>
    <row r="6677" spans="3:10" x14ac:dyDescent="0.2">
      <c r="C6677" s="209"/>
      <c r="D6677" s="209"/>
      <c r="E6677" s="209"/>
      <c r="J6677" s="124"/>
    </row>
    <row r="6678" spans="3:10" x14ac:dyDescent="0.2">
      <c r="C6678" s="209"/>
      <c r="D6678" s="209"/>
      <c r="E6678" s="209"/>
      <c r="J6678" s="124"/>
    </row>
    <row r="6679" spans="3:10" x14ac:dyDescent="0.2">
      <c r="C6679" s="209"/>
      <c r="D6679" s="209"/>
      <c r="E6679" s="209"/>
      <c r="J6679" s="124"/>
    </row>
    <row r="6680" spans="3:10" x14ac:dyDescent="0.2">
      <c r="C6680" s="209"/>
      <c r="D6680" s="209"/>
      <c r="E6680" s="209"/>
      <c r="J6680" s="124"/>
    </row>
    <row r="6681" spans="3:10" x14ac:dyDescent="0.2">
      <c r="C6681" s="209"/>
      <c r="D6681" s="209"/>
      <c r="E6681" s="209"/>
      <c r="J6681" s="124"/>
    </row>
    <row r="6682" spans="3:10" x14ac:dyDescent="0.2">
      <c r="C6682" s="209"/>
      <c r="D6682" s="209"/>
      <c r="E6682" s="209"/>
      <c r="J6682" s="124"/>
    </row>
    <row r="6683" spans="3:10" x14ac:dyDescent="0.2">
      <c r="C6683" s="209"/>
      <c r="D6683" s="209"/>
      <c r="E6683" s="209"/>
      <c r="J6683" s="124"/>
    </row>
    <row r="6684" spans="3:10" x14ac:dyDescent="0.2">
      <c r="C6684" s="209"/>
      <c r="D6684" s="209"/>
      <c r="E6684" s="209"/>
      <c r="J6684" s="124"/>
    </row>
    <row r="6685" spans="3:10" x14ac:dyDescent="0.2">
      <c r="C6685" s="209"/>
      <c r="D6685" s="209"/>
      <c r="E6685" s="209"/>
      <c r="J6685" s="124"/>
    </row>
    <row r="6686" spans="3:10" x14ac:dyDescent="0.2">
      <c r="C6686" s="209"/>
      <c r="D6686" s="209"/>
      <c r="E6686" s="209"/>
      <c r="J6686" s="124"/>
    </row>
    <row r="6687" spans="3:10" x14ac:dyDescent="0.2">
      <c r="C6687" s="209"/>
      <c r="D6687" s="209"/>
      <c r="E6687" s="209"/>
      <c r="J6687" s="124"/>
    </row>
    <row r="6688" spans="3:10" x14ac:dyDescent="0.2">
      <c r="C6688" s="209"/>
      <c r="D6688" s="209"/>
      <c r="E6688" s="209"/>
      <c r="J6688" s="124"/>
    </row>
    <row r="6689" spans="3:10" x14ac:dyDescent="0.2">
      <c r="C6689" s="209"/>
      <c r="D6689" s="209"/>
      <c r="E6689" s="209"/>
      <c r="J6689" s="124"/>
    </row>
    <row r="6690" spans="3:10" x14ac:dyDescent="0.2">
      <c r="C6690" s="209"/>
      <c r="D6690" s="209"/>
      <c r="E6690" s="209"/>
      <c r="J6690" s="124"/>
    </row>
    <row r="6691" spans="3:10" x14ac:dyDescent="0.2">
      <c r="C6691" s="209"/>
      <c r="D6691" s="209"/>
      <c r="E6691" s="209"/>
      <c r="J6691" s="124"/>
    </row>
    <row r="6692" spans="3:10" x14ac:dyDescent="0.2">
      <c r="C6692" s="209"/>
      <c r="D6692" s="209"/>
      <c r="E6692" s="209"/>
      <c r="J6692" s="124"/>
    </row>
    <row r="6693" spans="3:10" x14ac:dyDescent="0.2">
      <c r="C6693" s="209"/>
      <c r="D6693" s="209"/>
      <c r="E6693" s="209"/>
      <c r="J6693" s="124"/>
    </row>
    <row r="6694" spans="3:10" x14ac:dyDescent="0.2">
      <c r="C6694" s="209"/>
      <c r="D6694" s="209"/>
      <c r="E6694" s="209"/>
      <c r="J6694" s="124"/>
    </row>
    <row r="6695" spans="3:10" x14ac:dyDescent="0.2">
      <c r="C6695" s="209"/>
      <c r="D6695" s="209"/>
      <c r="E6695" s="209"/>
      <c r="J6695" s="124"/>
    </row>
    <row r="6696" spans="3:10" x14ac:dyDescent="0.2">
      <c r="C6696" s="209"/>
      <c r="D6696" s="209"/>
      <c r="E6696" s="209"/>
      <c r="J6696" s="124"/>
    </row>
    <row r="6697" spans="3:10" x14ac:dyDescent="0.2">
      <c r="C6697" s="209"/>
      <c r="D6697" s="209"/>
      <c r="E6697" s="209"/>
      <c r="J6697" s="124"/>
    </row>
    <row r="6698" spans="3:10" x14ac:dyDescent="0.2">
      <c r="C6698" s="209"/>
      <c r="D6698" s="209"/>
      <c r="E6698" s="209"/>
      <c r="J6698" s="124"/>
    </row>
    <row r="6699" spans="3:10" x14ac:dyDescent="0.2">
      <c r="C6699" s="209"/>
      <c r="D6699" s="209"/>
      <c r="E6699" s="209"/>
      <c r="J6699" s="124"/>
    </row>
    <row r="6700" spans="3:10" x14ac:dyDescent="0.2">
      <c r="C6700" s="209"/>
      <c r="D6700" s="209"/>
      <c r="E6700" s="209"/>
      <c r="J6700" s="124"/>
    </row>
    <row r="6701" spans="3:10" x14ac:dyDescent="0.2">
      <c r="C6701" s="209"/>
      <c r="D6701" s="209"/>
      <c r="E6701" s="209"/>
      <c r="J6701" s="124"/>
    </row>
    <row r="6702" spans="3:10" x14ac:dyDescent="0.2">
      <c r="C6702" s="209"/>
      <c r="D6702" s="209"/>
      <c r="E6702" s="209"/>
      <c r="J6702" s="124"/>
    </row>
    <row r="6703" spans="3:10" x14ac:dyDescent="0.2">
      <c r="C6703" s="209"/>
      <c r="D6703" s="209"/>
      <c r="E6703" s="209"/>
      <c r="J6703" s="124"/>
    </row>
    <row r="6704" spans="3:10" x14ac:dyDescent="0.2">
      <c r="C6704" s="209"/>
      <c r="D6704" s="209"/>
      <c r="E6704" s="209"/>
      <c r="J6704" s="124"/>
    </row>
    <row r="6705" spans="3:10" x14ac:dyDescent="0.2">
      <c r="C6705" s="209"/>
      <c r="D6705" s="209"/>
      <c r="E6705" s="209"/>
      <c r="J6705" s="124"/>
    </row>
    <row r="6706" spans="3:10" x14ac:dyDescent="0.2">
      <c r="C6706" s="209"/>
      <c r="D6706" s="209"/>
      <c r="E6706" s="209"/>
      <c r="J6706" s="124"/>
    </row>
    <row r="6707" spans="3:10" x14ac:dyDescent="0.2">
      <c r="C6707" s="209"/>
      <c r="D6707" s="209"/>
      <c r="E6707" s="209"/>
      <c r="J6707" s="124"/>
    </row>
    <row r="6708" spans="3:10" x14ac:dyDescent="0.2">
      <c r="C6708" s="209"/>
      <c r="D6708" s="209"/>
      <c r="E6708" s="209"/>
      <c r="J6708" s="124"/>
    </row>
    <row r="6709" spans="3:10" x14ac:dyDescent="0.2">
      <c r="C6709" s="209"/>
      <c r="D6709" s="209"/>
      <c r="E6709" s="209"/>
      <c r="J6709" s="124"/>
    </row>
    <row r="6710" spans="3:10" x14ac:dyDescent="0.2">
      <c r="C6710" s="209"/>
      <c r="D6710" s="209"/>
      <c r="E6710" s="209"/>
      <c r="J6710" s="124"/>
    </row>
    <row r="6711" spans="3:10" x14ac:dyDescent="0.2">
      <c r="C6711" s="209"/>
      <c r="D6711" s="209"/>
      <c r="E6711" s="209"/>
      <c r="J6711" s="124"/>
    </row>
    <row r="6712" spans="3:10" x14ac:dyDescent="0.2">
      <c r="C6712" s="209"/>
      <c r="D6712" s="209"/>
      <c r="E6712" s="209"/>
      <c r="J6712" s="124"/>
    </row>
    <row r="6713" spans="3:10" x14ac:dyDescent="0.2">
      <c r="C6713" s="209"/>
      <c r="D6713" s="209"/>
      <c r="E6713" s="209"/>
      <c r="J6713" s="124"/>
    </row>
    <row r="6714" spans="3:10" x14ac:dyDescent="0.2">
      <c r="C6714" s="209"/>
      <c r="D6714" s="209"/>
      <c r="E6714" s="209"/>
      <c r="J6714" s="124"/>
    </row>
    <row r="6715" spans="3:10" x14ac:dyDescent="0.2">
      <c r="C6715" s="209"/>
      <c r="D6715" s="209"/>
      <c r="E6715" s="209"/>
      <c r="J6715" s="124"/>
    </row>
    <row r="6716" spans="3:10" x14ac:dyDescent="0.2">
      <c r="C6716" s="209"/>
      <c r="D6716" s="209"/>
      <c r="E6716" s="209"/>
      <c r="J6716" s="124"/>
    </row>
    <row r="6717" spans="3:10" x14ac:dyDescent="0.2">
      <c r="C6717" s="209"/>
      <c r="D6717" s="209"/>
      <c r="E6717" s="209"/>
      <c r="J6717" s="124"/>
    </row>
    <row r="6718" spans="3:10" x14ac:dyDescent="0.2">
      <c r="C6718" s="209"/>
      <c r="D6718" s="209"/>
      <c r="E6718" s="209"/>
      <c r="J6718" s="124"/>
    </row>
    <row r="6719" spans="3:10" x14ac:dyDescent="0.2">
      <c r="C6719" s="209"/>
      <c r="D6719" s="209"/>
      <c r="E6719" s="209"/>
      <c r="J6719" s="124"/>
    </row>
    <row r="6720" spans="3:10" x14ac:dyDescent="0.2">
      <c r="C6720" s="209"/>
      <c r="D6720" s="209"/>
      <c r="E6720" s="209"/>
      <c r="J6720" s="124"/>
    </row>
    <row r="6721" spans="3:10" x14ac:dyDescent="0.2">
      <c r="C6721" s="209"/>
      <c r="D6721" s="209"/>
      <c r="E6721" s="209"/>
      <c r="J6721" s="124"/>
    </row>
    <row r="6722" spans="3:10" x14ac:dyDescent="0.2">
      <c r="C6722" s="209"/>
      <c r="D6722" s="209"/>
      <c r="E6722" s="209"/>
      <c r="J6722" s="124"/>
    </row>
    <row r="6723" spans="3:10" x14ac:dyDescent="0.2">
      <c r="C6723" s="209"/>
      <c r="D6723" s="209"/>
      <c r="E6723" s="209"/>
      <c r="J6723" s="124"/>
    </row>
    <row r="6724" spans="3:10" x14ac:dyDescent="0.2">
      <c r="C6724" s="209"/>
      <c r="D6724" s="209"/>
      <c r="E6724" s="209"/>
      <c r="J6724" s="124"/>
    </row>
    <row r="6725" spans="3:10" x14ac:dyDescent="0.2">
      <c r="C6725" s="209"/>
      <c r="D6725" s="209"/>
      <c r="E6725" s="209"/>
      <c r="J6725" s="124"/>
    </row>
    <row r="6726" spans="3:10" x14ac:dyDescent="0.2">
      <c r="C6726" s="209"/>
      <c r="D6726" s="209"/>
      <c r="E6726" s="209"/>
      <c r="J6726" s="124"/>
    </row>
    <row r="6727" spans="3:10" x14ac:dyDescent="0.2">
      <c r="C6727" s="209"/>
      <c r="D6727" s="209"/>
      <c r="E6727" s="209"/>
      <c r="J6727" s="124"/>
    </row>
    <row r="6728" spans="3:10" x14ac:dyDescent="0.2">
      <c r="C6728" s="209"/>
      <c r="D6728" s="209"/>
      <c r="E6728" s="209"/>
      <c r="J6728" s="124"/>
    </row>
    <row r="6729" spans="3:10" x14ac:dyDescent="0.2">
      <c r="C6729" s="209"/>
      <c r="D6729" s="209"/>
      <c r="E6729" s="209"/>
      <c r="J6729" s="124"/>
    </row>
    <row r="6730" spans="3:10" x14ac:dyDescent="0.2">
      <c r="C6730" s="209"/>
      <c r="D6730" s="209"/>
      <c r="E6730" s="209"/>
      <c r="J6730" s="124"/>
    </row>
    <row r="6731" spans="3:10" x14ac:dyDescent="0.2">
      <c r="C6731" s="209"/>
      <c r="D6731" s="209"/>
      <c r="E6731" s="209"/>
      <c r="J6731" s="124"/>
    </row>
    <row r="6732" spans="3:10" x14ac:dyDescent="0.2">
      <c r="C6732" s="209"/>
      <c r="D6732" s="209"/>
      <c r="E6732" s="209"/>
      <c r="J6732" s="124"/>
    </row>
    <row r="6733" spans="3:10" x14ac:dyDescent="0.2">
      <c r="C6733" s="209"/>
      <c r="D6733" s="209"/>
      <c r="E6733" s="209"/>
      <c r="J6733" s="124"/>
    </row>
    <row r="6734" spans="3:10" x14ac:dyDescent="0.2">
      <c r="C6734" s="209"/>
      <c r="D6734" s="209"/>
      <c r="E6734" s="209"/>
      <c r="J6734" s="124"/>
    </row>
    <row r="6735" spans="3:10" x14ac:dyDescent="0.2">
      <c r="C6735" s="209"/>
      <c r="D6735" s="209"/>
      <c r="E6735" s="209"/>
      <c r="J6735" s="124"/>
    </row>
    <row r="6736" spans="3:10" x14ac:dyDescent="0.2">
      <c r="C6736" s="209"/>
      <c r="D6736" s="209"/>
      <c r="E6736" s="209"/>
      <c r="J6736" s="124"/>
    </row>
    <row r="6737" spans="3:10" x14ac:dyDescent="0.2">
      <c r="C6737" s="209"/>
      <c r="D6737" s="209"/>
      <c r="E6737" s="209"/>
      <c r="J6737" s="124"/>
    </row>
    <row r="6738" spans="3:10" x14ac:dyDescent="0.2">
      <c r="C6738" s="209"/>
      <c r="D6738" s="209"/>
      <c r="E6738" s="209"/>
      <c r="J6738" s="124"/>
    </row>
    <row r="6739" spans="3:10" x14ac:dyDescent="0.2">
      <c r="C6739" s="209"/>
      <c r="D6739" s="209"/>
      <c r="E6739" s="209"/>
      <c r="J6739" s="124"/>
    </row>
    <row r="6740" spans="3:10" x14ac:dyDescent="0.2">
      <c r="C6740" s="209"/>
      <c r="D6740" s="209"/>
      <c r="E6740" s="209"/>
      <c r="J6740" s="124"/>
    </row>
    <row r="6741" spans="3:10" x14ac:dyDescent="0.2">
      <c r="C6741" s="209"/>
      <c r="D6741" s="209"/>
      <c r="E6741" s="209"/>
      <c r="J6741" s="124"/>
    </row>
    <row r="6742" spans="3:10" x14ac:dyDescent="0.2">
      <c r="C6742" s="209"/>
      <c r="D6742" s="209"/>
      <c r="E6742" s="209"/>
      <c r="J6742" s="124"/>
    </row>
    <row r="6743" spans="3:10" x14ac:dyDescent="0.2">
      <c r="C6743" s="209"/>
      <c r="D6743" s="209"/>
      <c r="E6743" s="209"/>
      <c r="J6743" s="124"/>
    </row>
    <row r="6744" spans="3:10" x14ac:dyDescent="0.2">
      <c r="C6744" s="209"/>
      <c r="D6744" s="209"/>
      <c r="E6744" s="209"/>
      <c r="J6744" s="124"/>
    </row>
    <row r="6745" spans="3:10" x14ac:dyDescent="0.2">
      <c r="C6745" s="209"/>
      <c r="D6745" s="209"/>
      <c r="E6745" s="209"/>
      <c r="J6745" s="124"/>
    </row>
    <row r="6746" spans="3:10" x14ac:dyDescent="0.2">
      <c r="C6746" s="209"/>
      <c r="D6746" s="209"/>
      <c r="E6746" s="209"/>
      <c r="J6746" s="124"/>
    </row>
    <row r="6747" spans="3:10" x14ac:dyDescent="0.2">
      <c r="C6747" s="209"/>
      <c r="D6747" s="209"/>
      <c r="E6747" s="209"/>
      <c r="J6747" s="124"/>
    </row>
    <row r="6748" spans="3:10" x14ac:dyDescent="0.2">
      <c r="C6748" s="209"/>
      <c r="D6748" s="209"/>
      <c r="E6748" s="209"/>
      <c r="J6748" s="124"/>
    </row>
    <row r="6749" spans="3:10" x14ac:dyDescent="0.2">
      <c r="C6749" s="209"/>
      <c r="D6749" s="209"/>
      <c r="E6749" s="209"/>
      <c r="J6749" s="124"/>
    </row>
    <row r="6750" spans="3:10" x14ac:dyDescent="0.2">
      <c r="C6750" s="209"/>
      <c r="D6750" s="209"/>
      <c r="E6750" s="209"/>
      <c r="J6750" s="124"/>
    </row>
    <row r="6751" spans="3:10" x14ac:dyDescent="0.2">
      <c r="C6751" s="209"/>
      <c r="D6751" s="209"/>
      <c r="E6751" s="209"/>
      <c r="J6751" s="124"/>
    </row>
    <row r="6752" spans="3:10" x14ac:dyDescent="0.2">
      <c r="C6752" s="209"/>
      <c r="D6752" s="209"/>
      <c r="E6752" s="209"/>
      <c r="J6752" s="124"/>
    </row>
    <row r="6753" spans="3:10" x14ac:dyDescent="0.2">
      <c r="C6753" s="209"/>
      <c r="D6753" s="209"/>
      <c r="E6753" s="209"/>
      <c r="J6753" s="124"/>
    </row>
    <row r="6754" spans="3:10" x14ac:dyDescent="0.2">
      <c r="C6754" s="209"/>
      <c r="D6754" s="209"/>
      <c r="E6754" s="209"/>
      <c r="J6754" s="124"/>
    </row>
    <row r="6755" spans="3:10" x14ac:dyDescent="0.2">
      <c r="C6755" s="209"/>
      <c r="D6755" s="209"/>
      <c r="E6755" s="209"/>
      <c r="J6755" s="124"/>
    </row>
    <row r="6756" spans="3:10" x14ac:dyDescent="0.2">
      <c r="C6756" s="209"/>
      <c r="D6756" s="209"/>
      <c r="E6756" s="209"/>
      <c r="J6756" s="124"/>
    </row>
    <row r="6757" spans="3:10" x14ac:dyDescent="0.2">
      <c r="C6757" s="209"/>
      <c r="D6757" s="209"/>
      <c r="E6757" s="209"/>
      <c r="J6757" s="124"/>
    </row>
    <row r="6758" spans="3:10" x14ac:dyDescent="0.2">
      <c r="C6758" s="209"/>
      <c r="D6758" s="209"/>
      <c r="E6758" s="209"/>
      <c r="J6758" s="124"/>
    </row>
    <row r="6759" spans="3:10" x14ac:dyDescent="0.2">
      <c r="C6759" s="209"/>
      <c r="D6759" s="209"/>
      <c r="E6759" s="209"/>
      <c r="J6759" s="124"/>
    </row>
    <row r="6760" spans="3:10" x14ac:dyDescent="0.2">
      <c r="C6760" s="209"/>
      <c r="D6760" s="209"/>
      <c r="E6760" s="209"/>
      <c r="J6760" s="124"/>
    </row>
    <row r="6761" spans="3:10" x14ac:dyDescent="0.2">
      <c r="C6761" s="209"/>
      <c r="D6761" s="209"/>
      <c r="E6761" s="209"/>
      <c r="J6761" s="124"/>
    </row>
    <row r="6762" spans="3:10" x14ac:dyDescent="0.2">
      <c r="C6762" s="209"/>
      <c r="D6762" s="209"/>
      <c r="E6762" s="209"/>
      <c r="J6762" s="124"/>
    </row>
    <row r="6763" spans="3:10" x14ac:dyDescent="0.2">
      <c r="C6763" s="209"/>
      <c r="D6763" s="209"/>
      <c r="E6763" s="209"/>
      <c r="J6763" s="124"/>
    </row>
    <row r="6764" spans="3:10" x14ac:dyDescent="0.2">
      <c r="C6764" s="209"/>
      <c r="D6764" s="209"/>
      <c r="E6764" s="209"/>
      <c r="J6764" s="124"/>
    </row>
    <row r="6765" spans="3:10" x14ac:dyDescent="0.2">
      <c r="C6765" s="209"/>
      <c r="D6765" s="209"/>
      <c r="E6765" s="209"/>
      <c r="J6765" s="124"/>
    </row>
    <row r="6766" spans="3:10" x14ac:dyDescent="0.2">
      <c r="C6766" s="209"/>
      <c r="D6766" s="209"/>
      <c r="E6766" s="209"/>
      <c r="J6766" s="124"/>
    </row>
    <row r="6767" spans="3:10" x14ac:dyDescent="0.2">
      <c r="C6767" s="209"/>
      <c r="D6767" s="209"/>
      <c r="E6767" s="209"/>
      <c r="J6767" s="124"/>
    </row>
    <row r="6768" spans="3:10" x14ac:dyDescent="0.2">
      <c r="C6768" s="209"/>
      <c r="D6768" s="209"/>
      <c r="E6768" s="209"/>
      <c r="J6768" s="124"/>
    </row>
    <row r="6769" spans="3:10" x14ac:dyDescent="0.2">
      <c r="C6769" s="209"/>
      <c r="D6769" s="209"/>
      <c r="E6769" s="209"/>
      <c r="J6769" s="124"/>
    </row>
    <row r="6770" spans="3:10" x14ac:dyDescent="0.2">
      <c r="C6770" s="209"/>
      <c r="D6770" s="209"/>
      <c r="E6770" s="209"/>
      <c r="J6770" s="124"/>
    </row>
    <row r="6771" spans="3:10" x14ac:dyDescent="0.2">
      <c r="C6771" s="209"/>
      <c r="D6771" s="209"/>
      <c r="E6771" s="209"/>
      <c r="J6771" s="124"/>
    </row>
    <row r="6772" spans="3:10" x14ac:dyDescent="0.2">
      <c r="C6772" s="209"/>
      <c r="D6772" s="209"/>
      <c r="E6772" s="209"/>
      <c r="J6772" s="124"/>
    </row>
    <row r="6773" spans="3:10" x14ac:dyDescent="0.2">
      <c r="C6773" s="209"/>
      <c r="D6773" s="209"/>
      <c r="E6773" s="209"/>
      <c r="J6773" s="124"/>
    </row>
    <row r="6774" spans="3:10" x14ac:dyDescent="0.2">
      <c r="C6774" s="209"/>
      <c r="D6774" s="209"/>
      <c r="E6774" s="209"/>
      <c r="J6774" s="124"/>
    </row>
    <row r="6775" spans="3:10" x14ac:dyDescent="0.2">
      <c r="C6775" s="209"/>
      <c r="D6775" s="209"/>
      <c r="E6775" s="209"/>
      <c r="J6775" s="124"/>
    </row>
    <row r="6776" spans="3:10" x14ac:dyDescent="0.2">
      <c r="C6776" s="209"/>
      <c r="D6776" s="209"/>
      <c r="E6776" s="209"/>
      <c r="J6776" s="124"/>
    </row>
    <row r="6777" spans="3:10" x14ac:dyDescent="0.2">
      <c r="C6777" s="209"/>
      <c r="D6777" s="209"/>
      <c r="E6777" s="209"/>
      <c r="J6777" s="124"/>
    </row>
    <row r="6778" spans="3:10" x14ac:dyDescent="0.2">
      <c r="C6778" s="209"/>
      <c r="D6778" s="209"/>
      <c r="E6778" s="209"/>
      <c r="J6778" s="124"/>
    </row>
    <row r="6779" spans="3:10" x14ac:dyDescent="0.2">
      <c r="C6779" s="209"/>
      <c r="D6779" s="209"/>
      <c r="E6779" s="209"/>
      <c r="J6779" s="124"/>
    </row>
    <row r="6780" spans="3:10" x14ac:dyDescent="0.2">
      <c r="C6780" s="209"/>
      <c r="D6780" s="209"/>
      <c r="E6780" s="209"/>
      <c r="J6780" s="124"/>
    </row>
    <row r="6781" spans="3:10" x14ac:dyDescent="0.2">
      <c r="C6781" s="209"/>
      <c r="D6781" s="209"/>
      <c r="E6781" s="209"/>
      <c r="J6781" s="124"/>
    </row>
    <row r="6782" spans="3:10" x14ac:dyDescent="0.2">
      <c r="C6782" s="209"/>
      <c r="D6782" s="209"/>
      <c r="E6782" s="209"/>
      <c r="J6782" s="124"/>
    </row>
    <row r="6783" spans="3:10" x14ac:dyDescent="0.2">
      <c r="C6783" s="209"/>
      <c r="D6783" s="209"/>
      <c r="E6783" s="209"/>
      <c r="J6783" s="124"/>
    </row>
    <row r="6784" spans="3:10" x14ac:dyDescent="0.2">
      <c r="C6784" s="209"/>
      <c r="D6784" s="209"/>
      <c r="E6784" s="209"/>
      <c r="J6784" s="124"/>
    </row>
    <row r="6785" spans="3:10" x14ac:dyDescent="0.2">
      <c r="C6785" s="209"/>
      <c r="D6785" s="209"/>
      <c r="E6785" s="209"/>
      <c r="J6785" s="124"/>
    </row>
    <row r="6786" spans="3:10" x14ac:dyDescent="0.2">
      <c r="C6786" s="209"/>
      <c r="D6786" s="209"/>
      <c r="E6786" s="209"/>
      <c r="J6786" s="124"/>
    </row>
    <row r="6787" spans="3:10" x14ac:dyDescent="0.2">
      <c r="C6787" s="209"/>
      <c r="D6787" s="209"/>
      <c r="E6787" s="209"/>
      <c r="J6787" s="124"/>
    </row>
    <row r="6788" spans="3:10" x14ac:dyDescent="0.2">
      <c r="C6788" s="209"/>
      <c r="D6788" s="209"/>
      <c r="E6788" s="209"/>
      <c r="J6788" s="124"/>
    </row>
    <row r="6789" spans="3:10" x14ac:dyDescent="0.2">
      <c r="C6789" s="209"/>
      <c r="D6789" s="209"/>
      <c r="E6789" s="209"/>
      <c r="J6789" s="124"/>
    </row>
    <row r="6790" spans="3:10" x14ac:dyDescent="0.2">
      <c r="C6790" s="209"/>
      <c r="D6790" s="209"/>
      <c r="E6790" s="209"/>
      <c r="J6790" s="124"/>
    </row>
    <row r="6791" spans="3:10" x14ac:dyDescent="0.2">
      <c r="C6791" s="209"/>
      <c r="D6791" s="209"/>
      <c r="E6791" s="209"/>
      <c r="J6791" s="124"/>
    </row>
    <row r="6792" spans="3:10" x14ac:dyDescent="0.2">
      <c r="C6792" s="209"/>
      <c r="D6792" s="209"/>
      <c r="E6792" s="209"/>
      <c r="J6792" s="124"/>
    </row>
    <row r="6793" spans="3:10" x14ac:dyDescent="0.2">
      <c r="C6793" s="209"/>
      <c r="D6793" s="209"/>
      <c r="E6793" s="209"/>
      <c r="J6793" s="124"/>
    </row>
    <row r="6794" spans="3:10" x14ac:dyDescent="0.2">
      <c r="C6794" s="209"/>
      <c r="D6794" s="209"/>
      <c r="E6794" s="209"/>
      <c r="J6794" s="124"/>
    </row>
    <row r="6795" spans="3:10" x14ac:dyDescent="0.2">
      <c r="C6795" s="209"/>
      <c r="D6795" s="209"/>
      <c r="E6795" s="209"/>
      <c r="J6795" s="124"/>
    </row>
    <row r="6796" spans="3:10" x14ac:dyDescent="0.2">
      <c r="C6796" s="209"/>
      <c r="D6796" s="209"/>
      <c r="E6796" s="209"/>
      <c r="J6796" s="124"/>
    </row>
    <row r="6797" spans="3:10" x14ac:dyDescent="0.2">
      <c r="C6797" s="209"/>
      <c r="D6797" s="209"/>
      <c r="E6797" s="209"/>
      <c r="J6797" s="124"/>
    </row>
    <row r="6798" spans="3:10" x14ac:dyDescent="0.2">
      <c r="C6798" s="209"/>
      <c r="D6798" s="209"/>
      <c r="E6798" s="209"/>
      <c r="J6798" s="124"/>
    </row>
    <row r="6799" spans="3:10" x14ac:dyDescent="0.2">
      <c r="C6799" s="209"/>
      <c r="D6799" s="209"/>
      <c r="E6799" s="209"/>
      <c r="J6799" s="124"/>
    </row>
    <row r="6800" spans="3:10" x14ac:dyDescent="0.2">
      <c r="C6800" s="209"/>
      <c r="D6800" s="209"/>
      <c r="E6800" s="209"/>
      <c r="J6800" s="124"/>
    </row>
    <row r="6801" spans="3:10" x14ac:dyDescent="0.2">
      <c r="C6801" s="209"/>
      <c r="D6801" s="209"/>
      <c r="E6801" s="209"/>
      <c r="J6801" s="124"/>
    </row>
    <row r="6802" spans="3:10" x14ac:dyDescent="0.2">
      <c r="C6802" s="209"/>
      <c r="D6802" s="209"/>
      <c r="E6802" s="209"/>
      <c r="J6802" s="124"/>
    </row>
    <row r="6803" spans="3:10" x14ac:dyDescent="0.2">
      <c r="C6803" s="209"/>
      <c r="D6803" s="209"/>
      <c r="E6803" s="209"/>
      <c r="J6803" s="124"/>
    </row>
    <row r="6804" spans="3:10" x14ac:dyDescent="0.2">
      <c r="C6804" s="209"/>
      <c r="D6804" s="209"/>
      <c r="E6804" s="209"/>
      <c r="J6804" s="124"/>
    </row>
    <row r="6805" spans="3:10" x14ac:dyDescent="0.2">
      <c r="C6805" s="209"/>
      <c r="D6805" s="209"/>
      <c r="E6805" s="209"/>
      <c r="J6805" s="124"/>
    </row>
    <row r="6806" spans="3:10" x14ac:dyDescent="0.2">
      <c r="C6806" s="209"/>
      <c r="D6806" s="209"/>
      <c r="E6806" s="209"/>
      <c r="J6806" s="124"/>
    </row>
    <row r="6807" spans="3:10" x14ac:dyDescent="0.2">
      <c r="C6807" s="209"/>
      <c r="D6807" s="209"/>
      <c r="E6807" s="209"/>
      <c r="J6807" s="124"/>
    </row>
    <row r="6808" spans="3:10" x14ac:dyDescent="0.2">
      <c r="C6808" s="209"/>
      <c r="D6808" s="209"/>
      <c r="E6808" s="209"/>
      <c r="J6808" s="124"/>
    </row>
    <row r="6809" spans="3:10" x14ac:dyDescent="0.2">
      <c r="C6809" s="209"/>
      <c r="D6809" s="209"/>
      <c r="E6809" s="209"/>
      <c r="J6809" s="124"/>
    </row>
    <row r="6810" spans="3:10" x14ac:dyDescent="0.2">
      <c r="C6810" s="209"/>
      <c r="D6810" s="209"/>
      <c r="E6810" s="209"/>
      <c r="J6810" s="124"/>
    </row>
    <row r="6811" spans="3:10" x14ac:dyDescent="0.2">
      <c r="C6811" s="209"/>
      <c r="D6811" s="209"/>
      <c r="E6811" s="209"/>
      <c r="J6811" s="124"/>
    </row>
    <row r="6812" spans="3:10" x14ac:dyDescent="0.2">
      <c r="C6812" s="209"/>
      <c r="D6812" s="209"/>
      <c r="E6812" s="209"/>
      <c r="J6812" s="124"/>
    </row>
    <row r="6813" spans="3:10" x14ac:dyDescent="0.2">
      <c r="C6813" s="209"/>
      <c r="D6813" s="209"/>
      <c r="E6813" s="209"/>
      <c r="J6813" s="124"/>
    </row>
    <row r="6814" spans="3:10" x14ac:dyDescent="0.2">
      <c r="C6814" s="209"/>
      <c r="D6814" s="209"/>
      <c r="E6814" s="209"/>
      <c r="J6814" s="124"/>
    </row>
    <row r="6815" spans="3:10" x14ac:dyDescent="0.2">
      <c r="C6815" s="209"/>
      <c r="D6815" s="209"/>
      <c r="E6815" s="209"/>
      <c r="J6815" s="124"/>
    </row>
    <row r="6816" spans="3:10" x14ac:dyDescent="0.2">
      <c r="C6816" s="209"/>
      <c r="D6816" s="209"/>
      <c r="E6816" s="209"/>
      <c r="J6816" s="124"/>
    </row>
    <row r="6817" spans="3:10" x14ac:dyDescent="0.2">
      <c r="C6817" s="209"/>
      <c r="D6817" s="209"/>
      <c r="E6817" s="209"/>
      <c r="J6817" s="124"/>
    </row>
    <row r="6818" spans="3:10" x14ac:dyDescent="0.2">
      <c r="C6818" s="209"/>
      <c r="D6818" s="209"/>
      <c r="E6818" s="209"/>
      <c r="J6818" s="124"/>
    </row>
    <row r="6819" spans="3:10" x14ac:dyDescent="0.2">
      <c r="C6819" s="209"/>
      <c r="D6819" s="209"/>
      <c r="E6819" s="209"/>
      <c r="J6819" s="124"/>
    </row>
    <row r="6820" spans="3:10" x14ac:dyDescent="0.2">
      <c r="C6820" s="209"/>
      <c r="D6820" s="209"/>
      <c r="E6820" s="209"/>
      <c r="J6820" s="124"/>
    </row>
    <row r="6821" spans="3:10" x14ac:dyDescent="0.2">
      <c r="C6821" s="209"/>
      <c r="D6821" s="209"/>
      <c r="E6821" s="209"/>
      <c r="J6821" s="124"/>
    </row>
    <row r="6822" spans="3:10" x14ac:dyDescent="0.2">
      <c r="C6822" s="209"/>
      <c r="D6822" s="209"/>
      <c r="E6822" s="209"/>
      <c r="J6822" s="124"/>
    </row>
    <row r="6823" spans="3:10" x14ac:dyDescent="0.2">
      <c r="C6823" s="209"/>
      <c r="D6823" s="209"/>
      <c r="E6823" s="209"/>
      <c r="J6823" s="124"/>
    </row>
    <row r="6824" spans="3:10" x14ac:dyDescent="0.2">
      <c r="C6824" s="209"/>
      <c r="D6824" s="209"/>
      <c r="E6824" s="209"/>
      <c r="J6824" s="124"/>
    </row>
    <row r="6825" spans="3:10" x14ac:dyDescent="0.2">
      <c r="C6825" s="209"/>
      <c r="D6825" s="209"/>
      <c r="E6825" s="209"/>
      <c r="J6825" s="124"/>
    </row>
    <row r="6826" spans="3:10" x14ac:dyDescent="0.2">
      <c r="C6826" s="209"/>
      <c r="D6826" s="209"/>
      <c r="E6826" s="209"/>
      <c r="J6826" s="124"/>
    </row>
    <row r="6827" spans="3:10" x14ac:dyDescent="0.2">
      <c r="C6827" s="209"/>
      <c r="D6827" s="209"/>
      <c r="E6827" s="209"/>
      <c r="J6827" s="124"/>
    </row>
    <row r="6828" spans="3:10" x14ac:dyDescent="0.2">
      <c r="C6828" s="209"/>
      <c r="D6828" s="209"/>
      <c r="E6828" s="209"/>
      <c r="J6828" s="124"/>
    </row>
    <row r="6829" spans="3:10" x14ac:dyDescent="0.2">
      <c r="C6829" s="209"/>
      <c r="D6829" s="209"/>
      <c r="E6829" s="209"/>
      <c r="J6829" s="124"/>
    </row>
    <row r="6830" spans="3:10" x14ac:dyDescent="0.2">
      <c r="C6830" s="209"/>
      <c r="D6830" s="209"/>
      <c r="E6830" s="209"/>
      <c r="J6830" s="124"/>
    </row>
    <row r="6831" spans="3:10" x14ac:dyDescent="0.2">
      <c r="C6831" s="209"/>
      <c r="D6831" s="209"/>
      <c r="E6831" s="209"/>
      <c r="J6831" s="124"/>
    </row>
    <row r="6832" spans="3:10" x14ac:dyDescent="0.2">
      <c r="C6832" s="209"/>
      <c r="D6832" s="209"/>
      <c r="E6832" s="209"/>
      <c r="J6832" s="124"/>
    </row>
    <row r="6833" spans="3:10" x14ac:dyDescent="0.2">
      <c r="C6833" s="209"/>
      <c r="D6833" s="209"/>
      <c r="E6833" s="209"/>
      <c r="J6833" s="124"/>
    </row>
    <row r="6834" spans="3:10" x14ac:dyDescent="0.2">
      <c r="C6834" s="209"/>
      <c r="D6834" s="209"/>
      <c r="E6834" s="209"/>
      <c r="J6834" s="124"/>
    </row>
    <row r="6835" spans="3:10" x14ac:dyDescent="0.2">
      <c r="C6835" s="209"/>
      <c r="D6835" s="209"/>
      <c r="E6835" s="209"/>
      <c r="J6835" s="124"/>
    </row>
    <row r="6836" spans="3:10" x14ac:dyDescent="0.2">
      <c r="C6836" s="209"/>
      <c r="D6836" s="209"/>
      <c r="E6836" s="209"/>
      <c r="J6836" s="124"/>
    </row>
    <row r="6837" spans="3:10" x14ac:dyDescent="0.2">
      <c r="C6837" s="209"/>
      <c r="D6837" s="209"/>
      <c r="E6837" s="209"/>
      <c r="J6837" s="124"/>
    </row>
    <row r="6838" spans="3:10" x14ac:dyDescent="0.2">
      <c r="C6838" s="209"/>
      <c r="D6838" s="209"/>
      <c r="E6838" s="209"/>
      <c r="J6838" s="124"/>
    </row>
    <row r="6839" spans="3:10" x14ac:dyDescent="0.2">
      <c r="C6839" s="209"/>
      <c r="D6839" s="209"/>
      <c r="E6839" s="209"/>
      <c r="J6839" s="124"/>
    </row>
    <row r="6840" spans="3:10" x14ac:dyDescent="0.2">
      <c r="C6840" s="209"/>
      <c r="D6840" s="209"/>
      <c r="E6840" s="209"/>
      <c r="J6840" s="124"/>
    </row>
    <row r="6841" spans="3:10" x14ac:dyDescent="0.2">
      <c r="C6841" s="209"/>
      <c r="D6841" s="209"/>
      <c r="E6841" s="209"/>
      <c r="J6841" s="124"/>
    </row>
    <row r="6842" spans="3:10" x14ac:dyDescent="0.2">
      <c r="C6842" s="209"/>
      <c r="D6842" s="209"/>
      <c r="E6842" s="209"/>
      <c r="J6842" s="124"/>
    </row>
    <row r="6843" spans="3:10" x14ac:dyDescent="0.2">
      <c r="C6843" s="209"/>
      <c r="D6843" s="209"/>
      <c r="E6843" s="209"/>
      <c r="J6843" s="124"/>
    </row>
    <row r="6844" spans="3:10" x14ac:dyDescent="0.2">
      <c r="C6844" s="209"/>
      <c r="D6844" s="209"/>
      <c r="E6844" s="209"/>
      <c r="J6844" s="124"/>
    </row>
    <row r="6845" spans="3:10" x14ac:dyDescent="0.2">
      <c r="C6845" s="209"/>
      <c r="D6845" s="209"/>
      <c r="E6845" s="209"/>
      <c r="J6845" s="124"/>
    </row>
    <row r="6846" spans="3:10" x14ac:dyDescent="0.2">
      <c r="C6846" s="209"/>
      <c r="D6846" s="209"/>
      <c r="E6846" s="209"/>
      <c r="J6846" s="124"/>
    </row>
    <row r="6847" spans="3:10" x14ac:dyDescent="0.2">
      <c r="C6847" s="209"/>
      <c r="D6847" s="209"/>
      <c r="E6847" s="209"/>
      <c r="J6847" s="124"/>
    </row>
    <row r="6848" spans="3:10" x14ac:dyDescent="0.2">
      <c r="C6848" s="209"/>
      <c r="D6848" s="209"/>
      <c r="E6848" s="209"/>
      <c r="J6848" s="124"/>
    </row>
    <row r="6849" spans="3:10" x14ac:dyDescent="0.2">
      <c r="C6849" s="209"/>
      <c r="D6849" s="209"/>
      <c r="E6849" s="209"/>
      <c r="J6849" s="124"/>
    </row>
    <row r="6850" spans="3:10" x14ac:dyDescent="0.2">
      <c r="C6850" s="209"/>
      <c r="D6850" s="209"/>
      <c r="E6850" s="209"/>
      <c r="J6850" s="124"/>
    </row>
    <row r="6851" spans="3:10" x14ac:dyDescent="0.2">
      <c r="C6851" s="209"/>
      <c r="D6851" s="209"/>
      <c r="E6851" s="209"/>
      <c r="J6851" s="124"/>
    </row>
    <row r="6852" spans="3:10" x14ac:dyDescent="0.2">
      <c r="C6852" s="209"/>
      <c r="D6852" s="209"/>
      <c r="E6852" s="209"/>
      <c r="J6852" s="124"/>
    </row>
    <row r="6853" spans="3:10" x14ac:dyDescent="0.2">
      <c r="C6853" s="209"/>
      <c r="D6853" s="209"/>
      <c r="E6853" s="209"/>
      <c r="J6853" s="124"/>
    </row>
    <row r="6854" spans="3:10" x14ac:dyDescent="0.2">
      <c r="C6854" s="209"/>
      <c r="D6854" s="209"/>
      <c r="E6854" s="209"/>
      <c r="J6854" s="124"/>
    </row>
    <row r="6855" spans="3:10" x14ac:dyDescent="0.2">
      <c r="C6855" s="209"/>
      <c r="D6855" s="209"/>
      <c r="E6855" s="209"/>
      <c r="J6855" s="124"/>
    </row>
    <row r="6856" spans="3:10" x14ac:dyDescent="0.2">
      <c r="C6856" s="209"/>
      <c r="D6856" s="209"/>
      <c r="E6856" s="209"/>
      <c r="J6856" s="124"/>
    </row>
    <row r="6857" spans="3:10" x14ac:dyDescent="0.2">
      <c r="C6857" s="209"/>
      <c r="D6857" s="209"/>
      <c r="E6857" s="209"/>
      <c r="J6857" s="124"/>
    </row>
    <row r="6858" spans="3:10" x14ac:dyDescent="0.2">
      <c r="C6858" s="209"/>
      <c r="D6858" s="209"/>
      <c r="E6858" s="209"/>
      <c r="J6858" s="124"/>
    </row>
    <row r="6859" spans="3:10" x14ac:dyDescent="0.2">
      <c r="C6859" s="209"/>
      <c r="D6859" s="209"/>
      <c r="E6859" s="209"/>
      <c r="J6859" s="124"/>
    </row>
    <row r="6860" spans="3:10" x14ac:dyDescent="0.2">
      <c r="C6860" s="209"/>
      <c r="D6860" s="209"/>
      <c r="E6860" s="209"/>
      <c r="J6860" s="124"/>
    </row>
    <row r="6861" spans="3:10" x14ac:dyDescent="0.2">
      <c r="C6861" s="209"/>
      <c r="D6861" s="209"/>
      <c r="E6861" s="209"/>
      <c r="J6861" s="124"/>
    </row>
    <row r="6862" spans="3:10" x14ac:dyDescent="0.2">
      <c r="C6862" s="209"/>
      <c r="D6862" s="209"/>
      <c r="E6862" s="209"/>
      <c r="J6862" s="124"/>
    </row>
    <row r="6863" spans="3:10" x14ac:dyDescent="0.2">
      <c r="C6863" s="209"/>
      <c r="D6863" s="209"/>
      <c r="E6863" s="209"/>
      <c r="J6863" s="124"/>
    </row>
    <row r="6864" spans="3:10" x14ac:dyDescent="0.2">
      <c r="C6864" s="209"/>
      <c r="D6864" s="209"/>
      <c r="E6864" s="209"/>
      <c r="J6864" s="124"/>
    </row>
    <row r="6865" spans="3:10" x14ac:dyDescent="0.2">
      <c r="C6865" s="209"/>
      <c r="D6865" s="209"/>
      <c r="E6865" s="209"/>
      <c r="J6865" s="124"/>
    </row>
    <row r="6866" spans="3:10" x14ac:dyDescent="0.2">
      <c r="C6866" s="209"/>
      <c r="D6866" s="209"/>
      <c r="E6866" s="209"/>
      <c r="J6866" s="124"/>
    </row>
    <row r="6867" spans="3:10" x14ac:dyDescent="0.2">
      <c r="C6867" s="209"/>
      <c r="D6867" s="209"/>
      <c r="E6867" s="209"/>
      <c r="J6867" s="124"/>
    </row>
    <row r="6868" spans="3:10" x14ac:dyDescent="0.2">
      <c r="C6868" s="209"/>
      <c r="D6868" s="209"/>
      <c r="E6868" s="209"/>
      <c r="J6868" s="124"/>
    </row>
    <row r="6869" spans="3:10" x14ac:dyDescent="0.2">
      <c r="C6869" s="209"/>
      <c r="D6869" s="209"/>
      <c r="E6869" s="209"/>
      <c r="J6869" s="124"/>
    </row>
    <row r="6870" spans="3:10" x14ac:dyDescent="0.2">
      <c r="C6870" s="209"/>
      <c r="D6870" s="209"/>
      <c r="E6870" s="209"/>
      <c r="J6870" s="124"/>
    </row>
    <row r="6871" spans="3:10" x14ac:dyDescent="0.2">
      <c r="C6871" s="209"/>
      <c r="D6871" s="209"/>
      <c r="E6871" s="209"/>
      <c r="J6871" s="124"/>
    </row>
    <row r="6872" spans="3:10" x14ac:dyDescent="0.2">
      <c r="C6872" s="209"/>
      <c r="D6872" s="209"/>
      <c r="E6872" s="209"/>
      <c r="J6872" s="124"/>
    </row>
    <row r="6873" spans="3:10" x14ac:dyDescent="0.2">
      <c r="C6873" s="209"/>
      <c r="D6873" s="209"/>
      <c r="E6873" s="209"/>
      <c r="J6873" s="124"/>
    </row>
    <row r="6874" spans="3:10" x14ac:dyDescent="0.2">
      <c r="C6874" s="209"/>
      <c r="D6874" s="209"/>
      <c r="E6874" s="209"/>
      <c r="J6874" s="124"/>
    </row>
    <row r="6875" spans="3:10" x14ac:dyDescent="0.2">
      <c r="C6875" s="209"/>
      <c r="D6875" s="209"/>
      <c r="E6875" s="209"/>
      <c r="J6875" s="124"/>
    </row>
    <row r="6876" spans="3:10" x14ac:dyDescent="0.2">
      <c r="C6876" s="209"/>
      <c r="D6876" s="209"/>
      <c r="E6876" s="209"/>
      <c r="J6876" s="124"/>
    </row>
    <row r="6877" spans="3:10" x14ac:dyDescent="0.2">
      <c r="C6877" s="209"/>
      <c r="D6877" s="209"/>
      <c r="E6877" s="209"/>
      <c r="J6877" s="124"/>
    </row>
    <row r="6878" spans="3:10" x14ac:dyDescent="0.2">
      <c r="C6878" s="209"/>
      <c r="D6878" s="209"/>
      <c r="E6878" s="209"/>
      <c r="J6878" s="124"/>
    </row>
    <row r="6879" spans="3:10" x14ac:dyDescent="0.2">
      <c r="C6879" s="209"/>
      <c r="D6879" s="209"/>
      <c r="E6879" s="209"/>
      <c r="J6879" s="124"/>
    </row>
    <row r="6880" spans="3:10" x14ac:dyDescent="0.2">
      <c r="C6880" s="209"/>
      <c r="D6880" s="209"/>
      <c r="E6880" s="209"/>
      <c r="J6880" s="124"/>
    </row>
    <row r="6881" spans="3:10" x14ac:dyDescent="0.2">
      <c r="C6881" s="209"/>
      <c r="D6881" s="209"/>
      <c r="E6881" s="209"/>
      <c r="J6881" s="124"/>
    </row>
    <row r="6882" spans="3:10" x14ac:dyDescent="0.2">
      <c r="C6882" s="209"/>
      <c r="D6882" s="209"/>
      <c r="E6882" s="209"/>
      <c r="J6882" s="124"/>
    </row>
    <row r="6883" spans="3:10" x14ac:dyDescent="0.2">
      <c r="C6883" s="209"/>
      <c r="D6883" s="209"/>
      <c r="E6883" s="209"/>
      <c r="J6883" s="124"/>
    </row>
    <row r="6884" spans="3:10" x14ac:dyDescent="0.2">
      <c r="C6884" s="209"/>
      <c r="D6884" s="209"/>
      <c r="E6884" s="209"/>
      <c r="J6884" s="124"/>
    </row>
    <row r="6885" spans="3:10" x14ac:dyDescent="0.2">
      <c r="C6885" s="209"/>
      <c r="D6885" s="209"/>
      <c r="E6885" s="209"/>
      <c r="J6885" s="124"/>
    </row>
    <row r="6886" spans="3:10" x14ac:dyDescent="0.2">
      <c r="C6886" s="209"/>
      <c r="D6886" s="209"/>
      <c r="E6886" s="209"/>
      <c r="J6886" s="124"/>
    </row>
    <row r="6887" spans="3:10" x14ac:dyDescent="0.2">
      <c r="C6887" s="209"/>
      <c r="D6887" s="209"/>
      <c r="E6887" s="209"/>
      <c r="J6887" s="124"/>
    </row>
    <row r="6888" spans="3:10" x14ac:dyDescent="0.2">
      <c r="C6888" s="209"/>
      <c r="D6888" s="209"/>
      <c r="E6888" s="209"/>
      <c r="J6888" s="124"/>
    </row>
    <row r="6889" spans="3:10" x14ac:dyDescent="0.2">
      <c r="C6889" s="209"/>
      <c r="D6889" s="209"/>
      <c r="E6889" s="209"/>
      <c r="J6889" s="124"/>
    </row>
    <row r="6890" spans="3:10" x14ac:dyDescent="0.2">
      <c r="C6890" s="209"/>
      <c r="D6890" s="209"/>
      <c r="E6890" s="209"/>
      <c r="J6890" s="124"/>
    </row>
    <row r="6891" spans="3:10" x14ac:dyDescent="0.2">
      <c r="C6891" s="209"/>
      <c r="D6891" s="209"/>
      <c r="E6891" s="209"/>
      <c r="J6891" s="124"/>
    </row>
    <row r="6892" spans="3:10" x14ac:dyDescent="0.2">
      <c r="C6892" s="209"/>
      <c r="D6892" s="209"/>
      <c r="E6892" s="209"/>
      <c r="J6892" s="124"/>
    </row>
    <row r="6893" spans="3:10" x14ac:dyDescent="0.2">
      <c r="C6893" s="209"/>
      <c r="D6893" s="209"/>
      <c r="E6893" s="209"/>
      <c r="J6893" s="124"/>
    </row>
    <row r="6894" spans="3:10" x14ac:dyDescent="0.2">
      <c r="C6894" s="209"/>
      <c r="D6894" s="209"/>
      <c r="E6894" s="209"/>
      <c r="J6894" s="124"/>
    </row>
    <row r="6895" spans="3:10" x14ac:dyDescent="0.2">
      <c r="C6895" s="209"/>
      <c r="D6895" s="209"/>
      <c r="E6895" s="209"/>
      <c r="J6895" s="124"/>
    </row>
    <row r="6896" spans="3:10" x14ac:dyDescent="0.2">
      <c r="C6896" s="209"/>
      <c r="D6896" s="209"/>
      <c r="E6896" s="209"/>
      <c r="J6896" s="124"/>
    </row>
    <row r="6897" spans="3:10" x14ac:dyDescent="0.2">
      <c r="C6897" s="209"/>
      <c r="D6897" s="209"/>
      <c r="E6897" s="209"/>
      <c r="J6897" s="124"/>
    </row>
    <row r="6898" spans="3:10" x14ac:dyDescent="0.2">
      <c r="C6898" s="209"/>
      <c r="D6898" s="209"/>
      <c r="E6898" s="209"/>
      <c r="J6898" s="124"/>
    </row>
    <row r="6899" spans="3:10" x14ac:dyDescent="0.2">
      <c r="C6899" s="209"/>
      <c r="D6899" s="209"/>
      <c r="E6899" s="209"/>
      <c r="J6899" s="124"/>
    </row>
    <row r="6900" spans="3:10" x14ac:dyDescent="0.2">
      <c r="C6900" s="209"/>
      <c r="D6900" s="209"/>
      <c r="E6900" s="209"/>
      <c r="J6900" s="124"/>
    </row>
    <row r="6901" spans="3:10" x14ac:dyDescent="0.2">
      <c r="C6901" s="209"/>
      <c r="D6901" s="209"/>
      <c r="E6901" s="209"/>
      <c r="J6901" s="124"/>
    </row>
    <row r="6902" spans="3:10" x14ac:dyDescent="0.2">
      <c r="C6902" s="209"/>
      <c r="D6902" s="209"/>
      <c r="E6902" s="209"/>
      <c r="J6902" s="124"/>
    </row>
    <row r="6903" spans="3:10" x14ac:dyDescent="0.2">
      <c r="C6903" s="209"/>
      <c r="D6903" s="209"/>
      <c r="E6903" s="209"/>
      <c r="J6903" s="124"/>
    </row>
    <row r="6904" spans="3:10" x14ac:dyDescent="0.2">
      <c r="C6904" s="209"/>
      <c r="D6904" s="209"/>
      <c r="E6904" s="209"/>
      <c r="J6904" s="124"/>
    </row>
    <row r="6905" spans="3:10" x14ac:dyDescent="0.2">
      <c r="C6905" s="209"/>
      <c r="D6905" s="209"/>
      <c r="E6905" s="209"/>
      <c r="J6905" s="124"/>
    </row>
    <row r="6906" spans="3:10" x14ac:dyDescent="0.2">
      <c r="C6906" s="209"/>
      <c r="D6906" s="209"/>
      <c r="E6906" s="209"/>
      <c r="J6906" s="124"/>
    </row>
    <row r="6907" spans="3:10" x14ac:dyDescent="0.2">
      <c r="C6907" s="209"/>
      <c r="D6907" s="209"/>
      <c r="E6907" s="209"/>
      <c r="J6907" s="124"/>
    </row>
    <row r="6908" spans="3:10" x14ac:dyDescent="0.2">
      <c r="C6908" s="209"/>
      <c r="D6908" s="209"/>
      <c r="E6908" s="209"/>
      <c r="J6908" s="124"/>
    </row>
    <row r="6909" spans="3:10" x14ac:dyDescent="0.2">
      <c r="C6909" s="209"/>
      <c r="D6909" s="209"/>
      <c r="E6909" s="209"/>
      <c r="J6909" s="124"/>
    </row>
    <row r="6910" spans="3:10" x14ac:dyDescent="0.2">
      <c r="C6910" s="209"/>
      <c r="D6910" s="209"/>
      <c r="E6910" s="209"/>
      <c r="J6910" s="124"/>
    </row>
    <row r="6911" spans="3:10" x14ac:dyDescent="0.2">
      <c r="C6911" s="209"/>
      <c r="D6911" s="209"/>
      <c r="E6911" s="209"/>
      <c r="J6911" s="124"/>
    </row>
    <row r="6912" spans="3:10" x14ac:dyDescent="0.2">
      <c r="C6912" s="209"/>
      <c r="D6912" s="209"/>
      <c r="E6912" s="209"/>
      <c r="J6912" s="124"/>
    </row>
    <row r="6913" spans="3:10" x14ac:dyDescent="0.2">
      <c r="C6913" s="209"/>
      <c r="D6913" s="209"/>
      <c r="E6913" s="209"/>
      <c r="J6913" s="124"/>
    </row>
    <row r="6914" spans="3:10" x14ac:dyDescent="0.2">
      <c r="C6914" s="209"/>
      <c r="D6914" s="209"/>
      <c r="E6914" s="209"/>
      <c r="J6914" s="124"/>
    </row>
    <row r="6915" spans="3:10" x14ac:dyDescent="0.2">
      <c r="C6915" s="209"/>
      <c r="D6915" s="209"/>
      <c r="E6915" s="209"/>
      <c r="J6915" s="124"/>
    </row>
    <row r="6916" spans="3:10" x14ac:dyDescent="0.2">
      <c r="C6916" s="209"/>
      <c r="D6916" s="209"/>
      <c r="E6916" s="209"/>
      <c r="J6916" s="124"/>
    </row>
    <row r="6917" spans="3:10" x14ac:dyDescent="0.2">
      <c r="C6917" s="209"/>
      <c r="D6917" s="209"/>
      <c r="E6917" s="209"/>
      <c r="J6917" s="124"/>
    </row>
    <row r="6918" spans="3:10" x14ac:dyDescent="0.2">
      <c r="C6918" s="209"/>
      <c r="D6918" s="209"/>
      <c r="E6918" s="209"/>
      <c r="J6918" s="124"/>
    </row>
    <row r="6919" spans="3:10" x14ac:dyDescent="0.2">
      <c r="C6919" s="209"/>
      <c r="D6919" s="209"/>
      <c r="E6919" s="209"/>
      <c r="J6919" s="124"/>
    </row>
    <row r="6920" spans="3:10" x14ac:dyDescent="0.2">
      <c r="C6920" s="209"/>
      <c r="D6920" s="209"/>
      <c r="E6920" s="209"/>
      <c r="J6920" s="124"/>
    </row>
    <row r="6921" spans="3:10" x14ac:dyDescent="0.2">
      <c r="C6921" s="209"/>
      <c r="D6921" s="209"/>
      <c r="E6921" s="209"/>
      <c r="J6921" s="124"/>
    </row>
    <row r="6922" spans="3:10" x14ac:dyDescent="0.2">
      <c r="C6922" s="209"/>
      <c r="D6922" s="209"/>
      <c r="E6922" s="209"/>
      <c r="J6922" s="124"/>
    </row>
    <row r="6923" spans="3:10" x14ac:dyDescent="0.2">
      <c r="C6923" s="209"/>
      <c r="D6923" s="209"/>
      <c r="E6923" s="209"/>
      <c r="J6923" s="124"/>
    </row>
    <row r="6924" spans="3:10" x14ac:dyDescent="0.2">
      <c r="C6924" s="209"/>
      <c r="D6924" s="209"/>
      <c r="E6924" s="209"/>
      <c r="J6924" s="124"/>
    </row>
    <row r="6925" spans="3:10" x14ac:dyDescent="0.2">
      <c r="C6925" s="209"/>
      <c r="D6925" s="209"/>
      <c r="E6925" s="209"/>
      <c r="J6925" s="124"/>
    </row>
    <row r="6926" spans="3:10" x14ac:dyDescent="0.2">
      <c r="C6926" s="209"/>
      <c r="D6926" s="209"/>
      <c r="E6926" s="209"/>
      <c r="J6926" s="124"/>
    </row>
    <row r="6927" spans="3:10" x14ac:dyDescent="0.2">
      <c r="C6927" s="209"/>
      <c r="D6927" s="209"/>
      <c r="E6927" s="209"/>
      <c r="J6927" s="124"/>
    </row>
    <row r="6928" spans="3:10" x14ac:dyDescent="0.2">
      <c r="C6928" s="209"/>
      <c r="D6928" s="209"/>
      <c r="E6928" s="209"/>
      <c r="J6928" s="124"/>
    </row>
    <row r="6929" spans="3:10" x14ac:dyDescent="0.2">
      <c r="C6929" s="209"/>
      <c r="D6929" s="209"/>
      <c r="E6929" s="209"/>
      <c r="J6929" s="124"/>
    </row>
    <row r="6930" spans="3:10" x14ac:dyDescent="0.2">
      <c r="C6930" s="209"/>
      <c r="D6930" s="209"/>
      <c r="E6930" s="209"/>
      <c r="J6930" s="124"/>
    </row>
    <row r="6931" spans="3:10" x14ac:dyDescent="0.2">
      <c r="C6931" s="209"/>
      <c r="D6931" s="209"/>
      <c r="E6931" s="209"/>
      <c r="J6931" s="124"/>
    </row>
    <row r="6932" spans="3:10" x14ac:dyDescent="0.2">
      <c r="C6932" s="209"/>
      <c r="D6932" s="209"/>
      <c r="E6932" s="209"/>
      <c r="J6932" s="124"/>
    </row>
    <row r="6933" spans="3:10" x14ac:dyDescent="0.2">
      <c r="C6933" s="209"/>
      <c r="D6933" s="209"/>
      <c r="E6933" s="209"/>
      <c r="J6933" s="124"/>
    </row>
    <row r="6934" spans="3:10" x14ac:dyDescent="0.2">
      <c r="C6934" s="209"/>
      <c r="D6934" s="209"/>
      <c r="E6934" s="209"/>
      <c r="J6934" s="124"/>
    </row>
    <row r="6935" spans="3:10" x14ac:dyDescent="0.2">
      <c r="C6935" s="209"/>
      <c r="D6935" s="209"/>
      <c r="E6935" s="209"/>
      <c r="J6935" s="124"/>
    </row>
    <row r="6936" spans="3:10" x14ac:dyDescent="0.2">
      <c r="C6936" s="209"/>
      <c r="D6936" s="209"/>
      <c r="E6936" s="209"/>
      <c r="J6936" s="124"/>
    </row>
    <row r="6937" spans="3:10" x14ac:dyDescent="0.2">
      <c r="C6937" s="209"/>
      <c r="D6937" s="209"/>
      <c r="E6937" s="209"/>
      <c r="J6937" s="124"/>
    </row>
    <row r="6938" spans="3:10" x14ac:dyDescent="0.2">
      <c r="C6938" s="209"/>
      <c r="D6938" s="209"/>
      <c r="E6938" s="209"/>
      <c r="J6938" s="124"/>
    </row>
    <row r="6939" spans="3:10" x14ac:dyDescent="0.2">
      <c r="C6939" s="209"/>
      <c r="D6939" s="209"/>
      <c r="E6939" s="209"/>
      <c r="J6939" s="124"/>
    </row>
    <row r="6940" spans="3:10" x14ac:dyDescent="0.2">
      <c r="C6940" s="209"/>
      <c r="D6940" s="209"/>
      <c r="E6940" s="209"/>
      <c r="J6940" s="124"/>
    </row>
    <row r="6941" spans="3:10" x14ac:dyDescent="0.2">
      <c r="C6941" s="209"/>
      <c r="D6941" s="209"/>
      <c r="E6941" s="209"/>
      <c r="J6941" s="124"/>
    </row>
    <row r="6942" spans="3:10" x14ac:dyDescent="0.2">
      <c r="C6942" s="209"/>
      <c r="D6942" s="209"/>
      <c r="E6942" s="209"/>
      <c r="J6942" s="124"/>
    </row>
    <row r="6943" spans="3:10" x14ac:dyDescent="0.2">
      <c r="C6943" s="209"/>
      <c r="D6943" s="209"/>
      <c r="E6943" s="209"/>
      <c r="J6943" s="124"/>
    </row>
    <row r="6944" spans="3:10" x14ac:dyDescent="0.2">
      <c r="C6944" s="209"/>
      <c r="D6944" s="209"/>
      <c r="E6944" s="209"/>
      <c r="J6944" s="124"/>
    </row>
    <row r="6945" spans="3:10" x14ac:dyDescent="0.2">
      <c r="C6945" s="209"/>
      <c r="D6945" s="209"/>
      <c r="E6945" s="209"/>
      <c r="J6945" s="124"/>
    </row>
    <row r="6946" spans="3:10" x14ac:dyDescent="0.2">
      <c r="C6946" s="209"/>
      <c r="D6946" s="209"/>
      <c r="E6946" s="209"/>
      <c r="J6946" s="124"/>
    </row>
    <row r="6947" spans="3:10" x14ac:dyDescent="0.2">
      <c r="C6947" s="209"/>
      <c r="D6947" s="209"/>
      <c r="E6947" s="209"/>
      <c r="J6947" s="124"/>
    </row>
    <row r="6948" spans="3:10" x14ac:dyDescent="0.2">
      <c r="C6948" s="209"/>
      <c r="D6948" s="209"/>
      <c r="E6948" s="209"/>
      <c r="J6948" s="124"/>
    </row>
    <row r="6949" spans="3:10" x14ac:dyDescent="0.2">
      <c r="C6949" s="209"/>
      <c r="D6949" s="209"/>
      <c r="E6949" s="209"/>
      <c r="J6949" s="124"/>
    </row>
    <row r="6950" spans="3:10" x14ac:dyDescent="0.2">
      <c r="C6950" s="209"/>
      <c r="D6950" s="209"/>
      <c r="E6950" s="209"/>
      <c r="J6950" s="124"/>
    </row>
    <row r="6951" spans="3:10" x14ac:dyDescent="0.2">
      <c r="C6951" s="209"/>
      <c r="D6951" s="209"/>
      <c r="E6951" s="209"/>
      <c r="J6951" s="124"/>
    </row>
    <row r="6952" spans="3:10" x14ac:dyDescent="0.2">
      <c r="C6952" s="209"/>
      <c r="D6952" s="209"/>
      <c r="E6952" s="209"/>
      <c r="J6952" s="124"/>
    </row>
    <row r="6953" spans="3:10" x14ac:dyDescent="0.2">
      <c r="C6953" s="209"/>
      <c r="D6953" s="209"/>
      <c r="E6953" s="209"/>
      <c r="J6953" s="124"/>
    </row>
    <row r="6954" spans="3:10" x14ac:dyDescent="0.2">
      <c r="C6954" s="209"/>
      <c r="D6954" s="209"/>
      <c r="E6954" s="209"/>
      <c r="J6954" s="124"/>
    </row>
    <row r="6955" spans="3:10" x14ac:dyDescent="0.2">
      <c r="C6955" s="209"/>
      <c r="D6955" s="209"/>
      <c r="E6955" s="209"/>
      <c r="J6955" s="124"/>
    </row>
    <row r="6956" spans="3:10" x14ac:dyDescent="0.2">
      <c r="C6956" s="209"/>
      <c r="D6956" s="209"/>
      <c r="E6956" s="209"/>
      <c r="J6956" s="124"/>
    </row>
    <row r="6957" spans="3:10" x14ac:dyDescent="0.2">
      <c r="C6957" s="209"/>
      <c r="D6957" s="209"/>
      <c r="E6957" s="209"/>
      <c r="J6957" s="124"/>
    </row>
    <row r="6958" spans="3:10" x14ac:dyDescent="0.2">
      <c r="C6958" s="209"/>
      <c r="D6958" s="209"/>
      <c r="E6958" s="209"/>
      <c r="J6958" s="124"/>
    </row>
    <row r="6959" spans="3:10" x14ac:dyDescent="0.2">
      <c r="C6959" s="209"/>
      <c r="D6959" s="209"/>
      <c r="E6959" s="209"/>
      <c r="J6959" s="124"/>
    </row>
    <row r="6960" spans="3:10" x14ac:dyDescent="0.2">
      <c r="C6960" s="209"/>
      <c r="D6960" s="209"/>
      <c r="E6960" s="209"/>
      <c r="J6960" s="124"/>
    </row>
    <row r="6961" spans="3:10" x14ac:dyDescent="0.2">
      <c r="C6961" s="209"/>
      <c r="D6961" s="209"/>
      <c r="E6961" s="209"/>
      <c r="J6961" s="124"/>
    </row>
    <row r="6962" spans="3:10" x14ac:dyDescent="0.2">
      <c r="C6962" s="209"/>
      <c r="D6962" s="209"/>
      <c r="E6962" s="209"/>
      <c r="J6962" s="124"/>
    </row>
    <row r="6963" spans="3:10" x14ac:dyDescent="0.2">
      <c r="C6963" s="209"/>
      <c r="D6963" s="209"/>
      <c r="E6963" s="209"/>
      <c r="J6963" s="124"/>
    </row>
    <row r="6964" spans="3:10" x14ac:dyDescent="0.2">
      <c r="C6964" s="209"/>
      <c r="D6964" s="209"/>
      <c r="E6964" s="209"/>
      <c r="J6964" s="124"/>
    </row>
    <row r="6965" spans="3:10" x14ac:dyDescent="0.2">
      <c r="C6965" s="209"/>
      <c r="D6965" s="209"/>
      <c r="E6965" s="209"/>
      <c r="J6965" s="124"/>
    </row>
    <row r="6966" spans="3:10" x14ac:dyDescent="0.2">
      <c r="C6966" s="209"/>
      <c r="D6966" s="209"/>
      <c r="E6966" s="209"/>
      <c r="J6966" s="124"/>
    </row>
    <row r="6967" spans="3:10" x14ac:dyDescent="0.2">
      <c r="C6967" s="209"/>
      <c r="D6967" s="209"/>
      <c r="E6967" s="209"/>
      <c r="J6967" s="124"/>
    </row>
    <row r="6968" spans="3:10" x14ac:dyDescent="0.2">
      <c r="C6968" s="209"/>
      <c r="D6968" s="209"/>
      <c r="E6968" s="209"/>
      <c r="J6968" s="124"/>
    </row>
    <row r="6969" spans="3:10" x14ac:dyDescent="0.2">
      <c r="C6969" s="209"/>
      <c r="D6969" s="209"/>
      <c r="E6969" s="209"/>
      <c r="J6969" s="124"/>
    </row>
    <row r="6970" spans="3:10" x14ac:dyDescent="0.2">
      <c r="C6970" s="209"/>
      <c r="D6970" s="209"/>
      <c r="E6970" s="209"/>
      <c r="J6970" s="124"/>
    </row>
    <row r="6971" spans="3:10" x14ac:dyDescent="0.2">
      <c r="C6971" s="209"/>
      <c r="D6971" s="209"/>
      <c r="E6971" s="209"/>
      <c r="J6971" s="124"/>
    </row>
    <row r="6972" spans="3:10" x14ac:dyDescent="0.2">
      <c r="C6972" s="209"/>
      <c r="D6972" s="209"/>
      <c r="E6972" s="209"/>
      <c r="J6972" s="124"/>
    </row>
    <row r="6973" spans="3:10" x14ac:dyDescent="0.2">
      <c r="C6973" s="209"/>
      <c r="D6973" s="209"/>
      <c r="E6973" s="209"/>
      <c r="J6973" s="124"/>
    </row>
    <row r="6974" spans="3:10" x14ac:dyDescent="0.2">
      <c r="C6974" s="209"/>
      <c r="D6974" s="209"/>
      <c r="E6974" s="209"/>
      <c r="J6974" s="124"/>
    </row>
    <row r="6975" spans="3:10" x14ac:dyDescent="0.2">
      <c r="C6975" s="209"/>
      <c r="D6975" s="209"/>
      <c r="E6975" s="209"/>
      <c r="J6975" s="124"/>
    </row>
    <row r="6976" spans="3:10" x14ac:dyDescent="0.2">
      <c r="C6976" s="209"/>
      <c r="D6976" s="209"/>
      <c r="E6976" s="209"/>
      <c r="J6976" s="124"/>
    </row>
    <row r="6977" spans="3:10" x14ac:dyDescent="0.2">
      <c r="C6977" s="209"/>
      <c r="D6977" s="209"/>
      <c r="E6977" s="209"/>
      <c r="J6977" s="124"/>
    </row>
    <row r="6978" spans="3:10" x14ac:dyDescent="0.2">
      <c r="C6978" s="209"/>
      <c r="D6978" s="209"/>
      <c r="E6978" s="209"/>
      <c r="J6978" s="124"/>
    </row>
    <row r="6979" spans="3:10" x14ac:dyDescent="0.2">
      <c r="C6979" s="209"/>
      <c r="D6979" s="209"/>
      <c r="E6979" s="209"/>
      <c r="J6979" s="124"/>
    </row>
    <row r="6980" spans="3:10" x14ac:dyDescent="0.2">
      <c r="C6980" s="209"/>
      <c r="D6980" s="209"/>
      <c r="E6980" s="209"/>
      <c r="J6980" s="124"/>
    </row>
    <row r="6981" spans="3:10" x14ac:dyDescent="0.2">
      <c r="C6981" s="209"/>
      <c r="D6981" s="209"/>
      <c r="E6981" s="209"/>
      <c r="J6981" s="124"/>
    </row>
    <row r="6982" spans="3:10" x14ac:dyDescent="0.2">
      <c r="C6982" s="209"/>
      <c r="D6982" s="209"/>
      <c r="E6982" s="209"/>
      <c r="J6982" s="124"/>
    </row>
    <row r="6983" spans="3:10" x14ac:dyDescent="0.2">
      <c r="C6983" s="209"/>
      <c r="D6983" s="209"/>
      <c r="E6983" s="209"/>
      <c r="J6983" s="124"/>
    </row>
    <row r="6984" spans="3:10" x14ac:dyDescent="0.2">
      <c r="C6984" s="209"/>
      <c r="D6984" s="209"/>
      <c r="E6984" s="209"/>
      <c r="J6984" s="124"/>
    </row>
    <row r="6985" spans="3:10" x14ac:dyDescent="0.2">
      <c r="C6985" s="209"/>
      <c r="D6985" s="209"/>
      <c r="E6985" s="209"/>
      <c r="J6985" s="124"/>
    </row>
    <row r="6986" spans="3:10" x14ac:dyDescent="0.2">
      <c r="C6986" s="209"/>
      <c r="D6986" s="209"/>
      <c r="E6986" s="209"/>
      <c r="J6986" s="124"/>
    </row>
    <row r="6987" spans="3:10" x14ac:dyDescent="0.2">
      <c r="C6987" s="209"/>
      <c r="D6987" s="209"/>
      <c r="E6987" s="209"/>
      <c r="J6987" s="124"/>
    </row>
    <row r="6988" spans="3:10" x14ac:dyDescent="0.2">
      <c r="C6988" s="209"/>
      <c r="D6988" s="209"/>
      <c r="E6988" s="209"/>
      <c r="J6988" s="124"/>
    </row>
    <row r="6989" spans="3:10" x14ac:dyDescent="0.2">
      <c r="C6989" s="209"/>
      <c r="D6989" s="209"/>
      <c r="E6989" s="209"/>
      <c r="J6989" s="124"/>
    </row>
    <row r="6990" spans="3:10" x14ac:dyDescent="0.2">
      <c r="C6990" s="209"/>
      <c r="D6990" s="209"/>
      <c r="E6990" s="209"/>
      <c r="J6990" s="124"/>
    </row>
    <row r="6991" spans="3:10" x14ac:dyDescent="0.2">
      <c r="C6991" s="209"/>
      <c r="D6991" s="209"/>
      <c r="E6991" s="209"/>
      <c r="J6991" s="124"/>
    </row>
    <row r="6992" spans="3:10" x14ac:dyDescent="0.2">
      <c r="C6992" s="209"/>
      <c r="D6992" s="209"/>
      <c r="E6992" s="209"/>
      <c r="J6992" s="124"/>
    </row>
    <row r="6993" spans="3:10" x14ac:dyDescent="0.2">
      <c r="C6993" s="209"/>
      <c r="D6993" s="209"/>
      <c r="E6993" s="209"/>
      <c r="J6993" s="124"/>
    </row>
    <row r="6994" spans="3:10" x14ac:dyDescent="0.2">
      <c r="C6994" s="209"/>
      <c r="D6994" s="209"/>
      <c r="E6994" s="209"/>
      <c r="J6994" s="124"/>
    </row>
    <row r="6995" spans="3:10" x14ac:dyDescent="0.2">
      <c r="C6995" s="209"/>
      <c r="D6995" s="209"/>
      <c r="E6995" s="209"/>
      <c r="J6995" s="124"/>
    </row>
    <row r="6996" spans="3:10" x14ac:dyDescent="0.2">
      <c r="C6996" s="209"/>
      <c r="D6996" s="209"/>
      <c r="E6996" s="209"/>
      <c r="J6996" s="124"/>
    </row>
    <row r="6997" spans="3:10" x14ac:dyDescent="0.2">
      <c r="C6997" s="209"/>
      <c r="D6997" s="209"/>
      <c r="E6997" s="209"/>
      <c r="J6997" s="124"/>
    </row>
    <row r="6998" spans="3:10" x14ac:dyDescent="0.2">
      <c r="C6998" s="209"/>
      <c r="D6998" s="209"/>
      <c r="E6998" s="209"/>
      <c r="J6998" s="124"/>
    </row>
    <row r="6999" spans="3:10" x14ac:dyDescent="0.2">
      <c r="C6999" s="209"/>
      <c r="D6999" s="209"/>
      <c r="E6999" s="209"/>
      <c r="J6999" s="124"/>
    </row>
    <row r="7000" spans="3:10" x14ac:dyDescent="0.2">
      <c r="C7000" s="209"/>
      <c r="D7000" s="209"/>
      <c r="E7000" s="209"/>
      <c r="J7000" s="124"/>
    </row>
    <row r="7001" spans="3:10" x14ac:dyDescent="0.2">
      <c r="C7001" s="209"/>
      <c r="D7001" s="209"/>
      <c r="E7001" s="209"/>
      <c r="J7001" s="124"/>
    </row>
    <row r="7002" spans="3:10" x14ac:dyDescent="0.2">
      <c r="C7002" s="209"/>
      <c r="D7002" s="209"/>
      <c r="E7002" s="209"/>
      <c r="J7002" s="124"/>
    </row>
    <row r="7003" spans="3:10" x14ac:dyDescent="0.2">
      <c r="C7003" s="209"/>
      <c r="D7003" s="209"/>
      <c r="E7003" s="209"/>
      <c r="J7003" s="124"/>
    </row>
    <row r="7004" spans="3:10" x14ac:dyDescent="0.2">
      <c r="C7004" s="209"/>
      <c r="D7004" s="209"/>
      <c r="E7004" s="209"/>
      <c r="J7004" s="124"/>
    </row>
    <row r="7005" spans="3:10" x14ac:dyDescent="0.2">
      <c r="C7005" s="209"/>
      <c r="D7005" s="209"/>
      <c r="E7005" s="209"/>
      <c r="J7005" s="124"/>
    </row>
    <row r="7006" spans="3:10" x14ac:dyDescent="0.2">
      <c r="C7006" s="209"/>
      <c r="D7006" s="209"/>
      <c r="E7006" s="209"/>
      <c r="J7006" s="124"/>
    </row>
    <row r="7007" spans="3:10" x14ac:dyDescent="0.2">
      <c r="C7007" s="209"/>
      <c r="D7007" s="209"/>
      <c r="E7007" s="209"/>
      <c r="J7007" s="124"/>
    </row>
    <row r="7008" spans="3:10" x14ac:dyDescent="0.2">
      <c r="C7008" s="209"/>
      <c r="D7008" s="209"/>
      <c r="E7008" s="209"/>
      <c r="J7008" s="124"/>
    </row>
    <row r="7009" spans="3:10" x14ac:dyDescent="0.2">
      <c r="C7009" s="209"/>
      <c r="D7009" s="209"/>
      <c r="E7009" s="209"/>
      <c r="J7009" s="124"/>
    </row>
    <row r="7010" spans="3:10" x14ac:dyDescent="0.2">
      <c r="C7010" s="209"/>
      <c r="D7010" s="209"/>
      <c r="E7010" s="209"/>
      <c r="J7010" s="124"/>
    </row>
    <row r="7011" spans="3:10" x14ac:dyDescent="0.2">
      <c r="C7011" s="209"/>
      <c r="D7011" s="209"/>
      <c r="E7011" s="209"/>
      <c r="J7011" s="124"/>
    </row>
    <row r="7012" spans="3:10" x14ac:dyDescent="0.2">
      <c r="C7012" s="209"/>
      <c r="D7012" s="209"/>
      <c r="E7012" s="209"/>
      <c r="J7012" s="124"/>
    </row>
    <row r="7013" spans="3:10" x14ac:dyDescent="0.2">
      <c r="C7013" s="209"/>
      <c r="D7013" s="209"/>
      <c r="E7013" s="209"/>
      <c r="J7013" s="124"/>
    </row>
    <row r="7014" spans="3:10" x14ac:dyDescent="0.2">
      <c r="C7014" s="209"/>
      <c r="D7014" s="209"/>
      <c r="E7014" s="209"/>
      <c r="J7014" s="124"/>
    </row>
    <row r="7015" spans="3:10" x14ac:dyDescent="0.2">
      <c r="C7015" s="209"/>
      <c r="D7015" s="209"/>
      <c r="E7015" s="209"/>
      <c r="J7015" s="124"/>
    </row>
    <row r="7016" spans="3:10" x14ac:dyDescent="0.2">
      <c r="C7016" s="209"/>
      <c r="D7016" s="209"/>
      <c r="E7016" s="209"/>
      <c r="J7016" s="124"/>
    </row>
    <row r="7017" spans="3:10" x14ac:dyDescent="0.2">
      <c r="C7017" s="209"/>
      <c r="D7017" s="209"/>
      <c r="E7017" s="209"/>
      <c r="J7017" s="124"/>
    </row>
    <row r="7018" spans="3:10" x14ac:dyDescent="0.2">
      <c r="C7018" s="209"/>
      <c r="D7018" s="209"/>
      <c r="E7018" s="209"/>
      <c r="J7018" s="124"/>
    </row>
    <row r="7019" spans="3:10" x14ac:dyDescent="0.2">
      <c r="C7019" s="209"/>
      <c r="D7019" s="209"/>
      <c r="E7019" s="209"/>
      <c r="J7019" s="124"/>
    </row>
    <row r="7020" spans="3:10" x14ac:dyDescent="0.2">
      <c r="C7020" s="209"/>
      <c r="D7020" s="209"/>
      <c r="E7020" s="209"/>
      <c r="J7020" s="124"/>
    </row>
    <row r="7021" spans="3:10" x14ac:dyDescent="0.2">
      <c r="C7021" s="209"/>
      <c r="D7021" s="209"/>
      <c r="E7021" s="209"/>
      <c r="J7021" s="124"/>
    </row>
    <row r="7022" spans="3:10" x14ac:dyDescent="0.2">
      <c r="C7022" s="209"/>
      <c r="D7022" s="209"/>
      <c r="E7022" s="209"/>
      <c r="J7022" s="124"/>
    </row>
    <row r="7023" spans="3:10" x14ac:dyDescent="0.2">
      <c r="C7023" s="209"/>
      <c r="D7023" s="209"/>
      <c r="E7023" s="209"/>
      <c r="J7023" s="124"/>
    </row>
    <row r="7024" spans="3:10" x14ac:dyDescent="0.2">
      <c r="C7024" s="209"/>
      <c r="D7024" s="209"/>
      <c r="E7024" s="209"/>
      <c r="J7024" s="124"/>
    </row>
    <row r="7025" spans="3:10" x14ac:dyDescent="0.2">
      <c r="C7025" s="209"/>
      <c r="D7025" s="209"/>
      <c r="E7025" s="209"/>
      <c r="J7025" s="124"/>
    </row>
    <row r="7026" spans="3:10" x14ac:dyDescent="0.2">
      <c r="C7026" s="209"/>
      <c r="D7026" s="209"/>
      <c r="E7026" s="209"/>
      <c r="J7026" s="124"/>
    </row>
    <row r="7027" spans="3:10" x14ac:dyDescent="0.2">
      <c r="C7027" s="209"/>
      <c r="D7027" s="209"/>
      <c r="E7027" s="209"/>
      <c r="J7027" s="124"/>
    </row>
    <row r="7028" spans="3:10" x14ac:dyDescent="0.2">
      <c r="C7028" s="209"/>
      <c r="D7028" s="209"/>
      <c r="E7028" s="209"/>
      <c r="J7028" s="124"/>
    </row>
    <row r="7029" spans="3:10" x14ac:dyDescent="0.2">
      <c r="C7029" s="209"/>
      <c r="D7029" s="209"/>
      <c r="E7029" s="209"/>
      <c r="J7029" s="124"/>
    </row>
    <row r="7030" spans="3:10" x14ac:dyDescent="0.2">
      <c r="C7030" s="209"/>
      <c r="D7030" s="209"/>
      <c r="E7030" s="209"/>
      <c r="J7030" s="124"/>
    </row>
    <row r="7031" spans="3:10" x14ac:dyDescent="0.2">
      <c r="C7031" s="209"/>
      <c r="D7031" s="209"/>
      <c r="E7031" s="209"/>
      <c r="J7031" s="124"/>
    </row>
    <row r="7032" spans="3:10" x14ac:dyDescent="0.2">
      <c r="C7032" s="209"/>
      <c r="D7032" s="209"/>
      <c r="E7032" s="209"/>
      <c r="J7032" s="124"/>
    </row>
    <row r="7033" spans="3:10" x14ac:dyDescent="0.2">
      <c r="C7033" s="209"/>
      <c r="D7033" s="209"/>
      <c r="E7033" s="209"/>
      <c r="J7033" s="124"/>
    </row>
    <row r="7034" spans="3:10" x14ac:dyDescent="0.2">
      <c r="C7034" s="209"/>
      <c r="D7034" s="209"/>
      <c r="E7034" s="209"/>
      <c r="J7034" s="124"/>
    </row>
    <row r="7035" spans="3:10" x14ac:dyDescent="0.2">
      <c r="C7035" s="209"/>
      <c r="D7035" s="209"/>
      <c r="E7035" s="209"/>
      <c r="J7035" s="124"/>
    </row>
    <row r="7036" spans="3:10" x14ac:dyDescent="0.2">
      <c r="C7036" s="209"/>
      <c r="D7036" s="209"/>
      <c r="E7036" s="209"/>
      <c r="J7036" s="124"/>
    </row>
    <row r="7037" spans="3:10" x14ac:dyDescent="0.2">
      <c r="C7037" s="209"/>
      <c r="D7037" s="209"/>
      <c r="E7037" s="209"/>
      <c r="J7037" s="124"/>
    </row>
    <row r="7038" spans="3:10" x14ac:dyDescent="0.2">
      <c r="C7038" s="209"/>
      <c r="D7038" s="209"/>
      <c r="E7038" s="209"/>
      <c r="J7038" s="124"/>
    </row>
    <row r="7039" spans="3:10" x14ac:dyDescent="0.2">
      <c r="C7039" s="209"/>
      <c r="D7039" s="209"/>
      <c r="E7039" s="209"/>
      <c r="J7039" s="124"/>
    </row>
    <row r="7040" spans="3:10" x14ac:dyDescent="0.2">
      <c r="C7040" s="209"/>
      <c r="D7040" s="209"/>
      <c r="E7040" s="209"/>
      <c r="J7040" s="124"/>
    </row>
    <row r="7041" spans="3:10" x14ac:dyDescent="0.2">
      <c r="C7041" s="209"/>
      <c r="D7041" s="209"/>
      <c r="E7041" s="209"/>
      <c r="J7041" s="124"/>
    </row>
    <row r="7042" spans="3:10" x14ac:dyDescent="0.2">
      <c r="C7042" s="209"/>
      <c r="D7042" s="209"/>
      <c r="E7042" s="209"/>
      <c r="J7042" s="124"/>
    </row>
    <row r="7043" spans="3:10" x14ac:dyDescent="0.2">
      <c r="C7043" s="209"/>
      <c r="D7043" s="209"/>
      <c r="E7043" s="209"/>
      <c r="J7043" s="124"/>
    </row>
    <row r="7044" spans="3:10" x14ac:dyDescent="0.2">
      <c r="C7044" s="209"/>
      <c r="D7044" s="209"/>
      <c r="E7044" s="209"/>
      <c r="J7044" s="124"/>
    </row>
    <row r="7045" spans="3:10" x14ac:dyDescent="0.2">
      <c r="C7045" s="209"/>
      <c r="D7045" s="209"/>
      <c r="E7045" s="209"/>
      <c r="J7045" s="124"/>
    </row>
    <row r="7046" spans="3:10" x14ac:dyDescent="0.2">
      <c r="C7046" s="209"/>
      <c r="D7046" s="209"/>
      <c r="E7046" s="209"/>
      <c r="J7046" s="124"/>
    </row>
    <row r="7047" spans="3:10" x14ac:dyDescent="0.2">
      <c r="C7047" s="209"/>
      <c r="D7047" s="209"/>
      <c r="E7047" s="209"/>
      <c r="J7047" s="124"/>
    </row>
    <row r="7048" spans="3:10" x14ac:dyDescent="0.2">
      <c r="C7048" s="209"/>
      <c r="D7048" s="209"/>
      <c r="E7048" s="209"/>
      <c r="J7048" s="124"/>
    </row>
    <row r="7049" spans="3:10" x14ac:dyDescent="0.2">
      <c r="C7049" s="209"/>
      <c r="D7049" s="209"/>
      <c r="E7049" s="209"/>
      <c r="J7049" s="124"/>
    </row>
    <row r="7050" spans="3:10" x14ac:dyDescent="0.2">
      <c r="C7050" s="209"/>
      <c r="D7050" s="209"/>
      <c r="E7050" s="209"/>
      <c r="J7050" s="124"/>
    </row>
    <row r="7051" spans="3:10" x14ac:dyDescent="0.2">
      <c r="C7051" s="209"/>
      <c r="D7051" s="209"/>
      <c r="E7051" s="209"/>
      <c r="J7051" s="124"/>
    </row>
    <row r="7052" spans="3:10" x14ac:dyDescent="0.2">
      <c r="C7052" s="209"/>
      <c r="D7052" s="209"/>
      <c r="E7052" s="209"/>
      <c r="J7052" s="124"/>
    </row>
    <row r="7053" spans="3:10" x14ac:dyDescent="0.2">
      <c r="C7053" s="209"/>
      <c r="D7053" s="209"/>
      <c r="E7053" s="209"/>
      <c r="J7053" s="124"/>
    </row>
    <row r="7054" spans="3:10" x14ac:dyDescent="0.2">
      <c r="C7054" s="209"/>
      <c r="D7054" s="209"/>
      <c r="E7054" s="209"/>
      <c r="J7054" s="124"/>
    </row>
    <row r="7055" spans="3:10" x14ac:dyDescent="0.2">
      <c r="C7055" s="209"/>
      <c r="D7055" s="209"/>
      <c r="E7055" s="209"/>
      <c r="J7055" s="124"/>
    </row>
    <row r="7056" spans="3:10" x14ac:dyDescent="0.2">
      <c r="C7056" s="209"/>
      <c r="D7056" s="209"/>
      <c r="E7056" s="209"/>
      <c r="J7056" s="124"/>
    </row>
    <row r="7057" spans="3:10" x14ac:dyDescent="0.2">
      <c r="C7057" s="209"/>
      <c r="D7057" s="209"/>
      <c r="E7057" s="209"/>
      <c r="J7057" s="124"/>
    </row>
    <row r="7058" spans="3:10" x14ac:dyDescent="0.2">
      <c r="C7058" s="209"/>
      <c r="D7058" s="209"/>
      <c r="E7058" s="209"/>
      <c r="J7058" s="124"/>
    </row>
    <row r="7059" spans="3:10" x14ac:dyDescent="0.2">
      <c r="C7059" s="209"/>
      <c r="D7059" s="209"/>
      <c r="E7059" s="209"/>
      <c r="J7059" s="124"/>
    </row>
    <row r="7060" spans="3:10" x14ac:dyDescent="0.2">
      <c r="C7060" s="209"/>
      <c r="D7060" s="209"/>
      <c r="E7060" s="209"/>
      <c r="J7060" s="124"/>
    </row>
    <row r="7061" spans="3:10" x14ac:dyDescent="0.2">
      <c r="C7061" s="209"/>
      <c r="D7061" s="209"/>
      <c r="E7061" s="209"/>
      <c r="J7061" s="124"/>
    </row>
    <row r="7062" spans="3:10" x14ac:dyDescent="0.2">
      <c r="C7062" s="209"/>
      <c r="D7062" s="209"/>
      <c r="E7062" s="209"/>
      <c r="J7062" s="124"/>
    </row>
    <row r="7063" spans="3:10" x14ac:dyDescent="0.2">
      <c r="C7063" s="209"/>
      <c r="D7063" s="209"/>
      <c r="E7063" s="209"/>
      <c r="J7063" s="124"/>
    </row>
    <row r="7064" spans="3:10" x14ac:dyDescent="0.2">
      <c r="C7064" s="209"/>
      <c r="D7064" s="209"/>
      <c r="E7064" s="209"/>
      <c r="J7064" s="124"/>
    </row>
    <row r="7065" spans="3:10" x14ac:dyDescent="0.2">
      <c r="C7065" s="209"/>
      <c r="D7065" s="209"/>
      <c r="E7065" s="209"/>
      <c r="J7065" s="124"/>
    </row>
    <row r="7066" spans="3:10" x14ac:dyDescent="0.2">
      <c r="C7066" s="209"/>
      <c r="D7066" s="209"/>
      <c r="E7066" s="209"/>
      <c r="J7066" s="124"/>
    </row>
    <row r="7067" spans="3:10" x14ac:dyDescent="0.2">
      <c r="C7067" s="209"/>
      <c r="D7067" s="209"/>
      <c r="E7067" s="209"/>
      <c r="J7067" s="124"/>
    </row>
    <row r="7068" spans="3:10" x14ac:dyDescent="0.2">
      <c r="C7068" s="209"/>
      <c r="D7068" s="209"/>
      <c r="E7068" s="209"/>
      <c r="J7068" s="124"/>
    </row>
    <row r="7069" spans="3:10" x14ac:dyDescent="0.2">
      <c r="C7069" s="209"/>
      <c r="D7069" s="209"/>
      <c r="E7069" s="209"/>
      <c r="J7069" s="124"/>
    </row>
    <row r="7070" spans="3:10" x14ac:dyDescent="0.2">
      <c r="C7070" s="209"/>
      <c r="D7070" s="209"/>
      <c r="E7070" s="209"/>
      <c r="J7070" s="124"/>
    </row>
    <row r="7071" spans="3:10" x14ac:dyDescent="0.2">
      <c r="C7071" s="209"/>
      <c r="D7071" s="209"/>
      <c r="E7071" s="209"/>
      <c r="J7071" s="124"/>
    </row>
    <row r="7072" spans="3:10" x14ac:dyDescent="0.2">
      <c r="C7072" s="209"/>
      <c r="D7072" s="209"/>
      <c r="E7072" s="209"/>
      <c r="J7072" s="124"/>
    </row>
    <row r="7073" spans="3:10" x14ac:dyDescent="0.2">
      <c r="C7073" s="209"/>
      <c r="D7073" s="209"/>
      <c r="E7073" s="209"/>
      <c r="J7073" s="124"/>
    </row>
    <row r="7074" spans="3:10" x14ac:dyDescent="0.2">
      <c r="C7074" s="209"/>
      <c r="D7074" s="209"/>
      <c r="E7074" s="209"/>
      <c r="J7074" s="124"/>
    </row>
    <row r="7075" spans="3:10" x14ac:dyDescent="0.2">
      <c r="C7075" s="209"/>
      <c r="D7075" s="209"/>
      <c r="E7075" s="209"/>
      <c r="J7075" s="124"/>
    </row>
    <row r="7076" spans="3:10" x14ac:dyDescent="0.2">
      <c r="C7076" s="209"/>
      <c r="D7076" s="209"/>
      <c r="E7076" s="209"/>
      <c r="J7076" s="124"/>
    </row>
    <row r="7077" spans="3:10" x14ac:dyDescent="0.2">
      <c r="C7077" s="209"/>
      <c r="D7077" s="209"/>
      <c r="E7077" s="209"/>
      <c r="J7077" s="124"/>
    </row>
    <row r="7078" spans="3:10" x14ac:dyDescent="0.2">
      <c r="C7078" s="209"/>
      <c r="D7078" s="209"/>
      <c r="E7078" s="209"/>
      <c r="J7078" s="124"/>
    </row>
    <row r="7079" spans="3:10" x14ac:dyDescent="0.2">
      <c r="C7079" s="209"/>
      <c r="D7079" s="209"/>
      <c r="E7079" s="209"/>
      <c r="J7079" s="124"/>
    </row>
    <row r="7080" spans="3:10" x14ac:dyDescent="0.2">
      <c r="C7080" s="209"/>
      <c r="D7080" s="209"/>
      <c r="E7080" s="209"/>
      <c r="J7080" s="124"/>
    </row>
    <row r="7081" spans="3:10" x14ac:dyDescent="0.2">
      <c r="C7081" s="209"/>
      <c r="D7081" s="209"/>
      <c r="E7081" s="209"/>
      <c r="J7081" s="124"/>
    </row>
    <row r="7082" spans="3:10" x14ac:dyDescent="0.2">
      <c r="C7082" s="209"/>
      <c r="D7082" s="209"/>
      <c r="E7082" s="209"/>
      <c r="J7082" s="124"/>
    </row>
    <row r="7083" spans="3:10" x14ac:dyDescent="0.2">
      <c r="C7083" s="209"/>
      <c r="D7083" s="209"/>
      <c r="E7083" s="209"/>
      <c r="J7083" s="124"/>
    </row>
    <row r="7084" spans="3:10" x14ac:dyDescent="0.2">
      <c r="C7084" s="209"/>
      <c r="D7084" s="209"/>
      <c r="E7084" s="209"/>
      <c r="J7084" s="124"/>
    </row>
    <row r="7085" spans="3:10" x14ac:dyDescent="0.2">
      <c r="C7085" s="209"/>
      <c r="D7085" s="209"/>
      <c r="E7085" s="209"/>
      <c r="J7085" s="124"/>
    </row>
    <row r="7086" spans="3:10" x14ac:dyDescent="0.2">
      <c r="C7086" s="209"/>
      <c r="D7086" s="209"/>
      <c r="E7086" s="209"/>
      <c r="J7086" s="124"/>
    </row>
    <row r="7087" spans="3:10" x14ac:dyDescent="0.2">
      <c r="C7087" s="209"/>
      <c r="D7087" s="209"/>
      <c r="E7087" s="209"/>
      <c r="J7087" s="124"/>
    </row>
    <row r="7088" spans="3:10" x14ac:dyDescent="0.2">
      <c r="C7088" s="209"/>
      <c r="D7088" s="209"/>
      <c r="E7088" s="209"/>
      <c r="J7088" s="124"/>
    </row>
    <row r="7089" spans="3:10" x14ac:dyDescent="0.2">
      <c r="C7089" s="209"/>
      <c r="D7089" s="209"/>
      <c r="E7089" s="209"/>
      <c r="J7089" s="124"/>
    </row>
    <row r="7090" spans="3:10" x14ac:dyDescent="0.2">
      <c r="C7090" s="209"/>
      <c r="D7090" s="209"/>
      <c r="E7090" s="209"/>
      <c r="J7090" s="124"/>
    </row>
    <row r="7091" spans="3:10" x14ac:dyDescent="0.2">
      <c r="C7091" s="209"/>
      <c r="D7091" s="209"/>
      <c r="E7091" s="209"/>
      <c r="J7091" s="124"/>
    </row>
    <row r="7092" spans="3:10" x14ac:dyDescent="0.2">
      <c r="C7092" s="209"/>
      <c r="D7092" s="209"/>
      <c r="E7092" s="209"/>
      <c r="J7092" s="124"/>
    </row>
    <row r="7093" spans="3:10" x14ac:dyDescent="0.2">
      <c r="C7093" s="209"/>
      <c r="D7093" s="209"/>
      <c r="E7093" s="209"/>
      <c r="J7093" s="124"/>
    </row>
    <row r="7094" spans="3:10" x14ac:dyDescent="0.2">
      <c r="C7094" s="209"/>
      <c r="D7094" s="209"/>
      <c r="E7094" s="209"/>
      <c r="J7094" s="124"/>
    </row>
    <row r="7095" spans="3:10" x14ac:dyDescent="0.2">
      <c r="C7095" s="209"/>
      <c r="D7095" s="209"/>
      <c r="E7095" s="209"/>
      <c r="J7095" s="124"/>
    </row>
    <row r="7096" spans="3:10" x14ac:dyDescent="0.2">
      <c r="C7096" s="209"/>
      <c r="D7096" s="209"/>
      <c r="E7096" s="209"/>
      <c r="J7096" s="124"/>
    </row>
    <row r="7097" spans="3:10" x14ac:dyDescent="0.2">
      <c r="C7097" s="209"/>
      <c r="D7097" s="209"/>
      <c r="E7097" s="209"/>
      <c r="J7097" s="124"/>
    </row>
    <row r="7098" spans="3:10" x14ac:dyDescent="0.2">
      <c r="C7098" s="209"/>
      <c r="D7098" s="209"/>
      <c r="E7098" s="209"/>
      <c r="J7098" s="124"/>
    </row>
    <row r="7099" spans="3:10" x14ac:dyDescent="0.2">
      <c r="C7099" s="209"/>
      <c r="D7099" s="209"/>
      <c r="E7099" s="209"/>
      <c r="J7099" s="124"/>
    </row>
    <row r="7100" spans="3:10" x14ac:dyDescent="0.2">
      <c r="C7100" s="209"/>
      <c r="D7100" s="209"/>
      <c r="E7100" s="209"/>
      <c r="J7100" s="124"/>
    </row>
    <row r="7101" spans="3:10" x14ac:dyDescent="0.2">
      <c r="C7101" s="209"/>
      <c r="D7101" s="209"/>
      <c r="E7101" s="209"/>
      <c r="J7101" s="124"/>
    </row>
    <row r="7102" spans="3:10" x14ac:dyDescent="0.2">
      <c r="C7102" s="209"/>
      <c r="D7102" s="209"/>
      <c r="E7102" s="209"/>
      <c r="J7102" s="124"/>
    </row>
    <row r="7103" spans="3:10" x14ac:dyDescent="0.2">
      <c r="C7103" s="209"/>
      <c r="D7103" s="209"/>
      <c r="E7103" s="209"/>
      <c r="J7103" s="124"/>
    </row>
    <row r="7104" spans="3:10" x14ac:dyDescent="0.2">
      <c r="C7104" s="209"/>
      <c r="D7104" s="209"/>
      <c r="E7104" s="209"/>
      <c r="J7104" s="124"/>
    </row>
    <row r="7105" spans="3:10" x14ac:dyDescent="0.2">
      <c r="C7105" s="209"/>
      <c r="D7105" s="209"/>
      <c r="E7105" s="209"/>
      <c r="J7105" s="124"/>
    </row>
    <row r="7106" spans="3:10" x14ac:dyDescent="0.2">
      <c r="C7106" s="209"/>
      <c r="D7106" s="209"/>
      <c r="E7106" s="209"/>
      <c r="J7106" s="124"/>
    </row>
    <row r="7107" spans="3:10" x14ac:dyDescent="0.2">
      <c r="C7107" s="209"/>
      <c r="D7107" s="209"/>
      <c r="E7107" s="209"/>
      <c r="J7107" s="124"/>
    </row>
    <row r="7108" spans="3:10" x14ac:dyDescent="0.2">
      <c r="C7108" s="209"/>
      <c r="D7108" s="209"/>
      <c r="E7108" s="209"/>
      <c r="J7108" s="124"/>
    </row>
    <row r="7109" spans="3:10" x14ac:dyDescent="0.2">
      <c r="C7109" s="209"/>
      <c r="D7109" s="209"/>
      <c r="E7109" s="209"/>
      <c r="J7109" s="124"/>
    </row>
    <row r="7110" spans="3:10" x14ac:dyDescent="0.2">
      <c r="C7110" s="209"/>
      <c r="D7110" s="209"/>
      <c r="E7110" s="209"/>
      <c r="J7110" s="124"/>
    </row>
    <row r="7111" spans="3:10" x14ac:dyDescent="0.2">
      <c r="C7111" s="209"/>
      <c r="D7111" s="209"/>
      <c r="E7111" s="209"/>
      <c r="J7111" s="124"/>
    </row>
    <row r="7112" spans="3:10" x14ac:dyDescent="0.2">
      <c r="C7112" s="209"/>
      <c r="D7112" s="209"/>
      <c r="E7112" s="209"/>
      <c r="J7112" s="124"/>
    </row>
    <row r="7113" spans="3:10" x14ac:dyDescent="0.2">
      <c r="C7113" s="209"/>
      <c r="D7113" s="209"/>
      <c r="E7113" s="209"/>
      <c r="J7113" s="124"/>
    </row>
    <row r="7114" spans="3:10" x14ac:dyDescent="0.2">
      <c r="C7114" s="209"/>
      <c r="D7114" s="209"/>
      <c r="E7114" s="209"/>
      <c r="J7114" s="124"/>
    </row>
    <row r="7115" spans="3:10" x14ac:dyDescent="0.2">
      <c r="C7115" s="209"/>
      <c r="D7115" s="209"/>
      <c r="E7115" s="209"/>
      <c r="J7115" s="124"/>
    </row>
    <row r="7116" spans="3:10" x14ac:dyDescent="0.2">
      <c r="C7116" s="209"/>
      <c r="D7116" s="209"/>
      <c r="E7116" s="209"/>
      <c r="J7116" s="124"/>
    </row>
    <row r="7117" spans="3:10" x14ac:dyDescent="0.2">
      <c r="C7117" s="209"/>
      <c r="D7117" s="209"/>
      <c r="E7117" s="209"/>
      <c r="J7117" s="124"/>
    </row>
    <row r="7118" spans="3:10" x14ac:dyDescent="0.2">
      <c r="C7118" s="209"/>
      <c r="D7118" s="209"/>
      <c r="E7118" s="209"/>
      <c r="J7118" s="124"/>
    </row>
    <row r="7119" spans="3:10" x14ac:dyDescent="0.2">
      <c r="C7119" s="209"/>
      <c r="D7119" s="209"/>
      <c r="E7119" s="209"/>
      <c r="J7119" s="124"/>
    </row>
    <row r="7120" spans="3:10" x14ac:dyDescent="0.2">
      <c r="C7120" s="209"/>
      <c r="D7120" s="209"/>
      <c r="E7120" s="209"/>
      <c r="J7120" s="124"/>
    </row>
    <row r="7121" spans="3:10" x14ac:dyDescent="0.2">
      <c r="C7121" s="209"/>
      <c r="D7121" s="209"/>
      <c r="E7121" s="209"/>
      <c r="J7121" s="124"/>
    </row>
    <row r="7122" spans="3:10" x14ac:dyDescent="0.2">
      <c r="C7122" s="209"/>
      <c r="D7122" s="209"/>
      <c r="E7122" s="209"/>
      <c r="J7122" s="124"/>
    </row>
    <row r="7123" spans="3:10" x14ac:dyDescent="0.2">
      <c r="C7123" s="209"/>
      <c r="D7123" s="209"/>
      <c r="E7123" s="209"/>
      <c r="J7123" s="124"/>
    </row>
    <row r="7124" spans="3:10" x14ac:dyDescent="0.2">
      <c r="C7124" s="209"/>
      <c r="D7124" s="209"/>
      <c r="E7124" s="209"/>
      <c r="J7124" s="124"/>
    </row>
    <row r="7125" spans="3:10" x14ac:dyDescent="0.2">
      <c r="C7125" s="209"/>
      <c r="D7125" s="209"/>
      <c r="E7125" s="209"/>
      <c r="J7125" s="124"/>
    </row>
    <row r="7126" spans="3:10" x14ac:dyDescent="0.2">
      <c r="C7126" s="209"/>
      <c r="D7126" s="209"/>
      <c r="E7126" s="209"/>
      <c r="J7126" s="124"/>
    </row>
    <row r="7127" spans="3:10" x14ac:dyDescent="0.2">
      <c r="C7127" s="209"/>
      <c r="D7127" s="209"/>
      <c r="E7127" s="209"/>
      <c r="J7127" s="124"/>
    </row>
    <row r="7128" spans="3:10" x14ac:dyDescent="0.2">
      <c r="C7128" s="209"/>
      <c r="D7128" s="209"/>
      <c r="E7128" s="209"/>
      <c r="J7128" s="124"/>
    </row>
    <row r="7129" spans="3:10" x14ac:dyDescent="0.2">
      <c r="C7129" s="209"/>
      <c r="D7129" s="209"/>
      <c r="E7129" s="209"/>
      <c r="J7129" s="124"/>
    </row>
    <row r="7130" spans="3:10" x14ac:dyDescent="0.2">
      <c r="C7130" s="209"/>
      <c r="D7130" s="209"/>
      <c r="E7130" s="209"/>
      <c r="J7130" s="124"/>
    </row>
    <row r="7131" spans="3:10" x14ac:dyDescent="0.2">
      <c r="C7131" s="209"/>
      <c r="D7131" s="209"/>
      <c r="E7131" s="209"/>
      <c r="J7131" s="124"/>
    </row>
    <row r="7132" spans="3:10" x14ac:dyDescent="0.2">
      <c r="C7132" s="209"/>
      <c r="D7132" s="209"/>
      <c r="E7132" s="209"/>
      <c r="J7132" s="124"/>
    </row>
    <row r="7133" spans="3:10" x14ac:dyDescent="0.2">
      <c r="C7133" s="209"/>
      <c r="D7133" s="209"/>
      <c r="E7133" s="209"/>
      <c r="J7133" s="124"/>
    </row>
    <row r="7134" spans="3:10" x14ac:dyDescent="0.2">
      <c r="C7134" s="209"/>
      <c r="D7134" s="209"/>
      <c r="E7134" s="209"/>
      <c r="J7134" s="124"/>
    </row>
    <row r="7135" spans="3:10" x14ac:dyDescent="0.2">
      <c r="C7135" s="209"/>
      <c r="D7135" s="209"/>
      <c r="E7135" s="209"/>
      <c r="J7135" s="124"/>
    </row>
    <row r="7136" spans="3:10" x14ac:dyDescent="0.2">
      <c r="C7136" s="209"/>
      <c r="D7136" s="209"/>
      <c r="E7136" s="209"/>
      <c r="J7136" s="124"/>
    </row>
    <row r="7137" spans="3:10" x14ac:dyDescent="0.2">
      <c r="C7137" s="209"/>
      <c r="D7137" s="209"/>
      <c r="E7137" s="209"/>
      <c r="J7137" s="124"/>
    </row>
    <row r="7138" spans="3:10" x14ac:dyDescent="0.2">
      <c r="C7138" s="209"/>
      <c r="D7138" s="209"/>
      <c r="E7138" s="209"/>
      <c r="J7138" s="124"/>
    </row>
    <row r="7139" spans="3:10" x14ac:dyDescent="0.2">
      <c r="C7139" s="209"/>
      <c r="D7139" s="209"/>
      <c r="E7139" s="209"/>
      <c r="J7139" s="124"/>
    </row>
    <row r="7140" spans="3:10" x14ac:dyDescent="0.2">
      <c r="C7140" s="209"/>
      <c r="D7140" s="209"/>
      <c r="E7140" s="209"/>
      <c r="J7140" s="124"/>
    </row>
    <row r="7141" spans="3:10" x14ac:dyDescent="0.2">
      <c r="C7141" s="209"/>
      <c r="D7141" s="209"/>
      <c r="E7141" s="209"/>
      <c r="J7141" s="124"/>
    </row>
    <row r="7142" spans="3:10" x14ac:dyDescent="0.2">
      <c r="C7142" s="209"/>
      <c r="D7142" s="209"/>
      <c r="E7142" s="209"/>
      <c r="J7142" s="124"/>
    </row>
    <row r="7143" spans="3:10" x14ac:dyDescent="0.2">
      <c r="C7143" s="209"/>
      <c r="D7143" s="209"/>
      <c r="E7143" s="209"/>
      <c r="J7143" s="124"/>
    </row>
    <row r="7144" spans="3:10" x14ac:dyDescent="0.2">
      <c r="C7144" s="209"/>
      <c r="D7144" s="209"/>
      <c r="E7144" s="209"/>
      <c r="J7144" s="124"/>
    </row>
    <row r="7145" spans="3:10" x14ac:dyDescent="0.2">
      <c r="C7145" s="209"/>
      <c r="D7145" s="209"/>
      <c r="E7145" s="209"/>
      <c r="J7145" s="124"/>
    </row>
    <row r="7146" spans="3:10" x14ac:dyDescent="0.2">
      <c r="C7146" s="209"/>
      <c r="D7146" s="209"/>
      <c r="E7146" s="209"/>
      <c r="J7146" s="124"/>
    </row>
    <row r="7147" spans="3:10" x14ac:dyDescent="0.2">
      <c r="C7147" s="209"/>
      <c r="D7147" s="209"/>
      <c r="E7147" s="209"/>
      <c r="J7147" s="124"/>
    </row>
    <row r="7148" spans="3:10" x14ac:dyDescent="0.2">
      <c r="C7148" s="209"/>
      <c r="D7148" s="209"/>
      <c r="E7148" s="209"/>
      <c r="J7148" s="124"/>
    </row>
    <row r="7149" spans="3:10" x14ac:dyDescent="0.2">
      <c r="C7149" s="209"/>
      <c r="D7149" s="209"/>
      <c r="E7149" s="209"/>
      <c r="J7149" s="124"/>
    </row>
    <row r="7150" spans="3:10" x14ac:dyDescent="0.2">
      <c r="C7150" s="209"/>
      <c r="D7150" s="209"/>
      <c r="E7150" s="209"/>
      <c r="J7150" s="124"/>
    </row>
    <row r="7151" spans="3:10" x14ac:dyDescent="0.2">
      <c r="C7151" s="209"/>
      <c r="D7151" s="209"/>
      <c r="E7151" s="209"/>
      <c r="J7151" s="124"/>
    </row>
    <row r="7152" spans="3:10" x14ac:dyDescent="0.2">
      <c r="C7152" s="209"/>
      <c r="D7152" s="209"/>
      <c r="E7152" s="209"/>
      <c r="J7152" s="124"/>
    </row>
    <row r="7153" spans="3:10" x14ac:dyDescent="0.2">
      <c r="C7153" s="209"/>
      <c r="D7153" s="209"/>
      <c r="E7153" s="209"/>
      <c r="J7153" s="124"/>
    </row>
    <row r="7154" spans="3:10" x14ac:dyDescent="0.2">
      <c r="C7154" s="209"/>
      <c r="D7154" s="209"/>
      <c r="E7154" s="209"/>
      <c r="J7154" s="124"/>
    </row>
    <row r="7155" spans="3:10" x14ac:dyDescent="0.2">
      <c r="C7155" s="209"/>
      <c r="D7155" s="209"/>
      <c r="E7155" s="209"/>
      <c r="J7155" s="124"/>
    </row>
    <row r="7156" spans="3:10" x14ac:dyDescent="0.2">
      <c r="C7156" s="209"/>
      <c r="D7156" s="209"/>
      <c r="E7156" s="209"/>
      <c r="J7156" s="124"/>
    </row>
    <row r="7157" spans="3:10" x14ac:dyDescent="0.2">
      <c r="C7157" s="209"/>
      <c r="D7157" s="209"/>
      <c r="E7157" s="209"/>
      <c r="J7157" s="124"/>
    </row>
    <row r="7158" spans="3:10" x14ac:dyDescent="0.2">
      <c r="C7158" s="209"/>
      <c r="D7158" s="209"/>
      <c r="E7158" s="209"/>
      <c r="J7158" s="124"/>
    </row>
    <row r="7159" spans="3:10" x14ac:dyDescent="0.2">
      <c r="C7159" s="209"/>
      <c r="D7159" s="209"/>
      <c r="E7159" s="209"/>
      <c r="J7159" s="124"/>
    </row>
    <row r="7160" spans="3:10" x14ac:dyDescent="0.2">
      <c r="C7160" s="209"/>
      <c r="D7160" s="209"/>
      <c r="E7160" s="209"/>
      <c r="J7160" s="124"/>
    </row>
    <row r="7161" spans="3:10" x14ac:dyDescent="0.2">
      <c r="C7161" s="209"/>
      <c r="D7161" s="209"/>
      <c r="E7161" s="209"/>
      <c r="J7161" s="124"/>
    </row>
    <row r="7162" spans="3:10" x14ac:dyDescent="0.2">
      <c r="C7162" s="209"/>
      <c r="D7162" s="209"/>
      <c r="E7162" s="209"/>
      <c r="J7162" s="124"/>
    </row>
    <row r="7163" spans="3:10" x14ac:dyDescent="0.2">
      <c r="C7163" s="209"/>
      <c r="D7163" s="209"/>
      <c r="E7163" s="209"/>
      <c r="J7163" s="124"/>
    </row>
    <row r="7164" spans="3:10" x14ac:dyDescent="0.2">
      <c r="C7164" s="209"/>
      <c r="D7164" s="209"/>
      <c r="E7164" s="209"/>
      <c r="J7164" s="124"/>
    </row>
    <row r="7165" spans="3:10" x14ac:dyDescent="0.2">
      <c r="C7165" s="209"/>
      <c r="D7165" s="209"/>
      <c r="E7165" s="209"/>
      <c r="J7165" s="124"/>
    </row>
    <row r="7166" spans="3:10" x14ac:dyDescent="0.2">
      <c r="C7166" s="209"/>
      <c r="D7166" s="209"/>
      <c r="E7166" s="209"/>
      <c r="J7166" s="124"/>
    </row>
    <row r="7167" spans="3:10" x14ac:dyDescent="0.2">
      <c r="C7167" s="209"/>
      <c r="D7167" s="209"/>
      <c r="E7167" s="209"/>
      <c r="J7167" s="124"/>
    </row>
    <row r="7168" spans="3:10" x14ac:dyDescent="0.2">
      <c r="C7168" s="209"/>
      <c r="D7168" s="209"/>
      <c r="E7168" s="209"/>
      <c r="J7168" s="124"/>
    </row>
    <row r="7169" spans="3:10" x14ac:dyDescent="0.2">
      <c r="C7169" s="209"/>
      <c r="D7169" s="209"/>
      <c r="E7169" s="209"/>
      <c r="J7169" s="124"/>
    </row>
    <row r="7170" spans="3:10" x14ac:dyDescent="0.2">
      <c r="C7170" s="209"/>
      <c r="D7170" s="209"/>
      <c r="E7170" s="209"/>
      <c r="J7170" s="124"/>
    </row>
    <row r="7171" spans="3:10" x14ac:dyDescent="0.2">
      <c r="C7171" s="209"/>
      <c r="D7171" s="209"/>
      <c r="E7171" s="209"/>
      <c r="J7171" s="124"/>
    </row>
    <row r="7172" spans="3:10" x14ac:dyDescent="0.2">
      <c r="C7172" s="209"/>
      <c r="D7172" s="209"/>
      <c r="E7172" s="209"/>
      <c r="J7172" s="124"/>
    </row>
    <row r="7173" spans="3:10" x14ac:dyDescent="0.2">
      <c r="C7173" s="209"/>
      <c r="D7173" s="209"/>
      <c r="E7173" s="209"/>
      <c r="J7173" s="124"/>
    </row>
    <row r="7174" spans="3:10" x14ac:dyDescent="0.2">
      <c r="C7174" s="209"/>
      <c r="D7174" s="209"/>
      <c r="E7174" s="209"/>
      <c r="J7174" s="124"/>
    </row>
    <row r="7175" spans="3:10" x14ac:dyDescent="0.2">
      <c r="C7175" s="209"/>
      <c r="D7175" s="209"/>
      <c r="E7175" s="209"/>
      <c r="J7175" s="124"/>
    </row>
    <row r="7176" spans="3:10" x14ac:dyDescent="0.2">
      <c r="C7176" s="209"/>
      <c r="D7176" s="209"/>
      <c r="E7176" s="209"/>
      <c r="J7176" s="124"/>
    </row>
    <row r="7177" spans="3:10" x14ac:dyDescent="0.2">
      <c r="C7177" s="209"/>
      <c r="D7177" s="209"/>
      <c r="E7177" s="209"/>
      <c r="J7177" s="124"/>
    </row>
    <row r="7178" spans="3:10" x14ac:dyDescent="0.2">
      <c r="C7178" s="209"/>
      <c r="D7178" s="209"/>
      <c r="E7178" s="209"/>
      <c r="J7178" s="124"/>
    </row>
    <row r="7179" spans="3:10" x14ac:dyDescent="0.2">
      <c r="C7179" s="209"/>
      <c r="D7179" s="209"/>
      <c r="E7179" s="209"/>
      <c r="J7179" s="124"/>
    </row>
    <row r="7180" spans="3:10" x14ac:dyDescent="0.2">
      <c r="C7180" s="209"/>
      <c r="D7180" s="209"/>
      <c r="E7180" s="209"/>
      <c r="J7180" s="124"/>
    </row>
    <row r="7181" spans="3:10" x14ac:dyDescent="0.2">
      <c r="C7181" s="209"/>
      <c r="D7181" s="209"/>
      <c r="E7181" s="209"/>
      <c r="J7181" s="124"/>
    </row>
    <row r="7182" spans="3:10" x14ac:dyDescent="0.2">
      <c r="C7182" s="209"/>
      <c r="D7182" s="209"/>
      <c r="E7182" s="209"/>
      <c r="J7182" s="124"/>
    </row>
    <row r="7183" spans="3:10" x14ac:dyDescent="0.2">
      <c r="C7183" s="209"/>
      <c r="D7183" s="209"/>
      <c r="E7183" s="209"/>
      <c r="J7183" s="124"/>
    </row>
    <row r="7184" spans="3:10" x14ac:dyDescent="0.2">
      <c r="C7184" s="209"/>
      <c r="D7184" s="209"/>
      <c r="E7184" s="209"/>
      <c r="J7184" s="124"/>
    </row>
    <row r="7185" spans="3:10" x14ac:dyDescent="0.2">
      <c r="C7185" s="209"/>
      <c r="D7185" s="209"/>
      <c r="E7185" s="209"/>
      <c r="J7185" s="124"/>
    </row>
    <row r="7186" spans="3:10" x14ac:dyDescent="0.2">
      <c r="C7186" s="209"/>
      <c r="D7186" s="209"/>
      <c r="E7186" s="209"/>
      <c r="J7186" s="124"/>
    </row>
    <row r="7187" spans="3:10" x14ac:dyDescent="0.2">
      <c r="C7187" s="209"/>
      <c r="D7187" s="209"/>
      <c r="E7187" s="209"/>
      <c r="J7187" s="124"/>
    </row>
    <row r="7188" spans="3:10" x14ac:dyDescent="0.2">
      <c r="C7188" s="209"/>
      <c r="D7188" s="209"/>
      <c r="E7188" s="209"/>
      <c r="J7188" s="124"/>
    </row>
    <row r="7189" spans="3:10" x14ac:dyDescent="0.2">
      <c r="C7189" s="209"/>
      <c r="D7189" s="209"/>
      <c r="E7189" s="209"/>
      <c r="J7189" s="124"/>
    </row>
    <row r="7190" spans="3:10" x14ac:dyDescent="0.2">
      <c r="C7190" s="209"/>
      <c r="D7190" s="209"/>
      <c r="E7190" s="209"/>
      <c r="J7190" s="124"/>
    </row>
    <row r="7191" spans="3:10" x14ac:dyDescent="0.2">
      <c r="C7191" s="209"/>
      <c r="D7191" s="209"/>
      <c r="E7191" s="209"/>
      <c r="J7191" s="124"/>
    </row>
    <row r="7192" spans="3:10" x14ac:dyDescent="0.2">
      <c r="C7192" s="209"/>
      <c r="D7192" s="209"/>
      <c r="E7192" s="209"/>
      <c r="J7192" s="124"/>
    </row>
    <row r="7193" spans="3:10" x14ac:dyDescent="0.2">
      <c r="C7193" s="209"/>
      <c r="D7193" s="209"/>
      <c r="E7193" s="209"/>
      <c r="J7193" s="124"/>
    </row>
    <row r="7194" spans="3:10" x14ac:dyDescent="0.2">
      <c r="C7194" s="209"/>
      <c r="D7194" s="209"/>
      <c r="E7194" s="209"/>
      <c r="J7194" s="124"/>
    </row>
    <row r="7195" spans="3:10" x14ac:dyDescent="0.2">
      <c r="C7195" s="209"/>
      <c r="D7195" s="209"/>
      <c r="E7195" s="209"/>
      <c r="J7195" s="124"/>
    </row>
    <row r="7196" spans="3:10" x14ac:dyDescent="0.2">
      <c r="C7196" s="209"/>
      <c r="D7196" s="209"/>
      <c r="E7196" s="209"/>
      <c r="J7196" s="124"/>
    </row>
    <row r="7197" spans="3:10" x14ac:dyDescent="0.2">
      <c r="C7197" s="209"/>
      <c r="D7197" s="209"/>
      <c r="E7197" s="209"/>
      <c r="J7197" s="124"/>
    </row>
    <row r="7198" spans="3:10" x14ac:dyDescent="0.2">
      <c r="C7198" s="209"/>
      <c r="D7198" s="209"/>
      <c r="E7198" s="209"/>
      <c r="J7198" s="124"/>
    </row>
    <row r="7199" spans="3:10" x14ac:dyDescent="0.2">
      <c r="C7199" s="209"/>
      <c r="D7199" s="209"/>
      <c r="E7199" s="209"/>
      <c r="J7199" s="124"/>
    </row>
    <row r="7200" spans="3:10" x14ac:dyDescent="0.2">
      <c r="C7200" s="209"/>
      <c r="D7200" s="209"/>
      <c r="E7200" s="209"/>
      <c r="J7200" s="124"/>
    </row>
    <row r="7201" spans="3:10" x14ac:dyDescent="0.2">
      <c r="C7201" s="209"/>
      <c r="D7201" s="209"/>
      <c r="E7201" s="209"/>
      <c r="J7201" s="124"/>
    </row>
    <row r="7202" spans="3:10" x14ac:dyDescent="0.2">
      <c r="C7202" s="209"/>
      <c r="D7202" s="209"/>
      <c r="E7202" s="209"/>
      <c r="J7202" s="124"/>
    </row>
    <row r="7203" spans="3:10" x14ac:dyDescent="0.2">
      <c r="C7203" s="209"/>
      <c r="D7203" s="209"/>
      <c r="E7203" s="209"/>
      <c r="J7203" s="124"/>
    </row>
    <row r="7204" spans="3:10" x14ac:dyDescent="0.2">
      <c r="C7204" s="209"/>
      <c r="D7204" s="209"/>
      <c r="E7204" s="209"/>
      <c r="J7204" s="124"/>
    </row>
    <row r="7205" spans="3:10" x14ac:dyDescent="0.2">
      <c r="C7205" s="209"/>
      <c r="D7205" s="209"/>
      <c r="E7205" s="209"/>
      <c r="J7205" s="124"/>
    </row>
    <row r="7206" spans="3:10" x14ac:dyDescent="0.2">
      <c r="C7206" s="209"/>
      <c r="D7206" s="209"/>
      <c r="E7206" s="209"/>
      <c r="J7206" s="124"/>
    </row>
    <row r="7207" spans="3:10" x14ac:dyDescent="0.2">
      <c r="C7207" s="209"/>
      <c r="D7207" s="209"/>
      <c r="E7207" s="209"/>
      <c r="J7207" s="124"/>
    </row>
    <row r="7208" spans="3:10" x14ac:dyDescent="0.2">
      <c r="C7208" s="209"/>
      <c r="D7208" s="209"/>
      <c r="E7208" s="209"/>
      <c r="J7208" s="124"/>
    </row>
    <row r="7209" spans="3:10" x14ac:dyDescent="0.2">
      <c r="C7209" s="209"/>
      <c r="D7209" s="209"/>
      <c r="E7209" s="209"/>
      <c r="J7209" s="124"/>
    </row>
    <row r="7210" spans="3:10" x14ac:dyDescent="0.2">
      <c r="C7210" s="209"/>
      <c r="D7210" s="209"/>
      <c r="E7210" s="209"/>
      <c r="J7210" s="124"/>
    </row>
    <row r="7211" spans="3:10" x14ac:dyDescent="0.2">
      <c r="C7211" s="209"/>
      <c r="D7211" s="209"/>
      <c r="E7211" s="209"/>
      <c r="J7211" s="124"/>
    </row>
    <row r="7212" spans="3:10" x14ac:dyDescent="0.2">
      <c r="C7212" s="209"/>
      <c r="D7212" s="209"/>
      <c r="E7212" s="209"/>
      <c r="J7212" s="124"/>
    </row>
    <row r="7213" spans="3:10" x14ac:dyDescent="0.2">
      <c r="C7213" s="209"/>
      <c r="D7213" s="209"/>
      <c r="E7213" s="209"/>
      <c r="J7213" s="124"/>
    </row>
    <row r="7214" spans="3:10" x14ac:dyDescent="0.2">
      <c r="C7214" s="209"/>
      <c r="D7214" s="209"/>
      <c r="E7214" s="209"/>
      <c r="J7214" s="124"/>
    </row>
    <row r="7215" spans="3:10" x14ac:dyDescent="0.2">
      <c r="C7215" s="209"/>
      <c r="D7215" s="209"/>
      <c r="E7215" s="209"/>
      <c r="J7215" s="124"/>
    </row>
    <row r="7216" spans="3:10" x14ac:dyDescent="0.2">
      <c r="C7216" s="209"/>
      <c r="D7216" s="209"/>
      <c r="E7216" s="209"/>
      <c r="J7216" s="124"/>
    </row>
    <row r="7217" spans="3:10" x14ac:dyDescent="0.2">
      <c r="C7217" s="209"/>
      <c r="D7217" s="209"/>
      <c r="E7217" s="209"/>
      <c r="J7217" s="124"/>
    </row>
    <row r="7218" spans="3:10" x14ac:dyDescent="0.2">
      <c r="C7218" s="209"/>
      <c r="D7218" s="209"/>
      <c r="E7218" s="209"/>
      <c r="J7218" s="124"/>
    </row>
    <row r="7219" spans="3:10" x14ac:dyDescent="0.2">
      <c r="C7219" s="209"/>
      <c r="D7219" s="209"/>
      <c r="E7219" s="209"/>
      <c r="J7219" s="124"/>
    </row>
    <row r="7220" spans="3:10" x14ac:dyDescent="0.2">
      <c r="C7220" s="209"/>
      <c r="D7220" s="209"/>
      <c r="E7220" s="209"/>
      <c r="J7220" s="124"/>
    </row>
    <row r="7221" spans="3:10" x14ac:dyDescent="0.2">
      <c r="C7221" s="209"/>
      <c r="D7221" s="209"/>
      <c r="E7221" s="209"/>
      <c r="J7221" s="124"/>
    </row>
    <row r="7222" spans="3:10" x14ac:dyDescent="0.2">
      <c r="C7222" s="209"/>
      <c r="D7222" s="209"/>
      <c r="E7222" s="209"/>
      <c r="J7222" s="124"/>
    </row>
    <row r="7223" spans="3:10" x14ac:dyDescent="0.2">
      <c r="C7223" s="209"/>
      <c r="D7223" s="209"/>
      <c r="E7223" s="209"/>
      <c r="J7223" s="124"/>
    </row>
    <row r="7224" spans="3:10" x14ac:dyDescent="0.2">
      <c r="C7224" s="209"/>
      <c r="D7224" s="209"/>
      <c r="E7224" s="209"/>
      <c r="J7224" s="124"/>
    </row>
    <row r="7225" spans="3:10" x14ac:dyDescent="0.2">
      <c r="C7225" s="209"/>
      <c r="D7225" s="209"/>
      <c r="E7225" s="209"/>
      <c r="J7225" s="124"/>
    </row>
    <row r="7226" spans="3:10" x14ac:dyDescent="0.2">
      <c r="C7226" s="209"/>
      <c r="D7226" s="209"/>
      <c r="E7226" s="209"/>
      <c r="J7226" s="124"/>
    </row>
    <row r="7227" spans="3:10" x14ac:dyDescent="0.2">
      <c r="C7227" s="209"/>
      <c r="D7227" s="209"/>
      <c r="E7227" s="209"/>
      <c r="J7227" s="124"/>
    </row>
    <row r="7228" spans="3:10" x14ac:dyDescent="0.2">
      <c r="C7228" s="209"/>
      <c r="D7228" s="209"/>
      <c r="E7228" s="209"/>
      <c r="J7228" s="124"/>
    </row>
    <row r="7229" spans="3:10" x14ac:dyDescent="0.2">
      <c r="C7229" s="209"/>
      <c r="D7229" s="209"/>
      <c r="E7229" s="209"/>
      <c r="J7229" s="124"/>
    </row>
    <row r="7230" spans="3:10" x14ac:dyDescent="0.2">
      <c r="C7230" s="209"/>
      <c r="D7230" s="209"/>
      <c r="E7230" s="209"/>
      <c r="J7230" s="124"/>
    </row>
    <row r="7231" spans="3:10" x14ac:dyDescent="0.2">
      <c r="C7231" s="209"/>
      <c r="D7231" s="209"/>
      <c r="E7231" s="209"/>
      <c r="J7231" s="124"/>
    </row>
    <row r="7232" spans="3:10" x14ac:dyDescent="0.2">
      <c r="C7232" s="209"/>
      <c r="D7232" s="209"/>
      <c r="E7232" s="209"/>
      <c r="J7232" s="124"/>
    </row>
    <row r="7233" spans="3:10" x14ac:dyDescent="0.2">
      <c r="C7233" s="209"/>
      <c r="D7233" s="209"/>
      <c r="E7233" s="209"/>
      <c r="J7233" s="124"/>
    </row>
    <row r="7234" spans="3:10" x14ac:dyDescent="0.2">
      <c r="C7234" s="209"/>
      <c r="D7234" s="209"/>
      <c r="E7234" s="209"/>
      <c r="J7234" s="124"/>
    </row>
    <row r="7235" spans="3:10" x14ac:dyDescent="0.2">
      <c r="C7235" s="209"/>
      <c r="D7235" s="209"/>
      <c r="E7235" s="209"/>
      <c r="J7235" s="124"/>
    </row>
    <row r="7236" spans="3:10" x14ac:dyDescent="0.2">
      <c r="C7236" s="209"/>
      <c r="D7236" s="209"/>
      <c r="E7236" s="209"/>
      <c r="J7236" s="124"/>
    </row>
    <row r="7237" spans="3:10" x14ac:dyDescent="0.2">
      <c r="C7237" s="209"/>
      <c r="D7237" s="209"/>
      <c r="E7237" s="209"/>
      <c r="J7237" s="124"/>
    </row>
    <row r="7238" spans="3:10" x14ac:dyDescent="0.2">
      <c r="C7238" s="209"/>
      <c r="D7238" s="209"/>
      <c r="E7238" s="209"/>
      <c r="J7238" s="124"/>
    </row>
    <row r="7239" spans="3:10" x14ac:dyDescent="0.2">
      <c r="C7239" s="209"/>
      <c r="D7239" s="209"/>
      <c r="E7239" s="209"/>
      <c r="J7239" s="124"/>
    </row>
    <row r="7240" spans="3:10" x14ac:dyDescent="0.2">
      <c r="C7240" s="209"/>
      <c r="D7240" s="209"/>
      <c r="E7240" s="209"/>
      <c r="J7240" s="124"/>
    </row>
    <row r="7241" spans="3:10" x14ac:dyDescent="0.2">
      <c r="C7241" s="209"/>
      <c r="D7241" s="209"/>
      <c r="E7241" s="209"/>
      <c r="J7241" s="124"/>
    </row>
    <row r="7242" spans="3:10" x14ac:dyDescent="0.2">
      <c r="C7242" s="209"/>
      <c r="D7242" s="209"/>
      <c r="E7242" s="209"/>
      <c r="J7242" s="124"/>
    </row>
    <row r="7243" spans="3:10" x14ac:dyDescent="0.2">
      <c r="C7243" s="209"/>
      <c r="D7243" s="209"/>
      <c r="E7243" s="209"/>
      <c r="J7243" s="124"/>
    </row>
    <row r="7244" spans="3:10" x14ac:dyDescent="0.2">
      <c r="C7244" s="209"/>
      <c r="D7244" s="209"/>
      <c r="E7244" s="209"/>
      <c r="J7244" s="124"/>
    </row>
    <row r="7245" spans="3:10" x14ac:dyDescent="0.2">
      <c r="C7245" s="209"/>
      <c r="D7245" s="209"/>
      <c r="E7245" s="209"/>
      <c r="J7245" s="124"/>
    </row>
    <row r="7246" spans="3:10" x14ac:dyDescent="0.2">
      <c r="C7246" s="209"/>
      <c r="D7246" s="209"/>
      <c r="E7246" s="209"/>
      <c r="J7246" s="124"/>
    </row>
    <row r="7247" spans="3:10" x14ac:dyDescent="0.2">
      <c r="C7247" s="209"/>
      <c r="D7247" s="209"/>
      <c r="E7247" s="209"/>
      <c r="J7247" s="124"/>
    </row>
    <row r="7248" spans="3:10" x14ac:dyDescent="0.2">
      <c r="C7248" s="209"/>
      <c r="D7248" s="209"/>
      <c r="E7248" s="209"/>
      <c r="J7248" s="124"/>
    </row>
    <row r="7249" spans="3:10" x14ac:dyDescent="0.2">
      <c r="C7249" s="209"/>
      <c r="D7249" s="209"/>
      <c r="E7249" s="209"/>
      <c r="J7249" s="124"/>
    </row>
    <row r="7250" spans="3:10" x14ac:dyDescent="0.2">
      <c r="C7250" s="209"/>
      <c r="D7250" s="209"/>
      <c r="E7250" s="209"/>
      <c r="J7250" s="124"/>
    </row>
    <row r="7251" spans="3:10" x14ac:dyDescent="0.2">
      <c r="C7251" s="209"/>
      <c r="D7251" s="209"/>
      <c r="E7251" s="209"/>
      <c r="J7251" s="124"/>
    </row>
    <row r="7252" spans="3:10" x14ac:dyDescent="0.2">
      <c r="C7252" s="209"/>
      <c r="D7252" s="209"/>
      <c r="E7252" s="209"/>
      <c r="J7252" s="124"/>
    </row>
    <row r="7253" spans="3:10" x14ac:dyDescent="0.2">
      <c r="C7253" s="209"/>
      <c r="D7253" s="209"/>
      <c r="E7253" s="209"/>
      <c r="J7253" s="124"/>
    </row>
    <row r="7254" spans="3:10" x14ac:dyDescent="0.2">
      <c r="C7254" s="209"/>
      <c r="D7254" s="209"/>
      <c r="E7254" s="209"/>
      <c r="J7254" s="124"/>
    </row>
    <row r="7255" spans="3:10" x14ac:dyDescent="0.2">
      <c r="C7255" s="209"/>
      <c r="D7255" s="209"/>
      <c r="E7255" s="209"/>
      <c r="J7255" s="124"/>
    </row>
    <row r="7256" spans="3:10" x14ac:dyDescent="0.2">
      <c r="C7256" s="209"/>
      <c r="D7256" s="209"/>
      <c r="E7256" s="209"/>
      <c r="J7256" s="124"/>
    </row>
    <row r="7257" spans="3:10" x14ac:dyDescent="0.2">
      <c r="C7257" s="209"/>
      <c r="D7257" s="209"/>
      <c r="E7257" s="209"/>
      <c r="J7257" s="124"/>
    </row>
    <row r="7258" spans="3:10" x14ac:dyDescent="0.2">
      <c r="C7258" s="209"/>
      <c r="D7258" s="209"/>
      <c r="E7258" s="209"/>
      <c r="J7258" s="124"/>
    </row>
    <row r="7259" spans="3:10" x14ac:dyDescent="0.2">
      <c r="C7259" s="209"/>
      <c r="D7259" s="209"/>
      <c r="E7259" s="209"/>
      <c r="J7259" s="124"/>
    </row>
    <row r="7260" spans="3:10" x14ac:dyDescent="0.2">
      <c r="C7260" s="209"/>
      <c r="D7260" s="209"/>
      <c r="E7260" s="209"/>
      <c r="J7260" s="124"/>
    </row>
    <row r="7261" spans="3:10" x14ac:dyDescent="0.2">
      <c r="C7261" s="209"/>
      <c r="D7261" s="209"/>
      <c r="E7261" s="209"/>
      <c r="J7261" s="124"/>
    </row>
    <row r="7262" spans="3:10" x14ac:dyDescent="0.2">
      <c r="C7262" s="209"/>
      <c r="D7262" s="209"/>
      <c r="E7262" s="209"/>
      <c r="J7262" s="124"/>
    </row>
    <row r="7263" spans="3:10" x14ac:dyDescent="0.2">
      <c r="C7263" s="209"/>
      <c r="D7263" s="209"/>
      <c r="E7263" s="209"/>
      <c r="J7263" s="124"/>
    </row>
    <row r="7264" spans="3:10" x14ac:dyDescent="0.2">
      <c r="C7264" s="209"/>
      <c r="D7264" s="209"/>
      <c r="E7264" s="209"/>
      <c r="J7264" s="124"/>
    </row>
    <row r="7265" spans="3:10" x14ac:dyDescent="0.2">
      <c r="C7265" s="209"/>
      <c r="D7265" s="209"/>
      <c r="E7265" s="209"/>
      <c r="J7265" s="124"/>
    </row>
    <row r="7266" spans="3:10" x14ac:dyDescent="0.2">
      <c r="C7266" s="209"/>
      <c r="D7266" s="209"/>
      <c r="E7266" s="209"/>
      <c r="J7266" s="124"/>
    </row>
    <row r="7267" spans="3:10" x14ac:dyDescent="0.2">
      <c r="C7267" s="209"/>
      <c r="D7267" s="209"/>
      <c r="E7267" s="209"/>
      <c r="J7267" s="124"/>
    </row>
    <row r="7268" spans="3:10" x14ac:dyDescent="0.2">
      <c r="C7268" s="209"/>
      <c r="D7268" s="209"/>
      <c r="E7268" s="209"/>
      <c r="J7268" s="124"/>
    </row>
    <row r="7269" spans="3:10" x14ac:dyDescent="0.2">
      <c r="C7269" s="209"/>
      <c r="D7269" s="209"/>
      <c r="E7269" s="209"/>
      <c r="J7269" s="124"/>
    </row>
    <row r="7270" spans="3:10" x14ac:dyDescent="0.2">
      <c r="C7270" s="209"/>
      <c r="D7270" s="209"/>
      <c r="E7270" s="209"/>
      <c r="J7270" s="124"/>
    </row>
    <row r="7271" spans="3:10" x14ac:dyDescent="0.2">
      <c r="C7271" s="209"/>
      <c r="D7271" s="209"/>
      <c r="E7271" s="209"/>
      <c r="J7271" s="124"/>
    </row>
    <row r="7272" spans="3:10" x14ac:dyDescent="0.2">
      <c r="C7272" s="209"/>
      <c r="D7272" s="209"/>
      <c r="E7272" s="209"/>
      <c r="J7272" s="124"/>
    </row>
    <row r="7273" spans="3:10" x14ac:dyDescent="0.2">
      <c r="C7273" s="209"/>
      <c r="D7273" s="209"/>
      <c r="E7273" s="209"/>
      <c r="J7273" s="124"/>
    </row>
    <row r="7274" spans="3:10" x14ac:dyDescent="0.2">
      <c r="C7274" s="209"/>
      <c r="D7274" s="209"/>
      <c r="E7274" s="209"/>
      <c r="J7274" s="124"/>
    </row>
    <row r="7275" spans="3:10" x14ac:dyDescent="0.2">
      <c r="C7275" s="209"/>
      <c r="D7275" s="209"/>
      <c r="E7275" s="209"/>
      <c r="J7275" s="124"/>
    </row>
    <row r="7276" spans="3:10" x14ac:dyDescent="0.2">
      <c r="C7276" s="209"/>
      <c r="D7276" s="209"/>
      <c r="E7276" s="209"/>
      <c r="J7276" s="124"/>
    </row>
    <row r="7277" spans="3:10" x14ac:dyDescent="0.2">
      <c r="C7277" s="209"/>
      <c r="D7277" s="209"/>
      <c r="E7277" s="209"/>
      <c r="J7277" s="124"/>
    </row>
    <row r="7278" spans="3:10" x14ac:dyDescent="0.2">
      <c r="C7278" s="209"/>
      <c r="D7278" s="209"/>
      <c r="E7278" s="209"/>
      <c r="J7278" s="124"/>
    </row>
    <row r="7279" spans="3:10" x14ac:dyDescent="0.2">
      <c r="C7279" s="209"/>
      <c r="D7279" s="209"/>
      <c r="E7279" s="209"/>
      <c r="J7279" s="124"/>
    </row>
    <row r="7280" spans="3:10" x14ac:dyDescent="0.2">
      <c r="C7280" s="209"/>
      <c r="D7280" s="209"/>
      <c r="E7280" s="209"/>
      <c r="J7280" s="124"/>
    </row>
    <row r="7281" spans="3:10" x14ac:dyDescent="0.2">
      <c r="C7281" s="209"/>
      <c r="D7281" s="209"/>
      <c r="E7281" s="209"/>
      <c r="J7281" s="124"/>
    </row>
    <row r="7282" spans="3:10" x14ac:dyDescent="0.2">
      <c r="C7282" s="209"/>
      <c r="D7282" s="209"/>
      <c r="E7282" s="209"/>
      <c r="J7282" s="124"/>
    </row>
    <row r="7283" spans="3:10" x14ac:dyDescent="0.2">
      <c r="C7283" s="209"/>
      <c r="D7283" s="209"/>
      <c r="E7283" s="209"/>
      <c r="J7283" s="124"/>
    </row>
    <row r="7284" spans="3:10" x14ac:dyDescent="0.2">
      <c r="C7284" s="209"/>
      <c r="D7284" s="209"/>
      <c r="E7284" s="209"/>
      <c r="J7284" s="124"/>
    </row>
    <row r="7285" spans="3:10" x14ac:dyDescent="0.2">
      <c r="C7285" s="209"/>
      <c r="D7285" s="209"/>
      <c r="E7285" s="209"/>
      <c r="J7285" s="124"/>
    </row>
    <row r="7286" spans="3:10" x14ac:dyDescent="0.2">
      <c r="C7286" s="209"/>
      <c r="D7286" s="209"/>
      <c r="E7286" s="209"/>
      <c r="J7286" s="124"/>
    </row>
    <row r="7287" spans="3:10" x14ac:dyDescent="0.2">
      <c r="C7287" s="209"/>
      <c r="D7287" s="209"/>
      <c r="E7287" s="209"/>
      <c r="J7287" s="124"/>
    </row>
    <row r="7288" spans="3:10" x14ac:dyDescent="0.2">
      <c r="C7288" s="209"/>
      <c r="D7288" s="209"/>
      <c r="E7288" s="209"/>
      <c r="J7288" s="124"/>
    </row>
    <row r="7289" spans="3:10" x14ac:dyDescent="0.2">
      <c r="C7289" s="209"/>
      <c r="D7289" s="209"/>
      <c r="E7289" s="209"/>
      <c r="J7289" s="124"/>
    </row>
    <row r="7290" spans="3:10" x14ac:dyDescent="0.2">
      <c r="C7290" s="209"/>
      <c r="D7290" s="209"/>
      <c r="E7290" s="209"/>
      <c r="J7290" s="124"/>
    </row>
    <row r="7291" spans="3:10" x14ac:dyDescent="0.2">
      <c r="C7291" s="209"/>
      <c r="D7291" s="209"/>
      <c r="E7291" s="209"/>
      <c r="J7291" s="124"/>
    </row>
    <row r="7292" spans="3:10" x14ac:dyDescent="0.2">
      <c r="C7292" s="209"/>
      <c r="D7292" s="209"/>
      <c r="E7292" s="209"/>
      <c r="J7292" s="124"/>
    </row>
    <row r="7293" spans="3:10" x14ac:dyDescent="0.2">
      <c r="C7293" s="209"/>
      <c r="D7293" s="209"/>
      <c r="E7293" s="209"/>
      <c r="J7293" s="124"/>
    </row>
    <row r="7294" spans="3:10" x14ac:dyDescent="0.2">
      <c r="C7294" s="209"/>
      <c r="D7294" s="209"/>
      <c r="E7294" s="209"/>
      <c r="J7294" s="124"/>
    </row>
    <row r="7295" spans="3:10" x14ac:dyDescent="0.2">
      <c r="C7295" s="209"/>
      <c r="D7295" s="209"/>
      <c r="E7295" s="209"/>
      <c r="J7295" s="124"/>
    </row>
    <row r="7296" spans="3:10" x14ac:dyDescent="0.2">
      <c r="C7296" s="209"/>
      <c r="D7296" s="209"/>
      <c r="E7296" s="209"/>
      <c r="J7296" s="124"/>
    </row>
    <row r="7297" spans="3:10" x14ac:dyDescent="0.2">
      <c r="C7297" s="209"/>
      <c r="D7297" s="209"/>
      <c r="E7297" s="209"/>
      <c r="J7297" s="124"/>
    </row>
    <row r="7298" spans="3:10" x14ac:dyDescent="0.2">
      <c r="C7298" s="209"/>
      <c r="D7298" s="209"/>
      <c r="E7298" s="209"/>
      <c r="J7298" s="124"/>
    </row>
    <row r="7299" spans="3:10" x14ac:dyDescent="0.2">
      <c r="C7299" s="209"/>
      <c r="D7299" s="209"/>
      <c r="E7299" s="209"/>
      <c r="J7299" s="124"/>
    </row>
    <row r="7300" spans="3:10" x14ac:dyDescent="0.2">
      <c r="C7300" s="209"/>
      <c r="D7300" s="209"/>
      <c r="E7300" s="209"/>
      <c r="J7300" s="124"/>
    </row>
    <row r="7301" spans="3:10" x14ac:dyDescent="0.2">
      <c r="C7301" s="209"/>
      <c r="D7301" s="209"/>
      <c r="E7301" s="209"/>
      <c r="J7301" s="124"/>
    </row>
    <row r="7302" spans="3:10" x14ac:dyDescent="0.2">
      <c r="C7302" s="209"/>
      <c r="D7302" s="209"/>
      <c r="E7302" s="209"/>
      <c r="J7302" s="124"/>
    </row>
    <row r="7303" spans="3:10" x14ac:dyDescent="0.2">
      <c r="C7303" s="209"/>
      <c r="D7303" s="209"/>
      <c r="E7303" s="209"/>
      <c r="J7303" s="124"/>
    </row>
    <row r="7304" spans="3:10" x14ac:dyDescent="0.2">
      <c r="C7304" s="209"/>
      <c r="D7304" s="209"/>
      <c r="E7304" s="209"/>
      <c r="J7304" s="124"/>
    </row>
    <row r="7305" spans="3:10" x14ac:dyDescent="0.2">
      <c r="C7305" s="209"/>
      <c r="D7305" s="209"/>
      <c r="E7305" s="209"/>
      <c r="J7305" s="124"/>
    </row>
    <row r="7306" spans="3:10" x14ac:dyDescent="0.2">
      <c r="C7306" s="209"/>
      <c r="D7306" s="209"/>
      <c r="E7306" s="209"/>
      <c r="J7306" s="124"/>
    </row>
    <row r="7307" spans="3:10" x14ac:dyDescent="0.2">
      <c r="C7307" s="209"/>
      <c r="D7307" s="209"/>
      <c r="E7307" s="209"/>
      <c r="J7307" s="124"/>
    </row>
    <row r="7308" spans="3:10" x14ac:dyDescent="0.2">
      <c r="C7308" s="209"/>
      <c r="D7308" s="209"/>
      <c r="E7308" s="209"/>
      <c r="J7308" s="124"/>
    </row>
    <row r="7309" spans="3:10" x14ac:dyDescent="0.2">
      <c r="C7309" s="209"/>
      <c r="D7309" s="209"/>
      <c r="E7309" s="209"/>
      <c r="J7309" s="124"/>
    </row>
    <row r="7310" spans="3:10" x14ac:dyDescent="0.2">
      <c r="C7310" s="209"/>
      <c r="D7310" s="209"/>
      <c r="E7310" s="209"/>
      <c r="J7310" s="124"/>
    </row>
    <row r="7311" spans="3:10" x14ac:dyDescent="0.2">
      <c r="C7311" s="209"/>
      <c r="D7311" s="209"/>
      <c r="E7311" s="209"/>
      <c r="J7311" s="124"/>
    </row>
    <row r="7312" spans="3:10" x14ac:dyDescent="0.2">
      <c r="C7312" s="209"/>
      <c r="D7312" s="209"/>
      <c r="E7312" s="209"/>
      <c r="J7312" s="124"/>
    </row>
    <row r="7313" spans="3:10" x14ac:dyDescent="0.2">
      <c r="C7313" s="209"/>
      <c r="D7313" s="209"/>
      <c r="E7313" s="209"/>
      <c r="J7313" s="124"/>
    </row>
    <row r="7314" spans="3:10" x14ac:dyDescent="0.2">
      <c r="C7314" s="209"/>
      <c r="D7314" s="209"/>
      <c r="E7314" s="209"/>
      <c r="J7314" s="124"/>
    </row>
    <row r="7315" spans="3:10" x14ac:dyDescent="0.2">
      <c r="C7315" s="209"/>
      <c r="D7315" s="209"/>
      <c r="E7315" s="209"/>
      <c r="J7315" s="124"/>
    </row>
    <row r="7316" spans="3:10" x14ac:dyDescent="0.2">
      <c r="C7316" s="209"/>
      <c r="D7316" s="209"/>
      <c r="E7316" s="209"/>
      <c r="J7316" s="124"/>
    </row>
    <row r="7317" spans="3:10" x14ac:dyDescent="0.2">
      <c r="C7317" s="209"/>
      <c r="D7317" s="209"/>
      <c r="E7317" s="209"/>
      <c r="J7317" s="124"/>
    </row>
    <row r="7318" spans="3:10" x14ac:dyDescent="0.2">
      <c r="C7318" s="209"/>
      <c r="D7318" s="209"/>
      <c r="E7318" s="209"/>
      <c r="J7318" s="124"/>
    </row>
    <row r="7319" spans="3:10" x14ac:dyDescent="0.2">
      <c r="C7319" s="209"/>
      <c r="D7319" s="209"/>
      <c r="E7319" s="209"/>
      <c r="J7319" s="124"/>
    </row>
    <row r="7320" spans="3:10" x14ac:dyDescent="0.2">
      <c r="C7320" s="209"/>
      <c r="D7320" s="209"/>
      <c r="E7320" s="209"/>
      <c r="J7320" s="124"/>
    </row>
    <row r="7321" spans="3:10" x14ac:dyDescent="0.2">
      <c r="C7321" s="209"/>
      <c r="D7321" s="209"/>
      <c r="E7321" s="209"/>
      <c r="J7321" s="124"/>
    </row>
    <row r="7322" spans="3:10" x14ac:dyDescent="0.2">
      <c r="C7322" s="209"/>
      <c r="D7322" s="209"/>
      <c r="E7322" s="209"/>
      <c r="J7322" s="124"/>
    </row>
    <row r="7323" spans="3:10" x14ac:dyDescent="0.2">
      <c r="C7323" s="209"/>
      <c r="D7323" s="209"/>
      <c r="E7323" s="209"/>
      <c r="J7323" s="124"/>
    </row>
    <row r="7324" spans="3:10" x14ac:dyDescent="0.2">
      <c r="C7324" s="209"/>
      <c r="D7324" s="209"/>
      <c r="E7324" s="209"/>
      <c r="J7324" s="124"/>
    </row>
    <row r="7325" spans="3:10" x14ac:dyDescent="0.2">
      <c r="C7325" s="209"/>
      <c r="D7325" s="209"/>
      <c r="E7325" s="209"/>
      <c r="J7325" s="124"/>
    </row>
    <row r="7326" spans="3:10" x14ac:dyDescent="0.2">
      <c r="C7326" s="209"/>
      <c r="D7326" s="209"/>
      <c r="E7326" s="209"/>
      <c r="J7326" s="124"/>
    </row>
    <row r="7327" spans="3:10" x14ac:dyDescent="0.2">
      <c r="C7327" s="209"/>
      <c r="D7327" s="209"/>
      <c r="E7327" s="209"/>
      <c r="J7327" s="124"/>
    </row>
    <row r="7328" spans="3:10" x14ac:dyDescent="0.2">
      <c r="C7328" s="209"/>
      <c r="D7328" s="209"/>
      <c r="E7328" s="209"/>
      <c r="J7328" s="124"/>
    </row>
    <row r="7329" spans="3:10" x14ac:dyDescent="0.2">
      <c r="C7329" s="209"/>
      <c r="D7329" s="209"/>
      <c r="E7329" s="209"/>
      <c r="J7329" s="124"/>
    </row>
    <row r="7330" spans="3:10" x14ac:dyDescent="0.2">
      <c r="C7330" s="209"/>
      <c r="D7330" s="209"/>
      <c r="E7330" s="209"/>
      <c r="J7330" s="124"/>
    </row>
    <row r="7331" spans="3:10" x14ac:dyDescent="0.2">
      <c r="C7331" s="209"/>
      <c r="D7331" s="209"/>
      <c r="E7331" s="209"/>
      <c r="J7331" s="124"/>
    </row>
    <row r="7332" spans="3:10" x14ac:dyDescent="0.2">
      <c r="C7332" s="209"/>
      <c r="D7332" s="209"/>
      <c r="E7332" s="209"/>
      <c r="J7332" s="124"/>
    </row>
    <row r="7333" spans="3:10" x14ac:dyDescent="0.2">
      <c r="C7333" s="209"/>
      <c r="D7333" s="209"/>
      <c r="E7333" s="209"/>
      <c r="J7333" s="124"/>
    </row>
    <row r="7334" spans="3:10" x14ac:dyDescent="0.2">
      <c r="C7334" s="209"/>
      <c r="D7334" s="209"/>
      <c r="E7334" s="209"/>
      <c r="J7334" s="124"/>
    </row>
    <row r="7335" spans="3:10" x14ac:dyDescent="0.2">
      <c r="C7335" s="209"/>
      <c r="D7335" s="209"/>
      <c r="E7335" s="209"/>
      <c r="J7335" s="124"/>
    </row>
    <row r="7336" spans="3:10" x14ac:dyDescent="0.2">
      <c r="C7336" s="209"/>
      <c r="D7336" s="209"/>
      <c r="E7336" s="209"/>
      <c r="J7336" s="124"/>
    </row>
    <row r="7337" spans="3:10" x14ac:dyDescent="0.2">
      <c r="C7337" s="209"/>
      <c r="D7337" s="209"/>
      <c r="E7337" s="209"/>
      <c r="J7337" s="124"/>
    </row>
    <row r="7338" spans="3:10" x14ac:dyDescent="0.2">
      <c r="C7338" s="209"/>
      <c r="D7338" s="209"/>
      <c r="E7338" s="209"/>
      <c r="J7338" s="124"/>
    </row>
    <row r="7339" spans="3:10" x14ac:dyDescent="0.2">
      <c r="C7339" s="209"/>
      <c r="D7339" s="209"/>
      <c r="E7339" s="209"/>
      <c r="J7339" s="124"/>
    </row>
    <row r="7340" spans="3:10" x14ac:dyDescent="0.2">
      <c r="C7340" s="209"/>
      <c r="D7340" s="209"/>
      <c r="E7340" s="209"/>
      <c r="J7340" s="124"/>
    </row>
    <row r="7341" spans="3:10" x14ac:dyDescent="0.2">
      <c r="C7341" s="209"/>
      <c r="D7341" s="209"/>
      <c r="E7341" s="209"/>
      <c r="J7341" s="124"/>
    </row>
    <row r="7342" spans="3:10" x14ac:dyDescent="0.2">
      <c r="C7342" s="209"/>
      <c r="D7342" s="209"/>
      <c r="E7342" s="209"/>
      <c r="J7342" s="124"/>
    </row>
    <row r="7343" spans="3:10" x14ac:dyDescent="0.2">
      <c r="C7343" s="209"/>
      <c r="D7343" s="209"/>
      <c r="E7343" s="209"/>
      <c r="J7343" s="124"/>
    </row>
    <row r="7344" spans="3:10" x14ac:dyDescent="0.2">
      <c r="C7344" s="209"/>
      <c r="D7344" s="209"/>
      <c r="E7344" s="209"/>
      <c r="J7344" s="124"/>
    </row>
    <row r="7345" spans="3:10" x14ac:dyDescent="0.2">
      <c r="C7345" s="209"/>
      <c r="D7345" s="209"/>
      <c r="E7345" s="209"/>
      <c r="J7345" s="124"/>
    </row>
    <row r="7346" spans="3:10" x14ac:dyDescent="0.2">
      <c r="C7346" s="209"/>
      <c r="D7346" s="209"/>
      <c r="E7346" s="209"/>
      <c r="J7346" s="124"/>
    </row>
    <row r="7347" spans="3:10" x14ac:dyDescent="0.2">
      <c r="C7347" s="209"/>
      <c r="D7347" s="209"/>
      <c r="E7347" s="209"/>
      <c r="J7347" s="124"/>
    </row>
    <row r="7348" spans="3:10" x14ac:dyDescent="0.2">
      <c r="C7348" s="209"/>
      <c r="D7348" s="209"/>
      <c r="E7348" s="209"/>
      <c r="J7348" s="124"/>
    </row>
    <row r="7349" spans="3:10" x14ac:dyDescent="0.2">
      <c r="C7349" s="209"/>
      <c r="D7349" s="209"/>
      <c r="E7349" s="209"/>
      <c r="J7349" s="124"/>
    </row>
    <row r="7350" spans="3:10" x14ac:dyDescent="0.2">
      <c r="C7350" s="209"/>
      <c r="D7350" s="209"/>
      <c r="E7350" s="209"/>
      <c r="J7350" s="124"/>
    </row>
    <row r="7351" spans="3:10" x14ac:dyDescent="0.2">
      <c r="C7351" s="209"/>
      <c r="D7351" s="209"/>
      <c r="E7351" s="209"/>
      <c r="J7351" s="124"/>
    </row>
    <row r="7352" spans="3:10" x14ac:dyDescent="0.2">
      <c r="C7352" s="209"/>
      <c r="D7352" s="209"/>
      <c r="E7352" s="209"/>
      <c r="J7352" s="124"/>
    </row>
    <row r="7353" spans="3:10" x14ac:dyDescent="0.2">
      <c r="C7353" s="209"/>
      <c r="D7353" s="209"/>
      <c r="E7353" s="209"/>
      <c r="J7353" s="124"/>
    </row>
    <row r="7354" spans="3:10" x14ac:dyDescent="0.2">
      <c r="C7354" s="209"/>
      <c r="D7354" s="209"/>
      <c r="E7354" s="209"/>
      <c r="J7354" s="124"/>
    </row>
    <row r="7355" spans="3:10" x14ac:dyDescent="0.2">
      <c r="C7355" s="209"/>
      <c r="D7355" s="209"/>
      <c r="E7355" s="209"/>
      <c r="J7355" s="124"/>
    </row>
    <row r="7356" spans="3:10" x14ac:dyDescent="0.2">
      <c r="C7356" s="209"/>
      <c r="D7356" s="209"/>
      <c r="E7356" s="209"/>
      <c r="J7356" s="124"/>
    </row>
    <row r="7357" spans="3:10" x14ac:dyDescent="0.2">
      <c r="C7357" s="209"/>
      <c r="D7357" s="209"/>
      <c r="E7357" s="209"/>
      <c r="J7357" s="124"/>
    </row>
    <row r="7358" spans="3:10" x14ac:dyDescent="0.2">
      <c r="C7358" s="209"/>
      <c r="D7358" s="209"/>
      <c r="E7358" s="209"/>
      <c r="J7358" s="124"/>
    </row>
    <row r="7359" spans="3:10" x14ac:dyDescent="0.2">
      <c r="C7359" s="209"/>
      <c r="D7359" s="209"/>
      <c r="E7359" s="209"/>
      <c r="J7359" s="124"/>
    </row>
    <row r="7360" spans="3:10" x14ac:dyDescent="0.2">
      <c r="C7360" s="209"/>
      <c r="D7360" s="209"/>
      <c r="E7360" s="209"/>
      <c r="J7360" s="124"/>
    </row>
    <row r="7361" spans="3:10" x14ac:dyDescent="0.2">
      <c r="C7361" s="209"/>
      <c r="D7361" s="209"/>
      <c r="E7361" s="209"/>
      <c r="J7361" s="124"/>
    </row>
    <row r="7362" spans="3:10" x14ac:dyDescent="0.2">
      <c r="C7362" s="209"/>
      <c r="D7362" s="209"/>
      <c r="E7362" s="209"/>
      <c r="J7362" s="124"/>
    </row>
    <row r="7363" spans="3:10" x14ac:dyDescent="0.2">
      <c r="C7363" s="209"/>
      <c r="D7363" s="209"/>
      <c r="E7363" s="209"/>
      <c r="J7363" s="124"/>
    </row>
    <row r="7364" spans="3:10" x14ac:dyDescent="0.2">
      <c r="C7364" s="209"/>
      <c r="D7364" s="209"/>
      <c r="E7364" s="209"/>
      <c r="J7364" s="124"/>
    </row>
    <row r="7365" spans="3:10" x14ac:dyDescent="0.2">
      <c r="C7365" s="209"/>
      <c r="D7365" s="209"/>
      <c r="E7365" s="209"/>
      <c r="J7365" s="124"/>
    </row>
    <row r="7366" spans="3:10" x14ac:dyDescent="0.2">
      <c r="C7366" s="209"/>
      <c r="D7366" s="209"/>
      <c r="E7366" s="209"/>
      <c r="J7366" s="124"/>
    </row>
    <row r="7367" spans="3:10" x14ac:dyDescent="0.2">
      <c r="C7367" s="209"/>
      <c r="D7367" s="209"/>
      <c r="E7367" s="209"/>
      <c r="J7367" s="124"/>
    </row>
    <row r="7368" spans="3:10" x14ac:dyDescent="0.2">
      <c r="C7368" s="209"/>
      <c r="D7368" s="209"/>
      <c r="E7368" s="209"/>
      <c r="J7368" s="124"/>
    </row>
    <row r="7369" spans="3:10" x14ac:dyDescent="0.2">
      <c r="C7369" s="209"/>
      <c r="D7369" s="209"/>
      <c r="E7369" s="209"/>
      <c r="J7369" s="124"/>
    </row>
    <row r="7370" spans="3:10" x14ac:dyDescent="0.2">
      <c r="C7370" s="209"/>
      <c r="D7370" s="209"/>
      <c r="E7370" s="209"/>
      <c r="J7370" s="124"/>
    </row>
    <row r="7371" spans="3:10" x14ac:dyDescent="0.2">
      <c r="C7371" s="209"/>
      <c r="D7371" s="209"/>
      <c r="E7371" s="209"/>
      <c r="J7371" s="124"/>
    </row>
    <row r="7372" spans="3:10" x14ac:dyDescent="0.2">
      <c r="C7372" s="209"/>
      <c r="D7372" s="209"/>
      <c r="E7372" s="209"/>
      <c r="J7372" s="124"/>
    </row>
    <row r="7373" spans="3:10" x14ac:dyDescent="0.2">
      <c r="C7373" s="209"/>
      <c r="D7373" s="209"/>
      <c r="E7373" s="209"/>
      <c r="J7373" s="124"/>
    </row>
    <row r="7374" spans="3:10" x14ac:dyDescent="0.2">
      <c r="C7374" s="209"/>
      <c r="D7374" s="209"/>
      <c r="E7374" s="209"/>
      <c r="J7374" s="124"/>
    </row>
    <row r="7375" spans="3:10" x14ac:dyDescent="0.2">
      <c r="C7375" s="209"/>
      <c r="D7375" s="209"/>
      <c r="E7375" s="209"/>
      <c r="J7375" s="124"/>
    </row>
    <row r="7376" spans="3:10" x14ac:dyDescent="0.2">
      <c r="C7376" s="209"/>
      <c r="D7376" s="209"/>
      <c r="E7376" s="209"/>
      <c r="J7376" s="124"/>
    </row>
    <row r="7377" spans="3:10" x14ac:dyDescent="0.2">
      <c r="C7377" s="209"/>
      <c r="D7377" s="209"/>
      <c r="E7377" s="209"/>
      <c r="J7377" s="124"/>
    </row>
    <row r="7378" spans="3:10" x14ac:dyDescent="0.2">
      <c r="C7378" s="209"/>
      <c r="D7378" s="209"/>
      <c r="E7378" s="209"/>
      <c r="J7378" s="124"/>
    </row>
    <row r="7379" spans="3:10" x14ac:dyDescent="0.2">
      <c r="C7379" s="209"/>
      <c r="D7379" s="209"/>
      <c r="E7379" s="209"/>
      <c r="J7379" s="124"/>
    </row>
    <row r="7380" spans="3:10" x14ac:dyDescent="0.2">
      <c r="C7380" s="209"/>
      <c r="D7380" s="209"/>
      <c r="E7380" s="209"/>
      <c r="J7380" s="124"/>
    </row>
    <row r="7381" spans="3:10" x14ac:dyDescent="0.2">
      <c r="C7381" s="209"/>
      <c r="D7381" s="209"/>
      <c r="E7381" s="209"/>
      <c r="J7381" s="124"/>
    </row>
    <row r="7382" spans="3:10" x14ac:dyDescent="0.2">
      <c r="C7382" s="209"/>
      <c r="D7382" s="209"/>
      <c r="E7382" s="209"/>
      <c r="J7382" s="124"/>
    </row>
    <row r="7383" spans="3:10" x14ac:dyDescent="0.2">
      <c r="C7383" s="209"/>
      <c r="D7383" s="209"/>
      <c r="E7383" s="209"/>
      <c r="J7383" s="124"/>
    </row>
    <row r="7384" spans="3:10" x14ac:dyDescent="0.2">
      <c r="C7384" s="209"/>
      <c r="D7384" s="209"/>
      <c r="E7384" s="209"/>
      <c r="J7384" s="124"/>
    </row>
    <row r="7385" spans="3:10" x14ac:dyDescent="0.2">
      <c r="C7385" s="209"/>
      <c r="D7385" s="209"/>
      <c r="E7385" s="209"/>
      <c r="J7385" s="124"/>
    </row>
    <row r="7386" spans="3:10" x14ac:dyDescent="0.2">
      <c r="C7386" s="209"/>
      <c r="D7386" s="209"/>
      <c r="E7386" s="209"/>
      <c r="J7386" s="124"/>
    </row>
    <row r="7387" spans="3:10" x14ac:dyDescent="0.2">
      <c r="C7387" s="209"/>
      <c r="D7387" s="209"/>
      <c r="E7387" s="209"/>
      <c r="J7387" s="124"/>
    </row>
    <row r="7388" spans="3:10" x14ac:dyDescent="0.2">
      <c r="C7388" s="209"/>
      <c r="D7388" s="209"/>
      <c r="E7388" s="209"/>
      <c r="J7388" s="124"/>
    </row>
    <row r="7389" spans="3:10" x14ac:dyDescent="0.2">
      <c r="C7389" s="209"/>
      <c r="D7389" s="209"/>
      <c r="E7389" s="209"/>
      <c r="J7389" s="124"/>
    </row>
    <row r="7390" spans="3:10" x14ac:dyDescent="0.2">
      <c r="C7390" s="209"/>
      <c r="D7390" s="209"/>
      <c r="E7390" s="209"/>
      <c r="J7390" s="124"/>
    </row>
    <row r="7391" spans="3:10" x14ac:dyDescent="0.2">
      <c r="C7391" s="209"/>
      <c r="D7391" s="209"/>
      <c r="E7391" s="209"/>
      <c r="J7391" s="124"/>
    </row>
    <row r="7392" spans="3:10" x14ac:dyDescent="0.2">
      <c r="C7392" s="209"/>
      <c r="D7392" s="209"/>
      <c r="E7392" s="209"/>
      <c r="J7392" s="124"/>
    </row>
    <row r="7393" spans="3:10" x14ac:dyDescent="0.2">
      <c r="C7393" s="209"/>
      <c r="D7393" s="209"/>
      <c r="E7393" s="209"/>
      <c r="J7393" s="124"/>
    </row>
    <row r="7394" spans="3:10" x14ac:dyDescent="0.2">
      <c r="C7394" s="209"/>
      <c r="D7394" s="209"/>
      <c r="E7394" s="209"/>
      <c r="J7394" s="124"/>
    </row>
    <row r="7395" spans="3:10" x14ac:dyDescent="0.2">
      <c r="C7395" s="209"/>
      <c r="D7395" s="209"/>
      <c r="E7395" s="209"/>
      <c r="J7395" s="124"/>
    </row>
    <row r="7396" spans="3:10" x14ac:dyDescent="0.2">
      <c r="C7396" s="209"/>
      <c r="D7396" s="209"/>
      <c r="E7396" s="209"/>
      <c r="J7396" s="124"/>
    </row>
    <row r="7397" spans="3:10" x14ac:dyDescent="0.2">
      <c r="C7397" s="209"/>
      <c r="D7397" s="209"/>
      <c r="E7397" s="209"/>
      <c r="J7397" s="124"/>
    </row>
    <row r="7398" spans="3:10" x14ac:dyDescent="0.2">
      <c r="C7398" s="209"/>
      <c r="D7398" s="209"/>
      <c r="E7398" s="209"/>
      <c r="J7398" s="124"/>
    </row>
    <row r="7399" spans="3:10" x14ac:dyDescent="0.2">
      <c r="C7399" s="209"/>
      <c r="D7399" s="209"/>
      <c r="E7399" s="209"/>
      <c r="J7399" s="124"/>
    </row>
    <row r="7400" spans="3:10" x14ac:dyDescent="0.2">
      <c r="C7400" s="209"/>
      <c r="D7400" s="209"/>
      <c r="E7400" s="209"/>
      <c r="J7400" s="124"/>
    </row>
    <row r="7401" spans="3:10" x14ac:dyDescent="0.2">
      <c r="C7401" s="209"/>
      <c r="D7401" s="209"/>
      <c r="E7401" s="209"/>
      <c r="J7401" s="124"/>
    </row>
    <row r="7402" spans="3:10" x14ac:dyDescent="0.2">
      <c r="C7402" s="209"/>
      <c r="D7402" s="209"/>
      <c r="E7402" s="209"/>
      <c r="J7402" s="124"/>
    </row>
    <row r="7403" spans="3:10" x14ac:dyDescent="0.2">
      <c r="C7403" s="209"/>
      <c r="D7403" s="209"/>
      <c r="E7403" s="209"/>
      <c r="J7403" s="124"/>
    </row>
    <row r="7404" spans="3:10" x14ac:dyDescent="0.2">
      <c r="C7404" s="209"/>
      <c r="D7404" s="209"/>
      <c r="E7404" s="209"/>
      <c r="J7404" s="124"/>
    </row>
    <row r="7405" spans="3:10" x14ac:dyDescent="0.2">
      <c r="C7405" s="209"/>
      <c r="D7405" s="209"/>
      <c r="E7405" s="209"/>
      <c r="J7405" s="124"/>
    </row>
    <row r="7406" spans="3:10" x14ac:dyDescent="0.2">
      <c r="C7406" s="209"/>
      <c r="D7406" s="209"/>
      <c r="E7406" s="209"/>
      <c r="J7406" s="124"/>
    </row>
    <row r="7407" spans="3:10" x14ac:dyDescent="0.2">
      <c r="C7407" s="209"/>
      <c r="D7407" s="209"/>
      <c r="E7407" s="209"/>
      <c r="J7407" s="124"/>
    </row>
    <row r="7408" spans="3:10" x14ac:dyDescent="0.2">
      <c r="C7408" s="209"/>
      <c r="D7408" s="209"/>
      <c r="E7408" s="209"/>
      <c r="J7408" s="124"/>
    </row>
    <row r="7409" spans="3:10" x14ac:dyDescent="0.2">
      <c r="C7409" s="209"/>
      <c r="D7409" s="209"/>
      <c r="E7409" s="209"/>
      <c r="J7409" s="124"/>
    </row>
    <row r="7410" spans="3:10" x14ac:dyDescent="0.2">
      <c r="C7410" s="209"/>
      <c r="D7410" s="209"/>
      <c r="E7410" s="209"/>
      <c r="J7410" s="124"/>
    </row>
    <row r="7411" spans="3:10" x14ac:dyDescent="0.2">
      <c r="C7411" s="209"/>
      <c r="D7411" s="209"/>
      <c r="E7411" s="209"/>
      <c r="J7411" s="124"/>
    </row>
    <row r="7412" spans="3:10" x14ac:dyDescent="0.2">
      <c r="C7412" s="209"/>
      <c r="D7412" s="209"/>
      <c r="E7412" s="209"/>
      <c r="J7412" s="124"/>
    </row>
    <row r="7413" spans="3:10" x14ac:dyDescent="0.2">
      <c r="C7413" s="209"/>
      <c r="D7413" s="209"/>
      <c r="E7413" s="209"/>
      <c r="J7413" s="124"/>
    </row>
    <row r="7414" spans="3:10" x14ac:dyDescent="0.2">
      <c r="C7414" s="209"/>
      <c r="D7414" s="209"/>
      <c r="E7414" s="209"/>
      <c r="J7414" s="124"/>
    </row>
    <row r="7415" spans="3:10" x14ac:dyDescent="0.2">
      <c r="C7415" s="209"/>
      <c r="D7415" s="209"/>
      <c r="E7415" s="209"/>
      <c r="J7415" s="124"/>
    </row>
    <row r="7416" spans="3:10" x14ac:dyDescent="0.2">
      <c r="C7416" s="209"/>
      <c r="D7416" s="209"/>
      <c r="E7416" s="209"/>
      <c r="J7416" s="124"/>
    </row>
    <row r="7417" spans="3:10" x14ac:dyDescent="0.2">
      <c r="C7417" s="209"/>
      <c r="D7417" s="209"/>
      <c r="E7417" s="209"/>
      <c r="J7417" s="124"/>
    </row>
    <row r="7418" spans="3:10" x14ac:dyDescent="0.2">
      <c r="C7418" s="209"/>
      <c r="D7418" s="209"/>
      <c r="E7418" s="209"/>
      <c r="J7418" s="124"/>
    </row>
    <row r="7419" spans="3:10" x14ac:dyDescent="0.2">
      <c r="C7419" s="209"/>
      <c r="D7419" s="209"/>
      <c r="E7419" s="209"/>
      <c r="J7419" s="124"/>
    </row>
    <row r="7420" spans="3:10" x14ac:dyDescent="0.2">
      <c r="C7420" s="209"/>
      <c r="D7420" s="209"/>
      <c r="E7420" s="209"/>
      <c r="J7420" s="124"/>
    </row>
    <row r="7421" spans="3:10" x14ac:dyDescent="0.2">
      <c r="C7421" s="209"/>
      <c r="D7421" s="209"/>
      <c r="E7421" s="209"/>
      <c r="J7421" s="124"/>
    </row>
    <row r="7422" spans="3:10" x14ac:dyDescent="0.2">
      <c r="C7422" s="209"/>
      <c r="D7422" s="209"/>
      <c r="E7422" s="209"/>
      <c r="J7422" s="124"/>
    </row>
    <row r="7423" spans="3:10" x14ac:dyDescent="0.2">
      <c r="C7423" s="209"/>
      <c r="D7423" s="209"/>
      <c r="E7423" s="209"/>
      <c r="J7423" s="124"/>
    </row>
    <row r="7424" spans="3:10" x14ac:dyDescent="0.2">
      <c r="C7424" s="209"/>
      <c r="D7424" s="209"/>
      <c r="E7424" s="209"/>
      <c r="J7424" s="124"/>
    </row>
    <row r="7425" spans="3:10" x14ac:dyDescent="0.2">
      <c r="C7425" s="209"/>
      <c r="D7425" s="209"/>
      <c r="E7425" s="209"/>
      <c r="J7425" s="124"/>
    </row>
    <row r="7426" spans="3:10" x14ac:dyDescent="0.2">
      <c r="C7426" s="209"/>
      <c r="D7426" s="209"/>
      <c r="E7426" s="209"/>
      <c r="J7426" s="124"/>
    </row>
    <row r="7427" spans="3:10" x14ac:dyDescent="0.2">
      <c r="C7427" s="209"/>
      <c r="D7427" s="209"/>
      <c r="E7427" s="209"/>
      <c r="J7427" s="124"/>
    </row>
    <row r="7428" spans="3:10" x14ac:dyDescent="0.2">
      <c r="C7428" s="209"/>
      <c r="D7428" s="209"/>
      <c r="E7428" s="209"/>
      <c r="J7428" s="124"/>
    </row>
    <row r="7429" spans="3:10" x14ac:dyDescent="0.2">
      <c r="C7429" s="209"/>
      <c r="D7429" s="209"/>
      <c r="E7429" s="209"/>
      <c r="J7429" s="124"/>
    </row>
    <row r="7430" spans="3:10" x14ac:dyDescent="0.2">
      <c r="C7430" s="209"/>
      <c r="D7430" s="209"/>
      <c r="E7430" s="209"/>
      <c r="J7430" s="124"/>
    </row>
    <row r="7431" spans="3:10" x14ac:dyDescent="0.2">
      <c r="C7431" s="209"/>
      <c r="D7431" s="209"/>
      <c r="E7431" s="209"/>
      <c r="J7431" s="124"/>
    </row>
    <row r="7432" spans="3:10" x14ac:dyDescent="0.2">
      <c r="C7432" s="209"/>
      <c r="D7432" s="209"/>
      <c r="E7432" s="209"/>
      <c r="J7432" s="124"/>
    </row>
    <row r="7433" spans="3:10" x14ac:dyDescent="0.2">
      <c r="C7433" s="209"/>
      <c r="D7433" s="209"/>
      <c r="E7433" s="209"/>
      <c r="J7433" s="124"/>
    </row>
    <row r="7434" spans="3:10" x14ac:dyDescent="0.2">
      <c r="C7434" s="209"/>
      <c r="D7434" s="209"/>
      <c r="E7434" s="209"/>
      <c r="J7434" s="124"/>
    </row>
    <row r="7435" spans="3:10" x14ac:dyDescent="0.2">
      <c r="C7435" s="209"/>
      <c r="D7435" s="209"/>
      <c r="E7435" s="209"/>
      <c r="J7435" s="124"/>
    </row>
    <row r="7436" spans="3:10" x14ac:dyDescent="0.2">
      <c r="C7436" s="209"/>
      <c r="D7436" s="209"/>
      <c r="E7436" s="209"/>
      <c r="J7436" s="124"/>
    </row>
    <row r="7437" spans="3:10" x14ac:dyDescent="0.2">
      <c r="C7437" s="209"/>
      <c r="D7437" s="209"/>
      <c r="E7437" s="209"/>
      <c r="J7437" s="124"/>
    </row>
    <row r="7438" spans="3:10" x14ac:dyDescent="0.2">
      <c r="C7438" s="209"/>
      <c r="D7438" s="209"/>
      <c r="E7438" s="209"/>
      <c r="J7438" s="124"/>
    </row>
    <row r="7439" spans="3:10" x14ac:dyDescent="0.2">
      <c r="C7439" s="209"/>
      <c r="D7439" s="209"/>
      <c r="E7439" s="209"/>
      <c r="J7439" s="124"/>
    </row>
    <row r="7440" spans="3:10" x14ac:dyDescent="0.2">
      <c r="C7440" s="209"/>
      <c r="D7440" s="209"/>
      <c r="E7440" s="209"/>
      <c r="J7440" s="124"/>
    </row>
    <row r="7441" spans="3:10" x14ac:dyDescent="0.2">
      <c r="C7441" s="209"/>
      <c r="D7441" s="209"/>
      <c r="E7441" s="209"/>
      <c r="J7441" s="124"/>
    </row>
    <row r="7442" spans="3:10" x14ac:dyDescent="0.2">
      <c r="C7442" s="209"/>
      <c r="D7442" s="209"/>
      <c r="E7442" s="209"/>
      <c r="J7442" s="124"/>
    </row>
    <row r="7443" spans="3:10" x14ac:dyDescent="0.2">
      <c r="C7443" s="209"/>
      <c r="D7443" s="209"/>
      <c r="E7443" s="209"/>
      <c r="J7443" s="124"/>
    </row>
    <row r="7444" spans="3:10" x14ac:dyDescent="0.2">
      <c r="C7444" s="209"/>
      <c r="D7444" s="209"/>
      <c r="E7444" s="209"/>
      <c r="J7444" s="124"/>
    </row>
    <row r="7445" spans="3:10" x14ac:dyDescent="0.2">
      <c r="C7445" s="209"/>
      <c r="D7445" s="209"/>
      <c r="E7445" s="209"/>
      <c r="J7445" s="124"/>
    </row>
    <row r="7446" spans="3:10" x14ac:dyDescent="0.2">
      <c r="C7446" s="209"/>
      <c r="D7446" s="209"/>
      <c r="E7446" s="209"/>
      <c r="J7446" s="124"/>
    </row>
    <row r="7447" spans="3:10" x14ac:dyDescent="0.2">
      <c r="C7447" s="209"/>
      <c r="D7447" s="209"/>
      <c r="E7447" s="209"/>
      <c r="J7447" s="124"/>
    </row>
    <row r="7448" spans="3:10" x14ac:dyDescent="0.2">
      <c r="C7448" s="209"/>
      <c r="D7448" s="209"/>
      <c r="E7448" s="209"/>
      <c r="J7448" s="124"/>
    </row>
    <row r="7449" spans="3:10" x14ac:dyDescent="0.2">
      <c r="C7449" s="209"/>
      <c r="D7449" s="209"/>
      <c r="E7449" s="209"/>
      <c r="J7449" s="124"/>
    </row>
    <row r="7450" spans="3:10" x14ac:dyDescent="0.2">
      <c r="C7450" s="209"/>
      <c r="D7450" s="209"/>
      <c r="E7450" s="209"/>
      <c r="J7450" s="124"/>
    </row>
    <row r="7451" spans="3:10" x14ac:dyDescent="0.2">
      <c r="C7451" s="209"/>
      <c r="D7451" s="209"/>
      <c r="E7451" s="209"/>
      <c r="J7451" s="124"/>
    </row>
    <row r="7452" spans="3:10" x14ac:dyDescent="0.2">
      <c r="C7452" s="209"/>
      <c r="D7452" s="209"/>
      <c r="E7452" s="209"/>
      <c r="J7452" s="124"/>
    </row>
    <row r="7453" spans="3:10" x14ac:dyDescent="0.2">
      <c r="C7453" s="209"/>
      <c r="D7453" s="209"/>
      <c r="E7453" s="209"/>
      <c r="J7453" s="124"/>
    </row>
    <row r="7454" spans="3:10" x14ac:dyDescent="0.2">
      <c r="C7454" s="209"/>
      <c r="D7454" s="209"/>
      <c r="E7454" s="209"/>
      <c r="J7454" s="124"/>
    </row>
    <row r="7455" spans="3:10" x14ac:dyDescent="0.2">
      <c r="C7455" s="209"/>
      <c r="D7455" s="209"/>
      <c r="E7455" s="209"/>
      <c r="J7455" s="124"/>
    </row>
    <row r="7456" spans="3:10" x14ac:dyDescent="0.2">
      <c r="C7456" s="209"/>
      <c r="D7456" s="209"/>
      <c r="E7456" s="209"/>
      <c r="J7456" s="124"/>
    </row>
    <row r="7457" spans="3:10" x14ac:dyDescent="0.2">
      <c r="C7457" s="209"/>
      <c r="D7457" s="209"/>
      <c r="E7457" s="209"/>
      <c r="J7457" s="124"/>
    </row>
    <row r="7458" spans="3:10" x14ac:dyDescent="0.2">
      <c r="C7458" s="209"/>
      <c r="D7458" s="209"/>
      <c r="E7458" s="209"/>
      <c r="J7458" s="124"/>
    </row>
    <row r="7459" spans="3:10" x14ac:dyDescent="0.2">
      <c r="C7459" s="209"/>
      <c r="D7459" s="209"/>
      <c r="E7459" s="209"/>
      <c r="J7459" s="124"/>
    </row>
    <row r="7460" spans="3:10" x14ac:dyDescent="0.2">
      <c r="C7460" s="209"/>
      <c r="D7460" s="209"/>
      <c r="E7460" s="209"/>
      <c r="J7460" s="124"/>
    </row>
    <row r="7461" spans="3:10" x14ac:dyDescent="0.2">
      <c r="C7461" s="209"/>
      <c r="D7461" s="209"/>
      <c r="E7461" s="209"/>
      <c r="J7461" s="124"/>
    </row>
    <row r="7462" spans="3:10" x14ac:dyDescent="0.2">
      <c r="C7462" s="209"/>
      <c r="D7462" s="209"/>
      <c r="E7462" s="209"/>
      <c r="J7462" s="124"/>
    </row>
    <row r="7463" spans="3:10" x14ac:dyDescent="0.2">
      <c r="C7463" s="209"/>
      <c r="D7463" s="209"/>
      <c r="E7463" s="209"/>
      <c r="J7463" s="124"/>
    </row>
    <row r="7464" spans="3:10" x14ac:dyDescent="0.2">
      <c r="C7464" s="209"/>
      <c r="D7464" s="209"/>
      <c r="E7464" s="209"/>
      <c r="J7464" s="124"/>
    </row>
    <row r="7465" spans="3:10" x14ac:dyDescent="0.2">
      <c r="C7465" s="209"/>
      <c r="D7465" s="209"/>
      <c r="E7465" s="209"/>
      <c r="J7465" s="124"/>
    </row>
    <row r="7466" spans="3:10" x14ac:dyDescent="0.2">
      <c r="C7466" s="209"/>
      <c r="D7466" s="209"/>
      <c r="E7466" s="209"/>
      <c r="J7466" s="124"/>
    </row>
    <row r="7467" spans="3:10" x14ac:dyDescent="0.2">
      <c r="C7467" s="209"/>
      <c r="D7467" s="209"/>
      <c r="E7467" s="209"/>
      <c r="J7467" s="124"/>
    </row>
    <row r="7468" spans="3:10" x14ac:dyDescent="0.2">
      <c r="C7468" s="209"/>
      <c r="D7468" s="209"/>
      <c r="E7468" s="209"/>
      <c r="J7468" s="124"/>
    </row>
    <row r="7469" spans="3:10" x14ac:dyDescent="0.2">
      <c r="C7469" s="209"/>
      <c r="D7469" s="209"/>
      <c r="E7469" s="209"/>
      <c r="J7469" s="124"/>
    </row>
    <row r="7470" spans="3:10" x14ac:dyDescent="0.2">
      <c r="C7470" s="209"/>
      <c r="D7470" s="209"/>
      <c r="E7470" s="209"/>
      <c r="J7470" s="124"/>
    </row>
    <row r="7471" spans="3:10" x14ac:dyDescent="0.2">
      <c r="C7471" s="209"/>
      <c r="D7471" s="209"/>
      <c r="E7471" s="209"/>
      <c r="J7471" s="124"/>
    </row>
    <row r="7472" spans="3:10" x14ac:dyDescent="0.2">
      <c r="C7472" s="209"/>
      <c r="D7472" s="209"/>
      <c r="E7472" s="209"/>
      <c r="J7472" s="124"/>
    </row>
    <row r="7473" spans="3:10" x14ac:dyDescent="0.2">
      <c r="C7473" s="209"/>
      <c r="D7473" s="209"/>
      <c r="E7473" s="209"/>
      <c r="J7473" s="124"/>
    </row>
    <row r="7474" spans="3:10" x14ac:dyDescent="0.2">
      <c r="C7474" s="209"/>
      <c r="D7474" s="209"/>
      <c r="E7474" s="209"/>
      <c r="J7474" s="124"/>
    </row>
    <row r="7475" spans="3:10" x14ac:dyDescent="0.2">
      <c r="C7475" s="209"/>
      <c r="D7475" s="209"/>
      <c r="E7475" s="209"/>
      <c r="J7475" s="124"/>
    </row>
    <row r="7476" spans="3:10" x14ac:dyDescent="0.2">
      <c r="C7476" s="209"/>
      <c r="D7476" s="209"/>
      <c r="E7476" s="209"/>
      <c r="J7476" s="124"/>
    </row>
    <row r="7477" spans="3:10" x14ac:dyDescent="0.2">
      <c r="C7477" s="209"/>
      <c r="D7477" s="209"/>
      <c r="E7477" s="209"/>
      <c r="J7477" s="124"/>
    </row>
    <row r="7478" spans="3:10" x14ac:dyDescent="0.2">
      <c r="C7478" s="209"/>
      <c r="D7478" s="209"/>
      <c r="E7478" s="209"/>
      <c r="J7478" s="124"/>
    </row>
    <row r="7479" spans="3:10" x14ac:dyDescent="0.2">
      <c r="C7479" s="209"/>
      <c r="D7479" s="209"/>
      <c r="E7479" s="209"/>
      <c r="J7479" s="124"/>
    </row>
    <row r="7480" spans="3:10" x14ac:dyDescent="0.2">
      <c r="C7480" s="209"/>
      <c r="D7480" s="209"/>
      <c r="E7480" s="209"/>
      <c r="J7480" s="124"/>
    </row>
    <row r="7481" spans="3:10" x14ac:dyDescent="0.2">
      <c r="C7481" s="209"/>
      <c r="D7481" s="209"/>
      <c r="E7481" s="209"/>
      <c r="J7481" s="124"/>
    </row>
    <row r="7482" spans="3:10" x14ac:dyDescent="0.2">
      <c r="C7482" s="209"/>
      <c r="D7482" s="209"/>
      <c r="E7482" s="209"/>
      <c r="J7482" s="124"/>
    </row>
    <row r="7483" spans="3:10" x14ac:dyDescent="0.2">
      <c r="C7483" s="209"/>
      <c r="D7483" s="209"/>
      <c r="E7483" s="209"/>
      <c r="J7483" s="124"/>
    </row>
    <row r="7484" spans="3:10" x14ac:dyDescent="0.2">
      <c r="C7484" s="209"/>
      <c r="D7484" s="209"/>
      <c r="E7484" s="209"/>
      <c r="J7484" s="124"/>
    </row>
    <row r="7485" spans="3:10" x14ac:dyDescent="0.2">
      <c r="C7485" s="209"/>
      <c r="D7485" s="209"/>
      <c r="E7485" s="209"/>
      <c r="J7485" s="124"/>
    </row>
    <row r="7486" spans="3:10" x14ac:dyDescent="0.2">
      <c r="C7486" s="209"/>
      <c r="D7486" s="209"/>
      <c r="E7486" s="209"/>
      <c r="J7486" s="124"/>
    </row>
    <row r="7487" spans="3:10" x14ac:dyDescent="0.2">
      <c r="C7487" s="209"/>
      <c r="D7487" s="209"/>
      <c r="E7487" s="209"/>
      <c r="J7487" s="124"/>
    </row>
    <row r="7488" spans="3:10" x14ac:dyDescent="0.2">
      <c r="C7488" s="209"/>
      <c r="D7488" s="209"/>
      <c r="E7488" s="209"/>
      <c r="J7488" s="124"/>
    </row>
    <row r="7489" spans="3:10" x14ac:dyDescent="0.2">
      <c r="C7489" s="209"/>
      <c r="D7489" s="209"/>
      <c r="E7489" s="209"/>
      <c r="J7489" s="124"/>
    </row>
    <row r="7490" spans="3:10" x14ac:dyDescent="0.2">
      <c r="C7490" s="209"/>
      <c r="D7490" s="209"/>
      <c r="E7490" s="209"/>
      <c r="J7490" s="124"/>
    </row>
    <row r="7491" spans="3:10" x14ac:dyDescent="0.2">
      <c r="C7491" s="209"/>
      <c r="D7491" s="209"/>
      <c r="E7491" s="209"/>
      <c r="J7491" s="124"/>
    </row>
    <row r="7492" spans="3:10" x14ac:dyDescent="0.2">
      <c r="C7492" s="209"/>
      <c r="D7492" s="209"/>
      <c r="E7492" s="209"/>
      <c r="J7492" s="124"/>
    </row>
    <row r="7493" spans="3:10" x14ac:dyDescent="0.2">
      <c r="C7493" s="209"/>
      <c r="D7493" s="209"/>
      <c r="E7493" s="209"/>
      <c r="J7493" s="124"/>
    </row>
    <row r="7494" spans="3:10" x14ac:dyDescent="0.2">
      <c r="C7494" s="209"/>
      <c r="D7494" s="209"/>
      <c r="E7494" s="209"/>
      <c r="J7494" s="124"/>
    </row>
    <row r="7495" spans="3:10" x14ac:dyDescent="0.2">
      <c r="C7495" s="209"/>
      <c r="D7495" s="209"/>
      <c r="E7495" s="209"/>
      <c r="J7495" s="124"/>
    </row>
    <row r="7496" spans="3:10" x14ac:dyDescent="0.2">
      <c r="C7496" s="209"/>
      <c r="D7496" s="209"/>
      <c r="E7496" s="209"/>
      <c r="J7496" s="124"/>
    </row>
    <row r="7497" spans="3:10" x14ac:dyDescent="0.2">
      <c r="C7497" s="209"/>
      <c r="D7497" s="209"/>
      <c r="E7497" s="209"/>
      <c r="J7497" s="124"/>
    </row>
    <row r="7498" spans="3:10" x14ac:dyDescent="0.2">
      <c r="C7498" s="209"/>
      <c r="D7498" s="209"/>
      <c r="E7498" s="209"/>
      <c r="J7498" s="124"/>
    </row>
    <row r="7499" spans="3:10" x14ac:dyDescent="0.2">
      <c r="C7499" s="209"/>
      <c r="D7499" s="209"/>
      <c r="E7499" s="209"/>
      <c r="J7499" s="124"/>
    </row>
    <row r="7500" spans="3:10" x14ac:dyDescent="0.2">
      <c r="C7500" s="209"/>
      <c r="D7500" s="209"/>
      <c r="E7500" s="209"/>
      <c r="J7500" s="124"/>
    </row>
    <row r="7501" spans="3:10" x14ac:dyDescent="0.2">
      <c r="C7501" s="209"/>
      <c r="D7501" s="209"/>
      <c r="E7501" s="209"/>
      <c r="J7501" s="124"/>
    </row>
    <row r="7502" spans="3:10" x14ac:dyDescent="0.2">
      <c r="C7502" s="209"/>
      <c r="D7502" s="209"/>
      <c r="E7502" s="209"/>
      <c r="J7502" s="124"/>
    </row>
    <row r="7503" spans="3:10" x14ac:dyDescent="0.2">
      <c r="C7503" s="209"/>
      <c r="D7503" s="209"/>
      <c r="E7503" s="209"/>
      <c r="J7503" s="124"/>
    </row>
    <row r="7504" spans="3:10" x14ac:dyDescent="0.2">
      <c r="C7504" s="209"/>
      <c r="D7504" s="209"/>
      <c r="E7504" s="209"/>
      <c r="J7504" s="124"/>
    </row>
    <row r="7505" spans="3:10" x14ac:dyDescent="0.2">
      <c r="C7505" s="209"/>
      <c r="D7505" s="209"/>
      <c r="E7505" s="209"/>
      <c r="J7505" s="124"/>
    </row>
    <row r="7506" spans="3:10" x14ac:dyDescent="0.2">
      <c r="C7506" s="209"/>
      <c r="D7506" s="209"/>
      <c r="E7506" s="209"/>
      <c r="J7506" s="124"/>
    </row>
    <row r="7507" spans="3:10" x14ac:dyDescent="0.2">
      <c r="C7507" s="209"/>
      <c r="D7507" s="209"/>
      <c r="E7507" s="209"/>
      <c r="J7507" s="124"/>
    </row>
    <row r="7508" spans="3:10" x14ac:dyDescent="0.2">
      <c r="C7508" s="209"/>
      <c r="D7508" s="209"/>
      <c r="E7508" s="209"/>
      <c r="J7508" s="124"/>
    </row>
    <row r="7509" spans="3:10" x14ac:dyDescent="0.2">
      <c r="C7509" s="209"/>
      <c r="D7509" s="209"/>
      <c r="E7509" s="209"/>
      <c r="J7509" s="124"/>
    </row>
    <row r="7510" spans="3:10" x14ac:dyDescent="0.2">
      <c r="C7510" s="209"/>
      <c r="D7510" s="209"/>
      <c r="E7510" s="209"/>
      <c r="J7510" s="124"/>
    </row>
    <row r="7511" spans="3:10" x14ac:dyDescent="0.2">
      <c r="C7511" s="209"/>
      <c r="D7511" s="209"/>
      <c r="E7511" s="209"/>
      <c r="J7511" s="124"/>
    </row>
    <row r="7512" spans="3:10" x14ac:dyDescent="0.2">
      <c r="C7512" s="209"/>
      <c r="D7512" s="209"/>
      <c r="E7512" s="209"/>
      <c r="J7512" s="124"/>
    </row>
    <row r="7513" spans="3:10" x14ac:dyDescent="0.2">
      <c r="C7513" s="209"/>
      <c r="D7513" s="209"/>
      <c r="E7513" s="209"/>
      <c r="J7513" s="124"/>
    </row>
    <row r="7514" spans="3:10" x14ac:dyDescent="0.2">
      <c r="C7514" s="209"/>
      <c r="D7514" s="209"/>
      <c r="E7514" s="209"/>
      <c r="J7514" s="124"/>
    </row>
    <row r="7515" spans="3:10" x14ac:dyDescent="0.2">
      <c r="C7515" s="209"/>
      <c r="D7515" s="209"/>
      <c r="E7515" s="209"/>
      <c r="J7515" s="124"/>
    </row>
    <row r="7516" spans="3:10" x14ac:dyDescent="0.2">
      <c r="C7516" s="209"/>
      <c r="D7516" s="209"/>
      <c r="E7516" s="209"/>
      <c r="J7516" s="124"/>
    </row>
    <row r="7517" spans="3:10" x14ac:dyDescent="0.2">
      <c r="C7517" s="209"/>
      <c r="D7517" s="209"/>
      <c r="E7517" s="209"/>
      <c r="J7517" s="124"/>
    </row>
    <row r="7518" spans="3:10" x14ac:dyDescent="0.2">
      <c r="C7518" s="209"/>
      <c r="D7518" s="209"/>
      <c r="E7518" s="209"/>
      <c r="J7518" s="124"/>
    </row>
    <row r="7519" spans="3:10" x14ac:dyDescent="0.2">
      <c r="C7519" s="209"/>
      <c r="D7519" s="209"/>
      <c r="E7519" s="209"/>
      <c r="J7519" s="124"/>
    </row>
    <row r="7520" spans="3:10" x14ac:dyDescent="0.2">
      <c r="C7520" s="209"/>
      <c r="D7520" s="209"/>
      <c r="E7520" s="209"/>
      <c r="J7520" s="124"/>
    </row>
    <row r="7521" spans="3:10" x14ac:dyDescent="0.2">
      <c r="C7521" s="209"/>
      <c r="D7521" s="209"/>
      <c r="E7521" s="209"/>
      <c r="J7521" s="124"/>
    </row>
    <row r="7522" spans="3:10" x14ac:dyDescent="0.2">
      <c r="C7522" s="209"/>
      <c r="D7522" s="209"/>
      <c r="E7522" s="209"/>
      <c r="J7522" s="124"/>
    </row>
    <row r="7523" spans="3:10" x14ac:dyDescent="0.2">
      <c r="C7523" s="209"/>
      <c r="D7523" s="209"/>
      <c r="E7523" s="209"/>
      <c r="J7523" s="124"/>
    </row>
    <row r="7524" spans="3:10" x14ac:dyDescent="0.2">
      <c r="C7524" s="209"/>
      <c r="D7524" s="209"/>
      <c r="E7524" s="209"/>
      <c r="J7524" s="124"/>
    </row>
    <row r="7525" spans="3:10" x14ac:dyDescent="0.2">
      <c r="C7525" s="209"/>
      <c r="D7525" s="209"/>
      <c r="E7525" s="209"/>
      <c r="J7525" s="124"/>
    </row>
    <row r="7526" spans="3:10" x14ac:dyDescent="0.2">
      <c r="C7526" s="209"/>
      <c r="D7526" s="209"/>
      <c r="E7526" s="209"/>
      <c r="J7526" s="124"/>
    </row>
    <row r="7527" spans="3:10" x14ac:dyDescent="0.2">
      <c r="C7527" s="209"/>
      <c r="D7527" s="209"/>
      <c r="E7527" s="209"/>
      <c r="J7527" s="124"/>
    </row>
    <row r="7528" spans="3:10" x14ac:dyDescent="0.2">
      <c r="C7528" s="209"/>
      <c r="D7528" s="209"/>
      <c r="E7528" s="209"/>
      <c r="J7528" s="124"/>
    </row>
    <row r="7529" spans="3:10" x14ac:dyDescent="0.2">
      <c r="C7529" s="209"/>
      <c r="D7529" s="209"/>
      <c r="E7529" s="209"/>
      <c r="J7529" s="124"/>
    </row>
    <row r="7530" spans="3:10" x14ac:dyDescent="0.2">
      <c r="C7530" s="209"/>
      <c r="D7530" s="209"/>
      <c r="E7530" s="209"/>
      <c r="J7530" s="124"/>
    </row>
    <row r="7531" spans="3:10" x14ac:dyDescent="0.2">
      <c r="C7531" s="209"/>
      <c r="D7531" s="209"/>
      <c r="E7531" s="209"/>
      <c r="J7531" s="124"/>
    </row>
    <row r="7532" spans="3:10" x14ac:dyDescent="0.2">
      <c r="C7532" s="209"/>
      <c r="D7532" s="209"/>
      <c r="E7532" s="209"/>
      <c r="J7532" s="124"/>
    </row>
    <row r="7533" spans="3:10" x14ac:dyDescent="0.2">
      <c r="C7533" s="209"/>
      <c r="D7533" s="209"/>
      <c r="E7533" s="209"/>
      <c r="J7533" s="124"/>
    </row>
    <row r="7534" spans="3:10" x14ac:dyDescent="0.2">
      <c r="C7534" s="209"/>
      <c r="D7534" s="209"/>
      <c r="E7534" s="209"/>
      <c r="J7534" s="124"/>
    </row>
    <row r="7535" spans="3:10" x14ac:dyDescent="0.2">
      <c r="C7535" s="209"/>
      <c r="D7535" s="209"/>
      <c r="E7535" s="209"/>
      <c r="J7535" s="124"/>
    </row>
    <row r="7536" spans="3:10" x14ac:dyDescent="0.2">
      <c r="C7536" s="209"/>
      <c r="D7536" s="209"/>
      <c r="E7536" s="209"/>
      <c r="J7536" s="124"/>
    </row>
    <row r="7537" spans="3:10" x14ac:dyDescent="0.2">
      <c r="C7537" s="209"/>
      <c r="D7537" s="209"/>
      <c r="E7537" s="209"/>
      <c r="J7537" s="124"/>
    </row>
    <row r="7538" spans="3:10" x14ac:dyDescent="0.2">
      <c r="C7538" s="209"/>
      <c r="D7538" s="209"/>
      <c r="E7538" s="209"/>
      <c r="J7538" s="124"/>
    </row>
    <row r="7539" spans="3:10" x14ac:dyDescent="0.2">
      <c r="C7539" s="209"/>
      <c r="D7539" s="209"/>
      <c r="E7539" s="209"/>
      <c r="J7539" s="124"/>
    </row>
    <row r="7540" spans="3:10" x14ac:dyDescent="0.2">
      <c r="C7540" s="209"/>
      <c r="D7540" s="209"/>
      <c r="E7540" s="209"/>
      <c r="J7540" s="124"/>
    </row>
    <row r="7541" spans="3:10" x14ac:dyDescent="0.2">
      <c r="C7541" s="209"/>
      <c r="D7541" s="209"/>
      <c r="E7541" s="209"/>
      <c r="J7541" s="124"/>
    </row>
    <row r="7542" spans="3:10" x14ac:dyDescent="0.2">
      <c r="C7542" s="209"/>
      <c r="D7542" s="209"/>
      <c r="E7542" s="209"/>
      <c r="J7542" s="124"/>
    </row>
    <row r="7543" spans="3:10" x14ac:dyDescent="0.2">
      <c r="C7543" s="209"/>
      <c r="D7543" s="209"/>
      <c r="E7543" s="209"/>
      <c r="J7543" s="124"/>
    </row>
    <row r="7544" spans="3:10" x14ac:dyDescent="0.2">
      <c r="C7544" s="209"/>
      <c r="D7544" s="209"/>
      <c r="E7544" s="209"/>
      <c r="J7544" s="124"/>
    </row>
    <row r="7545" spans="3:10" x14ac:dyDescent="0.2">
      <c r="C7545" s="209"/>
      <c r="D7545" s="209"/>
      <c r="E7545" s="209"/>
      <c r="J7545" s="124"/>
    </row>
    <row r="7546" spans="3:10" x14ac:dyDescent="0.2">
      <c r="C7546" s="209"/>
      <c r="D7546" s="209"/>
      <c r="E7546" s="209"/>
      <c r="J7546" s="124"/>
    </row>
    <row r="7547" spans="3:10" x14ac:dyDescent="0.2">
      <c r="C7547" s="209"/>
      <c r="D7547" s="209"/>
      <c r="E7547" s="209"/>
      <c r="J7547" s="124"/>
    </row>
    <row r="7548" spans="3:10" x14ac:dyDescent="0.2">
      <c r="C7548" s="209"/>
      <c r="D7548" s="209"/>
      <c r="E7548" s="209"/>
      <c r="J7548" s="124"/>
    </row>
    <row r="7549" spans="3:10" x14ac:dyDescent="0.2">
      <c r="C7549" s="209"/>
      <c r="D7549" s="209"/>
      <c r="E7549" s="209"/>
      <c r="J7549" s="124"/>
    </row>
    <row r="7550" spans="3:10" x14ac:dyDescent="0.2">
      <c r="C7550" s="209"/>
      <c r="D7550" s="209"/>
      <c r="E7550" s="209"/>
      <c r="J7550" s="124"/>
    </row>
    <row r="7551" spans="3:10" x14ac:dyDescent="0.2">
      <c r="C7551" s="209"/>
      <c r="D7551" s="209"/>
      <c r="E7551" s="209"/>
      <c r="J7551" s="124"/>
    </row>
    <row r="7552" spans="3:10" x14ac:dyDescent="0.2">
      <c r="C7552" s="209"/>
      <c r="D7552" s="209"/>
      <c r="E7552" s="209"/>
      <c r="J7552" s="124"/>
    </row>
    <row r="7553" spans="3:10" x14ac:dyDescent="0.2">
      <c r="C7553" s="209"/>
      <c r="D7553" s="209"/>
      <c r="E7553" s="209"/>
      <c r="J7553" s="124"/>
    </row>
    <row r="7554" spans="3:10" x14ac:dyDescent="0.2">
      <c r="C7554" s="209"/>
      <c r="D7554" s="209"/>
      <c r="E7554" s="209"/>
      <c r="J7554" s="124"/>
    </row>
    <row r="7555" spans="3:10" x14ac:dyDescent="0.2">
      <c r="C7555" s="209"/>
      <c r="D7555" s="209"/>
      <c r="E7555" s="209"/>
      <c r="J7555" s="124"/>
    </row>
    <row r="7556" spans="3:10" x14ac:dyDescent="0.2">
      <c r="C7556" s="209"/>
      <c r="D7556" s="209"/>
      <c r="E7556" s="209"/>
      <c r="J7556" s="124"/>
    </row>
    <row r="7557" spans="3:10" x14ac:dyDescent="0.2">
      <c r="C7557" s="209"/>
      <c r="D7557" s="209"/>
      <c r="E7557" s="209"/>
      <c r="J7557" s="124"/>
    </row>
    <row r="7558" spans="3:10" x14ac:dyDescent="0.2">
      <c r="C7558" s="209"/>
      <c r="D7558" s="209"/>
      <c r="E7558" s="209"/>
      <c r="J7558" s="124"/>
    </row>
    <row r="7559" spans="3:10" x14ac:dyDescent="0.2">
      <c r="C7559" s="209"/>
      <c r="D7559" s="209"/>
      <c r="E7559" s="209"/>
      <c r="J7559" s="124"/>
    </row>
    <row r="7560" spans="3:10" x14ac:dyDescent="0.2">
      <c r="C7560" s="209"/>
      <c r="D7560" s="209"/>
      <c r="E7560" s="209"/>
      <c r="J7560" s="124"/>
    </row>
    <row r="7561" spans="3:10" x14ac:dyDescent="0.2">
      <c r="C7561" s="209"/>
      <c r="D7561" s="209"/>
      <c r="E7561" s="209"/>
      <c r="J7561" s="124"/>
    </row>
    <row r="7562" spans="3:10" x14ac:dyDescent="0.2">
      <c r="C7562" s="209"/>
      <c r="D7562" s="209"/>
      <c r="E7562" s="209"/>
      <c r="J7562" s="124"/>
    </row>
    <row r="7563" spans="3:10" x14ac:dyDescent="0.2">
      <c r="C7563" s="209"/>
      <c r="D7563" s="209"/>
      <c r="E7563" s="209"/>
      <c r="J7563" s="124"/>
    </row>
    <row r="7564" spans="3:10" x14ac:dyDescent="0.2">
      <c r="C7564" s="209"/>
      <c r="D7564" s="209"/>
      <c r="E7564" s="209"/>
      <c r="J7564" s="124"/>
    </row>
    <row r="7565" spans="3:10" x14ac:dyDescent="0.2">
      <c r="C7565" s="209"/>
      <c r="D7565" s="209"/>
      <c r="E7565" s="209"/>
      <c r="J7565" s="124"/>
    </row>
    <row r="7566" spans="3:10" x14ac:dyDescent="0.2">
      <c r="C7566" s="209"/>
      <c r="D7566" s="209"/>
      <c r="E7566" s="209"/>
      <c r="J7566" s="124"/>
    </row>
    <row r="7567" spans="3:10" x14ac:dyDescent="0.2">
      <c r="C7567" s="209"/>
      <c r="D7567" s="209"/>
      <c r="E7567" s="209"/>
      <c r="J7567" s="124"/>
    </row>
    <row r="7568" spans="3:10" x14ac:dyDescent="0.2">
      <c r="C7568" s="209"/>
      <c r="D7568" s="209"/>
      <c r="E7568" s="209"/>
      <c r="J7568" s="124"/>
    </row>
    <row r="7569" spans="3:10" x14ac:dyDescent="0.2">
      <c r="C7569" s="209"/>
      <c r="D7569" s="209"/>
      <c r="E7569" s="209"/>
      <c r="J7569" s="124"/>
    </row>
    <row r="7570" spans="3:10" x14ac:dyDescent="0.2">
      <c r="C7570" s="209"/>
      <c r="D7570" s="209"/>
      <c r="E7570" s="209"/>
      <c r="J7570" s="124"/>
    </row>
    <row r="7571" spans="3:10" x14ac:dyDescent="0.2">
      <c r="C7571" s="209"/>
      <c r="D7571" s="209"/>
      <c r="E7571" s="209"/>
      <c r="J7571" s="124"/>
    </row>
    <row r="7572" spans="3:10" x14ac:dyDescent="0.2">
      <c r="C7572" s="209"/>
      <c r="D7572" s="209"/>
      <c r="E7572" s="209"/>
      <c r="J7572" s="124"/>
    </row>
    <row r="7573" spans="3:10" x14ac:dyDescent="0.2">
      <c r="C7573" s="209"/>
      <c r="D7573" s="209"/>
      <c r="E7573" s="209"/>
      <c r="J7573" s="124"/>
    </row>
    <row r="7574" spans="3:10" x14ac:dyDescent="0.2">
      <c r="C7574" s="209"/>
      <c r="D7574" s="209"/>
      <c r="E7574" s="209"/>
      <c r="J7574" s="124"/>
    </row>
    <row r="7575" spans="3:10" x14ac:dyDescent="0.2">
      <c r="C7575" s="209"/>
      <c r="D7575" s="209"/>
      <c r="E7575" s="209"/>
      <c r="J7575" s="124"/>
    </row>
    <row r="7576" spans="3:10" x14ac:dyDescent="0.2">
      <c r="C7576" s="209"/>
      <c r="D7576" s="209"/>
      <c r="E7576" s="209"/>
      <c r="J7576" s="124"/>
    </row>
    <row r="7577" spans="3:10" x14ac:dyDescent="0.2">
      <c r="C7577" s="209"/>
      <c r="D7577" s="209"/>
      <c r="E7577" s="209"/>
      <c r="J7577" s="124"/>
    </row>
    <row r="7578" spans="3:10" x14ac:dyDescent="0.2">
      <c r="C7578" s="209"/>
      <c r="D7578" s="209"/>
      <c r="E7578" s="209"/>
      <c r="J7578" s="124"/>
    </row>
    <row r="7579" spans="3:10" x14ac:dyDescent="0.2">
      <c r="C7579" s="209"/>
      <c r="D7579" s="209"/>
      <c r="E7579" s="209"/>
      <c r="J7579" s="124"/>
    </row>
    <row r="7580" spans="3:10" x14ac:dyDescent="0.2">
      <c r="C7580" s="209"/>
      <c r="D7580" s="209"/>
      <c r="E7580" s="209"/>
      <c r="J7580" s="124"/>
    </row>
    <row r="7581" spans="3:10" x14ac:dyDescent="0.2">
      <c r="C7581" s="209"/>
      <c r="D7581" s="209"/>
      <c r="E7581" s="209"/>
      <c r="J7581" s="124"/>
    </row>
    <row r="7582" spans="3:10" x14ac:dyDescent="0.2">
      <c r="C7582" s="209"/>
      <c r="D7582" s="209"/>
      <c r="E7582" s="209"/>
      <c r="J7582" s="124"/>
    </row>
    <row r="7583" spans="3:10" x14ac:dyDescent="0.2">
      <c r="C7583" s="209"/>
      <c r="D7583" s="209"/>
      <c r="E7583" s="209"/>
      <c r="J7583" s="124"/>
    </row>
    <row r="7584" spans="3:10" x14ac:dyDescent="0.2">
      <c r="C7584" s="209"/>
      <c r="D7584" s="209"/>
      <c r="E7584" s="209"/>
      <c r="J7584" s="124"/>
    </row>
    <row r="7585" spans="3:10" x14ac:dyDescent="0.2">
      <c r="C7585" s="209"/>
      <c r="D7585" s="209"/>
      <c r="E7585" s="209"/>
      <c r="J7585" s="124"/>
    </row>
    <row r="7586" spans="3:10" x14ac:dyDescent="0.2">
      <c r="C7586" s="209"/>
      <c r="D7586" s="209"/>
      <c r="E7586" s="209"/>
      <c r="J7586" s="124"/>
    </row>
    <row r="7587" spans="3:10" x14ac:dyDescent="0.2">
      <c r="C7587" s="209"/>
      <c r="D7587" s="209"/>
      <c r="E7587" s="209"/>
      <c r="J7587" s="124"/>
    </row>
    <row r="7588" spans="3:10" x14ac:dyDescent="0.2">
      <c r="C7588" s="209"/>
      <c r="D7588" s="209"/>
      <c r="E7588" s="209"/>
      <c r="J7588" s="124"/>
    </row>
    <row r="7589" spans="3:10" x14ac:dyDescent="0.2">
      <c r="C7589" s="209"/>
      <c r="D7589" s="209"/>
      <c r="E7589" s="209"/>
      <c r="J7589" s="124"/>
    </row>
    <row r="7590" spans="3:10" x14ac:dyDescent="0.2">
      <c r="C7590" s="209"/>
      <c r="D7590" s="209"/>
      <c r="E7590" s="209"/>
      <c r="J7590" s="124"/>
    </row>
    <row r="7591" spans="3:10" x14ac:dyDescent="0.2">
      <c r="C7591" s="209"/>
      <c r="D7591" s="209"/>
      <c r="E7591" s="209"/>
      <c r="J7591" s="124"/>
    </row>
    <row r="7592" spans="3:10" x14ac:dyDescent="0.2">
      <c r="C7592" s="209"/>
      <c r="D7592" s="209"/>
      <c r="E7592" s="209"/>
      <c r="J7592" s="124"/>
    </row>
    <row r="7593" spans="3:10" x14ac:dyDescent="0.2">
      <c r="C7593" s="209"/>
      <c r="D7593" s="209"/>
      <c r="E7593" s="209"/>
      <c r="J7593" s="124"/>
    </row>
    <row r="7594" spans="3:10" x14ac:dyDescent="0.2">
      <c r="C7594" s="209"/>
      <c r="D7594" s="209"/>
      <c r="E7594" s="209"/>
      <c r="J7594" s="124"/>
    </row>
    <row r="7595" spans="3:10" x14ac:dyDescent="0.2">
      <c r="C7595" s="209"/>
      <c r="D7595" s="209"/>
      <c r="E7595" s="209"/>
      <c r="J7595" s="124"/>
    </row>
    <row r="7596" spans="3:10" x14ac:dyDescent="0.2">
      <c r="C7596" s="209"/>
      <c r="D7596" s="209"/>
      <c r="E7596" s="209"/>
      <c r="J7596" s="124"/>
    </row>
    <row r="7597" spans="3:10" x14ac:dyDescent="0.2">
      <c r="C7597" s="209"/>
      <c r="D7597" s="209"/>
      <c r="E7597" s="209"/>
      <c r="J7597" s="124"/>
    </row>
    <row r="7598" spans="3:10" x14ac:dyDescent="0.2">
      <c r="C7598" s="209"/>
      <c r="D7598" s="209"/>
      <c r="E7598" s="209"/>
      <c r="J7598" s="124"/>
    </row>
    <row r="7599" spans="3:10" x14ac:dyDescent="0.2">
      <c r="C7599" s="209"/>
      <c r="D7599" s="209"/>
      <c r="E7599" s="209"/>
      <c r="J7599" s="124"/>
    </row>
    <row r="7600" spans="3:10" x14ac:dyDescent="0.2">
      <c r="C7600" s="209"/>
      <c r="D7600" s="209"/>
      <c r="E7600" s="209"/>
      <c r="J7600" s="124"/>
    </row>
    <row r="7601" spans="3:10" x14ac:dyDescent="0.2">
      <c r="C7601" s="209"/>
      <c r="D7601" s="209"/>
      <c r="E7601" s="209"/>
      <c r="J7601" s="124"/>
    </row>
    <row r="7602" spans="3:10" x14ac:dyDescent="0.2">
      <c r="C7602" s="209"/>
      <c r="D7602" s="209"/>
      <c r="E7602" s="209"/>
      <c r="J7602" s="124"/>
    </row>
    <row r="7603" spans="3:10" x14ac:dyDescent="0.2">
      <c r="C7603" s="209"/>
      <c r="D7603" s="209"/>
      <c r="E7603" s="209"/>
      <c r="J7603" s="124"/>
    </row>
    <row r="7604" spans="3:10" x14ac:dyDescent="0.2">
      <c r="C7604" s="209"/>
      <c r="D7604" s="209"/>
      <c r="E7604" s="209"/>
      <c r="J7604" s="124"/>
    </row>
    <row r="7605" spans="3:10" x14ac:dyDescent="0.2">
      <c r="C7605" s="209"/>
      <c r="D7605" s="209"/>
      <c r="E7605" s="209"/>
      <c r="J7605" s="124"/>
    </row>
    <row r="7606" spans="3:10" x14ac:dyDescent="0.2">
      <c r="C7606" s="209"/>
      <c r="D7606" s="209"/>
      <c r="E7606" s="209"/>
      <c r="J7606" s="124"/>
    </row>
    <row r="7607" spans="3:10" x14ac:dyDescent="0.2">
      <c r="C7607" s="209"/>
      <c r="D7607" s="209"/>
      <c r="E7607" s="209"/>
      <c r="J7607" s="124"/>
    </row>
    <row r="7608" spans="3:10" x14ac:dyDescent="0.2">
      <c r="C7608" s="209"/>
      <c r="D7608" s="209"/>
      <c r="E7608" s="209"/>
      <c r="J7608" s="124"/>
    </row>
    <row r="7609" spans="3:10" x14ac:dyDescent="0.2">
      <c r="C7609" s="209"/>
      <c r="D7609" s="209"/>
      <c r="E7609" s="209"/>
      <c r="J7609" s="124"/>
    </row>
    <row r="7610" spans="3:10" x14ac:dyDescent="0.2">
      <c r="C7610" s="209"/>
      <c r="D7610" s="209"/>
      <c r="E7610" s="209"/>
      <c r="J7610" s="124"/>
    </row>
    <row r="7611" spans="3:10" x14ac:dyDescent="0.2">
      <c r="C7611" s="209"/>
      <c r="D7611" s="209"/>
      <c r="E7611" s="209"/>
      <c r="J7611" s="124"/>
    </row>
    <row r="7612" spans="3:10" x14ac:dyDescent="0.2">
      <c r="C7612" s="209"/>
      <c r="D7612" s="209"/>
      <c r="E7612" s="209"/>
      <c r="J7612" s="124"/>
    </row>
    <row r="7613" spans="3:10" x14ac:dyDescent="0.2">
      <c r="C7613" s="209"/>
      <c r="D7613" s="209"/>
      <c r="E7613" s="209"/>
      <c r="J7613" s="124"/>
    </row>
    <row r="7614" spans="3:10" x14ac:dyDescent="0.2">
      <c r="C7614" s="209"/>
      <c r="D7614" s="209"/>
      <c r="E7614" s="209"/>
      <c r="J7614" s="124"/>
    </row>
    <row r="7615" spans="3:10" x14ac:dyDescent="0.2">
      <c r="C7615" s="209"/>
      <c r="D7615" s="209"/>
      <c r="E7615" s="209"/>
      <c r="J7615" s="124"/>
    </row>
    <row r="7616" spans="3:10" x14ac:dyDescent="0.2">
      <c r="C7616" s="209"/>
      <c r="D7616" s="209"/>
      <c r="E7616" s="209"/>
      <c r="J7616" s="124"/>
    </row>
    <row r="7617" spans="3:10" x14ac:dyDescent="0.2">
      <c r="C7617" s="209"/>
      <c r="D7617" s="209"/>
      <c r="E7617" s="209"/>
      <c r="J7617" s="124"/>
    </row>
    <row r="7618" spans="3:10" x14ac:dyDescent="0.2">
      <c r="C7618" s="209"/>
      <c r="D7618" s="209"/>
      <c r="E7618" s="209"/>
      <c r="J7618" s="124"/>
    </row>
    <row r="7619" spans="3:10" x14ac:dyDescent="0.2">
      <c r="C7619" s="209"/>
      <c r="D7619" s="209"/>
      <c r="E7619" s="209"/>
      <c r="J7619" s="124"/>
    </row>
    <row r="7620" spans="3:10" x14ac:dyDescent="0.2">
      <c r="C7620" s="209"/>
      <c r="D7620" s="209"/>
      <c r="E7620" s="209"/>
      <c r="J7620" s="124"/>
    </row>
    <row r="7621" spans="3:10" x14ac:dyDescent="0.2">
      <c r="C7621" s="209"/>
      <c r="D7621" s="209"/>
      <c r="E7621" s="209"/>
      <c r="J7621" s="124"/>
    </row>
    <row r="7622" spans="3:10" x14ac:dyDescent="0.2">
      <c r="C7622" s="209"/>
      <c r="D7622" s="209"/>
      <c r="E7622" s="209"/>
      <c r="J7622" s="124"/>
    </row>
    <row r="7623" spans="3:10" x14ac:dyDescent="0.2">
      <c r="C7623" s="209"/>
      <c r="D7623" s="209"/>
      <c r="E7623" s="209"/>
      <c r="J7623" s="124"/>
    </row>
    <row r="7624" spans="3:10" x14ac:dyDescent="0.2">
      <c r="C7624" s="209"/>
      <c r="D7624" s="209"/>
      <c r="E7624" s="209"/>
      <c r="J7624" s="124"/>
    </row>
    <row r="7625" spans="3:10" x14ac:dyDescent="0.2">
      <c r="C7625" s="209"/>
      <c r="D7625" s="209"/>
      <c r="E7625" s="209"/>
      <c r="J7625" s="124"/>
    </row>
    <row r="7626" spans="3:10" x14ac:dyDescent="0.2">
      <c r="C7626" s="209"/>
      <c r="D7626" s="209"/>
      <c r="E7626" s="209"/>
      <c r="J7626" s="124"/>
    </row>
    <row r="7627" spans="3:10" x14ac:dyDescent="0.2">
      <c r="C7627" s="209"/>
      <c r="D7627" s="209"/>
      <c r="E7627" s="209"/>
      <c r="J7627" s="124"/>
    </row>
    <row r="7628" spans="3:10" x14ac:dyDescent="0.2">
      <c r="C7628" s="209"/>
      <c r="D7628" s="209"/>
      <c r="E7628" s="209"/>
      <c r="J7628" s="124"/>
    </row>
    <row r="7629" spans="3:10" x14ac:dyDescent="0.2">
      <c r="C7629" s="209"/>
      <c r="D7629" s="209"/>
      <c r="E7629" s="209"/>
      <c r="J7629" s="124"/>
    </row>
    <row r="7630" spans="3:10" x14ac:dyDescent="0.2">
      <c r="C7630" s="209"/>
      <c r="D7630" s="209"/>
      <c r="E7630" s="209"/>
      <c r="J7630" s="124"/>
    </row>
    <row r="7631" spans="3:10" x14ac:dyDescent="0.2">
      <c r="C7631" s="209"/>
      <c r="D7631" s="209"/>
      <c r="E7631" s="209"/>
      <c r="J7631" s="124"/>
    </row>
    <row r="7632" spans="3:10" x14ac:dyDescent="0.2">
      <c r="C7632" s="209"/>
      <c r="D7632" s="209"/>
      <c r="E7632" s="209"/>
      <c r="J7632" s="124"/>
    </row>
    <row r="7633" spans="3:10" x14ac:dyDescent="0.2">
      <c r="C7633" s="209"/>
      <c r="D7633" s="209"/>
      <c r="E7633" s="209"/>
      <c r="J7633" s="124"/>
    </row>
    <row r="7634" spans="3:10" x14ac:dyDescent="0.2">
      <c r="C7634" s="209"/>
      <c r="D7634" s="209"/>
      <c r="E7634" s="209"/>
      <c r="J7634" s="124"/>
    </row>
    <row r="7635" spans="3:10" x14ac:dyDescent="0.2">
      <c r="C7635" s="209"/>
      <c r="D7635" s="209"/>
      <c r="E7635" s="209"/>
      <c r="J7635" s="124"/>
    </row>
    <row r="7636" spans="3:10" x14ac:dyDescent="0.2">
      <c r="C7636" s="209"/>
      <c r="D7636" s="209"/>
      <c r="E7636" s="209"/>
      <c r="J7636" s="124"/>
    </row>
    <row r="7637" spans="3:10" x14ac:dyDescent="0.2">
      <c r="C7637" s="209"/>
      <c r="D7637" s="209"/>
      <c r="E7637" s="209"/>
      <c r="J7637" s="124"/>
    </row>
    <row r="7638" spans="3:10" x14ac:dyDescent="0.2">
      <c r="C7638" s="209"/>
      <c r="D7638" s="209"/>
      <c r="E7638" s="209"/>
      <c r="J7638" s="124"/>
    </row>
    <row r="7639" spans="3:10" x14ac:dyDescent="0.2">
      <c r="C7639" s="209"/>
      <c r="D7639" s="209"/>
      <c r="E7639" s="209"/>
      <c r="J7639" s="124"/>
    </row>
    <row r="7640" spans="3:10" x14ac:dyDescent="0.2">
      <c r="C7640" s="209"/>
      <c r="D7640" s="209"/>
      <c r="E7640" s="209"/>
      <c r="J7640" s="124"/>
    </row>
    <row r="7641" spans="3:10" x14ac:dyDescent="0.2">
      <c r="C7641" s="209"/>
      <c r="D7641" s="209"/>
      <c r="E7641" s="209"/>
      <c r="J7641" s="124"/>
    </row>
    <row r="7642" spans="3:10" x14ac:dyDescent="0.2">
      <c r="C7642" s="209"/>
      <c r="D7642" s="209"/>
      <c r="E7642" s="209"/>
      <c r="J7642" s="124"/>
    </row>
    <row r="7643" spans="3:10" x14ac:dyDescent="0.2">
      <c r="C7643" s="209"/>
      <c r="D7643" s="209"/>
      <c r="E7643" s="209"/>
      <c r="J7643" s="124"/>
    </row>
    <row r="7644" spans="3:10" x14ac:dyDescent="0.2">
      <c r="C7644" s="209"/>
      <c r="D7644" s="209"/>
      <c r="E7644" s="209"/>
      <c r="J7644" s="124"/>
    </row>
    <row r="7645" spans="3:10" x14ac:dyDescent="0.2">
      <c r="C7645" s="209"/>
      <c r="D7645" s="209"/>
      <c r="E7645" s="209"/>
      <c r="J7645" s="124"/>
    </row>
    <row r="7646" spans="3:10" x14ac:dyDescent="0.2">
      <c r="C7646" s="209"/>
      <c r="D7646" s="209"/>
      <c r="E7646" s="209"/>
      <c r="J7646" s="124"/>
    </row>
    <row r="7647" spans="3:10" x14ac:dyDescent="0.2">
      <c r="C7647" s="209"/>
      <c r="D7647" s="209"/>
      <c r="E7647" s="209"/>
      <c r="J7647" s="124"/>
    </row>
    <row r="7648" spans="3:10" x14ac:dyDescent="0.2">
      <c r="C7648" s="209"/>
      <c r="D7648" s="209"/>
      <c r="E7648" s="209"/>
      <c r="J7648" s="124"/>
    </row>
    <row r="7649" spans="3:10" x14ac:dyDescent="0.2">
      <c r="C7649" s="209"/>
      <c r="D7649" s="209"/>
      <c r="E7649" s="209"/>
      <c r="J7649" s="124"/>
    </row>
    <row r="7650" spans="3:10" x14ac:dyDescent="0.2">
      <c r="C7650" s="209"/>
      <c r="D7650" s="209"/>
      <c r="E7650" s="209"/>
      <c r="J7650" s="124"/>
    </row>
    <row r="7651" spans="3:10" x14ac:dyDescent="0.2">
      <c r="C7651" s="209"/>
      <c r="D7651" s="209"/>
      <c r="E7651" s="209"/>
      <c r="J7651" s="124"/>
    </row>
    <row r="7652" spans="3:10" x14ac:dyDescent="0.2">
      <c r="C7652" s="209"/>
      <c r="D7652" s="209"/>
      <c r="E7652" s="209"/>
      <c r="J7652" s="124"/>
    </row>
    <row r="7653" spans="3:10" x14ac:dyDescent="0.2">
      <c r="C7653" s="209"/>
      <c r="D7653" s="209"/>
      <c r="E7653" s="209"/>
      <c r="J7653" s="124"/>
    </row>
    <row r="7654" spans="3:10" x14ac:dyDescent="0.2">
      <c r="C7654" s="209"/>
      <c r="D7654" s="209"/>
      <c r="E7654" s="209"/>
      <c r="J7654" s="124"/>
    </row>
    <row r="7655" spans="3:10" x14ac:dyDescent="0.2">
      <c r="C7655" s="209"/>
      <c r="D7655" s="209"/>
      <c r="E7655" s="209"/>
      <c r="J7655" s="124"/>
    </row>
    <row r="7656" spans="3:10" x14ac:dyDescent="0.2">
      <c r="C7656" s="209"/>
      <c r="D7656" s="209"/>
      <c r="E7656" s="209"/>
      <c r="J7656" s="124"/>
    </row>
    <row r="7657" spans="3:10" x14ac:dyDescent="0.2">
      <c r="C7657" s="209"/>
      <c r="D7657" s="209"/>
      <c r="E7657" s="209"/>
      <c r="J7657" s="124"/>
    </row>
    <row r="7658" spans="3:10" x14ac:dyDescent="0.2">
      <c r="C7658" s="209"/>
      <c r="D7658" s="209"/>
      <c r="E7658" s="209"/>
      <c r="J7658" s="124"/>
    </row>
    <row r="7659" spans="3:10" x14ac:dyDescent="0.2">
      <c r="C7659" s="209"/>
      <c r="D7659" s="209"/>
      <c r="E7659" s="209"/>
      <c r="J7659" s="124"/>
    </row>
    <row r="7660" spans="3:10" x14ac:dyDescent="0.2">
      <c r="C7660" s="209"/>
      <c r="D7660" s="209"/>
      <c r="E7660" s="209"/>
      <c r="J7660" s="124"/>
    </row>
    <row r="7661" spans="3:10" x14ac:dyDescent="0.2">
      <c r="C7661" s="209"/>
      <c r="D7661" s="209"/>
      <c r="E7661" s="209"/>
      <c r="J7661" s="124"/>
    </row>
    <row r="7662" spans="3:10" x14ac:dyDescent="0.2">
      <c r="C7662" s="209"/>
      <c r="D7662" s="209"/>
      <c r="E7662" s="209"/>
      <c r="J7662" s="124"/>
    </row>
    <row r="7663" spans="3:10" x14ac:dyDescent="0.2">
      <c r="C7663" s="209"/>
      <c r="D7663" s="209"/>
      <c r="E7663" s="209"/>
      <c r="J7663" s="124"/>
    </row>
    <row r="7664" spans="3:10" x14ac:dyDescent="0.2">
      <c r="C7664" s="209"/>
      <c r="D7664" s="209"/>
      <c r="E7664" s="209"/>
      <c r="J7664" s="124"/>
    </row>
    <row r="7665" spans="3:10" x14ac:dyDescent="0.2">
      <c r="C7665" s="209"/>
      <c r="D7665" s="209"/>
      <c r="E7665" s="209"/>
      <c r="J7665" s="124"/>
    </row>
    <row r="7666" spans="3:10" x14ac:dyDescent="0.2">
      <c r="C7666" s="209"/>
      <c r="D7666" s="209"/>
      <c r="E7666" s="209"/>
      <c r="J7666" s="124"/>
    </row>
    <row r="7667" spans="3:10" x14ac:dyDescent="0.2">
      <c r="C7667" s="209"/>
      <c r="D7667" s="209"/>
      <c r="E7667" s="209"/>
      <c r="J7667" s="124"/>
    </row>
    <row r="7668" spans="3:10" x14ac:dyDescent="0.2">
      <c r="C7668" s="209"/>
      <c r="D7668" s="209"/>
      <c r="E7668" s="209"/>
      <c r="J7668" s="124"/>
    </row>
    <row r="7669" spans="3:10" x14ac:dyDescent="0.2">
      <c r="C7669" s="209"/>
      <c r="D7669" s="209"/>
      <c r="E7669" s="209"/>
      <c r="J7669" s="124"/>
    </row>
    <row r="7670" spans="3:10" x14ac:dyDescent="0.2">
      <c r="C7670" s="209"/>
      <c r="D7670" s="209"/>
      <c r="E7670" s="209"/>
      <c r="J7670" s="124"/>
    </row>
    <row r="7671" spans="3:10" x14ac:dyDescent="0.2">
      <c r="C7671" s="209"/>
      <c r="D7671" s="209"/>
      <c r="E7671" s="209"/>
      <c r="J7671" s="124"/>
    </row>
    <row r="7672" spans="3:10" x14ac:dyDescent="0.2">
      <c r="C7672" s="209"/>
      <c r="D7672" s="209"/>
      <c r="E7672" s="209"/>
      <c r="J7672" s="124"/>
    </row>
    <row r="7673" spans="3:10" x14ac:dyDescent="0.2">
      <c r="C7673" s="209"/>
      <c r="D7673" s="209"/>
      <c r="E7673" s="209"/>
      <c r="J7673" s="124"/>
    </row>
    <row r="7674" spans="3:10" x14ac:dyDescent="0.2">
      <c r="C7674" s="209"/>
      <c r="D7674" s="209"/>
      <c r="E7674" s="209"/>
      <c r="J7674" s="124"/>
    </row>
    <row r="7675" spans="3:10" x14ac:dyDescent="0.2">
      <c r="C7675" s="209"/>
      <c r="D7675" s="209"/>
      <c r="E7675" s="209"/>
      <c r="J7675" s="124"/>
    </row>
    <row r="7676" spans="3:10" x14ac:dyDescent="0.2">
      <c r="C7676" s="209"/>
      <c r="D7676" s="209"/>
      <c r="E7676" s="209"/>
      <c r="J7676" s="124"/>
    </row>
    <row r="7677" spans="3:10" x14ac:dyDescent="0.2">
      <c r="C7677" s="209"/>
      <c r="D7677" s="209"/>
      <c r="E7677" s="209"/>
      <c r="J7677" s="124"/>
    </row>
    <row r="7678" spans="3:10" x14ac:dyDescent="0.2">
      <c r="C7678" s="209"/>
      <c r="D7678" s="209"/>
      <c r="E7678" s="209"/>
      <c r="J7678" s="124"/>
    </row>
    <row r="7679" spans="3:10" x14ac:dyDescent="0.2">
      <c r="C7679" s="209"/>
      <c r="D7679" s="209"/>
      <c r="E7679" s="209"/>
      <c r="J7679" s="124"/>
    </row>
    <row r="7680" spans="3:10" x14ac:dyDescent="0.2">
      <c r="C7680" s="209"/>
      <c r="D7680" s="209"/>
      <c r="E7680" s="209"/>
      <c r="J7680" s="124"/>
    </row>
    <row r="7681" spans="3:10" x14ac:dyDescent="0.2">
      <c r="C7681" s="209"/>
      <c r="D7681" s="209"/>
      <c r="E7681" s="209"/>
      <c r="J7681" s="124"/>
    </row>
    <row r="7682" spans="3:10" x14ac:dyDescent="0.2">
      <c r="C7682" s="209"/>
      <c r="D7682" s="209"/>
      <c r="E7682" s="209"/>
      <c r="J7682" s="124"/>
    </row>
    <row r="7683" spans="3:10" x14ac:dyDescent="0.2">
      <c r="C7683" s="209"/>
      <c r="D7683" s="209"/>
      <c r="E7683" s="209"/>
      <c r="J7683" s="124"/>
    </row>
    <row r="7684" spans="3:10" x14ac:dyDescent="0.2">
      <c r="C7684" s="209"/>
      <c r="D7684" s="209"/>
      <c r="E7684" s="209"/>
      <c r="J7684" s="124"/>
    </row>
    <row r="7685" spans="3:10" x14ac:dyDescent="0.2">
      <c r="C7685" s="209"/>
      <c r="D7685" s="209"/>
      <c r="E7685" s="209"/>
      <c r="J7685" s="124"/>
    </row>
    <row r="7686" spans="3:10" x14ac:dyDescent="0.2">
      <c r="C7686" s="209"/>
      <c r="D7686" s="209"/>
      <c r="E7686" s="209"/>
      <c r="J7686" s="124"/>
    </row>
    <row r="7687" spans="3:10" x14ac:dyDescent="0.2">
      <c r="C7687" s="209"/>
      <c r="D7687" s="209"/>
      <c r="E7687" s="209"/>
      <c r="J7687" s="124"/>
    </row>
    <row r="7688" spans="3:10" x14ac:dyDescent="0.2">
      <c r="C7688" s="209"/>
      <c r="D7688" s="209"/>
      <c r="E7688" s="209"/>
      <c r="J7688" s="124"/>
    </row>
    <row r="7689" spans="3:10" x14ac:dyDescent="0.2">
      <c r="C7689" s="209"/>
      <c r="D7689" s="209"/>
      <c r="E7689" s="209"/>
      <c r="J7689" s="124"/>
    </row>
    <row r="7690" spans="3:10" x14ac:dyDescent="0.2">
      <c r="C7690" s="209"/>
      <c r="D7690" s="209"/>
      <c r="E7690" s="209"/>
      <c r="J7690" s="124"/>
    </row>
    <row r="7691" spans="3:10" x14ac:dyDescent="0.2">
      <c r="C7691" s="209"/>
      <c r="D7691" s="209"/>
      <c r="E7691" s="209"/>
      <c r="J7691" s="124"/>
    </row>
    <row r="7692" spans="3:10" x14ac:dyDescent="0.2">
      <c r="C7692" s="209"/>
      <c r="D7692" s="209"/>
      <c r="E7692" s="209"/>
      <c r="J7692" s="124"/>
    </row>
    <row r="7693" spans="3:10" x14ac:dyDescent="0.2">
      <c r="C7693" s="209"/>
      <c r="D7693" s="209"/>
      <c r="E7693" s="209"/>
      <c r="J7693" s="124"/>
    </row>
    <row r="7694" spans="3:10" x14ac:dyDescent="0.2">
      <c r="C7694" s="209"/>
      <c r="D7694" s="209"/>
      <c r="E7694" s="209"/>
      <c r="J7694" s="124"/>
    </row>
    <row r="7695" spans="3:10" x14ac:dyDescent="0.2">
      <c r="C7695" s="209"/>
      <c r="D7695" s="209"/>
      <c r="E7695" s="209"/>
      <c r="J7695" s="124"/>
    </row>
    <row r="7696" spans="3:10" x14ac:dyDescent="0.2">
      <c r="C7696" s="209"/>
      <c r="D7696" s="209"/>
      <c r="E7696" s="209"/>
      <c r="J7696" s="124"/>
    </row>
    <row r="7697" spans="3:10" x14ac:dyDescent="0.2">
      <c r="C7697" s="209"/>
      <c r="D7697" s="209"/>
      <c r="E7697" s="209"/>
      <c r="J7697" s="124"/>
    </row>
    <row r="7698" spans="3:10" x14ac:dyDescent="0.2">
      <c r="C7698" s="209"/>
      <c r="D7698" s="209"/>
      <c r="E7698" s="209"/>
      <c r="J7698" s="124"/>
    </row>
    <row r="7699" spans="3:10" x14ac:dyDescent="0.2">
      <c r="C7699" s="209"/>
      <c r="D7699" s="209"/>
      <c r="E7699" s="209"/>
      <c r="J7699" s="124"/>
    </row>
    <row r="7700" spans="3:10" x14ac:dyDescent="0.2">
      <c r="C7700" s="209"/>
      <c r="D7700" s="209"/>
      <c r="E7700" s="209"/>
      <c r="J7700" s="124"/>
    </row>
    <row r="7701" spans="3:10" x14ac:dyDescent="0.2">
      <c r="C7701" s="209"/>
      <c r="D7701" s="209"/>
      <c r="E7701" s="209"/>
      <c r="J7701" s="124"/>
    </row>
    <row r="7702" spans="3:10" x14ac:dyDescent="0.2">
      <c r="C7702" s="209"/>
      <c r="D7702" s="209"/>
      <c r="E7702" s="209"/>
      <c r="J7702" s="124"/>
    </row>
    <row r="7703" spans="3:10" x14ac:dyDescent="0.2">
      <c r="C7703" s="209"/>
      <c r="D7703" s="209"/>
      <c r="E7703" s="209"/>
      <c r="J7703" s="124"/>
    </row>
    <row r="7704" spans="3:10" x14ac:dyDescent="0.2">
      <c r="C7704" s="209"/>
      <c r="D7704" s="209"/>
      <c r="E7704" s="209"/>
      <c r="J7704" s="124"/>
    </row>
    <row r="7705" spans="3:10" x14ac:dyDescent="0.2">
      <c r="C7705" s="209"/>
      <c r="D7705" s="209"/>
      <c r="E7705" s="209"/>
      <c r="J7705" s="124"/>
    </row>
    <row r="7706" spans="3:10" x14ac:dyDescent="0.2">
      <c r="C7706" s="209"/>
      <c r="D7706" s="209"/>
      <c r="E7706" s="209"/>
      <c r="J7706" s="124"/>
    </row>
    <row r="7707" spans="3:10" x14ac:dyDescent="0.2">
      <c r="C7707" s="209"/>
      <c r="D7707" s="209"/>
      <c r="E7707" s="209"/>
      <c r="J7707" s="124"/>
    </row>
    <row r="7708" spans="3:10" x14ac:dyDescent="0.2">
      <c r="C7708" s="209"/>
      <c r="D7708" s="209"/>
      <c r="E7708" s="209"/>
      <c r="J7708" s="124"/>
    </row>
    <row r="7709" spans="3:10" x14ac:dyDescent="0.2">
      <c r="C7709" s="209"/>
      <c r="D7709" s="209"/>
      <c r="E7709" s="209"/>
      <c r="J7709" s="124"/>
    </row>
    <row r="7710" spans="3:10" x14ac:dyDescent="0.2">
      <c r="C7710" s="209"/>
      <c r="D7710" s="209"/>
      <c r="E7710" s="209"/>
      <c r="J7710" s="124"/>
    </row>
    <row r="7711" spans="3:10" x14ac:dyDescent="0.2">
      <c r="C7711" s="209"/>
      <c r="D7711" s="209"/>
      <c r="E7711" s="209"/>
      <c r="J7711" s="124"/>
    </row>
    <row r="7712" spans="3:10" x14ac:dyDescent="0.2">
      <c r="C7712" s="209"/>
      <c r="D7712" s="209"/>
      <c r="E7712" s="209"/>
      <c r="J7712" s="124"/>
    </row>
    <row r="7713" spans="3:10" x14ac:dyDescent="0.2">
      <c r="C7713" s="209"/>
      <c r="D7713" s="209"/>
      <c r="E7713" s="209"/>
      <c r="J7713" s="124"/>
    </row>
    <row r="7714" spans="3:10" x14ac:dyDescent="0.2">
      <c r="C7714" s="209"/>
      <c r="D7714" s="209"/>
      <c r="E7714" s="209"/>
      <c r="J7714" s="124"/>
    </row>
    <row r="7715" spans="3:10" x14ac:dyDescent="0.2">
      <c r="C7715" s="209"/>
      <c r="D7715" s="209"/>
      <c r="E7715" s="209"/>
      <c r="J7715" s="124"/>
    </row>
    <row r="7716" spans="3:10" x14ac:dyDescent="0.2">
      <c r="C7716" s="209"/>
      <c r="D7716" s="209"/>
      <c r="E7716" s="209"/>
      <c r="J7716" s="124"/>
    </row>
    <row r="7717" spans="3:10" x14ac:dyDescent="0.2">
      <c r="C7717" s="209"/>
      <c r="D7717" s="209"/>
      <c r="E7717" s="209"/>
      <c r="J7717" s="124"/>
    </row>
    <row r="7718" spans="3:10" x14ac:dyDescent="0.2">
      <c r="C7718" s="209"/>
      <c r="D7718" s="209"/>
      <c r="E7718" s="209"/>
      <c r="J7718" s="124"/>
    </row>
    <row r="7719" spans="3:10" x14ac:dyDescent="0.2">
      <c r="C7719" s="209"/>
      <c r="D7719" s="209"/>
      <c r="E7719" s="209"/>
      <c r="J7719" s="124"/>
    </row>
    <row r="7720" spans="3:10" x14ac:dyDescent="0.2">
      <c r="C7720" s="209"/>
      <c r="D7720" s="209"/>
      <c r="E7720" s="209"/>
      <c r="J7720" s="124"/>
    </row>
    <row r="7721" spans="3:10" x14ac:dyDescent="0.2">
      <c r="C7721" s="209"/>
      <c r="D7721" s="209"/>
      <c r="E7721" s="209"/>
      <c r="J7721" s="124"/>
    </row>
    <row r="7722" spans="3:10" x14ac:dyDescent="0.2">
      <c r="C7722" s="209"/>
      <c r="D7722" s="209"/>
      <c r="E7722" s="209"/>
      <c r="J7722" s="124"/>
    </row>
    <row r="7723" spans="3:10" x14ac:dyDescent="0.2">
      <c r="C7723" s="209"/>
      <c r="D7723" s="209"/>
      <c r="E7723" s="209"/>
      <c r="J7723" s="124"/>
    </row>
    <row r="7724" spans="3:10" x14ac:dyDescent="0.2">
      <c r="C7724" s="209"/>
      <c r="D7724" s="209"/>
      <c r="E7724" s="209"/>
      <c r="J7724" s="124"/>
    </row>
    <row r="7725" spans="3:10" x14ac:dyDescent="0.2">
      <c r="C7725" s="209"/>
      <c r="D7725" s="209"/>
      <c r="E7725" s="209"/>
      <c r="J7725" s="124"/>
    </row>
    <row r="7726" spans="3:10" x14ac:dyDescent="0.2">
      <c r="C7726" s="209"/>
      <c r="D7726" s="209"/>
      <c r="E7726" s="209"/>
      <c r="J7726" s="124"/>
    </row>
    <row r="7727" spans="3:10" x14ac:dyDescent="0.2">
      <c r="C7727" s="209"/>
      <c r="D7727" s="209"/>
      <c r="E7727" s="209"/>
      <c r="J7727" s="124"/>
    </row>
    <row r="7728" spans="3:10" x14ac:dyDescent="0.2">
      <c r="C7728" s="209"/>
      <c r="D7728" s="209"/>
      <c r="E7728" s="209"/>
      <c r="J7728" s="124"/>
    </row>
    <row r="7729" spans="3:10" x14ac:dyDescent="0.2">
      <c r="C7729" s="209"/>
      <c r="D7729" s="209"/>
      <c r="E7729" s="209"/>
      <c r="J7729" s="124"/>
    </row>
    <row r="7730" spans="3:10" x14ac:dyDescent="0.2">
      <c r="C7730" s="209"/>
      <c r="D7730" s="209"/>
      <c r="E7730" s="209"/>
      <c r="J7730" s="124"/>
    </row>
    <row r="7731" spans="3:10" x14ac:dyDescent="0.2">
      <c r="C7731" s="209"/>
      <c r="D7731" s="209"/>
      <c r="E7731" s="209"/>
      <c r="J7731" s="124"/>
    </row>
    <row r="7732" spans="3:10" x14ac:dyDescent="0.2">
      <c r="C7732" s="209"/>
      <c r="D7732" s="209"/>
      <c r="E7732" s="209"/>
      <c r="J7732" s="124"/>
    </row>
    <row r="7733" spans="3:10" x14ac:dyDescent="0.2">
      <c r="C7733" s="209"/>
      <c r="D7733" s="209"/>
      <c r="E7733" s="209"/>
      <c r="J7733" s="124"/>
    </row>
    <row r="7734" spans="3:10" x14ac:dyDescent="0.2">
      <c r="C7734" s="209"/>
      <c r="D7734" s="209"/>
      <c r="E7734" s="209"/>
      <c r="J7734" s="124"/>
    </row>
    <row r="7735" spans="3:10" x14ac:dyDescent="0.2">
      <c r="C7735" s="209"/>
      <c r="D7735" s="209"/>
      <c r="E7735" s="209"/>
      <c r="J7735" s="124"/>
    </row>
    <row r="7736" spans="3:10" x14ac:dyDescent="0.2">
      <c r="C7736" s="209"/>
      <c r="D7736" s="209"/>
      <c r="E7736" s="209"/>
      <c r="J7736" s="124"/>
    </row>
    <row r="7737" spans="3:10" x14ac:dyDescent="0.2">
      <c r="C7737" s="209"/>
      <c r="D7737" s="209"/>
      <c r="E7737" s="209"/>
      <c r="J7737" s="124"/>
    </row>
    <row r="7738" spans="3:10" x14ac:dyDescent="0.2">
      <c r="C7738" s="209"/>
      <c r="D7738" s="209"/>
      <c r="E7738" s="209"/>
      <c r="J7738" s="124"/>
    </row>
    <row r="7739" spans="3:10" x14ac:dyDescent="0.2">
      <c r="C7739" s="209"/>
      <c r="D7739" s="209"/>
      <c r="E7739" s="209"/>
      <c r="J7739" s="124"/>
    </row>
    <row r="7740" spans="3:10" x14ac:dyDescent="0.2">
      <c r="C7740" s="209"/>
      <c r="D7740" s="209"/>
      <c r="E7740" s="209"/>
      <c r="J7740" s="124"/>
    </row>
    <row r="7741" spans="3:10" x14ac:dyDescent="0.2">
      <c r="C7741" s="209"/>
      <c r="D7741" s="209"/>
      <c r="E7741" s="209"/>
      <c r="J7741" s="124"/>
    </row>
    <row r="7742" spans="3:10" x14ac:dyDescent="0.2">
      <c r="C7742" s="209"/>
      <c r="D7742" s="209"/>
      <c r="E7742" s="209"/>
      <c r="J7742" s="124"/>
    </row>
    <row r="7743" spans="3:10" x14ac:dyDescent="0.2">
      <c r="C7743" s="209"/>
      <c r="D7743" s="209"/>
      <c r="E7743" s="209"/>
      <c r="J7743" s="124"/>
    </row>
    <row r="7744" spans="3:10" x14ac:dyDescent="0.2">
      <c r="C7744" s="209"/>
      <c r="D7744" s="209"/>
      <c r="E7744" s="209"/>
      <c r="J7744" s="124"/>
    </row>
    <row r="7745" spans="3:10" x14ac:dyDescent="0.2">
      <c r="C7745" s="209"/>
      <c r="D7745" s="209"/>
      <c r="E7745" s="209"/>
      <c r="J7745" s="124"/>
    </row>
    <row r="7746" spans="3:10" x14ac:dyDescent="0.2">
      <c r="C7746" s="209"/>
      <c r="D7746" s="209"/>
      <c r="E7746" s="209"/>
      <c r="J7746" s="124"/>
    </row>
    <row r="7747" spans="3:10" x14ac:dyDescent="0.2">
      <c r="C7747" s="209"/>
      <c r="D7747" s="209"/>
      <c r="E7747" s="209"/>
      <c r="J7747" s="124"/>
    </row>
    <row r="7748" spans="3:10" x14ac:dyDescent="0.2">
      <c r="C7748" s="209"/>
      <c r="D7748" s="209"/>
      <c r="E7748" s="209"/>
      <c r="J7748" s="124"/>
    </row>
    <row r="7749" spans="3:10" x14ac:dyDescent="0.2">
      <c r="C7749" s="209"/>
      <c r="D7749" s="209"/>
      <c r="E7749" s="209"/>
      <c r="J7749" s="124"/>
    </row>
    <row r="7750" spans="3:10" x14ac:dyDescent="0.2">
      <c r="C7750" s="209"/>
      <c r="D7750" s="209"/>
      <c r="E7750" s="209"/>
      <c r="J7750" s="124"/>
    </row>
    <row r="7751" spans="3:10" x14ac:dyDescent="0.2">
      <c r="C7751" s="209"/>
      <c r="D7751" s="209"/>
      <c r="E7751" s="209"/>
      <c r="J7751" s="124"/>
    </row>
    <row r="7752" spans="3:10" x14ac:dyDescent="0.2">
      <c r="C7752" s="209"/>
      <c r="D7752" s="209"/>
      <c r="E7752" s="209"/>
      <c r="J7752" s="124"/>
    </row>
    <row r="7753" spans="3:10" x14ac:dyDescent="0.2">
      <c r="C7753" s="209"/>
      <c r="D7753" s="209"/>
      <c r="E7753" s="209"/>
      <c r="J7753" s="124"/>
    </row>
    <row r="7754" spans="3:10" x14ac:dyDescent="0.2">
      <c r="C7754" s="209"/>
      <c r="D7754" s="209"/>
      <c r="E7754" s="209"/>
      <c r="J7754" s="124"/>
    </row>
    <row r="7755" spans="3:10" x14ac:dyDescent="0.2">
      <c r="C7755" s="209"/>
      <c r="D7755" s="209"/>
      <c r="E7755" s="209"/>
      <c r="J7755" s="124"/>
    </row>
    <row r="7756" spans="3:10" x14ac:dyDescent="0.2">
      <c r="C7756" s="209"/>
      <c r="D7756" s="209"/>
      <c r="E7756" s="209"/>
      <c r="J7756" s="124"/>
    </row>
    <row r="7757" spans="3:10" x14ac:dyDescent="0.2">
      <c r="C7757" s="209"/>
      <c r="D7757" s="209"/>
      <c r="E7757" s="209"/>
      <c r="J7757" s="124"/>
    </row>
    <row r="7758" spans="3:10" x14ac:dyDescent="0.2">
      <c r="C7758" s="209"/>
      <c r="D7758" s="209"/>
      <c r="E7758" s="209"/>
      <c r="J7758" s="124"/>
    </row>
    <row r="7759" spans="3:10" x14ac:dyDescent="0.2">
      <c r="C7759" s="209"/>
      <c r="D7759" s="209"/>
      <c r="E7759" s="209"/>
      <c r="J7759" s="124"/>
    </row>
    <row r="7760" spans="3:10" x14ac:dyDescent="0.2">
      <c r="C7760" s="209"/>
      <c r="D7760" s="209"/>
      <c r="E7760" s="209"/>
      <c r="J7760" s="124"/>
    </row>
    <row r="7761" spans="3:10" x14ac:dyDescent="0.2">
      <c r="C7761" s="209"/>
      <c r="D7761" s="209"/>
      <c r="E7761" s="209"/>
      <c r="J7761" s="124"/>
    </row>
    <row r="7762" spans="3:10" x14ac:dyDescent="0.2">
      <c r="C7762" s="209"/>
      <c r="D7762" s="209"/>
      <c r="E7762" s="209"/>
      <c r="J7762" s="124"/>
    </row>
    <row r="7763" spans="3:10" x14ac:dyDescent="0.2">
      <c r="C7763" s="209"/>
      <c r="D7763" s="209"/>
      <c r="E7763" s="209"/>
      <c r="J7763" s="124"/>
    </row>
    <row r="7764" spans="3:10" x14ac:dyDescent="0.2">
      <c r="C7764" s="209"/>
      <c r="D7764" s="209"/>
      <c r="E7764" s="209"/>
      <c r="J7764" s="124"/>
    </row>
    <row r="7765" spans="3:10" x14ac:dyDescent="0.2">
      <c r="C7765" s="209"/>
      <c r="D7765" s="209"/>
      <c r="E7765" s="209"/>
      <c r="J7765" s="124"/>
    </row>
    <row r="7766" spans="3:10" x14ac:dyDescent="0.2">
      <c r="C7766" s="209"/>
      <c r="D7766" s="209"/>
      <c r="E7766" s="209"/>
      <c r="J7766" s="124"/>
    </row>
    <row r="7767" spans="3:10" x14ac:dyDescent="0.2">
      <c r="C7767" s="209"/>
      <c r="D7767" s="209"/>
      <c r="E7767" s="209"/>
      <c r="J7767" s="124"/>
    </row>
    <row r="7768" spans="3:10" x14ac:dyDescent="0.2">
      <c r="C7768" s="209"/>
      <c r="D7768" s="209"/>
      <c r="E7768" s="209"/>
      <c r="J7768" s="124"/>
    </row>
    <row r="7769" spans="3:10" x14ac:dyDescent="0.2">
      <c r="C7769" s="209"/>
      <c r="D7769" s="209"/>
      <c r="E7769" s="209"/>
      <c r="J7769" s="124"/>
    </row>
    <row r="7770" spans="3:10" x14ac:dyDescent="0.2">
      <c r="C7770" s="209"/>
      <c r="D7770" s="209"/>
      <c r="E7770" s="209"/>
      <c r="J7770" s="124"/>
    </row>
    <row r="7771" spans="3:10" x14ac:dyDescent="0.2">
      <c r="C7771" s="209"/>
      <c r="D7771" s="209"/>
      <c r="E7771" s="209"/>
      <c r="J7771" s="124"/>
    </row>
    <row r="7772" spans="3:10" x14ac:dyDescent="0.2">
      <c r="C7772" s="209"/>
      <c r="D7772" s="209"/>
      <c r="E7772" s="209"/>
      <c r="J7772" s="124"/>
    </row>
    <row r="7773" spans="3:10" x14ac:dyDescent="0.2">
      <c r="C7773" s="209"/>
      <c r="D7773" s="209"/>
      <c r="E7773" s="209"/>
      <c r="J7773" s="124"/>
    </row>
    <row r="7774" spans="3:10" x14ac:dyDescent="0.2">
      <c r="C7774" s="209"/>
      <c r="D7774" s="209"/>
      <c r="E7774" s="209"/>
      <c r="J7774" s="124"/>
    </row>
    <row r="7775" spans="3:10" x14ac:dyDescent="0.2">
      <c r="C7775" s="209"/>
      <c r="D7775" s="209"/>
      <c r="E7775" s="209"/>
      <c r="J7775" s="124"/>
    </row>
    <row r="7776" spans="3:10" x14ac:dyDescent="0.2">
      <c r="C7776" s="209"/>
      <c r="D7776" s="209"/>
      <c r="E7776" s="209"/>
      <c r="J7776" s="124"/>
    </row>
    <row r="7777" spans="3:10" x14ac:dyDescent="0.2">
      <c r="C7777" s="209"/>
      <c r="D7777" s="209"/>
      <c r="E7777" s="209"/>
      <c r="J7777" s="124"/>
    </row>
    <row r="7778" spans="3:10" x14ac:dyDescent="0.2">
      <c r="C7778" s="209"/>
      <c r="D7778" s="209"/>
      <c r="E7778" s="209"/>
      <c r="J7778" s="124"/>
    </row>
    <row r="7779" spans="3:10" x14ac:dyDescent="0.2">
      <c r="C7779" s="209"/>
      <c r="D7779" s="209"/>
      <c r="E7779" s="209"/>
      <c r="J7779" s="124"/>
    </row>
    <row r="7780" spans="3:10" x14ac:dyDescent="0.2">
      <c r="C7780" s="209"/>
      <c r="D7780" s="209"/>
      <c r="E7780" s="209"/>
      <c r="J7780" s="124"/>
    </row>
    <row r="7781" spans="3:10" x14ac:dyDescent="0.2">
      <c r="C7781" s="209"/>
      <c r="D7781" s="209"/>
      <c r="E7781" s="209"/>
      <c r="J7781" s="124"/>
    </row>
    <row r="7782" spans="3:10" x14ac:dyDescent="0.2">
      <c r="C7782" s="209"/>
      <c r="D7782" s="209"/>
      <c r="E7782" s="209"/>
      <c r="J7782" s="124"/>
    </row>
    <row r="7783" spans="3:10" x14ac:dyDescent="0.2">
      <c r="C7783" s="209"/>
      <c r="D7783" s="209"/>
      <c r="E7783" s="209"/>
      <c r="J7783" s="124"/>
    </row>
    <row r="7784" spans="3:10" x14ac:dyDescent="0.2">
      <c r="C7784" s="209"/>
      <c r="D7784" s="209"/>
      <c r="E7784" s="209"/>
      <c r="J7784" s="124"/>
    </row>
    <row r="7785" spans="3:10" x14ac:dyDescent="0.2">
      <c r="C7785" s="209"/>
      <c r="D7785" s="209"/>
      <c r="E7785" s="209"/>
      <c r="J7785" s="124"/>
    </row>
    <row r="7786" spans="3:10" x14ac:dyDescent="0.2">
      <c r="C7786" s="209"/>
      <c r="D7786" s="209"/>
      <c r="E7786" s="209"/>
      <c r="J7786" s="124"/>
    </row>
    <row r="7787" spans="3:10" x14ac:dyDescent="0.2">
      <c r="C7787" s="209"/>
      <c r="D7787" s="209"/>
      <c r="E7787" s="209"/>
      <c r="J7787" s="124"/>
    </row>
    <row r="7788" spans="3:10" x14ac:dyDescent="0.2">
      <c r="C7788" s="209"/>
      <c r="D7788" s="209"/>
      <c r="E7788" s="209"/>
      <c r="J7788" s="124"/>
    </row>
    <row r="7789" spans="3:10" x14ac:dyDescent="0.2">
      <c r="C7789" s="209"/>
      <c r="D7789" s="209"/>
      <c r="E7789" s="209"/>
      <c r="J7789" s="124"/>
    </row>
    <row r="7790" spans="3:10" x14ac:dyDescent="0.2">
      <c r="C7790" s="209"/>
      <c r="D7790" s="209"/>
      <c r="E7790" s="209"/>
      <c r="J7790" s="124"/>
    </row>
    <row r="7791" spans="3:10" x14ac:dyDescent="0.2">
      <c r="C7791" s="209"/>
      <c r="D7791" s="209"/>
      <c r="E7791" s="209"/>
      <c r="J7791" s="124"/>
    </row>
    <row r="7792" spans="3:10" x14ac:dyDescent="0.2">
      <c r="C7792" s="209"/>
      <c r="D7792" s="209"/>
      <c r="E7792" s="209"/>
      <c r="J7792" s="124"/>
    </row>
    <row r="7793" spans="3:10" x14ac:dyDescent="0.2">
      <c r="C7793" s="209"/>
      <c r="D7793" s="209"/>
      <c r="E7793" s="209"/>
      <c r="J7793" s="124"/>
    </row>
    <row r="7794" spans="3:10" x14ac:dyDescent="0.2">
      <c r="C7794" s="209"/>
      <c r="D7794" s="209"/>
      <c r="E7794" s="209"/>
      <c r="J7794" s="124"/>
    </row>
    <row r="7795" spans="3:10" x14ac:dyDescent="0.2">
      <c r="C7795" s="209"/>
      <c r="D7795" s="209"/>
      <c r="E7795" s="209"/>
      <c r="J7795" s="124"/>
    </row>
    <row r="7796" spans="3:10" x14ac:dyDescent="0.2">
      <c r="C7796" s="209"/>
      <c r="D7796" s="209"/>
      <c r="E7796" s="209"/>
      <c r="J7796" s="124"/>
    </row>
    <row r="7797" spans="3:10" x14ac:dyDescent="0.2">
      <c r="C7797" s="209"/>
      <c r="D7797" s="209"/>
      <c r="E7797" s="209"/>
      <c r="J7797" s="124"/>
    </row>
    <row r="7798" spans="3:10" x14ac:dyDescent="0.2">
      <c r="C7798" s="209"/>
      <c r="D7798" s="209"/>
      <c r="E7798" s="209"/>
      <c r="J7798" s="124"/>
    </row>
    <row r="7799" spans="3:10" x14ac:dyDescent="0.2">
      <c r="C7799" s="209"/>
      <c r="D7799" s="209"/>
      <c r="E7799" s="209"/>
      <c r="J7799" s="124"/>
    </row>
    <row r="7800" spans="3:10" x14ac:dyDescent="0.2">
      <c r="C7800" s="209"/>
      <c r="D7800" s="209"/>
      <c r="E7800" s="209"/>
      <c r="J7800" s="124"/>
    </row>
    <row r="7801" spans="3:10" x14ac:dyDescent="0.2">
      <c r="C7801" s="209"/>
      <c r="D7801" s="209"/>
      <c r="E7801" s="209"/>
      <c r="J7801" s="124"/>
    </row>
    <row r="7802" spans="3:10" x14ac:dyDescent="0.2">
      <c r="C7802" s="209"/>
      <c r="D7802" s="209"/>
      <c r="E7802" s="209"/>
      <c r="J7802" s="124"/>
    </row>
    <row r="7803" spans="3:10" x14ac:dyDescent="0.2">
      <c r="C7803" s="209"/>
      <c r="D7803" s="209"/>
      <c r="E7803" s="209"/>
      <c r="J7803" s="124"/>
    </row>
    <row r="7804" spans="3:10" x14ac:dyDescent="0.2">
      <c r="C7804" s="209"/>
      <c r="D7804" s="209"/>
      <c r="E7804" s="209"/>
      <c r="J7804" s="124"/>
    </row>
    <row r="7805" spans="3:10" x14ac:dyDescent="0.2">
      <c r="C7805" s="209"/>
      <c r="D7805" s="209"/>
      <c r="E7805" s="209"/>
      <c r="J7805" s="124"/>
    </row>
    <row r="7806" spans="3:10" x14ac:dyDescent="0.2">
      <c r="C7806" s="209"/>
      <c r="D7806" s="209"/>
      <c r="E7806" s="209"/>
      <c r="J7806" s="124"/>
    </row>
    <row r="7807" spans="3:10" x14ac:dyDescent="0.2">
      <c r="C7807" s="209"/>
      <c r="D7807" s="209"/>
      <c r="E7807" s="209"/>
      <c r="J7807" s="124"/>
    </row>
    <row r="7808" spans="3:10" x14ac:dyDescent="0.2">
      <c r="C7808" s="209"/>
      <c r="D7808" s="209"/>
      <c r="E7808" s="209"/>
      <c r="J7808" s="124"/>
    </row>
    <row r="7809" spans="3:10" x14ac:dyDescent="0.2">
      <c r="C7809" s="209"/>
      <c r="D7809" s="209"/>
      <c r="E7809" s="209"/>
      <c r="J7809" s="124"/>
    </row>
    <row r="7810" spans="3:10" x14ac:dyDescent="0.2">
      <c r="C7810" s="209"/>
      <c r="D7810" s="209"/>
      <c r="E7810" s="209"/>
      <c r="J7810" s="124"/>
    </row>
    <row r="7811" spans="3:10" x14ac:dyDescent="0.2">
      <c r="C7811" s="209"/>
      <c r="D7811" s="209"/>
      <c r="E7811" s="209"/>
      <c r="J7811" s="124"/>
    </row>
    <row r="7812" spans="3:10" x14ac:dyDescent="0.2">
      <c r="C7812" s="209"/>
      <c r="D7812" s="209"/>
      <c r="E7812" s="209"/>
      <c r="J7812" s="124"/>
    </row>
    <row r="7813" spans="3:10" x14ac:dyDescent="0.2">
      <c r="C7813" s="209"/>
      <c r="D7813" s="209"/>
      <c r="E7813" s="209"/>
      <c r="J7813" s="124"/>
    </row>
    <row r="7814" spans="3:10" x14ac:dyDescent="0.2">
      <c r="C7814" s="209"/>
      <c r="D7814" s="209"/>
      <c r="E7814" s="209"/>
      <c r="J7814" s="124"/>
    </row>
    <row r="7815" spans="3:10" x14ac:dyDescent="0.2">
      <c r="C7815" s="209"/>
      <c r="D7815" s="209"/>
      <c r="E7815" s="209"/>
      <c r="J7815" s="124"/>
    </row>
    <row r="7816" spans="3:10" x14ac:dyDescent="0.2">
      <c r="C7816" s="209"/>
      <c r="D7816" s="209"/>
      <c r="E7816" s="209"/>
      <c r="J7816" s="124"/>
    </row>
    <row r="7817" spans="3:10" x14ac:dyDescent="0.2">
      <c r="C7817" s="209"/>
      <c r="D7817" s="209"/>
      <c r="E7817" s="209"/>
      <c r="J7817" s="124"/>
    </row>
    <row r="7818" spans="3:10" x14ac:dyDescent="0.2">
      <c r="C7818" s="209"/>
      <c r="D7818" s="209"/>
      <c r="E7818" s="209"/>
      <c r="J7818" s="124"/>
    </row>
    <row r="7819" spans="3:10" x14ac:dyDescent="0.2">
      <c r="C7819" s="209"/>
      <c r="D7819" s="209"/>
      <c r="E7819" s="209"/>
      <c r="J7819" s="124"/>
    </row>
    <row r="7820" spans="3:10" x14ac:dyDescent="0.2">
      <c r="C7820" s="209"/>
      <c r="D7820" s="209"/>
      <c r="E7820" s="209"/>
      <c r="J7820" s="124"/>
    </row>
    <row r="7821" spans="3:10" x14ac:dyDescent="0.2">
      <c r="C7821" s="209"/>
      <c r="D7821" s="209"/>
      <c r="E7821" s="209"/>
      <c r="J7821" s="124"/>
    </row>
    <row r="7822" spans="3:10" x14ac:dyDescent="0.2">
      <c r="C7822" s="209"/>
      <c r="D7822" s="209"/>
      <c r="E7822" s="209"/>
      <c r="J7822" s="124"/>
    </row>
    <row r="7823" spans="3:10" x14ac:dyDescent="0.2">
      <c r="C7823" s="209"/>
      <c r="D7823" s="209"/>
      <c r="E7823" s="209"/>
      <c r="J7823" s="124"/>
    </row>
    <row r="7824" spans="3:10" x14ac:dyDescent="0.2">
      <c r="C7824" s="209"/>
      <c r="D7824" s="209"/>
      <c r="E7824" s="209"/>
      <c r="J7824" s="124"/>
    </row>
    <row r="7825" spans="3:10" x14ac:dyDescent="0.2">
      <c r="C7825" s="209"/>
      <c r="D7825" s="209"/>
      <c r="E7825" s="209"/>
      <c r="J7825" s="124"/>
    </row>
    <row r="7826" spans="3:10" x14ac:dyDescent="0.2">
      <c r="C7826" s="209"/>
      <c r="D7826" s="209"/>
      <c r="E7826" s="209"/>
      <c r="J7826" s="124"/>
    </row>
    <row r="7827" spans="3:10" x14ac:dyDescent="0.2">
      <c r="C7827" s="209"/>
      <c r="D7827" s="209"/>
      <c r="E7827" s="209"/>
      <c r="J7827" s="124"/>
    </row>
    <row r="7828" spans="3:10" x14ac:dyDescent="0.2">
      <c r="C7828" s="209"/>
      <c r="D7828" s="209"/>
      <c r="E7828" s="209"/>
      <c r="J7828" s="124"/>
    </row>
    <row r="7829" spans="3:10" x14ac:dyDescent="0.2">
      <c r="C7829" s="209"/>
      <c r="D7829" s="209"/>
      <c r="E7829" s="209"/>
      <c r="J7829" s="124"/>
    </row>
    <row r="7830" spans="3:10" x14ac:dyDescent="0.2">
      <c r="C7830" s="209"/>
      <c r="D7830" s="209"/>
      <c r="E7830" s="209"/>
      <c r="J7830" s="124"/>
    </row>
    <row r="7831" spans="3:10" x14ac:dyDescent="0.2">
      <c r="C7831" s="209"/>
      <c r="D7831" s="209"/>
      <c r="E7831" s="209"/>
      <c r="J7831" s="124"/>
    </row>
    <row r="7832" spans="3:10" x14ac:dyDescent="0.2">
      <c r="C7832" s="209"/>
      <c r="D7832" s="209"/>
      <c r="E7832" s="209"/>
      <c r="J7832" s="124"/>
    </row>
    <row r="7833" spans="3:10" x14ac:dyDescent="0.2">
      <c r="C7833" s="209"/>
      <c r="D7833" s="209"/>
      <c r="E7833" s="209"/>
      <c r="J7833" s="124"/>
    </row>
    <row r="7834" spans="3:10" x14ac:dyDescent="0.2">
      <c r="C7834" s="209"/>
      <c r="D7834" s="209"/>
      <c r="E7834" s="209"/>
      <c r="J7834" s="124"/>
    </row>
    <row r="7835" spans="3:10" x14ac:dyDescent="0.2">
      <c r="C7835" s="209"/>
      <c r="D7835" s="209"/>
      <c r="E7835" s="209"/>
      <c r="J7835" s="124"/>
    </row>
    <row r="7836" spans="3:10" x14ac:dyDescent="0.2">
      <c r="C7836" s="209"/>
      <c r="D7836" s="209"/>
      <c r="E7836" s="209"/>
      <c r="J7836" s="124"/>
    </row>
    <row r="7837" spans="3:10" x14ac:dyDescent="0.2">
      <c r="C7837" s="209"/>
      <c r="D7837" s="209"/>
      <c r="E7837" s="209"/>
      <c r="J7837" s="124"/>
    </row>
    <row r="7838" spans="3:10" x14ac:dyDescent="0.2">
      <c r="C7838" s="209"/>
      <c r="D7838" s="209"/>
      <c r="E7838" s="209"/>
      <c r="J7838" s="124"/>
    </row>
    <row r="7839" spans="3:10" x14ac:dyDescent="0.2">
      <c r="C7839" s="209"/>
      <c r="D7839" s="209"/>
      <c r="E7839" s="209"/>
      <c r="J7839" s="124"/>
    </row>
    <row r="7840" spans="3:10" x14ac:dyDescent="0.2">
      <c r="C7840" s="209"/>
      <c r="D7840" s="209"/>
      <c r="E7840" s="209"/>
      <c r="J7840" s="124"/>
    </row>
    <row r="7841" spans="3:10" x14ac:dyDescent="0.2">
      <c r="C7841" s="209"/>
      <c r="D7841" s="209"/>
      <c r="E7841" s="209"/>
      <c r="J7841" s="124"/>
    </row>
    <row r="7842" spans="3:10" x14ac:dyDescent="0.2">
      <c r="C7842" s="209"/>
      <c r="D7842" s="209"/>
      <c r="E7842" s="209"/>
      <c r="J7842" s="124"/>
    </row>
    <row r="7843" spans="3:10" x14ac:dyDescent="0.2">
      <c r="C7843" s="209"/>
      <c r="D7843" s="209"/>
      <c r="E7843" s="209"/>
      <c r="J7843" s="124"/>
    </row>
    <row r="7844" spans="3:10" x14ac:dyDescent="0.2">
      <c r="C7844" s="209"/>
      <c r="D7844" s="209"/>
      <c r="E7844" s="209"/>
      <c r="J7844" s="124"/>
    </row>
    <row r="7845" spans="3:10" x14ac:dyDescent="0.2">
      <c r="C7845" s="209"/>
      <c r="D7845" s="209"/>
      <c r="E7845" s="209"/>
      <c r="J7845" s="124"/>
    </row>
    <row r="7846" spans="3:10" x14ac:dyDescent="0.2">
      <c r="C7846" s="209"/>
      <c r="D7846" s="209"/>
      <c r="E7846" s="209"/>
      <c r="J7846" s="124"/>
    </row>
    <row r="7847" spans="3:10" x14ac:dyDescent="0.2">
      <c r="C7847" s="209"/>
      <c r="D7847" s="209"/>
      <c r="E7847" s="209"/>
      <c r="J7847" s="124"/>
    </row>
    <row r="7848" spans="3:10" x14ac:dyDescent="0.2">
      <c r="C7848" s="209"/>
      <c r="D7848" s="209"/>
      <c r="E7848" s="209"/>
      <c r="J7848" s="124"/>
    </row>
    <row r="7849" spans="3:10" x14ac:dyDescent="0.2">
      <c r="C7849" s="209"/>
      <c r="D7849" s="209"/>
      <c r="E7849" s="209"/>
      <c r="J7849" s="124"/>
    </row>
    <row r="7850" spans="3:10" x14ac:dyDescent="0.2">
      <c r="C7850" s="209"/>
      <c r="D7850" s="209"/>
      <c r="E7850" s="209"/>
      <c r="J7850" s="124"/>
    </row>
    <row r="7851" spans="3:10" x14ac:dyDescent="0.2">
      <c r="C7851" s="209"/>
      <c r="D7851" s="209"/>
      <c r="E7851" s="209"/>
      <c r="J7851" s="124"/>
    </row>
    <row r="7852" spans="3:10" x14ac:dyDescent="0.2">
      <c r="C7852" s="209"/>
      <c r="D7852" s="209"/>
      <c r="E7852" s="209"/>
      <c r="J7852" s="124"/>
    </row>
    <row r="7853" spans="3:10" x14ac:dyDescent="0.2">
      <c r="C7853" s="209"/>
      <c r="D7853" s="209"/>
      <c r="E7853" s="209"/>
      <c r="J7853" s="124"/>
    </row>
    <row r="7854" spans="3:10" x14ac:dyDescent="0.2">
      <c r="C7854" s="209"/>
      <c r="D7854" s="209"/>
      <c r="E7854" s="209"/>
      <c r="J7854" s="124"/>
    </row>
    <row r="7855" spans="3:10" x14ac:dyDescent="0.2">
      <c r="C7855" s="209"/>
      <c r="D7855" s="209"/>
      <c r="E7855" s="209"/>
      <c r="J7855" s="124"/>
    </row>
    <row r="7856" spans="3:10" x14ac:dyDescent="0.2">
      <c r="C7856" s="209"/>
      <c r="D7856" s="209"/>
      <c r="E7856" s="209"/>
      <c r="J7856" s="124"/>
    </row>
    <row r="7857" spans="3:10" x14ac:dyDescent="0.2">
      <c r="C7857" s="209"/>
      <c r="D7857" s="209"/>
      <c r="E7857" s="209"/>
      <c r="J7857" s="124"/>
    </row>
    <row r="7858" spans="3:10" x14ac:dyDescent="0.2">
      <c r="C7858" s="209"/>
      <c r="D7858" s="209"/>
      <c r="E7858" s="209"/>
      <c r="J7858" s="124"/>
    </row>
    <row r="7859" spans="3:10" x14ac:dyDescent="0.2">
      <c r="C7859" s="209"/>
      <c r="D7859" s="209"/>
      <c r="E7859" s="209"/>
      <c r="J7859" s="124"/>
    </row>
    <row r="7860" spans="3:10" x14ac:dyDescent="0.2">
      <c r="C7860" s="209"/>
      <c r="D7860" s="209"/>
      <c r="E7860" s="209"/>
      <c r="J7860" s="124"/>
    </row>
    <row r="7861" spans="3:10" x14ac:dyDescent="0.2">
      <c r="C7861" s="209"/>
      <c r="D7861" s="209"/>
      <c r="E7861" s="209"/>
      <c r="J7861" s="124"/>
    </row>
    <row r="7862" spans="3:10" x14ac:dyDescent="0.2">
      <c r="C7862" s="209"/>
      <c r="D7862" s="209"/>
      <c r="E7862" s="209"/>
      <c r="J7862" s="124"/>
    </row>
    <row r="7863" spans="3:10" x14ac:dyDescent="0.2">
      <c r="C7863" s="209"/>
      <c r="D7863" s="209"/>
      <c r="E7863" s="209"/>
      <c r="J7863" s="124"/>
    </row>
    <row r="7864" spans="3:10" x14ac:dyDescent="0.2">
      <c r="C7864" s="209"/>
      <c r="D7864" s="209"/>
      <c r="E7864" s="209"/>
      <c r="J7864" s="124"/>
    </row>
    <row r="7865" spans="3:10" x14ac:dyDescent="0.2">
      <c r="C7865" s="209"/>
      <c r="D7865" s="209"/>
      <c r="E7865" s="209"/>
      <c r="J7865" s="124"/>
    </row>
    <row r="7866" spans="3:10" x14ac:dyDescent="0.2">
      <c r="C7866" s="209"/>
      <c r="D7866" s="209"/>
      <c r="E7866" s="209"/>
      <c r="J7866" s="124"/>
    </row>
    <row r="7867" spans="3:10" x14ac:dyDescent="0.2">
      <c r="C7867" s="209"/>
      <c r="D7867" s="209"/>
      <c r="E7867" s="209"/>
      <c r="J7867" s="124"/>
    </row>
    <row r="7868" spans="3:10" x14ac:dyDescent="0.2">
      <c r="C7868" s="209"/>
      <c r="D7868" s="209"/>
      <c r="E7868" s="209"/>
      <c r="J7868" s="124"/>
    </row>
    <row r="7869" spans="3:10" x14ac:dyDescent="0.2">
      <c r="C7869" s="209"/>
      <c r="D7869" s="209"/>
      <c r="E7869" s="209"/>
      <c r="J7869" s="124"/>
    </row>
    <row r="7870" spans="3:10" x14ac:dyDescent="0.2">
      <c r="C7870" s="209"/>
      <c r="D7870" s="209"/>
      <c r="E7870" s="209"/>
      <c r="J7870" s="124"/>
    </row>
    <row r="7871" spans="3:10" x14ac:dyDescent="0.2">
      <c r="C7871" s="209"/>
      <c r="D7871" s="209"/>
      <c r="E7871" s="209"/>
      <c r="J7871" s="124"/>
    </row>
    <row r="7872" spans="3:10" x14ac:dyDescent="0.2">
      <c r="C7872" s="209"/>
      <c r="D7872" s="209"/>
      <c r="E7872" s="209"/>
      <c r="J7872" s="124"/>
    </row>
    <row r="7873" spans="3:10" x14ac:dyDescent="0.2">
      <c r="C7873" s="209"/>
      <c r="D7873" s="209"/>
      <c r="E7873" s="209"/>
      <c r="J7873" s="124"/>
    </row>
    <row r="7874" spans="3:10" x14ac:dyDescent="0.2">
      <c r="C7874" s="209"/>
      <c r="D7874" s="209"/>
      <c r="E7874" s="209"/>
      <c r="J7874" s="124"/>
    </row>
    <row r="7875" spans="3:10" x14ac:dyDescent="0.2">
      <c r="C7875" s="209"/>
      <c r="D7875" s="209"/>
      <c r="E7875" s="209"/>
      <c r="J7875" s="124"/>
    </row>
    <row r="7876" spans="3:10" x14ac:dyDescent="0.2">
      <c r="C7876" s="209"/>
      <c r="D7876" s="209"/>
      <c r="E7876" s="209"/>
      <c r="J7876" s="124"/>
    </row>
    <row r="7877" spans="3:10" x14ac:dyDescent="0.2">
      <c r="C7877" s="209"/>
      <c r="D7877" s="209"/>
      <c r="E7877" s="209"/>
      <c r="J7877" s="124"/>
    </row>
    <row r="7878" spans="3:10" x14ac:dyDescent="0.2">
      <c r="C7878" s="209"/>
      <c r="D7878" s="209"/>
      <c r="E7878" s="209"/>
      <c r="J7878" s="124"/>
    </row>
    <row r="7879" spans="3:10" x14ac:dyDescent="0.2">
      <c r="C7879" s="209"/>
      <c r="D7879" s="209"/>
      <c r="E7879" s="209"/>
      <c r="J7879" s="124"/>
    </row>
    <row r="7880" spans="3:10" x14ac:dyDescent="0.2">
      <c r="C7880" s="209"/>
      <c r="D7880" s="209"/>
      <c r="E7880" s="209"/>
      <c r="J7880" s="124"/>
    </row>
    <row r="7881" spans="3:10" x14ac:dyDescent="0.2">
      <c r="C7881" s="209"/>
      <c r="D7881" s="209"/>
      <c r="E7881" s="209"/>
      <c r="J7881" s="124"/>
    </row>
    <row r="7882" spans="3:10" x14ac:dyDescent="0.2">
      <c r="C7882" s="209"/>
      <c r="D7882" s="209"/>
      <c r="E7882" s="209"/>
      <c r="J7882" s="124"/>
    </row>
    <row r="7883" spans="3:10" x14ac:dyDescent="0.2">
      <c r="C7883" s="209"/>
      <c r="D7883" s="209"/>
      <c r="E7883" s="209"/>
      <c r="J7883" s="124"/>
    </row>
    <row r="7884" spans="3:10" x14ac:dyDescent="0.2">
      <c r="C7884" s="209"/>
      <c r="D7884" s="209"/>
      <c r="E7884" s="209"/>
      <c r="J7884" s="124"/>
    </row>
    <row r="7885" spans="3:10" x14ac:dyDescent="0.2">
      <c r="C7885" s="209"/>
      <c r="D7885" s="209"/>
      <c r="E7885" s="209"/>
      <c r="J7885" s="124"/>
    </row>
    <row r="7886" spans="3:10" x14ac:dyDescent="0.2">
      <c r="C7886" s="209"/>
      <c r="D7886" s="209"/>
      <c r="E7886" s="209"/>
      <c r="J7886" s="124"/>
    </row>
    <row r="7887" spans="3:10" x14ac:dyDescent="0.2">
      <c r="C7887" s="209"/>
      <c r="D7887" s="209"/>
      <c r="E7887" s="209"/>
      <c r="J7887" s="124"/>
    </row>
    <row r="7888" spans="3:10" x14ac:dyDescent="0.2">
      <c r="C7888" s="209"/>
      <c r="D7888" s="209"/>
      <c r="E7888" s="209"/>
      <c r="J7888" s="124"/>
    </row>
    <row r="7889" spans="3:10" x14ac:dyDescent="0.2">
      <c r="C7889" s="209"/>
      <c r="D7889" s="209"/>
      <c r="E7889" s="209"/>
      <c r="J7889" s="124"/>
    </row>
    <row r="7890" spans="3:10" x14ac:dyDescent="0.2">
      <c r="C7890" s="209"/>
      <c r="D7890" s="209"/>
      <c r="E7890" s="209"/>
      <c r="J7890" s="124"/>
    </row>
    <row r="7891" spans="3:10" x14ac:dyDescent="0.2">
      <c r="C7891" s="209"/>
      <c r="D7891" s="209"/>
      <c r="E7891" s="209"/>
      <c r="J7891" s="124"/>
    </row>
    <row r="7892" spans="3:10" x14ac:dyDescent="0.2">
      <c r="C7892" s="209"/>
      <c r="D7892" s="209"/>
      <c r="E7892" s="209"/>
      <c r="J7892" s="124"/>
    </row>
    <row r="7893" spans="3:10" x14ac:dyDescent="0.2">
      <c r="C7893" s="209"/>
      <c r="D7893" s="209"/>
      <c r="E7893" s="209"/>
      <c r="J7893" s="124"/>
    </row>
    <row r="7894" spans="3:10" x14ac:dyDescent="0.2">
      <c r="C7894" s="209"/>
      <c r="D7894" s="209"/>
      <c r="E7894" s="209"/>
      <c r="J7894" s="124"/>
    </row>
    <row r="7895" spans="3:10" x14ac:dyDescent="0.2">
      <c r="C7895" s="209"/>
      <c r="D7895" s="209"/>
      <c r="E7895" s="209"/>
      <c r="J7895" s="124"/>
    </row>
    <row r="7896" spans="3:10" x14ac:dyDescent="0.2">
      <c r="C7896" s="209"/>
      <c r="D7896" s="209"/>
      <c r="E7896" s="209"/>
      <c r="J7896" s="124"/>
    </row>
    <row r="7897" spans="3:10" x14ac:dyDescent="0.2">
      <c r="C7897" s="209"/>
      <c r="D7897" s="209"/>
      <c r="E7897" s="209"/>
      <c r="J7897" s="124"/>
    </row>
    <row r="7898" spans="3:10" x14ac:dyDescent="0.2">
      <c r="C7898" s="209"/>
      <c r="D7898" s="209"/>
      <c r="E7898" s="209"/>
      <c r="J7898" s="124"/>
    </row>
    <row r="7899" spans="3:10" x14ac:dyDescent="0.2">
      <c r="C7899" s="209"/>
      <c r="D7899" s="209"/>
      <c r="E7899" s="209"/>
      <c r="J7899" s="124"/>
    </row>
    <row r="7900" spans="3:10" x14ac:dyDescent="0.2">
      <c r="C7900" s="209"/>
      <c r="D7900" s="209"/>
      <c r="E7900" s="209"/>
      <c r="J7900" s="124"/>
    </row>
    <row r="7901" spans="3:10" x14ac:dyDescent="0.2">
      <c r="C7901" s="209"/>
      <c r="D7901" s="209"/>
      <c r="E7901" s="209"/>
      <c r="J7901" s="124"/>
    </row>
    <row r="7902" spans="3:10" x14ac:dyDescent="0.2">
      <c r="C7902" s="209"/>
      <c r="D7902" s="209"/>
      <c r="E7902" s="209"/>
      <c r="J7902" s="124"/>
    </row>
    <row r="7903" spans="3:10" x14ac:dyDescent="0.2">
      <c r="C7903" s="209"/>
      <c r="D7903" s="209"/>
      <c r="E7903" s="209"/>
      <c r="J7903" s="124"/>
    </row>
    <row r="7904" spans="3:10" x14ac:dyDescent="0.2">
      <c r="C7904" s="209"/>
      <c r="D7904" s="209"/>
      <c r="E7904" s="209"/>
      <c r="J7904" s="124"/>
    </row>
    <row r="7905" spans="3:10" x14ac:dyDescent="0.2">
      <c r="C7905" s="209"/>
      <c r="D7905" s="209"/>
      <c r="E7905" s="209"/>
      <c r="J7905" s="124"/>
    </row>
    <row r="7906" spans="3:10" x14ac:dyDescent="0.2">
      <c r="C7906" s="209"/>
      <c r="D7906" s="209"/>
      <c r="E7906" s="209"/>
      <c r="J7906" s="124"/>
    </row>
    <row r="7907" spans="3:10" x14ac:dyDescent="0.2">
      <c r="C7907" s="209"/>
      <c r="D7907" s="209"/>
      <c r="E7907" s="209"/>
      <c r="J7907" s="124"/>
    </row>
    <row r="7908" spans="3:10" x14ac:dyDescent="0.2">
      <c r="C7908" s="209"/>
      <c r="D7908" s="209"/>
      <c r="E7908" s="209"/>
      <c r="J7908" s="124"/>
    </row>
    <row r="7909" spans="3:10" x14ac:dyDescent="0.2">
      <c r="C7909" s="209"/>
      <c r="D7909" s="209"/>
      <c r="E7909" s="209"/>
      <c r="J7909" s="124"/>
    </row>
    <row r="7910" spans="3:10" x14ac:dyDescent="0.2">
      <c r="C7910" s="209"/>
      <c r="D7910" s="209"/>
      <c r="E7910" s="209"/>
      <c r="J7910" s="124"/>
    </row>
    <row r="7911" spans="3:10" x14ac:dyDescent="0.2">
      <c r="C7911" s="209"/>
      <c r="D7911" s="209"/>
      <c r="E7911" s="209"/>
      <c r="J7911" s="124"/>
    </row>
    <row r="7912" spans="3:10" x14ac:dyDescent="0.2">
      <c r="C7912" s="209"/>
      <c r="D7912" s="209"/>
      <c r="E7912" s="209"/>
      <c r="J7912" s="124"/>
    </row>
    <row r="7913" spans="3:10" x14ac:dyDescent="0.2">
      <c r="C7913" s="209"/>
      <c r="D7913" s="209"/>
      <c r="E7913" s="209"/>
      <c r="J7913" s="124"/>
    </row>
    <row r="7914" spans="3:10" x14ac:dyDescent="0.2">
      <c r="C7914" s="209"/>
      <c r="D7914" s="209"/>
      <c r="E7914" s="209"/>
      <c r="J7914" s="124"/>
    </row>
    <row r="7915" spans="3:10" x14ac:dyDescent="0.2">
      <c r="C7915" s="209"/>
      <c r="D7915" s="209"/>
      <c r="E7915" s="209"/>
      <c r="J7915" s="124"/>
    </row>
    <row r="7916" spans="3:10" x14ac:dyDescent="0.2">
      <c r="C7916" s="209"/>
      <c r="D7916" s="209"/>
      <c r="E7916" s="209"/>
      <c r="J7916" s="124"/>
    </row>
    <row r="7917" spans="3:10" x14ac:dyDescent="0.2">
      <c r="C7917" s="209"/>
      <c r="D7917" s="209"/>
      <c r="E7917" s="209"/>
      <c r="J7917" s="124"/>
    </row>
    <row r="7918" spans="3:10" x14ac:dyDescent="0.2">
      <c r="C7918" s="209"/>
      <c r="D7918" s="209"/>
      <c r="E7918" s="209"/>
      <c r="J7918" s="124"/>
    </row>
    <row r="7919" spans="3:10" x14ac:dyDescent="0.2">
      <c r="C7919" s="209"/>
      <c r="D7919" s="209"/>
      <c r="E7919" s="209"/>
      <c r="J7919" s="124"/>
    </row>
    <row r="7920" spans="3:10" x14ac:dyDescent="0.2">
      <c r="C7920" s="209"/>
      <c r="D7920" s="209"/>
      <c r="E7920" s="209"/>
      <c r="J7920" s="124"/>
    </row>
    <row r="7921" spans="3:10" x14ac:dyDescent="0.2">
      <c r="C7921" s="209"/>
      <c r="D7921" s="209"/>
      <c r="E7921" s="209"/>
      <c r="J7921" s="124"/>
    </row>
    <row r="7922" spans="3:10" x14ac:dyDescent="0.2">
      <c r="C7922" s="209"/>
      <c r="D7922" s="209"/>
      <c r="E7922" s="209"/>
      <c r="J7922" s="124"/>
    </row>
    <row r="7923" spans="3:10" x14ac:dyDescent="0.2">
      <c r="C7923" s="209"/>
      <c r="D7923" s="209"/>
      <c r="E7923" s="209"/>
      <c r="J7923" s="124"/>
    </row>
    <row r="7924" spans="3:10" x14ac:dyDescent="0.2">
      <c r="C7924" s="209"/>
      <c r="D7924" s="209"/>
      <c r="E7924" s="209"/>
      <c r="J7924" s="124"/>
    </row>
    <row r="7925" spans="3:10" x14ac:dyDescent="0.2">
      <c r="C7925" s="209"/>
      <c r="D7925" s="209"/>
      <c r="E7925" s="209"/>
      <c r="J7925" s="124"/>
    </row>
    <row r="7926" spans="3:10" x14ac:dyDescent="0.2">
      <c r="C7926" s="209"/>
      <c r="D7926" s="209"/>
      <c r="E7926" s="209"/>
      <c r="J7926" s="124"/>
    </row>
    <row r="7927" spans="3:10" x14ac:dyDescent="0.2">
      <c r="C7927" s="209"/>
      <c r="D7927" s="209"/>
      <c r="E7927" s="209"/>
      <c r="J7927" s="124"/>
    </row>
    <row r="7928" spans="3:10" x14ac:dyDescent="0.2">
      <c r="C7928" s="209"/>
      <c r="D7928" s="209"/>
      <c r="E7928" s="209"/>
      <c r="J7928" s="124"/>
    </row>
    <row r="7929" spans="3:10" x14ac:dyDescent="0.2">
      <c r="C7929" s="209"/>
      <c r="D7929" s="209"/>
      <c r="E7929" s="209"/>
      <c r="J7929" s="124"/>
    </row>
    <row r="7930" spans="3:10" x14ac:dyDescent="0.2">
      <c r="C7930" s="209"/>
      <c r="D7930" s="209"/>
      <c r="E7930" s="209"/>
      <c r="J7930" s="124"/>
    </row>
    <row r="7931" spans="3:10" x14ac:dyDescent="0.2">
      <c r="C7931" s="209"/>
      <c r="D7931" s="209"/>
      <c r="E7931" s="209"/>
      <c r="J7931" s="124"/>
    </row>
    <row r="7932" spans="3:10" x14ac:dyDescent="0.2">
      <c r="C7932" s="209"/>
      <c r="D7932" s="209"/>
      <c r="E7932" s="209"/>
      <c r="J7932" s="124"/>
    </row>
    <row r="7933" spans="3:10" x14ac:dyDescent="0.2">
      <c r="C7933" s="209"/>
      <c r="D7933" s="209"/>
      <c r="E7933" s="209"/>
      <c r="J7933" s="124"/>
    </row>
    <row r="7934" spans="3:10" x14ac:dyDescent="0.2">
      <c r="C7934" s="209"/>
      <c r="D7934" s="209"/>
      <c r="E7934" s="209"/>
      <c r="J7934" s="124"/>
    </row>
    <row r="7935" spans="3:10" x14ac:dyDescent="0.2">
      <c r="C7935" s="209"/>
      <c r="D7935" s="209"/>
      <c r="E7935" s="209"/>
      <c r="J7935" s="124"/>
    </row>
    <row r="7936" spans="3:10" x14ac:dyDescent="0.2">
      <c r="C7936" s="209"/>
      <c r="D7936" s="209"/>
      <c r="E7936" s="209"/>
      <c r="J7936" s="124"/>
    </row>
    <row r="7937" spans="3:10" x14ac:dyDescent="0.2">
      <c r="C7937" s="209"/>
      <c r="D7937" s="209"/>
      <c r="E7937" s="209"/>
      <c r="J7937" s="124"/>
    </row>
    <row r="7938" spans="3:10" x14ac:dyDescent="0.2">
      <c r="C7938" s="209"/>
      <c r="D7938" s="209"/>
      <c r="E7938" s="209"/>
      <c r="J7938" s="124"/>
    </row>
    <row r="7939" spans="3:10" x14ac:dyDescent="0.2">
      <c r="C7939" s="209"/>
      <c r="D7939" s="209"/>
      <c r="E7939" s="209"/>
      <c r="J7939" s="124"/>
    </row>
    <row r="7940" spans="3:10" x14ac:dyDescent="0.2">
      <c r="C7940" s="209"/>
      <c r="D7940" s="209"/>
      <c r="E7940" s="209"/>
      <c r="J7940" s="124"/>
    </row>
    <row r="7941" spans="3:10" x14ac:dyDescent="0.2">
      <c r="C7941" s="209"/>
      <c r="D7941" s="209"/>
      <c r="E7941" s="209"/>
      <c r="J7941" s="124"/>
    </row>
    <row r="7942" spans="3:10" x14ac:dyDescent="0.2">
      <c r="C7942" s="209"/>
      <c r="D7942" s="209"/>
      <c r="E7942" s="209"/>
      <c r="J7942" s="124"/>
    </row>
    <row r="7943" spans="3:10" x14ac:dyDescent="0.2">
      <c r="C7943" s="209"/>
      <c r="D7943" s="209"/>
      <c r="E7943" s="209"/>
      <c r="J7943" s="124"/>
    </row>
    <row r="7944" spans="3:10" x14ac:dyDescent="0.2">
      <c r="C7944" s="209"/>
      <c r="D7944" s="209"/>
      <c r="E7944" s="209"/>
      <c r="J7944" s="124"/>
    </row>
    <row r="7945" spans="3:10" x14ac:dyDescent="0.2">
      <c r="C7945" s="209"/>
      <c r="D7945" s="209"/>
      <c r="E7945" s="209"/>
      <c r="J7945" s="124"/>
    </row>
    <row r="7946" spans="3:10" x14ac:dyDescent="0.2">
      <c r="C7946" s="209"/>
      <c r="D7946" s="209"/>
      <c r="E7946" s="209"/>
      <c r="J7946" s="124"/>
    </row>
    <row r="7947" spans="3:10" x14ac:dyDescent="0.2">
      <c r="C7947" s="209"/>
      <c r="D7947" s="209"/>
      <c r="E7947" s="209"/>
      <c r="J7947" s="124"/>
    </row>
    <row r="7948" spans="3:10" x14ac:dyDescent="0.2">
      <c r="C7948" s="209"/>
      <c r="D7948" s="209"/>
      <c r="E7948" s="209"/>
      <c r="J7948" s="124"/>
    </row>
    <row r="7949" spans="3:10" x14ac:dyDescent="0.2">
      <c r="C7949" s="209"/>
      <c r="D7949" s="209"/>
      <c r="E7949" s="209"/>
      <c r="J7949" s="124"/>
    </row>
    <row r="7950" spans="3:10" x14ac:dyDescent="0.2">
      <c r="C7950" s="209"/>
      <c r="D7950" s="209"/>
      <c r="E7950" s="209"/>
      <c r="J7950" s="124"/>
    </row>
    <row r="7951" spans="3:10" x14ac:dyDescent="0.2">
      <c r="C7951" s="209"/>
      <c r="D7951" s="209"/>
      <c r="E7951" s="209"/>
      <c r="J7951" s="124"/>
    </row>
    <row r="7952" spans="3:10" x14ac:dyDescent="0.2">
      <c r="C7952" s="209"/>
      <c r="D7952" s="209"/>
      <c r="E7952" s="209"/>
      <c r="J7952" s="124"/>
    </row>
    <row r="7953" spans="3:10" x14ac:dyDescent="0.2">
      <c r="C7953" s="209"/>
      <c r="D7953" s="209"/>
      <c r="E7953" s="209"/>
      <c r="J7953" s="124"/>
    </row>
    <row r="7954" spans="3:10" x14ac:dyDescent="0.2">
      <c r="C7954" s="209"/>
      <c r="D7954" s="209"/>
      <c r="E7954" s="209"/>
      <c r="J7954" s="124"/>
    </row>
    <row r="7955" spans="3:10" x14ac:dyDescent="0.2">
      <c r="C7955" s="209"/>
      <c r="D7955" s="209"/>
      <c r="E7955" s="209"/>
      <c r="J7955" s="124"/>
    </row>
    <row r="7956" spans="3:10" x14ac:dyDescent="0.2">
      <c r="C7956" s="209"/>
      <c r="D7956" s="209"/>
      <c r="E7956" s="209"/>
      <c r="J7956" s="124"/>
    </row>
    <row r="7957" spans="3:10" x14ac:dyDescent="0.2">
      <c r="C7957" s="209"/>
      <c r="D7957" s="209"/>
      <c r="E7957" s="209"/>
      <c r="J7957" s="124"/>
    </row>
    <row r="7958" spans="3:10" x14ac:dyDescent="0.2">
      <c r="C7958" s="209"/>
      <c r="D7958" s="209"/>
      <c r="E7958" s="209"/>
      <c r="J7958" s="124"/>
    </row>
    <row r="7959" spans="3:10" x14ac:dyDescent="0.2">
      <c r="C7959" s="209"/>
      <c r="D7959" s="209"/>
      <c r="E7959" s="209"/>
      <c r="J7959" s="124"/>
    </row>
    <row r="7960" spans="3:10" x14ac:dyDescent="0.2">
      <c r="C7960" s="209"/>
      <c r="D7960" s="209"/>
      <c r="E7960" s="209"/>
      <c r="J7960" s="124"/>
    </row>
    <row r="7961" spans="3:10" x14ac:dyDescent="0.2">
      <c r="C7961" s="209"/>
      <c r="D7961" s="209"/>
      <c r="E7961" s="209"/>
      <c r="J7961" s="124"/>
    </row>
    <row r="7962" spans="3:10" x14ac:dyDescent="0.2">
      <c r="C7962" s="209"/>
      <c r="D7962" s="209"/>
      <c r="E7962" s="209"/>
      <c r="J7962" s="124"/>
    </row>
    <row r="7963" spans="3:10" x14ac:dyDescent="0.2">
      <c r="C7963" s="209"/>
      <c r="D7963" s="209"/>
      <c r="E7963" s="209"/>
      <c r="J7963" s="124"/>
    </row>
    <row r="7964" spans="3:10" x14ac:dyDescent="0.2">
      <c r="C7964" s="209"/>
      <c r="D7964" s="209"/>
      <c r="E7964" s="209"/>
      <c r="J7964" s="124"/>
    </row>
    <row r="7965" spans="3:10" x14ac:dyDescent="0.2">
      <c r="C7965" s="209"/>
      <c r="D7965" s="209"/>
      <c r="E7965" s="209"/>
      <c r="J7965" s="124"/>
    </row>
    <row r="7966" spans="3:10" x14ac:dyDescent="0.2">
      <c r="C7966" s="209"/>
      <c r="D7966" s="209"/>
      <c r="E7966" s="209"/>
      <c r="J7966" s="124"/>
    </row>
    <row r="7967" spans="3:10" x14ac:dyDescent="0.2">
      <c r="C7967" s="209"/>
      <c r="D7967" s="209"/>
      <c r="E7967" s="209"/>
      <c r="J7967" s="124"/>
    </row>
    <row r="7968" spans="3:10" x14ac:dyDescent="0.2">
      <c r="C7968" s="209"/>
      <c r="D7968" s="209"/>
      <c r="E7968" s="209"/>
      <c r="J7968" s="124"/>
    </row>
    <row r="7969" spans="3:10" x14ac:dyDescent="0.2">
      <c r="C7969" s="209"/>
      <c r="D7969" s="209"/>
      <c r="E7969" s="209"/>
      <c r="J7969" s="124"/>
    </row>
    <row r="7970" spans="3:10" x14ac:dyDescent="0.2">
      <c r="C7970" s="209"/>
      <c r="D7970" s="209"/>
      <c r="E7970" s="209"/>
      <c r="J7970" s="124"/>
    </row>
    <row r="7971" spans="3:10" x14ac:dyDescent="0.2">
      <c r="C7971" s="209"/>
      <c r="D7971" s="209"/>
      <c r="E7971" s="209"/>
      <c r="J7971" s="124"/>
    </row>
    <row r="7972" spans="3:10" x14ac:dyDescent="0.2">
      <c r="C7972" s="209"/>
      <c r="D7972" s="209"/>
      <c r="E7972" s="209"/>
      <c r="J7972" s="124"/>
    </row>
    <row r="7973" spans="3:10" x14ac:dyDescent="0.2">
      <c r="C7973" s="209"/>
      <c r="D7973" s="209"/>
      <c r="E7973" s="209"/>
      <c r="J7973" s="124"/>
    </row>
    <row r="7974" spans="3:10" x14ac:dyDescent="0.2">
      <c r="C7974" s="209"/>
      <c r="D7974" s="209"/>
      <c r="E7974" s="209"/>
      <c r="J7974" s="124"/>
    </row>
    <row r="7975" spans="3:10" x14ac:dyDescent="0.2">
      <c r="C7975" s="209"/>
      <c r="D7975" s="209"/>
      <c r="E7975" s="209"/>
      <c r="J7975" s="124"/>
    </row>
    <row r="7976" spans="3:10" x14ac:dyDescent="0.2">
      <c r="C7976" s="209"/>
      <c r="D7976" s="209"/>
      <c r="E7976" s="209"/>
      <c r="J7976" s="124"/>
    </row>
    <row r="7977" spans="3:10" x14ac:dyDescent="0.2">
      <c r="C7977" s="209"/>
      <c r="D7977" s="209"/>
      <c r="E7977" s="209"/>
      <c r="J7977" s="124"/>
    </row>
    <row r="7978" spans="3:10" x14ac:dyDescent="0.2">
      <c r="C7978" s="209"/>
      <c r="D7978" s="209"/>
      <c r="E7978" s="209"/>
      <c r="J7978" s="124"/>
    </row>
    <row r="7979" spans="3:10" x14ac:dyDescent="0.2">
      <c r="C7979" s="209"/>
      <c r="D7979" s="209"/>
      <c r="E7979" s="209"/>
      <c r="J7979" s="124"/>
    </row>
    <row r="7980" spans="3:10" x14ac:dyDescent="0.2">
      <c r="C7980" s="209"/>
      <c r="D7980" s="209"/>
      <c r="E7980" s="209"/>
      <c r="J7980" s="124"/>
    </row>
    <row r="7981" spans="3:10" x14ac:dyDescent="0.2">
      <c r="C7981" s="209"/>
      <c r="D7981" s="209"/>
      <c r="E7981" s="209"/>
      <c r="J7981" s="124"/>
    </row>
    <row r="7982" spans="3:10" x14ac:dyDescent="0.2">
      <c r="C7982" s="209"/>
      <c r="D7982" s="209"/>
      <c r="E7982" s="209"/>
      <c r="J7982" s="124"/>
    </row>
    <row r="7983" spans="3:10" x14ac:dyDescent="0.2">
      <c r="C7983" s="209"/>
      <c r="D7983" s="209"/>
      <c r="E7983" s="209"/>
      <c r="J7983" s="124"/>
    </row>
    <row r="7984" spans="3:10" x14ac:dyDescent="0.2">
      <c r="C7984" s="209"/>
      <c r="D7984" s="209"/>
      <c r="E7984" s="209"/>
      <c r="J7984" s="124"/>
    </row>
    <row r="7985" spans="3:10" x14ac:dyDescent="0.2">
      <c r="C7985" s="209"/>
      <c r="D7985" s="209"/>
      <c r="E7985" s="209"/>
      <c r="J7985" s="124"/>
    </row>
    <row r="7986" spans="3:10" x14ac:dyDescent="0.2">
      <c r="C7986" s="209"/>
      <c r="D7986" s="209"/>
      <c r="E7986" s="209"/>
      <c r="J7986" s="124"/>
    </row>
    <row r="7987" spans="3:10" x14ac:dyDescent="0.2">
      <c r="C7987" s="209"/>
      <c r="D7987" s="209"/>
      <c r="E7987" s="209"/>
      <c r="J7987" s="124"/>
    </row>
    <row r="7988" spans="3:10" x14ac:dyDescent="0.2">
      <c r="C7988" s="209"/>
      <c r="D7988" s="209"/>
      <c r="E7988" s="209"/>
      <c r="J7988" s="124"/>
    </row>
    <row r="7989" spans="3:10" x14ac:dyDescent="0.2">
      <c r="C7989" s="209"/>
      <c r="D7989" s="209"/>
      <c r="E7989" s="209"/>
      <c r="J7989" s="124"/>
    </row>
    <row r="7990" spans="3:10" x14ac:dyDescent="0.2">
      <c r="C7990" s="209"/>
      <c r="D7990" s="209"/>
      <c r="E7990" s="209"/>
      <c r="J7990" s="124"/>
    </row>
    <row r="7991" spans="3:10" x14ac:dyDescent="0.2">
      <c r="C7991" s="209"/>
      <c r="D7991" s="209"/>
      <c r="E7991" s="209"/>
      <c r="J7991" s="124"/>
    </row>
    <row r="7992" spans="3:10" x14ac:dyDescent="0.2">
      <c r="C7992" s="209"/>
      <c r="D7992" s="209"/>
      <c r="E7992" s="209"/>
      <c r="J7992" s="124"/>
    </row>
    <row r="7993" spans="3:10" x14ac:dyDescent="0.2">
      <c r="C7993" s="209"/>
      <c r="D7993" s="209"/>
      <c r="E7993" s="209"/>
      <c r="J7993" s="124"/>
    </row>
    <row r="7994" spans="3:10" x14ac:dyDescent="0.2">
      <c r="C7994" s="209"/>
      <c r="D7994" s="209"/>
      <c r="E7994" s="209"/>
      <c r="J7994" s="124"/>
    </row>
    <row r="7995" spans="3:10" x14ac:dyDescent="0.2">
      <c r="C7995" s="209"/>
      <c r="D7995" s="209"/>
      <c r="E7995" s="209"/>
      <c r="J7995" s="124"/>
    </row>
    <row r="7996" spans="3:10" x14ac:dyDescent="0.2">
      <c r="C7996" s="209"/>
      <c r="D7996" s="209"/>
      <c r="E7996" s="209"/>
      <c r="J7996" s="124"/>
    </row>
    <row r="7997" spans="3:10" x14ac:dyDescent="0.2">
      <c r="C7997" s="209"/>
      <c r="D7997" s="209"/>
      <c r="E7997" s="209"/>
      <c r="J7997" s="124"/>
    </row>
    <row r="7998" spans="3:10" x14ac:dyDescent="0.2">
      <c r="C7998" s="209"/>
      <c r="D7998" s="209"/>
      <c r="E7998" s="209"/>
      <c r="J7998" s="124"/>
    </row>
    <row r="7999" spans="3:10" x14ac:dyDescent="0.2">
      <c r="C7999" s="209"/>
      <c r="D7999" s="209"/>
      <c r="E7999" s="209"/>
      <c r="J7999" s="124"/>
    </row>
    <row r="8000" spans="3:10" x14ac:dyDescent="0.2">
      <c r="C8000" s="209"/>
      <c r="D8000" s="209"/>
      <c r="E8000" s="209"/>
      <c r="J8000" s="124"/>
    </row>
    <row r="8001" spans="3:10" x14ac:dyDescent="0.2">
      <c r="C8001" s="209"/>
      <c r="D8001" s="209"/>
      <c r="E8001" s="209"/>
      <c r="J8001" s="124"/>
    </row>
    <row r="8002" spans="3:10" x14ac:dyDescent="0.2">
      <c r="C8002" s="209"/>
      <c r="D8002" s="209"/>
      <c r="E8002" s="209"/>
      <c r="J8002" s="124"/>
    </row>
    <row r="8003" spans="3:10" x14ac:dyDescent="0.2">
      <c r="C8003" s="209"/>
      <c r="D8003" s="209"/>
      <c r="E8003" s="209"/>
      <c r="J8003" s="124"/>
    </row>
    <row r="8004" spans="3:10" x14ac:dyDescent="0.2">
      <c r="C8004" s="209"/>
      <c r="D8004" s="209"/>
      <c r="E8004" s="209"/>
      <c r="J8004" s="124"/>
    </row>
    <row r="8005" spans="3:10" x14ac:dyDescent="0.2">
      <c r="C8005" s="209"/>
      <c r="D8005" s="209"/>
      <c r="E8005" s="209"/>
      <c r="J8005" s="124"/>
    </row>
    <row r="8006" spans="3:10" x14ac:dyDescent="0.2">
      <c r="C8006" s="209"/>
      <c r="D8006" s="209"/>
      <c r="E8006" s="209"/>
      <c r="J8006" s="124"/>
    </row>
    <row r="8007" spans="3:10" x14ac:dyDescent="0.2">
      <c r="C8007" s="209"/>
      <c r="D8007" s="209"/>
      <c r="E8007" s="209"/>
      <c r="J8007" s="124"/>
    </row>
    <row r="8008" spans="3:10" x14ac:dyDescent="0.2">
      <c r="C8008" s="209"/>
      <c r="D8008" s="209"/>
      <c r="E8008" s="209"/>
      <c r="J8008" s="124"/>
    </row>
    <row r="8009" spans="3:10" x14ac:dyDescent="0.2">
      <c r="C8009" s="209"/>
      <c r="D8009" s="209"/>
      <c r="E8009" s="209"/>
      <c r="J8009" s="124"/>
    </row>
    <row r="8010" spans="3:10" x14ac:dyDescent="0.2">
      <c r="C8010" s="209"/>
      <c r="D8010" s="209"/>
      <c r="E8010" s="209"/>
      <c r="J8010" s="124"/>
    </row>
    <row r="8011" spans="3:10" x14ac:dyDescent="0.2">
      <c r="C8011" s="209"/>
      <c r="D8011" s="209"/>
      <c r="E8011" s="209"/>
      <c r="J8011" s="124"/>
    </row>
    <row r="8012" spans="3:10" x14ac:dyDescent="0.2">
      <c r="C8012" s="209"/>
      <c r="D8012" s="209"/>
      <c r="E8012" s="209"/>
      <c r="J8012" s="124"/>
    </row>
    <row r="8013" spans="3:10" x14ac:dyDescent="0.2">
      <c r="C8013" s="209"/>
      <c r="D8013" s="209"/>
      <c r="E8013" s="209"/>
      <c r="J8013" s="124"/>
    </row>
    <row r="8014" spans="3:10" x14ac:dyDescent="0.2">
      <c r="C8014" s="209"/>
      <c r="D8014" s="209"/>
      <c r="E8014" s="209"/>
      <c r="J8014" s="124"/>
    </row>
    <row r="8015" spans="3:10" x14ac:dyDescent="0.2">
      <c r="C8015" s="209"/>
      <c r="D8015" s="209"/>
      <c r="E8015" s="209"/>
      <c r="J8015" s="124"/>
    </row>
    <row r="8016" spans="3:10" x14ac:dyDescent="0.2">
      <c r="C8016" s="209"/>
      <c r="D8016" s="209"/>
      <c r="E8016" s="209"/>
      <c r="J8016" s="124"/>
    </row>
    <row r="8017" spans="3:10" x14ac:dyDescent="0.2">
      <c r="C8017" s="209"/>
      <c r="D8017" s="209"/>
      <c r="E8017" s="209"/>
      <c r="J8017" s="124"/>
    </row>
    <row r="8018" spans="3:10" x14ac:dyDescent="0.2">
      <c r="C8018" s="209"/>
      <c r="D8018" s="209"/>
      <c r="E8018" s="209"/>
      <c r="J8018" s="124"/>
    </row>
    <row r="8019" spans="3:10" x14ac:dyDescent="0.2">
      <c r="C8019" s="209"/>
      <c r="D8019" s="209"/>
      <c r="E8019" s="209"/>
      <c r="J8019" s="124"/>
    </row>
    <row r="8020" spans="3:10" x14ac:dyDescent="0.2">
      <c r="C8020" s="209"/>
      <c r="D8020" s="209"/>
      <c r="E8020" s="209"/>
      <c r="J8020" s="124"/>
    </row>
    <row r="8021" spans="3:10" x14ac:dyDescent="0.2">
      <c r="C8021" s="209"/>
      <c r="D8021" s="209"/>
      <c r="E8021" s="209"/>
      <c r="J8021" s="124"/>
    </row>
    <row r="8022" spans="3:10" x14ac:dyDescent="0.2">
      <c r="C8022" s="209"/>
      <c r="D8022" s="209"/>
      <c r="E8022" s="209"/>
      <c r="J8022" s="124"/>
    </row>
    <row r="8023" spans="3:10" x14ac:dyDescent="0.2">
      <c r="C8023" s="209"/>
      <c r="D8023" s="209"/>
      <c r="E8023" s="209"/>
      <c r="J8023" s="124"/>
    </row>
    <row r="8024" spans="3:10" x14ac:dyDescent="0.2">
      <c r="C8024" s="209"/>
      <c r="D8024" s="209"/>
      <c r="E8024" s="209"/>
      <c r="J8024" s="124"/>
    </row>
    <row r="8025" spans="3:10" x14ac:dyDescent="0.2">
      <c r="C8025" s="209"/>
      <c r="D8025" s="209"/>
      <c r="E8025" s="209"/>
      <c r="J8025" s="124"/>
    </row>
    <row r="8026" spans="3:10" x14ac:dyDescent="0.2">
      <c r="C8026" s="209"/>
      <c r="D8026" s="209"/>
      <c r="E8026" s="209"/>
      <c r="J8026" s="124"/>
    </row>
    <row r="8027" spans="3:10" x14ac:dyDescent="0.2">
      <c r="C8027" s="209"/>
      <c r="D8027" s="209"/>
      <c r="E8027" s="209"/>
      <c r="J8027" s="124"/>
    </row>
    <row r="8028" spans="3:10" x14ac:dyDescent="0.2">
      <c r="C8028" s="209"/>
      <c r="D8028" s="209"/>
      <c r="E8028" s="209"/>
      <c r="J8028" s="124"/>
    </row>
    <row r="8029" spans="3:10" x14ac:dyDescent="0.2">
      <c r="C8029" s="209"/>
      <c r="D8029" s="209"/>
      <c r="E8029" s="209"/>
      <c r="J8029" s="124"/>
    </row>
    <row r="8030" spans="3:10" x14ac:dyDescent="0.2">
      <c r="C8030" s="209"/>
      <c r="D8030" s="209"/>
      <c r="E8030" s="209"/>
      <c r="J8030" s="124"/>
    </row>
    <row r="8031" spans="3:10" x14ac:dyDescent="0.2">
      <c r="C8031" s="209"/>
      <c r="D8031" s="209"/>
      <c r="E8031" s="209"/>
      <c r="J8031" s="124"/>
    </row>
    <row r="8032" spans="3:10" x14ac:dyDescent="0.2">
      <c r="C8032" s="209"/>
      <c r="D8032" s="209"/>
      <c r="E8032" s="209"/>
      <c r="J8032" s="124"/>
    </row>
    <row r="8033" spans="3:10" x14ac:dyDescent="0.2">
      <c r="C8033" s="209"/>
      <c r="D8033" s="209"/>
      <c r="E8033" s="209"/>
      <c r="J8033" s="124"/>
    </row>
    <row r="8034" spans="3:10" x14ac:dyDescent="0.2">
      <c r="C8034" s="209"/>
      <c r="D8034" s="209"/>
      <c r="E8034" s="209"/>
      <c r="J8034" s="124"/>
    </row>
    <row r="8035" spans="3:10" x14ac:dyDescent="0.2">
      <c r="C8035" s="209"/>
      <c r="D8035" s="209"/>
      <c r="E8035" s="209"/>
      <c r="J8035" s="124"/>
    </row>
    <row r="8036" spans="3:10" x14ac:dyDescent="0.2">
      <c r="C8036" s="209"/>
      <c r="D8036" s="209"/>
      <c r="E8036" s="209"/>
      <c r="J8036" s="124"/>
    </row>
    <row r="8037" spans="3:10" x14ac:dyDescent="0.2">
      <c r="C8037" s="209"/>
      <c r="D8037" s="209"/>
      <c r="E8037" s="209"/>
      <c r="J8037" s="124"/>
    </row>
    <row r="8038" spans="3:10" x14ac:dyDescent="0.2">
      <c r="C8038" s="209"/>
      <c r="D8038" s="209"/>
      <c r="E8038" s="209"/>
      <c r="J8038" s="124"/>
    </row>
    <row r="8039" spans="3:10" x14ac:dyDescent="0.2">
      <c r="C8039" s="209"/>
      <c r="D8039" s="209"/>
      <c r="E8039" s="209"/>
      <c r="J8039" s="124"/>
    </row>
    <row r="8040" spans="3:10" x14ac:dyDescent="0.2">
      <c r="C8040" s="209"/>
      <c r="D8040" s="209"/>
      <c r="E8040" s="209"/>
      <c r="J8040" s="124"/>
    </row>
    <row r="8041" spans="3:10" x14ac:dyDescent="0.2">
      <c r="C8041" s="209"/>
      <c r="D8041" s="209"/>
      <c r="E8041" s="209"/>
      <c r="J8041" s="124"/>
    </row>
    <row r="8042" spans="3:10" x14ac:dyDescent="0.2">
      <c r="C8042" s="209"/>
      <c r="D8042" s="209"/>
      <c r="E8042" s="209"/>
      <c r="J8042" s="124"/>
    </row>
    <row r="8043" spans="3:10" x14ac:dyDescent="0.2">
      <c r="C8043" s="209"/>
      <c r="D8043" s="209"/>
      <c r="E8043" s="209"/>
      <c r="J8043" s="124"/>
    </row>
    <row r="8044" spans="3:10" x14ac:dyDescent="0.2">
      <c r="C8044" s="209"/>
      <c r="D8044" s="209"/>
      <c r="E8044" s="209"/>
      <c r="J8044" s="124"/>
    </row>
    <row r="8045" spans="3:10" x14ac:dyDescent="0.2">
      <c r="C8045" s="209"/>
      <c r="D8045" s="209"/>
      <c r="E8045" s="209"/>
      <c r="J8045" s="124"/>
    </row>
    <row r="8046" spans="3:10" x14ac:dyDescent="0.2">
      <c r="C8046" s="209"/>
      <c r="D8046" s="209"/>
      <c r="E8046" s="209"/>
      <c r="J8046" s="124"/>
    </row>
    <row r="8047" spans="3:10" x14ac:dyDescent="0.2">
      <c r="C8047" s="209"/>
      <c r="D8047" s="209"/>
      <c r="E8047" s="209"/>
      <c r="J8047" s="124"/>
    </row>
    <row r="8048" spans="3:10" x14ac:dyDescent="0.2">
      <c r="C8048" s="209"/>
      <c r="D8048" s="209"/>
      <c r="E8048" s="209"/>
      <c r="J8048" s="124"/>
    </row>
    <row r="8049" spans="3:10" x14ac:dyDescent="0.2">
      <c r="C8049" s="209"/>
      <c r="D8049" s="209"/>
      <c r="E8049" s="209"/>
      <c r="J8049" s="124"/>
    </row>
    <row r="8050" spans="3:10" x14ac:dyDescent="0.2">
      <c r="C8050" s="209"/>
      <c r="D8050" s="209"/>
      <c r="E8050" s="209"/>
      <c r="J8050" s="124"/>
    </row>
    <row r="8051" spans="3:10" x14ac:dyDescent="0.2">
      <c r="C8051" s="209"/>
      <c r="D8051" s="209"/>
      <c r="E8051" s="209"/>
      <c r="J8051" s="124"/>
    </row>
    <row r="8052" spans="3:10" x14ac:dyDescent="0.2">
      <c r="C8052" s="209"/>
      <c r="D8052" s="209"/>
      <c r="E8052" s="209"/>
      <c r="J8052" s="124"/>
    </row>
    <row r="8053" spans="3:10" x14ac:dyDescent="0.2">
      <c r="C8053" s="209"/>
      <c r="D8053" s="209"/>
      <c r="E8053" s="209"/>
      <c r="J8053" s="124"/>
    </row>
    <row r="8054" spans="3:10" x14ac:dyDescent="0.2">
      <c r="C8054" s="209"/>
      <c r="D8054" s="209"/>
      <c r="E8054" s="209"/>
      <c r="J8054" s="124"/>
    </row>
    <row r="8055" spans="3:10" x14ac:dyDescent="0.2">
      <c r="C8055" s="209"/>
      <c r="D8055" s="209"/>
      <c r="E8055" s="209"/>
      <c r="J8055" s="124"/>
    </row>
    <row r="8056" spans="3:10" x14ac:dyDescent="0.2">
      <c r="C8056" s="209"/>
      <c r="D8056" s="209"/>
      <c r="E8056" s="209"/>
      <c r="J8056" s="124"/>
    </row>
    <row r="8057" spans="3:10" x14ac:dyDescent="0.2">
      <c r="C8057" s="209"/>
      <c r="D8057" s="209"/>
      <c r="E8057" s="209"/>
      <c r="J8057" s="124"/>
    </row>
    <row r="8058" spans="3:10" x14ac:dyDescent="0.2">
      <c r="C8058" s="209"/>
      <c r="D8058" s="209"/>
      <c r="E8058" s="209"/>
      <c r="J8058" s="124"/>
    </row>
    <row r="8059" spans="3:10" x14ac:dyDescent="0.2">
      <c r="C8059" s="209"/>
      <c r="D8059" s="209"/>
      <c r="E8059" s="209"/>
      <c r="J8059" s="124"/>
    </row>
    <row r="8060" spans="3:10" x14ac:dyDescent="0.2">
      <c r="C8060" s="209"/>
      <c r="D8060" s="209"/>
      <c r="E8060" s="209"/>
      <c r="J8060" s="124"/>
    </row>
    <row r="8061" spans="3:10" x14ac:dyDescent="0.2">
      <c r="C8061" s="209"/>
      <c r="D8061" s="209"/>
      <c r="E8061" s="209"/>
      <c r="J8061" s="124"/>
    </row>
    <row r="8062" spans="3:10" x14ac:dyDescent="0.2">
      <c r="C8062" s="209"/>
      <c r="D8062" s="209"/>
      <c r="E8062" s="209"/>
      <c r="J8062" s="124"/>
    </row>
    <row r="8063" spans="3:10" x14ac:dyDescent="0.2">
      <c r="C8063" s="209"/>
      <c r="D8063" s="209"/>
      <c r="E8063" s="209"/>
      <c r="J8063" s="124"/>
    </row>
    <row r="8064" spans="3:10" x14ac:dyDescent="0.2">
      <c r="C8064" s="209"/>
      <c r="D8064" s="209"/>
      <c r="E8064" s="209"/>
      <c r="J8064" s="124"/>
    </row>
    <row r="8065" spans="3:10" x14ac:dyDescent="0.2">
      <c r="C8065" s="209"/>
      <c r="D8065" s="209"/>
      <c r="E8065" s="209"/>
      <c r="J8065" s="124"/>
    </row>
    <row r="8066" spans="3:10" x14ac:dyDescent="0.2">
      <c r="C8066" s="209"/>
      <c r="D8066" s="209"/>
      <c r="E8066" s="209"/>
      <c r="J8066" s="124"/>
    </row>
    <row r="8067" spans="3:10" x14ac:dyDescent="0.2">
      <c r="C8067" s="209"/>
      <c r="D8067" s="209"/>
      <c r="E8067" s="209"/>
      <c r="J8067" s="124"/>
    </row>
    <row r="8068" spans="3:10" x14ac:dyDescent="0.2">
      <c r="C8068" s="209"/>
      <c r="D8068" s="209"/>
      <c r="E8068" s="209"/>
      <c r="J8068" s="124"/>
    </row>
    <row r="8069" spans="3:10" x14ac:dyDescent="0.2">
      <c r="C8069" s="209"/>
      <c r="D8069" s="209"/>
      <c r="E8069" s="209"/>
      <c r="J8069" s="124"/>
    </row>
    <row r="8070" spans="3:10" x14ac:dyDescent="0.2">
      <c r="C8070" s="209"/>
      <c r="D8070" s="209"/>
      <c r="E8070" s="209"/>
      <c r="J8070" s="124"/>
    </row>
    <row r="8071" spans="3:10" x14ac:dyDescent="0.2">
      <c r="C8071" s="209"/>
      <c r="D8071" s="209"/>
      <c r="E8071" s="209"/>
      <c r="J8071" s="124"/>
    </row>
    <row r="8072" spans="3:10" x14ac:dyDescent="0.2">
      <c r="C8072" s="209"/>
      <c r="D8072" s="209"/>
      <c r="E8072" s="209"/>
      <c r="J8072" s="124"/>
    </row>
    <row r="8073" spans="3:10" x14ac:dyDescent="0.2">
      <c r="C8073" s="209"/>
      <c r="D8073" s="209"/>
      <c r="E8073" s="209"/>
      <c r="J8073" s="124"/>
    </row>
    <row r="8074" spans="3:10" x14ac:dyDescent="0.2">
      <c r="C8074" s="209"/>
      <c r="D8074" s="209"/>
      <c r="E8074" s="209"/>
      <c r="J8074" s="124"/>
    </row>
    <row r="8075" spans="3:10" x14ac:dyDescent="0.2">
      <c r="C8075" s="209"/>
      <c r="D8075" s="209"/>
      <c r="E8075" s="209"/>
      <c r="J8075" s="124"/>
    </row>
    <row r="8076" spans="3:10" x14ac:dyDescent="0.2">
      <c r="C8076" s="209"/>
      <c r="D8076" s="209"/>
      <c r="E8076" s="209"/>
      <c r="J8076" s="124"/>
    </row>
    <row r="8077" spans="3:10" x14ac:dyDescent="0.2">
      <c r="C8077" s="209"/>
      <c r="D8077" s="209"/>
      <c r="E8077" s="209"/>
      <c r="J8077" s="124"/>
    </row>
    <row r="8078" spans="3:10" x14ac:dyDescent="0.2">
      <c r="C8078" s="209"/>
      <c r="D8078" s="209"/>
      <c r="E8078" s="209"/>
      <c r="J8078" s="124"/>
    </row>
    <row r="8079" spans="3:10" x14ac:dyDescent="0.2">
      <c r="C8079" s="209"/>
      <c r="D8079" s="209"/>
      <c r="E8079" s="209"/>
      <c r="J8079" s="124"/>
    </row>
    <row r="8080" spans="3:10" x14ac:dyDescent="0.2">
      <c r="C8080" s="209"/>
      <c r="D8080" s="209"/>
      <c r="E8080" s="209"/>
      <c r="J8080" s="124"/>
    </row>
    <row r="8081" spans="3:10" x14ac:dyDescent="0.2">
      <c r="C8081" s="209"/>
      <c r="D8081" s="209"/>
      <c r="E8081" s="209"/>
      <c r="J8081" s="124"/>
    </row>
    <row r="8082" spans="3:10" x14ac:dyDescent="0.2">
      <c r="C8082" s="209"/>
      <c r="D8082" s="209"/>
      <c r="E8082" s="209"/>
      <c r="J8082" s="124"/>
    </row>
    <row r="8083" spans="3:10" x14ac:dyDescent="0.2">
      <c r="C8083" s="209"/>
      <c r="D8083" s="209"/>
      <c r="E8083" s="209"/>
      <c r="J8083" s="124"/>
    </row>
    <row r="8084" spans="3:10" x14ac:dyDescent="0.2">
      <c r="C8084" s="209"/>
      <c r="D8084" s="209"/>
      <c r="E8084" s="209"/>
      <c r="J8084" s="124"/>
    </row>
    <row r="8085" spans="3:10" x14ac:dyDescent="0.2">
      <c r="C8085" s="209"/>
      <c r="D8085" s="209"/>
      <c r="E8085" s="209"/>
      <c r="J8085" s="124"/>
    </row>
    <row r="8086" spans="3:10" x14ac:dyDescent="0.2">
      <c r="C8086" s="209"/>
      <c r="D8086" s="209"/>
      <c r="E8086" s="209"/>
      <c r="J8086" s="124"/>
    </row>
    <row r="8087" spans="3:10" x14ac:dyDescent="0.2">
      <c r="C8087" s="209"/>
      <c r="D8087" s="209"/>
      <c r="E8087" s="209"/>
      <c r="J8087" s="124"/>
    </row>
    <row r="8088" spans="3:10" x14ac:dyDescent="0.2">
      <c r="C8088" s="209"/>
      <c r="D8088" s="209"/>
      <c r="E8088" s="209"/>
      <c r="J8088" s="124"/>
    </row>
    <row r="8089" spans="3:10" x14ac:dyDescent="0.2">
      <c r="C8089" s="209"/>
      <c r="D8089" s="209"/>
      <c r="E8089" s="209"/>
      <c r="J8089" s="124"/>
    </row>
    <row r="8090" spans="3:10" x14ac:dyDescent="0.2">
      <c r="C8090" s="209"/>
      <c r="D8090" s="209"/>
      <c r="E8090" s="209"/>
      <c r="J8090" s="124"/>
    </row>
    <row r="8091" spans="3:10" x14ac:dyDescent="0.2">
      <c r="C8091" s="209"/>
      <c r="D8091" s="209"/>
      <c r="E8091" s="209"/>
      <c r="J8091" s="124"/>
    </row>
    <row r="8092" spans="3:10" x14ac:dyDescent="0.2">
      <c r="C8092" s="209"/>
      <c r="D8092" s="209"/>
      <c r="E8092" s="209"/>
      <c r="J8092" s="124"/>
    </row>
    <row r="8093" spans="3:10" x14ac:dyDescent="0.2">
      <c r="C8093" s="209"/>
      <c r="D8093" s="209"/>
      <c r="E8093" s="209"/>
      <c r="J8093" s="124"/>
    </row>
    <row r="8094" spans="3:10" x14ac:dyDescent="0.2">
      <c r="C8094" s="209"/>
      <c r="D8094" s="209"/>
      <c r="E8094" s="209"/>
      <c r="J8094" s="124"/>
    </row>
    <row r="8095" spans="3:10" x14ac:dyDescent="0.2">
      <c r="C8095" s="209"/>
      <c r="D8095" s="209"/>
      <c r="E8095" s="209"/>
      <c r="J8095" s="124"/>
    </row>
    <row r="8096" spans="3:10" x14ac:dyDescent="0.2">
      <c r="C8096" s="209"/>
      <c r="D8096" s="209"/>
      <c r="E8096" s="209"/>
      <c r="J8096" s="124"/>
    </row>
    <row r="8097" spans="3:10" x14ac:dyDescent="0.2">
      <c r="C8097" s="209"/>
      <c r="D8097" s="209"/>
      <c r="E8097" s="209"/>
      <c r="J8097" s="124"/>
    </row>
    <row r="8098" spans="3:10" x14ac:dyDescent="0.2">
      <c r="C8098" s="209"/>
      <c r="D8098" s="209"/>
      <c r="E8098" s="209"/>
      <c r="J8098" s="124"/>
    </row>
    <row r="8099" spans="3:10" x14ac:dyDescent="0.2">
      <c r="C8099" s="209"/>
      <c r="D8099" s="209"/>
      <c r="E8099" s="209"/>
      <c r="J8099" s="124"/>
    </row>
    <row r="8100" spans="3:10" x14ac:dyDescent="0.2">
      <c r="C8100" s="209"/>
      <c r="D8100" s="209"/>
      <c r="E8100" s="209"/>
      <c r="J8100" s="124"/>
    </row>
    <row r="8101" spans="3:10" x14ac:dyDescent="0.2">
      <c r="C8101" s="209"/>
      <c r="D8101" s="209"/>
      <c r="E8101" s="209"/>
      <c r="J8101" s="124"/>
    </row>
    <row r="8102" spans="3:10" x14ac:dyDescent="0.2">
      <c r="C8102" s="209"/>
      <c r="D8102" s="209"/>
      <c r="E8102" s="209"/>
      <c r="J8102" s="124"/>
    </row>
    <row r="8103" spans="3:10" x14ac:dyDescent="0.2">
      <c r="C8103" s="209"/>
      <c r="D8103" s="209"/>
      <c r="E8103" s="209"/>
      <c r="J8103" s="124"/>
    </row>
    <row r="8104" spans="3:10" x14ac:dyDescent="0.2">
      <c r="C8104" s="209"/>
      <c r="D8104" s="209"/>
      <c r="E8104" s="209"/>
      <c r="J8104" s="124"/>
    </row>
    <row r="8105" spans="3:10" x14ac:dyDescent="0.2">
      <c r="C8105" s="209"/>
      <c r="D8105" s="209"/>
      <c r="E8105" s="209"/>
      <c r="J8105" s="124"/>
    </row>
    <row r="8106" spans="3:10" x14ac:dyDescent="0.2">
      <c r="C8106" s="209"/>
      <c r="D8106" s="209"/>
      <c r="E8106" s="209"/>
      <c r="J8106" s="124"/>
    </row>
    <row r="8107" spans="3:10" x14ac:dyDescent="0.2">
      <c r="C8107" s="209"/>
      <c r="D8107" s="209"/>
      <c r="E8107" s="209"/>
      <c r="J8107" s="124"/>
    </row>
    <row r="8108" spans="3:10" x14ac:dyDescent="0.2">
      <c r="C8108" s="209"/>
      <c r="D8108" s="209"/>
      <c r="E8108" s="209"/>
      <c r="J8108" s="124"/>
    </row>
    <row r="8109" spans="3:10" x14ac:dyDescent="0.2">
      <c r="C8109" s="209"/>
      <c r="D8109" s="209"/>
      <c r="E8109" s="209"/>
      <c r="J8109" s="124"/>
    </row>
    <row r="8110" spans="3:10" x14ac:dyDescent="0.2">
      <c r="C8110" s="209"/>
      <c r="D8110" s="209"/>
      <c r="E8110" s="209"/>
      <c r="J8110" s="124"/>
    </row>
    <row r="8111" spans="3:10" x14ac:dyDescent="0.2">
      <c r="C8111" s="209"/>
      <c r="D8111" s="209"/>
      <c r="E8111" s="209"/>
      <c r="J8111" s="124"/>
    </row>
    <row r="8112" spans="3:10" x14ac:dyDescent="0.2">
      <c r="C8112" s="209"/>
      <c r="D8112" s="209"/>
      <c r="E8112" s="209"/>
      <c r="J8112" s="124"/>
    </row>
    <row r="8113" spans="3:10" x14ac:dyDescent="0.2">
      <c r="C8113" s="209"/>
      <c r="D8113" s="209"/>
      <c r="E8113" s="209"/>
      <c r="J8113" s="124"/>
    </row>
    <row r="8114" spans="3:10" x14ac:dyDescent="0.2">
      <c r="C8114" s="209"/>
      <c r="D8114" s="209"/>
      <c r="E8114" s="209"/>
      <c r="J8114" s="124"/>
    </row>
    <row r="8115" spans="3:10" x14ac:dyDescent="0.2">
      <c r="C8115" s="209"/>
      <c r="D8115" s="209"/>
      <c r="E8115" s="209"/>
      <c r="J8115" s="124"/>
    </row>
    <row r="8116" spans="3:10" x14ac:dyDescent="0.2">
      <c r="C8116" s="209"/>
      <c r="D8116" s="209"/>
      <c r="E8116" s="209"/>
      <c r="J8116" s="124"/>
    </row>
    <row r="8117" spans="3:10" x14ac:dyDescent="0.2">
      <c r="C8117" s="209"/>
      <c r="D8117" s="209"/>
      <c r="E8117" s="209"/>
      <c r="J8117" s="124"/>
    </row>
    <row r="8118" spans="3:10" x14ac:dyDescent="0.2">
      <c r="C8118" s="209"/>
      <c r="D8118" s="209"/>
      <c r="E8118" s="209"/>
      <c r="J8118" s="124"/>
    </row>
    <row r="8119" spans="3:10" x14ac:dyDescent="0.2">
      <c r="C8119" s="209"/>
      <c r="D8119" s="209"/>
      <c r="E8119" s="209"/>
      <c r="J8119" s="124"/>
    </row>
    <row r="8120" spans="3:10" x14ac:dyDescent="0.2">
      <c r="C8120" s="209"/>
      <c r="D8120" s="209"/>
      <c r="E8120" s="209"/>
      <c r="J8120" s="124"/>
    </row>
    <row r="8121" spans="3:10" x14ac:dyDescent="0.2">
      <c r="C8121" s="209"/>
      <c r="D8121" s="209"/>
      <c r="E8121" s="209"/>
      <c r="J8121" s="124"/>
    </row>
    <row r="8122" spans="3:10" x14ac:dyDescent="0.2">
      <c r="C8122" s="209"/>
      <c r="D8122" s="209"/>
      <c r="E8122" s="209"/>
      <c r="J8122" s="124"/>
    </row>
    <row r="8123" spans="3:10" x14ac:dyDescent="0.2">
      <c r="C8123" s="209"/>
      <c r="D8123" s="209"/>
      <c r="E8123" s="209"/>
      <c r="J8123" s="124"/>
    </row>
    <row r="8124" spans="3:10" x14ac:dyDescent="0.2">
      <c r="C8124" s="209"/>
      <c r="D8124" s="209"/>
      <c r="E8124" s="209"/>
      <c r="J8124" s="124"/>
    </row>
    <row r="8125" spans="3:10" x14ac:dyDescent="0.2">
      <c r="C8125" s="209"/>
      <c r="D8125" s="209"/>
      <c r="E8125" s="209"/>
      <c r="J8125" s="124"/>
    </row>
    <row r="8126" spans="3:10" x14ac:dyDescent="0.2">
      <c r="C8126" s="209"/>
      <c r="D8126" s="209"/>
      <c r="E8126" s="209"/>
      <c r="J8126" s="124"/>
    </row>
    <row r="8127" spans="3:10" x14ac:dyDescent="0.2">
      <c r="C8127" s="209"/>
      <c r="D8127" s="209"/>
      <c r="E8127" s="209"/>
      <c r="J8127" s="124"/>
    </row>
    <row r="8128" spans="3:10" x14ac:dyDescent="0.2">
      <c r="C8128" s="209"/>
      <c r="D8128" s="209"/>
      <c r="E8128" s="209"/>
      <c r="J8128" s="124"/>
    </row>
    <row r="8129" spans="3:10" x14ac:dyDescent="0.2">
      <c r="C8129" s="209"/>
      <c r="D8129" s="209"/>
      <c r="E8129" s="209"/>
      <c r="J8129" s="124"/>
    </row>
    <row r="8130" spans="3:10" x14ac:dyDescent="0.2">
      <c r="C8130" s="209"/>
      <c r="D8130" s="209"/>
      <c r="E8130" s="209"/>
      <c r="J8130" s="124"/>
    </row>
    <row r="8131" spans="3:10" x14ac:dyDescent="0.2">
      <c r="C8131" s="209"/>
      <c r="D8131" s="209"/>
      <c r="E8131" s="209"/>
      <c r="J8131" s="124"/>
    </row>
    <row r="8132" spans="3:10" x14ac:dyDescent="0.2">
      <c r="C8132" s="209"/>
      <c r="D8132" s="209"/>
      <c r="E8132" s="209"/>
      <c r="J8132" s="124"/>
    </row>
    <row r="8133" spans="3:10" x14ac:dyDescent="0.2">
      <c r="C8133" s="209"/>
      <c r="D8133" s="209"/>
      <c r="E8133" s="209"/>
      <c r="J8133" s="124"/>
    </row>
    <row r="8134" spans="3:10" x14ac:dyDescent="0.2">
      <c r="C8134" s="209"/>
      <c r="D8134" s="209"/>
      <c r="E8134" s="209"/>
      <c r="J8134" s="124"/>
    </row>
    <row r="8135" spans="3:10" x14ac:dyDescent="0.2">
      <c r="C8135" s="209"/>
      <c r="D8135" s="209"/>
      <c r="E8135" s="209"/>
      <c r="J8135" s="124"/>
    </row>
    <row r="8136" spans="3:10" x14ac:dyDescent="0.2">
      <c r="C8136" s="209"/>
      <c r="D8136" s="209"/>
      <c r="E8136" s="209"/>
      <c r="J8136" s="124"/>
    </row>
    <row r="8137" spans="3:10" x14ac:dyDescent="0.2">
      <c r="C8137" s="209"/>
      <c r="D8137" s="209"/>
      <c r="E8137" s="209"/>
      <c r="J8137" s="124"/>
    </row>
    <row r="8138" spans="3:10" x14ac:dyDescent="0.2">
      <c r="C8138" s="209"/>
      <c r="D8138" s="209"/>
      <c r="E8138" s="209"/>
      <c r="J8138" s="124"/>
    </row>
    <row r="8139" spans="3:10" x14ac:dyDescent="0.2">
      <c r="C8139" s="209"/>
      <c r="D8139" s="209"/>
      <c r="E8139" s="209"/>
      <c r="J8139" s="124"/>
    </row>
    <row r="8140" spans="3:10" x14ac:dyDescent="0.2">
      <c r="C8140" s="209"/>
      <c r="D8140" s="209"/>
      <c r="E8140" s="209"/>
      <c r="J8140" s="124"/>
    </row>
    <row r="8141" spans="3:10" x14ac:dyDescent="0.2">
      <c r="C8141" s="209"/>
      <c r="D8141" s="209"/>
      <c r="E8141" s="209"/>
      <c r="J8141" s="124"/>
    </row>
    <row r="8142" spans="3:10" x14ac:dyDescent="0.2">
      <c r="C8142" s="209"/>
      <c r="D8142" s="209"/>
      <c r="E8142" s="209"/>
      <c r="J8142" s="124"/>
    </row>
    <row r="8143" spans="3:10" x14ac:dyDescent="0.2">
      <c r="C8143" s="209"/>
      <c r="D8143" s="209"/>
      <c r="E8143" s="209"/>
      <c r="J8143" s="124"/>
    </row>
    <row r="8144" spans="3:10" x14ac:dyDescent="0.2">
      <c r="C8144" s="209"/>
      <c r="D8144" s="209"/>
      <c r="E8144" s="209"/>
      <c r="J8144" s="124"/>
    </row>
    <row r="8145" spans="3:10" x14ac:dyDescent="0.2">
      <c r="C8145" s="209"/>
      <c r="D8145" s="209"/>
      <c r="E8145" s="209"/>
      <c r="J8145" s="124"/>
    </row>
    <row r="8146" spans="3:10" x14ac:dyDescent="0.2">
      <c r="C8146" s="209"/>
      <c r="D8146" s="209"/>
      <c r="E8146" s="209"/>
      <c r="J8146" s="124"/>
    </row>
    <row r="8147" spans="3:10" x14ac:dyDescent="0.2">
      <c r="C8147" s="209"/>
      <c r="D8147" s="209"/>
      <c r="E8147" s="209"/>
      <c r="J8147" s="124"/>
    </row>
    <row r="8148" spans="3:10" x14ac:dyDescent="0.2">
      <c r="C8148" s="209"/>
      <c r="D8148" s="209"/>
      <c r="E8148" s="209"/>
      <c r="J8148" s="124"/>
    </row>
    <row r="8149" spans="3:10" x14ac:dyDescent="0.2">
      <c r="C8149" s="209"/>
      <c r="D8149" s="209"/>
      <c r="E8149" s="209"/>
      <c r="J8149" s="124"/>
    </row>
    <row r="8150" spans="3:10" x14ac:dyDescent="0.2">
      <c r="C8150" s="209"/>
      <c r="D8150" s="209"/>
      <c r="E8150" s="209"/>
      <c r="J8150" s="124"/>
    </row>
    <row r="8151" spans="3:10" x14ac:dyDescent="0.2">
      <c r="C8151" s="209"/>
      <c r="D8151" s="209"/>
      <c r="E8151" s="209"/>
      <c r="J8151" s="124"/>
    </row>
    <row r="8152" spans="3:10" x14ac:dyDescent="0.2">
      <c r="C8152" s="209"/>
      <c r="D8152" s="209"/>
      <c r="E8152" s="209"/>
      <c r="J8152" s="124"/>
    </row>
    <row r="8153" spans="3:10" x14ac:dyDescent="0.2">
      <c r="C8153" s="209"/>
      <c r="D8153" s="209"/>
      <c r="E8153" s="209"/>
      <c r="J8153" s="124"/>
    </row>
    <row r="8154" spans="3:10" x14ac:dyDescent="0.2">
      <c r="C8154" s="209"/>
      <c r="D8154" s="209"/>
      <c r="E8154" s="209"/>
      <c r="J8154" s="124"/>
    </row>
    <row r="8155" spans="3:10" x14ac:dyDescent="0.2">
      <c r="C8155" s="209"/>
      <c r="D8155" s="209"/>
      <c r="E8155" s="209"/>
      <c r="J8155" s="124"/>
    </row>
    <row r="8156" spans="3:10" x14ac:dyDescent="0.2">
      <c r="C8156" s="209"/>
      <c r="D8156" s="209"/>
      <c r="E8156" s="209"/>
      <c r="J8156" s="124"/>
    </row>
    <row r="8157" spans="3:10" x14ac:dyDescent="0.2">
      <c r="C8157" s="209"/>
      <c r="D8157" s="209"/>
      <c r="E8157" s="209"/>
      <c r="J8157" s="124"/>
    </row>
    <row r="8158" spans="3:10" x14ac:dyDescent="0.2">
      <c r="C8158" s="209"/>
      <c r="D8158" s="209"/>
      <c r="E8158" s="209"/>
      <c r="J8158" s="124"/>
    </row>
    <row r="8159" spans="3:10" x14ac:dyDescent="0.2">
      <c r="C8159" s="209"/>
      <c r="D8159" s="209"/>
      <c r="E8159" s="209"/>
      <c r="J8159" s="124"/>
    </row>
    <row r="8160" spans="3:10" x14ac:dyDescent="0.2">
      <c r="C8160" s="209"/>
      <c r="D8160" s="209"/>
      <c r="E8160" s="209"/>
      <c r="J8160" s="124"/>
    </row>
    <row r="8161" spans="3:10" x14ac:dyDescent="0.2">
      <c r="C8161" s="209"/>
      <c r="D8161" s="209"/>
      <c r="E8161" s="209"/>
      <c r="J8161" s="124"/>
    </row>
    <row r="8162" spans="3:10" x14ac:dyDescent="0.2">
      <c r="C8162" s="209"/>
      <c r="D8162" s="209"/>
      <c r="E8162" s="209"/>
      <c r="J8162" s="124"/>
    </row>
    <row r="8163" spans="3:10" x14ac:dyDescent="0.2">
      <c r="C8163" s="209"/>
      <c r="D8163" s="209"/>
      <c r="E8163" s="209"/>
      <c r="J8163" s="124"/>
    </row>
    <row r="8164" spans="3:10" x14ac:dyDescent="0.2">
      <c r="C8164" s="209"/>
      <c r="D8164" s="209"/>
      <c r="E8164" s="209"/>
      <c r="J8164" s="124"/>
    </row>
    <row r="8165" spans="3:10" x14ac:dyDescent="0.2">
      <c r="C8165" s="209"/>
      <c r="D8165" s="209"/>
      <c r="E8165" s="209"/>
      <c r="J8165" s="124"/>
    </row>
    <row r="8166" spans="3:10" x14ac:dyDescent="0.2">
      <c r="C8166" s="209"/>
      <c r="D8166" s="209"/>
      <c r="E8166" s="209"/>
      <c r="J8166" s="124"/>
    </row>
    <row r="8167" spans="3:10" x14ac:dyDescent="0.2">
      <c r="C8167" s="209"/>
      <c r="D8167" s="209"/>
      <c r="E8167" s="209"/>
      <c r="J8167" s="124"/>
    </row>
    <row r="8168" spans="3:10" x14ac:dyDescent="0.2">
      <c r="C8168" s="209"/>
      <c r="D8168" s="209"/>
      <c r="E8168" s="209"/>
      <c r="J8168" s="124"/>
    </row>
    <row r="8169" spans="3:10" x14ac:dyDescent="0.2">
      <c r="C8169" s="209"/>
      <c r="D8169" s="209"/>
      <c r="E8169" s="209"/>
      <c r="J8169" s="124"/>
    </row>
    <row r="8170" spans="3:10" x14ac:dyDescent="0.2">
      <c r="C8170" s="209"/>
      <c r="D8170" s="209"/>
      <c r="E8170" s="209"/>
      <c r="J8170" s="124"/>
    </row>
    <row r="8171" spans="3:10" x14ac:dyDescent="0.2">
      <c r="C8171" s="209"/>
      <c r="D8171" s="209"/>
      <c r="E8171" s="209"/>
      <c r="J8171" s="124"/>
    </row>
    <row r="8172" spans="3:10" x14ac:dyDescent="0.2">
      <c r="C8172" s="209"/>
      <c r="D8172" s="209"/>
      <c r="E8172" s="209"/>
      <c r="J8172" s="124"/>
    </row>
    <row r="8173" spans="3:10" x14ac:dyDescent="0.2">
      <c r="C8173" s="209"/>
      <c r="D8173" s="209"/>
      <c r="E8173" s="209"/>
      <c r="J8173" s="124"/>
    </row>
    <row r="8174" spans="3:10" x14ac:dyDescent="0.2">
      <c r="C8174" s="209"/>
      <c r="D8174" s="209"/>
      <c r="E8174" s="209"/>
      <c r="J8174" s="124"/>
    </row>
    <row r="8175" spans="3:10" x14ac:dyDescent="0.2">
      <c r="C8175" s="209"/>
      <c r="D8175" s="209"/>
      <c r="E8175" s="209"/>
      <c r="J8175" s="124"/>
    </row>
    <row r="8176" spans="3:10" x14ac:dyDescent="0.2">
      <c r="C8176" s="209"/>
      <c r="D8176" s="209"/>
      <c r="E8176" s="209"/>
      <c r="J8176" s="124"/>
    </row>
    <row r="8177" spans="3:10" x14ac:dyDescent="0.2">
      <c r="C8177" s="209"/>
      <c r="D8177" s="209"/>
      <c r="E8177" s="209"/>
      <c r="J8177" s="124"/>
    </row>
    <row r="8178" spans="3:10" x14ac:dyDescent="0.2">
      <c r="C8178" s="209"/>
      <c r="D8178" s="209"/>
      <c r="E8178" s="209"/>
      <c r="J8178" s="124"/>
    </row>
    <row r="8179" spans="3:10" x14ac:dyDescent="0.2">
      <c r="C8179" s="209"/>
      <c r="D8179" s="209"/>
      <c r="E8179" s="209"/>
      <c r="J8179" s="124"/>
    </row>
    <row r="8180" spans="3:10" x14ac:dyDescent="0.2">
      <c r="C8180" s="209"/>
      <c r="D8180" s="209"/>
      <c r="E8180" s="209"/>
      <c r="J8180" s="124"/>
    </row>
    <row r="8181" spans="3:10" x14ac:dyDescent="0.2">
      <c r="C8181" s="209"/>
      <c r="D8181" s="209"/>
      <c r="E8181" s="209"/>
      <c r="J8181" s="124"/>
    </row>
    <row r="8182" spans="3:10" x14ac:dyDescent="0.2">
      <c r="C8182" s="209"/>
      <c r="D8182" s="209"/>
      <c r="E8182" s="209"/>
      <c r="J8182" s="124"/>
    </row>
    <row r="8183" spans="3:10" x14ac:dyDescent="0.2">
      <c r="C8183" s="209"/>
      <c r="D8183" s="209"/>
      <c r="E8183" s="209"/>
      <c r="J8183" s="124"/>
    </row>
    <row r="8184" spans="3:10" x14ac:dyDescent="0.2">
      <c r="C8184" s="209"/>
      <c r="D8184" s="209"/>
      <c r="E8184" s="209"/>
      <c r="J8184" s="124"/>
    </row>
    <row r="8185" spans="3:10" x14ac:dyDescent="0.2">
      <c r="C8185" s="209"/>
      <c r="D8185" s="209"/>
      <c r="E8185" s="209"/>
      <c r="J8185" s="124"/>
    </row>
    <row r="8186" spans="3:10" x14ac:dyDescent="0.2">
      <c r="C8186" s="209"/>
      <c r="D8186" s="209"/>
      <c r="E8186" s="209"/>
      <c r="J8186" s="124"/>
    </row>
    <row r="8187" spans="3:10" x14ac:dyDescent="0.2">
      <c r="C8187" s="209"/>
      <c r="D8187" s="209"/>
      <c r="E8187" s="209"/>
      <c r="J8187" s="124"/>
    </row>
    <row r="8188" spans="3:10" x14ac:dyDescent="0.2">
      <c r="C8188" s="209"/>
      <c r="D8188" s="209"/>
      <c r="E8188" s="209"/>
      <c r="J8188" s="124"/>
    </row>
    <row r="8189" spans="3:10" x14ac:dyDescent="0.2">
      <c r="C8189" s="209"/>
      <c r="D8189" s="209"/>
      <c r="E8189" s="209"/>
      <c r="J8189" s="124"/>
    </row>
    <row r="8190" spans="3:10" x14ac:dyDescent="0.2">
      <c r="C8190" s="209"/>
      <c r="D8190" s="209"/>
      <c r="E8190" s="209"/>
      <c r="J8190" s="124"/>
    </row>
    <row r="8191" spans="3:10" x14ac:dyDescent="0.2">
      <c r="C8191" s="209"/>
      <c r="D8191" s="209"/>
      <c r="E8191" s="209"/>
      <c r="J8191" s="124"/>
    </row>
    <row r="8192" spans="3:10" x14ac:dyDescent="0.2">
      <c r="C8192" s="209"/>
      <c r="D8192" s="209"/>
      <c r="E8192" s="209"/>
      <c r="J8192" s="124"/>
    </row>
    <row r="8193" spans="3:10" x14ac:dyDescent="0.2">
      <c r="C8193" s="209"/>
      <c r="D8193" s="209"/>
      <c r="E8193" s="209"/>
      <c r="J8193" s="124"/>
    </row>
    <row r="8194" spans="3:10" x14ac:dyDescent="0.2">
      <c r="C8194" s="209"/>
      <c r="D8194" s="209"/>
      <c r="E8194" s="209"/>
      <c r="J8194" s="124"/>
    </row>
    <row r="8195" spans="3:10" x14ac:dyDescent="0.2">
      <c r="C8195" s="209"/>
      <c r="D8195" s="209"/>
      <c r="E8195" s="209"/>
      <c r="J8195" s="124"/>
    </row>
    <row r="8196" spans="3:10" x14ac:dyDescent="0.2">
      <c r="C8196" s="209"/>
      <c r="D8196" s="209"/>
      <c r="E8196" s="209"/>
      <c r="J8196" s="124"/>
    </row>
    <row r="8197" spans="3:10" x14ac:dyDescent="0.2">
      <c r="C8197" s="209"/>
      <c r="D8197" s="209"/>
      <c r="E8197" s="209"/>
      <c r="J8197" s="124"/>
    </row>
    <row r="8198" spans="3:10" x14ac:dyDescent="0.2">
      <c r="C8198" s="209"/>
      <c r="D8198" s="209"/>
      <c r="E8198" s="209"/>
      <c r="J8198" s="124"/>
    </row>
    <row r="8199" spans="3:10" x14ac:dyDescent="0.2">
      <c r="C8199" s="209"/>
      <c r="D8199" s="209"/>
      <c r="E8199" s="209"/>
      <c r="J8199" s="124"/>
    </row>
    <row r="8200" spans="3:10" x14ac:dyDescent="0.2">
      <c r="C8200" s="209"/>
      <c r="D8200" s="209"/>
      <c r="E8200" s="209"/>
      <c r="J8200" s="124"/>
    </row>
    <row r="8201" spans="3:10" x14ac:dyDescent="0.2">
      <c r="C8201" s="209"/>
      <c r="D8201" s="209"/>
      <c r="E8201" s="209"/>
      <c r="J8201" s="124"/>
    </row>
    <row r="8202" spans="3:10" x14ac:dyDescent="0.2">
      <c r="C8202" s="209"/>
      <c r="D8202" s="209"/>
      <c r="E8202" s="209"/>
      <c r="J8202" s="124"/>
    </row>
    <row r="8203" spans="3:10" x14ac:dyDescent="0.2">
      <c r="C8203" s="209"/>
      <c r="D8203" s="209"/>
      <c r="E8203" s="209"/>
      <c r="J8203" s="124"/>
    </row>
    <row r="8204" spans="3:10" x14ac:dyDescent="0.2">
      <c r="C8204" s="209"/>
      <c r="D8204" s="209"/>
      <c r="E8204" s="209"/>
      <c r="J8204" s="124"/>
    </row>
    <row r="8205" spans="3:10" x14ac:dyDescent="0.2">
      <c r="C8205" s="209"/>
      <c r="D8205" s="209"/>
      <c r="E8205" s="209"/>
      <c r="J8205" s="124"/>
    </row>
    <row r="8206" spans="3:10" x14ac:dyDescent="0.2">
      <c r="C8206" s="209"/>
      <c r="D8206" s="209"/>
      <c r="E8206" s="209"/>
      <c r="J8206" s="124"/>
    </row>
    <row r="8207" spans="3:10" x14ac:dyDescent="0.2">
      <c r="C8207" s="209"/>
      <c r="D8207" s="209"/>
      <c r="E8207" s="209"/>
      <c r="J8207" s="124"/>
    </row>
    <row r="8208" spans="3:10" x14ac:dyDescent="0.2">
      <c r="C8208" s="209"/>
      <c r="D8208" s="209"/>
      <c r="E8208" s="209"/>
      <c r="J8208" s="124"/>
    </row>
    <row r="8209" spans="3:10" x14ac:dyDescent="0.2">
      <c r="C8209" s="209"/>
      <c r="D8209" s="209"/>
      <c r="E8209" s="209"/>
      <c r="J8209" s="124"/>
    </row>
    <row r="8210" spans="3:10" x14ac:dyDescent="0.2">
      <c r="C8210" s="209"/>
      <c r="D8210" s="209"/>
      <c r="E8210" s="209"/>
      <c r="J8210" s="124"/>
    </row>
    <row r="8211" spans="3:10" x14ac:dyDescent="0.2">
      <c r="C8211" s="209"/>
      <c r="D8211" s="209"/>
      <c r="E8211" s="209"/>
      <c r="J8211" s="124"/>
    </row>
    <row r="8212" spans="3:10" x14ac:dyDescent="0.2">
      <c r="C8212" s="209"/>
      <c r="D8212" s="209"/>
      <c r="E8212" s="209"/>
      <c r="J8212" s="124"/>
    </row>
    <row r="8213" spans="3:10" x14ac:dyDescent="0.2">
      <c r="C8213" s="209"/>
      <c r="D8213" s="209"/>
      <c r="E8213" s="209"/>
      <c r="J8213" s="124"/>
    </row>
    <row r="8214" spans="3:10" x14ac:dyDescent="0.2">
      <c r="C8214" s="209"/>
      <c r="D8214" s="209"/>
      <c r="E8214" s="209"/>
      <c r="J8214" s="124"/>
    </row>
    <row r="8215" spans="3:10" x14ac:dyDescent="0.2">
      <c r="C8215" s="209"/>
      <c r="D8215" s="209"/>
      <c r="E8215" s="209"/>
      <c r="J8215" s="124"/>
    </row>
    <row r="8216" spans="3:10" x14ac:dyDescent="0.2">
      <c r="C8216" s="209"/>
      <c r="D8216" s="209"/>
      <c r="E8216" s="209"/>
      <c r="J8216" s="124"/>
    </row>
    <row r="8217" spans="3:10" x14ac:dyDescent="0.2">
      <c r="C8217" s="209"/>
      <c r="D8217" s="209"/>
      <c r="E8217" s="209"/>
      <c r="J8217" s="124"/>
    </row>
    <row r="8218" spans="3:10" x14ac:dyDescent="0.2">
      <c r="C8218" s="209"/>
      <c r="D8218" s="209"/>
      <c r="E8218" s="209"/>
      <c r="J8218" s="124"/>
    </row>
    <row r="8219" spans="3:10" x14ac:dyDescent="0.2">
      <c r="C8219" s="209"/>
      <c r="D8219" s="209"/>
      <c r="E8219" s="209"/>
      <c r="J8219" s="124"/>
    </row>
    <row r="8220" spans="3:10" x14ac:dyDescent="0.2">
      <c r="C8220" s="209"/>
      <c r="D8220" s="209"/>
      <c r="E8220" s="209"/>
      <c r="J8220" s="124"/>
    </row>
    <row r="8221" spans="3:10" x14ac:dyDescent="0.2">
      <c r="C8221" s="209"/>
      <c r="D8221" s="209"/>
      <c r="E8221" s="209"/>
      <c r="J8221" s="124"/>
    </row>
    <row r="8222" spans="3:10" x14ac:dyDescent="0.2">
      <c r="C8222" s="209"/>
      <c r="D8222" s="209"/>
      <c r="E8222" s="209"/>
      <c r="J8222" s="124"/>
    </row>
    <row r="8223" spans="3:10" x14ac:dyDescent="0.2">
      <c r="C8223" s="209"/>
      <c r="D8223" s="209"/>
      <c r="E8223" s="209"/>
      <c r="J8223" s="124"/>
    </row>
    <row r="8224" spans="3:10" x14ac:dyDescent="0.2">
      <c r="C8224" s="209"/>
      <c r="D8224" s="209"/>
      <c r="E8224" s="209"/>
      <c r="J8224" s="124"/>
    </row>
    <row r="8225" spans="3:10" x14ac:dyDescent="0.2">
      <c r="C8225" s="209"/>
      <c r="D8225" s="209"/>
      <c r="E8225" s="209"/>
      <c r="J8225" s="124"/>
    </row>
    <row r="8226" spans="3:10" x14ac:dyDescent="0.2">
      <c r="C8226" s="209"/>
      <c r="D8226" s="209"/>
      <c r="E8226" s="209"/>
      <c r="J8226" s="124"/>
    </row>
    <row r="8227" spans="3:10" x14ac:dyDescent="0.2">
      <c r="C8227" s="209"/>
      <c r="D8227" s="209"/>
      <c r="E8227" s="209"/>
      <c r="J8227" s="124"/>
    </row>
    <row r="8228" spans="3:10" x14ac:dyDescent="0.2">
      <c r="C8228" s="209"/>
      <c r="D8228" s="209"/>
      <c r="E8228" s="209"/>
      <c r="J8228" s="124"/>
    </row>
    <row r="8229" spans="3:10" x14ac:dyDescent="0.2">
      <c r="C8229" s="209"/>
      <c r="D8229" s="209"/>
      <c r="E8229" s="209"/>
      <c r="J8229" s="124"/>
    </row>
    <row r="8230" spans="3:10" x14ac:dyDescent="0.2">
      <c r="C8230" s="209"/>
      <c r="D8230" s="209"/>
      <c r="E8230" s="209"/>
      <c r="J8230" s="124"/>
    </row>
    <row r="8231" spans="3:10" x14ac:dyDescent="0.2">
      <c r="C8231" s="209"/>
      <c r="D8231" s="209"/>
      <c r="E8231" s="209"/>
      <c r="J8231" s="124"/>
    </row>
    <row r="8232" spans="3:10" x14ac:dyDescent="0.2">
      <c r="C8232" s="209"/>
      <c r="D8232" s="209"/>
      <c r="E8232" s="209"/>
      <c r="J8232" s="124"/>
    </row>
    <row r="8233" spans="3:10" x14ac:dyDescent="0.2">
      <c r="C8233" s="209"/>
      <c r="D8233" s="209"/>
      <c r="E8233" s="209"/>
      <c r="J8233" s="124"/>
    </row>
    <row r="8234" spans="3:10" x14ac:dyDescent="0.2">
      <c r="C8234" s="209"/>
      <c r="D8234" s="209"/>
      <c r="E8234" s="209"/>
      <c r="J8234" s="124"/>
    </row>
    <row r="8235" spans="3:10" x14ac:dyDescent="0.2">
      <c r="C8235" s="209"/>
      <c r="D8235" s="209"/>
      <c r="E8235" s="209"/>
      <c r="J8235" s="124"/>
    </row>
    <row r="8236" spans="3:10" x14ac:dyDescent="0.2">
      <c r="C8236" s="209"/>
      <c r="D8236" s="209"/>
      <c r="E8236" s="209"/>
      <c r="J8236" s="124"/>
    </row>
    <row r="8237" spans="3:10" x14ac:dyDescent="0.2">
      <c r="C8237" s="209"/>
      <c r="D8237" s="209"/>
      <c r="E8237" s="209"/>
      <c r="J8237" s="124"/>
    </row>
    <row r="8238" spans="3:10" x14ac:dyDescent="0.2">
      <c r="C8238" s="209"/>
      <c r="D8238" s="209"/>
      <c r="E8238" s="209"/>
      <c r="J8238" s="124"/>
    </row>
    <row r="8239" spans="3:10" x14ac:dyDescent="0.2">
      <c r="C8239" s="209"/>
      <c r="D8239" s="209"/>
      <c r="E8239" s="209"/>
      <c r="J8239" s="124"/>
    </row>
    <row r="8240" spans="3:10" x14ac:dyDescent="0.2">
      <c r="C8240" s="209"/>
      <c r="D8240" s="209"/>
      <c r="E8240" s="209"/>
      <c r="J8240" s="124"/>
    </row>
    <row r="8241" spans="3:10" x14ac:dyDescent="0.2">
      <c r="C8241" s="209"/>
      <c r="D8241" s="209"/>
      <c r="E8241" s="209"/>
      <c r="J8241" s="124"/>
    </row>
    <row r="8242" spans="3:10" x14ac:dyDescent="0.2">
      <c r="C8242" s="209"/>
      <c r="D8242" s="209"/>
      <c r="E8242" s="209"/>
      <c r="J8242" s="124"/>
    </row>
    <row r="8243" spans="3:10" x14ac:dyDescent="0.2">
      <c r="C8243" s="209"/>
      <c r="D8243" s="209"/>
      <c r="E8243" s="209"/>
      <c r="J8243" s="124"/>
    </row>
    <row r="8244" spans="3:10" x14ac:dyDescent="0.2">
      <c r="C8244" s="209"/>
      <c r="D8244" s="209"/>
      <c r="E8244" s="209"/>
      <c r="J8244" s="124"/>
    </row>
    <row r="8245" spans="3:10" x14ac:dyDescent="0.2">
      <c r="C8245" s="209"/>
      <c r="D8245" s="209"/>
      <c r="E8245" s="209"/>
      <c r="J8245" s="124"/>
    </row>
    <row r="8246" spans="3:10" x14ac:dyDescent="0.2">
      <c r="C8246" s="209"/>
      <c r="D8246" s="209"/>
      <c r="E8246" s="209"/>
      <c r="J8246" s="124"/>
    </row>
    <row r="8247" spans="3:10" x14ac:dyDescent="0.2">
      <c r="C8247" s="209"/>
      <c r="D8247" s="209"/>
      <c r="E8247" s="209"/>
      <c r="J8247" s="124"/>
    </row>
    <row r="8248" spans="3:10" x14ac:dyDescent="0.2">
      <c r="C8248" s="209"/>
      <c r="D8248" s="209"/>
      <c r="E8248" s="209"/>
      <c r="J8248" s="124"/>
    </row>
    <row r="8249" spans="3:10" x14ac:dyDescent="0.2">
      <c r="C8249" s="209"/>
      <c r="D8249" s="209"/>
      <c r="E8249" s="209"/>
      <c r="J8249" s="124"/>
    </row>
    <row r="8250" spans="3:10" x14ac:dyDescent="0.2">
      <c r="C8250" s="209"/>
      <c r="D8250" s="209"/>
      <c r="E8250" s="209"/>
      <c r="J8250" s="124"/>
    </row>
    <row r="8251" spans="3:10" x14ac:dyDescent="0.2">
      <c r="C8251" s="209"/>
      <c r="D8251" s="209"/>
      <c r="E8251" s="209"/>
      <c r="J8251" s="124"/>
    </row>
    <row r="8252" spans="3:10" x14ac:dyDescent="0.2">
      <c r="C8252" s="209"/>
      <c r="D8252" s="209"/>
      <c r="E8252" s="209"/>
      <c r="J8252" s="124"/>
    </row>
    <row r="8253" spans="3:10" x14ac:dyDescent="0.2">
      <c r="C8253" s="209"/>
      <c r="D8253" s="209"/>
      <c r="E8253" s="209"/>
      <c r="J8253" s="124"/>
    </row>
    <row r="8254" spans="3:10" x14ac:dyDescent="0.2">
      <c r="C8254" s="209"/>
      <c r="D8254" s="209"/>
      <c r="E8254" s="209"/>
      <c r="J8254" s="124"/>
    </row>
    <row r="8255" spans="3:10" x14ac:dyDescent="0.2">
      <c r="C8255" s="209"/>
      <c r="D8255" s="209"/>
      <c r="E8255" s="209"/>
      <c r="J8255" s="124"/>
    </row>
    <row r="8256" spans="3:10" x14ac:dyDescent="0.2">
      <c r="C8256" s="209"/>
      <c r="D8256" s="209"/>
      <c r="E8256" s="209"/>
      <c r="J8256" s="124"/>
    </row>
    <row r="8257" spans="3:10" x14ac:dyDescent="0.2">
      <c r="C8257" s="209"/>
      <c r="D8257" s="209"/>
      <c r="E8257" s="209"/>
      <c r="J8257" s="124"/>
    </row>
    <row r="8258" spans="3:10" x14ac:dyDescent="0.2">
      <c r="C8258" s="209"/>
      <c r="D8258" s="209"/>
      <c r="E8258" s="209"/>
      <c r="J8258" s="124"/>
    </row>
    <row r="8259" spans="3:10" x14ac:dyDescent="0.2">
      <c r="C8259" s="209"/>
      <c r="D8259" s="209"/>
      <c r="E8259" s="209"/>
      <c r="J8259" s="124"/>
    </row>
    <row r="8260" spans="3:10" x14ac:dyDescent="0.2">
      <c r="C8260" s="209"/>
      <c r="D8260" s="209"/>
      <c r="E8260" s="209"/>
      <c r="J8260" s="124"/>
    </row>
    <row r="8261" spans="3:10" x14ac:dyDescent="0.2">
      <c r="C8261" s="209"/>
      <c r="D8261" s="209"/>
      <c r="E8261" s="209"/>
      <c r="J8261" s="124"/>
    </row>
    <row r="8262" spans="3:10" x14ac:dyDescent="0.2">
      <c r="C8262" s="209"/>
      <c r="D8262" s="209"/>
      <c r="E8262" s="209"/>
      <c r="J8262" s="124"/>
    </row>
    <row r="8263" spans="3:10" x14ac:dyDescent="0.2">
      <c r="C8263" s="209"/>
      <c r="D8263" s="209"/>
      <c r="E8263" s="209"/>
      <c r="J8263" s="124"/>
    </row>
    <row r="8264" spans="3:10" x14ac:dyDescent="0.2">
      <c r="C8264" s="209"/>
      <c r="D8264" s="209"/>
      <c r="E8264" s="209"/>
      <c r="J8264" s="124"/>
    </row>
    <row r="8265" spans="3:10" x14ac:dyDescent="0.2">
      <c r="C8265" s="209"/>
      <c r="D8265" s="209"/>
      <c r="E8265" s="209"/>
      <c r="J8265" s="124"/>
    </row>
    <row r="8266" spans="3:10" x14ac:dyDescent="0.2">
      <c r="C8266" s="209"/>
      <c r="D8266" s="209"/>
      <c r="E8266" s="209"/>
      <c r="J8266" s="124"/>
    </row>
    <row r="8267" spans="3:10" x14ac:dyDescent="0.2">
      <c r="C8267" s="209"/>
      <c r="D8267" s="209"/>
      <c r="E8267" s="209"/>
      <c r="J8267" s="124"/>
    </row>
    <row r="8268" spans="3:10" x14ac:dyDescent="0.2">
      <c r="C8268" s="209"/>
      <c r="D8268" s="209"/>
      <c r="E8268" s="209"/>
      <c r="J8268" s="124"/>
    </row>
    <row r="8269" spans="3:10" x14ac:dyDescent="0.2">
      <c r="C8269" s="209"/>
      <c r="D8269" s="209"/>
      <c r="E8269" s="209"/>
      <c r="J8269" s="124"/>
    </row>
    <row r="8270" spans="3:10" x14ac:dyDescent="0.2">
      <c r="C8270" s="209"/>
      <c r="D8270" s="209"/>
      <c r="E8270" s="209"/>
      <c r="J8270" s="124"/>
    </row>
    <row r="8271" spans="3:10" x14ac:dyDescent="0.2">
      <c r="C8271" s="209"/>
      <c r="D8271" s="209"/>
      <c r="E8271" s="209"/>
      <c r="J8271" s="124"/>
    </row>
    <row r="8272" spans="3:10" x14ac:dyDescent="0.2">
      <c r="C8272" s="209"/>
      <c r="D8272" s="209"/>
      <c r="E8272" s="209"/>
      <c r="J8272" s="124"/>
    </row>
    <row r="8273" spans="3:10" x14ac:dyDescent="0.2">
      <c r="C8273" s="209"/>
      <c r="D8273" s="209"/>
      <c r="E8273" s="209"/>
      <c r="J8273" s="124"/>
    </row>
    <row r="8274" spans="3:10" x14ac:dyDescent="0.2">
      <c r="C8274" s="209"/>
      <c r="D8274" s="209"/>
      <c r="E8274" s="209"/>
      <c r="J8274" s="124"/>
    </row>
    <row r="8275" spans="3:10" x14ac:dyDescent="0.2">
      <c r="C8275" s="209"/>
      <c r="D8275" s="209"/>
      <c r="E8275" s="209"/>
      <c r="J8275" s="124"/>
    </row>
    <row r="8276" spans="3:10" x14ac:dyDescent="0.2">
      <c r="C8276" s="209"/>
      <c r="D8276" s="209"/>
      <c r="E8276" s="209"/>
      <c r="J8276" s="124"/>
    </row>
    <row r="8277" spans="3:10" x14ac:dyDescent="0.2">
      <c r="C8277" s="209"/>
      <c r="D8277" s="209"/>
      <c r="E8277" s="209"/>
      <c r="J8277" s="124"/>
    </row>
    <row r="8278" spans="3:10" x14ac:dyDescent="0.2">
      <c r="C8278" s="209"/>
      <c r="D8278" s="209"/>
      <c r="E8278" s="209"/>
      <c r="J8278" s="124"/>
    </row>
    <row r="8279" spans="3:10" x14ac:dyDescent="0.2">
      <c r="C8279" s="209"/>
      <c r="D8279" s="209"/>
      <c r="E8279" s="209"/>
      <c r="J8279" s="124"/>
    </row>
    <row r="8280" spans="3:10" x14ac:dyDescent="0.2">
      <c r="C8280" s="209"/>
      <c r="D8280" s="209"/>
      <c r="E8280" s="209"/>
      <c r="J8280" s="124"/>
    </row>
    <row r="8281" spans="3:10" x14ac:dyDescent="0.2">
      <c r="C8281" s="209"/>
      <c r="D8281" s="209"/>
      <c r="E8281" s="209"/>
      <c r="J8281" s="124"/>
    </row>
    <row r="8282" spans="3:10" x14ac:dyDescent="0.2">
      <c r="C8282" s="209"/>
      <c r="D8282" s="209"/>
      <c r="E8282" s="209"/>
      <c r="J8282" s="124"/>
    </row>
    <row r="8283" spans="3:10" x14ac:dyDescent="0.2">
      <c r="C8283" s="209"/>
      <c r="D8283" s="209"/>
      <c r="E8283" s="209"/>
      <c r="J8283" s="124"/>
    </row>
    <row r="8284" spans="3:10" x14ac:dyDescent="0.2">
      <c r="C8284" s="209"/>
      <c r="D8284" s="209"/>
      <c r="E8284" s="209"/>
      <c r="J8284" s="124"/>
    </row>
    <row r="8285" spans="3:10" x14ac:dyDescent="0.2">
      <c r="C8285" s="209"/>
      <c r="D8285" s="209"/>
      <c r="E8285" s="209"/>
      <c r="J8285" s="124"/>
    </row>
    <row r="8286" spans="3:10" x14ac:dyDescent="0.2">
      <c r="C8286" s="209"/>
      <c r="D8286" s="209"/>
      <c r="E8286" s="209"/>
      <c r="J8286" s="124"/>
    </row>
    <row r="8287" spans="3:10" x14ac:dyDescent="0.2">
      <c r="C8287" s="209"/>
      <c r="D8287" s="209"/>
      <c r="E8287" s="209"/>
      <c r="J8287" s="124"/>
    </row>
    <row r="8288" spans="3:10" x14ac:dyDescent="0.2">
      <c r="C8288" s="209"/>
      <c r="D8288" s="209"/>
      <c r="E8288" s="209"/>
      <c r="J8288" s="124"/>
    </row>
    <row r="8289" spans="3:10" x14ac:dyDescent="0.2">
      <c r="C8289" s="209"/>
      <c r="D8289" s="209"/>
      <c r="E8289" s="209"/>
      <c r="J8289" s="124"/>
    </row>
    <row r="8290" spans="3:10" x14ac:dyDescent="0.2">
      <c r="C8290" s="209"/>
      <c r="D8290" s="209"/>
      <c r="E8290" s="209"/>
      <c r="J8290" s="124"/>
    </row>
    <row r="8291" spans="3:10" x14ac:dyDescent="0.2">
      <c r="C8291" s="209"/>
      <c r="D8291" s="209"/>
      <c r="E8291" s="209"/>
      <c r="J8291" s="124"/>
    </row>
    <row r="8292" spans="3:10" x14ac:dyDescent="0.2">
      <c r="C8292" s="209"/>
      <c r="D8292" s="209"/>
      <c r="E8292" s="209"/>
      <c r="J8292" s="124"/>
    </row>
    <row r="8293" spans="3:10" x14ac:dyDescent="0.2">
      <c r="C8293" s="209"/>
      <c r="D8293" s="209"/>
      <c r="E8293" s="209"/>
      <c r="J8293" s="124"/>
    </row>
    <row r="8294" spans="3:10" x14ac:dyDescent="0.2">
      <c r="C8294" s="209"/>
      <c r="D8294" s="209"/>
      <c r="E8294" s="209"/>
      <c r="J8294" s="124"/>
    </row>
    <row r="8295" spans="3:10" x14ac:dyDescent="0.2">
      <c r="C8295" s="209"/>
      <c r="D8295" s="209"/>
      <c r="E8295" s="209"/>
      <c r="J8295" s="124"/>
    </row>
    <row r="8296" spans="3:10" x14ac:dyDescent="0.2">
      <c r="C8296" s="209"/>
      <c r="D8296" s="209"/>
      <c r="E8296" s="209"/>
      <c r="J8296" s="124"/>
    </row>
    <row r="8297" spans="3:10" x14ac:dyDescent="0.2">
      <c r="C8297" s="209"/>
      <c r="D8297" s="209"/>
      <c r="E8297" s="209"/>
      <c r="J8297" s="124"/>
    </row>
    <row r="8298" spans="3:10" x14ac:dyDescent="0.2">
      <c r="C8298" s="209"/>
      <c r="D8298" s="209"/>
      <c r="E8298" s="209"/>
      <c r="J8298" s="124"/>
    </row>
    <row r="8299" spans="3:10" x14ac:dyDescent="0.2">
      <c r="C8299" s="209"/>
      <c r="D8299" s="209"/>
      <c r="E8299" s="209"/>
      <c r="J8299" s="124"/>
    </row>
    <row r="8300" spans="3:10" x14ac:dyDescent="0.2">
      <c r="C8300" s="209"/>
      <c r="D8300" s="209"/>
      <c r="E8300" s="209"/>
      <c r="J8300" s="124"/>
    </row>
    <row r="8301" spans="3:10" x14ac:dyDescent="0.2">
      <c r="C8301" s="209"/>
      <c r="D8301" s="209"/>
      <c r="E8301" s="209"/>
      <c r="J8301" s="124"/>
    </row>
    <row r="8302" spans="3:10" x14ac:dyDescent="0.2">
      <c r="C8302" s="209"/>
      <c r="D8302" s="209"/>
      <c r="E8302" s="209"/>
      <c r="J8302" s="124"/>
    </row>
    <row r="8303" spans="3:10" x14ac:dyDescent="0.2">
      <c r="C8303" s="209"/>
      <c r="D8303" s="209"/>
      <c r="E8303" s="209"/>
      <c r="J8303" s="124"/>
    </row>
    <row r="8304" spans="3:10" x14ac:dyDescent="0.2">
      <c r="C8304" s="209"/>
      <c r="D8304" s="209"/>
      <c r="E8304" s="209"/>
      <c r="J8304" s="124"/>
    </row>
    <row r="8305" spans="3:10" x14ac:dyDescent="0.2">
      <c r="C8305" s="209"/>
      <c r="D8305" s="209"/>
      <c r="E8305" s="209"/>
      <c r="J8305" s="124"/>
    </row>
    <row r="8306" spans="3:10" x14ac:dyDescent="0.2">
      <c r="C8306" s="209"/>
      <c r="D8306" s="209"/>
      <c r="E8306" s="209"/>
      <c r="J8306" s="124"/>
    </row>
    <row r="8307" spans="3:10" x14ac:dyDescent="0.2">
      <c r="C8307" s="209"/>
      <c r="D8307" s="209"/>
      <c r="E8307" s="209"/>
      <c r="J8307" s="124"/>
    </row>
    <row r="8308" spans="3:10" x14ac:dyDescent="0.2">
      <c r="C8308" s="209"/>
      <c r="D8308" s="209"/>
      <c r="E8308" s="209"/>
      <c r="J8308" s="124"/>
    </row>
    <row r="8309" spans="3:10" x14ac:dyDescent="0.2">
      <c r="C8309" s="209"/>
      <c r="D8309" s="209"/>
      <c r="E8309" s="209"/>
      <c r="J8309" s="124"/>
    </row>
    <row r="8310" spans="3:10" x14ac:dyDescent="0.2">
      <c r="C8310" s="209"/>
      <c r="D8310" s="209"/>
      <c r="E8310" s="209"/>
      <c r="J8310" s="124"/>
    </row>
    <row r="8311" spans="3:10" x14ac:dyDescent="0.2">
      <c r="C8311" s="209"/>
      <c r="D8311" s="209"/>
      <c r="E8311" s="209"/>
      <c r="J8311" s="124"/>
    </row>
    <row r="8312" spans="3:10" x14ac:dyDescent="0.2">
      <c r="C8312" s="209"/>
      <c r="D8312" s="209"/>
      <c r="E8312" s="209"/>
      <c r="J8312" s="124"/>
    </row>
    <row r="8313" spans="3:10" x14ac:dyDescent="0.2">
      <c r="C8313" s="209"/>
      <c r="D8313" s="209"/>
      <c r="E8313" s="209"/>
      <c r="J8313" s="124"/>
    </row>
    <row r="8314" spans="3:10" x14ac:dyDescent="0.2">
      <c r="C8314" s="209"/>
      <c r="D8314" s="209"/>
      <c r="E8314" s="209"/>
      <c r="J8314" s="124"/>
    </row>
    <row r="8315" spans="3:10" x14ac:dyDescent="0.2">
      <c r="C8315" s="209"/>
      <c r="D8315" s="209"/>
      <c r="E8315" s="209"/>
      <c r="J8315" s="124"/>
    </row>
    <row r="8316" spans="3:10" x14ac:dyDescent="0.2">
      <c r="C8316" s="209"/>
      <c r="D8316" s="209"/>
      <c r="E8316" s="209"/>
      <c r="J8316" s="124"/>
    </row>
    <row r="8317" spans="3:10" x14ac:dyDescent="0.2">
      <c r="C8317" s="209"/>
      <c r="D8317" s="209"/>
      <c r="E8317" s="209"/>
      <c r="J8317" s="124"/>
    </row>
    <row r="8318" spans="3:10" x14ac:dyDescent="0.2">
      <c r="C8318" s="209"/>
      <c r="D8318" s="209"/>
      <c r="E8318" s="209"/>
      <c r="J8318" s="124"/>
    </row>
    <row r="8319" spans="3:10" x14ac:dyDescent="0.2">
      <c r="C8319" s="209"/>
      <c r="D8319" s="209"/>
      <c r="E8319" s="209"/>
      <c r="J8319" s="124"/>
    </row>
    <row r="8320" spans="3:10" x14ac:dyDescent="0.2">
      <c r="C8320" s="209"/>
      <c r="D8320" s="209"/>
      <c r="E8320" s="209"/>
      <c r="J8320" s="124"/>
    </row>
    <row r="8321" spans="3:10" x14ac:dyDescent="0.2">
      <c r="C8321" s="209"/>
      <c r="D8321" s="209"/>
      <c r="E8321" s="209"/>
      <c r="J8321" s="124"/>
    </row>
    <row r="8322" spans="3:10" x14ac:dyDescent="0.2">
      <c r="C8322" s="209"/>
      <c r="D8322" s="209"/>
      <c r="E8322" s="209"/>
      <c r="J8322" s="124"/>
    </row>
    <row r="8323" spans="3:10" x14ac:dyDescent="0.2">
      <c r="C8323" s="209"/>
      <c r="D8323" s="209"/>
      <c r="E8323" s="209"/>
      <c r="J8323" s="124"/>
    </row>
    <row r="8324" spans="3:10" x14ac:dyDescent="0.2">
      <c r="C8324" s="209"/>
      <c r="D8324" s="209"/>
      <c r="E8324" s="209"/>
      <c r="J8324" s="124"/>
    </row>
    <row r="8325" spans="3:10" x14ac:dyDescent="0.2">
      <c r="C8325" s="209"/>
      <c r="D8325" s="209"/>
      <c r="E8325" s="209"/>
      <c r="J8325" s="124"/>
    </row>
    <row r="8326" spans="3:10" x14ac:dyDescent="0.2">
      <c r="C8326" s="209"/>
      <c r="D8326" s="209"/>
      <c r="E8326" s="209"/>
      <c r="J8326" s="124"/>
    </row>
    <row r="8327" spans="3:10" x14ac:dyDescent="0.2">
      <c r="C8327" s="209"/>
      <c r="D8327" s="209"/>
      <c r="E8327" s="209"/>
      <c r="J8327" s="124"/>
    </row>
    <row r="8328" spans="3:10" x14ac:dyDescent="0.2">
      <c r="C8328" s="209"/>
      <c r="D8328" s="209"/>
      <c r="E8328" s="209"/>
      <c r="J8328" s="124"/>
    </row>
    <row r="8329" spans="3:10" x14ac:dyDescent="0.2">
      <c r="C8329" s="209"/>
      <c r="D8329" s="209"/>
      <c r="E8329" s="209"/>
      <c r="J8329" s="124"/>
    </row>
    <row r="8330" spans="3:10" x14ac:dyDescent="0.2">
      <c r="C8330" s="209"/>
      <c r="D8330" s="209"/>
      <c r="E8330" s="209"/>
      <c r="J8330" s="124"/>
    </row>
    <row r="8331" spans="3:10" x14ac:dyDescent="0.2">
      <c r="C8331" s="209"/>
      <c r="D8331" s="209"/>
      <c r="E8331" s="209"/>
      <c r="J8331" s="124"/>
    </row>
    <row r="8332" spans="3:10" x14ac:dyDescent="0.2">
      <c r="C8332" s="209"/>
      <c r="D8332" s="209"/>
      <c r="E8332" s="209"/>
      <c r="J8332" s="124"/>
    </row>
    <row r="8333" spans="3:10" x14ac:dyDescent="0.2">
      <c r="C8333" s="209"/>
      <c r="D8333" s="209"/>
      <c r="E8333" s="209"/>
      <c r="J8333" s="124"/>
    </row>
    <row r="8334" spans="3:10" x14ac:dyDescent="0.2">
      <c r="C8334" s="209"/>
      <c r="D8334" s="209"/>
      <c r="E8334" s="209"/>
      <c r="J8334" s="124"/>
    </row>
    <row r="8335" spans="3:10" x14ac:dyDescent="0.2">
      <c r="C8335" s="209"/>
      <c r="D8335" s="209"/>
      <c r="E8335" s="209"/>
      <c r="J8335" s="124"/>
    </row>
    <row r="8336" spans="3:10" x14ac:dyDescent="0.2">
      <c r="C8336" s="209"/>
      <c r="D8336" s="209"/>
      <c r="E8336" s="209"/>
      <c r="J8336" s="124"/>
    </row>
    <row r="8337" spans="3:10" x14ac:dyDescent="0.2">
      <c r="C8337" s="209"/>
      <c r="D8337" s="209"/>
      <c r="E8337" s="209"/>
      <c r="J8337" s="124"/>
    </row>
    <row r="8338" spans="3:10" x14ac:dyDescent="0.2">
      <c r="C8338" s="209"/>
      <c r="D8338" s="209"/>
      <c r="E8338" s="209"/>
      <c r="J8338" s="124"/>
    </row>
    <row r="8339" spans="3:10" x14ac:dyDescent="0.2">
      <c r="C8339" s="209"/>
      <c r="D8339" s="209"/>
      <c r="E8339" s="209"/>
      <c r="J8339" s="124"/>
    </row>
    <row r="8340" spans="3:10" x14ac:dyDescent="0.2">
      <c r="C8340" s="209"/>
      <c r="D8340" s="209"/>
      <c r="E8340" s="209"/>
      <c r="J8340" s="124"/>
    </row>
    <row r="8341" spans="3:10" x14ac:dyDescent="0.2">
      <c r="C8341" s="209"/>
      <c r="D8341" s="209"/>
      <c r="E8341" s="209"/>
      <c r="J8341" s="124"/>
    </row>
    <row r="8342" spans="3:10" x14ac:dyDescent="0.2">
      <c r="C8342" s="209"/>
      <c r="D8342" s="209"/>
      <c r="E8342" s="209"/>
      <c r="J8342" s="124"/>
    </row>
    <row r="8343" spans="3:10" x14ac:dyDescent="0.2">
      <c r="C8343" s="209"/>
      <c r="D8343" s="209"/>
      <c r="E8343" s="209"/>
      <c r="J8343" s="124"/>
    </row>
    <row r="8344" spans="3:10" x14ac:dyDescent="0.2">
      <c r="C8344" s="209"/>
      <c r="D8344" s="209"/>
      <c r="E8344" s="209"/>
      <c r="J8344" s="124"/>
    </row>
    <row r="8345" spans="3:10" x14ac:dyDescent="0.2">
      <c r="C8345" s="209"/>
      <c r="D8345" s="209"/>
      <c r="E8345" s="209"/>
      <c r="J8345" s="124"/>
    </row>
    <row r="8346" spans="3:10" x14ac:dyDescent="0.2">
      <c r="C8346" s="209"/>
      <c r="D8346" s="209"/>
      <c r="E8346" s="209"/>
      <c r="J8346" s="124"/>
    </row>
    <row r="8347" spans="3:10" x14ac:dyDescent="0.2">
      <c r="C8347" s="209"/>
      <c r="D8347" s="209"/>
      <c r="E8347" s="209"/>
      <c r="J8347" s="124"/>
    </row>
    <row r="8348" spans="3:10" x14ac:dyDescent="0.2">
      <c r="C8348" s="209"/>
      <c r="D8348" s="209"/>
      <c r="E8348" s="209"/>
      <c r="J8348" s="124"/>
    </row>
    <row r="8349" spans="3:10" x14ac:dyDescent="0.2">
      <c r="C8349" s="209"/>
      <c r="D8349" s="209"/>
      <c r="E8349" s="209"/>
      <c r="J8349" s="124"/>
    </row>
    <row r="8350" spans="3:10" x14ac:dyDescent="0.2">
      <c r="C8350" s="209"/>
      <c r="D8350" s="209"/>
      <c r="E8350" s="209"/>
      <c r="J8350" s="124"/>
    </row>
    <row r="8351" spans="3:10" x14ac:dyDescent="0.2">
      <c r="C8351" s="209"/>
      <c r="D8351" s="209"/>
      <c r="E8351" s="209"/>
      <c r="J8351" s="124"/>
    </row>
    <row r="8352" spans="3:10" x14ac:dyDescent="0.2">
      <c r="C8352" s="209"/>
      <c r="D8352" s="209"/>
      <c r="E8352" s="209"/>
      <c r="J8352" s="124"/>
    </row>
    <row r="8353" spans="3:10" x14ac:dyDescent="0.2">
      <c r="C8353" s="209"/>
      <c r="D8353" s="209"/>
      <c r="E8353" s="209"/>
      <c r="J8353" s="124"/>
    </row>
    <row r="8354" spans="3:10" x14ac:dyDescent="0.2">
      <c r="C8354" s="209"/>
      <c r="D8354" s="209"/>
      <c r="E8354" s="209"/>
      <c r="J8354" s="124"/>
    </row>
    <row r="8355" spans="3:10" x14ac:dyDescent="0.2">
      <c r="C8355" s="209"/>
      <c r="D8355" s="209"/>
      <c r="E8355" s="209"/>
      <c r="J8355" s="124"/>
    </row>
    <row r="8356" spans="3:10" x14ac:dyDescent="0.2">
      <c r="C8356" s="209"/>
      <c r="D8356" s="209"/>
      <c r="E8356" s="209"/>
      <c r="J8356" s="124"/>
    </row>
    <row r="8357" spans="3:10" x14ac:dyDescent="0.2">
      <c r="C8357" s="209"/>
      <c r="D8357" s="209"/>
      <c r="E8357" s="209"/>
      <c r="J8357" s="124"/>
    </row>
    <row r="8358" spans="3:10" x14ac:dyDescent="0.2">
      <c r="C8358" s="209"/>
      <c r="D8358" s="209"/>
      <c r="E8358" s="209"/>
      <c r="J8358" s="124"/>
    </row>
    <row r="8359" spans="3:10" x14ac:dyDescent="0.2">
      <c r="C8359" s="209"/>
      <c r="D8359" s="209"/>
      <c r="E8359" s="209"/>
      <c r="J8359" s="124"/>
    </row>
    <row r="8360" spans="3:10" x14ac:dyDescent="0.2">
      <c r="C8360" s="209"/>
      <c r="D8360" s="209"/>
      <c r="E8360" s="209"/>
      <c r="J8360" s="124"/>
    </row>
    <row r="8361" spans="3:10" x14ac:dyDescent="0.2">
      <c r="C8361" s="209"/>
      <c r="D8361" s="209"/>
      <c r="E8361" s="209"/>
      <c r="J8361" s="124"/>
    </row>
    <row r="8362" spans="3:10" x14ac:dyDescent="0.2">
      <c r="C8362" s="209"/>
      <c r="D8362" s="209"/>
      <c r="E8362" s="209"/>
      <c r="J8362" s="124"/>
    </row>
    <row r="8363" spans="3:10" x14ac:dyDescent="0.2">
      <c r="C8363" s="209"/>
      <c r="D8363" s="209"/>
      <c r="E8363" s="209"/>
      <c r="J8363" s="124"/>
    </row>
    <row r="8364" spans="3:10" x14ac:dyDescent="0.2">
      <c r="C8364" s="209"/>
      <c r="D8364" s="209"/>
      <c r="E8364" s="209"/>
      <c r="J8364" s="124"/>
    </row>
    <row r="8365" spans="3:10" x14ac:dyDescent="0.2">
      <c r="C8365" s="209"/>
      <c r="D8365" s="209"/>
      <c r="E8365" s="209"/>
      <c r="J8365" s="124"/>
    </row>
    <row r="8366" spans="3:10" x14ac:dyDescent="0.2">
      <c r="C8366" s="209"/>
      <c r="D8366" s="209"/>
      <c r="E8366" s="209"/>
      <c r="J8366" s="124"/>
    </row>
    <row r="8367" spans="3:10" x14ac:dyDescent="0.2">
      <c r="C8367" s="209"/>
      <c r="D8367" s="209"/>
      <c r="E8367" s="209"/>
      <c r="J8367" s="124"/>
    </row>
    <row r="8368" spans="3:10" x14ac:dyDescent="0.2">
      <c r="C8368" s="209"/>
      <c r="D8368" s="209"/>
      <c r="E8368" s="209"/>
      <c r="J8368" s="124"/>
    </row>
    <row r="8369" spans="3:10" x14ac:dyDescent="0.2">
      <c r="C8369" s="209"/>
      <c r="D8369" s="209"/>
      <c r="E8369" s="209"/>
      <c r="J8369" s="124"/>
    </row>
    <row r="8370" spans="3:10" x14ac:dyDescent="0.2">
      <c r="C8370" s="209"/>
      <c r="D8370" s="209"/>
      <c r="E8370" s="209"/>
      <c r="J8370" s="124"/>
    </row>
    <row r="8371" spans="3:10" x14ac:dyDescent="0.2">
      <c r="C8371" s="209"/>
      <c r="D8371" s="209"/>
      <c r="E8371" s="209"/>
      <c r="J8371" s="124"/>
    </row>
    <row r="8372" spans="3:10" x14ac:dyDescent="0.2">
      <c r="C8372" s="209"/>
      <c r="D8372" s="209"/>
      <c r="E8372" s="209"/>
      <c r="J8372" s="124"/>
    </row>
    <row r="8373" spans="3:10" x14ac:dyDescent="0.2">
      <c r="C8373" s="209"/>
      <c r="D8373" s="209"/>
      <c r="E8373" s="209"/>
      <c r="J8373" s="124"/>
    </row>
    <row r="8374" spans="3:10" x14ac:dyDescent="0.2">
      <c r="C8374" s="209"/>
      <c r="D8374" s="209"/>
      <c r="E8374" s="209"/>
      <c r="J8374" s="124"/>
    </row>
    <row r="8375" spans="3:10" x14ac:dyDescent="0.2">
      <c r="C8375" s="209"/>
      <c r="D8375" s="209"/>
      <c r="E8375" s="209"/>
      <c r="J8375" s="124"/>
    </row>
    <row r="8376" spans="3:10" x14ac:dyDescent="0.2">
      <c r="C8376" s="209"/>
      <c r="D8376" s="209"/>
      <c r="E8376" s="209"/>
      <c r="J8376" s="124"/>
    </row>
    <row r="8377" spans="3:10" x14ac:dyDescent="0.2">
      <c r="C8377" s="209"/>
      <c r="D8377" s="209"/>
      <c r="E8377" s="209"/>
      <c r="J8377" s="124"/>
    </row>
    <row r="8378" spans="3:10" x14ac:dyDescent="0.2">
      <c r="C8378" s="209"/>
      <c r="D8378" s="209"/>
      <c r="E8378" s="209"/>
      <c r="J8378" s="124"/>
    </row>
    <row r="8379" spans="3:10" x14ac:dyDescent="0.2">
      <c r="C8379" s="209"/>
      <c r="D8379" s="209"/>
      <c r="E8379" s="209"/>
      <c r="J8379" s="124"/>
    </row>
    <row r="8380" spans="3:10" x14ac:dyDescent="0.2">
      <c r="C8380" s="209"/>
      <c r="D8380" s="209"/>
      <c r="E8380" s="209"/>
      <c r="J8380" s="124"/>
    </row>
    <row r="8381" spans="3:10" x14ac:dyDescent="0.2">
      <c r="C8381" s="209"/>
      <c r="D8381" s="209"/>
      <c r="E8381" s="209"/>
      <c r="J8381" s="124"/>
    </row>
    <row r="8382" spans="3:10" x14ac:dyDescent="0.2">
      <c r="C8382" s="209"/>
      <c r="D8382" s="209"/>
      <c r="E8382" s="209"/>
      <c r="J8382" s="124"/>
    </row>
    <row r="8383" spans="3:10" x14ac:dyDescent="0.2">
      <c r="C8383" s="209"/>
      <c r="D8383" s="209"/>
      <c r="E8383" s="209"/>
      <c r="J8383" s="124"/>
    </row>
    <row r="8384" spans="3:10" x14ac:dyDescent="0.2">
      <c r="C8384" s="209"/>
      <c r="D8384" s="209"/>
      <c r="E8384" s="209"/>
      <c r="J8384" s="124"/>
    </row>
    <row r="8385" spans="3:10" x14ac:dyDescent="0.2">
      <c r="C8385" s="209"/>
      <c r="D8385" s="209"/>
      <c r="E8385" s="209"/>
      <c r="J8385" s="124"/>
    </row>
    <row r="8386" spans="3:10" x14ac:dyDescent="0.2">
      <c r="C8386" s="209"/>
      <c r="D8386" s="209"/>
      <c r="E8386" s="209"/>
      <c r="J8386" s="124"/>
    </row>
    <row r="8387" spans="3:10" x14ac:dyDescent="0.2">
      <c r="C8387" s="209"/>
      <c r="D8387" s="209"/>
      <c r="E8387" s="209"/>
      <c r="J8387" s="124"/>
    </row>
    <row r="8388" spans="3:10" x14ac:dyDescent="0.2">
      <c r="C8388" s="209"/>
      <c r="D8388" s="209"/>
      <c r="E8388" s="209"/>
      <c r="J8388" s="124"/>
    </row>
    <row r="8389" spans="3:10" x14ac:dyDescent="0.2">
      <c r="C8389" s="209"/>
      <c r="D8389" s="209"/>
      <c r="E8389" s="209"/>
      <c r="J8389" s="124"/>
    </row>
    <row r="8390" spans="3:10" x14ac:dyDescent="0.2">
      <c r="C8390" s="209"/>
      <c r="D8390" s="209"/>
      <c r="E8390" s="209"/>
      <c r="J8390" s="124"/>
    </row>
    <row r="8391" spans="3:10" x14ac:dyDescent="0.2">
      <c r="C8391" s="209"/>
      <c r="D8391" s="209"/>
      <c r="E8391" s="209"/>
      <c r="J8391" s="124"/>
    </row>
    <row r="8392" spans="3:10" x14ac:dyDescent="0.2">
      <c r="C8392" s="209"/>
      <c r="D8392" s="209"/>
      <c r="E8392" s="209"/>
      <c r="J8392" s="124"/>
    </row>
    <row r="8393" spans="3:10" x14ac:dyDescent="0.2">
      <c r="C8393" s="209"/>
      <c r="D8393" s="209"/>
      <c r="E8393" s="209"/>
      <c r="J8393" s="124"/>
    </row>
    <row r="8394" spans="3:10" x14ac:dyDescent="0.2">
      <c r="C8394" s="209"/>
      <c r="D8394" s="209"/>
      <c r="E8394" s="209"/>
      <c r="J8394" s="124"/>
    </row>
    <row r="8395" spans="3:10" x14ac:dyDescent="0.2">
      <c r="C8395" s="209"/>
      <c r="D8395" s="209"/>
      <c r="E8395" s="209"/>
      <c r="J8395" s="124"/>
    </row>
    <row r="8396" spans="3:10" x14ac:dyDescent="0.2">
      <c r="C8396" s="209"/>
      <c r="D8396" s="209"/>
      <c r="E8396" s="209"/>
      <c r="J8396" s="124"/>
    </row>
    <row r="8397" spans="3:10" x14ac:dyDescent="0.2">
      <c r="C8397" s="209"/>
      <c r="D8397" s="209"/>
      <c r="E8397" s="209"/>
      <c r="J8397" s="124"/>
    </row>
    <row r="8398" spans="3:10" x14ac:dyDescent="0.2">
      <c r="C8398" s="209"/>
      <c r="D8398" s="209"/>
      <c r="E8398" s="209"/>
      <c r="J8398" s="124"/>
    </row>
    <row r="8399" spans="3:10" x14ac:dyDescent="0.2">
      <c r="C8399" s="209"/>
      <c r="D8399" s="209"/>
      <c r="E8399" s="209"/>
      <c r="J8399" s="124"/>
    </row>
    <row r="8400" spans="3:10" x14ac:dyDescent="0.2">
      <c r="C8400" s="209"/>
      <c r="D8400" s="209"/>
      <c r="E8400" s="209"/>
      <c r="J8400" s="124"/>
    </row>
    <row r="8401" spans="3:10" x14ac:dyDescent="0.2">
      <c r="C8401" s="209"/>
      <c r="D8401" s="209"/>
      <c r="E8401" s="209"/>
      <c r="J8401" s="124"/>
    </row>
    <row r="8402" spans="3:10" x14ac:dyDescent="0.2">
      <c r="C8402" s="209"/>
      <c r="D8402" s="209"/>
      <c r="E8402" s="209"/>
      <c r="J8402" s="124"/>
    </row>
    <row r="8403" spans="3:10" x14ac:dyDescent="0.2">
      <c r="C8403" s="209"/>
      <c r="D8403" s="209"/>
      <c r="E8403" s="209"/>
      <c r="J8403" s="124"/>
    </row>
    <row r="8404" spans="3:10" x14ac:dyDescent="0.2">
      <c r="C8404" s="209"/>
      <c r="D8404" s="209"/>
      <c r="E8404" s="209"/>
      <c r="J8404" s="124"/>
    </row>
    <row r="8405" spans="3:10" x14ac:dyDescent="0.2">
      <c r="C8405" s="209"/>
      <c r="D8405" s="209"/>
      <c r="E8405" s="209"/>
      <c r="J8405" s="124"/>
    </row>
    <row r="8406" spans="3:10" x14ac:dyDescent="0.2">
      <c r="C8406" s="209"/>
      <c r="D8406" s="209"/>
      <c r="E8406" s="209"/>
      <c r="J8406" s="124"/>
    </row>
    <row r="8407" spans="3:10" x14ac:dyDescent="0.2">
      <c r="C8407" s="209"/>
      <c r="D8407" s="209"/>
      <c r="E8407" s="209"/>
      <c r="J8407" s="124"/>
    </row>
    <row r="8408" spans="3:10" x14ac:dyDescent="0.2">
      <c r="C8408" s="209"/>
      <c r="D8408" s="209"/>
      <c r="E8408" s="209"/>
      <c r="J8408" s="124"/>
    </row>
    <row r="8409" spans="3:10" x14ac:dyDescent="0.2">
      <c r="C8409" s="209"/>
      <c r="D8409" s="209"/>
      <c r="E8409" s="209"/>
      <c r="J8409" s="124"/>
    </row>
    <row r="8410" spans="3:10" x14ac:dyDescent="0.2">
      <c r="C8410" s="209"/>
      <c r="D8410" s="209"/>
      <c r="E8410" s="209"/>
      <c r="J8410" s="124"/>
    </row>
    <row r="8411" spans="3:10" x14ac:dyDescent="0.2">
      <c r="C8411" s="209"/>
      <c r="D8411" s="209"/>
      <c r="E8411" s="209"/>
      <c r="J8411" s="124"/>
    </row>
    <row r="8412" spans="3:10" x14ac:dyDescent="0.2">
      <c r="C8412" s="209"/>
      <c r="D8412" s="209"/>
      <c r="E8412" s="209"/>
      <c r="J8412" s="124"/>
    </row>
    <row r="8413" spans="3:10" x14ac:dyDescent="0.2">
      <c r="C8413" s="209"/>
      <c r="D8413" s="209"/>
      <c r="E8413" s="209"/>
      <c r="J8413" s="124"/>
    </row>
    <row r="8414" spans="3:10" x14ac:dyDescent="0.2">
      <c r="C8414" s="209"/>
      <c r="D8414" s="209"/>
      <c r="E8414" s="209"/>
      <c r="J8414" s="124"/>
    </row>
    <row r="8415" spans="3:10" x14ac:dyDescent="0.2">
      <c r="C8415" s="209"/>
      <c r="D8415" s="209"/>
      <c r="E8415" s="209"/>
      <c r="J8415" s="124"/>
    </row>
    <row r="8416" spans="3:10" x14ac:dyDescent="0.2">
      <c r="C8416" s="209"/>
      <c r="D8416" s="209"/>
      <c r="E8416" s="209"/>
      <c r="J8416" s="124"/>
    </row>
    <row r="8417" spans="3:10" x14ac:dyDescent="0.2">
      <c r="C8417" s="209"/>
      <c r="D8417" s="209"/>
      <c r="E8417" s="209"/>
      <c r="J8417" s="124"/>
    </row>
    <row r="8418" spans="3:10" x14ac:dyDescent="0.2">
      <c r="C8418" s="209"/>
      <c r="D8418" s="209"/>
      <c r="E8418" s="209"/>
      <c r="J8418" s="124"/>
    </row>
    <row r="8419" spans="3:10" x14ac:dyDescent="0.2">
      <c r="C8419" s="209"/>
      <c r="D8419" s="209"/>
      <c r="E8419" s="209"/>
      <c r="J8419" s="124"/>
    </row>
    <row r="8420" spans="3:10" x14ac:dyDescent="0.2">
      <c r="C8420" s="209"/>
      <c r="D8420" s="209"/>
      <c r="E8420" s="209"/>
      <c r="J8420" s="124"/>
    </row>
    <row r="8421" spans="3:10" x14ac:dyDescent="0.2">
      <c r="C8421" s="209"/>
      <c r="D8421" s="209"/>
      <c r="E8421" s="209"/>
      <c r="J8421" s="124"/>
    </row>
    <row r="8422" spans="3:10" x14ac:dyDescent="0.2">
      <c r="C8422" s="209"/>
      <c r="D8422" s="209"/>
      <c r="E8422" s="209"/>
      <c r="J8422" s="124"/>
    </row>
    <row r="8423" spans="3:10" x14ac:dyDescent="0.2">
      <c r="C8423" s="209"/>
      <c r="D8423" s="209"/>
      <c r="E8423" s="209"/>
      <c r="J8423" s="124"/>
    </row>
    <row r="8424" spans="3:10" x14ac:dyDescent="0.2">
      <c r="C8424" s="209"/>
      <c r="D8424" s="209"/>
      <c r="E8424" s="209"/>
      <c r="J8424" s="124"/>
    </row>
    <row r="8425" spans="3:10" x14ac:dyDescent="0.2">
      <c r="C8425" s="209"/>
      <c r="D8425" s="209"/>
      <c r="E8425" s="209"/>
      <c r="J8425" s="124"/>
    </row>
    <row r="8426" spans="3:10" x14ac:dyDescent="0.2">
      <c r="C8426" s="209"/>
      <c r="D8426" s="209"/>
      <c r="E8426" s="209"/>
      <c r="J8426" s="124"/>
    </row>
    <row r="8427" spans="3:10" x14ac:dyDescent="0.2">
      <c r="C8427" s="209"/>
      <c r="D8427" s="209"/>
      <c r="E8427" s="209"/>
      <c r="J8427" s="124"/>
    </row>
    <row r="8428" spans="3:10" x14ac:dyDescent="0.2">
      <c r="C8428" s="209"/>
      <c r="D8428" s="209"/>
      <c r="E8428" s="209"/>
      <c r="J8428" s="124"/>
    </row>
    <row r="8429" spans="3:10" x14ac:dyDescent="0.2">
      <c r="C8429" s="209"/>
      <c r="D8429" s="209"/>
      <c r="E8429" s="209"/>
      <c r="J8429" s="124"/>
    </row>
    <row r="8430" spans="3:10" x14ac:dyDescent="0.2">
      <c r="C8430" s="209"/>
      <c r="D8430" s="209"/>
      <c r="E8430" s="209"/>
      <c r="J8430" s="124"/>
    </row>
    <row r="8431" spans="3:10" x14ac:dyDescent="0.2">
      <c r="C8431" s="209"/>
      <c r="D8431" s="209"/>
      <c r="E8431" s="209"/>
      <c r="J8431" s="124"/>
    </row>
    <row r="8432" spans="3:10" x14ac:dyDescent="0.2">
      <c r="C8432" s="209"/>
      <c r="D8432" s="209"/>
      <c r="E8432" s="209"/>
      <c r="J8432" s="124"/>
    </row>
    <row r="8433" spans="3:10" x14ac:dyDescent="0.2">
      <c r="C8433" s="209"/>
      <c r="D8433" s="209"/>
      <c r="E8433" s="209"/>
      <c r="J8433" s="124"/>
    </row>
    <row r="8434" spans="3:10" x14ac:dyDescent="0.2">
      <c r="C8434" s="209"/>
      <c r="D8434" s="209"/>
      <c r="E8434" s="209"/>
      <c r="J8434" s="124"/>
    </row>
    <row r="8435" spans="3:10" x14ac:dyDescent="0.2">
      <c r="C8435" s="209"/>
      <c r="D8435" s="209"/>
      <c r="E8435" s="209"/>
      <c r="J8435" s="124"/>
    </row>
    <row r="8436" spans="3:10" x14ac:dyDescent="0.2">
      <c r="C8436" s="209"/>
      <c r="D8436" s="209"/>
      <c r="E8436" s="209"/>
      <c r="J8436" s="124"/>
    </row>
    <row r="8437" spans="3:10" x14ac:dyDescent="0.2">
      <c r="C8437" s="209"/>
      <c r="D8437" s="209"/>
      <c r="E8437" s="209"/>
      <c r="J8437" s="124"/>
    </row>
    <row r="8438" spans="3:10" x14ac:dyDescent="0.2">
      <c r="C8438" s="209"/>
      <c r="D8438" s="209"/>
      <c r="E8438" s="209"/>
      <c r="J8438" s="124"/>
    </row>
    <row r="8439" spans="3:10" x14ac:dyDescent="0.2">
      <c r="C8439" s="209"/>
      <c r="D8439" s="209"/>
      <c r="E8439" s="209"/>
      <c r="J8439" s="124"/>
    </row>
    <row r="8440" spans="3:10" x14ac:dyDescent="0.2">
      <c r="C8440" s="209"/>
      <c r="D8440" s="209"/>
      <c r="E8440" s="209"/>
      <c r="J8440" s="124"/>
    </row>
    <row r="8441" spans="3:10" x14ac:dyDescent="0.2">
      <c r="C8441" s="209"/>
      <c r="D8441" s="209"/>
      <c r="E8441" s="209"/>
      <c r="J8441" s="124"/>
    </row>
    <row r="8442" spans="3:10" x14ac:dyDescent="0.2">
      <c r="C8442" s="209"/>
      <c r="D8442" s="209"/>
      <c r="E8442" s="209"/>
      <c r="J8442" s="124"/>
    </row>
    <row r="8443" spans="3:10" x14ac:dyDescent="0.2">
      <c r="C8443" s="209"/>
      <c r="D8443" s="209"/>
      <c r="E8443" s="209"/>
      <c r="J8443" s="124"/>
    </row>
    <row r="8444" spans="3:10" x14ac:dyDescent="0.2">
      <c r="C8444" s="209"/>
      <c r="D8444" s="209"/>
      <c r="E8444" s="209"/>
      <c r="J8444" s="124"/>
    </row>
    <row r="8445" spans="3:10" x14ac:dyDescent="0.2">
      <c r="C8445" s="209"/>
      <c r="D8445" s="209"/>
      <c r="E8445" s="209"/>
      <c r="J8445" s="124"/>
    </row>
    <row r="8446" spans="3:10" x14ac:dyDescent="0.2">
      <c r="C8446" s="209"/>
      <c r="D8446" s="209"/>
      <c r="E8446" s="209"/>
      <c r="J8446" s="124"/>
    </row>
    <row r="8447" spans="3:10" x14ac:dyDescent="0.2">
      <c r="C8447" s="209"/>
      <c r="D8447" s="209"/>
      <c r="E8447" s="209"/>
      <c r="J8447" s="124"/>
    </row>
    <row r="8448" spans="3:10" x14ac:dyDescent="0.2">
      <c r="C8448" s="209"/>
      <c r="D8448" s="209"/>
      <c r="E8448" s="209"/>
      <c r="J8448" s="124"/>
    </row>
    <row r="8449" spans="3:10" x14ac:dyDescent="0.2">
      <c r="C8449" s="209"/>
      <c r="D8449" s="209"/>
      <c r="E8449" s="209"/>
      <c r="J8449" s="124"/>
    </row>
    <row r="8450" spans="3:10" x14ac:dyDescent="0.2">
      <c r="C8450" s="209"/>
      <c r="D8450" s="209"/>
      <c r="E8450" s="209"/>
      <c r="J8450" s="124"/>
    </row>
    <row r="8451" spans="3:10" x14ac:dyDescent="0.2">
      <c r="C8451" s="209"/>
      <c r="D8451" s="209"/>
      <c r="E8451" s="209"/>
      <c r="J8451" s="124"/>
    </row>
    <row r="8452" spans="3:10" x14ac:dyDescent="0.2">
      <c r="C8452" s="209"/>
      <c r="D8452" s="209"/>
      <c r="E8452" s="209"/>
      <c r="J8452" s="124"/>
    </row>
    <row r="8453" spans="3:10" x14ac:dyDescent="0.2">
      <c r="C8453" s="209"/>
      <c r="D8453" s="209"/>
      <c r="E8453" s="209"/>
      <c r="J8453" s="124"/>
    </row>
    <row r="8454" spans="3:10" x14ac:dyDescent="0.2">
      <c r="C8454" s="209"/>
      <c r="D8454" s="209"/>
      <c r="E8454" s="209"/>
      <c r="J8454" s="124"/>
    </row>
    <row r="8455" spans="3:10" x14ac:dyDescent="0.2">
      <c r="C8455" s="209"/>
      <c r="D8455" s="209"/>
      <c r="E8455" s="209"/>
      <c r="J8455" s="124"/>
    </row>
    <row r="8456" spans="3:10" x14ac:dyDescent="0.2">
      <c r="C8456" s="209"/>
      <c r="D8456" s="209"/>
      <c r="E8456" s="209"/>
      <c r="J8456" s="124"/>
    </row>
    <row r="8457" spans="3:10" x14ac:dyDescent="0.2">
      <c r="C8457" s="209"/>
      <c r="D8457" s="209"/>
      <c r="E8457" s="209"/>
      <c r="J8457" s="124"/>
    </row>
    <row r="8458" spans="3:10" x14ac:dyDescent="0.2">
      <c r="C8458" s="209"/>
      <c r="D8458" s="209"/>
      <c r="E8458" s="209"/>
      <c r="J8458" s="124"/>
    </row>
    <row r="8459" spans="3:10" x14ac:dyDescent="0.2">
      <c r="C8459" s="209"/>
      <c r="D8459" s="209"/>
      <c r="E8459" s="209"/>
      <c r="J8459" s="124"/>
    </row>
    <row r="8460" spans="3:10" x14ac:dyDescent="0.2">
      <c r="C8460" s="209"/>
      <c r="D8460" s="209"/>
      <c r="E8460" s="209"/>
      <c r="J8460" s="124"/>
    </row>
    <row r="8461" spans="3:10" x14ac:dyDescent="0.2">
      <c r="C8461" s="209"/>
      <c r="D8461" s="209"/>
      <c r="E8461" s="209"/>
      <c r="J8461" s="124"/>
    </row>
    <row r="8462" spans="3:10" x14ac:dyDescent="0.2">
      <c r="C8462" s="209"/>
      <c r="D8462" s="209"/>
      <c r="E8462" s="209"/>
      <c r="J8462" s="124"/>
    </row>
    <row r="8463" spans="3:10" x14ac:dyDescent="0.2">
      <c r="C8463" s="209"/>
      <c r="D8463" s="209"/>
      <c r="E8463" s="209"/>
      <c r="J8463" s="124"/>
    </row>
    <row r="8464" spans="3:10" x14ac:dyDescent="0.2">
      <c r="C8464" s="209"/>
      <c r="D8464" s="209"/>
      <c r="E8464" s="209"/>
      <c r="J8464" s="124"/>
    </row>
    <row r="8465" spans="3:10" x14ac:dyDescent="0.2">
      <c r="C8465" s="209"/>
      <c r="D8465" s="209"/>
      <c r="E8465" s="209"/>
      <c r="J8465" s="124"/>
    </row>
    <row r="8466" spans="3:10" x14ac:dyDescent="0.2">
      <c r="C8466" s="209"/>
      <c r="D8466" s="209"/>
      <c r="E8466" s="209"/>
      <c r="J8466" s="124"/>
    </row>
    <row r="8467" spans="3:10" x14ac:dyDescent="0.2">
      <c r="C8467" s="209"/>
      <c r="D8467" s="209"/>
      <c r="E8467" s="209"/>
      <c r="J8467" s="124"/>
    </row>
    <row r="8468" spans="3:10" x14ac:dyDescent="0.2">
      <c r="C8468" s="209"/>
      <c r="D8468" s="209"/>
      <c r="E8468" s="209"/>
      <c r="J8468" s="124"/>
    </row>
    <row r="8469" spans="3:10" x14ac:dyDescent="0.2">
      <c r="C8469" s="209"/>
      <c r="D8469" s="209"/>
      <c r="E8469" s="209"/>
      <c r="J8469" s="124"/>
    </row>
    <row r="8470" spans="3:10" x14ac:dyDescent="0.2">
      <c r="C8470" s="209"/>
      <c r="D8470" s="209"/>
      <c r="E8470" s="209"/>
      <c r="J8470" s="124"/>
    </row>
    <row r="8471" spans="3:10" x14ac:dyDescent="0.2">
      <c r="C8471" s="209"/>
      <c r="D8471" s="209"/>
      <c r="E8471" s="209"/>
      <c r="J8471" s="124"/>
    </row>
    <row r="8472" spans="3:10" x14ac:dyDescent="0.2">
      <c r="C8472" s="209"/>
      <c r="D8472" s="209"/>
      <c r="E8472" s="209"/>
      <c r="J8472" s="124"/>
    </row>
    <row r="8473" spans="3:10" x14ac:dyDescent="0.2">
      <c r="C8473" s="209"/>
      <c r="D8473" s="209"/>
      <c r="E8473" s="209"/>
      <c r="J8473" s="124"/>
    </row>
    <row r="8474" spans="3:10" x14ac:dyDescent="0.2">
      <c r="C8474" s="209"/>
      <c r="D8474" s="209"/>
      <c r="E8474" s="209"/>
      <c r="J8474" s="124"/>
    </row>
    <row r="8475" spans="3:10" x14ac:dyDescent="0.2">
      <c r="C8475" s="209"/>
      <c r="D8475" s="209"/>
      <c r="E8475" s="209"/>
      <c r="J8475" s="124"/>
    </row>
    <row r="8476" spans="3:10" x14ac:dyDescent="0.2">
      <c r="C8476" s="209"/>
      <c r="D8476" s="209"/>
      <c r="E8476" s="209"/>
      <c r="J8476" s="124"/>
    </row>
    <row r="8477" spans="3:10" x14ac:dyDescent="0.2">
      <c r="C8477" s="209"/>
      <c r="D8477" s="209"/>
      <c r="E8477" s="209"/>
      <c r="J8477" s="124"/>
    </row>
    <row r="8478" spans="3:10" x14ac:dyDescent="0.2">
      <c r="C8478" s="209"/>
      <c r="D8478" s="209"/>
      <c r="E8478" s="209"/>
      <c r="J8478" s="124"/>
    </row>
    <row r="8479" spans="3:10" x14ac:dyDescent="0.2">
      <c r="C8479" s="209"/>
      <c r="D8479" s="209"/>
      <c r="E8479" s="209"/>
      <c r="J8479" s="124"/>
    </row>
    <row r="8480" spans="3:10" x14ac:dyDescent="0.2">
      <c r="C8480" s="209"/>
      <c r="D8480" s="209"/>
      <c r="E8480" s="209"/>
      <c r="J8480" s="124"/>
    </row>
    <row r="8481" spans="3:10" x14ac:dyDescent="0.2">
      <c r="C8481" s="209"/>
      <c r="D8481" s="209"/>
      <c r="E8481" s="209"/>
      <c r="J8481" s="124"/>
    </row>
    <row r="8482" spans="3:10" x14ac:dyDescent="0.2">
      <c r="C8482" s="209"/>
      <c r="D8482" s="209"/>
      <c r="E8482" s="209"/>
      <c r="J8482" s="124"/>
    </row>
    <row r="8483" spans="3:10" x14ac:dyDescent="0.2">
      <c r="C8483" s="209"/>
      <c r="D8483" s="209"/>
      <c r="E8483" s="209"/>
      <c r="J8483" s="124"/>
    </row>
    <row r="8484" spans="3:10" x14ac:dyDescent="0.2">
      <c r="C8484" s="209"/>
      <c r="D8484" s="209"/>
      <c r="E8484" s="209"/>
      <c r="J8484" s="124"/>
    </row>
    <row r="8485" spans="3:10" x14ac:dyDescent="0.2">
      <c r="C8485" s="209"/>
      <c r="D8485" s="209"/>
      <c r="E8485" s="209"/>
      <c r="J8485" s="124"/>
    </row>
    <row r="8486" spans="3:10" x14ac:dyDescent="0.2">
      <c r="C8486" s="209"/>
      <c r="D8486" s="209"/>
      <c r="E8486" s="209"/>
      <c r="J8486" s="124"/>
    </row>
    <row r="8487" spans="3:10" x14ac:dyDescent="0.2">
      <c r="C8487" s="209"/>
      <c r="D8487" s="209"/>
      <c r="E8487" s="209"/>
      <c r="J8487" s="124"/>
    </row>
    <row r="8488" spans="3:10" x14ac:dyDescent="0.2">
      <c r="C8488" s="209"/>
      <c r="D8488" s="209"/>
      <c r="E8488" s="209"/>
      <c r="J8488" s="124"/>
    </row>
    <row r="8489" spans="3:10" x14ac:dyDescent="0.2">
      <c r="C8489" s="209"/>
      <c r="D8489" s="209"/>
      <c r="E8489" s="209"/>
      <c r="J8489" s="124"/>
    </row>
    <row r="8490" spans="3:10" x14ac:dyDescent="0.2">
      <c r="C8490" s="209"/>
      <c r="D8490" s="209"/>
      <c r="E8490" s="209"/>
      <c r="J8490" s="124"/>
    </row>
    <row r="8491" spans="3:10" x14ac:dyDescent="0.2">
      <c r="C8491" s="209"/>
      <c r="D8491" s="209"/>
      <c r="E8491" s="209"/>
      <c r="J8491" s="124"/>
    </row>
    <row r="8492" spans="3:10" x14ac:dyDescent="0.2">
      <c r="C8492" s="209"/>
      <c r="D8492" s="209"/>
      <c r="E8492" s="209"/>
      <c r="J8492" s="124"/>
    </row>
    <row r="8493" spans="3:10" x14ac:dyDescent="0.2">
      <c r="C8493" s="209"/>
      <c r="D8493" s="209"/>
      <c r="E8493" s="209"/>
      <c r="J8493" s="124"/>
    </row>
    <row r="8494" spans="3:10" x14ac:dyDescent="0.2">
      <c r="C8494" s="209"/>
      <c r="D8494" s="209"/>
      <c r="E8494" s="209"/>
      <c r="J8494" s="124"/>
    </row>
    <row r="8495" spans="3:10" x14ac:dyDescent="0.2">
      <c r="C8495" s="209"/>
      <c r="D8495" s="209"/>
      <c r="E8495" s="209"/>
      <c r="J8495" s="124"/>
    </row>
    <row r="8496" spans="3:10" x14ac:dyDescent="0.2">
      <c r="C8496" s="209"/>
      <c r="D8496" s="209"/>
      <c r="E8496" s="209"/>
      <c r="J8496" s="124"/>
    </row>
    <row r="8497" spans="3:10" x14ac:dyDescent="0.2">
      <c r="C8497" s="209"/>
      <c r="D8497" s="209"/>
      <c r="E8497" s="209"/>
      <c r="J8497" s="124"/>
    </row>
    <row r="8498" spans="3:10" x14ac:dyDescent="0.2">
      <c r="C8498" s="209"/>
      <c r="D8498" s="209"/>
      <c r="E8498" s="209"/>
      <c r="J8498" s="124"/>
    </row>
    <row r="8499" spans="3:10" x14ac:dyDescent="0.2">
      <c r="C8499" s="209"/>
      <c r="D8499" s="209"/>
      <c r="E8499" s="209"/>
      <c r="J8499" s="124"/>
    </row>
    <row r="8500" spans="3:10" x14ac:dyDescent="0.2">
      <c r="C8500" s="209"/>
      <c r="D8500" s="209"/>
      <c r="E8500" s="209"/>
      <c r="J8500" s="124"/>
    </row>
    <row r="8501" spans="3:10" x14ac:dyDescent="0.2">
      <c r="C8501" s="209"/>
      <c r="D8501" s="209"/>
      <c r="E8501" s="209"/>
      <c r="J8501" s="124"/>
    </row>
    <row r="8502" spans="3:10" x14ac:dyDescent="0.2">
      <c r="C8502" s="209"/>
      <c r="D8502" s="209"/>
      <c r="E8502" s="209"/>
      <c r="J8502" s="124"/>
    </row>
    <row r="8503" spans="3:10" x14ac:dyDescent="0.2">
      <c r="C8503" s="209"/>
      <c r="D8503" s="209"/>
      <c r="E8503" s="209"/>
      <c r="J8503" s="124"/>
    </row>
    <row r="8504" spans="3:10" x14ac:dyDescent="0.2">
      <c r="C8504" s="209"/>
      <c r="D8504" s="209"/>
      <c r="E8504" s="209"/>
      <c r="J8504" s="124"/>
    </row>
    <row r="8505" spans="3:10" x14ac:dyDescent="0.2">
      <c r="C8505" s="209"/>
      <c r="D8505" s="209"/>
      <c r="E8505" s="209"/>
      <c r="J8505" s="124"/>
    </row>
    <row r="8506" spans="3:10" x14ac:dyDescent="0.2">
      <c r="C8506" s="209"/>
      <c r="D8506" s="209"/>
      <c r="E8506" s="209"/>
      <c r="J8506" s="124"/>
    </row>
    <row r="8507" spans="3:10" x14ac:dyDescent="0.2">
      <c r="C8507" s="209"/>
      <c r="D8507" s="209"/>
      <c r="E8507" s="209"/>
      <c r="J8507" s="124"/>
    </row>
    <row r="8508" spans="3:10" x14ac:dyDescent="0.2">
      <c r="C8508" s="209"/>
      <c r="D8508" s="209"/>
      <c r="E8508" s="209"/>
      <c r="J8508" s="124"/>
    </row>
    <row r="8509" spans="3:10" x14ac:dyDescent="0.2">
      <c r="C8509" s="209"/>
      <c r="D8509" s="209"/>
      <c r="E8509" s="209"/>
      <c r="J8509" s="124"/>
    </row>
    <row r="8510" spans="3:10" x14ac:dyDescent="0.2">
      <c r="C8510" s="209"/>
      <c r="D8510" s="209"/>
      <c r="E8510" s="209"/>
      <c r="J8510" s="124"/>
    </row>
    <row r="8511" spans="3:10" x14ac:dyDescent="0.2">
      <c r="C8511" s="209"/>
      <c r="D8511" s="209"/>
      <c r="E8511" s="209"/>
      <c r="J8511" s="124"/>
    </row>
    <row r="8512" spans="3:10" x14ac:dyDescent="0.2">
      <c r="C8512" s="209"/>
      <c r="D8512" s="209"/>
      <c r="E8512" s="209"/>
      <c r="J8512" s="124"/>
    </row>
    <row r="8513" spans="3:10" x14ac:dyDescent="0.2">
      <c r="C8513" s="209"/>
      <c r="D8513" s="209"/>
      <c r="E8513" s="209"/>
      <c r="J8513" s="124"/>
    </row>
    <row r="8514" spans="3:10" x14ac:dyDescent="0.2">
      <c r="C8514" s="209"/>
      <c r="D8514" s="209"/>
      <c r="E8514" s="209"/>
      <c r="J8514" s="124"/>
    </row>
    <row r="8515" spans="3:10" x14ac:dyDescent="0.2">
      <c r="C8515" s="209"/>
      <c r="D8515" s="209"/>
      <c r="E8515" s="209"/>
      <c r="J8515" s="124"/>
    </row>
    <row r="8516" spans="3:10" x14ac:dyDescent="0.2">
      <c r="C8516" s="209"/>
      <c r="D8516" s="209"/>
      <c r="E8516" s="209"/>
      <c r="J8516" s="124"/>
    </row>
    <row r="8517" spans="3:10" x14ac:dyDescent="0.2">
      <c r="C8517" s="209"/>
      <c r="D8517" s="209"/>
      <c r="E8517" s="209"/>
      <c r="J8517" s="124"/>
    </row>
    <row r="8518" spans="3:10" x14ac:dyDescent="0.2">
      <c r="C8518" s="209"/>
      <c r="D8518" s="209"/>
      <c r="E8518" s="209"/>
      <c r="J8518" s="124"/>
    </row>
    <row r="8519" spans="3:10" x14ac:dyDescent="0.2">
      <c r="C8519" s="209"/>
      <c r="D8519" s="209"/>
      <c r="E8519" s="209"/>
      <c r="J8519" s="124"/>
    </row>
    <row r="8520" spans="3:10" x14ac:dyDescent="0.2">
      <c r="C8520" s="209"/>
      <c r="D8520" s="209"/>
      <c r="E8520" s="209"/>
      <c r="J8520" s="124"/>
    </row>
    <row r="8521" spans="3:10" x14ac:dyDescent="0.2">
      <c r="C8521" s="209"/>
      <c r="D8521" s="209"/>
      <c r="E8521" s="209"/>
      <c r="J8521" s="124"/>
    </row>
    <row r="8522" spans="3:10" x14ac:dyDescent="0.2">
      <c r="C8522" s="209"/>
      <c r="D8522" s="209"/>
      <c r="E8522" s="209"/>
      <c r="J8522" s="124"/>
    </row>
    <row r="8523" spans="3:10" x14ac:dyDescent="0.2">
      <c r="C8523" s="209"/>
      <c r="D8523" s="209"/>
      <c r="E8523" s="209"/>
      <c r="J8523" s="124"/>
    </row>
    <row r="8524" spans="3:10" x14ac:dyDescent="0.2">
      <c r="C8524" s="209"/>
      <c r="D8524" s="209"/>
      <c r="E8524" s="209"/>
      <c r="J8524" s="124"/>
    </row>
    <row r="8525" spans="3:10" x14ac:dyDescent="0.2">
      <c r="C8525" s="209"/>
      <c r="D8525" s="209"/>
      <c r="E8525" s="209"/>
      <c r="J8525" s="124"/>
    </row>
    <row r="8526" spans="3:10" x14ac:dyDescent="0.2">
      <c r="C8526" s="209"/>
      <c r="D8526" s="209"/>
      <c r="E8526" s="209"/>
      <c r="J8526" s="124"/>
    </row>
    <row r="8527" spans="3:10" x14ac:dyDescent="0.2">
      <c r="C8527" s="209"/>
      <c r="D8527" s="209"/>
      <c r="E8527" s="209"/>
      <c r="J8527" s="124"/>
    </row>
    <row r="8528" spans="3:10" x14ac:dyDescent="0.2">
      <c r="C8528" s="209"/>
      <c r="D8528" s="209"/>
      <c r="E8528" s="209"/>
      <c r="J8528" s="124"/>
    </row>
    <row r="8529" spans="3:10" x14ac:dyDescent="0.2">
      <c r="C8529" s="209"/>
      <c r="D8529" s="209"/>
      <c r="E8529" s="209"/>
      <c r="J8529" s="124"/>
    </row>
    <row r="8530" spans="3:10" x14ac:dyDescent="0.2">
      <c r="C8530" s="209"/>
      <c r="D8530" s="209"/>
      <c r="E8530" s="209"/>
      <c r="J8530" s="124"/>
    </row>
    <row r="8531" spans="3:10" x14ac:dyDescent="0.2">
      <c r="C8531" s="209"/>
      <c r="D8531" s="209"/>
      <c r="E8531" s="209"/>
      <c r="J8531" s="124"/>
    </row>
    <row r="8532" spans="3:10" x14ac:dyDescent="0.2">
      <c r="C8532" s="209"/>
      <c r="D8532" s="209"/>
      <c r="E8532" s="209"/>
      <c r="J8532" s="124"/>
    </row>
    <row r="8533" spans="3:10" x14ac:dyDescent="0.2">
      <c r="C8533" s="209"/>
      <c r="D8533" s="209"/>
      <c r="E8533" s="209"/>
      <c r="J8533" s="124"/>
    </row>
    <row r="8534" spans="3:10" x14ac:dyDescent="0.2">
      <c r="C8534" s="209"/>
      <c r="D8534" s="209"/>
      <c r="E8534" s="209"/>
      <c r="J8534" s="124"/>
    </row>
    <row r="8535" spans="3:10" x14ac:dyDescent="0.2">
      <c r="C8535" s="209"/>
      <c r="D8535" s="209"/>
      <c r="E8535" s="209"/>
      <c r="J8535" s="124"/>
    </row>
    <row r="8536" spans="3:10" x14ac:dyDescent="0.2">
      <c r="C8536" s="209"/>
      <c r="D8536" s="209"/>
      <c r="E8536" s="209"/>
      <c r="J8536" s="124"/>
    </row>
    <row r="8537" spans="3:10" x14ac:dyDescent="0.2">
      <c r="C8537" s="209"/>
      <c r="D8537" s="209"/>
      <c r="E8537" s="209"/>
      <c r="J8537" s="124"/>
    </row>
    <row r="8538" spans="3:10" x14ac:dyDescent="0.2">
      <c r="C8538" s="209"/>
      <c r="D8538" s="209"/>
      <c r="E8538" s="209"/>
      <c r="J8538" s="124"/>
    </row>
    <row r="8539" spans="3:10" x14ac:dyDescent="0.2">
      <c r="C8539" s="209"/>
      <c r="D8539" s="209"/>
      <c r="E8539" s="209"/>
      <c r="J8539" s="124"/>
    </row>
    <row r="8540" spans="3:10" x14ac:dyDescent="0.2">
      <c r="C8540" s="209"/>
      <c r="D8540" s="209"/>
      <c r="E8540" s="209"/>
      <c r="J8540" s="124"/>
    </row>
    <row r="8541" spans="3:10" x14ac:dyDescent="0.2">
      <c r="C8541" s="209"/>
      <c r="D8541" s="209"/>
      <c r="E8541" s="209"/>
      <c r="J8541" s="124"/>
    </row>
    <row r="8542" spans="3:10" x14ac:dyDescent="0.2">
      <c r="C8542" s="209"/>
      <c r="D8542" s="209"/>
      <c r="E8542" s="209"/>
      <c r="J8542" s="124"/>
    </row>
    <row r="8543" spans="3:10" x14ac:dyDescent="0.2">
      <c r="C8543" s="209"/>
      <c r="D8543" s="209"/>
      <c r="E8543" s="209"/>
      <c r="J8543" s="124"/>
    </row>
    <row r="8544" spans="3:10" x14ac:dyDescent="0.2">
      <c r="C8544" s="209"/>
      <c r="D8544" s="209"/>
      <c r="E8544" s="209"/>
      <c r="J8544" s="124"/>
    </row>
    <row r="8545" spans="3:10" x14ac:dyDescent="0.2">
      <c r="C8545" s="209"/>
      <c r="D8545" s="209"/>
      <c r="E8545" s="209"/>
      <c r="J8545" s="124"/>
    </row>
    <row r="8546" spans="3:10" x14ac:dyDescent="0.2">
      <c r="C8546" s="209"/>
      <c r="D8546" s="209"/>
      <c r="E8546" s="209"/>
      <c r="J8546" s="124"/>
    </row>
    <row r="8547" spans="3:10" x14ac:dyDescent="0.2">
      <c r="C8547" s="209"/>
      <c r="D8547" s="209"/>
      <c r="E8547" s="209"/>
      <c r="J8547" s="124"/>
    </row>
    <row r="8548" spans="3:10" x14ac:dyDescent="0.2">
      <c r="C8548" s="209"/>
      <c r="D8548" s="209"/>
      <c r="E8548" s="209"/>
      <c r="J8548" s="124"/>
    </row>
    <row r="8549" spans="3:10" x14ac:dyDescent="0.2">
      <c r="C8549" s="209"/>
      <c r="D8549" s="209"/>
      <c r="E8549" s="209"/>
      <c r="J8549" s="124"/>
    </row>
    <row r="8550" spans="3:10" x14ac:dyDescent="0.2">
      <c r="C8550" s="209"/>
      <c r="D8550" s="209"/>
      <c r="E8550" s="209"/>
      <c r="J8550" s="124"/>
    </row>
    <row r="8551" spans="3:10" x14ac:dyDescent="0.2">
      <c r="C8551" s="209"/>
      <c r="D8551" s="209"/>
      <c r="E8551" s="209"/>
      <c r="J8551" s="124"/>
    </row>
    <row r="8552" spans="3:10" x14ac:dyDescent="0.2">
      <c r="C8552" s="209"/>
      <c r="D8552" s="209"/>
      <c r="E8552" s="209"/>
      <c r="J8552" s="124"/>
    </row>
    <row r="8553" spans="3:10" x14ac:dyDescent="0.2">
      <c r="C8553" s="209"/>
      <c r="D8553" s="209"/>
      <c r="E8553" s="209"/>
      <c r="J8553" s="124"/>
    </row>
    <row r="8554" spans="3:10" x14ac:dyDescent="0.2">
      <c r="C8554" s="209"/>
      <c r="D8554" s="209"/>
      <c r="E8554" s="209"/>
      <c r="J8554" s="124"/>
    </row>
    <row r="8555" spans="3:10" x14ac:dyDescent="0.2">
      <c r="C8555" s="209"/>
      <c r="D8555" s="209"/>
      <c r="E8555" s="209"/>
      <c r="J8555" s="124"/>
    </row>
    <row r="8556" spans="3:10" x14ac:dyDescent="0.2">
      <c r="C8556" s="209"/>
      <c r="D8556" s="209"/>
      <c r="E8556" s="209"/>
      <c r="J8556" s="124"/>
    </row>
    <row r="8557" spans="3:10" x14ac:dyDescent="0.2">
      <c r="C8557" s="209"/>
      <c r="D8557" s="209"/>
      <c r="E8557" s="209"/>
      <c r="J8557" s="124"/>
    </row>
    <row r="8558" spans="3:10" x14ac:dyDescent="0.2">
      <c r="C8558" s="209"/>
      <c r="D8558" s="209"/>
      <c r="E8558" s="209"/>
      <c r="J8558" s="124"/>
    </row>
    <row r="8559" spans="3:10" x14ac:dyDescent="0.2">
      <c r="C8559" s="209"/>
      <c r="D8559" s="209"/>
      <c r="E8559" s="209"/>
      <c r="J8559" s="124"/>
    </row>
    <row r="8560" spans="3:10" x14ac:dyDescent="0.2">
      <c r="C8560" s="209"/>
      <c r="D8560" s="209"/>
      <c r="E8560" s="209"/>
      <c r="J8560" s="124"/>
    </row>
    <row r="8561" spans="3:10" x14ac:dyDescent="0.2">
      <c r="C8561" s="209"/>
      <c r="D8561" s="209"/>
      <c r="E8561" s="209"/>
      <c r="J8561" s="124"/>
    </row>
    <row r="8562" spans="3:10" x14ac:dyDescent="0.2">
      <c r="C8562" s="209"/>
      <c r="D8562" s="209"/>
      <c r="E8562" s="209"/>
      <c r="J8562" s="124"/>
    </row>
    <row r="8563" spans="3:10" x14ac:dyDescent="0.2">
      <c r="C8563" s="209"/>
      <c r="D8563" s="209"/>
      <c r="E8563" s="209"/>
      <c r="J8563" s="124"/>
    </row>
    <row r="8564" spans="3:10" x14ac:dyDescent="0.2">
      <c r="C8564" s="209"/>
      <c r="D8564" s="209"/>
      <c r="E8564" s="209"/>
      <c r="J8564" s="124"/>
    </row>
    <row r="8565" spans="3:10" x14ac:dyDescent="0.2">
      <c r="C8565" s="209"/>
      <c r="D8565" s="209"/>
      <c r="E8565" s="209"/>
      <c r="J8565" s="124"/>
    </row>
    <row r="8566" spans="3:10" x14ac:dyDescent="0.2">
      <c r="C8566" s="209"/>
      <c r="D8566" s="209"/>
      <c r="E8566" s="209"/>
      <c r="J8566" s="124"/>
    </row>
    <row r="8567" spans="3:10" x14ac:dyDescent="0.2">
      <c r="C8567" s="209"/>
      <c r="D8567" s="209"/>
      <c r="E8567" s="209"/>
      <c r="J8567" s="124"/>
    </row>
    <row r="8568" spans="3:10" x14ac:dyDescent="0.2">
      <c r="C8568" s="209"/>
      <c r="D8568" s="209"/>
      <c r="E8568" s="209"/>
      <c r="J8568" s="124"/>
    </row>
    <row r="8569" spans="3:10" x14ac:dyDescent="0.2">
      <c r="C8569" s="209"/>
      <c r="D8569" s="209"/>
      <c r="E8569" s="209"/>
      <c r="J8569" s="124"/>
    </row>
    <row r="8570" spans="3:10" x14ac:dyDescent="0.2">
      <c r="C8570" s="209"/>
      <c r="D8570" s="209"/>
      <c r="E8570" s="209"/>
      <c r="J8570" s="124"/>
    </row>
    <row r="8571" spans="3:10" x14ac:dyDescent="0.2">
      <c r="C8571" s="209"/>
      <c r="D8571" s="209"/>
      <c r="E8571" s="209"/>
      <c r="J8571" s="124"/>
    </row>
    <row r="8572" spans="3:10" x14ac:dyDescent="0.2">
      <c r="C8572" s="209"/>
      <c r="D8572" s="209"/>
      <c r="E8572" s="209"/>
      <c r="J8572" s="124"/>
    </row>
    <row r="8573" spans="3:10" x14ac:dyDescent="0.2">
      <c r="C8573" s="209"/>
      <c r="D8573" s="209"/>
      <c r="E8573" s="209"/>
      <c r="J8573" s="124"/>
    </row>
    <row r="8574" spans="3:10" x14ac:dyDescent="0.2">
      <c r="C8574" s="209"/>
      <c r="D8574" s="209"/>
      <c r="E8574" s="209"/>
      <c r="J8574" s="124"/>
    </row>
    <row r="8575" spans="3:10" x14ac:dyDescent="0.2">
      <c r="C8575" s="209"/>
      <c r="D8575" s="209"/>
      <c r="E8575" s="209"/>
      <c r="J8575" s="124"/>
    </row>
    <row r="8576" spans="3:10" x14ac:dyDescent="0.2">
      <c r="C8576" s="209"/>
      <c r="D8576" s="209"/>
      <c r="E8576" s="209"/>
      <c r="J8576" s="124"/>
    </row>
    <row r="8577" spans="3:10" x14ac:dyDescent="0.2">
      <c r="C8577" s="209"/>
      <c r="D8577" s="209"/>
      <c r="E8577" s="209"/>
      <c r="J8577" s="124"/>
    </row>
    <row r="8578" spans="3:10" x14ac:dyDescent="0.2">
      <c r="C8578" s="209"/>
      <c r="D8578" s="209"/>
      <c r="E8578" s="209"/>
      <c r="J8578" s="124"/>
    </row>
    <row r="8579" spans="3:10" x14ac:dyDescent="0.2">
      <c r="C8579" s="209"/>
      <c r="D8579" s="209"/>
      <c r="E8579" s="209"/>
      <c r="J8579" s="124"/>
    </row>
    <row r="8580" spans="3:10" x14ac:dyDescent="0.2">
      <c r="C8580" s="209"/>
      <c r="D8580" s="209"/>
      <c r="E8580" s="209"/>
      <c r="J8580" s="124"/>
    </row>
    <row r="8581" spans="3:10" x14ac:dyDescent="0.2">
      <c r="C8581" s="209"/>
      <c r="D8581" s="209"/>
      <c r="E8581" s="209"/>
      <c r="J8581" s="124"/>
    </row>
    <row r="8582" spans="3:10" x14ac:dyDescent="0.2">
      <c r="C8582" s="209"/>
      <c r="D8582" s="209"/>
      <c r="E8582" s="209"/>
      <c r="J8582" s="124"/>
    </row>
    <row r="8583" spans="3:10" x14ac:dyDescent="0.2">
      <c r="C8583" s="209"/>
      <c r="D8583" s="209"/>
      <c r="E8583" s="209"/>
      <c r="J8583" s="124"/>
    </row>
    <row r="8584" spans="3:10" x14ac:dyDescent="0.2">
      <c r="C8584" s="209"/>
      <c r="D8584" s="209"/>
      <c r="E8584" s="209"/>
      <c r="J8584" s="124"/>
    </row>
    <row r="8585" spans="3:10" x14ac:dyDescent="0.2">
      <c r="C8585" s="209"/>
      <c r="D8585" s="209"/>
      <c r="E8585" s="209"/>
      <c r="J8585" s="124"/>
    </row>
    <row r="8586" spans="3:10" x14ac:dyDescent="0.2">
      <c r="C8586" s="209"/>
      <c r="D8586" s="209"/>
      <c r="E8586" s="209"/>
      <c r="J8586" s="124"/>
    </row>
    <row r="8587" spans="3:10" x14ac:dyDescent="0.2">
      <c r="C8587" s="209"/>
      <c r="D8587" s="209"/>
      <c r="E8587" s="209"/>
      <c r="J8587" s="124"/>
    </row>
    <row r="8588" spans="3:10" x14ac:dyDescent="0.2">
      <c r="C8588" s="209"/>
      <c r="D8588" s="209"/>
      <c r="E8588" s="209"/>
      <c r="J8588" s="124"/>
    </row>
    <row r="8589" spans="3:10" x14ac:dyDescent="0.2">
      <c r="C8589" s="209"/>
      <c r="D8589" s="209"/>
      <c r="E8589" s="209"/>
      <c r="J8589" s="124"/>
    </row>
    <row r="8590" spans="3:10" x14ac:dyDescent="0.2">
      <c r="C8590" s="209"/>
      <c r="D8590" s="209"/>
      <c r="E8590" s="209"/>
      <c r="J8590" s="124"/>
    </row>
    <row r="8591" spans="3:10" x14ac:dyDescent="0.2">
      <c r="C8591" s="209"/>
      <c r="D8591" s="209"/>
      <c r="E8591" s="209"/>
      <c r="J8591" s="124"/>
    </row>
    <row r="8592" spans="3:10" x14ac:dyDescent="0.2">
      <c r="C8592" s="209"/>
      <c r="D8592" s="209"/>
      <c r="E8592" s="209"/>
      <c r="J8592" s="124"/>
    </row>
    <row r="8593" spans="3:10" x14ac:dyDescent="0.2">
      <c r="C8593" s="209"/>
      <c r="D8593" s="209"/>
      <c r="E8593" s="209"/>
      <c r="J8593" s="124"/>
    </row>
    <row r="8594" spans="3:10" x14ac:dyDescent="0.2">
      <c r="C8594" s="209"/>
      <c r="D8594" s="209"/>
      <c r="E8594" s="209"/>
      <c r="J8594" s="124"/>
    </row>
    <row r="8595" spans="3:10" x14ac:dyDescent="0.2">
      <c r="C8595" s="209"/>
      <c r="D8595" s="209"/>
      <c r="E8595" s="209"/>
      <c r="J8595" s="124"/>
    </row>
    <row r="8596" spans="3:10" x14ac:dyDescent="0.2">
      <c r="C8596" s="209"/>
      <c r="D8596" s="209"/>
      <c r="E8596" s="209"/>
      <c r="J8596" s="124"/>
    </row>
    <row r="8597" spans="3:10" x14ac:dyDescent="0.2">
      <c r="C8597" s="209"/>
      <c r="D8597" s="209"/>
      <c r="E8597" s="209"/>
      <c r="J8597" s="124"/>
    </row>
    <row r="8598" spans="3:10" x14ac:dyDescent="0.2">
      <c r="C8598" s="209"/>
      <c r="D8598" s="209"/>
      <c r="E8598" s="209"/>
      <c r="J8598" s="124"/>
    </row>
    <row r="8599" spans="3:10" x14ac:dyDescent="0.2">
      <c r="C8599" s="209"/>
      <c r="D8599" s="209"/>
      <c r="E8599" s="209"/>
      <c r="J8599" s="124"/>
    </row>
    <row r="8600" spans="3:10" x14ac:dyDescent="0.2">
      <c r="C8600" s="209"/>
      <c r="D8600" s="209"/>
      <c r="E8600" s="209"/>
      <c r="J8600" s="124"/>
    </row>
    <row r="8601" spans="3:10" x14ac:dyDescent="0.2">
      <c r="C8601" s="209"/>
      <c r="D8601" s="209"/>
      <c r="E8601" s="209"/>
      <c r="J8601" s="124"/>
    </row>
    <row r="8602" spans="3:10" x14ac:dyDescent="0.2">
      <c r="C8602" s="209"/>
      <c r="D8602" s="209"/>
      <c r="E8602" s="209"/>
      <c r="J8602" s="124"/>
    </row>
    <row r="8603" spans="3:10" x14ac:dyDescent="0.2">
      <c r="C8603" s="209"/>
      <c r="D8603" s="209"/>
      <c r="E8603" s="209"/>
      <c r="J8603" s="124"/>
    </row>
    <row r="8604" spans="3:10" x14ac:dyDescent="0.2">
      <c r="C8604" s="209"/>
      <c r="D8604" s="209"/>
      <c r="E8604" s="209"/>
      <c r="J8604" s="124"/>
    </row>
    <row r="8605" spans="3:10" x14ac:dyDescent="0.2">
      <c r="C8605" s="209"/>
      <c r="D8605" s="209"/>
      <c r="E8605" s="209"/>
      <c r="J8605" s="124"/>
    </row>
    <row r="8606" spans="3:10" x14ac:dyDescent="0.2">
      <c r="C8606" s="209"/>
      <c r="D8606" s="209"/>
      <c r="E8606" s="209"/>
      <c r="J8606" s="124"/>
    </row>
    <row r="8607" spans="3:10" x14ac:dyDescent="0.2">
      <c r="C8607" s="209"/>
      <c r="D8607" s="209"/>
      <c r="E8607" s="209"/>
      <c r="J8607" s="124"/>
    </row>
    <row r="8608" spans="3:10" x14ac:dyDescent="0.2">
      <c r="C8608" s="209"/>
      <c r="D8608" s="209"/>
      <c r="E8608" s="209"/>
      <c r="J8608" s="124"/>
    </row>
    <row r="8609" spans="3:10" x14ac:dyDescent="0.2">
      <c r="C8609" s="209"/>
      <c r="D8609" s="209"/>
      <c r="E8609" s="209"/>
      <c r="J8609" s="124"/>
    </row>
    <row r="8610" spans="3:10" x14ac:dyDescent="0.2">
      <c r="C8610" s="209"/>
      <c r="D8610" s="209"/>
      <c r="E8610" s="209"/>
      <c r="J8610" s="124"/>
    </row>
    <row r="8611" spans="3:10" x14ac:dyDescent="0.2">
      <c r="C8611" s="209"/>
      <c r="D8611" s="209"/>
      <c r="E8611" s="209"/>
      <c r="J8611" s="124"/>
    </row>
    <row r="8612" spans="3:10" x14ac:dyDescent="0.2">
      <c r="C8612" s="209"/>
      <c r="D8612" s="209"/>
      <c r="E8612" s="209"/>
      <c r="J8612" s="124"/>
    </row>
    <row r="8613" spans="3:10" x14ac:dyDescent="0.2">
      <c r="C8613" s="209"/>
      <c r="D8613" s="209"/>
      <c r="E8613" s="209"/>
      <c r="J8613" s="124"/>
    </row>
    <row r="8614" spans="3:10" x14ac:dyDescent="0.2">
      <c r="C8614" s="209"/>
      <c r="D8614" s="209"/>
      <c r="E8614" s="209"/>
      <c r="J8614" s="124"/>
    </row>
    <row r="8615" spans="3:10" x14ac:dyDescent="0.2">
      <c r="C8615" s="209"/>
      <c r="D8615" s="209"/>
      <c r="E8615" s="209"/>
      <c r="J8615" s="124"/>
    </row>
    <row r="8616" spans="3:10" x14ac:dyDescent="0.2">
      <c r="C8616" s="209"/>
      <c r="D8616" s="209"/>
      <c r="E8616" s="209"/>
      <c r="J8616" s="124"/>
    </row>
    <row r="8617" spans="3:10" x14ac:dyDescent="0.2">
      <c r="C8617" s="209"/>
      <c r="D8617" s="209"/>
      <c r="E8617" s="209"/>
      <c r="J8617" s="124"/>
    </row>
    <row r="8618" spans="3:10" x14ac:dyDescent="0.2">
      <c r="C8618" s="209"/>
      <c r="D8618" s="209"/>
      <c r="E8618" s="209"/>
      <c r="J8618" s="124"/>
    </row>
    <row r="8619" spans="3:10" x14ac:dyDescent="0.2">
      <c r="C8619" s="209"/>
      <c r="D8619" s="209"/>
      <c r="E8619" s="209"/>
      <c r="J8619" s="124"/>
    </row>
    <row r="8620" spans="3:10" x14ac:dyDescent="0.2">
      <c r="C8620" s="209"/>
      <c r="D8620" s="209"/>
      <c r="E8620" s="209"/>
      <c r="J8620" s="124"/>
    </row>
    <row r="8621" spans="3:10" x14ac:dyDescent="0.2">
      <c r="C8621" s="209"/>
      <c r="D8621" s="209"/>
      <c r="E8621" s="209"/>
      <c r="J8621" s="124"/>
    </row>
    <row r="8622" spans="3:10" x14ac:dyDescent="0.2">
      <c r="C8622" s="209"/>
      <c r="D8622" s="209"/>
      <c r="E8622" s="209"/>
      <c r="J8622" s="124"/>
    </row>
    <row r="8623" spans="3:10" x14ac:dyDescent="0.2">
      <c r="C8623" s="209"/>
      <c r="D8623" s="209"/>
      <c r="E8623" s="209"/>
      <c r="J8623" s="124"/>
    </row>
    <row r="8624" spans="3:10" x14ac:dyDescent="0.2">
      <c r="C8624" s="209"/>
      <c r="D8624" s="209"/>
      <c r="E8624" s="209"/>
      <c r="J8624" s="124"/>
    </row>
    <row r="8625" spans="3:10" x14ac:dyDescent="0.2">
      <c r="C8625" s="209"/>
      <c r="D8625" s="209"/>
      <c r="E8625" s="209"/>
      <c r="J8625" s="124"/>
    </row>
    <row r="8626" spans="3:10" x14ac:dyDescent="0.2">
      <c r="C8626" s="209"/>
      <c r="D8626" s="209"/>
      <c r="E8626" s="209"/>
      <c r="J8626" s="124"/>
    </row>
    <row r="8627" spans="3:10" x14ac:dyDescent="0.2">
      <c r="C8627" s="209"/>
      <c r="D8627" s="209"/>
      <c r="E8627" s="209"/>
      <c r="J8627" s="124"/>
    </row>
    <row r="8628" spans="3:10" x14ac:dyDescent="0.2">
      <c r="C8628" s="209"/>
      <c r="D8628" s="209"/>
      <c r="E8628" s="209"/>
      <c r="J8628" s="124"/>
    </row>
    <row r="8629" spans="3:10" x14ac:dyDescent="0.2">
      <c r="C8629" s="209"/>
      <c r="D8629" s="209"/>
      <c r="E8629" s="209"/>
      <c r="J8629" s="124"/>
    </row>
    <row r="8630" spans="3:10" x14ac:dyDescent="0.2">
      <c r="C8630" s="209"/>
      <c r="D8630" s="209"/>
      <c r="E8630" s="209"/>
      <c r="J8630" s="124"/>
    </row>
    <row r="8631" spans="3:10" x14ac:dyDescent="0.2">
      <c r="C8631" s="209"/>
      <c r="D8631" s="209"/>
      <c r="E8631" s="209"/>
      <c r="J8631" s="124"/>
    </row>
    <row r="8632" spans="3:10" x14ac:dyDescent="0.2">
      <c r="C8632" s="209"/>
      <c r="D8632" s="209"/>
      <c r="E8632" s="209"/>
      <c r="J8632" s="124"/>
    </row>
    <row r="8633" spans="3:10" x14ac:dyDescent="0.2">
      <c r="C8633" s="209"/>
      <c r="D8633" s="209"/>
      <c r="E8633" s="209"/>
      <c r="J8633" s="124"/>
    </row>
    <row r="8634" spans="3:10" x14ac:dyDescent="0.2">
      <c r="C8634" s="209"/>
      <c r="D8634" s="209"/>
      <c r="E8634" s="209"/>
      <c r="J8634" s="124"/>
    </row>
    <row r="8635" spans="3:10" x14ac:dyDescent="0.2">
      <c r="C8635" s="209"/>
      <c r="D8635" s="209"/>
      <c r="E8635" s="209"/>
      <c r="J8635" s="124"/>
    </row>
    <row r="8636" spans="3:10" x14ac:dyDescent="0.2">
      <c r="C8636" s="209"/>
      <c r="D8636" s="209"/>
      <c r="E8636" s="209"/>
      <c r="J8636" s="124"/>
    </row>
    <row r="8637" spans="3:10" x14ac:dyDescent="0.2">
      <c r="C8637" s="209"/>
      <c r="D8637" s="209"/>
      <c r="E8637" s="209"/>
      <c r="J8637" s="124"/>
    </row>
    <row r="8638" spans="3:10" x14ac:dyDescent="0.2">
      <c r="C8638" s="209"/>
      <c r="D8638" s="209"/>
      <c r="E8638" s="209"/>
      <c r="J8638" s="124"/>
    </row>
    <row r="8639" spans="3:10" x14ac:dyDescent="0.2">
      <c r="C8639" s="209"/>
      <c r="D8639" s="209"/>
      <c r="E8639" s="209"/>
      <c r="J8639" s="124"/>
    </row>
    <row r="8640" spans="3:10" x14ac:dyDescent="0.2">
      <c r="C8640" s="209"/>
      <c r="D8640" s="209"/>
      <c r="E8640" s="209"/>
      <c r="J8640" s="124"/>
    </row>
    <row r="8641" spans="3:10" x14ac:dyDescent="0.2">
      <c r="C8641" s="209"/>
      <c r="D8641" s="209"/>
      <c r="E8641" s="209"/>
      <c r="J8641" s="124"/>
    </row>
    <row r="8642" spans="3:10" x14ac:dyDescent="0.2">
      <c r="C8642" s="209"/>
      <c r="D8642" s="209"/>
      <c r="E8642" s="209"/>
      <c r="J8642" s="124"/>
    </row>
    <row r="8643" spans="3:10" x14ac:dyDescent="0.2">
      <c r="C8643" s="209"/>
      <c r="D8643" s="209"/>
      <c r="E8643" s="209"/>
      <c r="J8643" s="124"/>
    </row>
    <row r="8644" spans="3:10" x14ac:dyDescent="0.2">
      <c r="C8644" s="209"/>
      <c r="D8644" s="209"/>
      <c r="E8644" s="209"/>
      <c r="J8644" s="124"/>
    </row>
    <row r="8645" spans="3:10" x14ac:dyDescent="0.2">
      <c r="C8645" s="209"/>
      <c r="D8645" s="209"/>
      <c r="E8645" s="209"/>
      <c r="J8645" s="124"/>
    </row>
    <row r="8646" spans="3:10" x14ac:dyDescent="0.2">
      <c r="C8646" s="209"/>
      <c r="D8646" s="209"/>
      <c r="E8646" s="209"/>
      <c r="J8646" s="124"/>
    </row>
    <row r="8647" spans="3:10" x14ac:dyDescent="0.2">
      <c r="C8647" s="209"/>
      <c r="D8647" s="209"/>
      <c r="E8647" s="209"/>
      <c r="J8647" s="124"/>
    </row>
    <row r="8648" spans="3:10" x14ac:dyDescent="0.2">
      <c r="C8648" s="209"/>
      <c r="D8648" s="209"/>
      <c r="E8648" s="209"/>
      <c r="J8648" s="124"/>
    </row>
    <row r="8649" spans="3:10" x14ac:dyDescent="0.2">
      <c r="C8649" s="209"/>
      <c r="D8649" s="209"/>
      <c r="E8649" s="209"/>
      <c r="J8649" s="124"/>
    </row>
    <row r="8650" spans="3:10" x14ac:dyDescent="0.2">
      <c r="C8650" s="209"/>
      <c r="D8650" s="209"/>
      <c r="E8650" s="209"/>
      <c r="J8650" s="124"/>
    </row>
    <row r="8651" spans="3:10" x14ac:dyDescent="0.2">
      <c r="C8651" s="209"/>
      <c r="D8651" s="209"/>
      <c r="E8651" s="209"/>
      <c r="J8651" s="124"/>
    </row>
    <row r="8652" spans="3:10" x14ac:dyDescent="0.2">
      <c r="C8652" s="209"/>
      <c r="D8652" s="209"/>
      <c r="E8652" s="209"/>
      <c r="J8652" s="124"/>
    </row>
    <row r="8653" spans="3:10" x14ac:dyDescent="0.2">
      <c r="C8653" s="209"/>
      <c r="D8653" s="209"/>
      <c r="E8653" s="209"/>
      <c r="J8653" s="124"/>
    </row>
    <row r="8654" spans="3:10" x14ac:dyDescent="0.2">
      <c r="C8654" s="209"/>
      <c r="D8654" s="209"/>
      <c r="E8654" s="209"/>
      <c r="J8654" s="124"/>
    </row>
    <row r="8655" spans="3:10" x14ac:dyDescent="0.2">
      <c r="C8655" s="209"/>
      <c r="D8655" s="209"/>
      <c r="E8655" s="209"/>
      <c r="J8655" s="124"/>
    </row>
    <row r="8656" spans="3:10" x14ac:dyDescent="0.2">
      <c r="C8656" s="209"/>
      <c r="D8656" s="209"/>
      <c r="E8656" s="209"/>
      <c r="J8656" s="124"/>
    </row>
    <row r="8657" spans="3:10" x14ac:dyDescent="0.2">
      <c r="C8657" s="209"/>
      <c r="D8657" s="209"/>
      <c r="E8657" s="209"/>
      <c r="J8657" s="124"/>
    </row>
    <row r="8658" spans="3:10" x14ac:dyDescent="0.2">
      <c r="C8658" s="209"/>
      <c r="D8658" s="209"/>
      <c r="E8658" s="209"/>
      <c r="J8658" s="124"/>
    </row>
    <row r="8659" spans="3:10" x14ac:dyDescent="0.2">
      <c r="C8659" s="209"/>
      <c r="D8659" s="209"/>
      <c r="E8659" s="209"/>
      <c r="J8659" s="124"/>
    </row>
    <row r="8660" spans="3:10" x14ac:dyDescent="0.2">
      <c r="C8660" s="209"/>
      <c r="D8660" s="209"/>
      <c r="E8660" s="209"/>
      <c r="J8660" s="124"/>
    </row>
    <row r="8661" spans="3:10" x14ac:dyDescent="0.2">
      <c r="C8661" s="209"/>
      <c r="D8661" s="209"/>
      <c r="E8661" s="209"/>
      <c r="J8661" s="124"/>
    </row>
    <row r="8662" spans="3:10" x14ac:dyDescent="0.2">
      <c r="C8662" s="209"/>
      <c r="D8662" s="209"/>
      <c r="E8662" s="209"/>
      <c r="J8662" s="124"/>
    </row>
    <row r="8663" spans="3:10" x14ac:dyDescent="0.2">
      <c r="C8663" s="209"/>
      <c r="D8663" s="209"/>
      <c r="E8663" s="209"/>
      <c r="J8663" s="124"/>
    </row>
    <row r="8664" spans="3:10" x14ac:dyDescent="0.2">
      <c r="C8664" s="209"/>
      <c r="D8664" s="209"/>
      <c r="E8664" s="209"/>
      <c r="J8664" s="124"/>
    </row>
    <row r="8665" spans="3:10" x14ac:dyDescent="0.2">
      <c r="C8665" s="209"/>
      <c r="D8665" s="209"/>
      <c r="E8665" s="209"/>
      <c r="J8665" s="124"/>
    </row>
    <row r="8666" spans="3:10" x14ac:dyDescent="0.2">
      <c r="C8666" s="209"/>
      <c r="D8666" s="209"/>
      <c r="E8666" s="209"/>
      <c r="J8666" s="124"/>
    </row>
    <row r="8667" spans="3:10" x14ac:dyDescent="0.2">
      <c r="C8667" s="209"/>
      <c r="D8667" s="209"/>
      <c r="E8667" s="209"/>
      <c r="J8667" s="124"/>
    </row>
    <row r="8668" spans="3:10" x14ac:dyDescent="0.2">
      <c r="C8668" s="209"/>
      <c r="D8668" s="209"/>
      <c r="E8668" s="209"/>
      <c r="J8668" s="124"/>
    </row>
    <row r="8669" spans="3:10" x14ac:dyDescent="0.2">
      <c r="C8669" s="209"/>
      <c r="D8669" s="209"/>
      <c r="E8669" s="209"/>
      <c r="J8669" s="124"/>
    </row>
    <row r="8670" spans="3:10" x14ac:dyDescent="0.2">
      <c r="C8670" s="209"/>
      <c r="D8670" s="209"/>
      <c r="E8670" s="209"/>
      <c r="J8670" s="124"/>
    </row>
    <row r="8671" spans="3:10" x14ac:dyDescent="0.2">
      <c r="C8671" s="209"/>
      <c r="D8671" s="209"/>
      <c r="E8671" s="209"/>
      <c r="J8671" s="124"/>
    </row>
    <row r="8672" spans="3:10" x14ac:dyDescent="0.2">
      <c r="C8672" s="209"/>
      <c r="D8672" s="209"/>
      <c r="E8672" s="209"/>
      <c r="J8672" s="124"/>
    </row>
    <row r="8673" spans="3:10" x14ac:dyDescent="0.2">
      <c r="C8673" s="209"/>
      <c r="D8673" s="209"/>
      <c r="E8673" s="209"/>
      <c r="J8673" s="124"/>
    </row>
    <row r="8674" spans="3:10" x14ac:dyDescent="0.2">
      <c r="C8674" s="209"/>
      <c r="D8674" s="209"/>
      <c r="E8674" s="209"/>
      <c r="J8674" s="124"/>
    </row>
    <row r="8675" spans="3:10" x14ac:dyDescent="0.2">
      <c r="C8675" s="209"/>
      <c r="D8675" s="209"/>
      <c r="E8675" s="209"/>
      <c r="J8675" s="124"/>
    </row>
    <row r="8676" spans="3:10" x14ac:dyDescent="0.2">
      <c r="C8676" s="209"/>
      <c r="D8676" s="209"/>
      <c r="E8676" s="209"/>
      <c r="J8676" s="124"/>
    </row>
    <row r="8677" spans="3:10" x14ac:dyDescent="0.2">
      <c r="C8677" s="209"/>
      <c r="D8677" s="209"/>
      <c r="E8677" s="209"/>
      <c r="J8677" s="124"/>
    </row>
    <row r="8678" spans="3:10" x14ac:dyDescent="0.2">
      <c r="C8678" s="209"/>
      <c r="D8678" s="209"/>
      <c r="E8678" s="209"/>
      <c r="J8678" s="124"/>
    </row>
    <row r="8679" spans="3:10" x14ac:dyDescent="0.2">
      <c r="C8679" s="209"/>
      <c r="D8679" s="209"/>
      <c r="E8679" s="209"/>
      <c r="J8679" s="124"/>
    </row>
    <row r="8680" spans="3:10" x14ac:dyDescent="0.2">
      <c r="C8680" s="209"/>
      <c r="D8680" s="209"/>
      <c r="E8680" s="209"/>
      <c r="J8680" s="124"/>
    </row>
    <row r="8681" spans="3:10" x14ac:dyDescent="0.2">
      <c r="C8681" s="209"/>
      <c r="D8681" s="209"/>
      <c r="E8681" s="209"/>
      <c r="J8681" s="124"/>
    </row>
    <row r="8682" spans="3:10" x14ac:dyDescent="0.2">
      <c r="C8682" s="209"/>
      <c r="D8682" s="209"/>
      <c r="E8682" s="209"/>
      <c r="J8682" s="124"/>
    </row>
    <row r="8683" spans="3:10" x14ac:dyDescent="0.2">
      <c r="C8683" s="209"/>
      <c r="D8683" s="209"/>
      <c r="E8683" s="209"/>
      <c r="J8683" s="124"/>
    </row>
    <row r="8684" spans="3:10" x14ac:dyDescent="0.2">
      <c r="C8684" s="209"/>
      <c r="D8684" s="209"/>
      <c r="E8684" s="209"/>
      <c r="J8684" s="124"/>
    </row>
    <row r="8685" spans="3:10" x14ac:dyDescent="0.2">
      <c r="C8685" s="209"/>
      <c r="D8685" s="209"/>
      <c r="E8685" s="209"/>
      <c r="J8685" s="124"/>
    </row>
    <row r="8686" spans="3:10" x14ac:dyDescent="0.2">
      <c r="C8686" s="209"/>
      <c r="D8686" s="209"/>
      <c r="E8686" s="209"/>
      <c r="J8686" s="124"/>
    </row>
    <row r="8687" spans="3:10" x14ac:dyDescent="0.2">
      <c r="C8687" s="209"/>
      <c r="D8687" s="209"/>
      <c r="E8687" s="209"/>
      <c r="J8687" s="124"/>
    </row>
    <row r="8688" spans="3:10" x14ac:dyDescent="0.2">
      <c r="C8688" s="209"/>
      <c r="D8688" s="209"/>
      <c r="E8688" s="209"/>
      <c r="J8688" s="124"/>
    </row>
    <row r="8689" spans="3:10" x14ac:dyDescent="0.2">
      <c r="C8689" s="209"/>
      <c r="D8689" s="209"/>
      <c r="E8689" s="209"/>
      <c r="J8689" s="124"/>
    </row>
    <row r="8690" spans="3:10" x14ac:dyDescent="0.2">
      <c r="C8690" s="209"/>
      <c r="D8690" s="209"/>
      <c r="E8690" s="209"/>
      <c r="J8690" s="124"/>
    </row>
    <row r="8691" spans="3:10" x14ac:dyDescent="0.2">
      <c r="C8691" s="209"/>
      <c r="D8691" s="209"/>
      <c r="E8691" s="209"/>
      <c r="J8691" s="124"/>
    </row>
    <row r="8692" spans="3:10" x14ac:dyDescent="0.2">
      <c r="C8692" s="209"/>
      <c r="D8692" s="209"/>
      <c r="E8692" s="209"/>
      <c r="J8692" s="124"/>
    </row>
    <row r="8693" spans="3:10" x14ac:dyDescent="0.2">
      <c r="C8693" s="209"/>
      <c r="D8693" s="209"/>
      <c r="E8693" s="209"/>
      <c r="J8693" s="124"/>
    </row>
    <row r="8694" spans="3:10" x14ac:dyDescent="0.2">
      <c r="C8694" s="209"/>
      <c r="D8694" s="209"/>
      <c r="E8694" s="209"/>
      <c r="J8694" s="124"/>
    </row>
    <row r="8695" spans="3:10" x14ac:dyDescent="0.2">
      <c r="C8695" s="209"/>
      <c r="D8695" s="209"/>
      <c r="E8695" s="209"/>
      <c r="J8695" s="124"/>
    </row>
    <row r="8696" spans="3:10" x14ac:dyDescent="0.2">
      <c r="C8696" s="209"/>
      <c r="D8696" s="209"/>
      <c r="E8696" s="209"/>
      <c r="J8696" s="124"/>
    </row>
    <row r="8697" spans="3:10" x14ac:dyDescent="0.2">
      <c r="C8697" s="209"/>
      <c r="D8697" s="209"/>
      <c r="E8697" s="209"/>
      <c r="J8697" s="124"/>
    </row>
    <row r="8698" spans="3:10" x14ac:dyDescent="0.2">
      <c r="C8698" s="209"/>
      <c r="D8698" s="209"/>
      <c r="E8698" s="209"/>
      <c r="J8698" s="124"/>
    </row>
    <row r="8699" spans="3:10" x14ac:dyDescent="0.2">
      <c r="C8699" s="209"/>
      <c r="D8699" s="209"/>
      <c r="E8699" s="209"/>
      <c r="J8699" s="124"/>
    </row>
    <row r="8700" spans="3:10" x14ac:dyDescent="0.2">
      <c r="C8700" s="209"/>
      <c r="D8700" s="209"/>
      <c r="E8700" s="209"/>
      <c r="J8700" s="124"/>
    </row>
    <row r="8701" spans="3:10" x14ac:dyDescent="0.2">
      <c r="C8701" s="209"/>
      <c r="D8701" s="209"/>
      <c r="E8701" s="209"/>
      <c r="J8701" s="124"/>
    </row>
    <row r="8702" spans="3:10" x14ac:dyDescent="0.2">
      <c r="C8702" s="209"/>
      <c r="D8702" s="209"/>
      <c r="E8702" s="209"/>
      <c r="J8702" s="124"/>
    </row>
    <row r="8703" spans="3:10" x14ac:dyDescent="0.2">
      <c r="C8703" s="209"/>
      <c r="D8703" s="209"/>
      <c r="E8703" s="209"/>
      <c r="J8703" s="124"/>
    </row>
    <row r="8704" spans="3:10" x14ac:dyDescent="0.2">
      <c r="C8704" s="209"/>
      <c r="D8704" s="209"/>
      <c r="E8704" s="209"/>
      <c r="J8704" s="124"/>
    </row>
    <row r="8705" spans="3:10" x14ac:dyDescent="0.2">
      <c r="C8705" s="209"/>
      <c r="D8705" s="209"/>
      <c r="E8705" s="209"/>
      <c r="J8705" s="124"/>
    </row>
    <row r="8706" spans="3:10" x14ac:dyDescent="0.2">
      <c r="C8706" s="209"/>
      <c r="D8706" s="209"/>
      <c r="E8706" s="209"/>
      <c r="J8706" s="124"/>
    </row>
    <row r="8707" spans="3:10" x14ac:dyDescent="0.2">
      <c r="C8707" s="209"/>
      <c r="D8707" s="209"/>
      <c r="E8707" s="209"/>
      <c r="J8707" s="124"/>
    </row>
    <row r="8708" spans="3:10" x14ac:dyDescent="0.2">
      <c r="C8708" s="209"/>
      <c r="D8708" s="209"/>
      <c r="E8708" s="209"/>
      <c r="J8708" s="124"/>
    </row>
    <row r="8709" spans="3:10" x14ac:dyDescent="0.2">
      <c r="C8709" s="209"/>
      <c r="D8709" s="209"/>
      <c r="E8709" s="209"/>
      <c r="J8709" s="124"/>
    </row>
    <row r="8710" spans="3:10" x14ac:dyDescent="0.2">
      <c r="C8710" s="209"/>
      <c r="D8710" s="209"/>
      <c r="E8710" s="209"/>
      <c r="J8710" s="124"/>
    </row>
    <row r="8711" spans="3:10" x14ac:dyDescent="0.2">
      <c r="C8711" s="209"/>
      <c r="D8711" s="209"/>
      <c r="E8711" s="209"/>
      <c r="J8711" s="124"/>
    </row>
    <row r="8712" spans="3:10" x14ac:dyDescent="0.2">
      <c r="C8712" s="209"/>
      <c r="D8712" s="209"/>
      <c r="E8712" s="209"/>
      <c r="J8712" s="124"/>
    </row>
    <row r="8713" spans="3:10" x14ac:dyDescent="0.2">
      <c r="C8713" s="209"/>
      <c r="D8713" s="209"/>
      <c r="E8713" s="209"/>
      <c r="J8713" s="124"/>
    </row>
    <row r="8714" spans="3:10" x14ac:dyDescent="0.2">
      <c r="C8714" s="209"/>
      <c r="D8714" s="209"/>
      <c r="E8714" s="209"/>
      <c r="J8714" s="124"/>
    </row>
    <row r="8715" spans="3:10" x14ac:dyDescent="0.2">
      <c r="C8715" s="209"/>
      <c r="D8715" s="209"/>
      <c r="E8715" s="209"/>
      <c r="J8715" s="124"/>
    </row>
    <row r="8716" spans="3:10" x14ac:dyDescent="0.2">
      <c r="C8716" s="209"/>
      <c r="D8716" s="209"/>
      <c r="E8716" s="209"/>
      <c r="J8716" s="124"/>
    </row>
    <row r="8717" spans="3:10" x14ac:dyDescent="0.2">
      <c r="C8717" s="209"/>
      <c r="D8717" s="209"/>
      <c r="E8717" s="209"/>
      <c r="J8717" s="124"/>
    </row>
    <row r="8718" spans="3:10" x14ac:dyDescent="0.2">
      <c r="C8718" s="209"/>
      <c r="D8718" s="209"/>
      <c r="E8718" s="209"/>
      <c r="J8718" s="124"/>
    </row>
    <row r="8719" spans="3:10" x14ac:dyDescent="0.2">
      <c r="C8719" s="209"/>
      <c r="D8719" s="209"/>
      <c r="E8719" s="209"/>
      <c r="J8719" s="124"/>
    </row>
    <row r="8720" spans="3:10" x14ac:dyDescent="0.2">
      <c r="C8720" s="209"/>
      <c r="D8720" s="209"/>
      <c r="E8720" s="209"/>
      <c r="J8720" s="124"/>
    </row>
    <row r="8721" spans="3:10" x14ac:dyDescent="0.2">
      <c r="C8721" s="209"/>
      <c r="D8721" s="209"/>
      <c r="E8721" s="209"/>
      <c r="J8721" s="124"/>
    </row>
    <row r="8722" spans="3:10" x14ac:dyDescent="0.2">
      <c r="C8722" s="209"/>
      <c r="D8722" s="209"/>
      <c r="E8722" s="209"/>
      <c r="J8722" s="124"/>
    </row>
    <row r="8723" spans="3:10" x14ac:dyDescent="0.2">
      <c r="C8723" s="209"/>
      <c r="D8723" s="209"/>
      <c r="E8723" s="209"/>
      <c r="J8723" s="124"/>
    </row>
    <row r="8724" spans="3:10" x14ac:dyDescent="0.2">
      <c r="C8724" s="209"/>
      <c r="D8724" s="209"/>
      <c r="E8724" s="209"/>
      <c r="J8724" s="124"/>
    </row>
    <row r="8725" spans="3:10" x14ac:dyDescent="0.2">
      <c r="C8725" s="209"/>
      <c r="D8725" s="209"/>
      <c r="E8725" s="209"/>
      <c r="J8725" s="124"/>
    </row>
    <row r="8726" spans="3:10" x14ac:dyDescent="0.2">
      <c r="C8726" s="209"/>
      <c r="D8726" s="209"/>
      <c r="E8726" s="209"/>
      <c r="J8726" s="124"/>
    </row>
    <row r="8727" spans="3:10" x14ac:dyDescent="0.2">
      <c r="C8727" s="209"/>
      <c r="D8727" s="209"/>
      <c r="E8727" s="209"/>
      <c r="J8727" s="124"/>
    </row>
    <row r="8728" spans="3:10" x14ac:dyDescent="0.2">
      <c r="C8728" s="209"/>
      <c r="D8728" s="209"/>
      <c r="E8728" s="209"/>
      <c r="J8728" s="124"/>
    </row>
    <row r="8729" spans="3:10" x14ac:dyDescent="0.2">
      <c r="C8729" s="209"/>
      <c r="D8729" s="209"/>
      <c r="E8729" s="209"/>
      <c r="J8729" s="124"/>
    </row>
    <row r="8730" spans="3:10" x14ac:dyDescent="0.2">
      <c r="C8730" s="209"/>
      <c r="D8730" s="209"/>
      <c r="E8730" s="209"/>
      <c r="J8730" s="124"/>
    </row>
    <row r="8731" spans="3:10" x14ac:dyDescent="0.2">
      <c r="C8731" s="209"/>
      <c r="D8731" s="209"/>
      <c r="E8731" s="209"/>
      <c r="J8731" s="124"/>
    </row>
    <row r="8732" spans="3:10" x14ac:dyDescent="0.2">
      <c r="C8732" s="209"/>
      <c r="D8732" s="209"/>
      <c r="E8732" s="209"/>
      <c r="J8732" s="124"/>
    </row>
    <row r="8733" spans="3:10" x14ac:dyDescent="0.2">
      <c r="C8733" s="209"/>
      <c r="D8733" s="209"/>
      <c r="E8733" s="209"/>
      <c r="J8733" s="124"/>
    </row>
    <row r="8734" spans="3:10" x14ac:dyDescent="0.2">
      <c r="C8734" s="209"/>
      <c r="D8734" s="209"/>
      <c r="E8734" s="209"/>
      <c r="J8734" s="124"/>
    </row>
    <row r="8735" spans="3:10" x14ac:dyDescent="0.2">
      <c r="C8735" s="209"/>
      <c r="D8735" s="209"/>
      <c r="E8735" s="209"/>
      <c r="J8735" s="124"/>
    </row>
    <row r="8736" spans="3:10" x14ac:dyDescent="0.2">
      <c r="C8736" s="209"/>
      <c r="D8736" s="209"/>
      <c r="E8736" s="209"/>
      <c r="J8736" s="124"/>
    </row>
    <row r="8737" spans="3:10" x14ac:dyDescent="0.2">
      <c r="C8737" s="209"/>
      <c r="D8737" s="209"/>
      <c r="E8737" s="209"/>
      <c r="J8737" s="124"/>
    </row>
    <row r="8738" spans="3:10" x14ac:dyDescent="0.2">
      <c r="C8738" s="209"/>
      <c r="D8738" s="209"/>
      <c r="E8738" s="209"/>
      <c r="J8738" s="124"/>
    </row>
    <row r="8739" spans="3:10" x14ac:dyDescent="0.2">
      <c r="C8739" s="209"/>
      <c r="D8739" s="209"/>
      <c r="E8739" s="209"/>
      <c r="J8739" s="124"/>
    </row>
    <row r="8740" spans="3:10" x14ac:dyDescent="0.2">
      <c r="C8740" s="209"/>
      <c r="D8740" s="209"/>
      <c r="E8740" s="209"/>
      <c r="J8740" s="124"/>
    </row>
    <row r="8741" spans="3:10" x14ac:dyDescent="0.2">
      <c r="C8741" s="209"/>
      <c r="D8741" s="209"/>
      <c r="E8741" s="209"/>
      <c r="J8741" s="124"/>
    </row>
    <row r="8742" spans="3:10" x14ac:dyDescent="0.2">
      <c r="C8742" s="209"/>
      <c r="D8742" s="209"/>
      <c r="E8742" s="209"/>
      <c r="J8742" s="124"/>
    </row>
    <row r="8743" spans="3:10" x14ac:dyDescent="0.2">
      <c r="C8743" s="209"/>
      <c r="D8743" s="209"/>
      <c r="E8743" s="209"/>
      <c r="J8743" s="124"/>
    </row>
    <row r="8744" spans="3:10" x14ac:dyDescent="0.2">
      <c r="C8744" s="209"/>
      <c r="D8744" s="209"/>
      <c r="E8744" s="209"/>
      <c r="J8744" s="124"/>
    </row>
    <row r="8745" spans="3:10" x14ac:dyDescent="0.2">
      <c r="C8745" s="209"/>
      <c r="D8745" s="209"/>
      <c r="E8745" s="209"/>
      <c r="J8745" s="124"/>
    </row>
    <row r="8746" spans="3:10" x14ac:dyDescent="0.2">
      <c r="C8746" s="209"/>
      <c r="D8746" s="209"/>
      <c r="E8746" s="209"/>
      <c r="J8746" s="124"/>
    </row>
    <row r="8747" spans="3:10" x14ac:dyDescent="0.2">
      <c r="C8747" s="209"/>
      <c r="D8747" s="209"/>
      <c r="E8747" s="209"/>
      <c r="J8747" s="124"/>
    </row>
    <row r="8748" spans="3:10" x14ac:dyDescent="0.2">
      <c r="C8748" s="209"/>
      <c r="D8748" s="209"/>
      <c r="E8748" s="209"/>
      <c r="J8748" s="124"/>
    </row>
    <row r="8749" spans="3:10" x14ac:dyDescent="0.2">
      <c r="C8749" s="209"/>
      <c r="D8749" s="209"/>
      <c r="E8749" s="209"/>
      <c r="J8749" s="124"/>
    </row>
    <row r="8750" spans="3:10" x14ac:dyDescent="0.2">
      <c r="C8750" s="209"/>
      <c r="D8750" s="209"/>
      <c r="E8750" s="209"/>
      <c r="J8750" s="124"/>
    </row>
    <row r="8751" spans="3:10" x14ac:dyDescent="0.2">
      <c r="C8751" s="209"/>
      <c r="D8751" s="209"/>
      <c r="E8751" s="209"/>
      <c r="J8751" s="124"/>
    </row>
    <row r="8752" spans="3:10" x14ac:dyDescent="0.2">
      <c r="C8752" s="209"/>
      <c r="D8752" s="209"/>
      <c r="E8752" s="209"/>
      <c r="J8752" s="124"/>
    </row>
    <row r="8753" spans="3:10" x14ac:dyDescent="0.2">
      <c r="C8753" s="209"/>
      <c r="D8753" s="209"/>
      <c r="E8753" s="209"/>
      <c r="J8753" s="124"/>
    </row>
    <row r="8754" spans="3:10" x14ac:dyDescent="0.2">
      <c r="C8754" s="209"/>
      <c r="D8754" s="209"/>
      <c r="E8754" s="209"/>
      <c r="J8754" s="124"/>
    </row>
    <row r="8755" spans="3:10" x14ac:dyDescent="0.2">
      <c r="C8755" s="209"/>
      <c r="D8755" s="209"/>
      <c r="E8755" s="209"/>
      <c r="J8755" s="124"/>
    </row>
    <row r="8756" spans="3:10" x14ac:dyDescent="0.2">
      <c r="C8756" s="209"/>
      <c r="D8756" s="209"/>
      <c r="E8756" s="209"/>
      <c r="J8756" s="124"/>
    </row>
    <row r="8757" spans="3:10" x14ac:dyDescent="0.2">
      <c r="C8757" s="209"/>
      <c r="D8757" s="209"/>
      <c r="E8757" s="209"/>
      <c r="J8757" s="124"/>
    </row>
    <row r="8758" spans="3:10" x14ac:dyDescent="0.2">
      <c r="C8758" s="209"/>
      <c r="D8758" s="209"/>
      <c r="E8758" s="209"/>
      <c r="J8758" s="124"/>
    </row>
    <row r="8759" spans="3:10" x14ac:dyDescent="0.2">
      <c r="C8759" s="209"/>
      <c r="D8759" s="209"/>
      <c r="E8759" s="209"/>
      <c r="J8759" s="124"/>
    </row>
    <row r="8760" spans="3:10" x14ac:dyDescent="0.2">
      <c r="C8760" s="209"/>
      <c r="D8760" s="209"/>
      <c r="E8760" s="209"/>
      <c r="J8760" s="124"/>
    </row>
    <row r="8761" spans="3:10" x14ac:dyDescent="0.2">
      <c r="C8761" s="209"/>
      <c r="D8761" s="209"/>
      <c r="E8761" s="209"/>
      <c r="J8761" s="124"/>
    </row>
    <row r="8762" spans="3:10" x14ac:dyDescent="0.2">
      <c r="C8762" s="209"/>
      <c r="D8762" s="209"/>
      <c r="E8762" s="209"/>
      <c r="J8762" s="124"/>
    </row>
    <row r="8763" spans="3:10" x14ac:dyDescent="0.2">
      <c r="C8763" s="209"/>
      <c r="D8763" s="209"/>
      <c r="E8763" s="209"/>
      <c r="J8763" s="124"/>
    </row>
    <row r="8764" spans="3:10" x14ac:dyDescent="0.2">
      <c r="C8764" s="209"/>
      <c r="D8764" s="209"/>
      <c r="E8764" s="209"/>
      <c r="J8764" s="124"/>
    </row>
    <row r="8765" spans="3:10" x14ac:dyDescent="0.2">
      <c r="C8765" s="209"/>
      <c r="D8765" s="209"/>
      <c r="E8765" s="209"/>
      <c r="J8765" s="124"/>
    </row>
    <row r="8766" spans="3:10" x14ac:dyDescent="0.2">
      <c r="C8766" s="209"/>
      <c r="D8766" s="209"/>
      <c r="E8766" s="209"/>
      <c r="J8766" s="124"/>
    </row>
    <row r="8767" spans="3:10" x14ac:dyDescent="0.2">
      <c r="C8767" s="209"/>
      <c r="D8767" s="209"/>
      <c r="E8767" s="209"/>
      <c r="J8767" s="124"/>
    </row>
    <row r="8768" spans="3:10" x14ac:dyDescent="0.2">
      <c r="C8768" s="209"/>
      <c r="D8768" s="209"/>
      <c r="E8768" s="209"/>
      <c r="J8768" s="124"/>
    </row>
    <row r="8769" spans="3:10" x14ac:dyDescent="0.2">
      <c r="C8769" s="209"/>
      <c r="D8769" s="209"/>
      <c r="E8769" s="209"/>
      <c r="J8769" s="124"/>
    </row>
    <row r="8770" spans="3:10" x14ac:dyDescent="0.2">
      <c r="C8770" s="209"/>
      <c r="D8770" s="209"/>
      <c r="E8770" s="209"/>
      <c r="J8770" s="124"/>
    </row>
    <row r="8771" spans="3:10" x14ac:dyDescent="0.2">
      <c r="C8771" s="209"/>
      <c r="D8771" s="209"/>
      <c r="E8771" s="209"/>
      <c r="J8771" s="124"/>
    </row>
    <row r="8772" spans="3:10" x14ac:dyDescent="0.2">
      <c r="C8772" s="209"/>
      <c r="D8772" s="209"/>
      <c r="E8772" s="209"/>
      <c r="J8772" s="124"/>
    </row>
    <row r="8773" spans="3:10" x14ac:dyDescent="0.2">
      <c r="C8773" s="209"/>
      <c r="D8773" s="209"/>
      <c r="E8773" s="209"/>
      <c r="J8773" s="124"/>
    </row>
    <row r="8774" spans="3:10" x14ac:dyDescent="0.2">
      <c r="C8774" s="209"/>
      <c r="D8774" s="209"/>
      <c r="E8774" s="209"/>
      <c r="J8774" s="124"/>
    </row>
    <row r="8775" spans="3:10" x14ac:dyDescent="0.2">
      <c r="C8775" s="209"/>
      <c r="D8775" s="209"/>
      <c r="E8775" s="209"/>
      <c r="J8775" s="124"/>
    </row>
    <row r="8776" spans="3:10" x14ac:dyDescent="0.2">
      <c r="C8776" s="209"/>
      <c r="D8776" s="209"/>
      <c r="E8776" s="209"/>
      <c r="J8776" s="124"/>
    </row>
    <row r="8777" spans="3:10" x14ac:dyDescent="0.2">
      <c r="C8777" s="209"/>
      <c r="D8777" s="209"/>
      <c r="E8777" s="209"/>
      <c r="J8777" s="124"/>
    </row>
    <row r="8778" spans="3:10" x14ac:dyDescent="0.2">
      <c r="C8778" s="209"/>
      <c r="D8778" s="209"/>
      <c r="E8778" s="209"/>
      <c r="J8778" s="124"/>
    </row>
    <row r="8779" spans="3:10" x14ac:dyDescent="0.2">
      <c r="C8779" s="209"/>
      <c r="D8779" s="209"/>
      <c r="E8779" s="209"/>
      <c r="J8779" s="124"/>
    </row>
    <row r="8780" spans="3:10" x14ac:dyDescent="0.2">
      <c r="C8780" s="209"/>
      <c r="D8780" s="209"/>
      <c r="E8780" s="209"/>
      <c r="J8780" s="124"/>
    </row>
    <row r="8781" spans="3:10" x14ac:dyDescent="0.2">
      <c r="C8781" s="209"/>
      <c r="D8781" s="209"/>
      <c r="E8781" s="209"/>
      <c r="J8781" s="124"/>
    </row>
    <row r="8782" spans="3:10" x14ac:dyDescent="0.2">
      <c r="C8782" s="209"/>
      <c r="D8782" s="209"/>
      <c r="E8782" s="209"/>
      <c r="J8782" s="124"/>
    </row>
    <row r="8783" spans="3:10" x14ac:dyDescent="0.2">
      <c r="C8783" s="209"/>
      <c r="D8783" s="209"/>
      <c r="E8783" s="209"/>
      <c r="J8783" s="124"/>
    </row>
    <row r="8784" spans="3:10" x14ac:dyDescent="0.2">
      <c r="C8784" s="209"/>
      <c r="D8784" s="209"/>
      <c r="E8784" s="209"/>
      <c r="J8784" s="124"/>
    </row>
    <row r="8785" spans="3:10" x14ac:dyDescent="0.2">
      <c r="C8785" s="209"/>
      <c r="D8785" s="209"/>
      <c r="E8785" s="209"/>
      <c r="J8785" s="124"/>
    </row>
    <row r="8786" spans="3:10" x14ac:dyDescent="0.2">
      <c r="C8786" s="209"/>
      <c r="D8786" s="209"/>
      <c r="E8786" s="209"/>
      <c r="J8786" s="124"/>
    </row>
    <row r="8787" spans="3:10" x14ac:dyDescent="0.2">
      <c r="C8787" s="209"/>
      <c r="D8787" s="209"/>
      <c r="E8787" s="209"/>
      <c r="J8787" s="124"/>
    </row>
    <row r="8788" spans="3:10" x14ac:dyDescent="0.2">
      <c r="C8788" s="209"/>
      <c r="D8788" s="209"/>
      <c r="E8788" s="209"/>
      <c r="J8788" s="124"/>
    </row>
    <row r="8789" spans="3:10" x14ac:dyDescent="0.2">
      <c r="C8789" s="209"/>
      <c r="D8789" s="209"/>
      <c r="E8789" s="209"/>
      <c r="J8789" s="124"/>
    </row>
    <row r="8790" spans="3:10" x14ac:dyDescent="0.2">
      <c r="C8790" s="209"/>
      <c r="D8790" s="209"/>
      <c r="E8790" s="209"/>
      <c r="J8790" s="124"/>
    </row>
    <row r="8791" spans="3:10" x14ac:dyDescent="0.2">
      <c r="C8791" s="209"/>
      <c r="D8791" s="209"/>
      <c r="E8791" s="209"/>
      <c r="J8791" s="124"/>
    </row>
    <row r="8792" spans="3:10" x14ac:dyDescent="0.2">
      <c r="C8792" s="209"/>
      <c r="D8792" s="209"/>
      <c r="E8792" s="209"/>
      <c r="J8792" s="124"/>
    </row>
    <row r="8793" spans="3:10" x14ac:dyDescent="0.2">
      <c r="C8793" s="209"/>
      <c r="D8793" s="209"/>
      <c r="E8793" s="209"/>
      <c r="J8793" s="124"/>
    </row>
    <row r="8794" spans="3:10" x14ac:dyDescent="0.2">
      <c r="C8794" s="209"/>
      <c r="D8794" s="209"/>
      <c r="E8794" s="209"/>
      <c r="J8794" s="124"/>
    </row>
    <row r="8795" spans="3:10" x14ac:dyDescent="0.2">
      <c r="C8795" s="209"/>
      <c r="D8795" s="209"/>
      <c r="E8795" s="209"/>
      <c r="J8795" s="124"/>
    </row>
    <row r="8796" spans="3:10" x14ac:dyDescent="0.2">
      <c r="C8796" s="209"/>
      <c r="D8796" s="209"/>
      <c r="E8796" s="209"/>
      <c r="J8796" s="124"/>
    </row>
    <row r="8797" spans="3:10" x14ac:dyDescent="0.2">
      <c r="C8797" s="209"/>
      <c r="D8797" s="209"/>
      <c r="E8797" s="209"/>
      <c r="J8797" s="124"/>
    </row>
    <row r="8798" spans="3:10" x14ac:dyDescent="0.2">
      <c r="C8798" s="209"/>
      <c r="D8798" s="209"/>
      <c r="E8798" s="209"/>
      <c r="J8798" s="124"/>
    </row>
    <row r="8799" spans="3:10" x14ac:dyDescent="0.2">
      <c r="C8799" s="209"/>
      <c r="D8799" s="209"/>
      <c r="E8799" s="209"/>
      <c r="J8799" s="124"/>
    </row>
    <row r="8800" spans="3:10" x14ac:dyDescent="0.2">
      <c r="C8800" s="209"/>
      <c r="D8800" s="209"/>
      <c r="E8800" s="209"/>
      <c r="J8800" s="124"/>
    </row>
    <row r="8801" spans="3:10" x14ac:dyDescent="0.2">
      <c r="C8801" s="209"/>
      <c r="D8801" s="209"/>
      <c r="E8801" s="209"/>
      <c r="J8801" s="124"/>
    </row>
    <row r="8802" spans="3:10" x14ac:dyDescent="0.2">
      <c r="C8802" s="209"/>
      <c r="D8802" s="209"/>
      <c r="E8802" s="209"/>
      <c r="J8802" s="124"/>
    </row>
    <row r="8803" spans="3:10" x14ac:dyDescent="0.2">
      <c r="C8803" s="209"/>
      <c r="D8803" s="209"/>
      <c r="E8803" s="209"/>
      <c r="J8803" s="124"/>
    </row>
    <row r="8804" spans="3:10" x14ac:dyDescent="0.2">
      <c r="C8804" s="209"/>
      <c r="D8804" s="209"/>
      <c r="E8804" s="209"/>
      <c r="J8804" s="124"/>
    </row>
    <row r="8805" spans="3:10" x14ac:dyDescent="0.2">
      <c r="C8805" s="209"/>
      <c r="D8805" s="209"/>
      <c r="E8805" s="209"/>
      <c r="J8805" s="124"/>
    </row>
    <row r="8806" spans="3:10" x14ac:dyDescent="0.2">
      <c r="C8806" s="209"/>
      <c r="D8806" s="209"/>
      <c r="E8806" s="209"/>
      <c r="J8806" s="124"/>
    </row>
    <row r="8807" spans="3:10" x14ac:dyDescent="0.2">
      <c r="C8807" s="209"/>
      <c r="D8807" s="209"/>
      <c r="E8807" s="209"/>
      <c r="J8807" s="124"/>
    </row>
    <row r="8808" spans="3:10" x14ac:dyDescent="0.2">
      <c r="C8808" s="209"/>
      <c r="D8808" s="209"/>
      <c r="E8808" s="209"/>
      <c r="J8808" s="124"/>
    </row>
    <row r="8809" spans="3:10" x14ac:dyDescent="0.2">
      <c r="C8809" s="209"/>
      <c r="D8809" s="209"/>
      <c r="E8809" s="209"/>
      <c r="J8809" s="124"/>
    </row>
    <row r="8810" spans="3:10" x14ac:dyDescent="0.2">
      <c r="C8810" s="209"/>
      <c r="D8810" s="209"/>
      <c r="E8810" s="209"/>
      <c r="J8810" s="124"/>
    </row>
    <row r="8811" spans="3:10" x14ac:dyDescent="0.2">
      <c r="C8811" s="209"/>
      <c r="D8811" s="209"/>
      <c r="E8811" s="209"/>
      <c r="J8811" s="124"/>
    </row>
    <row r="8812" spans="3:10" x14ac:dyDescent="0.2">
      <c r="C8812" s="209"/>
      <c r="D8812" s="209"/>
      <c r="E8812" s="209"/>
      <c r="J8812" s="124"/>
    </row>
    <row r="8813" spans="3:10" x14ac:dyDescent="0.2">
      <c r="C8813" s="209"/>
      <c r="D8813" s="209"/>
      <c r="E8813" s="209"/>
      <c r="J8813" s="124"/>
    </row>
    <row r="8814" spans="3:10" x14ac:dyDescent="0.2">
      <c r="C8814" s="209"/>
      <c r="D8814" s="209"/>
      <c r="E8814" s="209"/>
      <c r="J8814" s="124"/>
    </row>
    <row r="8815" spans="3:10" x14ac:dyDescent="0.2">
      <c r="C8815" s="209"/>
      <c r="D8815" s="209"/>
      <c r="E8815" s="209"/>
      <c r="J8815" s="124"/>
    </row>
    <row r="8816" spans="3:10" x14ac:dyDescent="0.2">
      <c r="C8816" s="209"/>
      <c r="D8816" s="209"/>
      <c r="E8816" s="209"/>
      <c r="J8816" s="124"/>
    </row>
    <row r="8817" spans="3:10" x14ac:dyDescent="0.2">
      <c r="C8817" s="209"/>
      <c r="D8817" s="209"/>
      <c r="E8817" s="209"/>
      <c r="J8817" s="124"/>
    </row>
    <row r="8818" spans="3:10" x14ac:dyDescent="0.2">
      <c r="C8818" s="209"/>
      <c r="D8818" s="209"/>
      <c r="E8818" s="209"/>
      <c r="J8818" s="124"/>
    </row>
    <row r="8819" spans="3:10" x14ac:dyDescent="0.2">
      <c r="C8819" s="209"/>
      <c r="D8819" s="209"/>
      <c r="E8819" s="209"/>
      <c r="J8819" s="124"/>
    </row>
    <row r="8820" spans="3:10" x14ac:dyDescent="0.2">
      <c r="C8820" s="209"/>
      <c r="D8820" s="209"/>
      <c r="E8820" s="209"/>
      <c r="J8820" s="124"/>
    </row>
    <row r="8821" spans="3:10" x14ac:dyDescent="0.2">
      <c r="C8821" s="209"/>
      <c r="D8821" s="209"/>
      <c r="E8821" s="209"/>
      <c r="J8821" s="124"/>
    </row>
    <row r="8822" spans="3:10" x14ac:dyDescent="0.2">
      <c r="C8822" s="209"/>
      <c r="D8822" s="209"/>
      <c r="E8822" s="209"/>
      <c r="J8822" s="124"/>
    </row>
    <row r="8823" spans="3:10" x14ac:dyDescent="0.2">
      <c r="C8823" s="209"/>
      <c r="D8823" s="209"/>
      <c r="E8823" s="209"/>
      <c r="J8823" s="124"/>
    </row>
    <row r="8824" spans="3:10" x14ac:dyDescent="0.2">
      <c r="C8824" s="209"/>
      <c r="D8824" s="209"/>
      <c r="E8824" s="209"/>
      <c r="J8824" s="124"/>
    </row>
    <row r="8825" spans="3:10" x14ac:dyDescent="0.2">
      <c r="C8825" s="209"/>
      <c r="D8825" s="209"/>
      <c r="E8825" s="209"/>
      <c r="J8825" s="124"/>
    </row>
    <row r="8826" spans="3:10" x14ac:dyDescent="0.2">
      <c r="C8826" s="209"/>
      <c r="D8826" s="209"/>
      <c r="E8826" s="209"/>
      <c r="J8826" s="124"/>
    </row>
    <row r="8827" spans="3:10" x14ac:dyDescent="0.2">
      <c r="C8827" s="209"/>
      <c r="D8827" s="209"/>
      <c r="E8827" s="209"/>
      <c r="J8827" s="124"/>
    </row>
    <row r="8828" spans="3:10" x14ac:dyDescent="0.2">
      <c r="C8828" s="209"/>
      <c r="D8828" s="209"/>
      <c r="E8828" s="209"/>
      <c r="J8828" s="124"/>
    </row>
    <row r="8829" spans="3:10" x14ac:dyDescent="0.2">
      <c r="C8829" s="209"/>
      <c r="D8829" s="209"/>
      <c r="E8829" s="209"/>
      <c r="J8829" s="124"/>
    </row>
    <row r="8830" spans="3:10" x14ac:dyDescent="0.2">
      <c r="C8830" s="209"/>
      <c r="D8830" s="209"/>
      <c r="E8830" s="209"/>
      <c r="J8830" s="124"/>
    </row>
    <row r="8831" spans="3:10" x14ac:dyDescent="0.2">
      <c r="C8831" s="209"/>
      <c r="D8831" s="209"/>
      <c r="E8831" s="209"/>
      <c r="J8831" s="124"/>
    </row>
    <row r="8832" spans="3:10" x14ac:dyDescent="0.2">
      <c r="C8832" s="209"/>
      <c r="D8832" s="209"/>
      <c r="E8832" s="209"/>
      <c r="J8832" s="124"/>
    </row>
    <row r="8833" spans="3:10" x14ac:dyDescent="0.2">
      <c r="C8833" s="209"/>
      <c r="D8833" s="209"/>
      <c r="E8833" s="209"/>
      <c r="J8833" s="124"/>
    </row>
    <row r="8834" spans="3:10" x14ac:dyDescent="0.2">
      <c r="C8834" s="209"/>
      <c r="D8834" s="209"/>
      <c r="E8834" s="209"/>
      <c r="J8834" s="124"/>
    </row>
    <row r="8835" spans="3:10" x14ac:dyDescent="0.2">
      <c r="C8835" s="209"/>
      <c r="D8835" s="209"/>
      <c r="E8835" s="209"/>
      <c r="J8835" s="124"/>
    </row>
    <row r="8836" spans="3:10" x14ac:dyDescent="0.2">
      <c r="C8836" s="209"/>
      <c r="D8836" s="209"/>
      <c r="E8836" s="209"/>
      <c r="J8836" s="124"/>
    </row>
    <row r="8837" spans="3:10" x14ac:dyDescent="0.2">
      <c r="C8837" s="209"/>
      <c r="D8837" s="209"/>
      <c r="E8837" s="209"/>
      <c r="J8837" s="124"/>
    </row>
    <row r="8838" spans="3:10" x14ac:dyDescent="0.2">
      <c r="C8838" s="209"/>
      <c r="D8838" s="209"/>
      <c r="E8838" s="209"/>
      <c r="J8838" s="124"/>
    </row>
    <row r="8839" spans="3:10" x14ac:dyDescent="0.2">
      <c r="C8839" s="209"/>
      <c r="D8839" s="209"/>
      <c r="E8839" s="209"/>
      <c r="J8839" s="124"/>
    </row>
    <row r="8840" spans="3:10" x14ac:dyDescent="0.2">
      <c r="C8840" s="209"/>
      <c r="D8840" s="209"/>
      <c r="E8840" s="209"/>
      <c r="J8840" s="124"/>
    </row>
    <row r="8841" spans="3:10" x14ac:dyDescent="0.2">
      <c r="C8841" s="209"/>
      <c r="D8841" s="209"/>
      <c r="E8841" s="209"/>
      <c r="J8841" s="124"/>
    </row>
    <row r="8842" spans="3:10" x14ac:dyDescent="0.2">
      <c r="C8842" s="209"/>
      <c r="D8842" s="209"/>
      <c r="E8842" s="209"/>
      <c r="J8842" s="124"/>
    </row>
    <row r="8843" spans="3:10" x14ac:dyDescent="0.2">
      <c r="C8843" s="209"/>
      <c r="D8843" s="209"/>
      <c r="E8843" s="209"/>
      <c r="J8843" s="124"/>
    </row>
    <row r="8844" spans="3:10" x14ac:dyDescent="0.2">
      <c r="C8844" s="209"/>
      <c r="D8844" s="209"/>
      <c r="E8844" s="209"/>
      <c r="J8844" s="124"/>
    </row>
    <row r="8845" spans="3:10" x14ac:dyDescent="0.2">
      <c r="C8845" s="209"/>
      <c r="D8845" s="209"/>
      <c r="E8845" s="209"/>
      <c r="J8845" s="124"/>
    </row>
    <row r="8846" spans="3:10" x14ac:dyDescent="0.2">
      <c r="C8846" s="209"/>
      <c r="D8846" s="209"/>
      <c r="E8846" s="209"/>
      <c r="J8846" s="124"/>
    </row>
    <row r="8847" spans="3:10" x14ac:dyDescent="0.2">
      <c r="C8847" s="209"/>
      <c r="D8847" s="209"/>
      <c r="E8847" s="209"/>
      <c r="J8847" s="124"/>
    </row>
    <row r="8848" spans="3:10" x14ac:dyDescent="0.2">
      <c r="C8848" s="209"/>
      <c r="D8848" s="209"/>
      <c r="E8848" s="209"/>
      <c r="J8848" s="124"/>
    </row>
    <row r="8849" spans="3:10" x14ac:dyDescent="0.2">
      <c r="C8849" s="209"/>
      <c r="D8849" s="209"/>
      <c r="E8849" s="209"/>
      <c r="J8849" s="124"/>
    </row>
    <row r="8850" spans="3:10" x14ac:dyDescent="0.2">
      <c r="C8850" s="209"/>
      <c r="D8850" s="209"/>
      <c r="E8850" s="209"/>
      <c r="J8850" s="124"/>
    </row>
    <row r="8851" spans="3:10" x14ac:dyDescent="0.2">
      <c r="C8851" s="209"/>
      <c r="D8851" s="209"/>
      <c r="E8851" s="209"/>
      <c r="J8851" s="124"/>
    </row>
    <row r="8852" spans="3:10" x14ac:dyDescent="0.2">
      <c r="C8852" s="209"/>
      <c r="D8852" s="209"/>
      <c r="E8852" s="209"/>
      <c r="J8852" s="124"/>
    </row>
    <row r="8853" spans="3:10" x14ac:dyDescent="0.2">
      <c r="C8853" s="209"/>
      <c r="D8853" s="209"/>
      <c r="E8853" s="209"/>
      <c r="J8853" s="124"/>
    </row>
    <row r="8854" spans="3:10" x14ac:dyDescent="0.2">
      <c r="C8854" s="209"/>
      <c r="D8854" s="209"/>
      <c r="E8854" s="209"/>
      <c r="J8854" s="124"/>
    </row>
    <row r="8855" spans="3:10" x14ac:dyDescent="0.2">
      <c r="C8855" s="209"/>
      <c r="D8855" s="209"/>
      <c r="E8855" s="209"/>
      <c r="J8855" s="124"/>
    </row>
    <row r="8856" spans="3:10" x14ac:dyDescent="0.2">
      <c r="C8856" s="209"/>
      <c r="D8856" s="209"/>
      <c r="E8856" s="209"/>
      <c r="J8856" s="124"/>
    </row>
    <row r="8857" spans="3:10" x14ac:dyDescent="0.2">
      <c r="C8857" s="209"/>
      <c r="D8857" s="209"/>
      <c r="E8857" s="209"/>
      <c r="J8857" s="124"/>
    </row>
    <row r="8858" spans="3:10" x14ac:dyDescent="0.2">
      <c r="C8858" s="209"/>
      <c r="D8858" s="209"/>
      <c r="E8858" s="209"/>
      <c r="J8858" s="124"/>
    </row>
    <row r="8859" spans="3:10" x14ac:dyDescent="0.2">
      <c r="C8859" s="209"/>
      <c r="D8859" s="209"/>
      <c r="E8859" s="209"/>
      <c r="J8859" s="124"/>
    </row>
    <row r="8860" spans="3:10" x14ac:dyDescent="0.2">
      <c r="C8860" s="209"/>
      <c r="D8860" s="209"/>
      <c r="E8860" s="209"/>
      <c r="J8860" s="124"/>
    </row>
    <row r="8861" spans="3:10" x14ac:dyDescent="0.2">
      <c r="C8861" s="209"/>
      <c r="D8861" s="209"/>
      <c r="E8861" s="209"/>
      <c r="J8861" s="124"/>
    </row>
    <row r="8862" spans="3:10" x14ac:dyDescent="0.2">
      <c r="C8862" s="209"/>
      <c r="D8862" s="209"/>
      <c r="E8862" s="209"/>
      <c r="J8862" s="124"/>
    </row>
    <row r="8863" spans="3:10" x14ac:dyDescent="0.2">
      <c r="C8863" s="209"/>
      <c r="D8863" s="209"/>
      <c r="E8863" s="209"/>
      <c r="J8863" s="124"/>
    </row>
    <row r="8864" spans="3:10" x14ac:dyDescent="0.2">
      <c r="C8864" s="209"/>
      <c r="D8864" s="209"/>
      <c r="E8864" s="209"/>
      <c r="J8864" s="124"/>
    </row>
    <row r="8865" spans="3:10" x14ac:dyDescent="0.2">
      <c r="C8865" s="209"/>
      <c r="D8865" s="209"/>
      <c r="E8865" s="209"/>
      <c r="J8865" s="124"/>
    </row>
    <row r="8866" spans="3:10" x14ac:dyDescent="0.2">
      <c r="C8866" s="209"/>
      <c r="D8866" s="209"/>
      <c r="E8866" s="209"/>
      <c r="J8866" s="124"/>
    </row>
    <row r="8867" spans="3:10" x14ac:dyDescent="0.2">
      <c r="C8867" s="209"/>
      <c r="D8867" s="209"/>
      <c r="E8867" s="209"/>
      <c r="J8867" s="124"/>
    </row>
    <row r="8868" spans="3:10" x14ac:dyDescent="0.2">
      <c r="C8868" s="209"/>
      <c r="D8868" s="209"/>
      <c r="E8868" s="209"/>
      <c r="J8868" s="124"/>
    </row>
    <row r="8869" spans="3:10" x14ac:dyDescent="0.2">
      <c r="C8869" s="209"/>
      <c r="D8869" s="209"/>
      <c r="E8869" s="209"/>
      <c r="J8869" s="124"/>
    </row>
    <row r="8870" spans="3:10" x14ac:dyDescent="0.2">
      <c r="C8870" s="209"/>
      <c r="D8870" s="209"/>
      <c r="E8870" s="209"/>
      <c r="J8870" s="124"/>
    </row>
    <row r="8871" spans="3:10" x14ac:dyDescent="0.2">
      <c r="C8871" s="209"/>
      <c r="D8871" s="209"/>
      <c r="E8871" s="209"/>
      <c r="J8871" s="124"/>
    </row>
    <row r="8872" spans="3:10" x14ac:dyDescent="0.2">
      <c r="C8872" s="209"/>
      <c r="D8872" s="209"/>
      <c r="E8872" s="209"/>
      <c r="J8872" s="124"/>
    </row>
    <row r="8873" spans="3:10" x14ac:dyDescent="0.2">
      <c r="C8873" s="209"/>
      <c r="D8873" s="209"/>
      <c r="E8873" s="209"/>
      <c r="J8873" s="124"/>
    </row>
    <row r="8874" spans="3:10" x14ac:dyDescent="0.2">
      <c r="C8874" s="209"/>
      <c r="D8874" s="209"/>
      <c r="E8874" s="209"/>
      <c r="J8874" s="124"/>
    </row>
    <row r="8875" spans="3:10" x14ac:dyDescent="0.2">
      <c r="C8875" s="209"/>
      <c r="D8875" s="209"/>
      <c r="E8875" s="209"/>
      <c r="J8875" s="124"/>
    </row>
    <row r="8876" spans="3:10" x14ac:dyDescent="0.2">
      <c r="C8876" s="209"/>
      <c r="D8876" s="209"/>
      <c r="E8876" s="209"/>
      <c r="J8876" s="124"/>
    </row>
    <row r="8877" spans="3:10" x14ac:dyDescent="0.2">
      <c r="C8877" s="209"/>
      <c r="D8877" s="209"/>
      <c r="E8877" s="209"/>
      <c r="J8877" s="124"/>
    </row>
    <row r="8878" spans="3:10" x14ac:dyDescent="0.2">
      <c r="C8878" s="209"/>
      <c r="D8878" s="209"/>
      <c r="E8878" s="209"/>
      <c r="J8878" s="124"/>
    </row>
    <row r="8879" spans="3:10" x14ac:dyDescent="0.2">
      <c r="C8879" s="209"/>
      <c r="D8879" s="209"/>
      <c r="E8879" s="209"/>
      <c r="J8879" s="124"/>
    </row>
    <row r="8880" spans="3:10" x14ac:dyDescent="0.2">
      <c r="C8880" s="209"/>
      <c r="D8880" s="209"/>
      <c r="E8880" s="209"/>
      <c r="J8880" s="124"/>
    </row>
    <row r="8881" spans="3:10" x14ac:dyDescent="0.2">
      <c r="C8881" s="209"/>
      <c r="D8881" s="209"/>
      <c r="E8881" s="209"/>
      <c r="J8881" s="124"/>
    </row>
    <row r="8882" spans="3:10" x14ac:dyDescent="0.2">
      <c r="C8882" s="209"/>
      <c r="D8882" s="209"/>
      <c r="E8882" s="209"/>
      <c r="J8882" s="124"/>
    </row>
    <row r="8883" spans="3:10" x14ac:dyDescent="0.2">
      <c r="C8883" s="209"/>
      <c r="D8883" s="209"/>
      <c r="E8883" s="209"/>
      <c r="J8883" s="124"/>
    </row>
    <row r="8884" spans="3:10" x14ac:dyDescent="0.2">
      <c r="C8884" s="209"/>
      <c r="D8884" s="209"/>
      <c r="E8884" s="209"/>
      <c r="J8884" s="124"/>
    </row>
    <row r="8885" spans="3:10" x14ac:dyDescent="0.2">
      <c r="C8885" s="209"/>
      <c r="D8885" s="209"/>
      <c r="E8885" s="209"/>
      <c r="J8885" s="124"/>
    </row>
    <row r="8886" spans="3:10" x14ac:dyDescent="0.2">
      <c r="C8886" s="209"/>
      <c r="D8886" s="209"/>
      <c r="E8886" s="209"/>
      <c r="J8886" s="124"/>
    </row>
    <row r="8887" spans="3:10" x14ac:dyDescent="0.2">
      <c r="C8887" s="209"/>
      <c r="D8887" s="209"/>
      <c r="E8887" s="209"/>
      <c r="J8887" s="124"/>
    </row>
    <row r="8888" spans="3:10" x14ac:dyDescent="0.2">
      <c r="C8888" s="209"/>
      <c r="D8888" s="209"/>
      <c r="E8888" s="209"/>
      <c r="J8888" s="124"/>
    </row>
    <row r="8889" spans="3:10" x14ac:dyDescent="0.2">
      <c r="C8889" s="209"/>
      <c r="D8889" s="209"/>
      <c r="E8889" s="209"/>
      <c r="J8889" s="124"/>
    </row>
    <row r="8890" spans="3:10" x14ac:dyDescent="0.2">
      <c r="C8890" s="209"/>
      <c r="D8890" s="209"/>
      <c r="E8890" s="209"/>
      <c r="J8890" s="124"/>
    </row>
    <row r="8891" spans="3:10" x14ac:dyDescent="0.2">
      <c r="C8891" s="209"/>
      <c r="D8891" s="209"/>
      <c r="E8891" s="209"/>
      <c r="J8891" s="124"/>
    </row>
    <row r="8892" spans="3:10" x14ac:dyDescent="0.2">
      <c r="C8892" s="209"/>
      <c r="D8892" s="209"/>
      <c r="E8892" s="209"/>
      <c r="J8892" s="124"/>
    </row>
    <row r="8893" spans="3:10" x14ac:dyDescent="0.2">
      <c r="C8893" s="209"/>
      <c r="D8893" s="209"/>
      <c r="E8893" s="209"/>
      <c r="J8893" s="124"/>
    </row>
    <row r="8894" spans="3:10" x14ac:dyDescent="0.2">
      <c r="C8894" s="209"/>
      <c r="D8894" s="209"/>
      <c r="E8894" s="209"/>
      <c r="J8894" s="124"/>
    </row>
    <row r="8895" spans="3:10" x14ac:dyDescent="0.2">
      <c r="C8895" s="209"/>
      <c r="D8895" s="209"/>
      <c r="E8895" s="209"/>
      <c r="J8895" s="124"/>
    </row>
    <row r="8896" spans="3:10" x14ac:dyDescent="0.2">
      <c r="C8896" s="209"/>
      <c r="D8896" s="209"/>
      <c r="E8896" s="209"/>
      <c r="J8896" s="124"/>
    </row>
    <row r="8897" spans="3:10" x14ac:dyDescent="0.2">
      <c r="C8897" s="209"/>
      <c r="D8897" s="209"/>
      <c r="E8897" s="209"/>
      <c r="J8897" s="124"/>
    </row>
    <row r="8898" spans="3:10" x14ac:dyDescent="0.2">
      <c r="C8898" s="209"/>
      <c r="D8898" s="209"/>
      <c r="E8898" s="209"/>
      <c r="J8898" s="124"/>
    </row>
    <row r="8899" spans="3:10" x14ac:dyDescent="0.2">
      <c r="C8899" s="209"/>
      <c r="D8899" s="209"/>
      <c r="E8899" s="209"/>
      <c r="J8899" s="124"/>
    </row>
    <row r="8900" spans="3:10" x14ac:dyDescent="0.2">
      <c r="C8900" s="209"/>
      <c r="D8900" s="209"/>
      <c r="E8900" s="209"/>
      <c r="J8900" s="124"/>
    </row>
    <row r="8901" spans="3:10" x14ac:dyDescent="0.2">
      <c r="C8901" s="209"/>
      <c r="D8901" s="209"/>
      <c r="E8901" s="209"/>
      <c r="J8901" s="124"/>
    </row>
    <row r="8902" spans="3:10" x14ac:dyDescent="0.2">
      <c r="C8902" s="209"/>
      <c r="D8902" s="209"/>
      <c r="E8902" s="209"/>
      <c r="J8902" s="124"/>
    </row>
    <row r="8903" spans="3:10" x14ac:dyDescent="0.2">
      <c r="C8903" s="209"/>
      <c r="D8903" s="209"/>
      <c r="E8903" s="209"/>
      <c r="J8903" s="124"/>
    </row>
    <row r="8904" spans="3:10" x14ac:dyDescent="0.2">
      <c r="C8904" s="209"/>
      <c r="D8904" s="209"/>
      <c r="E8904" s="209"/>
      <c r="J8904" s="124"/>
    </row>
    <row r="8905" spans="3:10" x14ac:dyDescent="0.2">
      <c r="C8905" s="209"/>
      <c r="D8905" s="209"/>
      <c r="E8905" s="209"/>
      <c r="J8905" s="124"/>
    </row>
    <row r="8906" spans="3:10" x14ac:dyDescent="0.2">
      <c r="C8906" s="209"/>
      <c r="D8906" s="209"/>
      <c r="E8906" s="209"/>
      <c r="J8906" s="124"/>
    </row>
    <row r="8907" spans="3:10" x14ac:dyDescent="0.2">
      <c r="C8907" s="209"/>
      <c r="D8907" s="209"/>
      <c r="E8907" s="209"/>
      <c r="J8907" s="124"/>
    </row>
    <row r="8908" spans="3:10" x14ac:dyDescent="0.2">
      <c r="C8908" s="209"/>
      <c r="D8908" s="209"/>
      <c r="E8908" s="209"/>
      <c r="J8908" s="124"/>
    </row>
    <row r="8909" spans="3:10" x14ac:dyDescent="0.2">
      <c r="C8909" s="209"/>
      <c r="D8909" s="209"/>
      <c r="E8909" s="209"/>
      <c r="J8909" s="124"/>
    </row>
    <row r="8910" spans="3:10" x14ac:dyDescent="0.2">
      <c r="C8910" s="209"/>
      <c r="D8910" s="209"/>
      <c r="E8910" s="209"/>
      <c r="J8910" s="124"/>
    </row>
    <row r="8911" spans="3:10" x14ac:dyDescent="0.2">
      <c r="C8911" s="209"/>
      <c r="D8911" s="209"/>
      <c r="E8911" s="209"/>
      <c r="J8911" s="124"/>
    </row>
    <row r="8912" spans="3:10" x14ac:dyDescent="0.2">
      <c r="C8912" s="209"/>
      <c r="D8912" s="209"/>
      <c r="E8912" s="209"/>
      <c r="J8912" s="124"/>
    </row>
    <row r="8913" spans="3:10" x14ac:dyDescent="0.2">
      <c r="C8913" s="209"/>
      <c r="D8913" s="209"/>
      <c r="E8913" s="209"/>
      <c r="J8913" s="124"/>
    </row>
    <row r="8914" spans="3:10" x14ac:dyDescent="0.2">
      <c r="C8914" s="209"/>
      <c r="D8914" s="209"/>
      <c r="E8914" s="209"/>
      <c r="J8914" s="124"/>
    </row>
    <row r="8915" spans="3:10" x14ac:dyDescent="0.2">
      <c r="C8915" s="209"/>
      <c r="D8915" s="209"/>
      <c r="E8915" s="209"/>
      <c r="J8915" s="124"/>
    </row>
    <row r="8916" spans="3:10" x14ac:dyDescent="0.2">
      <c r="C8916" s="209"/>
      <c r="D8916" s="209"/>
      <c r="E8916" s="209"/>
      <c r="J8916" s="124"/>
    </row>
    <row r="8917" spans="3:10" x14ac:dyDescent="0.2">
      <c r="C8917" s="209"/>
      <c r="D8917" s="209"/>
      <c r="E8917" s="209"/>
      <c r="J8917" s="124"/>
    </row>
    <row r="8918" spans="3:10" x14ac:dyDescent="0.2">
      <c r="C8918" s="209"/>
      <c r="D8918" s="209"/>
      <c r="E8918" s="209"/>
      <c r="J8918" s="124"/>
    </row>
    <row r="8919" spans="3:10" x14ac:dyDescent="0.2">
      <c r="C8919" s="209"/>
      <c r="D8919" s="209"/>
      <c r="E8919" s="209"/>
      <c r="J8919" s="124"/>
    </row>
    <row r="8920" spans="3:10" x14ac:dyDescent="0.2">
      <c r="C8920" s="209"/>
      <c r="D8920" s="209"/>
      <c r="E8920" s="209"/>
      <c r="J8920" s="124"/>
    </row>
    <row r="8921" spans="3:10" x14ac:dyDescent="0.2">
      <c r="C8921" s="209"/>
      <c r="D8921" s="209"/>
      <c r="E8921" s="209"/>
      <c r="J8921" s="124"/>
    </row>
    <row r="8922" spans="3:10" x14ac:dyDescent="0.2">
      <c r="C8922" s="209"/>
      <c r="D8922" s="209"/>
      <c r="E8922" s="209"/>
      <c r="J8922" s="124"/>
    </row>
    <row r="8923" spans="3:10" x14ac:dyDescent="0.2">
      <c r="C8923" s="209"/>
      <c r="D8923" s="209"/>
      <c r="E8923" s="209"/>
      <c r="J8923" s="124"/>
    </row>
    <row r="8924" spans="3:10" x14ac:dyDescent="0.2">
      <c r="C8924" s="209"/>
      <c r="D8924" s="209"/>
      <c r="E8924" s="209"/>
      <c r="J8924" s="124"/>
    </row>
    <row r="8925" spans="3:10" x14ac:dyDescent="0.2">
      <c r="C8925" s="209"/>
      <c r="D8925" s="209"/>
      <c r="E8925" s="209"/>
      <c r="J8925" s="124"/>
    </row>
    <row r="8926" spans="3:10" x14ac:dyDescent="0.2">
      <c r="C8926" s="209"/>
      <c r="D8926" s="209"/>
      <c r="E8926" s="209"/>
      <c r="J8926" s="124"/>
    </row>
    <row r="8927" spans="3:10" x14ac:dyDescent="0.2">
      <c r="C8927" s="209"/>
      <c r="D8927" s="209"/>
      <c r="E8927" s="209"/>
      <c r="J8927" s="124"/>
    </row>
    <row r="8928" spans="3:10" x14ac:dyDescent="0.2">
      <c r="C8928" s="209"/>
      <c r="D8928" s="209"/>
      <c r="E8928" s="209"/>
      <c r="J8928" s="124"/>
    </row>
    <row r="8929" spans="3:10" x14ac:dyDescent="0.2">
      <c r="C8929" s="209"/>
      <c r="D8929" s="209"/>
      <c r="E8929" s="209"/>
      <c r="J8929" s="124"/>
    </row>
    <row r="8930" spans="3:10" x14ac:dyDescent="0.2">
      <c r="C8930" s="209"/>
      <c r="D8930" s="209"/>
      <c r="E8930" s="209"/>
      <c r="J8930" s="124"/>
    </row>
    <row r="8931" spans="3:10" x14ac:dyDescent="0.2">
      <c r="C8931" s="209"/>
      <c r="D8931" s="209"/>
      <c r="E8931" s="209"/>
      <c r="J8931" s="124"/>
    </row>
    <row r="8932" spans="3:10" x14ac:dyDescent="0.2">
      <c r="C8932" s="209"/>
      <c r="D8932" s="209"/>
      <c r="E8932" s="209"/>
      <c r="J8932" s="124"/>
    </row>
    <row r="8933" spans="3:10" x14ac:dyDescent="0.2">
      <c r="C8933" s="209"/>
      <c r="D8933" s="209"/>
      <c r="E8933" s="209"/>
      <c r="J8933" s="124"/>
    </row>
    <row r="8934" spans="3:10" x14ac:dyDescent="0.2">
      <c r="C8934" s="209"/>
      <c r="D8934" s="209"/>
      <c r="E8934" s="209"/>
      <c r="J8934" s="124"/>
    </row>
    <row r="8935" spans="3:10" x14ac:dyDescent="0.2">
      <c r="C8935" s="209"/>
      <c r="D8935" s="209"/>
      <c r="E8935" s="209"/>
      <c r="J8935" s="124"/>
    </row>
    <row r="8936" spans="3:10" x14ac:dyDescent="0.2">
      <c r="C8936" s="209"/>
      <c r="D8936" s="209"/>
      <c r="E8936" s="209"/>
      <c r="J8936" s="124"/>
    </row>
    <row r="8937" spans="3:10" x14ac:dyDescent="0.2">
      <c r="C8937" s="209"/>
      <c r="D8937" s="209"/>
      <c r="E8937" s="209"/>
      <c r="J8937" s="124"/>
    </row>
    <row r="8938" spans="3:10" x14ac:dyDescent="0.2">
      <c r="C8938" s="209"/>
      <c r="D8938" s="209"/>
      <c r="E8938" s="209"/>
      <c r="J8938" s="124"/>
    </row>
    <row r="8939" spans="3:10" x14ac:dyDescent="0.2">
      <c r="C8939" s="209"/>
      <c r="D8939" s="209"/>
      <c r="E8939" s="209"/>
      <c r="J8939" s="124"/>
    </row>
    <row r="8940" spans="3:10" x14ac:dyDescent="0.2">
      <c r="C8940" s="209"/>
      <c r="D8940" s="209"/>
      <c r="E8940" s="209"/>
      <c r="J8940" s="124"/>
    </row>
    <row r="8941" spans="3:10" x14ac:dyDescent="0.2">
      <c r="C8941" s="209"/>
      <c r="D8941" s="209"/>
      <c r="E8941" s="209"/>
      <c r="J8941" s="124"/>
    </row>
    <row r="8942" spans="3:10" x14ac:dyDescent="0.2">
      <c r="C8942" s="209"/>
      <c r="D8942" s="209"/>
      <c r="E8942" s="209"/>
      <c r="J8942" s="124"/>
    </row>
    <row r="8943" spans="3:10" x14ac:dyDescent="0.2">
      <c r="C8943" s="209"/>
      <c r="D8943" s="209"/>
      <c r="E8943" s="209"/>
      <c r="J8943" s="124"/>
    </row>
    <row r="8944" spans="3:10" x14ac:dyDescent="0.2">
      <c r="C8944" s="209"/>
      <c r="D8944" s="209"/>
      <c r="E8944" s="209"/>
      <c r="J8944" s="124"/>
    </row>
    <row r="8945" spans="3:10" x14ac:dyDescent="0.2">
      <c r="C8945" s="209"/>
      <c r="D8945" s="209"/>
      <c r="E8945" s="209"/>
      <c r="J8945" s="124"/>
    </row>
    <row r="8946" spans="3:10" x14ac:dyDescent="0.2">
      <c r="C8946" s="209"/>
      <c r="D8946" s="209"/>
      <c r="E8946" s="209"/>
      <c r="J8946" s="124"/>
    </row>
    <row r="8947" spans="3:10" x14ac:dyDescent="0.2">
      <c r="C8947" s="209"/>
      <c r="D8947" s="209"/>
      <c r="E8947" s="209"/>
      <c r="J8947" s="124"/>
    </row>
    <row r="8948" spans="3:10" x14ac:dyDescent="0.2">
      <c r="C8948" s="209"/>
      <c r="D8948" s="209"/>
      <c r="E8948" s="209"/>
      <c r="J8948" s="124"/>
    </row>
    <row r="8949" spans="3:10" x14ac:dyDescent="0.2">
      <c r="C8949" s="209"/>
      <c r="D8949" s="209"/>
      <c r="E8949" s="209"/>
      <c r="J8949" s="124"/>
    </row>
    <row r="8950" spans="3:10" x14ac:dyDescent="0.2">
      <c r="C8950" s="209"/>
      <c r="D8950" s="209"/>
      <c r="E8950" s="209"/>
      <c r="J8950" s="124"/>
    </row>
    <row r="8951" spans="3:10" x14ac:dyDescent="0.2">
      <c r="C8951" s="209"/>
      <c r="D8951" s="209"/>
      <c r="E8951" s="209"/>
      <c r="J8951" s="124"/>
    </row>
    <row r="8952" spans="3:10" x14ac:dyDescent="0.2">
      <c r="C8952" s="209"/>
      <c r="D8952" s="209"/>
      <c r="E8952" s="209"/>
      <c r="J8952" s="124"/>
    </row>
    <row r="8953" spans="3:10" x14ac:dyDescent="0.2">
      <c r="C8953" s="209"/>
      <c r="D8953" s="209"/>
      <c r="E8953" s="209"/>
      <c r="J8953" s="124"/>
    </row>
    <row r="8954" spans="3:10" x14ac:dyDescent="0.2">
      <c r="C8954" s="209"/>
      <c r="D8954" s="209"/>
      <c r="E8954" s="209"/>
      <c r="J8954" s="124"/>
    </row>
    <row r="8955" spans="3:10" x14ac:dyDescent="0.2">
      <c r="C8955" s="209"/>
      <c r="D8955" s="209"/>
      <c r="E8955" s="209"/>
      <c r="J8955" s="124"/>
    </row>
    <row r="8956" spans="3:10" x14ac:dyDescent="0.2">
      <c r="C8956" s="209"/>
      <c r="D8956" s="209"/>
      <c r="E8956" s="209"/>
      <c r="J8956" s="124"/>
    </row>
    <row r="8957" spans="3:10" x14ac:dyDescent="0.2">
      <c r="C8957" s="209"/>
      <c r="D8957" s="209"/>
      <c r="E8957" s="209"/>
      <c r="J8957" s="124"/>
    </row>
    <row r="8958" spans="3:10" x14ac:dyDescent="0.2">
      <c r="C8958" s="209"/>
      <c r="D8958" s="209"/>
      <c r="E8958" s="209"/>
      <c r="J8958" s="124"/>
    </row>
    <row r="8959" spans="3:10" x14ac:dyDescent="0.2">
      <c r="C8959" s="209"/>
      <c r="D8959" s="209"/>
      <c r="E8959" s="209"/>
      <c r="J8959" s="124"/>
    </row>
    <row r="8960" spans="3:10" x14ac:dyDescent="0.2">
      <c r="C8960" s="209"/>
      <c r="D8960" s="209"/>
      <c r="E8960" s="209"/>
      <c r="J8960" s="124"/>
    </row>
    <row r="8961" spans="3:10" x14ac:dyDescent="0.2">
      <c r="C8961" s="209"/>
      <c r="D8961" s="209"/>
      <c r="E8961" s="209"/>
      <c r="J8961" s="124"/>
    </row>
    <row r="8962" spans="3:10" x14ac:dyDescent="0.2">
      <c r="C8962" s="209"/>
      <c r="D8962" s="209"/>
      <c r="E8962" s="209"/>
      <c r="J8962" s="124"/>
    </row>
    <row r="8963" spans="3:10" x14ac:dyDescent="0.2">
      <c r="C8963" s="209"/>
      <c r="D8963" s="209"/>
      <c r="E8963" s="209"/>
      <c r="J8963" s="124"/>
    </row>
    <row r="8964" spans="3:10" x14ac:dyDescent="0.2">
      <c r="C8964" s="209"/>
      <c r="D8964" s="209"/>
      <c r="E8964" s="209"/>
      <c r="J8964" s="124"/>
    </row>
    <row r="8965" spans="3:10" x14ac:dyDescent="0.2">
      <c r="C8965" s="209"/>
      <c r="D8965" s="209"/>
      <c r="E8965" s="209"/>
      <c r="J8965" s="124"/>
    </row>
    <row r="8966" spans="3:10" x14ac:dyDescent="0.2">
      <c r="C8966" s="209"/>
      <c r="D8966" s="209"/>
      <c r="E8966" s="209"/>
      <c r="J8966" s="124"/>
    </row>
    <row r="8967" spans="3:10" x14ac:dyDescent="0.2">
      <c r="C8967" s="209"/>
      <c r="D8967" s="209"/>
      <c r="E8967" s="209"/>
      <c r="J8967" s="124"/>
    </row>
    <row r="8968" spans="3:10" x14ac:dyDescent="0.2">
      <c r="C8968" s="209"/>
      <c r="D8968" s="209"/>
      <c r="E8968" s="209"/>
      <c r="J8968" s="124"/>
    </row>
    <row r="8969" spans="3:10" x14ac:dyDescent="0.2">
      <c r="C8969" s="209"/>
      <c r="D8969" s="209"/>
      <c r="E8969" s="209"/>
      <c r="J8969" s="124"/>
    </row>
    <row r="8970" spans="3:10" x14ac:dyDescent="0.2">
      <c r="C8970" s="209"/>
      <c r="D8970" s="209"/>
      <c r="E8970" s="209"/>
      <c r="J8970" s="124"/>
    </row>
    <row r="8971" spans="3:10" x14ac:dyDescent="0.2">
      <c r="C8971" s="209"/>
      <c r="D8971" s="209"/>
      <c r="E8971" s="209"/>
      <c r="J8971" s="124"/>
    </row>
    <row r="8972" spans="3:10" x14ac:dyDescent="0.2">
      <c r="C8972" s="209"/>
      <c r="D8972" s="209"/>
      <c r="E8972" s="209"/>
      <c r="J8972" s="124"/>
    </row>
    <row r="8973" spans="3:10" x14ac:dyDescent="0.2">
      <c r="C8973" s="209"/>
      <c r="D8973" s="209"/>
      <c r="E8973" s="209"/>
      <c r="J8973" s="124"/>
    </row>
    <row r="8974" spans="3:10" x14ac:dyDescent="0.2">
      <c r="C8974" s="209"/>
      <c r="D8974" s="209"/>
      <c r="E8974" s="209"/>
      <c r="J8974" s="124"/>
    </row>
    <row r="8975" spans="3:10" x14ac:dyDescent="0.2">
      <c r="C8975" s="209"/>
      <c r="D8975" s="209"/>
      <c r="E8975" s="209"/>
      <c r="J8975" s="124"/>
    </row>
    <row r="8976" spans="3:10" x14ac:dyDescent="0.2">
      <c r="C8976" s="209"/>
      <c r="D8976" s="209"/>
      <c r="E8976" s="209"/>
      <c r="J8976" s="124"/>
    </row>
    <row r="8977" spans="3:10" x14ac:dyDescent="0.2">
      <c r="C8977" s="209"/>
      <c r="D8977" s="209"/>
      <c r="E8977" s="209"/>
      <c r="J8977" s="124"/>
    </row>
    <row r="8978" spans="3:10" x14ac:dyDescent="0.2">
      <c r="C8978" s="209"/>
      <c r="D8978" s="209"/>
      <c r="E8978" s="209"/>
      <c r="J8978" s="124"/>
    </row>
    <row r="8979" spans="3:10" x14ac:dyDescent="0.2">
      <c r="C8979" s="209"/>
      <c r="D8979" s="209"/>
      <c r="E8979" s="209"/>
      <c r="J8979" s="124"/>
    </row>
    <row r="8980" spans="3:10" x14ac:dyDescent="0.2">
      <c r="C8980" s="209"/>
      <c r="D8980" s="209"/>
      <c r="E8980" s="209"/>
      <c r="J8980" s="124"/>
    </row>
    <row r="8981" spans="3:10" x14ac:dyDescent="0.2">
      <c r="C8981" s="209"/>
      <c r="D8981" s="209"/>
      <c r="E8981" s="209"/>
      <c r="J8981" s="124"/>
    </row>
    <row r="8982" spans="3:10" x14ac:dyDescent="0.2">
      <c r="C8982" s="209"/>
      <c r="D8982" s="209"/>
      <c r="E8982" s="209"/>
      <c r="J8982" s="124"/>
    </row>
    <row r="8983" spans="3:10" x14ac:dyDescent="0.2">
      <c r="C8983" s="209"/>
      <c r="D8983" s="209"/>
      <c r="E8983" s="209"/>
      <c r="J8983" s="124"/>
    </row>
    <row r="8984" spans="3:10" x14ac:dyDescent="0.2">
      <c r="C8984" s="209"/>
      <c r="D8984" s="209"/>
      <c r="E8984" s="209"/>
      <c r="J8984" s="124"/>
    </row>
    <row r="8985" spans="3:10" x14ac:dyDescent="0.2">
      <c r="C8985" s="209"/>
      <c r="D8985" s="209"/>
      <c r="E8985" s="209"/>
      <c r="J8985" s="124"/>
    </row>
    <row r="8986" spans="3:10" x14ac:dyDescent="0.2">
      <c r="C8986" s="209"/>
      <c r="D8986" s="209"/>
      <c r="E8986" s="209"/>
      <c r="J8986" s="124"/>
    </row>
    <row r="8987" spans="3:10" x14ac:dyDescent="0.2">
      <c r="C8987" s="209"/>
      <c r="D8987" s="209"/>
      <c r="E8987" s="209"/>
      <c r="J8987" s="124"/>
    </row>
    <row r="8988" spans="3:10" x14ac:dyDescent="0.2">
      <c r="C8988" s="209"/>
      <c r="D8988" s="209"/>
      <c r="E8988" s="209"/>
      <c r="J8988" s="124"/>
    </row>
    <row r="8989" spans="3:10" x14ac:dyDescent="0.2">
      <c r="C8989" s="209"/>
      <c r="D8989" s="209"/>
      <c r="E8989" s="209"/>
      <c r="J8989" s="124"/>
    </row>
    <row r="8990" spans="3:10" x14ac:dyDescent="0.2">
      <c r="C8990" s="209"/>
      <c r="D8990" s="209"/>
      <c r="E8990" s="209"/>
      <c r="J8990" s="124"/>
    </row>
    <row r="8991" spans="3:10" x14ac:dyDescent="0.2">
      <c r="C8991" s="209"/>
      <c r="D8991" s="209"/>
      <c r="E8991" s="209"/>
      <c r="J8991" s="124"/>
    </row>
    <row r="8992" spans="3:10" x14ac:dyDescent="0.2">
      <c r="C8992" s="209"/>
      <c r="D8992" s="209"/>
      <c r="E8992" s="209"/>
      <c r="J8992" s="124"/>
    </row>
    <row r="8993" spans="3:10" x14ac:dyDescent="0.2">
      <c r="C8993" s="209"/>
      <c r="D8993" s="209"/>
      <c r="E8993" s="209"/>
      <c r="J8993" s="124"/>
    </row>
    <row r="8994" spans="3:10" x14ac:dyDescent="0.2">
      <c r="C8994" s="209"/>
      <c r="D8994" s="209"/>
      <c r="E8994" s="209"/>
      <c r="J8994" s="124"/>
    </row>
    <row r="8995" spans="3:10" x14ac:dyDescent="0.2">
      <c r="C8995" s="209"/>
      <c r="D8995" s="209"/>
      <c r="E8995" s="209"/>
      <c r="J8995" s="124"/>
    </row>
    <row r="8996" spans="3:10" x14ac:dyDescent="0.2">
      <c r="C8996" s="209"/>
      <c r="D8996" s="209"/>
      <c r="E8996" s="209"/>
      <c r="J8996" s="124"/>
    </row>
    <row r="8997" spans="3:10" x14ac:dyDescent="0.2">
      <c r="C8997" s="209"/>
      <c r="D8997" s="209"/>
      <c r="E8997" s="209"/>
      <c r="J8997" s="124"/>
    </row>
    <row r="8998" spans="3:10" x14ac:dyDescent="0.2">
      <c r="C8998" s="209"/>
      <c r="D8998" s="209"/>
      <c r="E8998" s="209"/>
      <c r="J8998" s="124"/>
    </row>
    <row r="8999" spans="3:10" x14ac:dyDescent="0.2">
      <c r="C8999" s="209"/>
      <c r="D8999" s="209"/>
      <c r="E8999" s="209"/>
      <c r="J8999" s="124"/>
    </row>
    <row r="9000" spans="3:10" x14ac:dyDescent="0.2">
      <c r="C9000" s="209"/>
      <c r="D9000" s="209"/>
      <c r="E9000" s="209"/>
      <c r="J9000" s="124"/>
    </row>
    <row r="9001" spans="3:10" x14ac:dyDescent="0.2">
      <c r="C9001" s="209"/>
      <c r="D9001" s="209"/>
      <c r="E9001" s="209"/>
      <c r="J9001" s="124"/>
    </row>
    <row r="9002" spans="3:10" x14ac:dyDescent="0.2">
      <c r="C9002" s="209"/>
      <c r="D9002" s="209"/>
      <c r="E9002" s="209"/>
      <c r="J9002" s="124"/>
    </row>
    <row r="9003" spans="3:10" x14ac:dyDescent="0.2">
      <c r="C9003" s="209"/>
      <c r="D9003" s="209"/>
      <c r="E9003" s="209"/>
      <c r="J9003" s="124"/>
    </row>
    <row r="9004" spans="3:10" x14ac:dyDescent="0.2">
      <c r="C9004" s="209"/>
      <c r="D9004" s="209"/>
      <c r="E9004" s="209"/>
      <c r="J9004" s="124"/>
    </row>
    <row r="9005" spans="3:10" x14ac:dyDescent="0.2">
      <c r="C9005" s="209"/>
      <c r="D9005" s="209"/>
      <c r="E9005" s="209"/>
      <c r="J9005" s="124"/>
    </row>
    <row r="9006" spans="3:10" x14ac:dyDescent="0.2">
      <c r="C9006" s="209"/>
      <c r="D9006" s="209"/>
      <c r="E9006" s="209"/>
      <c r="J9006" s="124"/>
    </row>
    <row r="9007" spans="3:10" x14ac:dyDescent="0.2">
      <c r="C9007" s="209"/>
      <c r="D9007" s="209"/>
      <c r="E9007" s="209"/>
      <c r="J9007" s="124"/>
    </row>
    <row r="9008" spans="3:10" x14ac:dyDescent="0.2">
      <c r="C9008" s="209"/>
      <c r="D9008" s="209"/>
      <c r="E9008" s="209"/>
      <c r="J9008" s="124"/>
    </row>
    <row r="9009" spans="3:10" x14ac:dyDescent="0.2">
      <c r="C9009" s="209"/>
      <c r="D9009" s="209"/>
      <c r="E9009" s="209"/>
      <c r="J9009" s="124"/>
    </row>
    <row r="9010" spans="3:10" x14ac:dyDescent="0.2">
      <c r="C9010" s="209"/>
      <c r="D9010" s="209"/>
      <c r="E9010" s="209"/>
      <c r="J9010" s="124"/>
    </row>
    <row r="9011" spans="3:10" x14ac:dyDescent="0.2">
      <c r="C9011" s="209"/>
      <c r="D9011" s="209"/>
      <c r="E9011" s="209"/>
      <c r="J9011" s="124"/>
    </row>
    <row r="9012" spans="3:10" x14ac:dyDescent="0.2">
      <c r="C9012" s="209"/>
      <c r="D9012" s="209"/>
      <c r="E9012" s="209"/>
      <c r="J9012" s="124"/>
    </row>
    <row r="9013" spans="3:10" x14ac:dyDescent="0.2">
      <c r="C9013" s="209"/>
      <c r="D9013" s="209"/>
      <c r="E9013" s="209"/>
      <c r="J9013" s="124"/>
    </row>
    <row r="9014" spans="3:10" x14ac:dyDescent="0.2">
      <c r="C9014" s="209"/>
      <c r="D9014" s="209"/>
      <c r="E9014" s="209"/>
      <c r="J9014" s="124"/>
    </row>
    <row r="9015" spans="3:10" x14ac:dyDescent="0.2">
      <c r="C9015" s="209"/>
      <c r="D9015" s="209"/>
      <c r="E9015" s="209"/>
      <c r="J9015" s="124"/>
    </row>
    <row r="9016" spans="3:10" x14ac:dyDescent="0.2">
      <c r="C9016" s="209"/>
      <c r="D9016" s="209"/>
      <c r="E9016" s="209"/>
      <c r="J9016" s="124"/>
    </row>
    <row r="9017" spans="3:10" x14ac:dyDescent="0.2">
      <c r="C9017" s="209"/>
      <c r="D9017" s="209"/>
      <c r="E9017" s="209"/>
      <c r="J9017" s="124"/>
    </row>
    <row r="9018" spans="3:10" x14ac:dyDescent="0.2">
      <c r="C9018" s="209"/>
      <c r="D9018" s="209"/>
      <c r="E9018" s="209"/>
      <c r="J9018" s="124"/>
    </row>
    <row r="9019" spans="3:10" x14ac:dyDescent="0.2">
      <c r="C9019" s="209"/>
      <c r="D9019" s="209"/>
      <c r="E9019" s="209"/>
      <c r="J9019" s="124"/>
    </row>
    <row r="9020" spans="3:10" x14ac:dyDescent="0.2">
      <c r="C9020" s="209"/>
      <c r="D9020" s="209"/>
      <c r="E9020" s="209"/>
      <c r="J9020" s="124"/>
    </row>
    <row r="9021" spans="3:10" x14ac:dyDescent="0.2">
      <c r="C9021" s="209"/>
      <c r="D9021" s="209"/>
      <c r="E9021" s="209"/>
      <c r="J9021" s="124"/>
    </row>
    <row r="9022" spans="3:10" x14ac:dyDescent="0.2">
      <c r="C9022" s="209"/>
      <c r="D9022" s="209"/>
      <c r="E9022" s="209"/>
      <c r="J9022" s="124"/>
    </row>
    <row r="9023" spans="3:10" x14ac:dyDescent="0.2">
      <c r="C9023" s="209"/>
      <c r="D9023" s="209"/>
      <c r="E9023" s="209"/>
      <c r="J9023" s="124"/>
    </row>
    <row r="9024" spans="3:10" x14ac:dyDescent="0.2">
      <c r="C9024" s="209"/>
      <c r="D9024" s="209"/>
      <c r="E9024" s="209"/>
      <c r="J9024" s="124"/>
    </row>
    <row r="9025" spans="3:10" x14ac:dyDescent="0.2">
      <c r="C9025" s="209"/>
      <c r="D9025" s="209"/>
      <c r="E9025" s="209"/>
      <c r="J9025" s="124"/>
    </row>
    <row r="9026" spans="3:10" x14ac:dyDescent="0.2">
      <c r="C9026" s="209"/>
      <c r="D9026" s="209"/>
      <c r="E9026" s="209"/>
      <c r="J9026" s="124"/>
    </row>
    <row r="9027" spans="3:10" x14ac:dyDescent="0.2">
      <c r="C9027" s="209"/>
      <c r="D9027" s="209"/>
      <c r="E9027" s="209"/>
      <c r="J9027" s="124"/>
    </row>
    <row r="9028" spans="3:10" x14ac:dyDescent="0.2">
      <c r="C9028" s="209"/>
      <c r="D9028" s="209"/>
      <c r="E9028" s="209"/>
      <c r="J9028" s="124"/>
    </row>
    <row r="9029" spans="3:10" x14ac:dyDescent="0.2">
      <c r="C9029" s="209"/>
      <c r="D9029" s="209"/>
      <c r="E9029" s="209"/>
      <c r="J9029" s="124"/>
    </row>
    <row r="9030" spans="3:10" x14ac:dyDescent="0.2">
      <c r="C9030" s="209"/>
      <c r="D9030" s="209"/>
      <c r="E9030" s="209"/>
      <c r="J9030" s="124"/>
    </row>
    <row r="9031" spans="3:10" x14ac:dyDescent="0.2">
      <c r="C9031" s="209"/>
      <c r="D9031" s="209"/>
      <c r="E9031" s="209"/>
      <c r="J9031" s="124"/>
    </row>
    <row r="9032" spans="3:10" x14ac:dyDescent="0.2">
      <c r="C9032" s="209"/>
      <c r="D9032" s="209"/>
      <c r="E9032" s="209"/>
      <c r="J9032" s="124"/>
    </row>
    <row r="9033" spans="3:10" x14ac:dyDescent="0.2">
      <c r="C9033" s="209"/>
      <c r="D9033" s="209"/>
      <c r="E9033" s="209"/>
      <c r="J9033" s="124"/>
    </row>
    <row r="9034" spans="3:10" x14ac:dyDescent="0.2">
      <c r="C9034" s="209"/>
      <c r="D9034" s="209"/>
      <c r="E9034" s="209"/>
      <c r="J9034" s="124"/>
    </row>
    <row r="9035" spans="3:10" x14ac:dyDescent="0.2">
      <c r="C9035" s="209"/>
      <c r="D9035" s="209"/>
      <c r="E9035" s="209"/>
      <c r="J9035" s="124"/>
    </row>
    <row r="9036" spans="3:10" x14ac:dyDescent="0.2">
      <c r="C9036" s="209"/>
      <c r="D9036" s="209"/>
      <c r="E9036" s="209"/>
      <c r="J9036" s="124"/>
    </row>
    <row r="9037" spans="3:10" x14ac:dyDescent="0.2">
      <c r="C9037" s="209"/>
      <c r="D9037" s="209"/>
      <c r="E9037" s="209"/>
      <c r="J9037" s="124"/>
    </row>
    <row r="9038" spans="3:10" x14ac:dyDescent="0.2">
      <c r="C9038" s="209"/>
      <c r="D9038" s="209"/>
      <c r="E9038" s="209"/>
      <c r="J9038" s="124"/>
    </row>
    <row r="9039" spans="3:10" x14ac:dyDescent="0.2">
      <c r="C9039" s="209"/>
      <c r="D9039" s="209"/>
      <c r="E9039" s="209"/>
      <c r="J9039" s="124"/>
    </row>
    <row r="9040" spans="3:10" x14ac:dyDescent="0.2">
      <c r="C9040" s="209"/>
      <c r="D9040" s="209"/>
      <c r="E9040" s="209"/>
      <c r="J9040" s="124"/>
    </row>
    <row r="9041" spans="3:10" x14ac:dyDescent="0.2">
      <c r="C9041" s="209"/>
      <c r="D9041" s="209"/>
      <c r="E9041" s="209"/>
      <c r="J9041" s="124"/>
    </row>
    <row r="9042" spans="3:10" x14ac:dyDescent="0.2">
      <c r="C9042" s="209"/>
      <c r="D9042" s="209"/>
      <c r="E9042" s="209"/>
      <c r="J9042" s="124"/>
    </row>
    <row r="9043" spans="3:10" x14ac:dyDescent="0.2">
      <c r="C9043" s="209"/>
      <c r="D9043" s="209"/>
      <c r="E9043" s="209"/>
      <c r="J9043" s="124"/>
    </row>
    <row r="9044" spans="3:10" x14ac:dyDescent="0.2">
      <c r="C9044" s="209"/>
      <c r="D9044" s="209"/>
      <c r="E9044" s="209"/>
      <c r="J9044" s="124"/>
    </row>
    <row r="9045" spans="3:10" x14ac:dyDescent="0.2">
      <c r="C9045" s="209"/>
      <c r="D9045" s="209"/>
      <c r="E9045" s="209"/>
      <c r="J9045" s="124"/>
    </row>
    <row r="9046" spans="3:10" x14ac:dyDescent="0.2">
      <c r="C9046" s="209"/>
      <c r="D9046" s="209"/>
      <c r="E9046" s="209"/>
      <c r="J9046" s="124"/>
    </row>
    <row r="9047" spans="3:10" x14ac:dyDescent="0.2">
      <c r="C9047" s="209"/>
      <c r="D9047" s="209"/>
      <c r="E9047" s="209"/>
      <c r="J9047" s="124"/>
    </row>
    <row r="9048" spans="3:10" x14ac:dyDescent="0.2">
      <c r="C9048" s="209"/>
      <c r="D9048" s="209"/>
      <c r="E9048" s="209"/>
      <c r="J9048" s="124"/>
    </row>
    <row r="9049" spans="3:10" x14ac:dyDescent="0.2">
      <c r="C9049" s="209"/>
      <c r="D9049" s="209"/>
      <c r="E9049" s="209"/>
      <c r="J9049" s="124"/>
    </row>
    <row r="9050" spans="3:10" x14ac:dyDescent="0.2">
      <c r="C9050" s="209"/>
      <c r="D9050" s="209"/>
      <c r="E9050" s="209"/>
      <c r="J9050" s="124"/>
    </row>
    <row r="9051" spans="3:10" x14ac:dyDescent="0.2">
      <c r="C9051" s="209"/>
      <c r="D9051" s="209"/>
      <c r="E9051" s="209"/>
      <c r="J9051" s="124"/>
    </row>
    <row r="9052" spans="3:10" x14ac:dyDescent="0.2">
      <c r="C9052" s="209"/>
      <c r="D9052" s="209"/>
      <c r="E9052" s="209"/>
      <c r="J9052" s="124"/>
    </row>
    <row r="9053" spans="3:10" x14ac:dyDescent="0.2">
      <c r="C9053" s="209"/>
      <c r="D9053" s="209"/>
      <c r="E9053" s="209"/>
      <c r="J9053" s="124"/>
    </row>
    <row r="9054" spans="3:10" x14ac:dyDescent="0.2">
      <c r="C9054" s="209"/>
      <c r="D9054" s="209"/>
      <c r="E9054" s="209"/>
      <c r="J9054" s="124"/>
    </row>
    <row r="9055" spans="3:10" x14ac:dyDescent="0.2">
      <c r="C9055" s="209"/>
      <c r="D9055" s="209"/>
      <c r="E9055" s="209"/>
      <c r="J9055" s="124"/>
    </row>
    <row r="9056" spans="3:10" x14ac:dyDescent="0.2">
      <c r="C9056" s="209"/>
      <c r="D9056" s="209"/>
      <c r="E9056" s="209"/>
      <c r="J9056" s="124"/>
    </row>
    <row r="9057" spans="3:10" x14ac:dyDescent="0.2">
      <c r="C9057" s="209"/>
      <c r="D9057" s="209"/>
      <c r="E9057" s="209"/>
      <c r="J9057" s="124"/>
    </row>
    <row r="9058" spans="3:10" x14ac:dyDescent="0.2">
      <c r="C9058" s="209"/>
      <c r="D9058" s="209"/>
      <c r="E9058" s="209"/>
      <c r="J9058" s="124"/>
    </row>
    <row r="9059" spans="3:10" x14ac:dyDescent="0.2">
      <c r="C9059" s="209"/>
      <c r="D9059" s="209"/>
      <c r="E9059" s="209"/>
      <c r="J9059" s="124"/>
    </row>
    <row r="9060" spans="3:10" x14ac:dyDescent="0.2">
      <c r="C9060" s="209"/>
      <c r="D9060" s="209"/>
      <c r="E9060" s="209"/>
      <c r="J9060" s="124"/>
    </row>
    <row r="9061" spans="3:10" x14ac:dyDescent="0.2">
      <c r="C9061" s="209"/>
      <c r="D9061" s="209"/>
      <c r="E9061" s="209"/>
      <c r="J9061" s="124"/>
    </row>
    <row r="9062" spans="3:10" x14ac:dyDescent="0.2">
      <c r="C9062" s="209"/>
      <c r="D9062" s="209"/>
      <c r="E9062" s="209"/>
      <c r="J9062" s="124"/>
    </row>
    <row r="9063" spans="3:10" x14ac:dyDescent="0.2">
      <c r="C9063" s="209"/>
      <c r="D9063" s="209"/>
      <c r="E9063" s="209"/>
      <c r="J9063" s="124"/>
    </row>
    <row r="9064" spans="3:10" x14ac:dyDescent="0.2">
      <c r="C9064" s="209"/>
      <c r="D9064" s="209"/>
      <c r="E9064" s="209"/>
      <c r="J9064" s="124"/>
    </row>
    <row r="9065" spans="3:10" x14ac:dyDescent="0.2">
      <c r="C9065" s="209"/>
      <c r="D9065" s="209"/>
      <c r="E9065" s="209"/>
      <c r="J9065" s="124"/>
    </row>
    <row r="9066" spans="3:10" x14ac:dyDescent="0.2">
      <c r="C9066" s="209"/>
      <c r="D9066" s="209"/>
      <c r="E9066" s="209"/>
      <c r="J9066" s="124"/>
    </row>
    <row r="9067" spans="3:10" x14ac:dyDescent="0.2">
      <c r="C9067" s="209"/>
      <c r="D9067" s="209"/>
      <c r="E9067" s="209"/>
      <c r="J9067" s="124"/>
    </row>
    <row r="9068" spans="3:10" x14ac:dyDescent="0.2">
      <c r="C9068" s="209"/>
      <c r="D9068" s="209"/>
      <c r="E9068" s="209"/>
      <c r="J9068" s="124"/>
    </row>
    <row r="9069" spans="3:10" x14ac:dyDescent="0.2">
      <c r="C9069" s="209"/>
      <c r="D9069" s="209"/>
      <c r="E9069" s="209"/>
      <c r="J9069" s="124"/>
    </row>
    <row r="9070" spans="3:10" x14ac:dyDescent="0.2">
      <c r="C9070" s="209"/>
      <c r="D9070" s="209"/>
      <c r="E9070" s="209"/>
      <c r="J9070" s="124"/>
    </row>
    <row r="9071" spans="3:10" x14ac:dyDescent="0.2">
      <c r="C9071" s="209"/>
      <c r="D9071" s="209"/>
      <c r="E9071" s="209"/>
      <c r="J9071" s="124"/>
    </row>
    <row r="9072" spans="3:10" x14ac:dyDescent="0.2">
      <c r="C9072" s="209"/>
      <c r="D9072" s="209"/>
      <c r="E9072" s="209"/>
      <c r="J9072" s="124"/>
    </row>
    <row r="9073" spans="3:10" x14ac:dyDescent="0.2">
      <c r="C9073" s="209"/>
      <c r="D9073" s="209"/>
      <c r="E9073" s="209"/>
      <c r="J9073" s="124"/>
    </row>
    <row r="9074" spans="3:10" x14ac:dyDescent="0.2">
      <c r="C9074" s="209"/>
      <c r="D9074" s="209"/>
      <c r="E9074" s="209"/>
      <c r="J9074" s="124"/>
    </row>
    <row r="9075" spans="3:10" x14ac:dyDescent="0.2">
      <c r="C9075" s="209"/>
      <c r="D9075" s="209"/>
      <c r="E9075" s="209"/>
      <c r="J9075" s="124"/>
    </row>
    <row r="9076" spans="3:10" x14ac:dyDescent="0.2">
      <c r="C9076" s="209"/>
      <c r="D9076" s="209"/>
      <c r="E9076" s="209"/>
      <c r="J9076" s="124"/>
    </row>
    <row r="9077" spans="3:10" x14ac:dyDescent="0.2">
      <c r="C9077" s="209"/>
      <c r="D9077" s="209"/>
      <c r="E9077" s="209"/>
      <c r="J9077" s="124"/>
    </row>
    <row r="9078" spans="3:10" x14ac:dyDescent="0.2">
      <c r="C9078" s="209"/>
      <c r="D9078" s="209"/>
      <c r="E9078" s="209"/>
      <c r="J9078" s="124"/>
    </row>
    <row r="9079" spans="3:10" x14ac:dyDescent="0.2">
      <c r="C9079" s="209"/>
      <c r="D9079" s="209"/>
      <c r="E9079" s="209"/>
      <c r="J9079" s="124"/>
    </row>
    <row r="9080" spans="3:10" x14ac:dyDescent="0.2">
      <c r="C9080" s="209"/>
      <c r="D9080" s="209"/>
      <c r="E9080" s="209"/>
      <c r="J9080" s="124"/>
    </row>
    <row r="9081" spans="3:10" x14ac:dyDescent="0.2">
      <c r="C9081" s="209"/>
      <c r="D9081" s="209"/>
      <c r="E9081" s="209"/>
      <c r="J9081" s="124"/>
    </row>
    <row r="9082" spans="3:10" x14ac:dyDescent="0.2">
      <c r="C9082" s="209"/>
      <c r="D9082" s="209"/>
      <c r="E9082" s="209"/>
      <c r="J9082" s="124"/>
    </row>
    <row r="9083" spans="3:10" x14ac:dyDescent="0.2">
      <c r="C9083" s="209"/>
      <c r="D9083" s="209"/>
      <c r="E9083" s="209"/>
      <c r="J9083" s="124"/>
    </row>
    <row r="9084" spans="3:10" x14ac:dyDescent="0.2">
      <c r="C9084" s="209"/>
      <c r="D9084" s="209"/>
      <c r="E9084" s="209"/>
      <c r="J9084" s="124"/>
    </row>
    <row r="9085" spans="3:10" x14ac:dyDescent="0.2">
      <c r="C9085" s="209"/>
      <c r="D9085" s="209"/>
      <c r="E9085" s="209"/>
      <c r="J9085" s="124"/>
    </row>
    <row r="9086" spans="3:10" x14ac:dyDescent="0.2">
      <c r="C9086" s="209"/>
      <c r="D9086" s="209"/>
      <c r="E9086" s="209"/>
      <c r="J9086" s="124"/>
    </row>
    <row r="9087" spans="3:10" x14ac:dyDescent="0.2">
      <c r="C9087" s="209"/>
      <c r="D9087" s="209"/>
      <c r="E9087" s="209"/>
      <c r="J9087" s="124"/>
    </row>
    <row r="9088" spans="3:10" x14ac:dyDescent="0.2">
      <c r="C9088" s="209"/>
      <c r="D9088" s="209"/>
      <c r="E9088" s="209"/>
      <c r="J9088" s="124"/>
    </row>
    <row r="9089" spans="3:10" x14ac:dyDescent="0.2">
      <c r="C9089" s="209"/>
      <c r="D9089" s="209"/>
      <c r="E9089" s="209"/>
      <c r="J9089" s="124"/>
    </row>
    <row r="9090" spans="3:10" x14ac:dyDescent="0.2">
      <c r="C9090" s="209"/>
      <c r="D9090" s="209"/>
      <c r="E9090" s="209"/>
      <c r="J9090" s="124"/>
    </row>
    <row r="9091" spans="3:10" x14ac:dyDescent="0.2">
      <c r="C9091" s="209"/>
      <c r="D9091" s="209"/>
      <c r="E9091" s="209"/>
      <c r="J9091" s="124"/>
    </row>
    <row r="9092" spans="3:10" x14ac:dyDescent="0.2">
      <c r="C9092" s="209"/>
      <c r="D9092" s="209"/>
      <c r="E9092" s="209"/>
      <c r="J9092" s="124"/>
    </row>
    <row r="9093" spans="3:10" x14ac:dyDescent="0.2">
      <c r="C9093" s="209"/>
      <c r="D9093" s="209"/>
      <c r="E9093" s="209"/>
      <c r="J9093" s="124"/>
    </row>
    <row r="9094" spans="3:10" x14ac:dyDescent="0.2">
      <c r="C9094" s="209"/>
      <c r="D9094" s="209"/>
      <c r="E9094" s="209"/>
      <c r="J9094" s="124"/>
    </row>
    <row r="9095" spans="3:10" x14ac:dyDescent="0.2">
      <c r="C9095" s="209"/>
      <c r="D9095" s="209"/>
      <c r="E9095" s="209"/>
      <c r="J9095" s="124"/>
    </row>
    <row r="9096" spans="3:10" x14ac:dyDescent="0.2">
      <c r="C9096" s="209"/>
      <c r="D9096" s="209"/>
      <c r="E9096" s="209"/>
      <c r="J9096" s="124"/>
    </row>
    <row r="9097" spans="3:10" x14ac:dyDescent="0.2">
      <c r="C9097" s="209"/>
      <c r="D9097" s="209"/>
      <c r="E9097" s="209"/>
      <c r="J9097" s="124"/>
    </row>
    <row r="9098" spans="3:10" x14ac:dyDescent="0.2">
      <c r="C9098" s="209"/>
      <c r="D9098" s="209"/>
      <c r="E9098" s="209"/>
      <c r="J9098" s="124"/>
    </row>
    <row r="9099" spans="3:10" x14ac:dyDescent="0.2">
      <c r="C9099" s="209"/>
      <c r="D9099" s="209"/>
      <c r="E9099" s="209"/>
      <c r="J9099" s="124"/>
    </row>
    <row r="9100" spans="3:10" x14ac:dyDescent="0.2">
      <c r="C9100" s="209"/>
      <c r="D9100" s="209"/>
      <c r="E9100" s="209"/>
      <c r="J9100" s="124"/>
    </row>
    <row r="9101" spans="3:10" x14ac:dyDescent="0.2">
      <c r="C9101" s="209"/>
      <c r="D9101" s="209"/>
      <c r="E9101" s="209"/>
      <c r="J9101" s="124"/>
    </row>
    <row r="9102" spans="3:10" x14ac:dyDescent="0.2">
      <c r="C9102" s="209"/>
      <c r="D9102" s="209"/>
      <c r="E9102" s="209"/>
      <c r="J9102" s="124"/>
    </row>
    <row r="9103" spans="3:10" x14ac:dyDescent="0.2">
      <c r="C9103" s="209"/>
      <c r="D9103" s="209"/>
      <c r="E9103" s="209"/>
      <c r="J9103" s="124"/>
    </row>
    <row r="9104" spans="3:10" x14ac:dyDescent="0.2">
      <c r="C9104" s="209"/>
      <c r="D9104" s="209"/>
      <c r="E9104" s="209"/>
      <c r="J9104" s="124"/>
    </row>
    <row r="9105" spans="3:10" x14ac:dyDescent="0.2">
      <c r="C9105" s="209"/>
      <c r="D9105" s="209"/>
      <c r="E9105" s="209"/>
      <c r="J9105" s="124"/>
    </row>
    <row r="9106" spans="3:10" x14ac:dyDescent="0.2">
      <c r="C9106" s="209"/>
      <c r="D9106" s="209"/>
      <c r="E9106" s="209"/>
      <c r="J9106" s="124"/>
    </row>
    <row r="9107" spans="3:10" x14ac:dyDescent="0.2">
      <c r="C9107" s="209"/>
      <c r="D9107" s="209"/>
      <c r="E9107" s="209"/>
      <c r="J9107" s="124"/>
    </row>
    <row r="9108" spans="3:10" x14ac:dyDescent="0.2">
      <c r="C9108" s="209"/>
      <c r="D9108" s="209"/>
      <c r="E9108" s="209"/>
      <c r="J9108" s="124"/>
    </row>
    <row r="9109" spans="3:10" x14ac:dyDescent="0.2">
      <c r="C9109" s="209"/>
      <c r="D9109" s="209"/>
      <c r="E9109" s="209"/>
      <c r="J9109" s="124"/>
    </row>
    <row r="9110" spans="3:10" x14ac:dyDescent="0.2">
      <c r="C9110" s="209"/>
      <c r="D9110" s="209"/>
      <c r="E9110" s="209"/>
      <c r="J9110" s="124"/>
    </row>
    <row r="9111" spans="3:10" x14ac:dyDescent="0.2">
      <c r="C9111" s="209"/>
      <c r="D9111" s="209"/>
      <c r="E9111" s="209"/>
      <c r="J9111" s="124"/>
    </row>
    <row r="9112" spans="3:10" x14ac:dyDescent="0.2">
      <c r="C9112" s="209"/>
      <c r="D9112" s="209"/>
      <c r="E9112" s="209"/>
      <c r="J9112" s="124"/>
    </row>
    <row r="9113" spans="3:10" x14ac:dyDescent="0.2">
      <c r="C9113" s="209"/>
      <c r="D9113" s="209"/>
      <c r="E9113" s="209"/>
      <c r="J9113" s="124"/>
    </row>
    <row r="9114" spans="3:10" x14ac:dyDescent="0.2">
      <c r="C9114" s="209"/>
      <c r="D9114" s="209"/>
      <c r="E9114" s="209"/>
      <c r="J9114" s="124"/>
    </row>
    <row r="9115" spans="3:10" x14ac:dyDescent="0.2">
      <c r="C9115" s="209"/>
      <c r="D9115" s="209"/>
      <c r="E9115" s="209"/>
      <c r="J9115" s="124"/>
    </row>
    <row r="9116" spans="3:10" x14ac:dyDescent="0.2">
      <c r="C9116" s="209"/>
      <c r="D9116" s="209"/>
      <c r="E9116" s="209"/>
      <c r="J9116" s="124"/>
    </row>
    <row r="9117" spans="3:10" x14ac:dyDescent="0.2">
      <c r="C9117" s="209"/>
      <c r="D9117" s="209"/>
      <c r="E9117" s="209"/>
      <c r="J9117" s="124"/>
    </row>
    <row r="9118" spans="3:10" x14ac:dyDescent="0.2">
      <c r="C9118" s="209"/>
      <c r="D9118" s="209"/>
      <c r="E9118" s="209"/>
      <c r="J9118" s="124"/>
    </row>
    <row r="9119" spans="3:10" x14ac:dyDescent="0.2">
      <c r="C9119" s="209"/>
      <c r="D9119" s="209"/>
      <c r="E9119" s="209"/>
      <c r="J9119" s="124"/>
    </row>
    <row r="9120" spans="3:10" x14ac:dyDescent="0.2">
      <c r="C9120" s="209"/>
      <c r="D9120" s="209"/>
      <c r="E9120" s="209"/>
      <c r="J9120" s="124"/>
    </row>
    <row r="9121" spans="3:10" x14ac:dyDescent="0.2">
      <c r="C9121" s="209"/>
      <c r="D9121" s="209"/>
      <c r="E9121" s="209"/>
      <c r="J9121" s="124"/>
    </row>
    <row r="9122" spans="3:10" x14ac:dyDescent="0.2">
      <c r="C9122" s="209"/>
      <c r="D9122" s="209"/>
      <c r="E9122" s="209"/>
      <c r="J9122" s="124"/>
    </row>
    <row r="9123" spans="3:10" x14ac:dyDescent="0.2">
      <c r="C9123" s="209"/>
      <c r="D9123" s="209"/>
      <c r="E9123" s="209"/>
      <c r="J9123" s="124"/>
    </row>
    <row r="9124" spans="3:10" x14ac:dyDescent="0.2">
      <c r="C9124" s="209"/>
      <c r="D9124" s="209"/>
      <c r="E9124" s="209"/>
      <c r="J9124" s="124"/>
    </row>
    <row r="9125" spans="3:10" x14ac:dyDescent="0.2">
      <c r="C9125" s="209"/>
      <c r="D9125" s="209"/>
      <c r="E9125" s="209"/>
      <c r="J9125" s="124"/>
    </row>
    <row r="9126" spans="3:10" x14ac:dyDescent="0.2">
      <c r="C9126" s="209"/>
      <c r="D9126" s="209"/>
      <c r="E9126" s="209"/>
      <c r="J9126" s="124"/>
    </row>
    <row r="9127" spans="3:10" x14ac:dyDescent="0.2">
      <c r="C9127" s="209"/>
      <c r="D9127" s="209"/>
      <c r="E9127" s="209"/>
      <c r="J9127" s="124"/>
    </row>
    <row r="9128" spans="3:10" x14ac:dyDescent="0.2">
      <c r="C9128" s="209"/>
      <c r="D9128" s="209"/>
      <c r="E9128" s="209"/>
      <c r="J9128" s="124"/>
    </row>
    <row r="9129" spans="3:10" x14ac:dyDescent="0.2">
      <c r="C9129" s="209"/>
      <c r="D9129" s="209"/>
      <c r="E9129" s="209"/>
      <c r="J9129" s="124"/>
    </row>
    <row r="9130" spans="3:10" x14ac:dyDescent="0.2">
      <c r="C9130" s="209"/>
      <c r="D9130" s="209"/>
      <c r="E9130" s="209"/>
      <c r="J9130" s="124"/>
    </row>
    <row r="9131" spans="3:10" x14ac:dyDescent="0.2">
      <c r="C9131" s="209"/>
      <c r="D9131" s="209"/>
      <c r="E9131" s="209"/>
      <c r="J9131" s="124"/>
    </row>
    <row r="9132" spans="3:10" x14ac:dyDescent="0.2">
      <c r="C9132" s="209"/>
      <c r="D9132" s="209"/>
      <c r="E9132" s="209"/>
      <c r="J9132" s="124"/>
    </row>
    <row r="9133" spans="3:10" x14ac:dyDescent="0.2">
      <c r="C9133" s="209"/>
      <c r="D9133" s="209"/>
      <c r="E9133" s="209"/>
      <c r="J9133" s="124"/>
    </row>
    <row r="9134" spans="3:10" x14ac:dyDescent="0.2">
      <c r="C9134" s="209"/>
      <c r="D9134" s="209"/>
      <c r="E9134" s="209"/>
      <c r="J9134" s="124"/>
    </row>
    <row r="9135" spans="3:10" x14ac:dyDescent="0.2">
      <c r="C9135" s="209"/>
      <c r="D9135" s="209"/>
      <c r="E9135" s="209"/>
      <c r="J9135" s="124"/>
    </row>
    <row r="9136" spans="3:10" x14ac:dyDescent="0.2">
      <c r="C9136" s="209"/>
      <c r="D9136" s="209"/>
      <c r="E9136" s="209"/>
      <c r="J9136" s="124"/>
    </row>
    <row r="9137" spans="3:10" x14ac:dyDescent="0.2">
      <c r="C9137" s="209"/>
      <c r="D9137" s="209"/>
      <c r="E9137" s="209"/>
      <c r="J9137" s="124"/>
    </row>
    <row r="9138" spans="3:10" x14ac:dyDescent="0.2">
      <c r="C9138" s="209"/>
      <c r="D9138" s="209"/>
      <c r="E9138" s="209"/>
      <c r="J9138" s="124"/>
    </row>
    <row r="9139" spans="3:10" x14ac:dyDescent="0.2">
      <c r="C9139" s="209"/>
      <c r="D9139" s="209"/>
      <c r="E9139" s="209"/>
      <c r="J9139" s="124"/>
    </row>
    <row r="9140" spans="3:10" x14ac:dyDescent="0.2">
      <c r="C9140" s="209"/>
      <c r="D9140" s="209"/>
      <c r="E9140" s="209"/>
      <c r="J9140" s="124"/>
    </row>
    <row r="9141" spans="3:10" x14ac:dyDescent="0.2">
      <c r="C9141" s="209"/>
      <c r="D9141" s="209"/>
      <c r="E9141" s="209"/>
      <c r="J9141" s="124"/>
    </row>
    <row r="9142" spans="3:10" x14ac:dyDescent="0.2">
      <c r="C9142" s="209"/>
      <c r="D9142" s="209"/>
      <c r="E9142" s="209"/>
      <c r="J9142" s="124"/>
    </row>
    <row r="9143" spans="3:10" x14ac:dyDescent="0.2">
      <c r="C9143" s="209"/>
      <c r="D9143" s="209"/>
      <c r="E9143" s="209"/>
      <c r="J9143" s="124"/>
    </row>
    <row r="9144" spans="3:10" x14ac:dyDescent="0.2">
      <c r="C9144" s="209"/>
      <c r="D9144" s="209"/>
      <c r="E9144" s="209"/>
      <c r="J9144" s="124"/>
    </row>
    <row r="9145" spans="3:10" x14ac:dyDescent="0.2">
      <c r="C9145" s="209"/>
      <c r="D9145" s="209"/>
      <c r="E9145" s="209"/>
      <c r="J9145" s="124"/>
    </row>
    <row r="9146" spans="3:10" x14ac:dyDescent="0.2">
      <c r="C9146" s="209"/>
      <c r="D9146" s="209"/>
      <c r="E9146" s="209"/>
      <c r="J9146" s="124"/>
    </row>
    <row r="9147" spans="3:10" x14ac:dyDescent="0.2">
      <c r="C9147" s="209"/>
      <c r="D9147" s="209"/>
      <c r="E9147" s="209"/>
      <c r="J9147" s="124"/>
    </row>
    <row r="9148" spans="3:10" x14ac:dyDescent="0.2">
      <c r="C9148" s="209"/>
      <c r="D9148" s="209"/>
      <c r="E9148" s="209"/>
      <c r="J9148" s="124"/>
    </row>
    <row r="9149" spans="3:10" x14ac:dyDescent="0.2">
      <c r="C9149" s="209"/>
      <c r="D9149" s="209"/>
      <c r="E9149" s="209"/>
      <c r="J9149" s="124"/>
    </row>
    <row r="9150" spans="3:10" x14ac:dyDescent="0.2">
      <c r="C9150" s="209"/>
      <c r="D9150" s="209"/>
      <c r="E9150" s="209"/>
      <c r="J9150" s="124"/>
    </row>
    <row r="9151" spans="3:10" x14ac:dyDescent="0.2">
      <c r="C9151" s="209"/>
      <c r="D9151" s="209"/>
      <c r="E9151" s="209"/>
      <c r="J9151" s="124"/>
    </row>
    <row r="9152" spans="3:10" x14ac:dyDescent="0.2">
      <c r="C9152" s="209"/>
      <c r="D9152" s="209"/>
      <c r="E9152" s="209"/>
      <c r="J9152" s="124"/>
    </row>
    <row r="9153" spans="3:10" x14ac:dyDescent="0.2">
      <c r="C9153" s="209"/>
      <c r="D9153" s="209"/>
      <c r="E9153" s="209"/>
      <c r="J9153" s="124"/>
    </row>
    <row r="9154" spans="3:10" x14ac:dyDescent="0.2">
      <c r="C9154" s="209"/>
      <c r="D9154" s="209"/>
      <c r="E9154" s="209"/>
      <c r="J9154" s="124"/>
    </row>
    <row r="9155" spans="3:10" x14ac:dyDescent="0.2">
      <c r="C9155" s="209"/>
      <c r="D9155" s="209"/>
      <c r="E9155" s="209"/>
      <c r="J9155" s="124"/>
    </row>
    <row r="9156" spans="3:10" x14ac:dyDescent="0.2">
      <c r="C9156" s="209"/>
      <c r="D9156" s="209"/>
      <c r="E9156" s="209"/>
      <c r="J9156" s="124"/>
    </row>
    <row r="9157" spans="3:10" x14ac:dyDescent="0.2">
      <c r="C9157" s="209"/>
      <c r="D9157" s="209"/>
      <c r="E9157" s="209"/>
      <c r="J9157" s="124"/>
    </row>
    <row r="9158" spans="3:10" x14ac:dyDescent="0.2">
      <c r="C9158" s="209"/>
      <c r="D9158" s="209"/>
      <c r="E9158" s="209"/>
      <c r="J9158" s="124"/>
    </row>
    <row r="9159" spans="3:10" x14ac:dyDescent="0.2">
      <c r="C9159" s="209"/>
      <c r="D9159" s="209"/>
      <c r="E9159" s="209"/>
      <c r="J9159" s="124"/>
    </row>
    <row r="9160" spans="3:10" x14ac:dyDescent="0.2">
      <c r="C9160" s="209"/>
      <c r="D9160" s="209"/>
      <c r="E9160" s="209"/>
      <c r="J9160" s="124"/>
    </row>
    <row r="9161" spans="3:10" x14ac:dyDescent="0.2">
      <c r="C9161" s="209"/>
      <c r="D9161" s="209"/>
      <c r="E9161" s="209"/>
      <c r="J9161" s="124"/>
    </row>
    <row r="9162" spans="3:10" x14ac:dyDescent="0.2">
      <c r="C9162" s="209"/>
      <c r="D9162" s="209"/>
      <c r="E9162" s="209"/>
      <c r="J9162" s="124"/>
    </row>
    <row r="9163" spans="3:10" x14ac:dyDescent="0.2">
      <c r="C9163" s="209"/>
      <c r="D9163" s="209"/>
      <c r="E9163" s="209"/>
      <c r="J9163" s="124"/>
    </row>
    <row r="9164" spans="3:10" x14ac:dyDescent="0.2">
      <c r="C9164" s="209"/>
      <c r="D9164" s="209"/>
      <c r="E9164" s="209"/>
      <c r="J9164" s="124"/>
    </row>
    <row r="9165" spans="3:10" x14ac:dyDescent="0.2">
      <c r="C9165" s="209"/>
      <c r="D9165" s="209"/>
      <c r="E9165" s="209"/>
      <c r="J9165" s="124"/>
    </row>
    <row r="9166" spans="3:10" x14ac:dyDescent="0.2">
      <c r="C9166" s="209"/>
      <c r="D9166" s="209"/>
      <c r="E9166" s="209"/>
      <c r="J9166" s="124"/>
    </row>
    <row r="9167" spans="3:10" x14ac:dyDescent="0.2">
      <c r="C9167" s="209"/>
      <c r="D9167" s="209"/>
      <c r="E9167" s="209"/>
      <c r="J9167" s="124"/>
    </row>
    <row r="9168" spans="3:10" x14ac:dyDescent="0.2">
      <c r="C9168" s="209"/>
      <c r="D9168" s="209"/>
      <c r="E9168" s="209"/>
      <c r="J9168" s="124"/>
    </row>
    <row r="9169" spans="3:10" x14ac:dyDescent="0.2">
      <c r="C9169" s="209"/>
      <c r="D9169" s="209"/>
      <c r="E9169" s="209"/>
      <c r="J9169" s="124"/>
    </row>
    <row r="9170" spans="3:10" x14ac:dyDescent="0.2">
      <c r="C9170" s="209"/>
      <c r="D9170" s="209"/>
      <c r="E9170" s="209"/>
      <c r="J9170" s="124"/>
    </row>
    <row r="9171" spans="3:10" x14ac:dyDescent="0.2">
      <c r="C9171" s="209"/>
      <c r="D9171" s="209"/>
      <c r="E9171" s="209"/>
      <c r="J9171" s="124"/>
    </row>
    <row r="9172" spans="3:10" x14ac:dyDescent="0.2">
      <c r="C9172" s="209"/>
      <c r="D9172" s="209"/>
      <c r="E9172" s="209"/>
      <c r="J9172" s="124"/>
    </row>
    <row r="9173" spans="3:10" x14ac:dyDescent="0.2">
      <c r="C9173" s="209"/>
      <c r="D9173" s="209"/>
      <c r="E9173" s="209"/>
      <c r="J9173" s="124"/>
    </row>
    <row r="9174" spans="3:10" x14ac:dyDescent="0.2">
      <c r="C9174" s="209"/>
      <c r="D9174" s="209"/>
      <c r="E9174" s="209"/>
      <c r="J9174" s="124"/>
    </row>
    <row r="9175" spans="3:10" x14ac:dyDescent="0.2">
      <c r="C9175" s="209"/>
      <c r="D9175" s="209"/>
      <c r="E9175" s="209"/>
      <c r="J9175" s="124"/>
    </row>
    <row r="9176" spans="3:10" x14ac:dyDescent="0.2">
      <c r="C9176" s="209"/>
      <c r="D9176" s="209"/>
      <c r="E9176" s="209"/>
      <c r="J9176" s="124"/>
    </row>
    <row r="9177" spans="3:10" x14ac:dyDescent="0.2">
      <c r="C9177" s="209"/>
      <c r="D9177" s="209"/>
      <c r="E9177" s="209"/>
      <c r="J9177" s="124"/>
    </row>
    <row r="9178" spans="3:10" x14ac:dyDescent="0.2">
      <c r="C9178" s="209"/>
      <c r="D9178" s="209"/>
      <c r="E9178" s="209"/>
      <c r="J9178" s="124"/>
    </row>
    <row r="9179" spans="3:10" x14ac:dyDescent="0.2">
      <c r="C9179" s="209"/>
      <c r="D9179" s="209"/>
      <c r="E9179" s="209"/>
      <c r="J9179" s="124"/>
    </row>
    <row r="9180" spans="3:10" x14ac:dyDescent="0.2">
      <c r="C9180" s="209"/>
      <c r="D9180" s="209"/>
      <c r="E9180" s="209"/>
      <c r="J9180" s="124"/>
    </row>
    <row r="9181" spans="3:10" x14ac:dyDescent="0.2">
      <c r="C9181" s="209"/>
      <c r="D9181" s="209"/>
      <c r="E9181" s="209"/>
      <c r="J9181" s="124"/>
    </row>
    <row r="9182" spans="3:10" x14ac:dyDescent="0.2">
      <c r="C9182" s="209"/>
      <c r="D9182" s="209"/>
      <c r="E9182" s="209"/>
      <c r="J9182" s="124"/>
    </row>
    <row r="9183" spans="3:10" x14ac:dyDescent="0.2">
      <c r="C9183" s="209"/>
      <c r="D9183" s="209"/>
      <c r="E9183" s="209"/>
      <c r="J9183" s="124"/>
    </row>
    <row r="9184" spans="3:10" x14ac:dyDescent="0.2">
      <c r="C9184" s="209"/>
      <c r="D9184" s="209"/>
      <c r="E9184" s="209"/>
      <c r="J9184" s="124"/>
    </row>
    <row r="9185" spans="3:10" x14ac:dyDescent="0.2">
      <c r="C9185" s="209"/>
      <c r="D9185" s="209"/>
      <c r="E9185" s="209"/>
      <c r="J9185" s="124"/>
    </row>
    <row r="9186" spans="3:10" x14ac:dyDescent="0.2">
      <c r="C9186" s="209"/>
      <c r="D9186" s="209"/>
      <c r="E9186" s="209"/>
      <c r="J9186" s="124"/>
    </row>
    <row r="9187" spans="3:10" x14ac:dyDescent="0.2">
      <c r="C9187" s="209"/>
      <c r="D9187" s="209"/>
      <c r="E9187" s="209"/>
      <c r="J9187" s="124"/>
    </row>
    <row r="9188" spans="3:10" x14ac:dyDescent="0.2">
      <c r="C9188" s="209"/>
      <c r="D9188" s="209"/>
      <c r="E9188" s="209"/>
      <c r="J9188" s="124"/>
    </row>
    <row r="9189" spans="3:10" x14ac:dyDescent="0.2">
      <c r="C9189" s="209"/>
      <c r="D9189" s="209"/>
      <c r="E9189" s="209"/>
      <c r="J9189" s="124"/>
    </row>
    <row r="9190" spans="3:10" x14ac:dyDescent="0.2">
      <c r="C9190" s="209"/>
      <c r="D9190" s="209"/>
      <c r="E9190" s="209"/>
      <c r="J9190" s="124"/>
    </row>
    <row r="9191" spans="3:10" x14ac:dyDescent="0.2">
      <c r="C9191" s="209"/>
      <c r="D9191" s="209"/>
      <c r="E9191" s="209"/>
      <c r="J9191" s="124"/>
    </row>
    <row r="9192" spans="3:10" x14ac:dyDescent="0.2">
      <c r="C9192" s="209"/>
      <c r="D9192" s="209"/>
      <c r="E9192" s="209"/>
      <c r="J9192" s="124"/>
    </row>
    <row r="9193" spans="3:10" x14ac:dyDescent="0.2">
      <c r="C9193" s="209"/>
      <c r="D9193" s="209"/>
      <c r="E9193" s="209"/>
      <c r="J9193" s="124"/>
    </row>
    <row r="9194" spans="3:10" x14ac:dyDescent="0.2">
      <c r="C9194" s="209"/>
      <c r="D9194" s="209"/>
      <c r="E9194" s="209"/>
      <c r="J9194" s="124"/>
    </row>
    <row r="9195" spans="3:10" x14ac:dyDescent="0.2">
      <c r="C9195" s="209"/>
      <c r="D9195" s="209"/>
      <c r="E9195" s="209"/>
      <c r="J9195" s="124"/>
    </row>
    <row r="9196" spans="3:10" x14ac:dyDescent="0.2">
      <c r="C9196" s="209"/>
      <c r="D9196" s="209"/>
      <c r="E9196" s="209"/>
      <c r="J9196" s="124"/>
    </row>
    <row r="9197" spans="3:10" x14ac:dyDescent="0.2">
      <c r="C9197" s="209"/>
      <c r="D9197" s="209"/>
      <c r="E9197" s="209"/>
      <c r="J9197" s="124"/>
    </row>
    <row r="9198" spans="3:10" x14ac:dyDescent="0.2">
      <c r="C9198" s="209"/>
      <c r="D9198" s="209"/>
      <c r="E9198" s="209"/>
      <c r="J9198" s="124"/>
    </row>
    <row r="9199" spans="3:10" x14ac:dyDescent="0.2">
      <c r="C9199" s="209"/>
      <c r="D9199" s="209"/>
      <c r="E9199" s="209"/>
      <c r="J9199" s="124"/>
    </row>
    <row r="9200" spans="3:10" x14ac:dyDescent="0.2">
      <c r="C9200" s="209"/>
      <c r="D9200" s="209"/>
      <c r="E9200" s="209"/>
      <c r="J9200" s="124"/>
    </row>
    <row r="9201" spans="3:10" x14ac:dyDescent="0.2">
      <c r="C9201" s="209"/>
      <c r="D9201" s="209"/>
      <c r="E9201" s="209"/>
      <c r="J9201" s="124"/>
    </row>
    <row r="9202" spans="3:10" x14ac:dyDescent="0.2">
      <c r="C9202" s="209"/>
      <c r="D9202" s="209"/>
      <c r="E9202" s="209"/>
      <c r="J9202" s="124"/>
    </row>
    <row r="9203" spans="3:10" x14ac:dyDescent="0.2">
      <c r="C9203" s="209"/>
      <c r="D9203" s="209"/>
      <c r="E9203" s="209"/>
      <c r="J9203" s="124"/>
    </row>
    <row r="9204" spans="3:10" x14ac:dyDescent="0.2">
      <c r="C9204" s="209"/>
      <c r="D9204" s="209"/>
      <c r="E9204" s="209"/>
      <c r="J9204" s="124"/>
    </row>
    <row r="9205" spans="3:10" x14ac:dyDescent="0.2">
      <c r="C9205" s="209"/>
      <c r="D9205" s="209"/>
      <c r="E9205" s="209"/>
      <c r="J9205" s="124"/>
    </row>
    <row r="9206" spans="3:10" x14ac:dyDescent="0.2">
      <c r="C9206" s="209"/>
      <c r="D9206" s="209"/>
      <c r="E9206" s="209"/>
      <c r="J9206" s="124"/>
    </row>
    <row r="9207" spans="3:10" x14ac:dyDescent="0.2">
      <c r="C9207" s="209"/>
      <c r="D9207" s="209"/>
      <c r="E9207" s="209"/>
      <c r="J9207" s="124"/>
    </row>
    <row r="9208" spans="3:10" x14ac:dyDescent="0.2">
      <c r="C9208" s="209"/>
      <c r="D9208" s="209"/>
      <c r="E9208" s="209"/>
      <c r="J9208" s="124"/>
    </row>
    <row r="9209" spans="3:10" x14ac:dyDescent="0.2">
      <c r="C9209" s="209"/>
      <c r="D9209" s="209"/>
      <c r="E9209" s="209"/>
      <c r="J9209" s="124"/>
    </row>
    <row r="9210" spans="3:10" x14ac:dyDescent="0.2">
      <c r="C9210" s="209"/>
      <c r="D9210" s="209"/>
      <c r="E9210" s="209"/>
      <c r="J9210" s="124"/>
    </row>
    <row r="9211" spans="3:10" x14ac:dyDescent="0.2">
      <c r="C9211" s="209"/>
      <c r="D9211" s="209"/>
      <c r="E9211" s="209"/>
      <c r="J9211" s="124"/>
    </row>
    <row r="9212" spans="3:10" x14ac:dyDescent="0.2">
      <c r="C9212" s="209"/>
      <c r="D9212" s="209"/>
      <c r="E9212" s="209"/>
      <c r="J9212" s="124"/>
    </row>
    <row r="9213" spans="3:10" x14ac:dyDescent="0.2">
      <c r="C9213" s="209"/>
      <c r="D9213" s="209"/>
      <c r="E9213" s="209"/>
      <c r="J9213" s="124"/>
    </row>
    <row r="9214" spans="3:10" x14ac:dyDescent="0.2">
      <c r="C9214" s="209"/>
      <c r="D9214" s="209"/>
      <c r="E9214" s="209"/>
      <c r="J9214" s="124"/>
    </row>
    <row r="9215" spans="3:10" x14ac:dyDescent="0.2">
      <c r="C9215" s="209"/>
      <c r="D9215" s="209"/>
      <c r="E9215" s="209"/>
      <c r="J9215" s="124"/>
    </row>
    <row r="9216" spans="3:10" x14ac:dyDescent="0.2">
      <c r="C9216" s="209"/>
      <c r="D9216" s="209"/>
      <c r="E9216" s="209"/>
      <c r="J9216" s="124"/>
    </row>
    <row r="9217" spans="3:10" x14ac:dyDescent="0.2">
      <c r="C9217" s="209"/>
      <c r="D9217" s="209"/>
      <c r="E9217" s="209"/>
      <c r="J9217" s="124"/>
    </row>
    <row r="9218" spans="3:10" x14ac:dyDescent="0.2">
      <c r="C9218" s="209"/>
      <c r="D9218" s="209"/>
      <c r="E9218" s="209"/>
      <c r="J9218" s="124"/>
    </row>
    <row r="9219" spans="3:10" x14ac:dyDescent="0.2">
      <c r="C9219" s="209"/>
      <c r="D9219" s="209"/>
      <c r="E9219" s="209"/>
      <c r="J9219" s="124"/>
    </row>
    <row r="9220" spans="3:10" x14ac:dyDescent="0.2">
      <c r="C9220" s="209"/>
      <c r="D9220" s="209"/>
      <c r="E9220" s="209"/>
      <c r="J9220" s="124"/>
    </row>
    <row r="9221" spans="3:10" x14ac:dyDescent="0.2">
      <c r="C9221" s="209"/>
      <c r="D9221" s="209"/>
      <c r="E9221" s="209"/>
      <c r="J9221" s="124"/>
    </row>
    <row r="9222" spans="3:10" x14ac:dyDescent="0.2">
      <c r="C9222" s="209"/>
      <c r="D9222" s="209"/>
      <c r="E9222" s="209"/>
      <c r="J9222" s="124"/>
    </row>
    <row r="9223" spans="3:10" x14ac:dyDescent="0.2">
      <c r="C9223" s="209"/>
      <c r="D9223" s="209"/>
      <c r="E9223" s="209"/>
      <c r="J9223" s="124"/>
    </row>
    <row r="9224" spans="3:10" x14ac:dyDescent="0.2">
      <c r="C9224" s="209"/>
      <c r="D9224" s="209"/>
      <c r="E9224" s="209"/>
      <c r="J9224" s="124"/>
    </row>
    <row r="9225" spans="3:10" x14ac:dyDescent="0.2">
      <c r="C9225" s="209"/>
      <c r="D9225" s="209"/>
      <c r="E9225" s="209"/>
      <c r="J9225" s="124"/>
    </row>
    <row r="9226" spans="3:10" x14ac:dyDescent="0.2">
      <c r="C9226" s="209"/>
      <c r="D9226" s="209"/>
      <c r="E9226" s="209"/>
      <c r="J9226" s="124"/>
    </row>
    <row r="9227" spans="3:10" x14ac:dyDescent="0.2">
      <c r="C9227" s="209"/>
      <c r="D9227" s="209"/>
      <c r="E9227" s="209"/>
      <c r="J9227" s="124"/>
    </row>
    <row r="9228" spans="3:10" x14ac:dyDescent="0.2">
      <c r="C9228" s="209"/>
      <c r="D9228" s="209"/>
      <c r="E9228" s="209"/>
      <c r="J9228" s="124"/>
    </row>
    <row r="9229" spans="3:10" x14ac:dyDescent="0.2">
      <c r="C9229" s="209"/>
      <c r="D9229" s="209"/>
      <c r="E9229" s="209"/>
      <c r="J9229" s="124"/>
    </row>
    <row r="9230" spans="3:10" x14ac:dyDescent="0.2">
      <c r="C9230" s="209"/>
      <c r="D9230" s="209"/>
      <c r="E9230" s="209"/>
      <c r="J9230" s="124"/>
    </row>
    <row r="9231" spans="3:10" x14ac:dyDescent="0.2">
      <c r="C9231" s="209"/>
      <c r="D9231" s="209"/>
      <c r="E9231" s="209"/>
      <c r="J9231" s="124"/>
    </row>
    <row r="9232" spans="3:10" x14ac:dyDescent="0.2">
      <c r="C9232" s="209"/>
      <c r="D9232" s="209"/>
      <c r="E9232" s="209"/>
      <c r="J9232" s="124"/>
    </row>
    <row r="9233" spans="3:10" x14ac:dyDescent="0.2">
      <c r="C9233" s="209"/>
      <c r="D9233" s="209"/>
      <c r="E9233" s="209"/>
      <c r="J9233" s="124"/>
    </row>
    <row r="9234" spans="3:10" x14ac:dyDescent="0.2">
      <c r="C9234" s="209"/>
      <c r="D9234" s="209"/>
      <c r="E9234" s="209"/>
      <c r="J9234" s="124"/>
    </row>
    <row r="9235" spans="3:10" x14ac:dyDescent="0.2">
      <c r="C9235" s="209"/>
      <c r="D9235" s="209"/>
      <c r="E9235" s="209"/>
      <c r="J9235" s="124"/>
    </row>
    <row r="9236" spans="3:10" x14ac:dyDescent="0.2">
      <c r="C9236" s="209"/>
      <c r="D9236" s="209"/>
      <c r="E9236" s="209"/>
      <c r="J9236" s="124"/>
    </row>
    <row r="9237" spans="3:10" x14ac:dyDescent="0.2">
      <c r="C9237" s="209"/>
      <c r="D9237" s="209"/>
      <c r="E9237" s="209"/>
      <c r="J9237" s="124"/>
    </row>
    <row r="9238" spans="3:10" x14ac:dyDescent="0.2">
      <c r="C9238" s="209"/>
      <c r="D9238" s="209"/>
      <c r="E9238" s="209"/>
      <c r="J9238" s="124"/>
    </row>
    <row r="9239" spans="3:10" x14ac:dyDescent="0.2">
      <c r="C9239" s="209"/>
      <c r="D9239" s="209"/>
      <c r="E9239" s="209"/>
      <c r="J9239" s="124"/>
    </row>
    <row r="9240" spans="3:10" x14ac:dyDescent="0.2">
      <c r="C9240" s="209"/>
      <c r="D9240" s="209"/>
      <c r="E9240" s="209"/>
      <c r="J9240" s="124"/>
    </row>
    <row r="9241" spans="3:10" x14ac:dyDescent="0.2">
      <c r="C9241" s="209"/>
      <c r="D9241" s="209"/>
      <c r="E9241" s="209"/>
      <c r="J9241" s="124"/>
    </row>
    <row r="9242" spans="3:10" x14ac:dyDescent="0.2">
      <c r="C9242" s="209"/>
      <c r="D9242" s="209"/>
      <c r="E9242" s="209"/>
      <c r="J9242" s="124"/>
    </row>
    <row r="9243" spans="3:10" x14ac:dyDescent="0.2">
      <c r="C9243" s="209"/>
      <c r="D9243" s="209"/>
      <c r="E9243" s="209"/>
      <c r="J9243" s="124"/>
    </row>
    <row r="9244" spans="3:10" x14ac:dyDescent="0.2">
      <c r="C9244" s="209"/>
      <c r="D9244" s="209"/>
      <c r="E9244" s="209"/>
      <c r="J9244" s="124"/>
    </row>
    <row r="9245" spans="3:10" x14ac:dyDescent="0.2">
      <c r="C9245" s="209"/>
      <c r="D9245" s="209"/>
      <c r="E9245" s="209"/>
      <c r="J9245" s="124"/>
    </row>
    <row r="9246" spans="3:10" x14ac:dyDescent="0.2">
      <c r="C9246" s="209"/>
      <c r="D9246" s="209"/>
      <c r="E9246" s="209"/>
      <c r="J9246" s="124"/>
    </row>
    <row r="9247" spans="3:10" x14ac:dyDescent="0.2">
      <c r="C9247" s="209"/>
      <c r="D9247" s="209"/>
      <c r="E9247" s="209"/>
      <c r="J9247" s="124"/>
    </row>
    <row r="9248" spans="3:10" x14ac:dyDescent="0.2">
      <c r="C9248" s="209"/>
      <c r="D9248" s="209"/>
      <c r="E9248" s="209"/>
      <c r="J9248" s="124"/>
    </row>
    <row r="9249" spans="3:10" x14ac:dyDescent="0.2">
      <c r="C9249" s="209"/>
      <c r="D9249" s="209"/>
      <c r="E9249" s="209"/>
      <c r="J9249" s="124"/>
    </row>
    <row r="9250" spans="3:10" x14ac:dyDescent="0.2">
      <c r="C9250" s="209"/>
      <c r="D9250" s="209"/>
      <c r="E9250" s="209"/>
      <c r="J9250" s="124"/>
    </row>
    <row r="9251" spans="3:10" x14ac:dyDescent="0.2">
      <c r="C9251" s="209"/>
      <c r="D9251" s="209"/>
      <c r="E9251" s="209"/>
      <c r="J9251" s="124"/>
    </row>
    <row r="9252" spans="3:10" x14ac:dyDescent="0.2">
      <c r="C9252" s="209"/>
      <c r="D9252" s="209"/>
      <c r="E9252" s="209"/>
      <c r="J9252" s="124"/>
    </row>
    <row r="9253" spans="3:10" x14ac:dyDescent="0.2">
      <c r="C9253" s="209"/>
      <c r="D9253" s="209"/>
      <c r="E9253" s="209"/>
      <c r="J9253" s="124"/>
    </row>
    <row r="9254" spans="3:10" x14ac:dyDescent="0.2">
      <c r="C9254" s="209"/>
      <c r="D9254" s="209"/>
      <c r="E9254" s="209"/>
      <c r="J9254" s="124"/>
    </row>
    <row r="9255" spans="3:10" x14ac:dyDescent="0.2">
      <c r="C9255" s="209"/>
      <c r="D9255" s="209"/>
      <c r="E9255" s="209"/>
      <c r="J9255" s="124"/>
    </row>
    <row r="9256" spans="3:10" x14ac:dyDescent="0.2">
      <c r="C9256" s="209"/>
      <c r="D9256" s="209"/>
      <c r="E9256" s="209"/>
      <c r="J9256" s="124"/>
    </row>
    <row r="9257" spans="3:10" x14ac:dyDescent="0.2">
      <c r="C9257" s="209"/>
      <c r="D9257" s="209"/>
      <c r="E9257" s="209"/>
      <c r="J9257" s="124"/>
    </row>
    <row r="9258" spans="3:10" x14ac:dyDescent="0.2">
      <c r="C9258" s="209"/>
      <c r="D9258" s="209"/>
      <c r="E9258" s="209"/>
      <c r="J9258" s="124"/>
    </row>
    <row r="9259" spans="3:10" x14ac:dyDescent="0.2">
      <c r="C9259" s="209"/>
      <c r="D9259" s="209"/>
      <c r="E9259" s="209"/>
      <c r="J9259" s="124"/>
    </row>
    <row r="9260" spans="3:10" x14ac:dyDescent="0.2">
      <c r="C9260" s="209"/>
      <c r="D9260" s="209"/>
      <c r="E9260" s="209"/>
      <c r="J9260" s="124"/>
    </row>
    <row r="9261" spans="3:10" x14ac:dyDescent="0.2">
      <c r="C9261" s="209"/>
      <c r="D9261" s="209"/>
      <c r="E9261" s="209"/>
      <c r="J9261" s="124"/>
    </row>
    <row r="9262" spans="3:10" x14ac:dyDescent="0.2">
      <c r="C9262" s="209"/>
      <c r="D9262" s="209"/>
      <c r="E9262" s="209"/>
      <c r="J9262" s="124"/>
    </row>
    <row r="9263" spans="3:10" x14ac:dyDescent="0.2">
      <c r="C9263" s="209"/>
      <c r="D9263" s="209"/>
      <c r="E9263" s="209"/>
      <c r="J9263" s="124"/>
    </row>
    <row r="9264" spans="3:10" x14ac:dyDescent="0.2">
      <c r="C9264" s="209"/>
      <c r="D9264" s="209"/>
      <c r="E9264" s="209"/>
      <c r="J9264" s="124"/>
    </row>
    <row r="9265" spans="3:10" x14ac:dyDescent="0.2">
      <c r="C9265" s="209"/>
      <c r="D9265" s="209"/>
      <c r="E9265" s="209"/>
      <c r="J9265" s="124"/>
    </row>
    <row r="9266" spans="3:10" x14ac:dyDescent="0.2">
      <c r="C9266" s="209"/>
      <c r="D9266" s="209"/>
      <c r="E9266" s="209"/>
      <c r="J9266" s="124"/>
    </row>
    <row r="9267" spans="3:10" x14ac:dyDescent="0.2">
      <c r="C9267" s="209"/>
      <c r="D9267" s="209"/>
      <c r="E9267" s="209"/>
      <c r="J9267" s="124"/>
    </row>
    <row r="9268" spans="3:10" x14ac:dyDescent="0.2">
      <c r="C9268" s="209"/>
      <c r="D9268" s="209"/>
      <c r="E9268" s="209"/>
      <c r="J9268" s="124"/>
    </row>
    <row r="9269" spans="3:10" x14ac:dyDescent="0.2">
      <c r="C9269" s="209"/>
      <c r="D9269" s="209"/>
      <c r="E9269" s="209"/>
      <c r="J9269" s="124"/>
    </row>
    <row r="9270" spans="3:10" x14ac:dyDescent="0.2">
      <c r="C9270" s="209"/>
      <c r="D9270" s="209"/>
      <c r="E9270" s="209"/>
      <c r="J9270" s="124"/>
    </row>
    <row r="9271" spans="3:10" x14ac:dyDescent="0.2">
      <c r="C9271" s="209"/>
      <c r="D9271" s="209"/>
      <c r="E9271" s="209"/>
      <c r="J9271" s="124"/>
    </row>
    <row r="9272" spans="3:10" x14ac:dyDescent="0.2">
      <c r="C9272" s="209"/>
      <c r="D9272" s="209"/>
      <c r="E9272" s="209"/>
      <c r="J9272" s="124"/>
    </row>
    <row r="9273" spans="3:10" x14ac:dyDescent="0.2">
      <c r="C9273" s="209"/>
      <c r="D9273" s="209"/>
      <c r="E9273" s="209"/>
      <c r="J9273" s="124"/>
    </row>
    <row r="9274" spans="3:10" x14ac:dyDescent="0.2">
      <c r="C9274" s="209"/>
      <c r="D9274" s="209"/>
      <c r="E9274" s="209"/>
      <c r="J9274" s="124"/>
    </row>
    <row r="9275" spans="3:10" x14ac:dyDescent="0.2">
      <c r="C9275" s="209"/>
      <c r="D9275" s="209"/>
      <c r="E9275" s="209"/>
      <c r="J9275" s="124"/>
    </row>
    <row r="9276" spans="3:10" x14ac:dyDescent="0.2">
      <c r="C9276" s="209"/>
      <c r="D9276" s="209"/>
      <c r="E9276" s="209"/>
      <c r="J9276" s="124"/>
    </row>
    <row r="9277" spans="3:10" x14ac:dyDescent="0.2">
      <c r="C9277" s="209"/>
      <c r="D9277" s="209"/>
      <c r="E9277" s="209"/>
      <c r="J9277" s="124"/>
    </row>
    <row r="9278" spans="3:10" x14ac:dyDescent="0.2">
      <c r="C9278" s="209"/>
      <c r="D9278" s="209"/>
      <c r="E9278" s="209"/>
      <c r="J9278" s="124"/>
    </row>
    <row r="9279" spans="3:10" x14ac:dyDescent="0.2">
      <c r="C9279" s="209"/>
      <c r="D9279" s="209"/>
      <c r="E9279" s="209"/>
      <c r="J9279" s="124"/>
    </row>
    <row r="9280" spans="3:10" x14ac:dyDescent="0.2">
      <c r="C9280" s="209"/>
      <c r="D9280" s="209"/>
      <c r="E9280" s="209"/>
      <c r="J9280" s="124"/>
    </row>
    <row r="9281" spans="3:10" x14ac:dyDescent="0.2">
      <c r="C9281" s="209"/>
      <c r="D9281" s="209"/>
      <c r="E9281" s="209"/>
      <c r="J9281" s="124"/>
    </row>
    <row r="9282" spans="3:10" x14ac:dyDescent="0.2">
      <c r="C9282" s="209"/>
      <c r="D9282" s="209"/>
      <c r="E9282" s="209"/>
      <c r="J9282" s="124"/>
    </row>
    <row r="9283" spans="3:10" x14ac:dyDescent="0.2">
      <c r="C9283" s="209"/>
      <c r="D9283" s="209"/>
      <c r="E9283" s="209"/>
      <c r="J9283" s="124"/>
    </row>
    <row r="9284" spans="3:10" x14ac:dyDescent="0.2">
      <c r="C9284" s="209"/>
      <c r="D9284" s="209"/>
      <c r="E9284" s="209"/>
      <c r="J9284" s="124"/>
    </row>
    <row r="9285" spans="3:10" x14ac:dyDescent="0.2">
      <c r="C9285" s="209"/>
      <c r="D9285" s="209"/>
      <c r="E9285" s="209"/>
      <c r="J9285" s="124"/>
    </row>
    <row r="9286" spans="3:10" x14ac:dyDescent="0.2">
      <c r="C9286" s="209"/>
      <c r="D9286" s="209"/>
      <c r="E9286" s="209"/>
      <c r="J9286" s="124"/>
    </row>
    <row r="9287" spans="3:10" x14ac:dyDescent="0.2">
      <c r="C9287" s="209"/>
      <c r="D9287" s="209"/>
      <c r="E9287" s="209"/>
      <c r="J9287" s="124"/>
    </row>
    <row r="9288" spans="3:10" x14ac:dyDescent="0.2">
      <c r="C9288" s="209"/>
      <c r="D9288" s="209"/>
      <c r="E9288" s="209"/>
      <c r="J9288" s="124"/>
    </row>
    <row r="9289" spans="3:10" x14ac:dyDescent="0.2">
      <c r="C9289" s="209"/>
      <c r="D9289" s="209"/>
      <c r="E9289" s="209"/>
      <c r="J9289" s="124"/>
    </row>
    <row r="9290" spans="3:10" x14ac:dyDescent="0.2">
      <c r="C9290" s="209"/>
      <c r="D9290" s="209"/>
      <c r="E9290" s="209"/>
      <c r="J9290" s="124"/>
    </row>
    <row r="9291" spans="3:10" x14ac:dyDescent="0.2">
      <c r="C9291" s="209"/>
      <c r="D9291" s="209"/>
      <c r="E9291" s="209"/>
      <c r="J9291" s="124"/>
    </row>
    <row r="9292" spans="3:10" x14ac:dyDescent="0.2">
      <c r="C9292" s="209"/>
      <c r="D9292" s="209"/>
      <c r="E9292" s="209"/>
      <c r="J9292" s="124"/>
    </row>
    <row r="9293" spans="3:10" x14ac:dyDescent="0.2">
      <c r="C9293" s="209"/>
      <c r="D9293" s="209"/>
      <c r="E9293" s="209"/>
      <c r="J9293" s="124"/>
    </row>
    <row r="9294" spans="3:10" x14ac:dyDescent="0.2">
      <c r="C9294" s="209"/>
      <c r="D9294" s="209"/>
      <c r="E9294" s="209"/>
      <c r="J9294" s="124"/>
    </row>
    <row r="9295" spans="3:10" x14ac:dyDescent="0.2">
      <c r="C9295" s="209"/>
      <c r="D9295" s="209"/>
      <c r="E9295" s="209"/>
      <c r="J9295" s="124"/>
    </row>
    <row r="9296" spans="3:10" x14ac:dyDescent="0.2">
      <c r="C9296" s="209"/>
      <c r="D9296" s="209"/>
      <c r="E9296" s="209"/>
      <c r="J9296" s="124"/>
    </row>
    <row r="9297" spans="3:10" x14ac:dyDescent="0.2">
      <c r="C9297" s="209"/>
      <c r="D9297" s="209"/>
      <c r="E9297" s="209"/>
      <c r="J9297" s="124"/>
    </row>
    <row r="9298" spans="3:10" x14ac:dyDescent="0.2">
      <c r="C9298" s="209"/>
      <c r="D9298" s="209"/>
      <c r="E9298" s="209"/>
      <c r="J9298" s="124"/>
    </row>
    <row r="9299" spans="3:10" x14ac:dyDescent="0.2">
      <c r="C9299" s="209"/>
      <c r="D9299" s="209"/>
      <c r="E9299" s="209"/>
      <c r="J9299" s="124"/>
    </row>
    <row r="9300" spans="3:10" x14ac:dyDescent="0.2">
      <c r="C9300" s="209"/>
      <c r="D9300" s="209"/>
      <c r="E9300" s="209"/>
      <c r="J9300" s="124"/>
    </row>
    <row r="9301" spans="3:10" x14ac:dyDescent="0.2">
      <c r="C9301" s="209"/>
      <c r="D9301" s="209"/>
      <c r="E9301" s="209"/>
      <c r="J9301" s="124"/>
    </row>
    <row r="9302" spans="3:10" x14ac:dyDescent="0.2">
      <c r="C9302" s="209"/>
      <c r="D9302" s="209"/>
      <c r="E9302" s="209"/>
      <c r="J9302" s="124"/>
    </row>
    <row r="9303" spans="3:10" x14ac:dyDescent="0.2">
      <c r="C9303" s="209"/>
      <c r="D9303" s="209"/>
      <c r="E9303" s="209"/>
      <c r="J9303" s="124"/>
    </row>
    <row r="9304" spans="3:10" x14ac:dyDescent="0.2">
      <c r="C9304" s="209"/>
      <c r="D9304" s="209"/>
      <c r="E9304" s="209"/>
      <c r="J9304" s="124"/>
    </row>
    <row r="9305" spans="3:10" x14ac:dyDescent="0.2">
      <c r="C9305" s="209"/>
      <c r="D9305" s="209"/>
      <c r="E9305" s="209"/>
      <c r="J9305" s="124"/>
    </row>
    <row r="9306" spans="3:10" x14ac:dyDescent="0.2">
      <c r="C9306" s="209"/>
      <c r="D9306" s="209"/>
      <c r="E9306" s="209"/>
      <c r="J9306" s="124"/>
    </row>
    <row r="9307" spans="3:10" x14ac:dyDescent="0.2">
      <c r="C9307" s="209"/>
      <c r="D9307" s="209"/>
      <c r="E9307" s="209"/>
      <c r="J9307" s="124"/>
    </row>
    <row r="9308" spans="3:10" x14ac:dyDescent="0.2">
      <c r="C9308" s="209"/>
      <c r="D9308" s="209"/>
      <c r="E9308" s="209"/>
      <c r="J9308" s="124"/>
    </row>
    <row r="9309" spans="3:10" x14ac:dyDescent="0.2">
      <c r="C9309" s="209"/>
      <c r="D9309" s="209"/>
      <c r="E9309" s="209"/>
      <c r="J9309" s="124"/>
    </row>
    <row r="9310" spans="3:10" x14ac:dyDescent="0.2">
      <c r="C9310" s="209"/>
      <c r="D9310" s="209"/>
      <c r="E9310" s="209"/>
      <c r="J9310" s="124"/>
    </row>
    <row r="9311" spans="3:10" x14ac:dyDescent="0.2">
      <c r="C9311" s="209"/>
      <c r="D9311" s="209"/>
      <c r="E9311" s="209"/>
      <c r="J9311" s="124"/>
    </row>
    <row r="9312" spans="3:10" x14ac:dyDescent="0.2">
      <c r="C9312" s="209"/>
      <c r="D9312" s="209"/>
      <c r="E9312" s="209"/>
      <c r="J9312" s="124"/>
    </row>
    <row r="9313" spans="3:10" x14ac:dyDescent="0.2">
      <c r="C9313" s="209"/>
      <c r="D9313" s="209"/>
      <c r="E9313" s="209"/>
      <c r="J9313" s="124"/>
    </row>
    <row r="9314" spans="3:10" x14ac:dyDescent="0.2">
      <c r="C9314" s="209"/>
      <c r="D9314" s="209"/>
      <c r="E9314" s="209"/>
      <c r="J9314" s="124"/>
    </row>
    <row r="9315" spans="3:10" x14ac:dyDescent="0.2">
      <c r="C9315" s="209"/>
      <c r="D9315" s="209"/>
      <c r="E9315" s="209"/>
      <c r="J9315" s="124"/>
    </row>
    <row r="9316" spans="3:10" x14ac:dyDescent="0.2">
      <c r="C9316" s="209"/>
      <c r="D9316" s="209"/>
      <c r="E9316" s="209"/>
      <c r="J9316" s="124"/>
    </row>
    <row r="9317" spans="3:10" x14ac:dyDescent="0.2">
      <c r="C9317" s="209"/>
      <c r="D9317" s="209"/>
      <c r="E9317" s="209"/>
      <c r="J9317" s="124"/>
    </row>
    <row r="9318" spans="3:10" x14ac:dyDescent="0.2">
      <c r="C9318" s="209"/>
      <c r="D9318" s="209"/>
      <c r="E9318" s="209"/>
      <c r="J9318" s="124"/>
    </row>
    <row r="9319" spans="3:10" x14ac:dyDescent="0.2">
      <c r="C9319" s="209"/>
      <c r="D9319" s="209"/>
      <c r="E9319" s="209"/>
      <c r="J9319" s="124"/>
    </row>
    <row r="9320" spans="3:10" x14ac:dyDescent="0.2">
      <c r="C9320" s="209"/>
      <c r="D9320" s="209"/>
      <c r="E9320" s="209"/>
      <c r="J9320" s="124"/>
    </row>
    <row r="9321" spans="3:10" x14ac:dyDescent="0.2">
      <c r="C9321" s="209"/>
      <c r="D9321" s="209"/>
      <c r="E9321" s="209"/>
      <c r="J9321" s="124"/>
    </row>
    <row r="9322" spans="3:10" x14ac:dyDescent="0.2">
      <c r="C9322" s="209"/>
      <c r="D9322" s="209"/>
      <c r="E9322" s="209"/>
      <c r="J9322" s="124"/>
    </row>
    <row r="9323" spans="3:10" x14ac:dyDescent="0.2">
      <c r="C9323" s="209"/>
      <c r="D9323" s="209"/>
      <c r="E9323" s="209"/>
      <c r="J9323" s="124"/>
    </row>
    <row r="9324" spans="3:10" x14ac:dyDescent="0.2">
      <c r="C9324" s="209"/>
      <c r="D9324" s="209"/>
      <c r="E9324" s="209"/>
      <c r="J9324" s="124"/>
    </row>
    <row r="9325" spans="3:10" x14ac:dyDescent="0.2">
      <c r="C9325" s="209"/>
      <c r="D9325" s="209"/>
      <c r="E9325" s="209"/>
      <c r="J9325" s="124"/>
    </row>
    <row r="9326" spans="3:10" x14ac:dyDescent="0.2">
      <c r="C9326" s="209"/>
      <c r="D9326" s="209"/>
      <c r="E9326" s="209"/>
      <c r="J9326" s="124"/>
    </row>
    <row r="9327" spans="3:10" x14ac:dyDescent="0.2">
      <c r="C9327" s="209"/>
      <c r="D9327" s="209"/>
      <c r="E9327" s="209"/>
      <c r="J9327" s="124"/>
    </row>
    <row r="9328" spans="3:10" x14ac:dyDescent="0.2">
      <c r="C9328" s="209"/>
      <c r="D9328" s="209"/>
      <c r="E9328" s="209"/>
      <c r="J9328" s="124"/>
    </row>
    <row r="9329" spans="3:10" x14ac:dyDescent="0.2">
      <c r="C9329" s="209"/>
      <c r="D9329" s="209"/>
      <c r="E9329" s="209"/>
      <c r="J9329" s="124"/>
    </row>
    <row r="9330" spans="3:10" x14ac:dyDescent="0.2">
      <c r="C9330" s="209"/>
      <c r="D9330" s="209"/>
      <c r="E9330" s="209"/>
      <c r="J9330" s="124"/>
    </row>
    <row r="9331" spans="3:10" x14ac:dyDescent="0.2">
      <c r="C9331" s="209"/>
      <c r="D9331" s="209"/>
      <c r="E9331" s="209"/>
      <c r="J9331" s="124"/>
    </row>
    <row r="9332" spans="3:10" x14ac:dyDescent="0.2">
      <c r="C9332" s="209"/>
      <c r="D9332" s="209"/>
      <c r="E9332" s="209"/>
      <c r="J9332" s="124"/>
    </row>
    <row r="9333" spans="3:10" x14ac:dyDescent="0.2">
      <c r="C9333" s="209"/>
      <c r="D9333" s="209"/>
      <c r="E9333" s="209"/>
      <c r="J9333" s="124"/>
    </row>
    <row r="9334" spans="3:10" x14ac:dyDescent="0.2">
      <c r="C9334" s="209"/>
      <c r="D9334" s="209"/>
      <c r="E9334" s="209"/>
      <c r="J9334" s="124"/>
    </row>
    <row r="9335" spans="3:10" x14ac:dyDescent="0.2">
      <c r="C9335" s="209"/>
      <c r="D9335" s="209"/>
      <c r="E9335" s="209"/>
      <c r="J9335" s="124"/>
    </row>
    <row r="9336" spans="3:10" x14ac:dyDescent="0.2">
      <c r="C9336" s="209"/>
      <c r="D9336" s="209"/>
      <c r="E9336" s="209"/>
      <c r="J9336" s="124"/>
    </row>
    <row r="9337" spans="3:10" x14ac:dyDescent="0.2">
      <c r="C9337" s="209"/>
      <c r="D9337" s="209"/>
      <c r="E9337" s="209"/>
      <c r="J9337" s="124"/>
    </row>
    <row r="9338" spans="3:10" x14ac:dyDescent="0.2">
      <c r="C9338" s="209"/>
      <c r="D9338" s="209"/>
      <c r="E9338" s="209"/>
      <c r="J9338" s="124"/>
    </row>
    <row r="9339" spans="3:10" x14ac:dyDescent="0.2">
      <c r="C9339" s="209"/>
      <c r="D9339" s="209"/>
      <c r="E9339" s="209"/>
      <c r="J9339" s="124"/>
    </row>
    <row r="9340" spans="3:10" x14ac:dyDescent="0.2">
      <c r="C9340" s="209"/>
      <c r="D9340" s="209"/>
      <c r="E9340" s="209"/>
      <c r="J9340" s="124"/>
    </row>
    <row r="9341" spans="3:10" x14ac:dyDescent="0.2">
      <c r="C9341" s="209"/>
      <c r="D9341" s="209"/>
      <c r="E9341" s="209"/>
      <c r="J9341" s="124"/>
    </row>
    <row r="9342" spans="3:10" x14ac:dyDescent="0.2">
      <c r="C9342" s="209"/>
      <c r="D9342" s="209"/>
      <c r="E9342" s="209"/>
      <c r="J9342" s="124"/>
    </row>
    <row r="9343" spans="3:10" x14ac:dyDescent="0.2">
      <c r="C9343" s="209"/>
      <c r="D9343" s="209"/>
      <c r="E9343" s="209"/>
      <c r="J9343" s="124"/>
    </row>
    <row r="9344" spans="3:10" x14ac:dyDescent="0.2">
      <c r="C9344" s="209"/>
      <c r="D9344" s="209"/>
      <c r="E9344" s="209"/>
      <c r="J9344" s="124"/>
    </row>
    <row r="9345" spans="3:10" x14ac:dyDescent="0.2">
      <c r="C9345" s="209"/>
      <c r="D9345" s="209"/>
      <c r="E9345" s="209"/>
      <c r="J9345" s="124"/>
    </row>
    <row r="9346" spans="3:10" x14ac:dyDescent="0.2">
      <c r="C9346" s="209"/>
      <c r="D9346" s="209"/>
      <c r="E9346" s="209"/>
      <c r="J9346" s="124"/>
    </row>
    <row r="9347" spans="3:10" x14ac:dyDescent="0.2">
      <c r="C9347" s="209"/>
      <c r="D9347" s="209"/>
      <c r="E9347" s="209"/>
      <c r="J9347" s="124"/>
    </row>
    <row r="9348" spans="3:10" x14ac:dyDescent="0.2">
      <c r="C9348" s="209"/>
      <c r="D9348" s="209"/>
      <c r="E9348" s="209"/>
      <c r="J9348" s="124"/>
    </row>
    <row r="9349" spans="3:10" x14ac:dyDescent="0.2">
      <c r="C9349" s="209"/>
      <c r="D9349" s="209"/>
      <c r="E9349" s="209"/>
      <c r="J9349" s="124"/>
    </row>
    <row r="9350" spans="3:10" x14ac:dyDescent="0.2">
      <c r="C9350" s="209"/>
      <c r="D9350" s="209"/>
      <c r="E9350" s="209"/>
      <c r="J9350" s="124"/>
    </row>
    <row r="9351" spans="3:10" x14ac:dyDescent="0.2">
      <c r="C9351" s="209"/>
      <c r="D9351" s="209"/>
      <c r="E9351" s="209"/>
      <c r="J9351" s="124"/>
    </row>
    <row r="9352" spans="3:10" x14ac:dyDescent="0.2">
      <c r="C9352" s="209"/>
      <c r="D9352" s="209"/>
      <c r="E9352" s="209"/>
      <c r="J9352" s="124"/>
    </row>
    <row r="9353" spans="3:10" x14ac:dyDescent="0.2">
      <c r="C9353" s="209"/>
      <c r="D9353" s="209"/>
      <c r="E9353" s="209"/>
      <c r="J9353" s="124"/>
    </row>
    <row r="9354" spans="3:10" x14ac:dyDescent="0.2">
      <c r="C9354" s="209"/>
      <c r="D9354" s="209"/>
      <c r="E9354" s="209"/>
      <c r="J9354" s="124"/>
    </row>
    <row r="9355" spans="3:10" x14ac:dyDescent="0.2">
      <c r="C9355" s="209"/>
      <c r="D9355" s="209"/>
      <c r="E9355" s="209"/>
      <c r="J9355" s="124"/>
    </row>
    <row r="9356" spans="3:10" x14ac:dyDescent="0.2">
      <c r="C9356" s="209"/>
      <c r="D9356" s="209"/>
      <c r="E9356" s="209"/>
      <c r="J9356" s="124"/>
    </row>
    <row r="9357" spans="3:10" x14ac:dyDescent="0.2">
      <c r="C9357" s="209"/>
      <c r="D9357" s="209"/>
      <c r="E9357" s="209"/>
      <c r="J9357" s="124"/>
    </row>
    <row r="9358" spans="3:10" x14ac:dyDescent="0.2">
      <c r="C9358" s="209"/>
      <c r="D9358" s="209"/>
      <c r="E9358" s="209"/>
      <c r="J9358" s="124"/>
    </row>
    <row r="9359" spans="3:10" x14ac:dyDescent="0.2">
      <c r="C9359" s="209"/>
      <c r="D9359" s="209"/>
      <c r="E9359" s="209"/>
      <c r="J9359" s="124"/>
    </row>
    <row r="9360" spans="3:10" x14ac:dyDescent="0.2">
      <c r="C9360" s="209"/>
      <c r="D9360" s="209"/>
      <c r="E9360" s="209"/>
      <c r="J9360" s="124"/>
    </row>
    <row r="9361" spans="3:10" x14ac:dyDescent="0.2">
      <c r="C9361" s="209"/>
      <c r="D9361" s="209"/>
      <c r="E9361" s="209"/>
      <c r="J9361" s="124"/>
    </row>
    <row r="9362" spans="3:10" x14ac:dyDescent="0.2">
      <c r="C9362" s="209"/>
      <c r="D9362" s="209"/>
      <c r="E9362" s="209"/>
      <c r="J9362" s="124"/>
    </row>
    <row r="9363" spans="3:10" x14ac:dyDescent="0.2">
      <c r="C9363" s="209"/>
      <c r="D9363" s="209"/>
      <c r="E9363" s="209"/>
      <c r="J9363" s="124"/>
    </row>
    <row r="9364" spans="3:10" x14ac:dyDescent="0.2">
      <c r="C9364" s="209"/>
      <c r="D9364" s="209"/>
      <c r="E9364" s="209"/>
      <c r="J9364" s="124"/>
    </row>
    <row r="9365" spans="3:10" x14ac:dyDescent="0.2">
      <c r="C9365" s="209"/>
      <c r="D9365" s="209"/>
      <c r="E9365" s="209"/>
      <c r="J9365" s="124"/>
    </row>
    <row r="9366" spans="3:10" x14ac:dyDescent="0.2">
      <c r="C9366" s="209"/>
      <c r="D9366" s="209"/>
      <c r="E9366" s="209"/>
      <c r="J9366" s="124"/>
    </row>
    <row r="9367" spans="3:10" x14ac:dyDescent="0.2">
      <c r="C9367" s="209"/>
      <c r="D9367" s="209"/>
      <c r="E9367" s="209"/>
      <c r="J9367" s="124"/>
    </row>
    <row r="9368" spans="3:10" x14ac:dyDescent="0.2">
      <c r="C9368" s="209"/>
      <c r="D9368" s="209"/>
      <c r="E9368" s="209"/>
      <c r="J9368" s="124"/>
    </row>
    <row r="9369" spans="3:10" x14ac:dyDescent="0.2">
      <c r="C9369" s="209"/>
      <c r="D9369" s="209"/>
      <c r="E9369" s="209"/>
      <c r="J9369" s="124"/>
    </row>
    <row r="9370" spans="3:10" x14ac:dyDescent="0.2">
      <c r="C9370" s="209"/>
      <c r="D9370" s="209"/>
      <c r="E9370" s="209"/>
      <c r="J9370" s="124"/>
    </row>
    <row r="9371" spans="3:10" x14ac:dyDescent="0.2">
      <c r="C9371" s="209"/>
      <c r="D9371" s="209"/>
      <c r="E9371" s="209"/>
      <c r="J9371" s="124"/>
    </row>
    <row r="9372" spans="3:10" x14ac:dyDescent="0.2">
      <c r="C9372" s="209"/>
      <c r="D9372" s="209"/>
      <c r="E9372" s="209"/>
      <c r="J9372" s="124"/>
    </row>
    <row r="9373" spans="3:10" x14ac:dyDescent="0.2">
      <c r="C9373" s="209"/>
      <c r="D9373" s="209"/>
      <c r="E9373" s="209"/>
      <c r="J9373" s="124"/>
    </row>
    <row r="9374" spans="3:10" x14ac:dyDescent="0.2">
      <c r="C9374" s="209"/>
      <c r="D9374" s="209"/>
      <c r="E9374" s="209"/>
      <c r="J9374" s="124"/>
    </row>
    <row r="9375" spans="3:10" x14ac:dyDescent="0.2">
      <c r="C9375" s="209"/>
      <c r="D9375" s="209"/>
      <c r="E9375" s="209"/>
      <c r="J9375" s="124"/>
    </row>
    <row r="9376" spans="3:10" x14ac:dyDescent="0.2">
      <c r="C9376" s="209"/>
      <c r="D9376" s="209"/>
      <c r="E9376" s="209"/>
      <c r="J9376" s="124"/>
    </row>
    <row r="9377" spans="3:10" x14ac:dyDescent="0.2">
      <c r="C9377" s="209"/>
      <c r="D9377" s="209"/>
      <c r="E9377" s="209"/>
      <c r="J9377" s="124"/>
    </row>
    <row r="9378" spans="3:10" x14ac:dyDescent="0.2">
      <c r="C9378" s="209"/>
      <c r="D9378" s="209"/>
      <c r="E9378" s="209"/>
      <c r="J9378" s="124"/>
    </row>
    <row r="9379" spans="3:10" x14ac:dyDescent="0.2">
      <c r="C9379" s="209"/>
      <c r="D9379" s="209"/>
      <c r="E9379" s="209"/>
      <c r="J9379" s="124"/>
    </row>
    <row r="9380" spans="3:10" x14ac:dyDescent="0.2">
      <c r="C9380" s="209"/>
      <c r="D9380" s="209"/>
      <c r="E9380" s="209"/>
      <c r="J9380" s="124"/>
    </row>
    <row r="9381" spans="3:10" x14ac:dyDescent="0.2">
      <c r="C9381" s="209"/>
      <c r="D9381" s="209"/>
      <c r="E9381" s="209"/>
      <c r="J9381" s="124"/>
    </row>
    <row r="9382" spans="3:10" x14ac:dyDescent="0.2">
      <c r="C9382" s="209"/>
      <c r="D9382" s="209"/>
      <c r="E9382" s="209"/>
      <c r="J9382" s="124"/>
    </row>
    <row r="9383" spans="3:10" x14ac:dyDescent="0.2">
      <c r="C9383" s="209"/>
      <c r="D9383" s="209"/>
      <c r="E9383" s="209"/>
      <c r="J9383" s="124"/>
    </row>
    <row r="9384" spans="3:10" x14ac:dyDescent="0.2">
      <c r="C9384" s="209"/>
      <c r="D9384" s="209"/>
      <c r="E9384" s="209"/>
      <c r="J9384" s="124"/>
    </row>
    <row r="9385" spans="3:10" x14ac:dyDescent="0.2">
      <c r="C9385" s="209"/>
      <c r="D9385" s="209"/>
      <c r="E9385" s="209"/>
      <c r="J9385" s="124"/>
    </row>
    <row r="9386" spans="3:10" x14ac:dyDescent="0.2">
      <c r="C9386" s="209"/>
      <c r="D9386" s="209"/>
      <c r="E9386" s="209"/>
      <c r="J9386" s="124"/>
    </row>
    <row r="9387" spans="3:10" x14ac:dyDescent="0.2">
      <c r="C9387" s="209"/>
      <c r="D9387" s="209"/>
      <c r="E9387" s="209"/>
      <c r="J9387" s="124"/>
    </row>
    <row r="9388" spans="3:10" x14ac:dyDescent="0.2">
      <c r="C9388" s="209"/>
      <c r="D9388" s="209"/>
      <c r="E9388" s="209"/>
      <c r="J9388" s="124"/>
    </row>
    <row r="9389" spans="3:10" x14ac:dyDescent="0.2">
      <c r="C9389" s="209"/>
      <c r="D9389" s="209"/>
      <c r="E9389" s="209"/>
      <c r="J9389" s="124"/>
    </row>
    <row r="9390" spans="3:10" x14ac:dyDescent="0.2">
      <c r="C9390" s="209"/>
      <c r="D9390" s="209"/>
      <c r="E9390" s="209"/>
      <c r="J9390" s="124"/>
    </row>
    <row r="9391" spans="3:10" x14ac:dyDescent="0.2">
      <c r="C9391" s="209"/>
      <c r="D9391" s="209"/>
      <c r="E9391" s="209"/>
      <c r="J9391" s="124"/>
    </row>
    <row r="9392" spans="3:10" x14ac:dyDescent="0.2">
      <c r="C9392" s="209"/>
      <c r="D9392" s="209"/>
      <c r="E9392" s="209"/>
      <c r="J9392" s="124"/>
    </row>
    <row r="9393" spans="3:10" x14ac:dyDescent="0.2">
      <c r="C9393" s="209"/>
      <c r="D9393" s="209"/>
      <c r="E9393" s="209"/>
      <c r="J9393" s="124"/>
    </row>
    <row r="9394" spans="3:10" x14ac:dyDescent="0.2">
      <c r="C9394" s="209"/>
      <c r="D9394" s="209"/>
      <c r="E9394" s="209"/>
      <c r="J9394" s="124"/>
    </row>
    <row r="9395" spans="3:10" x14ac:dyDescent="0.2">
      <c r="C9395" s="209"/>
      <c r="D9395" s="209"/>
      <c r="E9395" s="209"/>
      <c r="J9395" s="124"/>
    </row>
    <row r="9396" spans="3:10" x14ac:dyDescent="0.2">
      <c r="C9396" s="209"/>
      <c r="D9396" s="209"/>
      <c r="E9396" s="209"/>
      <c r="J9396" s="124"/>
    </row>
    <row r="9397" spans="3:10" x14ac:dyDescent="0.2">
      <c r="C9397" s="209"/>
      <c r="D9397" s="209"/>
      <c r="E9397" s="209"/>
      <c r="J9397" s="124"/>
    </row>
    <row r="9398" spans="3:10" x14ac:dyDescent="0.2">
      <c r="C9398" s="209"/>
      <c r="D9398" s="209"/>
      <c r="E9398" s="209"/>
      <c r="J9398" s="124"/>
    </row>
    <row r="9399" spans="3:10" x14ac:dyDescent="0.2">
      <c r="C9399" s="209"/>
      <c r="D9399" s="209"/>
      <c r="E9399" s="209"/>
      <c r="J9399" s="124"/>
    </row>
    <row r="9400" spans="3:10" x14ac:dyDescent="0.2">
      <c r="C9400" s="209"/>
      <c r="D9400" s="209"/>
      <c r="E9400" s="209"/>
      <c r="J9400" s="124"/>
    </row>
    <row r="9401" spans="3:10" x14ac:dyDescent="0.2">
      <c r="C9401" s="209"/>
      <c r="D9401" s="209"/>
      <c r="E9401" s="209"/>
      <c r="J9401" s="124"/>
    </row>
    <row r="9402" spans="3:10" x14ac:dyDescent="0.2">
      <c r="C9402" s="209"/>
      <c r="D9402" s="209"/>
      <c r="E9402" s="209"/>
      <c r="J9402" s="124"/>
    </row>
    <row r="9403" spans="3:10" x14ac:dyDescent="0.2">
      <c r="C9403" s="209"/>
      <c r="D9403" s="209"/>
      <c r="E9403" s="209"/>
      <c r="J9403" s="124"/>
    </row>
    <row r="9404" spans="3:10" x14ac:dyDescent="0.2">
      <c r="C9404" s="209"/>
      <c r="D9404" s="209"/>
      <c r="E9404" s="209"/>
      <c r="J9404" s="124"/>
    </row>
    <row r="9405" spans="3:10" x14ac:dyDescent="0.2">
      <c r="C9405" s="209"/>
      <c r="D9405" s="209"/>
      <c r="E9405" s="209"/>
      <c r="J9405" s="124"/>
    </row>
    <row r="9406" spans="3:10" x14ac:dyDescent="0.2">
      <c r="C9406" s="209"/>
      <c r="D9406" s="209"/>
      <c r="E9406" s="209"/>
      <c r="J9406" s="124"/>
    </row>
    <row r="9407" spans="3:10" x14ac:dyDescent="0.2">
      <c r="C9407" s="209"/>
      <c r="D9407" s="209"/>
      <c r="E9407" s="209"/>
      <c r="J9407" s="124"/>
    </row>
    <row r="9408" spans="3:10" x14ac:dyDescent="0.2">
      <c r="C9408" s="209"/>
      <c r="D9408" s="209"/>
      <c r="E9408" s="209"/>
      <c r="J9408" s="124"/>
    </row>
    <row r="9409" spans="3:10" x14ac:dyDescent="0.2">
      <c r="C9409" s="209"/>
      <c r="D9409" s="209"/>
      <c r="E9409" s="209"/>
      <c r="J9409" s="124"/>
    </row>
    <row r="9410" spans="3:10" x14ac:dyDescent="0.2">
      <c r="C9410" s="209"/>
      <c r="D9410" s="209"/>
      <c r="E9410" s="209"/>
      <c r="J9410" s="124"/>
    </row>
    <row r="9411" spans="3:10" x14ac:dyDescent="0.2">
      <c r="C9411" s="209"/>
      <c r="D9411" s="209"/>
      <c r="E9411" s="209"/>
      <c r="J9411" s="124"/>
    </row>
    <row r="9412" spans="3:10" x14ac:dyDescent="0.2">
      <c r="C9412" s="209"/>
      <c r="D9412" s="209"/>
      <c r="E9412" s="209"/>
      <c r="J9412" s="124"/>
    </row>
    <row r="9413" spans="3:10" x14ac:dyDescent="0.2">
      <c r="C9413" s="209"/>
      <c r="D9413" s="209"/>
      <c r="E9413" s="209"/>
      <c r="J9413" s="124"/>
    </row>
    <row r="9414" spans="3:10" x14ac:dyDescent="0.2">
      <c r="C9414" s="209"/>
      <c r="D9414" s="209"/>
      <c r="E9414" s="209"/>
      <c r="J9414" s="124"/>
    </row>
    <row r="9415" spans="3:10" x14ac:dyDescent="0.2">
      <c r="C9415" s="209"/>
      <c r="D9415" s="209"/>
      <c r="E9415" s="209"/>
      <c r="J9415" s="124"/>
    </row>
    <row r="9416" spans="3:10" x14ac:dyDescent="0.2">
      <c r="C9416" s="209"/>
      <c r="D9416" s="209"/>
      <c r="E9416" s="209"/>
      <c r="J9416" s="124"/>
    </row>
    <row r="9417" spans="3:10" x14ac:dyDescent="0.2">
      <c r="C9417" s="209"/>
      <c r="D9417" s="209"/>
      <c r="E9417" s="209"/>
      <c r="J9417" s="124"/>
    </row>
    <row r="9418" spans="3:10" x14ac:dyDescent="0.2">
      <c r="C9418" s="209"/>
      <c r="D9418" s="209"/>
      <c r="E9418" s="209"/>
      <c r="J9418" s="124"/>
    </row>
    <row r="9419" spans="3:10" x14ac:dyDescent="0.2">
      <c r="C9419" s="209"/>
      <c r="D9419" s="209"/>
      <c r="E9419" s="209"/>
      <c r="J9419" s="124"/>
    </row>
    <row r="9420" spans="3:10" x14ac:dyDescent="0.2">
      <c r="C9420" s="209"/>
      <c r="D9420" s="209"/>
      <c r="E9420" s="209"/>
      <c r="J9420" s="124"/>
    </row>
    <row r="9421" spans="3:10" x14ac:dyDescent="0.2">
      <c r="C9421" s="209"/>
      <c r="D9421" s="209"/>
      <c r="E9421" s="209"/>
      <c r="J9421" s="124"/>
    </row>
    <row r="9422" spans="3:10" x14ac:dyDescent="0.2">
      <c r="C9422" s="209"/>
      <c r="D9422" s="209"/>
      <c r="E9422" s="209"/>
      <c r="J9422" s="124"/>
    </row>
    <row r="9423" spans="3:10" x14ac:dyDescent="0.2">
      <c r="C9423" s="209"/>
      <c r="D9423" s="209"/>
      <c r="E9423" s="209"/>
      <c r="J9423" s="124"/>
    </row>
    <row r="9424" spans="3:10" x14ac:dyDescent="0.2">
      <c r="C9424" s="209"/>
      <c r="D9424" s="209"/>
      <c r="E9424" s="209"/>
      <c r="J9424" s="124"/>
    </row>
    <row r="9425" spans="3:10" x14ac:dyDescent="0.2">
      <c r="C9425" s="209"/>
      <c r="D9425" s="209"/>
      <c r="E9425" s="209"/>
      <c r="J9425" s="124"/>
    </row>
    <row r="9426" spans="3:10" x14ac:dyDescent="0.2">
      <c r="C9426" s="209"/>
      <c r="D9426" s="209"/>
      <c r="E9426" s="209"/>
      <c r="J9426" s="124"/>
    </row>
    <row r="9427" spans="3:10" x14ac:dyDescent="0.2">
      <c r="C9427" s="209"/>
      <c r="D9427" s="209"/>
      <c r="E9427" s="209"/>
      <c r="J9427" s="124"/>
    </row>
    <row r="9428" spans="3:10" x14ac:dyDescent="0.2">
      <c r="C9428" s="209"/>
      <c r="D9428" s="209"/>
      <c r="E9428" s="209"/>
      <c r="J9428" s="124"/>
    </row>
    <row r="9429" spans="3:10" x14ac:dyDescent="0.2">
      <c r="C9429" s="209"/>
      <c r="D9429" s="209"/>
      <c r="E9429" s="209"/>
      <c r="J9429" s="124"/>
    </row>
    <row r="9430" spans="3:10" x14ac:dyDescent="0.2">
      <c r="C9430" s="209"/>
      <c r="D9430" s="209"/>
      <c r="E9430" s="209"/>
      <c r="J9430" s="124"/>
    </row>
    <row r="9431" spans="3:10" x14ac:dyDescent="0.2">
      <c r="C9431" s="209"/>
      <c r="D9431" s="209"/>
      <c r="E9431" s="209"/>
      <c r="J9431" s="124"/>
    </row>
    <row r="9432" spans="3:10" x14ac:dyDescent="0.2">
      <c r="C9432" s="209"/>
      <c r="D9432" s="209"/>
      <c r="E9432" s="209"/>
      <c r="J9432" s="124"/>
    </row>
    <row r="9433" spans="3:10" x14ac:dyDescent="0.2">
      <c r="C9433" s="209"/>
      <c r="D9433" s="209"/>
      <c r="E9433" s="209"/>
      <c r="J9433" s="124"/>
    </row>
    <row r="9434" spans="3:10" x14ac:dyDescent="0.2">
      <c r="C9434" s="209"/>
      <c r="D9434" s="209"/>
      <c r="E9434" s="209"/>
      <c r="J9434" s="124"/>
    </row>
    <row r="9435" spans="3:10" x14ac:dyDescent="0.2">
      <c r="C9435" s="209"/>
      <c r="D9435" s="209"/>
      <c r="E9435" s="209"/>
      <c r="J9435" s="124"/>
    </row>
    <row r="9436" spans="3:10" x14ac:dyDescent="0.2">
      <c r="C9436" s="209"/>
      <c r="D9436" s="209"/>
      <c r="E9436" s="209"/>
      <c r="J9436" s="124"/>
    </row>
    <row r="9437" spans="3:10" x14ac:dyDescent="0.2">
      <c r="C9437" s="209"/>
      <c r="D9437" s="209"/>
      <c r="E9437" s="209"/>
      <c r="J9437" s="124"/>
    </row>
    <row r="9438" spans="3:10" x14ac:dyDescent="0.2">
      <c r="C9438" s="209"/>
      <c r="D9438" s="209"/>
      <c r="E9438" s="209"/>
      <c r="J9438" s="124"/>
    </row>
    <row r="9439" spans="3:10" x14ac:dyDescent="0.2">
      <c r="C9439" s="209"/>
      <c r="D9439" s="209"/>
      <c r="E9439" s="209"/>
      <c r="J9439" s="124"/>
    </row>
    <row r="9440" spans="3:10" x14ac:dyDescent="0.2">
      <c r="C9440" s="209"/>
      <c r="D9440" s="209"/>
      <c r="E9440" s="209"/>
      <c r="J9440" s="124"/>
    </row>
    <row r="9441" spans="3:10" x14ac:dyDescent="0.2">
      <c r="C9441" s="209"/>
      <c r="D9441" s="209"/>
      <c r="E9441" s="209"/>
      <c r="J9441" s="124"/>
    </row>
    <row r="9442" spans="3:10" x14ac:dyDescent="0.2">
      <c r="C9442" s="209"/>
      <c r="D9442" s="209"/>
      <c r="E9442" s="209"/>
      <c r="J9442" s="124"/>
    </row>
    <row r="9443" spans="3:10" x14ac:dyDescent="0.2">
      <c r="C9443" s="209"/>
      <c r="D9443" s="209"/>
      <c r="E9443" s="209"/>
      <c r="J9443" s="124"/>
    </row>
    <row r="9444" spans="3:10" x14ac:dyDescent="0.2">
      <c r="C9444" s="209"/>
      <c r="D9444" s="209"/>
      <c r="E9444" s="209"/>
      <c r="J9444" s="124"/>
    </row>
    <row r="9445" spans="3:10" x14ac:dyDescent="0.2">
      <c r="C9445" s="209"/>
      <c r="D9445" s="209"/>
      <c r="E9445" s="209"/>
      <c r="J9445" s="124"/>
    </row>
    <row r="9446" spans="3:10" x14ac:dyDescent="0.2">
      <c r="C9446" s="209"/>
      <c r="D9446" s="209"/>
      <c r="E9446" s="209"/>
      <c r="J9446" s="124"/>
    </row>
    <row r="9447" spans="3:10" x14ac:dyDescent="0.2">
      <c r="C9447" s="209"/>
      <c r="D9447" s="209"/>
      <c r="E9447" s="209"/>
      <c r="J9447" s="124"/>
    </row>
    <row r="9448" spans="3:10" x14ac:dyDescent="0.2">
      <c r="C9448" s="209"/>
      <c r="D9448" s="209"/>
      <c r="E9448" s="209"/>
      <c r="J9448" s="124"/>
    </row>
    <row r="9449" spans="3:10" x14ac:dyDescent="0.2">
      <c r="C9449" s="209"/>
      <c r="D9449" s="209"/>
      <c r="E9449" s="209"/>
      <c r="J9449" s="124"/>
    </row>
    <row r="9450" spans="3:10" x14ac:dyDescent="0.2">
      <c r="C9450" s="209"/>
      <c r="D9450" s="209"/>
      <c r="E9450" s="209"/>
      <c r="J9450" s="124"/>
    </row>
    <row r="9451" spans="3:10" x14ac:dyDescent="0.2">
      <c r="C9451" s="209"/>
      <c r="D9451" s="209"/>
      <c r="E9451" s="209"/>
      <c r="J9451" s="124"/>
    </row>
    <row r="9452" spans="3:10" x14ac:dyDescent="0.2">
      <c r="C9452" s="209"/>
      <c r="D9452" s="209"/>
      <c r="E9452" s="209"/>
      <c r="J9452" s="124"/>
    </row>
    <row r="9453" spans="3:10" x14ac:dyDescent="0.2">
      <c r="C9453" s="209"/>
      <c r="D9453" s="209"/>
      <c r="E9453" s="209"/>
      <c r="J9453" s="124"/>
    </row>
    <row r="9454" spans="3:10" x14ac:dyDescent="0.2">
      <c r="C9454" s="209"/>
      <c r="D9454" s="209"/>
      <c r="E9454" s="209"/>
      <c r="J9454" s="124"/>
    </row>
    <row r="9455" spans="3:10" x14ac:dyDescent="0.2">
      <c r="C9455" s="209"/>
      <c r="D9455" s="209"/>
      <c r="E9455" s="209"/>
      <c r="J9455" s="124"/>
    </row>
    <row r="9456" spans="3:10" x14ac:dyDescent="0.2">
      <c r="C9456" s="209"/>
      <c r="D9456" s="209"/>
      <c r="E9456" s="209"/>
      <c r="J9456" s="124"/>
    </row>
    <row r="9457" spans="3:10" x14ac:dyDescent="0.2">
      <c r="C9457" s="209"/>
      <c r="D9457" s="209"/>
      <c r="E9457" s="209"/>
      <c r="J9457" s="124"/>
    </row>
    <row r="9458" spans="3:10" x14ac:dyDescent="0.2">
      <c r="C9458" s="209"/>
      <c r="D9458" s="209"/>
      <c r="E9458" s="209"/>
      <c r="J9458" s="124"/>
    </row>
    <row r="9459" spans="3:10" x14ac:dyDescent="0.2">
      <c r="C9459" s="209"/>
      <c r="D9459" s="209"/>
      <c r="E9459" s="209"/>
      <c r="J9459" s="124"/>
    </row>
    <row r="9460" spans="3:10" x14ac:dyDescent="0.2">
      <c r="C9460" s="209"/>
      <c r="D9460" s="209"/>
      <c r="E9460" s="209"/>
      <c r="J9460" s="124"/>
    </row>
    <row r="9461" spans="3:10" x14ac:dyDescent="0.2">
      <c r="C9461" s="209"/>
      <c r="D9461" s="209"/>
      <c r="E9461" s="209"/>
      <c r="J9461" s="124"/>
    </row>
    <row r="9462" spans="3:10" x14ac:dyDescent="0.2">
      <c r="C9462" s="209"/>
      <c r="D9462" s="209"/>
      <c r="E9462" s="209"/>
      <c r="J9462" s="124"/>
    </row>
    <row r="9463" spans="3:10" x14ac:dyDescent="0.2">
      <c r="C9463" s="209"/>
      <c r="D9463" s="209"/>
      <c r="E9463" s="209"/>
      <c r="J9463" s="124"/>
    </row>
    <row r="9464" spans="3:10" x14ac:dyDescent="0.2">
      <c r="C9464" s="209"/>
      <c r="D9464" s="209"/>
      <c r="E9464" s="209"/>
      <c r="J9464" s="124"/>
    </row>
    <row r="9465" spans="3:10" x14ac:dyDescent="0.2">
      <c r="C9465" s="209"/>
      <c r="D9465" s="209"/>
      <c r="E9465" s="209"/>
      <c r="J9465" s="124"/>
    </row>
    <row r="9466" spans="3:10" x14ac:dyDescent="0.2">
      <c r="C9466" s="209"/>
      <c r="D9466" s="209"/>
      <c r="E9466" s="209"/>
      <c r="J9466" s="124"/>
    </row>
    <row r="9467" spans="3:10" x14ac:dyDescent="0.2">
      <c r="C9467" s="209"/>
      <c r="D9467" s="209"/>
      <c r="E9467" s="209"/>
      <c r="J9467" s="124"/>
    </row>
    <row r="9468" spans="3:10" x14ac:dyDescent="0.2">
      <c r="C9468" s="209"/>
      <c r="D9468" s="209"/>
      <c r="E9468" s="209"/>
      <c r="J9468" s="124"/>
    </row>
    <row r="9469" spans="3:10" x14ac:dyDescent="0.2">
      <c r="C9469" s="209"/>
      <c r="D9469" s="209"/>
      <c r="E9469" s="209"/>
      <c r="J9469" s="124"/>
    </row>
    <row r="9470" spans="3:10" x14ac:dyDescent="0.2">
      <c r="C9470" s="209"/>
      <c r="D9470" s="209"/>
      <c r="E9470" s="209"/>
      <c r="J9470" s="124"/>
    </row>
    <row r="9471" spans="3:10" x14ac:dyDescent="0.2">
      <c r="C9471" s="209"/>
      <c r="D9471" s="209"/>
      <c r="E9471" s="209"/>
      <c r="J9471" s="124"/>
    </row>
    <row r="9472" spans="3:10" x14ac:dyDescent="0.2">
      <c r="C9472" s="209"/>
      <c r="D9472" s="209"/>
      <c r="E9472" s="209"/>
      <c r="J9472" s="124"/>
    </row>
    <row r="9473" spans="3:10" x14ac:dyDescent="0.2">
      <c r="C9473" s="209"/>
      <c r="D9473" s="209"/>
      <c r="E9473" s="209"/>
      <c r="J9473" s="124"/>
    </row>
    <row r="9474" spans="3:10" x14ac:dyDescent="0.2">
      <c r="C9474" s="209"/>
      <c r="D9474" s="209"/>
      <c r="E9474" s="209"/>
      <c r="J9474" s="124"/>
    </row>
    <row r="9475" spans="3:10" x14ac:dyDescent="0.2">
      <c r="C9475" s="209"/>
      <c r="D9475" s="209"/>
      <c r="E9475" s="209"/>
      <c r="J9475" s="124"/>
    </row>
    <row r="9476" spans="3:10" x14ac:dyDescent="0.2">
      <c r="C9476" s="209"/>
      <c r="D9476" s="209"/>
      <c r="E9476" s="209"/>
      <c r="J9476" s="124"/>
    </row>
    <row r="9477" spans="3:10" x14ac:dyDescent="0.2">
      <c r="C9477" s="209"/>
      <c r="D9477" s="209"/>
      <c r="E9477" s="209"/>
      <c r="J9477" s="124"/>
    </row>
    <row r="9478" spans="3:10" x14ac:dyDescent="0.2">
      <c r="C9478" s="209"/>
      <c r="D9478" s="209"/>
      <c r="E9478" s="209"/>
      <c r="J9478" s="124"/>
    </row>
    <row r="9479" spans="3:10" x14ac:dyDescent="0.2">
      <c r="C9479" s="209"/>
      <c r="D9479" s="209"/>
      <c r="E9479" s="209"/>
      <c r="J9479" s="124"/>
    </row>
    <row r="9480" spans="3:10" x14ac:dyDescent="0.2">
      <c r="C9480" s="209"/>
      <c r="D9480" s="209"/>
      <c r="E9480" s="209"/>
      <c r="J9480" s="124"/>
    </row>
    <row r="9481" spans="3:10" x14ac:dyDescent="0.2">
      <c r="C9481" s="209"/>
      <c r="D9481" s="209"/>
      <c r="E9481" s="209"/>
      <c r="J9481" s="124"/>
    </row>
    <row r="9482" spans="3:10" x14ac:dyDescent="0.2">
      <c r="C9482" s="209"/>
      <c r="D9482" s="209"/>
      <c r="E9482" s="209"/>
      <c r="J9482" s="124"/>
    </row>
    <row r="9483" spans="3:10" x14ac:dyDescent="0.2">
      <c r="C9483" s="209"/>
      <c r="D9483" s="209"/>
      <c r="E9483" s="209"/>
      <c r="J9483" s="124"/>
    </row>
    <row r="9484" spans="3:10" x14ac:dyDescent="0.2">
      <c r="C9484" s="209"/>
      <c r="D9484" s="209"/>
      <c r="E9484" s="209"/>
      <c r="J9484" s="124"/>
    </row>
    <row r="9485" spans="3:10" x14ac:dyDescent="0.2">
      <c r="C9485" s="209"/>
      <c r="D9485" s="209"/>
      <c r="E9485" s="209"/>
      <c r="J9485" s="124"/>
    </row>
    <row r="9486" spans="3:10" x14ac:dyDescent="0.2">
      <c r="C9486" s="209"/>
      <c r="D9486" s="209"/>
      <c r="E9486" s="209"/>
      <c r="J9486" s="124"/>
    </row>
    <row r="9487" spans="3:10" x14ac:dyDescent="0.2">
      <c r="C9487" s="209"/>
      <c r="D9487" s="209"/>
      <c r="E9487" s="209"/>
      <c r="J9487" s="124"/>
    </row>
    <row r="9488" spans="3:10" x14ac:dyDescent="0.2">
      <c r="C9488" s="209"/>
      <c r="D9488" s="209"/>
      <c r="E9488" s="209"/>
      <c r="J9488" s="124"/>
    </row>
    <row r="9489" spans="3:10" x14ac:dyDescent="0.2">
      <c r="C9489" s="209"/>
      <c r="D9489" s="209"/>
      <c r="E9489" s="209"/>
      <c r="J9489" s="124"/>
    </row>
    <row r="9490" spans="3:10" x14ac:dyDescent="0.2">
      <c r="C9490" s="209"/>
      <c r="D9490" s="209"/>
      <c r="E9490" s="209"/>
      <c r="J9490" s="124"/>
    </row>
    <row r="9491" spans="3:10" x14ac:dyDescent="0.2">
      <c r="C9491" s="209"/>
      <c r="D9491" s="209"/>
      <c r="E9491" s="209"/>
      <c r="J9491" s="124"/>
    </row>
    <row r="9492" spans="3:10" x14ac:dyDescent="0.2">
      <c r="C9492" s="209"/>
      <c r="D9492" s="209"/>
      <c r="E9492" s="209"/>
      <c r="J9492" s="124"/>
    </row>
    <row r="9493" spans="3:10" x14ac:dyDescent="0.2">
      <c r="C9493" s="209"/>
      <c r="D9493" s="209"/>
      <c r="E9493" s="209"/>
      <c r="J9493" s="124"/>
    </row>
    <row r="9494" spans="3:10" x14ac:dyDescent="0.2">
      <c r="C9494" s="209"/>
      <c r="D9494" s="209"/>
      <c r="E9494" s="209"/>
      <c r="J9494" s="124"/>
    </row>
    <row r="9495" spans="3:10" x14ac:dyDescent="0.2">
      <c r="C9495" s="209"/>
      <c r="D9495" s="209"/>
      <c r="E9495" s="209"/>
      <c r="J9495" s="124"/>
    </row>
    <row r="9496" spans="3:10" x14ac:dyDescent="0.2">
      <c r="C9496" s="209"/>
      <c r="D9496" s="209"/>
      <c r="E9496" s="209"/>
      <c r="J9496" s="124"/>
    </row>
    <row r="9497" spans="3:10" x14ac:dyDescent="0.2">
      <c r="C9497" s="209"/>
      <c r="D9497" s="209"/>
      <c r="E9497" s="209"/>
      <c r="J9497" s="124"/>
    </row>
    <row r="9498" spans="3:10" x14ac:dyDescent="0.2">
      <c r="C9498" s="209"/>
      <c r="D9498" s="209"/>
      <c r="E9498" s="209"/>
      <c r="J9498" s="124"/>
    </row>
    <row r="9499" spans="3:10" x14ac:dyDescent="0.2">
      <c r="C9499" s="209"/>
      <c r="D9499" s="209"/>
      <c r="E9499" s="209"/>
      <c r="J9499" s="124"/>
    </row>
    <row r="9500" spans="3:10" x14ac:dyDescent="0.2">
      <c r="C9500" s="209"/>
      <c r="D9500" s="209"/>
      <c r="E9500" s="209"/>
      <c r="J9500" s="124"/>
    </row>
    <row r="9501" spans="3:10" x14ac:dyDescent="0.2">
      <c r="C9501" s="209"/>
      <c r="D9501" s="209"/>
      <c r="E9501" s="209"/>
      <c r="J9501" s="124"/>
    </row>
    <row r="9502" spans="3:10" x14ac:dyDescent="0.2">
      <c r="C9502" s="209"/>
      <c r="D9502" s="209"/>
      <c r="E9502" s="209"/>
      <c r="J9502" s="124"/>
    </row>
    <row r="9503" spans="3:10" x14ac:dyDescent="0.2">
      <c r="C9503" s="209"/>
      <c r="D9503" s="209"/>
      <c r="E9503" s="209"/>
      <c r="J9503" s="124"/>
    </row>
    <row r="9504" spans="3:10" x14ac:dyDescent="0.2">
      <c r="C9504" s="209"/>
      <c r="D9504" s="209"/>
      <c r="E9504" s="209"/>
      <c r="J9504" s="124"/>
    </row>
    <row r="9505" spans="3:10" x14ac:dyDescent="0.2">
      <c r="C9505" s="209"/>
      <c r="D9505" s="209"/>
      <c r="E9505" s="209"/>
      <c r="J9505" s="124"/>
    </row>
    <row r="9506" spans="3:10" x14ac:dyDescent="0.2">
      <c r="C9506" s="209"/>
      <c r="D9506" s="209"/>
      <c r="E9506" s="209"/>
      <c r="J9506" s="124"/>
    </row>
    <row r="9507" spans="3:10" x14ac:dyDescent="0.2">
      <c r="C9507" s="209"/>
      <c r="D9507" s="209"/>
      <c r="E9507" s="209"/>
      <c r="J9507" s="124"/>
    </row>
    <row r="9508" spans="3:10" x14ac:dyDescent="0.2">
      <c r="C9508" s="209"/>
      <c r="D9508" s="209"/>
      <c r="E9508" s="209"/>
      <c r="J9508" s="124"/>
    </row>
    <row r="9509" spans="3:10" x14ac:dyDescent="0.2">
      <c r="C9509" s="209"/>
      <c r="D9509" s="209"/>
      <c r="E9509" s="209"/>
      <c r="J9509" s="124"/>
    </row>
    <row r="9510" spans="3:10" x14ac:dyDescent="0.2">
      <c r="C9510" s="209"/>
      <c r="D9510" s="209"/>
      <c r="E9510" s="209"/>
      <c r="J9510" s="124"/>
    </row>
    <row r="9511" spans="3:10" x14ac:dyDescent="0.2">
      <c r="C9511" s="209"/>
      <c r="D9511" s="209"/>
      <c r="E9511" s="209"/>
      <c r="J9511" s="124"/>
    </row>
    <row r="9512" spans="3:10" x14ac:dyDescent="0.2">
      <c r="C9512" s="209"/>
      <c r="D9512" s="209"/>
      <c r="E9512" s="209"/>
      <c r="J9512" s="124"/>
    </row>
    <row r="9513" spans="3:10" x14ac:dyDescent="0.2">
      <c r="C9513" s="209"/>
      <c r="D9513" s="209"/>
      <c r="E9513" s="209"/>
      <c r="J9513" s="124"/>
    </row>
    <row r="9514" spans="3:10" x14ac:dyDescent="0.2">
      <c r="C9514" s="209"/>
      <c r="D9514" s="209"/>
      <c r="E9514" s="209"/>
      <c r="J9514" s="124"/>
    </row>
    <row r="9515" spans="3:10" x14ac:dyDescent="0.2">
      <c r="C9515" s="209"/>
      <c r="D9515" s="209"/>
      <c r="E9515" s="209"/>
      <c r="J9515" s="124"/>
    </row>
    <row r="9516" spans="3:10" x14ac:dyDescent="0.2">
      <c r="C9516" s="209"/>
      <c r="D9516" s="209"/>
      <c r="E9516" s="209"/>
      <c r="J9516" s="124"/>
    </row>
    <row r="9517" spans="3:10" x14ac:dyDescent="0.2">
      <c r="C9517" s="209"/>
      <c r="D9517" s="209"/>
      <c r="E9517" s="209"/>
      <c r="J9517" s="124"/>
    </row>
    <row r="9518" spans="3:10" x14ac:dyDescent="0.2">
      <c r="C9518" s="209"/>
      <c r="D9518" s="209"/>
      <c r="E9518" s="209"/>
      <c r="J9518" s="124"/>
    </row>
    <row r="9519" spans="3:10" x14ac:dyDescent="0.2">
      <c r="C9519" s="209"/>
      <c r="D9519" s="209"/>
      <c r="E9519" s="209"/>
      <c r="J9519" s="124"/>
    </row>
    <row r="9520" spans="3:10" x14ac:dyDescent="0.2">
      <c r="C9520" s="209"/>
      <c r="D9520" s="209"/>
      <c r="E9520" s="209"/>
      <c r="J9520" s="124"/>
    </row>
    <row r="9521" spans="3:10" x14ac:dyDescent="0.2">
      <c r="C9521" s="209"/>
      <c r="D9521" s="209"/>
      <c r="E9521" s="209"/>
      <c r="J9521" s="124"/>
    </row>
    <row r="9522" spans="3:10" x14ac:dyDescent="0.2">
      <c r="C9522" s="209"/>
      <c r="D9522" s="209"/>
      <c r="E9522" s="209"/>
      <c r="J9522" s="124"/>
    </row>
    <row r="9523" spans="3:10" x14ac:dyDescent="0.2">
      <c r="C9523" s="209"/>
      <c r="D9523" s="209"/>
      <c r="E9523" s="209"/>
      <c r="J9523" s="124"/>
    </row>
    <row r="9524" spans="3:10" x14ac:dyDescent="0.2">
      <c r="C9524" s="209"/>
      <c r="D9524" s="209"/>
      <c r="E9524" s="209"/>
      <c r="J9524" s="124"/>
    </row>
    <row r="9525" spans="3:10" x14ac:dyDescent="0.2">
      <c r="C9525" s="209"/>
      <c r="D9525" s="209"/>
      <c r="E9525" s="209"/>
      <c r="J9525" s="124"/>
    </row>
    <row r="9526" spans="3:10" x14ac:dyDescent="0.2">
      <c r="C9526" s="209"/>
      <c r="D9526" s="209"/>
      <c r="E9526" s="209"/>
      <c r="J9526" s="124"/>
    </row>
    <row r="9527" spans="3:10" x14ac:dyDescent="0.2">
      <c r="C9527" s="209"/>
      <c r="D9527" s="209"/>
      <c r="E9527" s="209"/>
      <c r="J9527" s="124"/>
    </row>
    <row r="9528" spans="3:10" x14ac:dyDescent="0.2">
      <c r="C9528" s="209"/>
      <c r="D9528" s="209"/>
      <c r="E9528" s="209"/>
      <c r="J9528" s="124"/>
    </row>
    <row r="9529" spans="3:10" x14ac:dyDescent="0.2">
      <c r="C9529" s="209"/>
      <c r="D9529" s="209"/>
      <c r="E9529" s="209"/>
      <c r="J9529" s="124"/>
    </row>
    <row r="9530" spans="3:10" x14ac:dyDescent="0.2">
      <c r="C9530" s="209"/>
      <c r="D9530" s="209"/>
      <c r="E9530" s="209"/>
      <c r="J9530" s="124"/>
    </row>
    <row r="9531" spans="3:10" x14ac:dyDescent="0.2">
      <c r="C9531" s="209"/>
      <c r="D9531" s="209"/>
      <c r="E9531" s="209"/>
      <c r="J9531" s="124"/>
    </row>
    <row r="9532" spans="3:10" x14ac:dyDescent="0.2">
      <c r="C9532" s="209"/>
      <c r="D9532" s="209"/>
      <c r="E9532" s="209"/>
      <c r="J9532" s="124"/>
    </row>
    <row r="9533" spans="3:10" x14ac:dyDescent="0.2">
      <c r="C9533" s="209"/>
      <c r="D9533" s="209"/>
      <c r="E9533" s="209"/>
      <c r="J9533" s="124"/>
    </row>
    <row r="9534" spans="3:10" x14ac:dyDescent="0.2">
      <c r="C9534" s="209"/>
      <c r="D9534" s="209"/>
      <c r="E9534" s="209"/>
      <c r="J9534" s="124"/>
    </row>
    <row r="9535" spans="3:10" x14ac:dyDescent="0.2">
      <c r="C9535" s="209"/>
      <c r="D9535" s="209"/>
      <c r="E9535" s="209"/>
      <c r="J9535" s="124"/>
    </row>
    <row r="9536" spans="3:10" x14ac:dyDescent="0.2">
      <c r="C9536" s="209"/>
      <c r="D9536" s="209"/>
      <c r="E9536" s="209"/>
      <c r="J9536" s="124"/>
    </row>
    <row r="9537" spans="3:10" x14ac:dyDescent="0.2">
      <c r="C9537" s="209"/>
      <c r="D9537" s="209"/>
      <c r="E9537" s="209"/>
      <c r="J9537" s="124"/>
    </row>
    <row r="9538" spans="3:10" x14ac:dyDescent="0.2">
      <c r="C9538" s="209"/>
      <c r="D9538" s="209"/>
      <c r="E9538" s="209"/>
      <c r="J9538" s="124"/>
    </row>
    <row r="9539" spans="3:10" x14ac:dyDescent="0.2">
      <c r="C9539" s="209"/>
      <c r="D9539" s="209"/>
      <c r="E9539" s="209"/>
      <c r="J9539" s="124"/>
    </row>
    <row r="9540" spans="3:10" x14ac:dyDescent="0.2">
      <c r="C9540" s="209"/>
      <c r="D9540" s="209"/>
      <c r="E9540" s="209"/>
      <c r="J9540" s="124"/>
    </row>
    <row r="9541" spans="3:10" x14ac:dyDescent="0.2">
      <c r="C9541" s="209"/>
      <c r="D9541" s="209"/>
      <c r="E9541" s="209"/>
      <c r="J9541" s="124"/>
    </row>
    <row r="9542" spans="3:10" x14ac:dyDescent="0.2">
      <c r="C9542" s="209"/>
      <c r="D9542" s="209"/>
      <c r="E9542" s="209"/>
      <c r="J9542" s="124"/>
    </row>
    <row r="9543" spans="3:10" x14ac:dyDescent="0.2">
      <c r="C9543" s="209"/>
      <c r="D9543" s="209"/>
      <c r="E9543" s="209"/>
      <c r="J9543" s="124"/>
    </row>
    <row r="9544" spans="3:10" x14ac:dyDescent="0.2">
      <c r="C9544" s="209"/>
      <c r="D9544" s="209"/>
      <c r="E9544" s="209"/>
      <c r="J9544" s="124"/>
    </row>
    <row r="9545" spans="3:10" x14ac:dyDescent="0.2">
      <c r="C9545" s="209"/>
      <c r="D9545" s="209"/>
      <c r="E9545" s="209"/>
      <c r="J9545" s="124"/>
    </row>
    <row r="9546" spans="3:10" x14ac:dyDescent="0.2">
      <c r="C9546" s="209"/>
      <c r="D9546" s="209"/>
      <c r="E9546" s="209"/>
      <c r="J9546" s="124"/>
    </row>
    <row r="9547" spans="3:10" x14ac:dyDescent="0.2">
      <c r="C9547" s="209"/>
      <c r="D9547" s="209"/>
      <c r="E9547" s="209"/>
      <c r="J9547" s="124"/>
    </row>
    <row r="9548" spans="3:10" x14ac:dyDescent="0.2">
      <c r="C9548" s="209"/>
      <c r="D9548" s="209"/>
      <c r="E9548" s="209"/>
      <c r="J9548" s="124"/>
    </row>
    <row r="9549" spans="3:10" x14ac:dyDescent="0.2">
      <c r="C9549" s="209"/>
      <c r="D9549" s="209"/>
      <c r="E9549" s="209"/>
      <c r="J9549" s="124"/>
    </row>
    <row r="9550" spans="3:10" x14ac:dyDescent="0.2">
      <c r="C9550" s="209"/>
      <c r="D9550" s="209"/>
      <c r="E9550" s="209"/>
      <c r="J9550" s="124"/>
    </row>
    <row r="9551" spans="3:10" x14ac:dyDescent="0.2">
      <c r="C9551" s="209"/>
      <c r="D9551" s="209"/>
      <c r="E9551" s="209"/>
      <c r="J9551" s="124"/>
    </row>
    <row r="9552" spans="3:10" x14ac:dyDescent="0.2">
      <c r="C9552" s="209"/>
      <c r="D9552" s="209"/>
      <c r="E9552" s="209"/>
      <c r="J9552" s="124"/>
    </row>
    <row r="9553" spans="3:10" x14ac:dyDescent="0.2">
      <c r="C9553" s="209"/>
      <c r="D9553" s="209"/>
      <c r="E9553" s="209"/>
      <c r="J9553" s="124"/>
    </row>
    <row r="9554" spans="3:10" x14ac:dyDescent="0.2">
      <c r="C9554" s="209"/>
      <c r="D9554" s="209"/>
      <c r="E9554" s="209"/>
      <c r="J9554" s="124"/>
    </row>
    <row r="9555" spans="3:10" x14ac:dyDescent="0.2">
      <c r="C9555" s="209"/>
      <c r="D9555" s="209"/>
      <c r="E9555" s="209"/>
      <c r="J9555" s="124"/>
    </row>
    <row r="9556" spans="3:10" x14ac:dyDescent="0.2">
      <c r="C9556" s="209"/>
      <c r="D9556" s="209"/>
      <c r="E9556" s="209"/>
      <c r="J9556" s="124"/>
    </row>
    <row r="9557" spans="3:10" x14ac:dyDescent="0.2">
      <c r="C9557" s="209"/>
      <c r="D9557" s="209"/>
      <c r="E9557" s="209"/>
      <c r="J9557" s="124"/>
    </row>
    <row r="9558" spans="3:10" x14ac:dyDescent="0.2">
      <c r="C9558" s="209"/>
      <c r="D9558" s="209"/>
      <c r="E9558" s="209"/>
      <c r="J9558" s="124"/>
    </row>
    <row r="9559" spans="3:10" x14ac:dyDescent="0.2">
      <c r="C9559" s="209"/>
      <c r="D9559" s="209"/>
      <c r="E9559" s="209"/>
      <c r="J9559" s="124"/>
    </row>
    <row r="9560" spans="3:10" x14ac:dyDescent="0.2">
      <c r="C9560" s="209"/>
      <c r="D9560" s="209"/>
      <c r="E9560" s="209"/>
      <c r="J9560" s="124"/>
    </row>
    <row r="9561" spans="3:10" x14ac:dyDescent="0.2">
      <c r="C9561" s="209"/>
      <c r="D9561" s="209"/>
      <c r="E9561" s="209"/>
      <c r="J9561" s="124"/>
    </row>
    <row r="9562" spans="3:10" x14ac:dyDescent="0.2">
      <c r="C9562" s="209"/>
      <c r="D9562" s="209"/>
      <c r="E9562" s="209"/>
      <c r="J9562" s="124"/>
    </row>
    <row r="9563" spans="3:10" x14ac:dyDescent="0.2">
      <c r="C9563" s="209"/>
      <c r="D9563" s="209"/>
      <c r="E9563" s="209"/>
      <c r="J9563" s="124"/>
    </row>
    <row r="9564" spans="3:10" x14ac:dyDescent="0.2">
      <c r="C9564" s="209"/>
      <c r="D9564" s="209"/>
      <c r="E9564" s="209"/>
      <c r="J9564" s="124"/>
    </row>
    <row r="9565" spans="3:10" x14ac:dyDescent="0.2">
      <c r="C9565" s="209"/>
      <c r="D9565" s="209"/>
      <c r="E9565" s="209"/>
      <c r="J9565" s="124"/>
    </row>
    <row r="9566" spans="3:10" x14ac:dyDescent="0.2">
      <c r="C9566" s="209"/>
      <c r="D9566" s="209"/>
      <c r="E9566" s="209"/>
      <c r="J9566" s="124"/>
    </row>
    <row r="9567" spans="3:10" x14ac:dyDescent="0.2">
      <c r="C9567" s="209"/>
      <c r="D9567" s="209"/>
      <c r="E9567" s="209"/>
      <c r="J9567" s="124"/>
    </row>
    <row r="9568" spans="3:10" x14ac:dyDescent="0.2">
      <c r="C9568" s="209"/>
      <c r="D9568" s="209"/>
      <c r="E9568" s="209"/>
      <c r="J9568" s="124"/>
    </row>
    <row r="9569" spans="3:10" x14ac:dyDescent="0.2">
      <c r="C9569" s="209"/>
      <c r="D9569" s="209"/>
      <c r="E9569" s="209"/>
      <c r="J9569" s="124"/>
    </row>
    <row r="9570" spans="3:10" x14ac:dyDescent="0.2">
      <c r="C9570" s="209"/>
      <c r="D9570" s="209"/>
      <c r="E9570" s="209"/>
      <c r="J9570" s="124"/>
    </row>
    <row r="9571" spans="3:10" x14ac:dyDescent="0.2">
      <c r="C9571" s="209"/>
      <c r="D9571" s="209"/>
      <c r="E9571" s="209"/>
      <c r="J9571" s="124"/>
    </row>
    <row r="9572" spans="3:10" x14ac:dyDescent="0.2">
      <c r="C9572" s="209"/>
      <c r="D9572" s="209"/>
      <c r="E9572" s="209"/>
      <c r="J9572" s="124"/>
    </row>
    <row r="9573" spans="3:10" x14ac:dyDescent="0.2">
      <c r="C9573" s="209"/>
      <c r="D9573" s="209"/>
      <c r="E9573" s="209"/>
      <c r="J9573" s="124"/>
    </row>
    <row r="9574" spans="3:10" x14ac:dyDescent="0.2">
      <c r="C9574" s="209"/>
      <c r="D9574" s="209"/>
      <c r="E9574" s="209"/>
      <c r="J9574" s="124"/>
    </row>
    <row r="9575" spans="3:10" x14ac:dyDescent="0.2">
      <c r="C9575" s="209"/>
      <c r="D9575" s="209"/>
      <c r="E9575" s="209"/>
      <c r="J9575" s="124"/>
    </row>
    <row r="9576" spans="3:10" x14ac:dyDescent="0.2">
      <c r="C9576" s="209"/>
      <c r="D9576" s="209"/>
      <c r="E9576" s="209"/>
      <c r="J9576" s="124"/>
    </row>
    <row r="9577" spans="3:10" x14ac:dyDescent="0.2">
      <c r="C9577" s="209"/>
      <c r="D9577" s="209"/>
      <c r="E9577" s="209"/>
      <c r="J9577" s="124"/>
    </row>
    <row r="9578" spans="3:10" x14ac:dyDescent="0.2">
      <c r="C9578" s="209"/>
      <c r="D9578" s="209"/>
      <c r="E9578" s="209"/>
      <c r="J9578" s="124"/>
    </row>
    <row r="9579" spans="3:10" x14ac:dyDescent="0.2">
      <c r="C9579" s="209"/>
      <c r="D9579" s="209"/>
      <c r="E9579" s="209"/>
      <c r="J9579" s="124"/>
    </row>
    <row r="9580" spans="3:10" x14ac:dyDescent="0.2">
      <c r="C9580" s="209"/>
      <c r="D9580" s="209"/>
      <c r="E9580" s="209"/>
      <c r="J9580" s="124"/>
    </row>
    <row r="9581" spans="3:10" x14ac:dyDescent="0.2">
      <c r="C9581" s="209"/>
      <c r="D9581" s="209"/>
      <c r="E9581" s="209"/>
      <c r="J9581" s="124"/>
    </row>
    <row r="9582" spans="3:10" x14ac:dyDescent="0.2">
      <c r="C9582" s="209"/>
      <c r="D9582" s="209"/>
      <c r="E9582" s="209"/>
      <c r="J9582" s="124"/>
    </row>
    <row r="9583" spans="3:10" x14ac:dyDescent="0.2">
      <c r="C9583" s="209"/>
      <c r="D9583" s="209"/>
      <c r="E9583" s="209"/>
      <c r="J9583" s="124"/>
    </row>
    <row r="9584" spans="3:10" x14ac:dyDescent="0.2">
      <c r="C9584" s="209"/>
      <c r="D9584" s="209"/>
      <c r="E9584" s="209"/>
      <c r="J9584" s="124"/>
    </row>
    <row r="9585" spans="3:10" x14ac:dyDescent="0.2">
      <c r="C9585" s="209"/>
      <c r="D9585" s="209"/>
      <c r="E9585" s="209"/>
      <c r="J9585" s="124"/>
    </row>
    <row r="9586" spans="3:10" x14ac:dyDescent="0.2">
      <c r="C9586" s="209"/>
      <c r="D9586" s="209"/>
      <c r="E9586" s="209"/>
      <c r="J9586" s="124"/>
    </row>
    <row r="9587" spans="3:10" x14ac:dyDescent="0.2">
      <c r="C9587" s="209"/>
      <c r="D9587" s="209"/>
      <c r="E9587" s="209"/>
      <c r="J9587" s="124"/>
    </row>
    <row r="9588" spans="3:10" x14ac:dyDescent="0.2">
      <c r="C9588" s="209"/>
      <c r="D9588" s="209"/>
      <c r="E9588" s="209"/>
      <c r="J9588" s="124"/>
    </row>
    <row r="9589" spans="3:10" x14ac:dyDescent="0.2">
      <c r="C9589" s="209"/>
      <c r="D9589" s="209"/>
      <c r="E9589" s="209"/>
      <c r="J9589" s="124"/>
    </row>
    <row r="9590" spans="3:10" x14ac:dyDescent="0.2">
      <c r="C9590" s="209"/>
      <c r="D9590" s="209"/>
      <c r="E9590" s="209"/>
      <c r="J9590" s="124"/>
    </row>
    <row r="9591" spans="3:10" x14ac:dyDescent="0.2">
      <c r="C9591" s="209"/>
      <c r="D9591" s="209"/>
      <c r="E9591" s="209"/>
      <c r="J9591" s="124"/>
    </row>
    <row r="9592" spans="3:10" x14ac:dyDescent="0.2">
      <c r="C9592" s="209"/>
      <c r="D9592" s="209"/>
      <c r="E9592" s="209"/>
      <c r="J9592" s="124"/>
    </row>
    <row r="9593" spans="3:10" x14ac:dyDescent="0.2">
      <c r="C9593" s="209"/>
      <c r="D9593" s="209"/>
      <c r="E9593" s="209"/>
      <c r="J9593" s="124"/>
    </row>
    <row r="9594" spans="3:10" x14ac:dyDescent="0.2">
      <c r="C9594" s="209"/>
      <c r="D9594" s="209"/>
      <c r="E9594" s="209"/>
      <c r="J9594" s="124"/>
    </row>
    <row r="9595" spans="3:10" x14ac:dyDescent="0.2">
      <c r="C9595" s="209"/>
      <c r="D9595" s="209"/>
      <c r="E9595" s="209"/>
      <c r="J9595" s="124"/>
    </row>
    <row r="9596" spans="3:10" x14ac:dyDescent="0.2">
      <c r="C9596" s="209"/>
      <c r="D9596" s="209"/>
      <c r="E9596" s="209"/>
      <c r="J9596" s="124"/>
    </row>
    <row r="9597" spans="3:10" x14ac:dyDescent="0.2">
      <c r="C9597" s="209"/>
      <c r="D9597" s="209"/>
      <c r="E9597" s="209"/>
      <c r="J9597" s="124"/>
    </row>
    <row r="9598" spans="3:10" x14ac:dyDescent="0.2">
      <c r="C9598" s="209"/>
      <c r="D9598" s="209"/>
      <c r="E9598" s="209"/>
      <c r="J9598" s="124"/>
    </row>
    <row r="9599" spans="3:10" x14ac:dyDescent="0.2">
      <c r="C9599" s="209"/>
      <c r="D9599" s="209"/>
      <c r="E9599" s="209"/>
      <c r="J9599" s="124"/>
    </row>
    <row r="9600" spans="3:10" x14ac:dyDescent="0.2">
      <c r="C9600" s="209"/>
      <c r="D9600" s="209"/>
      <c r="E9600" s="209"/>
      <c r="J9600" s="124"/>
    </row>
    <row r="9601" spans="3:10" x14ac:dyDescent="0.2">
      <c r="C9601" s="209"/>
      <c r="D9601" s="209"/>
      <c r="E9601" s="209"/>
      <c r="J9601" s="124"/>
    </row>
    <row r="9602" spans="3:10" x14ac:dyDescent="0.2">
      <c r="C9602" s="209"/>
      <c r="D9602" s="209"/>
      <c r="E9602" s="209"/>
      <c r="J9602" s="124"/>
    </row>
    <row r="9603" spans="3:10" x14ac:dyDescent="0.2">
      <c r="C9603" s="209"/>
      <c r="D9603" s="209"/>
      <c r="E9603" s="209"/>
      <c r="J9603" s="124"/>
    </row>
    <row r="9604" spans="3:10" x14ac:dyDescent="0.2">
      <c r="C9604" s="209"/>
      <c r="D9604" s="209"/>
      <c r="E9604" s="209"/>
      <c r="J9604" s="124"/>
    </row>
    <row r="9605" spans="3:10" x14ac:dyDescent="0.2">
      <c r="C9605" s="209"/>
      <c r="D9605" s="209"/>
      <c r="E9605" s="209"/>
      <c r="J9605" s="124"/>
    </row>
    <row r="9606" spans="3:10" x14ac:dyDescent="0.2">
      <c r="C9606" s="209"/>
      <c r="D9606" s="209"/>
      <c r="E9606" s="209"/>
      <c r="J9606" s="124"/>
    </row>
    <row r="9607" spans="3:10" x14ac:dyDescent="0.2">
      <c r="C9607" s="209"/>
      <c r="D9607" s="209"/>
      <c r="E9607" s="209"/>
      <c r="J9607" s="124"/>
    </row>
    <row r="9608" spans="3:10" x14ac:dyDescent="0.2">
      <c r="C9608" s="209"/>
      <c r="D9608" s="209"/>
      <c r="E9608" s="209"/>
      <c r="J9608" s="124"/>
    </row>
    <row r="9609" spans="3:10" x14ac:dyDescent="0.2">
      <c r="C9609" s="209"/>
      <c r="D9609" s="209"/>
      <c r="E9609" s="209"/>
      <c r="J9609" s="124"/>
    </row>
    <row r="9610" spans="3:10" x14ac:dyDescent="0.2">
      <c r="C9610" s="209"/>
      <c r="D9610" s="209"/>
      <c r="E9610" s="209"/>
      <c r="J9610" s="124"/>
    </row>
    <row r="9611" spans="3:10" x14ac:dyDescent="0.2">
      <c r="C9611" s="209"/>
      <c r="D9611" s="209"/>
      <c r="E9611" s="209"/>
      <c r="J9611" s="124"/>
    </row>
    <row r="9612" spans="3:10" x14ac:dyDescent="0.2">
      <c r="C9612" s="209"/>
      <c r="D9612" s="209"/>
      <c r="E9612" s="209"/>
      <c r="J9612" s="124"/>
    </row>
    <row r="9613" spans="3:10" x14ac:dyDescent="0.2">
      <c r="C9613" s="209"/>
      <c r="D9613" s="209"/>
      <c r="E9613" s="209"/>
      <c r="J9613" s="124"/>
    </row>
    <row r="9614" spans="3:10" x14ac:dyDescent="0.2">
      <c r="C9614" s="209"/>
      <c r="D9614" s="209"/>
      <c r="E9614" s="209"/>
      <c r="J9614" s="124"/>
    </row>
    <row r="9615" spans="3:10" x14ac:dyDescent="0.2">
      <c r="C9615" s="209"/>
      <c r="D9615" s="209"/>
      <c r="E9615" s="209"/>
      <c r="J9615" s="124"/>
    </row>
    <row r="9616" spans="3:10" x14ac:dyDescent="0.2">
      <c r="C9616" s="209"/>
      <c r="D9616" s="209"/>
      <c r="E9616" s="209"/>
      <c r="J9616" s="124"/>
    </row>
    <row r="9617" spans="3:10" x14ac:dyDescent="0.2">
      <c r="C9617" s="209"/>
      <c r="D9617" s="209"/>
      <c r="E9617" s="209"/>
      <c r="J9617" s="124"/>
    </row>
    <row r="9618" spans="3:10" x14ac:dyDescent="0.2">
      <c r="C9618" s="209"/>
      <c r="D9618" s="209"/>
      <c r="E9618" s="209"/>
      <c r="J9618" s="124"/>
    </row>
    <row r="9619" spans="3:10" x14ac:dyDescent="0.2">
      <c r="C9619" s="209"/>
      <c r="D9619" s="209"/>
      <c r="E9619" s="209"/>
      <c r="J9619" s="124"/>
    </row>
    <row r="9620" spans="3:10" x14ac:dyDescent="0.2">
      <c r="C9620" s="209"/>
      <c r="D9620" s="209"/>
      <c r="E9620" s="209"/>
      <c r="J9620" s="124"/>
    </row>
    <row r="9621" spans="3:10" x14ac:dyDescent="0.2">
      <c r="C9621" s="209"/>
      <c r="D9621" s="209"/>
      <c r="E9621" s="209"/>
      <c r="J9621" s="124"/>
    </row>
    <row r="9622" spans="3:10" x14ac:dyDescent="0.2">
      <c r="C9622" s="209"/>
      <c r="D9622" s="209"/>
      <c r="E9622" s="209"/>
      <c r="J9622" s="124"/>
    </row>
    <row r="9623" spans="3:10" x14ac:dyDescent="0.2">
      <c r="C9623" s="209"/>
      <c r="D9623" s="209"/>
      <c r="E9623" s="209"/>
      <c r="J9623" s="124"/>
    </row>
    <row r="9624" spans="3:10" x14ac:dyDescent="0.2">
      <c r="C9624" s="209"/>
      <c r="D9624" s="209"/>
      <c r="E9624" s="209"/>
      <c r="J9624" s="124"/>
    </row>
    <row r="9625" spans="3:10" x14ac:dyDescent="0.2">
      <c r="C9625" s="209"/>
      <c r="D9625" s="209"/>
      <c r="E9625" s="209"/>
      <c r="J9625" s="124"/>
    </row>
    <row r="9626" spans="3:10" x14ac:dyDescent="0.2">
      <c r="C9626" s="209"/>
      <c r="D9626" s="209"/>
      <c r="E9626" s="209"/>
      <c r="J9626" s="124"/>
    </row>
    <row r="9627" spans="3:10" x14ac:dyDescent="0.2">
      <c r="C9627" s="209"/>
      <c r="D9627" s="209"/>
      <c r="E9627" s="209"/>
      <c r="J9627" s="124"/>
    </row>
    <row r="9628" spans="3:10" x14ac:dyDescent="0.2">
      <c r="C9628" s="209"/>
      <c r="D9628" s="209"/>
      <c r="E9628" s="209"/>
      <c r="J9628" s="124"/>
    </row>
    <row r="9629" spans="3:10" x14ac:dyDescent="0.2">
      <c r="C9629" s="209"/>
      <c r="D9629" s="209"/>
      <c r="E9629" s="209"/>
      <c r="J9629" s="124"/>
    </row>
    <row r="9630" spans="3:10" x14ac:dyDescent="0.2">
      <c r="C9630" s="209"/>
      <c r="D9630" s="209"/>
      <c r="E9630" s="209"/>
      <c r="J9630" s="124"/>
    </row>
    <row r="9631" spans="3:10" x14ac:dyDescent="0.2">
      <c r="C9631" s="209"/>
      <c r="D9631" s="209"/>
      <c r="E9631" s="209"/>
      <c r="J9631" s="124"/>
    </row>
    <row r="9632" spans="3:10" x14ac:dyDescent="0.2">
      <c r="C9632" s="209"/>
      <c r="D9632" s="209"/>
      <c r="E9632" s="209"/>
      <c r="J9632" s="124"/>
    </row>
    <row r="9633" spans="3:10" x14ac:dyDescent="0.2">
      <c r="C9633" s="209"/>
      <c r="D9633" s="209"/>
      <c r="E9633" s="209"/>
      <c r="J9633" s="124"/>
    </row>
    <row r="9634" spans="3:10" x14ac:dyDescent="0.2">
      <c r="C9634" s="209"/>
      <c r="D9634" s="209"/>
      <c r="E9634" s="209"/>
      <c r="J9634" s="124"/>
    </row>
    <row r="9635" spans="3:10" x14ac:dyDescent="0.2">
      <c r="C9635" s="209"/>
      <c r="D9635" s="209"/>
      <c r="E9635" s="209"/>
      <c r="J9635" s="124"/>
    </row>
    <row r="9636" spans="3:10" x14ac:dyDescent="0.2">
      <c r="C9636" s="209"/>
      <c r="D9636" s="209"/>
      <c r="E9636" s="209"/>
      <c r="J9636" s="124"/>
    </row>
    <row r="9637" spans="3:10" x14ac:dyDescent="0.2">
      <c r="C9637" s="209"/>
      <c r="D9637" s="209"/>
      <c r="E9637" s="209"/>
      <c r="J9637" s="124"/>
    </row>
    <row r="9638" spans="3:10" x14ac:dyDescent="0.2">
      <c r="C9638" s="209"/>
      <c r="D9638" s="209"/>
      <c r="E9638" s="209"/>
      <c r="J9638" s="124"/>
    </row>
    <row r="9639" spans="3:10" x14ac:dyDescent="0.2">
      <c r="C9639" s="209"/>
      <c r="D9639" s="209"/>
      <c r="E9639" s="209"/>
      <c r="J9639" s="124"/>
    </row>
    <row r="9640" spans="3:10" x14ac:dyDescent="0.2">
      <c r="C9640" s="209"/>
      <c r="D9640" s="209"/>
      <c r="E9640" s="209"/>
      <c r="J9640" s="124"/>
    </row>
    <row r="9641" spans="3:10" x14ac:dyDescent="0.2">
      <c r="C9641" s="209"/>
      <c r="D9641" s="209"/>
      <c r="E9641" s="209"/>
      <c r="J9641" s="124"/>
    </row>
    <row r="9642" spans="3:10" x14ac:dyDescent="0.2">
      <c r="C9642" s="209"/>
      <c r="D9642" s="209"/>
      <c r="E9642" s="209"/>
      <c r="J9642" s="124"/>
    </row>
    <row r="9643" spans="3:10" x14ac:dyDescent="0.2">
      <c r="C9643" s="209"/>
      <c r="D9643" s="209"/>
      <c r="E9643" s="209"/>
      <c r="J9643" s="124"/>
    </row>
    <row r="9644" spans="3:10" x14ac:dyDescent="0.2">
      <c r="C9644" s="209"/>
      <c r="D9644" s="209"/>
      <c r="E9644" s="209"/>
      <c r="J9644" s="124"/>
    </row>
    <row r="9645" spans="3:10" x14ac:dyDescent="0.2">
      <c r="C9645" s="209"/>
      <c r="D9645" s="209"/>
      <c r="E9645" s="209"/>
      <c r="J9645" s="124"/>
    </row>
    <row r="9646" spans="3:10" x14ac:dyDescent="0.2">
      <c r="C9646" s="209"/>
      <c r="D9646" s="209"/>
      <c r="E9646" s="209"/>
      <c r="J9646" s="124"/>
    </row>
    <row r="9647" spans="3:10" x14ac:dyDescent="0.2">
      <c r="C9647" s="209"/>
      <c r="D9647" s="209"/>
      <c r="E9647" s="209"/>
      <c r="J9647" s="124"/>
    </row>
    <row r="9648" spans="3:10" x14ac:dyDescent="0.2">
      <c r="C9648" s="209"/>
      <c r="D9648" s="209"/>
      <c r="E9648" s="209"/>
      <c r="J9648" s="124"/>
    </row>
    <row r="9649" spans="3:10" x14ac:dyDescent="0.2">
      <c r="C9649" s="209"/>
      <c r="D9649" s="209"/>
      <c r="E9649" s="209"/>
      <c r="J9649" s="124"/>
    </row>
    <row r="9650" spans="3:10" x14ac:dyDescent="0.2">
      <c r="C9650" s="209"/>
      <c r="D9650" s="209"/>
      <c r="E9650" s="209"/>
      <c r="J9650" s="124"/>
    </row>
    <row r="9651" spans="3:10" x14ac:dyDescent="0.2">
      <c r="C9651" s="209"/>
      <c r="D9651" s="209"/>
      <c r="E9651" s="209"/>
      <c r="J9651" s="124"/>
    </row>
    <row r="9652" spans="3:10" x14ac:dyDescent="0.2">
      <c r="C9652" s="209"/>
      <c r="D9652" s="209"/>
      <c r="E9652" s="209"/>
      <c r="J9652" s="124"/>
    </row>
    <row r="9653" spans="3:10" x14ac:dyDescent="0.2">
      <c r="C9653" s="209"/>
      <c r="D9653" s="209"/>
      <c r="E9653" s="209"/>
      <c r="J9653" s="124"/>
    </row>
    <row r="9654" spans="3:10" x14ac:dyDescent="0.2">
      <c r="C9654" s="209"/>
      <c r="D9654" s="209"/>
      <c r="E9654" s="209"/>
      <c r="J9654" s="124"/>
    </row>
    <row r="9655" spans="3:10" x14ac:dyDescent="0.2">
      <c r="C9655" s="209"/>
      <c r="D9655" s="209"/>
      <c r="E9655" s="209"/>
      <c r="J9655" s="124"/>
    </row>
    <row r="9656" spans="3:10" x14ac:dyDescent="0.2">
      <c r="C9656" s="209"/>
      <c r="D9656" s="209"/>
      <c r="E9656" s="209"/>
      <c r="J9656" s="124"/>
    </row>
    <row r="9657" spans="3:10" x14ac:dyDescent="0.2">
      <c r="C9657" s="209"/>
      <c r="D9657" s="209"/>
      <c r="E9657" s="209"/>
      <c r="J9657" s="124"/>
    </row>
    <row r="9658" spans="3:10" x14ac:dyDescent="0.2">
      <c r="C9658" s="209"/>
      <c r="D9658" s="209"/>
      <c r="E9658" s="209"/>
      <c r="J9658" s="124"/>
    </row>
    <row r="9659" spans="3:10" x14ac:dyDescent="0.2">
      <c r="C9659" s="209"/>
      <c r="D9659" s="209"/>
      <c r="E9659" s="209"/>
      <c r="J9659" s="124"/>
    </row>
    <row r="9660" spans="3:10" x14ac:dyDescent="0.2">
      <c r="C9660" s="209"/>
      <c r="D9660" s="209"/>
      <c r="E9660" s="209"/>
      <c r="J9660" s="124"/>
    </row>
    <row r="9661" spans="3:10" x14ac:dyDescent="0.2">
      <c r="C9661" s="209"/>
      <c r="D9661" s="209"/>
      <c r="E9661" s="209"/>
      <c r="J9661" s="124"/>
    </row>
    <row r="9662" spans="3:10" x14ac:dyDescent="0.2">
      <c r="C9662" s="209"/>
      <c r="D9662" s="209"/>
      <c r="E9662" s="209"/>
      <c r="J9662" s="124"/>
    </row>
    <row r="9663" spans="3:10" x14ac:dyDescent="0.2">
      <c r="C9663" s="209"/>
      <c r="D9663" s="209"/>
      <c r="E9663" s="209"/>
      <c r="J9663" s="124"/>
    </row>
    <row r="9664" spans="3:10" x14ac:dyDescent="0.2">
      <c r="C9664" s="209"/>
      <c r="D9664" s="209"/>
      <c r="E9664" s="209"/>
      <c r="J9664" s="124"/>
    </row>
    <row r="9665" spans="3:10" x14ac:dyDescent="0.2">
      <c r="C9665" s="209"/>
      <c r="D9665" s="209"/>
      <c r="E9665" s="209"/>
      <c r="J9665" s="124"/>
    </row>
    <row r="9666" spans="3:10" x14ac:dyDescent="0.2">
      <c r="C9666" s="209"/>
      <c r="D9666" s="209"/>
      <c r="E9666" s="209"/>
      <c r="J9666" s="124"/>
    </row>
    <row r="9667" spans="3:10" x14ac:dyDescent="0.2">
      <c r="C9667" s="209"/>
      <c r="D9667" s="209"/>
      <c r="E9667" s="209"/>
      <c r="J9667" s="124"/>
    </row>
    <row r="9668" spans="3:10" x14ac:dyDescent="0.2">
      <c r="C9668" s="209"/>
      <c r="D9668" s="209"/>
      <c r="E9668" s="209"/>
      <c r="J9668" s="124"/>
    </row>
    <row r="9669" spans="3:10" x14ac:dyDescent="0.2">
      <c r="C9669" s="209"/>
      <c r="D9669" s="209"/>
      <c r="E9669" s="209"/>
      <c r="J9669" s="124"/>
    </row>
    <row r="9670" spans="3:10" x14ac:dyDescent="0.2">
      <c r="C9670" s="209"/>
      <c r="D9670" s="209"/>
      <c r="E9670" s="209"/>
      <c r="J9670" s="124"/>
    </row>
    <row r="9671" spans="3:10" x14ac:dyDescent="0.2">
      <c r="C9671" s="209"/>
      <c r="D9671" s="209"/>
      <c r="E9671" s="209"/>
      <c r="J9671" s="124"/>
    </row>
    <row r="9672" spans="3:10" x14ac:dyDescent="0.2">
      <c r="C9672" s="209"/>
      <c r="D9672" s="209"/>
      <c r="E9672" s="209"/>
      <c r="J9672" s="124"/>
    </row>
    <row r="9673" spans="3:10" x14ac:dyDescent="0.2">
      <c r="C9673" s="209"/>
      <c r="D9673" s="209"/>
      <c r="E9673" s="209"/>
      <c r="J9673" s="124"/>
    </row>
    <row r="9674" spans="3:10" x14ac:dyDescent="0.2">
      <c r="C9674" s="209"/>
      <c r="D9674" s="209"/>
      <c r="E9674" s="209"/>
      <c r="J9674" s="124"/>
    </row>
    <row r="9675" spans="3:10" x14ac:dyDescent="0.2">
      <c r="C9675" s="209"/>
      <c r="D9675" s="209"/>
      <c r="E9675" s="209"/>
      <c r="J9675" s="124"/>
    </row>
    <row r="9676" spans="3:10" x14ac:dyDescent="0.2">
      <c r="C9676" s="209"/>
      <c r="D9676" s="209"/>
      <c r="E9676" s="209"/>
      <c r="J9676" s="124"/>
    </row>
    <row r="9677" spans="3:10" x14ac:dyDescent="0.2">
      <c r="C9677" s="209"/>
      <c r="D9677" s="209"/>
      <c r="E9677" s="209"/>
      <c r="J9677" s="124"/>
    </row>
    <row r="9678" spans="3:10" x14ac:dyDescent="0.2">
      <c r="C9678" s="209"/>
      <c r="D9678" s="209"/>
      <c r="E9678" s="209"/>
      <c r="J9678" s="124"/>
    </row>
    <row r="9679" spans="3:10" x14ac:dyDescent="0.2">
      <c r="C9679" s="209"/>
      <c r="D9679" s="209"/>
      <c r="E9679" s="209"/>
      <c r="J9679" s="124"/>
    </row>
    <row r="9680" spans="3:10" x14ac:dyDescent="0.2">
      <c r="C9680" s="209"/>
      <c r="D9680" s="209"/>
      <c r="E9680" s="209"/>
      <c r="J9680" s="124"/>
    </row>
    <row r="9681" spans="3:10" x14ac:dyDescent="0.2">
      <c r="C9681" s="209"/>
      <c r="D9681" s="209"/>
      <c r="E9681" s="209"/>
      <c r="J9681" s="124"/>
    </row>
    <row r="9682" spans="3:10" x14ac:dyDescent="0.2">
      <c r="C9682" s="209"/>
      <c r="D9682" s="209"/>
      <c r="E9682" s="209"/>
      <c r="J9682" s="124"/>
    </row>
    <row r="9683" spans="3:10" x14ac:dyDescent="0.2">
      <c r="C9683" s="209"/>
      <c r="D9683" s="209"/>
      <c r="E9683" s="209"/>
      <c r="J9683" s="124"/>
    </row>
    <row r="9684" spans="3:10" x14ac:dyDescent="0.2">
      <c r="C9684" s="209"/>
      <c r="D9684" s="209"/>
      <c r="E9684" s="209"/>
      <c r="J9684" s="124"/>
    </row>
    <row r="9685" spans="3:10" x14ac:dyDescent="0.2">
      <c r="C9685" s="209"/>
      <c r="D9685" s="209"/>
      <c r="E9685" s="209"/>
      <c r="J9685" s="124"/>
    </row>
    <row r="9686" spans="3:10" x14ac:dyDescent="0.2">
      <c r="C9686" s="209"/>
      <c r="D9686" s="209"/>
      <c r="E9686" s="209"/>
      <c r="J9686" s="124"/>
    </row>
    <row r="9687" spans="3:10" x14ac:dyDescent="0.2">
      <c r="C9687" s="209"/>
      <c r="D9687" s="209"/>
      <c r="E9687" s="209"/>
      <c r="J9687" s="124"/>
    </row>
    <row r="9688" spans="3:10" x14ac:dyDescent="0.2">
      <c r="C9688" s="209"/>
      <c r="D9688" s="209"/>
      <c r="E9688" s="209"/>
      <c r="J9688" s="124"/>
    </row>
    <row r="9689" spans="3:10" x14ac:dyDescent="0.2">
      <c r="C9689" s="209"/>
      <c r="D9689" s="209"/>
      <c r="E9689" s="209"/>
      <c r="J9689" s="124"/>
    </row>
    <row r="9690" spans="3:10" x14ac:dyDescent="0.2">
      <c r="C9690" s="209"/>
      <c r="D9690" s="209"/>
      <c r="E9690" s="209"/>
      <c r="J9690" s="124"/>
    </row>
    <row r="9691" spans="3:10" x14ac:dyDescent="0.2">
      <c r="C9691" s="209"/>
      <c r="D9691" s="209"/>
      <c r="E9691" s="209"/>
      <c r="J9691" s="124"/>
    </row>
    <row r="9692" spans="3:10" x14ac:dyDescent="0.2">
      <c r="C9692" s="209"/>
      <c r="D9692" s="209"/>
      <c r="E9692" s="209"/>
      <c r="J9692" s="124"/>
    </row>
    <row r="9693" spans="3:10" x14ac:dyDescent="0.2">
      <c r="C9693" s="209"/>
      <c r="D9693" s="209"/>
      <c r="E9693" s="209"/>
      <c r="J9693" s="124"/>
    </row>
    <row r="9694" spans="3:10" x14ac:dyDescent="0.2">
      <c r="C9694" s="209"/>
      <c r="D9694" s="209"/>
      <c r="E9694" s="209"/>
      <c r="J9694" s="124"/>
    </row>
    <row r="9695" spans="3:10" x14ac:dyDescent="0.2">
      <c r="C9695" s="209"/>
      <c r="D9695" s="209"/>
      <c r="E9695" s="209"/>
      <c r="J9695" s="124"/>
    </row>
    <row r="9696" spans="3:10" x14ac:dyDescent="0.2">
      <c r="C9696" s="209"/>
      <c r="D9696" s="209"/>
      <c r="E9696" s="209"/>
      <c r="J9696" s="124"/>
    </row>
    <row r="9697" spans="3:10" x14ac:dyDescent="0.2">
      <c r="C9697" s="209"/>
      <c r="D9697" s="209"/>
      <c r="E9697" s="209"/>
      <c r="J9697" s="124"/>
    </row>
    <row r="9698" spans="3:10" x14ac:dyDescent="0.2">
      <c r="C9698" s="209"/>
      <c r="D9698" s="209"/>
      <c r="E9698" s="209"/>
      <c r="J9698" s="124"/>
    </row>
    <row r="9699" spans="3:10" x14ac:dyDescent="0.2">
      <c r="C9699" s="209"/>
      <c r="D9699" s="209"/>
      <c r="E9699" s="209"/>
      <c r="J9699" s="124"/>
    </row>
    <row r="9700" spans="3:10" x14ac:dyDescent="0.2">
      <c r="C9700" s="209"/>
      <c r="D9700" s="209"/>
      <c r="E9700" s="209"/>
      <c r="J9700" s="124"/>
    </row>
    <row r="9701" spans="3:10" x14ac:dyDescent="0.2">
      <c r="C9701" s="209"/>
      <c r="D9701" s="209"/>
      <c r="E9701" s="209"/>
      <c r="J9701" s="124"/>
    </row>
    <row r="9702" spans="3:10" x14ac:dyDescent="0.2">
      <c r="C9702" s="209"/>
      <c r="D9702" s="209"/>
      <c r="E9702" s="209"/>
      <c r="J9702" s="124"/>
    </row>
    <row r="9703" spans="3:10" x14ac:dyDescent="0.2">
      <c r="C9703" s="209"/>
      <c r="D9703" s="209"/>
      <c r="E9703" s="209"/>
      <c r="J9703" s="124"/>
    </row>
    <row r="9704" spans="3:10" x14ac:dyDescent="0.2">
      <c r="C9704" s="209"/>
      <c r="D9704" s="209"/>
      <c r="E9704" s="209"/>
      <c r="J9704" s="124"/>
    </row>
    <row r="9705" spans="3:10" x14ac:dyDescent="0.2">
      <c r="C9705" s="209"/>
      <c r="D9705" s="209"/>
      <c r="E9705" s="209"/>
      <c r="J9705" s="124"/>
    </row>
    <row r="9706" spans="3:10" x14ac:dyDescent="0.2">
      <c r="C9706" s="209"/>
      <c r="D9706" s="209"/>
      <c r="E9706" s="209"/>
      <c r="J9706" s="124"/>
    </row>
    <row r="9707" spans="3:10" x14ac:dyDescent="0.2">
      <c r="C9707" s="209"/>
      <c r="D9707" s="209"/>
      <c r="E9707" s="209"/>
      <c r="J9707" s="124"/>
    </row>
    <row r="9708" spans="3:10" x14ac:dyDescent="0.2">
      <c r="C9708" s="209"/>
      <c r="D9708" s="209"/>
      <c r="E9708" s="209"/>
      <c r="J9708" s="124"/>
    </row>
    <row r="9709" spans="3:10" x14ac:dyDescent="0.2">
      <c r="C9709" s="209"/>
      <c r="D9709" s="209"/>
      <c r="E9709" s="209"/>
      <c r="J9709" s="124"/>
    </row>
    <row r="9710" spans="3:10" x14ac:dyDescent="0.2">
      <c r="C9710" s="209"/>
      <c r="D9710" s="209"/>
      <c r="E9710" s="209"/>
      <c r="J9710" s="124"/>
    </row>
    <row r="9711" spans="3:10" x14ac:dyDescent="0.2">
      <c r="C9711" s="209"/>
      <c r="D9711" s="209"/>
      <c r="E9711" s="209"/>
      <c r="J9711" s="124"/>
    </row>
    <row r="9712" spans="3:10" x14ac:dyDescent="0.2">
      <c r="C9712" s="209"/>
      <c r="D9712" s="209"/>
      <c r="E9712" s="209"/>
      <c r="J9712" s="124"/>
    </row>
    <row r="9713" spans="3:10" x14ac:dyDescent="0.2">
      <c r="C9713" s="209"/>
      <c r="D9713" s="209"/>
      <c r="E9713" s="209"/>
      <c r="J9713" s="124"/>
    </row>
    <row r="9714" spans="3:10" x14ac:dyDescent="0.2">
      <c r="C9714" s="209"/>
      <c r="D9714" s="209"/>
      <c r="E9714" s="209"/>
      <c r="J9714" s="124"/>
    </row>
    <row r="9715" spans="3:10" x14ac:dyDescent="0.2">
      <c r="C9715" s="209"/>
      <c r="D9715" s="209"/>
      <c r="E9715" s="209"/>
      <c r="J9715" s="124"/>
    </row>
    <row r="9716" spans="3:10" x14ac:dyDescent="0.2">
      <c r="C9716" s="209"/>
      <c r="D9716" s="209"/>
      <c r="E9716" s="209"/>
      <c r="J9716" s="124"/>
    </row>
    <row r="9717" spans="3:10" x14ac:dyDescent="0.2">
      <c r="C9717" s="209"/>
      <c r="D9717" s="209"/>
      <c r="E9717" s="209"/>
      <c r="J9717" s="124"/>
    </row>
    <row r="9718" spans="3:10" x14ac:dyDescent="0.2">
      <c r="C9718" s="209"/>
      <c r="D9718" s="209"/>
      <c r="E9718" s="209"/>
      <c r="J9718" s="124"/>
    </row>
    <row r="9719" spans="3:10" x14ac:dyDescent="0.2">
      <c r="C9719" s="209"/>
      <c r="D9719" s="209"/>
      <c r="E9719" s="209"/>
      <c r="J9719" s="124"/>
    </row>
    <row r="9720" spans="3:10" x14ac:dyDescent="0.2">
      <c r="C9720" s="209"/>
      <c r="D9720" s="209"/>
      <c r="E9720" s="209"/>
      <c r="J9720" s="124"/>
    </row>
    <row r="9721" spans="3:10" x14ac:dyDescent="0.2">
      <c r="C9721" s="209"/>
      <c r="D9721" s="209"/>
      <c r="E9721" s="209"/>
      <c r="J9721" s="124"/>
    </row>
    <row r="9722" spans="3:10" x14ac:dyDescent="0.2">
      <c r="C9722" s="209"/>
      <c r="D9722" s="209"/>
      <c r="E9722" s="209"/>
      <c r="J9722" s="124"/>
    </row>
    <row r="9723" spans="3:10" x14ac:dyDescent="0.2">
      <c r="C9723" s="209"/>
      <c r="D9723" s="209"/>
      <c r="E9723" s="209"/>
      <c r="J9723" s="124"/>
    </row>
    <row r="9724" spans="3:10" x14ac:dyDescent="0.2">
      <c r="C9724" s="209"/>
      <c r="D9724" s="209"/>
      <c r="E9724" s="209"/>
      <c r="J9724" s="124"/>
    </row>
    <row r="9725" spans="3:10" x14ac:dyDescent="0.2">
      <c r="C9725" s="209"/>
      <c r="D9725" s="209"/>
      <c r="E9725" s="209"/>
      <c r="J9725" s="124"/>
    </row>
    <row r="9726" spans="3:10" x14ac:dyDescent="0.2">
      <c r="C9726" s="209"/>
      <c r="D9726" s="209"/>
      <c r="E9726" s="209"/>
      <c r="J9726" s="124"/>
    </row>
    <row r="9727" spans="3:10" x14ac:dyDescent="0.2">
      <c r="C9727" s="209"/>
      <c r="D9727" s="209"/>
      <c r="E9727" s="209"/>
      <c r="J9727" s="124"/>
    </row>
    <row r="9728" spans="3:10" x14ac:dyDescent="0.2">
      <c r="C9728" s="209"/>
      <c r="D9728" s="209"/>
      <c r="E9728" s="209"/>
      <c r="J9728" s="124"/>
    </row>
    <row r="9729" spans="3:10" x14ac:dyDescent="0.2">
      <c r="C9729" s="209"/>
      <c r="D9729" s="209"/>
      <c r="E9729" s="209"/>
      <c r="J9729" s="124"/>
    </row>
    <row r="9730" spans="3:10" x14ac:dyDescent="0.2">
      <c r="C9730" s="209"/>
      <c r="D9730" s="209"/>
      <c r="E9730" s="209"/>
      <c r="J9730" s="124"/>
    </row>
    <row r="9731" spans="3:10" x14ac:dyDescent="0.2">
      <c r="C9731" s="209"/>
      <c r="D9731" s="209"/>
      <c r="E9731" s="209"/>
      <c r="J9731" s="124"/>
    </row>
    <row r="9732" spans="3:10" x14ac:dyDescent="0.2">
      <c r="C9732" s="209"/>
      <c r="D9732" s="209"/>
      <c r="E9732" s="209"/>
      <c r="J9732" s="124"/>
    </row>
    <row r="9733" spans="3:10" x14ac:dyDescent="0.2">
      <c r="C9733" s="209"/>
      <c r="D9733" s="209"/>
      <c r="E9733" s="209"/>
      <c r="J9733" s="124"/>
    </row>
    <row r="9734" spans="3:10" x14ac:dyDescent="0.2">
      <c r="C9734" s="209"/>
      <c r="D9734" s="209"/>
      <c r="E9734" s="209"/>
      <c r="J9734" s="124"/>
    </row>
    <row r="9735" spans="3:10" x14ac:dyDescent="0.2">
      <c r="C9735" s="209"/>
      <c r="D9735" s="209"/>
      <c r="E9735" s="209"/>
      <c r="J9735" s="124"/>
    </row>
    <row r="9736" spans="3:10" x14ac:dyDescent="0.2">
      <c r="C9736" s="209"/>
      <c r="D9736" s="209"/>
      <c r="E9736" s="209"/>
      <c r="J9736" s="124"/>
    </row>
    <row r="9737" spans="3:10" x14ac:dyDescent="0.2">
      <c r="C9737" s="209"/>
      <c r="D9737" s="209"/>
      <c r="E9737" s="209"/>
      <c r="J9737" s="124"/>
    </row>
    <row r="9738" spans="3:10" x14ac:dyDescent="0.2">
      <c r="C9738" s="209"/>
      <c r="D9738" s="209"/>
      <c r="E9738" s="209"/>
      <c r="J9738" s="124"/>
    </row>
    <row r="9739" spans="3:10" x14ac:dyDescent="0.2">
      <c r="C9739" s="209"/>
      <c r="D9739" s="209"/>
      <c r="E9739" s="209"/>
      <c r="J9739" s="124"/>
    </row>
    <row r="9740" spans="3:10" x14ac:dyDescent="0.2">
      <c r="C9740" s="209"/>
      <c r="D9740" s="209"/>
      <c r="E9740" s="209"/>
      <c r="J9740" s="124"/>
    </row>
    <row r="9741" spans="3:10" x14ac:dyDescent="0.2">
      <c r="C9741" s="209"/>
      <c r="D9741" s="209"/>
      <c r="E9741" s="209"/>
      <c r="J9741" s="124"/>
    </row>
    <row r="9742" spans="3:10" x14ac:dyDescent="0.2">
      <c r="C9742" s="209"/>
      <c r="D9742" s="209"/>
      <c r="E9742" s="209"/>
      <c r="J9742" s="124"/>
    </row>
    <row r="9743" spans="3:10" x14ac:dyDescent="0.2">
      <c r="C9743" s="209"/>
      <c r="D9743" s="209"/>
      <c r="E9743" s="209"/>
      <c r="J9743" s="124"/>
    </row>
    <row r="9744" spans="3:10" x14ac:dyDescent="0.2">
      <c r="C9744" s="209"/>
      <c r="D9744" s="209"/>
      <c r="E9744" s="209"/>
      <c r="J9744" s="124"/>
    </row>
    <row r="9745" spans="3:10" x14ac:dyDescent="0.2">
      <c r="C9745" s="209"/>
      <c r="D9745" s="209"/>
      <c r="E9745" s="209"/>
      <c r="J9745" s="124"/>
    </row>
    <row r="9746" spans="3:10" x14ac:dyDescent="0.2">
      <c r="C9746" s="209"/>
      <c r="D9746" s="209"/>
      <c r="E9746" s="209"/>
      <c r="J9746" s="124"/>
    </row>
    <row r="9747" spans="3:10" x14ac:dyDescent="0.2">
      <c r="C9747" s="209"/>
      <c r="D9747" s="209"/>
      <c r="E9747" s="209"/>
      <c r="J9747" s="124"/>
    </row>
    <row r="9748" spans="3:10" x14ac:dyDescent="0.2">
      <c r="C9748" s="209"/>
      <c r="D9748" s="209"/>
      <c r="E9748" s="209"/>
      <c r="J9748" s="124"/>
    </row>
    <row r="9749" spans="3:10" x14ac:dyDescent="0.2">
      <c r="C9749" s="209"/>
      <c r="D9749" s="209"/>
      <c r="E9749" s="209"/>
      <c r="J9749" s="124"/>
    </row>
    <row r="9750" spans="3:10" x14ac:dyDescent="0.2">
      <c r="C9750" s="209"/>
      <c r="D9750" s="209"/>
      <c r="E9750" s="209"/>
      <c r="J9750" s="124"/>
    </row>
    <row r="9751" spans="3:10" x14ac:dyDescent="0.2">
      <c r="C9751" s="209"/>
      <c r="D9751" s="209"/>
      <c r="E9751" s="209"/>
      <c r="J9751" s="124"/>
    </row>
    <row r="9752" spans="3:10" x14ac:dyDescent="0.2">
      <c r="C9752" s="209"/>
      <c r="D9752" s="209"/>
      <c r="E9752" s="209"/>
      <c r="J9752" s="124"/>
    </row>
    <row r="9753" spans="3:10" x14ac:dyDescent="0.2">
      <c r="C9753" s="209"/>
      <c r="D9753" s="209"/>
      <c r="E9753" s="209"/>
      <c r="J9753" s="124"/>
    </row>
    <row r="9754" spans="3:10" x14ac:dyDescent="0.2">
      <c r="C9754" s="209"/>
      <c r="D9754" s="209"/>
      <c r="E9754" s="209"/>
      <c r="J9754" s="124"/>
    </row>
    <row r="9755" spans="3:10" x14ac:dyDescent="0.2">
      <c r="C9755" s="209"/>
      <c r="D9755" s="209"/>
      <c r="E9755" s="209"/>
      <c r="J9755" s="124"/>
    </row>
    <row r="9756" spans="3:10" x14ac:dyDescent="0.2">
      <c r="C9756" s="209"/>
      <c r="D9756" s="209"/>
      <c r="E9756" s="209"/>
      <c r="J9756" s="124"/>
    </row>
    <row r="9757" spans="3:10" x14ac:dyDescent="0.2">
      <c r="C9757" s="209"/>
      <c r="D9757" s="209"/>
      <c r="E9757" s="209"/>
      <c r="J9757" s="124"/>
    </row>
    <row r="9758" spans="3:10" x14ac:dyDescent="0.2">
      <c r="C9758" s="209"/>
      <c r="D9758" s="209"/>
      <c r="E9758" s="209"/>
      <c r="J9758" s="124"/>
    </row>
    <row r="9759" spans="3:10" x14ac:dyDescent="0.2">
      <c r="C9759" s="209"/>
      <c r="D9759" s="209"/>
      <c r="E9759" s="209"/>
      <c r="J9759" s="124"/>
    </row>
    <row r="9760" spans="3:10" x14ac:dyDescent="0.2">
      <c r="C9760" s="209"/>
      <c r="D9760" s="209"/>
      <c r="E9760" s="209"/>
      <c r="J9760" s="124"/>
    </row>
    <row r="9761" spans="3:10" x14ac:dyDescent="0.2">
      <c r="C9761" s="209"/>
      <c r="D9761" s="209"/>
      <c r="E9761" s="209"/>
      <c r="J9761" s="124"/>
    </row>
    <row r="9762" spans="3:10" x14ac:dyDescent="0.2">
      <c r="C9762" s="209"/>
      <c r="D9762" s="209"/>
      <c r="E9762" s="209"/>
      <c r="J9762" s="124"/>
    </row>
    <row r="9763" spans="3:10" x14ac:dyDescent="0.2">
      <c r="C9763" s="209"/>
      <c r="D9763" s="209"/>
      <c r="E9763" s="209"/>
      <c r="J9763" s="124"/>
    </row>
    <row r="9764" spans="3:10" x14ac:dyDescent="0.2">
      <c r="C9764" s="209"/>
      <c r="D9764" s="209"/>
      <c r="E9764" s="209"/>
      <c r="J9764" s="124"/>
    </row>
    <row r="9765" spans="3:10" x14ac:dyDescent="0.2">
      <c r="C9765" s="209"/>
      <c r="D9765" s="209"/>
      <c r="E9765" s="209"/>
      <c r="J9765" s="124"/>
    </row>
    <row r="9766" spans="3:10" x14ac:dyDescent="0.2">
      <c r="C9766" s="209"/>
      <c r="D9766" s="209"/>
      <c r="E9766" s="209"/>
      <c r="J9766" s="124"/>
    </row>
    <row r="9767" spans="3:10" x14ac:dyDescent="0.2">
      <c r="C9767" s="209"/>
      <c r="D9767" s="209"/>
      <c r="E9767" s="209"/>
      <c r="J9767" s="124"/>
    </row>
    <row r="9768" spans="3:10" x14ac:dyDescent="0.2">
      <c r="C9768" s="209"/>
      <c r="D9768" s="209"/>
      <c r="E9768" s="209"/>
      <c r="J9768" s="124"/>
    </row>
    <row r="9769" spans="3:10" x14ac:dyDescent="0.2">
      <c r="C9769" s="209"/>
      <c r="D9769" s="209"/>
      <c r="E9769" s="209"/>
      <c r="J9769" s="124"/>
    </row>
    <row r="9770" spans="3:10" x14ac:dyDescent="0.2">
      <c r="C9770" s="209"/>
      <c r="D9770" s="209"/>
      <c r="E9770" s="209"/>
      <c r="J9770" s="124"/>
    </row>
    <row r="9771" spans="3:10" x14ac:dyDescent="0.2">
      <c r="C9771" s="209"/>
      <c r="D9771" s="209"/>
      <c r="E9771" s="209"/>
      <c r="J9771" s="124"/>
    </row>
    <row r="9772" spans="3:10" x14ac:dyDescent="0.2">
      <c r="C9772" s="209"/>
      <c r="D9772" s="209"/>
      <c r="E9772" s="209"/>
      <c r="J9772" s="124"/>
    </row>
    <row r="9773" spans="3:10" x14ac:dyDescent="0.2">
      <c r="C9773" s="209"/>
      <c r="D9773" s="209"/>
      <c r="E9773" s="209"/>
      <c r="J9773" s="124"/>
    </row>
    <row r="9774" spans="3:10" x14ac:dyDescent="0.2">
      <c r="C9774" s="209"/>
      <c r="D9774" s="209"/>
      <c r="E9774" s="209"/>
      <c r="J9774" s="124"/>
    </row>
    <row r="9775" spans="3:10" x14ac:dyDescent="0.2">
      <c r="C9775" s="209"/>
      <c r="D9775" s="209"/>
      <c r="E9775" s="209"/>
      <c r="J9775" s="124"/>
    </row>
    <row r="9776" spans="3:10" x14ac:dyDescent="0.2">
      <c r="C9776" s="209"/>
      <c r="D9776" s="209"/>
      <c r="E9776" s="209"/>
      <c r="J9776" s="124"/>
    </row>
    <row r="9777" spans="3:10" x14ac:dyDescent="0.2">
      <c r="C9777" s="209"/>
      <c r="D9777" s="209"/>
      <c r="E9777" s="209"/>
      <c r="J9777" s="124"/>
    </row>
    <row r="9778" spans="3:10" x14ac:dyDescent="0.2">
      <c r="C9778" s="209"/>
      <c r="D9778" s="209"/>
      <c r="E9778" s="209"/>
      <c r="J9778" s="124"/>
    </row>
    <row r="9779" spans="3:10" x14ac:dyDescent="0.2">
      <c r="C9779" s="209"/>
      <c r="D9779" s="209"/>
      <c r="E9779" s="209"/>
      <c r="J9779" s="124"/>
    </row>
    <row r="9780" spans="3:10" x14ac:dyDescent="0.2">
      <c r="C9780" s="209"/>
      <c r="D9780" s="209"/>
      <c r="E9780" s="209"/>
      <c r="J9780" s="124"/>
    </row>
    <row r="9781" spans="3:10" x14ac:dyDescent="0.2">
      <c r="C9781" s="209"/>
      <c r="D9781" s="209"/>
      <c r="E9781" s="209"/>
      <c r="J9781" s="124"/>
    </row>
    <row r="9782" spans="3:10" x14ac:dyDescent="0.2">
      <c r="C9782" s="209"/>
      <c r="D9782" s="209"/>
      <c r="E9782" s="209"/>
      <c r="J9782" s="124"/>
    </row>
    <row r="9783" spans="3:10" x14ac:dyDescent="0.2">
      <c r="C9783" s="209"/>
      <c r="D9783" s="209"/>
      <c r="E9783" s="209"/>
      <c r="J9783" s="124"/>
    </row>
    <row r="9784" spans="3:10" x14ac:dyDescent="0.2">
      <c r="C9784" s="209"/>
      <c r="D9784" s="209"/>
      <c r="E9784" s="209"/>
      <c r="J9784" s="124"/>
    </row>
    <row r="9785" spans="3:10" x14ac:dyDescent="0.2">
      <c r="C9785" s="209"/>
      <c r="D9785" s="209"/>
      <c r="E9785" s="209"/>
      <c r="J9785" s="124"/>
    </row>
    <row r="9786" spans="3:10" x14ac:dyDescent="0.2">
      <c r="C9786" s="209"/>
      <c r="D9786" s="209"/>
      <c r="E9786" s="209"/>
      <c r="J9786" s="124"/>
    </row>
    <row r="9787" spans="3:10" x14ac:dyDescent="0.2">
      <c r="C9787" s="209"/>
      <c r="D9787" s="209"/>
      <c r="E9787" s="209"/>
      <c r="J9787" s="124"/>
    </row>
    <row r="9788" spans="3:10" x14ac:dyDescent="0.2">
      <c r="C9788" s="209"/>
      <c r="D9788" s="209"/>
      <c r="E9788" s="209"/>
      <c r="J9788" s="124"/>
    </row>
    <row r="9789" spans="3:10" x14ac:dyDescent="0.2">
      <c r="C9789" s="209"/>
      <c r="D9789" s="209"/>
      <c r="E9789" s="209"/>
      <c r="J9789" s="124"/>
    </row>
    <row r="9790" spans="3:10" x14ac:dyDescent="0.2">
      <c r="C9790" s="209"/>
      <c r="D9790" s="209"/>
      <c r="E9790" s="209"/>
      <c r="J9790" s="124"/>
    </row>
    <row r="9791" spans="3:10" x14ac:dyDescent="0.2">
      <c r="C9791" s="209"/>
      <c r="D9791" s="209"/>
      <c r="E9791" s="209"/>
      <c r="J9791" s="124"/>
    </row>
    <row r="9792" spans="3:10" x14ac:dyDescent="0.2">
      <c r="C9792" s="209"/>
      <c r="D9792" s="209"/>
      <c r="E9792" s="209"/>
      <c r="J9792" s="124"/>
    </row>
    <row r="9793" spans="3:10" x14ac:dyDescent="0.2">
      <c r="C9793" s="209"/>
      <c r="D9793" s="209"/>
      <c r="E9793" s="209"/>
      <c r="J9793" s="124"/>
    </row>
    <row r="9794" spans="3:10" x14ac:dyDescent="0.2">
      <c r="C9794" s="209"/>
      <c r="D9794" s="209"/>
      <c r="E9794" s="209"/>
      <c r="J9794" s="124"/>
    </row>
    <row r="9795" spans="3:10" x14ac:dyDescent="0.2">
      <c r="C9795" s="209"/>
      <c r="D9795" s="209"/>
      <c r="E9795" s="209"/>
      <c r="J9795" s="124"/>
    </row>
    <row r="9796" spans="3:10" x14ac:dyDescent="0.2">
      <c r="C9796" s="209"/>
      <c r="D9796" s="209"/>
      <c r="E9796" s="209"/>
      <c r="J9796" s="124"/>
    </row>
    <row r="9797" spans="3:10" x14ac:dyDescent="0.2">
      <c r="C9797" s="209"/>
      <c r="D9797" s="209"/>
      <c r="E9797" s="209"/>
      <c r="J9797" s="124"/>
    </row>
    <row r="9798" spans="3:10" x14ac:dyDescent="0.2">
      <c r="C9798" s="209"/>
      <c r="D9798" s="209"/>
      <c r="E9798" s="209"/>
      <c r="J9798" s="124"/>
    </row>
    <row r="9799" spans="3:10" x14ac:dyDescent="0.2">
      <c r="C9799" s="209"/>
      <c r="D9799" s="209"/>
      <c r="E9799" s="209"/>
      <c r="J9799" s="124"/>
    </row>
    <row r="9800" spans="3:10" x14ac:dyDescent="0.2">
      <c r="C9800" s="209"/>
      <c r="D9800" s="209"/>
      <c r="E9800" s="209"/>
      <c r="J9800" s="124"/>
    </row>
    <row r="9801" spans="3:10" x14ac:dyDescent="0.2">
      <c r="C9801" s="209"/>
      <c r="D9801" s="209"/>
      <c r="E9801" s="209"/>
      <c r="J9801" s="124"/>
    </row>
    <row r="9802" spans="3:10" x14ac:dyDescent="0.2">
      <c r="C9802" s="209"/>
      <c r="D9802" s="209"/>
      <c r="E9802" s="209"/>
      <c r="J9802" s="124"/>
    </row>
    <row r="9803" spans="3:10" x14ac:dyDescent="0.2">
      <c r="C9803" s="209"/>
      <c r="D9803" s="209"/>
      <c r="E9803" s="209"/>
      <c r="J9803" s="124"/>
    </row>
    <row r="9804" spans="3:10" x14ac:dyDescent="0.2">
      <c r="C9804" s="209"/>
      <c r="D9804" s="209"/>
      <c r="E9804" s="209"/>
      <c r="J9804" s="124"/>
    </row>
    <row r="9805" spans="3:10" x14ac:dyDescent="0.2">
      <c r="C9805" s="209"/>
      <c r="D9805" s="209"/>
      <c r="E9805" s="209"/>
      <c r="J9805" s="124"/>
    </row>
    <row r="9806" spans="3:10" x14ac:dyDescent="0.2">
      <c r="C9806" s="209"/>
      <c r="D9806" s="209"/>
      <c r="E9806" s="209"/>
      <c r="J9806" s="124"/>
    </row>
    <row r="9807" spans="3:10" x14ac:dyDescent="0.2">
      <c r="C9807" s="209"/>
      <c r="D9807" s="209"/>
      <c r="E9807" s="209"/>
      <c r="J9807" s="124"/>
    </row>
    <row r="9808" spans="3:10" x14ac:dyDescent="0.2">
      <c r="C9808" s="209"/>
      <c r="D9808" s="209"/>
      <c r="E9808" s="209"/>
      <c r="J9808" s="124"/>
    </row>
    <row r="9809" spans="3:10" x14ac:dyDescent="0.2">
      <c r="C9809" s="209"/>
      <c r="D9809" s="209"/>
      <c r="E9809" s="209"/>
      <c r="J9809" s="124"/>
    </row>
    <row r="9810" spans="3:10" x14ac:dyDescent="0.2">
      <c r="C9810" s="209"/>
      <c r="D9810" s="209"/>
      <c r="E9810" s="209"/>
      <c r="J9810" s="124"/>
    </row>
    <row r="9811" spans="3:10" x14ac:dyDescent="0.2">
      <c r="C9811" s="209"/>
      <c r="D9811" s="209"/>
      <c r="E9811" s="209"/>
      <c r="J9811" s="124"/>
    </row>
    <row r="9812" spans="3:10" x14ac:dyDescent="0.2">
      <c r="C9812" s="209"/>
      <c r="D9812" s="209"/>
      <c r="E9812" s="209"/>
      <c r="J9812" s="124"/>
    </row>
    <row r="9813" spans="3:10" x14ac:dyDescent="0.2">
      <c r="C9813" s="209"/>
      <c r="D9813" s="209"/>
      <c r="E9813" s="209"/>
      <c r="J9813" s="124"/>
    </row>
    <row r="9814" spans="3:10" x14ac:dyDescent="0.2">
      <c r="C9814" s="209"/>
      <c r="D9814" s="209"/>
      <c r="E9814" s="209"/>
      <c r="J9814" s="124"/>
    </row>
    <row r="9815" spans="3:10" x14ac:dyDescent="0.2">
      <c r="C9815" s="209"/>
      <c r="D9815" s="209"/>
      <c r="E9815" s="209"/>
      <c r="J9815" s="124"/>
    </row>
    <row r="9816" spans="3:10" x14ac:dyDescent="0.2">
      <c r="C9816" s="209"/>
      <c r="D9816" s="209"/>
      <c r="E9816" s="209"/>
      <c r="J9816" s="124"/>
    </row>
    <row r="9817" spans="3:10" x14ac:dyDescent="0.2">
      <c r="C9817" s="209"/>
      <c r="D9817" s="209"/>
      <c r="E9817" s="209"/>
      <c r="J9817" s="124"/>
    </row>
    <row r="9818" spans="3:10" x14ac:dyDescent="0.2">
      <c r="C9818" s="209"/>
      <c r="D9818" s="209"/>
      <c r="E9818" s="209"/>
      <c r="J9818" s="124"/>
    </row>
    <row r="9819" spans="3:10" x14ac:dyDescent="0.2">
      <c r="C9819" s="209"/>
      <c r="D9819" s="209"/>
      <c r="E9819" s="209"/>
      <c r="J9819" s="124"/>
    </row>
    <row r="9820" spans="3:10" x14ac:dyDescent="0.2">
      <c r="C9820" s="209"/>
      <c r="D9820" s="209"/>
      <c r="E9820" s="209"/>
      <c r="J9820" s="124"/>
    </row>
    <row r="9821" spans="3:10" x14ac:dyDescent="0.2">
      <c r="C9821" s="209"/>
      <c r="D9821" s="209"/>
      <c r="E9821" s="209"/>
      <c r="J9821" s="124"/>
    </row>
    <row r="9822" spans="3:10" x14ac:dyDescent="0.2">
      <c r="C9822" s="209"/>
      <c r="D9822" s="209"/>
      <c r="E9822" s="209"/>
      <c r="J9822" s="124"/>
    </row>
    <row r="9823" spans="3:10" x14ac:dyDescent="0.2">
      <c r="C9823" s="209"/>
      <c r="D9823" s="209"/>
      <c r="E9823" s="209"/>
      <c r="J9823" s="124"/>
    </row>
    <row r="9824" spans="3:10" x14ac:dyDescent="0.2">
      <c r="C9824" s="209"/>
      <c r="D9824" s="209"/>
      <c r="E9824" s="209"/>
      <c r="J9824" s="124"/>
    </row>
    <row r="9825" spans="3:10" x14ac:dyDescent="0.2">
      <c r="C9825" s="209"/>
      <c r="D9825" s="209"/>
      <c r="E9825" s="209"/>
      <c r="J9825" s="124"/>
    </row>
    <row r="9826" spans="3:10" x14ac:dyDescent="0.2">
      <c r="C9826" s="209"/>
      <c r="D9826" s="209"/>
      <c r="E9826" s="209"/>
      <c r="J9826" s="124"/>
    </row>
    <row r="9827" spans="3:10" x14ac:dyDescent="0.2">
      <c r="C9827" s="209"/>
      <c r="D9827" s="209"/>
      <c r="E9827" s="209"/>
      <c r="J9827" s="124"/>
    </row>
    <row r="9828" spans="3:10" x14ac:dyDescent="0.2">
      <c r="C9828" s="209"/>
      <c r="D9828" s="209"/>
      <c r="E9828" s="209"/>
      <c r="J9828" s="124"/>
    </row>
    <row r="9829" spans="3:10" x14ac:dyDescent="0.2">
      <c r="C9829" s="209"/>
      <c r="D9829" s="209"/>
      <c r="E9829" s="209"/>
      <c r="J9829" s="124"/>
    </row>
    <row r="9830" spans="3:10" x14ac:dyDescent="0.2">
      <c r="C9830" s="209"/>
      <c r="D9830" s="209"/>
      <c r="E9830" s="209"/>
      <c r="J9830" s="124"/>
    </row>
    <row r="9831" spans="3:10" x14ac:dyDescent="0.2">
      <c r="C9831" s="209"/>
      <c r="D9831" s="209"/>
      <c r="E9831" s="209"/>
      <c r="J9831" s="124"/>
    </row>
    <row r="9832" spans="3:10" x14ac:dyDescent="0.2">
      <c r="C9832" s="209"/>
      <c r="D9832" s="209"/>
      <c r="E9832" s="209"/>
      <c r="J9832" s="124"/>
    </row>
    <row r="9833" spans="3:10" x14ac:dyDescent="0.2">
      <c r="C9833" s="209"/>
      <c r="D9833" s="209"/>
      <c r="E9833" s="209"/>
      <c r="J9833" s="124"/>
    </row>
    <row r="9834" spans="3:10" x14ac:dyDescent="0.2">
      <c r="C9834" s="209"/>
      <c r="D9834" s="209"/>
      <c r="E9834" s="209"/>
      <c r="J9834" s="124"/>
    </row>
    <row r="9835" spans="3:10" x14ac:dyDescent="0.2">
      <c r="C9835" s="209"/>
      <c r="D9835" s="209"/>
      <c r="E9835" s="209"/>
      <c r="J9835" s="124"/>
    </row>
    <row r="9836" spans="3:10" x14ac:dyDescent="0.2">
      <c r="C9836" s="209"/>
      <c r="D9836" s="209"/>
      <c r="E9836" s="209"/>
      <c r="J9836" s="124"/>
    </row>
    <row r="9837" spans="3:10" x14ac:dyDescent="0.2">
      <c r="C9837" s="209"/>
      <c r="D9837" s="209"/>
      <c r="E9837" s="209"/>
      <c r="J9837" s="124"/>
    </row>
    <row r="9838" spans="3:10" x14ac:dyDescent="0.2">
      <c r="C9838" s="209"/>
      <c r="D9838" s="209"/>
      <c r="E9838" s="209"/>
      <c r="J9838" s="124"/>
    </row>
    <row r="9839" spans="3:10" x14ac:dyDescent="0.2">
      <c r="C9839" s="209"/>
      <c r="D9839" s="209"/>
      <c r="E9839" s="209"/>
      <c r="J9839" s="124"/>
    </row>
    <row r="9840" spans="3:10" x14ac:dyDescent="0.2">
      <c r="C9840" s="209"/>
      <c r="D9840" s="209"/>
      <c r="E9840" s="209"/>
      <c r="J9840" s="124"/>
    </row>
    <row r="9841" spans="3:10" x14ac:dyDescent="0.2">
      <c r="C9841" s="209"/>
      <c r="D9841" s="209"/>
      <c r="E9841" s="209"/>
      <c r="J9841" s="124"/>
    </row>
    <row r="9842" spans="3:10" x14ac:dyDescent="0.2">
      <c r="C9842" s="209"/>
      <c r="D9842" s="209"/>
      <c r="E9842" s="209"/>
      <c r="J9842" s="124"/>
    </row>
    <row r="9843" spans="3:10" x14ac:dyDescent="0.2">
      <c r="C9843" s="209"/>
      <c r="D9843" s="209"/>
      <c r="E9843" s="209"/>
      <c r="J9843" s="124"/>
    </row>
    <row r="9844" spans="3:10" x14ac:dyDescent="0.2">
      <c r="C9844" s="209"/>
      <c r="D9844" s="209"/>
      <c r="E9844" s="209"/>
      <c r="J9844" s="124"/>
    </row>
    <row r="9845" spans="3:10" x14ac:dyDescent="0.2">
      <c r="C9845" s="209"/>
      <c r="D9845" s="209"/>
      <c r="E9845" s="209"/>
      <c r="J9845" s="124"/>
    </row>
    <row r="9846" spans="3:10" x14ac:dyDescent="0.2">
      <c r="C9846" s="209"/>
      <c r="D9846" s="209"/>
      <c r="E9846" s="209"/>
      <c r="J9846" s="124"/>
    </row>
    <row r="9847" spans="3:10" x14ac:dyDescent="0.2">
      <c r="C9847" s="209"/>
      <c r="D9847" s="209"/>
      <c r="E9847" s="209"/>
      <c r="J9847" s="124"/>
    </row>
    <row r="9848" spans="3:10" x14ac:dyDescent="0.2">
      <c r="C9848" s="209"/>
      <c r="D9848" s="209"/>
      <c r="E9848" s="209"/>
      <c r="J9848" s="124"/>
    </row>
    <row r="9849" spans="3:10" x14ac:dyDescent="0.2">
      <c r="C9849" s="209"/>
      <c r="D9849" s="209"/>
      <c r="E9849" s="209"/>
      <c r="J9849" s="124"/>
    </row>
    <row r="9850" spans="3:10" x14ac:dyDescent="0.2">
      <c r="C9850" s="209"/>
      <c r="D9850" s="209"/>
      <c r="E9850" s="209"/>
      <c r="J9850" s="124"/>
    </row>
    <row r="9851" spans="3:10" x14ac:dyDescent="0.2">
      <c r="C9851" s="209"/>
      <c r="D9851" s="209"/>
      <c r="E9851" s="209"/>
      <c r="J9851" s="124"/>
    </row>
    <row r="9852" spans="3:10" x14ac:dyDescent="0.2">
      <c r="C9852" s="209"/>
      <c r="D9852" s="209"/>
      <c r="E9852" s="209"/>
      <c r="J9852" s="124"/>
    </row>
    <row r="9853" spans="3:10" x14ac:dyDescent="0.2">
      <c r="C9853" s="209"/>
      <c r="D9853" s="209"/>
      <c r="E9853" s="209"/>
      <c r="J9853" s="124"/>
    </row>
    <row r="9854" spans="3:10" x14ac:dyDescent="0.2">
      <c r="C9854" s="209"/>
      <c r="D9854" s="209"/>
      <c r="E9854" s="209"/>
      <c r="J9854" s="124"/>
    </row>
    <row r="9855" spans="3:10" x14ac:dyDescent="0.2">
      <c r="C9855" s="209"/>
      <c r="D9855" s="209"/>
      <c r="E9855" s="209"/>
      <c r="J9855" s="124"/>
    </row>
    <row r="9856" spans="3:10" x14ac:dyDescent="0.2">
      <c r="C9856" s="209"/>
      <c r="D9856" s="209"/>
      <c r="E9856" s="209"/>
      <c r="J9856" s="124"/>
    </row>
    <row r="9857" spans="3:10" x14ac:dyDescent="0.2">
      <c r="C9857" s="209"/>
      <c r="D9857" s="209"/>
      <c r="E9857" s="209"/>
      <c r="J9857" s="124"/>
    </row>
    <row r="9858" spans="3:10" x14ac:dyDescent="0.2">
      <c r="C9858" s="209"/>
      <c r="D9858" s="209"/>
      <c r="E9858" s="209"/>
      <c r="J9858" s="124"/>
    </row>
    <row r="9859" spans="3:10" x14ac:dyDescent="0.2">
      <c r="C9859" s="209"/>
      <c r="D9859" s="209"/>
      <c r="E9859" s="209"/>
      <c r="J9859" s="124"/>
    </row>
    <row r="9860" spans="3:10" x14ac:dyDescent="0.2">
      <c r="C9860" s="209"/>
      <c r="D9860" s="209"/>
      <c r="E9860" s="209"/>
      <c r="J9860" s="124"/>
    </row>
    <row r="9861" spans="3:10" x14ac:dyDescent="0.2">
      <c r="C9861" s="209"/>
      <c r="D9861" s="209"/>
      <c r="E9861" s="209"/>
      <c r="J9861" s="124"/>
    </row>
    <row r="9862" spans="3:10" x14ac:dyDescent="0.2">
      <c r="C9862" s="209"/>
      <c r="D9862" s="209"/>
      <c r="E9862" s="209"/>
      <c r="J9862" s="124"/>
    </row>
    <row r="9863" spans="3:10" x14ac:dyDescent="0.2">
      <c r="C9863" s="209"/>
      <c r="D9863" s="209"/>
      <c r="E9863" s="209"/>
      <c r="J9863" s="124"/>
    </row>
    <row r="9864" spans="3:10" x14ac:dyDescent="0.2">
      <c r="C9864" s="209"/>
      <c r="D9864" s="209"/>
      <c r="E9864" s="209"/>
      <c r="J9864" s="124"/>
    </row>
    <row r="9865" spans="3:10" x14ac:dyDescent="0.2">
      <c r="C9865" s="209"/>
      <c r="D9865" s="209"/>
      <c r="E9865" s="209"/>
      <c r="J9865" s="124"/>
    </row>
    <row r="9866" spans="3:10" x14ac:dyDescent="0.2">
      <c r="C9866" s="209"/>
      <c r="D9866" s="209"/>
      <c r="E9866" s="209"/>
      <c r="J9866" s="124"/>
    </row>
    <row r="9867" spans="3:10" x14ac:dyDescent="0.2">
      <c r="C9867" s="209"/>
      <c r="D9867" s="209"/>
      <c r="E9867" s="209"/>
      <c r="J9867" s="124"/>
    </row>
    <row r="9868" spans="3:10" x14ac:dyDescent="0.2">
      <c r="C9868" s="209"/>
      <c r="D9868" s="209"/>
      <c r="E9868" s="209"/>
      <c r="J9868" s="124"/>
    </row>
    <row r="9869" spans="3:10" x14ac:dyDescent="0.2">
      <c r="C9869" s="209"/>
      <c r="D9869" s="209"/>
      <c r="E9869" s="209"/>
      <c r="J9869" s="124"/>
    </row>
    <row r="9870" spans="3:10" x14ac:dyDescent="0.2">
      <c r="C9870" s="209"/>
      <c r="D9870" s="209"/>
      <c r="E9870" s="209"/>
      <c r="J9870" s="124"/>
    </row>
    <row r="9871" spans="3:10" x14ac:dyDescent="0.2">
      <c r="C9871" s="209"/>
      <c r="D9871" s="209"/>
      <c r="E9871" s="209"/>
      <c r="J9871" s="124"/>
    </row>
    <row r="9872" spans="3:10" x14ac:dyDescent="0.2">
      <c r="C9872" s="209"/>
      <c r="D9872" s="209"/>
      <c r="E9872" s="209"/>
      <c r="J9872" s="124"/>
    </row>
    <row r="9873" spans="3:10" x14ac:dyDescent="0.2">
      <c r="C9873" s="209"/>
      <c r="D9873" s="209"/>
      <c r="E9873" s="209"/>
      <c r="J9873" s="124"/>
    </row>
    <row r="9874" spans="3:10" x14ac:dyDescent="0.2">
      <c r="C9874" s="209"/>
      <c r="D9874" s="209"/>
      <c r="E9874" s="209"/>
      <c r="J9874" s="124"/>
    </row>
    <row r="9875" spans="3:10" x14ac:dyDescent="0.2">
      <c r="C9875" s="209"/>
      <c r="D9875" s="209"/>
      <c r="E9875" s="209"/>
      <c r="J9875" s="124"/>
    </row>
    <row r="9876" spans="3:10" x14ac:dyDescent="0.2">
      <c r="C9876" s="209"/>
      <c r="D9876" s="209"/>
      <c r="E9876" s="209"/>
      <c r="J9876" s="124"/>
    </row>
    <row r="9877" spans="3:10" x14ac:dyDescent="0.2">
      <c r="C9877" s="209"/>
      <c r="D9877" s="209"/>
      <c r="E9877" s="209"/>
      <c r="J9877" s="124"/>
    </row>
    <row r="9878" spans="3:10" x14ac:dyDescent="0.2">
      <c r="C9878" s="209"/>
      <c r="D9878" s="209"/>
      <c r="E9878" s="209"/>
      <c r="J9878" s="124"/>
    </row>
    <row r="9879" spans="3:10" x14ac:dyDescent="0.2">
      <c r="C9879" s="209"/>
      <c r="D9879" s="209"/>
      <c r="E9879" s="209"/>
      <c r="J9879" s="124"/>
    </row>
    <row r="9880" spans="3:10" x14ac:dyDescent="0.2">
      <c r="C9880" s="209"/>
      <c r="D9880" s="209"/>
      <c r="E9880" s="209"/>
      <c r="J9880" s="124"/>
    </row>
    <row r="9881" spans="3:10" x14ac:dyDescent="0.2">
      <c r="C9881" s="209"/>
      <c r="D9881" s="209"/>
      <c r="E9881" s="209"/>
      <c r="J9881" s="124"/>
    </row>
    <row r="9882" spans="3:10" x14ac:dyDescent="0.2">
      <c r="C9882" s="209"/>
      <c r="D9882" s="209"/>
      <c r="E9882" s="209"/>
      <c r="J9882" s="124"/>
    </row>
    <row r="9883" spans="3:10" x14ac:dyDescent="0.2">
      <c r="C9883" s="209"/>
      <c r="D9883" s="209"/>
      <c r="E9883" s="209"/>
      <c r="J9883" s="124"/>
    </row>
    <row r="9884" spans="3:10" x14ac:dyDescent="0.2">
      <c r="C9884" s="209"/>
      <c r="D9884" s="209"/>
      <c r="E9884" s="209"/>
      <c r="J9884" s="124"/>
    </row>
    <row r="9885" spans="3:10" x14ac:dyDescent="0.2">
      <c r="C9885" s="209"/>
      <c r="D9885" s="209"/>
      <c r="E9885" s="209"/>
      <c r="J9885" s="124"/>
    </row>
    <row r="9886" spans="3:10" x14ac:dyDescent="0.2">
      <c r="C9886" s="209"/>
      <c r="D9886" s="209"/>
      <c r="E9886" s="209"/>
      <c r="J9886" s="124"/>
    </row>
    <row r="9887" spans="3:10" x14ac:dyDescent="0.2">
      <c r="C9887" s="209"/>
      <c r="D9887" s="209"/>
      <c r="E9887" s="209"/>
      <c r="J9887" s="124"/>
    </row>
    <row r="9888" spans="3:10" x14ac:dyDescent="0.2">
      <c r="C9888" s="209"/>
      <c r="D9888" s="209"/>
      <c r="E9888" s="209"/>
      <c r="J9888" s="124"/>
    </row>
    <row r="9889" spans="3:10" x14ac:dyDescent="0.2">
      <c r="C9889" s="209"/>
      <c r="D9889" s="209"/>
      <c r="E9889" s="209"/>
      <c r="J9889" s="124"/>
    </row>
    <row r="9890" spans="3:10" x14ac:dyDescent="0.2">
      <c r="C9890" s="209"/>
      <c r="D9890" s="209"/>
      <c r="E9890" s="209"/>
      <c r="J9890" s="124"/>
    </row>
    <row r="9891" spans="3:10" x14ac:dyDescent="0.2">
      <c r="C9891" s="209"/>
      <c r="D9891" s="209"/>
      <c r="E9891" s="209"/>
      <c r="J9891" s="124"/>
    </row>
    <row r="9892" spans="3:10" x14ac:dyDescent="0.2">
      <c r="C9892" s="209"/>
      <c r="D9892" s="209"/>
      <c r="E9892" s="209"/>
      <c r="J9892" s="124"/>
    </row>
    <row r="9893" spans="3:10" x14ac:dyDescent="0.2">
      <c r="C9893" s="209"/>
      <c r="D9893" s="209"/>
      <c r="E9893" s="209"/>
      <c r="J9893" s="124"/>
    </row>
    <row r="9894" spans="3:10" x14ac:dyDescent="0.2">
      <c r="C9894" s="209"/>
      <c r="D9894" s="209"/>
      <c r="E9894" s="209"/>
      <c r="J9894" s="124"/>
    </row>
    <row r="9895" spans="3:10" x14ac:dyDescent="0.2">
      <c r="C9895" s="209"/>
      <c r="D9895" s="209"/>
      <c r="E9895" s="209"/>
      <c r="J9895" s="124"/>
    </row>
    <row r="9896" spans="3:10" x14ac:dyDescent="0.2">
      <c r="C9896" s="209"/>
      <c r="D9896" s="209"/>
      <c r="E9896" s="209"/>
      <c r="J9896" s="124"/>
    </row>
    <row r="9897" spans="3:10" x14ac:dyDescent="0.2">
      <c r="C9897" s="209"/>
      <c r="D9897" s="209"/>
      <c r="E9897" s="209"/>
      <c r="J9897" s="124"/>
    </row>
    <row r="9898" spans="3:10" x14ac:dyDescent="0.2">
      <c r="C9898" s="209"/>
      <c r="D9898" s="209"/>
      <c r="E9898" s="209"/>
      <c r="J9898" s="124"/>
    </row>
    <row r="9899" spans="3:10" x14ac:dyDescent="0.2">
      <c r="C9899" s="209"/>
      <c r="D9899" s="209"/>
      <c r="E9899" s="209"/>
      <c r="J9899" s="124"/>
    </row>
    <row r="9900" spans="3:10" x14ac:dyDescent="0.2">
      <c r="C9900" s="209"/>
      <c r="D9900" s="209"/>
      <c r="E9900" s="209"/>
      <c r="J9900" s="124"/>
    </row>
    <row r="9901" spans="3:10" x14ac:dyDescent="0.2">
      <c r="C9901" s="209"/>
      <c r="D9901" s="209"/>
      <c r="E9901" s="209"/>
      <c r="J9901" s="124"/>
    </row>
    <row r="9902" spans="3:10" x14ac:dyDescent="0.2">
      <c r="C9902" s="209"/>
      <c r="D9902" s="209"/>
      <c r="E9902" s="209"/>
      <c r="J9902" s="124"/>
    </row>
    <row r="9903" spans="3:10" x14ac:dyDescent="0.2">
      <c r="C9903" s="209"/>
      <c r="D9903" s="209"/>
      <c r="E9903" s="209"/>
      <c r="J9903" s="124"/>
    </row>
    <row r="9904" spans="3:10" x14ac:dyDescent="0.2">
      <c r="C9904" s="209"/>
      <c r="D9904" s="209"/>
      <c r="E9904" s="209"/>
      <c r="J9904" s="124"/>
    </row>
    <row r="9905" spans="3:10" x14ac:dyDescent="0.2">
      <c r="C9905" s="209"/>
      <c r="D9905" s="209"/>
      <c r="E9905" s="209"/>
      <c r="J9905" s="124"/>
    </row>
    <row r="9906" spans="3:10" x14ac:dyDescent="0.2">
      <c r="C9906" s="209"/>
      <c r="D9906" s="209"/>
      <c r="E9906" s="209"/>
      <c r="J9906" s="124"/>
    </row>
    <row r="9907" spans="3:10" x14ac:dyDescent="0.2">
      <c r="C9907" s="209"/>
      <c r="D9907" s="209"/>
      <c r="E9907" s="209"/>
      <c r="J9907" s="124"/>
    </row>
    <row r="9908" spans="3:10" x14ac:dyDescent="0.2">
      <c r="C9908" s="209"/>
      <c r="D9908" s="209"/>
      <c r="E9908" s="209"/>
      <c r="J9908" s="124"/>
    </row>
    <row r="9909" spans="3:10" x14ac:dyDescent="0.2">
      <c r="C9909" s="209"/>
      <c r="D9909" s="209"/>
      <c r="E9909" s="209"/>
      <c r="J9909" s="124"/>
    </row>
    <row r="9910" spans="3:10" x14ac:dyDescent="0.2">
      <c r="C9910" s="209"/>
      <c r="D9910" s="209"/>
      <c r="E9910" s="209"/>
      <c r="J9910" s="124"/>
    </row>
    <row r="9911" spans="3:10" x14ac:dyDescent="0.2">
      <c r="C9911" s="209"/>
      <c r="D9911" s="209"/>
      <c r="E9911" s="209"/>
      <c r="J9911" s="124"/>
    </row>
    <row r="9912" spans="3:10" x14ac:dyDescent="0.2">
      <c r="C9912" s="209"/>
      <c r="D9912" s="209"/>
      <c r="E9912" s="209"/>
      <c r="J9912" s="124"/>
    </row>
    <row r="9913" spans="3:10" x14ac:dyDescent="0.2">
      <c r="C9913" s="209"/>
      <c r="D9913" s="209"/>
      <c r="E9913" s="209"/>
      <c r="J9913" s="124"/>
    </row>
    <row r="9914" spans="3:10" x14ac:dyDescent="0.2">
      <c r="C9914" s="209"/>
      <c r="D9914" s="209"/>
      <c r="E9914" s="209"/>
      <c r="J9914" s="124"/>
    </row>
    <row r="9915" spans="3:10" x14ac:dyDescent="0.2">
      <c r="C9915" s="209"/>
      <c r="D9915" s="209"/>
      <c r="E9915" s="209"/>
      <c r="J9915" s="124"/>
    </row>
    <row r="9916" spans="3:10" x14ac:dyDescent="0.2">
      <c r="C9916" s="209"/>
      <c r="D9916" s="209"/>
      <c r="E9916" s="209"/>
      <c r="J9916" s="124"/>
    </row>
    <row r="9917" spans="3:10" x14ac:dyDescent="0.2">
      <c r="C9917" s="209"/>
      <c r="D9917" s="209"/>
      <c r="E9917" s="209"/>
      <c r="J9917" s="124"/>
    </row>
    <row r="9918" spans="3:10" x14ac:dyDescent="0.2">
      <c r="C9918" s="209"/>
      <c r="D9918" s="209"/>
      <c r="E9918" s="209"/>
      <c r="J9918" s="124"/>
    </row>
    <row r="9919" spans="3:10" x14ac:dyDescent="0.2">
      <c r="C9919" s="209"/>
      <c r="D9919" s="209"/>
      <c r="E9919" s="209"/>
      <c r="J9919" s="124"/>
    </row>
    <row r="9920" spans="3:10" x14ac:dyDescent="0.2">
      <c r="C9920" s="209"/>
      <c r="D9920" s="209"/>
      <c r="E9920" s="209"/>
      <c r="J9920" s="124"/>
    </row>
    <row r="9921" spans="3:10" x14ac:dyDescent="0.2">
      <c r="C9921" s="209"/>
      <c r="D9921" s="209"/>
      <c r="E9921" s="209"/>
      <c r="J9921" s="124"/>
    </row>
    <row r="9922" spans="3:10" x14ac:dyDescent="0.2">
      <c r="C9922" s="209"/>
      <c r="D9922" s="209"/>
      <c r="E9922" s="209"/>
      <c r="J9922" s="124"/>
    </row>
    <row r="9923" spans="3:10" x14ac:dyDescent="0.2">
      <c r="C9923" s="209"/>
      <c r="D9923" s="209"/>
      <c r="E9923" s="209"/>
      <c r="J9923" s="124"/>
    </row>
    <row r="9924" spans="3:10" x14ac:dyDescent="0.2">
      <c r="C9924" s="209"/>
      <c r="D9924" s="209"/>
      <c r="E9924" s="209"/>
      <c r="J9924" s="124"/>
    </row>
    <row r="9925" spans="3:10" x14ac:dyDescent="0.2">
      <c r="C9925" s="209"/>
      <c r="D9925" s="209"/>
      <c r="E9925" s="209"/>
      <c r="J9925" s="124"/>
    </row>
    <row r="9926" spans="3:10" x14ac:dyDescent="0.2">
      <c r="C9926" s="209"/>
      <c r="D9926" s="209"/>
      <c r="E9926" s="209"/>
      <c r="J9926" s="124"/>
    </row>
    <row r="9927" spans="3:10" x14ac:dyDescent="0.2">
      <c r="C9927" s="209"/>
      <c r="D9927" s="209"/>
      <c r="E9927" s="209"/>
      <c r="J9927" s="124"/>
    </row>
    <row r="9928" spans="3:10" x14ac:dyDescent="0.2">
      <c r="C9928" s="209"/>
      <c r="D9928" s="209"/>
      <c r="E9928" s="209"/>
      <c r="J9928" s="124"/>
    </row>
    <row r="9929" spans="3:10" x14ac:dyDescent="0.2">
      <c r="C9929" s="209"/>
      <c r="D9929" s="209"/>
      <c r="E9929" s="209"/>
      <c r="J9929" s="124"/>
    </row>
    <row r="9930" spans="3:10" x14ac:dyDescent="0.2">
      <c r="C9930" s="209"/>
      <c r="D9930" s="209"/>
      <c r="E9930" s="209"/>
      <c r="J9930" s="124"/>
    </row>
    <row r="9931" spans="3:10" x14ac:dyDescent="0.2">
      <c r="C9931" s="209"/>
      <c r="D9931" s="209"/>
      <c r="E9931" s="209"/>
      <c r="J9931" s="124"/>
    </row>
    <row r="9932" spans="3:10" x14ac:dyDescent="0.2">
      <c r="C9932" s="209"/>
      <c r="D9932" s="209"/>
      <c r="E9932" s="209"/>
      <c r="J9932" s="124"/>
    </row>
    <row r="9933" spans="3:10" x14ac:dyDescent="0.2">
      <c r="C9933" s="209"/>
      <c r="D9933" s="209"/>
      <c r="E9933" s="209"/>
      <c r="J9933" s="124"/>
    </row>
    <row r="9934" spans="3:10" x14ac:dyDescent="0.2">
      <c r="C9934" s="209"/>
      <c r="D9934" s="209"/>
      <c r="E9934" s="209"/>
      <c r="J9934" s="124"/>
    </row>
    <row r="9935" spans="3:10" x14ac:dyDescent="0.2">
      <c r="C9935" s="209"/>
      <c r="D9935" s="209"/>
      <c r="E9935" s="209"/>
      <c r="J9935" s="124"/>
    </row>
    <row r="9936" spans="3:10" x14ac:dyDescent="0.2">
      <c r="C9936" s="209"/>
      <c r="D9936" s="209"/>
      <c r="E9936" s="209"/>
      <c r="J9936" s="124"/>
    </row>
    <row r="9937" spans="3:10" x14ac:dyDescent="0.2">
      <c r="C9937" s="209"/>
      <c r="D9937" s="209"/>
      <c r="E9937" s="209"/>
      <c r="J9937" s="124"/>
    </row>
    <row r="9938" spans="3:10" x14ac:dyDescent="0.2">
      <c r="C9938" s="209"/>
      <c r="D9938" s="209"/>
      <c r="E9938" s="209"/>
      <c r="J9938" s="124"/>
    </row>
    <row r="9939" spans="3:10" x14ac:dyDescent="0.2">
      <c r="C9939" s="209"/>
      <c r="D9939" s="209"/>
      <c r="E9939" s="209"/>
      <c r="J9939" s="124"/>
    </row>
    <row r="9940" spans="3:10" x14ac:dyDescent="0.2">
      <c r="C9940" s="209"/>
      <c r="D9940" s="209"/>
      <c r="E9940" s="209"/>
      <c r="J9940" s="124"/>
    </row>
    <row r="9941" spans="3:10" x14ac:dyDescent="0.2">
      <c r="C9941" s="209"/>
      <c r="D9941" s="209"/>
      <c r="E9941" s="209"/>
      <c r="J9941" s="124"/>
    </row>
    <row r="9942" spans="3:10" x14ac:dyDescent="0.2">
      <c r="C9942" s="209"/>
      <c r="D9942" s="209"/>
      <c r="E9942" s="209"/>
      <c r="J9942" s="124"/>
    </row>
    <row r="9943" spans="3:10" x14ac:dyDescent="0.2">
      <c r="C9943" s="209"/>
      <c r="D9943" s="209"/>
      <c r="E9943" s="209"/>
      <c r="J9943" s="124"/>
    </row>
    <row r="9944" spans="3:10" x14ac:dyDescent="0.2">
      <c r="C9944" s="209"/>
      <c r="D9944" s="209"/>
      <c r="E9944" s="209"/>
      <c r="J9944" s="124"/>
    </row>
    <row r="9945" spans="3:10" x14ac:dyDescent="0.2">
      <c r="C9945" s="209"/>
      <c r="D9945" s="209"/>
      <c r="E9945" s="209"/>
      <c r="J9945" s="124"/>
    </row>
    <row r="9946" spans="3:10" x14ac:dyDescent="0.2">
      <c r="C9946" s="209"/>
      <c r="D9946" s="209"/>
      <c r="E9946" s="209"/>
      <c r="J9946" s="124"/>
    </row>
    <row r="9947" spans="3:10" x14ac:dyDescent="0.2">
      <c r="C9947" s="209"/>
      <c r="D9947" s="209"/>
      <c r="E9947" s="209"/>
      <c r="J9947" s="124"/>
    </row>
    <row r="9948" spans="3:10" x14ac:dyDescent="0.2">
      <c r="C9948" s="209"/>
      <c r="D9948" s="209"/>
      <c r="E9948" s="209"/>
      <c r="J9948" s="124"/>
    </row>
    <row r="9949" spans="3:10" x14ac:dyDescent="0.2">
      <c r="C9949" s="209"/>
      <c r="D9949" s="209"/>
      <c r="E9949" s="209"/>
      <c r="J9949" s="124"/>
    </row>
    <row r="9950" spans="3:10" x14ac:dyDescent="0.2">
      <c r="C9950" s="209"/>
      <c r="D9950" s="209"/>
      <c r="E9950" s="209"/>
      <c r="J9950" s="124"/>
    </row>
    <row r="9951" spans="3:10" x14ac:dyDescent="0.2">
      <c r="C9951" s="209"/>
      <c r="D9951" s="209"/>
      <c r="E9951" s="209"/>
      <c r="J9951" s="124"/>
    </row>
    <row r="9952" spans="3:10" x14ac:dyDescent="0.2">
      <c r="C9952" s="209"/>
      <c r="D9952" s="209"/>
      <c r="E9952" s="209"/>
      <c r="J9952" s="124"/>
    </row>
    <row r="9953" spans="3:10" x14ac:dyDescent="0.2">
      <c r="C9953" s="209"/>
      <c r="D9953" s="209"/>
      <c r="E9953" s="209"/>
      <c r="J9953" s="124"/>
    </row>
    <row r="9954" spans="3:10" x14ac:dyDescent="0.2">
      <c r="C9954" s="209"/>
      <c r="D9954" s="209"/>
      <c r="E9954" s="209"/>
      <c r="J9954" s="124"/>
    </row>
    <row r="9955" spans="3:10" x14ac:dyDescent="0.2">
      <c r="C9955" s="209"/>
      <c r="D9955" s="209"/>
      <c r="E9955" s="209"/>
      <c r="J9955" s="124"/>
    </row>
    <row r="9956" spans="3:10" x14ac:dyDescent="0.2">
      <c r="C9956" s="209"/>
      <c r="D9956" s="209"/>
      <c r="E9956" s="209"/>
      <c r="J9956" s="124"/>
    </row>
    <row r="9957" spans="3:10" x14ac:dyDescent="0.2">
      <c r="C9957" s="209"/>
      <c r="D9957" s="209"/>
      <c r="E9957" s="209"/>
      <c r="J9957" s="124"/>
    </row>
    <row r="9958" spans="3:10" x14ac:dyDescent="0.2">
      <c r="C9958" s="209"/>
      <c r="D9958" s="209"/>
      <c r="E9958" s="209"/>
      <c r="J9958" s="124"/>
    </row>
    <row r="9959" spans="3:10" x14ac:dyDescent="0.2">
      <c r="C9959" s="209"/>
      <c r="D9959" s="209"/>
      <c r="E9959" s="209"/>
      <c r="J9959" s="124"/>
    </row>
    <row r="9960" spans="3:10" x14ac:dyDescent="0.2">
      <c r="C9960" s="209"/>
      <c r="D9960" s="209"/>
      <c r="E9960" s="209"/>
      <c r="J9960" s="124"/>
    </row>
    <row r="9961" spans="3:10" x14ac:dyDescent="0.2">
      <c r="C9961" s="209"/>
      <c r="D9961" s="209"/>
      <c r="E9961" s="209"/>
      <c r="J9961" s="124"/>
    </row>
    <row r="9962" spans="3:10" x14ac:dyDescent="0.2">
      <c r="C9962" s="209"/>
      <c r="D9962" s="209"/>
      <c r="E9962" s="209"/>
      <c r="J9962" s="124"/>
    </row>
    <row r="9963" spans="3:10" x14ac:dyDescent="0.2">
      <c r="C9963" s="209"/>
      <c r="D9963" s="209"/>
      <c r="E9963" s="209"/>
      <c r="J9963" s="124"/>
    </row>
    <row r="9964" spans="3:10" x14ac:dyDescent="0.2">
      <c r="C9964" s="209"/>
      <c r="D9964" s="209"/>
      <c r="E9964" s="209"/>
      <c r="J9964" s="124"/>
    </row>
    <row r="9965" spans="3:10" x14ac:dyDescent="0.2">
      <c r="C9965" s="209"/>
      <c r="D9965" s="209"/>
      <c r="E9965" s="209"/>
      <c r="J9965" s="124"/>
    </row>
    <row r="9966" spans="3:10" x14ac:dyDescent="0.2">
      <c r="C9966" s="209"/>
      <c r="D9966" s="209"/>
      <c r="E9966" s="209"/>
      <c r="J9966" s="124"/>
    </row>
    <row r="9967" spans="3:10" x14ac:dyDescent="0.2">
      <c r="C9967" s="209"/>
      <c r="D9967" s="209"/>
      <c r="E9967" s="209"/>
      <c r="J9967" s="124"/>
    </row>
    <row r="9968" spans="3:10" x14ac:dyDescent="0.2">
      <c r="C9968" s="209"/>
      <c r="D9968" s="209"/>
      <c r="E9968" s="209"/>
      <c r="J9968" s="124"/>
    </row>
    <row r="9969" spans="3:10" x14ac:dyDescent="0.2">
      <c r="C9969" s="209"/>
      <c r="D9969" s="209"/>
      <c r="E9969" s="209"/>
      <c r="J9969" s="124"/>
    </row>
    <row r="9970" spans="3:10" x14ac:dyDescent="0.2">
      <c r="C9970" s="209"/>
      <c r="D9970" s="209"/>
      <c r="E9970" s="209"/>
      <c r="J9970" s="124"/>
    </row>
    <row r="9971" spans="3:10" x14ac:dyDescent="0.2">
      <c r="C9971" s="209"/>
      <c r="D9971" s="209"/>
      <c r="E9971" s="209"/>
      <c r="J9971" s="124"/>
    </row>
    <row r="9972" spans="3:10" x14ac:dyDescent="0.2">
      <c r="C9972" s="209"/>
      <c r="D9972" s="209"/>
      <c r="E9972" s="209"/>
      <c r="J9972" s="124"/>
    </row>
    <row r="9973" spans="3:10" x14ac:dyDescent="0.2">
      <c r="C9973" s="209"/>
      <c r="D9973" s="209"/>
      <c r="E9973" s="209"/>
      <c r="J9973" s="124"/>
    </row>
    <row r="9974" spans="3:10" x14ac:dyDescent="0.2">
      <c r="C9974" s="209"/>
      <c r="D9974" s="209"/>
      <c r="E9974" s="209"/>
      <c r="J9974" s="124"/>
    </row>
    <row r="9975" spans="3:10" x14ac:dyDescent="0.2">
      <c r="C9975" s="209"/>
      <c r="D9975" s="209"/>
      <c r="E9975" s="209"/>
      <c r="J9975" s="124"/>
    </row>
    <row r="9976" spans="3:10" x14ac:dyDescent="0.2">
      <c r="C9976" s="209"/>
      <c r="D9976" s="209"/>
      <c r="E9976" s="209"/>
      <c r="J9976" s="124"/>
    </row>
    <row r="9977" spans="3:10" x14ac:dyDescent="0.2">
      <c r="C9977" s="209"/>
      <c r="D9977" s="209"/>
      <c r="E9977" s="209"/>
      <c r="J9977" s="124"/>
    </row>
    <row r="9978" spans="3:10" x14ac:dyDescent="0.2">
      <c r="C9978" s="209"/>
      <c r="D9978" s="209"/>
      <c r="E9978" s="209"/>
      <c r="J9978" s="124"/>
    </row>
    <row r="9979" spans="3:10" x14ac:dyDescent="0.2">
      <c r="C9979" s="209"/>
      <c r="D9979" s="209"/>
      <c r="E9979" s="209"/>
      <c r="J9979" s="124"/>
    </row>
    <row r="9980" spans="3:10" x14ac:dyDescent="0.2">
      <c r="C9980" s="209"/>
      <c r="D9980" s="209"/>
      <c r="E9980" s="209"/>
      <c r="J9980" s="124"/>
    </row>
    <row r="9981" spans="3:10" x14ac:dyDescent="0.2">
      <c r="C9981" s="209"/>
      <c r="D9981" s="209"/>
      <c r="E9981" s="209"/>
      <c r="J9981" s="124"/>
    </row>
    <row r="9982" spans="3:10" x14ac:dyDescent="0.2">
      <c r="C9982" s="209"/>
      <c r="D9982" s="209"/>
      <c r="E9982" s="209"/>
      <c r="J9982" s="124"/>
    </row>
    <row r="9983" spans="3:10" x14ac:dyDescent="0.2">
      <c r="C9983" s="209"/>
      <c r="D9983" s="209"/>
      <c r="E9983" s="209"/>
      <c r="J9983" s="124"/>
    </row>
    <row r="9984" spans="3:10" x14ac:dyDescent="0.2">
      <c r="C9984" s="209"/>
      <c r="D9984" s="209"/>
      <c r="E9984" s="209"/>
      <c r="J9984" s="124"/>
    </row>
    <row r="9985" spans="3:10" x14ac:dyDescent="0.2">
      <c r="C9985" s="209"/>
      <c r="D9985" s="209"/>
      <c r="E9985" s="209"/>
      <c r="J9985" s="124"/>
    </row>
    <row r="9986" spans="3:10" x14ac:dyDescent="0.2">
      <c r="C9986" s="209"/>
      <c r="D9986" s="209"/>
      <c r="E9986" s="209"/>
      <c r="J9986" s="124"/>
    </row>
    <row r="9987" spans="3:10" x14ac:dyDescent="0.2">
      <c r="C9987" s="209"/>
      <c r="D9987" s="209"/>
      <c r="E9987" s="209"/>
      <c r="J9987" s="124"/>
    </row>
    <row r="9988" spans="3:10" x14ac:dyDescent="0.2">
      <c r="C9988" s="209"/>
      <c r="D9988" s="209"/>
      <c r="E9988" s="209"/>
      <c r="J9988" s="124"/>
    </row>
    <row r="9989" spans="3:10" x14ac:dyDescent="0.2">
      <c r="C9989" s="209"/>
      <c r="D9989" s="209"/>
      <c r="E9989" s="209"/>
      <c r="J9989" s="124"/>
    </row>
    <row r="9990" spans="3:10" x14ac:dyDescent="0.2">
      <c r="C9990" s="209"/>
      <c r="D9990" s="209"/>
      <c r="E9990" s="209"/>
      <c r="J9990" s="124"/>
    </row>
    <row r="9991" spans="3:10" x14ac:dyDescent="0.2">
      <c r="C9991" s="209"/>
      <c r="D9991" s="209"/>
      <c r="E9991" s="209"/>
      <c r="J9991" s="124"/>
    </row>
    <row r="9992" spans="3:10" x14ac:dyDescent="0.2">
      <c r="C9992" s="209"/>
      <c r="D9992" s="209"/>
      <c r="E9992" s="209"/>
      <c r="J9992" s="124"/>
    </row>
    <row r="9993" spans="3:10" x14ac:dyDescent="0.2">
      <c r="C9993" s="209"/>
      <c r="D9993" s="209"/>
      <c r="E9993" s="209"/>
      <c r="J9993" s="124"/>
    </row>
    <row r="9994" spans="3:10" x14ac:dyDescent="0.2">
      <c r="C9994" s="209"/>
      <c r="D9994" s="209"/>
      <c r="E9994" s="209"/>
      <c r="J9994" s="124"/>
    </row>
    <row r="9995" spans="3:10" x14ac:dyDescent="0.2">
      <c r="C9995" s="209"/>
      <c r="D9995" s="209"/>
      <c r="E9995" s="209"/>
      <c r="J9995" s="124"/>
    </row>
    <row r="9996" spans="3:10" x14ac:dyDescent="0.2">
      <c r="C9996" s="209"/>
      <c r="D9996" s="209"/>
      <c r="E9996" s="209"/>
      <c r="J9996" s="124"/>
    </row>
    <row r="9997" spans="3:10" x14ac:dyDescent="0.2">
      <c r="C9997" s="209"/>
      <c r="D9997" s="209"/>
      <c r="E9997" s="209"/>
      <c r="J9997" s="124"/>
    </row>
    <row r="9998" spans="3:10" x14ac:dyDescent="0.2">
      <c r="C9998" s="209"/>
      <c r="D9998" s="209"/>
      <c r="E9998" s="209"/>
      <c r="J9998" s="124"/>
    </row>
    <row r="9999" spans="3:10" x14ac:dyDescent="0.2">
      <c r="C9999" s="209"/>
      <c r="D9999" s="209"/>
      <c r="E9999" s="209"/>
      <c r="J9999" s="124"/>
    </row>
    <row r="10000" spans="3:10" x14ac:dyDescent="0.2">
      <c r="C10000" s="209"/>
      <c r="D10000" s="209"/>
      <c r="E10000" s="209"/>
      <c r="J10000" s="124"/>
    </row>
    <row r="10001" spans="3:10" x14ac:dyDescent="0.2">
      <c r="C10001" s="209"/>
      <c r="D10001" s="209"/>
      <c r="E10001" s="209"/>
      <c r="J10001" s="124"/>
    </row>
    <row r="10002" spans="3:10" x14ac:dyDescent="0.2">
      <c r="C10002" s="209"/>
      <c r="D10002" s="209"/>
      <c r="E10002" s="209"/>
      <c r="J10002" s="124"/>
    </row>
    <row r="10003" spans="3:10" x14ac:dyDescent="0.2">
      <c r="C10003" s="209"/>
      <c r="D10003" s="209"/>
      <c r="E10003" s="209"/>
      <c r="J10003" s="124"/>
    </row>
    <row r="10004" spans="3:10" x14ac:dyDescent="0.2">
      <c r="C10004" s="209"/>
      <c r="D10004" s="209"/>
      <c r="E10004" s="209"/>
      <c r="J10004" s="124"/>
    </row>
    <row r="10005" spans="3:10" x14ac:dyDescent="0.2">
      <c r="C10005" s="209"/>
      <c r="D10005" s="209"/>
      <c r="E10005" s="209"/>
      <c r="J10005" s="124"/>
    </row>
    <row r="10006" spans="3:10" x14ac:dyDescent="0.2">
      <c r="C10006" s="209"/>
      <c r="D10006" s="209"/>
      <c r="E10006" s="209"/>
      <c r="J10006" s="124"/>
    </row>
    <row r="10007" spans="3:10" x14ac:dyDescent="0.2">
      <c r="C10007" s="209"/>
      <c r="D10007" s="209"/>
      <c r="E10007" s="209"/>
      <c r="J10007" s="124"/>
    </row>
    <row r="10008" spans="3:10" x14ac:dyDescent="0.2">
      <c r="C10008" s="209"/>
      <c r="D10008" s="209"/>
      <c r="E10008" s="209"/>
      <c r="J10008" s="124"/>
    </row>
    <row r="10009" spans="3:10" x14ac:dyDescent="0.2">
      <c r="C10009" s="209"/>
      <c r="D10009" s="209"/>
      <c r="E10009" s="209"/>
      <c r="J10009" s="124"/>
    </row>
    <row r="10010" spans="3:10" x14ac:dyDescent="0.2">
      <c r="C10010" s="209"/>
      <c r="D10010" s="209"/>
      <c r="E10010" s="209"/>
      <c r="J10010" s="124"/>
    </row>
    <row r="10011" spans="3:10" x14ac:dyDescent="0.2">
      <c r="C10011" s="209"/>
      <c r="D10011" s="209"/>
      <c r="E10011" s="209"/>
      <c r="J10011" s="124"/>
    </row>
    <row r="10012" spans="3:10" x14ac:dyDescent="0.2">
      <c r="C10012" s="209"/>
      <c r="D10012" s="209"/>
      <c r="E10012" s="209"/>
      <c r="J10012" s="124"/>
    </row>
    <row r="10013" spans="3:10" x14ac:dyDescent="0.2">
      <c r="C10013" s="209"/>
      <c r="D10013" s="209"/>
      <c r="E10013" s="209"/>
      <c r="J10013" s="124"/>
    </row>
    <row r="10014" spans="3:10" x14ac:dyDescent="0.2">
      <c r="C10014" s="209"/>
      <c r="D10014" s="209"/>
      <c r="E10014" s="209"/>
      <c r="J10014" s="124"/>
    </row>
    <row r="10015" spans="3:10" x14ac:dyDescent="0.2">
      <c r="C10015" s="209"/>
      <c r="D10015" s="209"/>
      <c r="E10015" s="209"/>
      <c r="J10015" s="124"/>
    </row>
    <row r="10016" spans="3:10" x14ac:dyDescent="0.2">
      <c r="C10016" s="209"/>
      <c r="D10016" s="209"/>
      <c r="E10016" s="209"/>
      <c r="J10016" s="124"/>
    </row>
    <row r="10017" spans="3:10" x14ac:dyDescent="0.2">
      <c r="C10017" s="209"/>
      <c r="D10017" s="209"/>
      <c r="E10017" s="209"/>
      <c r="J10017" s="124"/>
    </row>
    <row r="10018" spans="3:10" x14ac:dyDescent="0.2">
      <c r="C10018" s="209"/>
      <c r="D10018" s="209"/>
      <c r="E10018" s="209"/>
      <c r="J10018" s="124"/>
    </row>
    <row r="10019" spans="3:10" x14ac:dyDescent="0.2">
      <c r="C10019" s="209"/>
      <c r="D10019" s="209"/>
      <c r="E10019" s="209"/>
      <c r="J10019" s="124"/>
    </row>
    <row r="10020" spans="3:10" x14ac:dyDescent="0.2">
      <c r="C10020" s="209"/>
      <c r="D10020" s="209"/>
      <c r="E10020" s="209"/>
      <c r="J10020" s="124"/>
    </row>
    <row r="10021" spans="3:10" x14ac:dyDescent="0.2">
      <c r="C10021" s="209"/>
      <c r="D10021" s="209"/>
      <c r="E10021" s="209"/>
      <c r="J10021" s="124"/>
    </row>
    <row r="10022" spans="3:10" x14ac:dyDescent="0.2">
      <c r="C10022" s="209"/>
      <c r="D10022" s="209"/>
      <c r="E10022" s="209"/>
      <c r="J10022" s="124"/>
    </row>
    <row r="10023" spans="3:10" x14ac:dyDescent="0.2">
      <c r="C10023" s="209"/>
      <c r="D10023" s="209"/>
      <c r="E10023" s="209"/>
      <c r="J10023" s="124"/>
    </row>
    <row r="10024" spans="3:10" x14ac:dyDescent="0.2">
      <c r="C10024" s="209"/>
      <c r="D10024" s="209"/>
      <c r="E10024" s="209"/>
      <c r="J10024" s="124"/>
    </row>
    <row r="10025" spans="3:10" x14ac:dyDescent="0.2">
      <c r="C10025" s="209"/>
      <c r="D10025" s="209"/>
      <c r="E10025" s="209"/>
      <c r="J10025" s="124"/>
    </row>
    <row r="10026" spans="3:10" x14ac:dyDescent="0.2">
      <c r="C10026" s="209"/>
      <c r="D10026" s="209"/>
      <c r="E10026" s="209"/>
      <c r="J10026" s="124"/>
    </row>
    <row r="10027" spans="3:10" x14ac:dyDescent="0.2">
      <c r="C10027" s="209"/>
      <c r="D10027" s="209"/>
      <c r="E10027" s="209"/>
      <c r="J10027" s="124"/>
    </row>
    <row r="10028" spans="3:10" x14ac:dyDescent="0.2">
      <c r="C10028" s="209"/>
      <c r="D10028" s="209"/>
      <c r="E10028" s="209"/>
      <c r="J10028" s="124"/>
    </row>
    <row r="10029" spans="3:10" x14ac:dyDescent="0.2">
      <c r="C10029" s="209"/>
      <c r="D10029" s="209"/>
      <c r="E10029" s="209"/>
      <c r="J10029" s="124"/>
    </row>
    <row r="10030" spans="3:10" x14ac:dyDescent="0.2">
      <c r="C10030" s="209"/>
      <c r="D10030" s="209"/>
      <c r="E10030" s="209"/>
      <c r="J10030" s="124"/>
    </row>
    <row r="10031" spans="3:10" x14ac:dyDescent="0.2">
      <c r="C10031" s="209"/>
      <c r="D10031" s="209"/>
      <c r="E10031" s="209"/>
      <c r="J10031" s="124"/>
    </row>
    <row r="10032" spans="3:10" x14ac:dyDescent="0.2">
      <c r="C10032" s="209"/>
      <c r="D10032" s="209"/>
      <c r="E10032" s="209"/>
      <c r="J10032" s="124"/>
    </row>
    <row r="10033" spans="3:10" x14ac:dyDescent="0.2">
      <c r="C10033" s="209"/>
      <c r="D10033" s="209"/>
      <c r="E10033" s="209"/>
      <c r="J10033" s="124"/>
    </row>
    <row r="10034" spans="3:10" x14ac:dyDescent="0.2">
      <c r="C10034" s="209"/>
      <c r="D10034" s="209"/>
      <c r="E10034" s="209"/>
      <c r="J10034" s="124"/>
    </row>
    <row r="10035" spans="3:10" x14ac:dyDescent="0.2">
      <c r="C10035" s="209"/>
      <c r="D10035" s="209"/>
      <c r="E10035" s="209"/>
      <c r="J10035" s="124"/>
    </row>
    <row r="10036" spans="3:10" x14ac:dyDescent="0.2">
      <c r="C10036" s="209"/>
      <c r="D10036" s="209"/>
      <c r="E10036" s="209"/>
      <c r="J10036" s="124"/>
    </row>
    <row r="10037" spans="3:10" x14ac:dyDescent="0.2">
      <c r="C10037" s="209"/>
      <c r="D10037" s="209"/>
      <c r="E10037" s="209"/>
      <c r="J10037" s="124"/>
    </row>
    <row r="10038" spans="3:10" x14ac:dyDescent="0.2">
      <c r="C10038" s="209"/>
      <c r="D10038" s="209"/>
      <c r="E10038" s="209"/>
      <c r="J10038" s="124"/>
    </row>
    <row r="10039" spans="3:10" x14ac:dyDescent="0.2">
      <c r="C10039" s="209"/>
      <c r="D10039" s="209"/>
      <c r="E10039" s="209"/>
      <c r="J10039" s="124"/>
    </row>
    <row r="10040" spans="3:10" x14ac:dyDescent="0.2">
      <c r="C10040" s="209"/>
      <c r="D10040" s="209"/>
      <c r="E10040" s="209"/>
      <c r="J10040" s="124"/>
    </row>
    <row r="10041" spans="3:10" x14ac:dyDescent="0.2">
      <c r="C10041" s="209"/>
      <c r="D10041" s="209"/>
      <c r="E10041" s="209"/>
      <c r="J10041" s="124"/>
    </row>
    <row r="10042" spans="3:10" x14ac:dyDescent="0.2">
      <c r="C10042" s="209"/>
      <c r="D10042" s="209"/>
      <c r="E10042" s="209"/>
      <c r="J10042" s="124"/>
    </row>
    <row r="10043" spans="3:10" x14ac:dyDescent="0.2">
      <c r="C10043" s="209"/>
      <c r="D10043" s="209"/>
      <c r="E10043" s="209"/>
      <c r="J10043" s="124"/>
    </row>
    <row r="10044" spans="3:10" x14ac:dyDescent="0.2">
      <c r="C10044" s="209"/>
      <c r="D10044" s="209"/>
      <c r="E10044" s="209"/>
      <c r="J10044" s="124"/>
    </row>
    <row r="10045" spans="3:10" x14ac:dyDescent="0.2">
      <c r="C10045" s="209"/>
      <c r="D10045" s="209"/>
      <c r="E10045" s="209"/>
      <c r="J10045" s="124"/>
    </row>
    <row r="10046" spans="3:10" x14ac:dyDescent="0.2">
      <c r="C10046" s="209"/>
      <c r="D10046" s="209"/>
      <c r="E10046" s="209"/>
      <c r="J10046" s="124"/>
    </row>
    <row r="10047" spans="3:10" x14ac:dyDescent="0.2">
      <c r="C10047" s="209"/>
      <c r="D10047" s="209"/>
      <c r="E10047" s="209"/>
      <c r="J10047" s="124"/>
    </row>
    <row r="10048" spans="3:10" x14ac:dyDescent="0.2">
      <c r="C10048" s="209"/>
      <c r="D10048" s="209"/>
      <c r="E10048" s="209"/>
      <c r="J10048" s="124"/>
    </row>
    <row r="10049" spans="3:10" x14ac:dyDescent="0.2">
      <c r="C10049" s="209"/>
      <c r="D10049" s="209"/>
      <c r="E10049" s="209"/>
      <c r="J10049" s="124"/>
    </row>
    <row r="10050" spans="3:10" x14ac:dyDescent="0.2">
      <c r="C10050" s="209"/>
      <c r="D10050" s="209"/>
      <c r="E10050" s="209"/>
      <c r="J10050" s="124"/>
    </row>
    <row r="10051" spans="3:10" x14ac:dyDescent="0.2">
      <c r="C10051" s="209"/>
      <c r="D10051" s="209"/>
      <c r="E10051" s="209"/>
      <c r="J10051" s="124"/>
    </row>
    <row r="10052" spans="3:10" x14ac:dyDescent="0.2">
      <c r="C10052" s="209"/>
      <c r="D10052" s="209"/>
      <c r="E10052" s="209"/>
      <c r="J10052" s="124"/>
    </row>
    <row r="10053" spans="3:10" x14ac:dyDescent="0.2">
      <c r="C10053" s="209"/>
      <c r="D10053" s="209"/>
      <c r="E10053" s="209"/>
      <c r="J10053" s="124"/>
    </row>
    <row r="10054" spans="3:10" x14ac:dyDescent="0.2">
      <c r="C10054" s="209"/>
      <c r="D10054" s="209"/>
      <c r="E10054" s="209"/>
      <c r="J10054" s="124"/>
    </row>
    <row r="10055" spans="3:10" x14ac:dyDescent="0.2">
      <c r="C10055" s="209"/>
      <c r="D10055" s="209"/>
      <c r="E10055" s="209"/>
      <c r="J10055" s="124"/>
    </row>
    <row r="10056" spans="3:10" x14ac:dyDescent="0.2">
      <c r="C10056" s="209"/>
      <c r="D10056" s="209"/>
      <c r="E10056" s="209"/>
      <c r="J10056" s="124"/>
    </row>
    <row r="10057" spans="3:10" x14ac:dyDescent="0.2">
      <c r="C10057" s="209"/>
      <c r="D10057" s="209"/>
      <c r="E10057" s="209"/>
      <c r="J10057" s="124"/>
    </row>
    <row r="10058" spans="3:10" x14ac:dyDescent="0.2">
      <c r="C10058" s="209"/>
      <c r="D10058" s="209"/>
      <c r="E10058" s="209"/>
      <c r="J10058" s="124"/>
    </row>
    <row r="10059" spans="3:10" x14ac:dyDescent="0.2">
      <c r="C10059" s="209"/>
      <c r="D10059" s="209"/>
      <c r="E10059" s="209"/>
      <c r="J10059" s="124"/>
    </row>
    <row r="10060" spans="3:10" x14ac:dyDescent="0.2">
      <c r="C10060" s="209"/>
      <c r="D10060" s="209"/>
      <c r="E10060" s="209"/>
      <c r="J10060" s="124"/>
    </row>
    <row r="10061" spans="3:10" x14ac:dyDescent="0.2">
      <c r="C10061" s="209"/>
      <c r="D10061" s="209"/>
      <c r="E10061" s="209"/>
      <c r="J10061" s="124"/>
    </row>
    <row r="10062" spans="3:10" x14ac:dyDescent="0.2">
      <c r="C10062" s="209"/>
      <c r="D10062" s="209"/>
      <c r="E10062" s="209"/>
      <c r="J10062" s="124"/>
    </row>
    <row r="10063" spans="3:10" x14ac:dyDescent="0.2">
      <c r="C10063" s="209"/>
      <c r="D10063" s="209"/>
      <c r="E10063" s="209"/>
      <c r="J10063" s="124"/>
    </row>
    <row r="10064" spans="3:10" x14ac:dyDescent="0.2">
      <c r="C10064" s="209"/>
      <c r="D10064" s="209"/>
      <c r="E10064" s="209"/>
      <c r="J10064" s="124"/>
    </row>
    <row r="10065" spans="3:10" x14ac:dyDescent="0.2">
      <c r="C10065" s="209"/>
      <c r="D10065" s="209"/>
      <c r="E10065" s="209"/>
      <c r="J10065" s="124"/>
    </row>
    <row r="10066" spans="3:10" x14ac:dyDescent="0.2">
      <c r="C10066" s="209"/>
      <c r="D10066" s="209"/>
      <c r="E10066" s="209"/>
      <c r="J10066" s="124"/>
    </row>
    <row r="10067" spans="3:10" x14ac:dyDescent="0.2">
      <c r="C10067" s="209"/>
      <c r="D10067" s="209"/>
      <c r="E10067" s="209"/>
      <c r="J10067" s="124"/>
    </row>
    <row r="10068" spans="3:10" x14ac:dyDescent="0.2">
      <c r="C10068" s="209"/>
      <c r="D10068" s="209"/>
      <c r="E10068" s="209"/>
      <c r="J10068" s="124"/>
    </row>
    <row r="10069" spans="3:10" x14ac:dyDescent="0.2">
      <c r="C10069" s="209"/>
      <c r="D10069" s="209"/>
      <c r="E10069" s="209"/>
      <c r="J10069" s="124"/>
    </row>
    <row r="10070" spans="3:10" x14ac:dyDescent="0.2">
      <c r="C10070" s="209"/>
      <c r="D10070" s="209"/>
      <c r="E10070" s="209"/>
      <c r="J10070" s="124"/>
    </row>
    <row r="10071" spans="3:10" x14ac:dyDescent="0.2">
      <c r="C10071" s="209"/>
      <c r="D10071" s="209"/>
      <c r="E10071" s="209"/>
      <c r="J10071" s="124"/>
    </row>
    <row r="10072" spans="3:10" x14ac:dyDescent="0.2">
      <c r="C10072" s="209"/>
      <c r="D10072" s="209"/>
      <c r="E10072" s="209"/>
      <c r="J10072" s="124"/>
    </row>
    <row r="10073" spans="3:10" x14ac:dyDescent="0.2">
      <c r="C10073" s="209"/>
      <c r="D10073" s="209"/>
      <c r="E10073" s="209"/>
      <c r="J10073" s="124"/>
    </row>
    <row r="10074" spans="3:10" x14ac:dyDescent="0.2">
      <c r="C10074" s="209"/>
      <c r="D10074" s="209"/>
      <c r="E10074" s="209"/>
      <c r="J10074" s="124"/>
    </row>
    <row r="10075" spans="3:10" x14ac:dyDescent="0.2">
      <c r="C10075" s="209"/>
      <c r="D10075" s="209"/>
      <c r="E10075" s="209"/>
      <c r="J10075" s="124"/>
    </row>
    <row r="10076" spans="3:10" x14ac:dyDescent="0.2">
      <c r="C10076" s="209"/>
      <c r="D10076" s="209"/>
      <c r="E10076" s="209"/>
      <c r="J10076" s="124"/>
    </row>
    <row r="10077" spans="3:10" x14ac:dyDescent="0.2">
      <c r="C10077" s="209"/>
      <c r="D10077" s="209"/>
      <c r="E10077" s="209"/>
      <c r="J10077" s="124"/>
    </row>
    <row r="10078" spans="3:10" x14ac:dyDescent="0.2">
      <c r="C10078" s="209"/>
      <c r="D10078" s="209"/>
      <c r="E10078" s="209"/>
      <c r="J10078" s="124"/>
    </row>
    <row r="10079" spans="3:10" x14ac:dyDescent="0.2">
      <c r="C10079" s="209"/>
      <c r="D10079" s="209"/>
      <c r="E10079" s="209"/>
      <c r="J10079" s="124"/>
    </row>
    <row r="10080" spans="3:10" x14ac:dyDescent="0.2">
      <c r="C10080" s="209"/>
      <c r="D10080" s="209"/>
      <c r="E10080" s="209"/>
      <c r="J10080" s="124"/>
    </row>
    <row r="10081" spans="3:10" x14ac:dyDescent="0.2">
      <c r="C10081" s="209"/>
      <c r="D10081" s="209"/>
      <c r="E10081" s="209"/>
      <c r="J10081" s="124"/>
    </row>
    <row r="10082" spans="3:10" x14ac:dyDescent="0.2">
      <c r="C10082" s="209"/>
      <c r="D10082" s="209"/>
      <c r="E10082" s="209"/>
      <c r="J10082" s="124"/>
    </row>
    <row r="10083" spans="3:10" x14ac:dyDescent="0.2">
      <c r="C10083" s="209"/>
      <c r="D10083" s="209"/>
      <c r="E10083" s="209"/>
      <c r="J10083" s="124"/>
    </row>
    <row r="10084" spans="3:10" x14ac:dyDescent="0.2">
      <c r="C10084" s="209"/>
      <c r="D10084" s="209"/>
      <c r="E10084" s="209"/>
      <c r="J10084" s="124"/>
    </row>
    <row r="10085" spans="3:10" x14ac:dyDescent="0.2">
      <c r="C10085" s="209"/>
      <c r="D10085" s="209"/>
      <c r="E10085" s="209"/>
      <c r="J10085" s="124"/>
    </row>
    <row r="10086" spans="3:10" x14ac:dyDescent="0.2">
      <c r="C10086" s="209"/>
      <c r="D10086" s="209"/>
      <c r="E10086" s="209"/>
      <c r="J10086" s="124"/>
    </row>
    <row r="10087" spans="3:10" x14ac:dyDescent="0.2">
      <c r="C10087" s="209"/>
      <c r="D10087" s="209"/>
      <c r="E10087" s="209"/>
      <c r="J10087" s="124"/>
    </row>
    <row r="10088" spans="3:10" x14ac:dyDescent="0.2">
      <c r="C10088" s="209"/>
      <c r="D10088" s="209"/>
      <c r="E10088" s="209"/>
      <c r="J10088" s="124"/>
    </row>
    <row r="10089" spans="3:10" x14ac:dyDescent="0.2">
      <c r="C10089" s="209"/>
      <c r="D10089" s="209"/>
      <c r="E10089" s="209"/>
      <c r="J10089" s="124"/>
    </row>
    <row r="10090" spans="3:10" x14ac:dyDescent="0.2">
      <c r="C10090" s="209"/>
      <c r="D10090" s="209"/>
      <c r="E10090" s="209"/>
      <c r="J10090" s="124"/>
    </row>
    <row r="10091" spans="3:10" x14ac:dyDescent="0.2">
      <c r="C10091" s="209"/>
      <c r="D10091" s="209"/>
      <c r="E10091" s="209"/>
      <c r="J10091" s="124"/>
    </row>
    <row r="10092" spans="3:10" x14ac:dyDescent="0.2">
      <c r="C10092" s="209"/>
      <c r="D10092" s="209"/>
      <c r="E10092" s="209"/>
      <c r="J10092" s="124"/>
    </row>
    <row r="10093" spans="3:10" x14ac:dyDescent="0.2">
      <c r="C10093" s="209"/>
      <c r="D10093" s="209"/>
      <c r="E10093" s="209"/>
      <c r="J10093" s="124"/>
    </row>
    <row r="10094" spans="3:10" x14ac:dyDescent="0.2">
      <c r="C10094" s="209"/>
      <c r="D10094" s="209"/>
      <c r="E10094" s="209"/>
      <c r="J10094" s="124"/>
    </row>
    <row r="10095" spans="3:10" x14ac:dyDescent="0.2">
      <c r="C10095" s="209"/>
      <c r="D10095" s="209"/>
      <c r="E10095" s="209"/>
      <c r="J10095" s="124"/>
    </row>
    <row r="10096" spans="3:10" x14ac:dyDescent="0.2">
      <c r="C10096" s="209"/>
      <c r="D10096" s="209"/>
      <c r="E10096" s="209"/>
      <c r="J10096" s="124"/>
    </row>
    <row r="10097" spans="3:10" x14ac:dyDescent="0.2">
      <c r="C10097" s="209"/>
      <c r="D10097" s="209"/>
      <c r="E10097" s="209"/>
      <c r="J10097" s="124"/>
    </row>
    <row r="10098" spans="3:10" x14ac:dyDescent="0.2">
      <c r="C10098" s="209"/>
      <c r="D10098" s="209"/>
      <c r="E10098" s="209"/>
      <c r="J10098" s="124"/>
    </row>
    <row r="10099" spans="3:10" x14ac:dyDescent="0.2">
      <c r="C10099" s="209"/>
      <c r="D10099" s="209"/>
      <c r="E10099" s="209"/>
      <c r="J10099" s="124"/>
    </row>
    <row r="10100" spans="3:10" x14ac:dyDescent="0.2">
      <c r="C10100" s="209"/>
      <c r="D10100" s="209"/>
      <c r="E10100" s="209"/>
      <c r="J10100" s="124"/>
    </row>
    <row r="10101" spans="3:10" x14ac:dyDescent="0.2">
      <c r="C10101" s="209"/>
      <c r="D10101" s="209"/>
      <c r="E10101" s="209"/>
      <c r="J10101" s="124"/>
    </row>
    <row r="10102" spans="3:10" x14ac:dyDescent="0.2">
      <c r="C10102" s="209"/>
      <c r="D10102" s="209"/>
      <c r="E10102" s="209"/>
      <c r="J10102" s="124"/>
    </row>
    <row r="10103" spans="3:10" x14ac:dyDescent="0.2">
      <c r="C10103" s="209"/>
      <c r="D10103" s="209"/>
      <c r="E10103" s="209"/>
      <c r="J10103" s="124"/>
    </row>
    <row r="10104" spans="3:10" x14ac:dyDescent="0.2">
      <c r="C10104" s="209"/>
      <c r="D10104" s="209"/>
      <c r="E10104" s="209"/>
      <c r="J10104" s="124"/>
    </row>
    <row r="10105" spans="3:10" x14ac:dyDescent="0.2">
      <c r="C10105" s="209"/>
      <c r="D10105" s="209"/>
      <c r="E10105" s="209"/>
      <c r="J10105" s="124"/>
    </row>
    <row r="10106" spans="3:10" x14ac:dyDescent="0.2">
      <c r="C10106" s="209"/>
      <c r="D10106" s="209"/>
      <c r="E10106" s="209"/>
      <c r="J10106" s="124"/>
    </row>
    <row r="10107" spans="3:10" x14ac:dyDescent="0.2">
      <c r="C10107" s="209"/>
      <c r="D10107" s="209"/>
      <c r="E10107" s="209"/>
      <c r="J10107" s="124"/>
    </row>
    <row r="10108" spans="3:10" x14ac:dyDescent="0.2">
      <c r="C10108" s="209"/>
      <c r="D10108" s="209"/>
      <c r="E10108" s="209"/>
      <c r="J10108" s="124"/>
    </row>
    <row r="10109" spans="3:10" x14ac:dyDescent="0.2">
      <c r="C10109" s="209"/>
      <c r="D10109" s="209"/>
      <c r="E10109" s="209"/>
      <c r="J10109" s="124"/>
    </row>
    <row r="10110" spans="3:10" x14ac:dyDescent="0.2">
      <c r="C10110" s="209"/>
      <c r="D10110" s="209"/>
      <c r="E10110" s="209"/>
      <c r="J10110" s="124"/>
    </row>
    <row r="10111" spans="3:10" x14ac:dyDescent="0.2">
      <c r="C10111" s="209"/>
      <c r="D10111" s="209"/>
      <c r="E10111" s="209"/>
      <c r="J10111" s="124"/>
    </row>
    <row r="10112" spans="3:10" x14ac:dyDescent="0.2">
      <c r="C10112" s="209"/>
      <c r="D10112" s="209"/>
      <c r="E10112" s="209"/>
      <c r="J10112" s="124"/>
    </row>
    <row r="10113" spans="3:10" x14ac:dyDescent="0.2">
      <c r="C10113" s="209"/>
      <c r="D10113" s="209"/>
      <c r="E10113" s="209"/>
      <c r="J10113" s="124"/>
    </row>
    <row r="10114" spans="3:10" x14ac:dyDescent="0.2">
      <c r="C10114" s="209"/>
      <c r="D10114" s="209"/>
      <c r="E10114" s="209"/>
      <c r="J10114" s="124"/>
    </row>
    <row r="10115" spans="3:10" x14ac:dyDescent="0.2">
      <c r="C10115" s="209"/>
      <c r="D10115" s="209"/>
      <c r="E10115" s="209"/>
      <c r="J10115" s="124"/>
    </row>
    <row r="10116" spans="3:10" x14ac:dyDescent="0.2">
      <c r="C10116" s="209"/>
      <c r="D10116" s="209"/>
      <c r="E10116" s="209"/>
      <c r="J10116" s="124"/>
    </row>
    <row r="10117" spans="3:10" x14ac:dyDescent="0.2">
      <c r="C10117" s="209"/>
      <c r="D10117" s="209"/>
      <c r="E10117" s="209"/>
      <c r="J10117" s="124"/>
    </row>
    <row r="10118" spans="3:10" x14ac:dyDescent="0.2">
      <c r="C10118" s="209"/>
      <c r="D10118" s="209"/>
      <c r="E10118" s="209"/>
      <c r="J10118" s="124"/>
    </row>
    <row r="10119" spans="3:10" x14ac:dyDescent="0.2">
      <c r="C10119" s="209"/>
      <c r="D10119" s="209"/>
      <c r="E10119" s="209"/>
      <c r="J10119" s="124"/>
    </row>
    <row r="10120" spans="3:10" x14ac:dyDescent="0.2">
      <c r="C10120" s="209"/>
      <c r="D10120" s="209"/>
      <c r="E10120" s="209"/>
      <c r="J10120" s="124"/>
    </row>
    <row r="10121" spans="3:10" x14ac:dyDescent="0.2">
      <c r="C10121" s="209"/>
      <c r="D10121" s="209"/>
      <c r="E10121" s="209"/>
      <c r="J10121" s="124"/>
    </row>
    <row r="10122" spans="3:10" x14ac:dyDescent="0.2">
      <c r="C10122" s="209"/>
      <c r="D10122" s="209"/>
      <c r="E10122" s="209"/>
      <c r="J10122" s="124"/>
    </row>
    <row r="10123" spans="3:10" x14ac:dyDescent="0.2">
      <c r="C10123" s="209"/>
      <c r="D10123" s="209"/>
      <c r="E10123" s="209"/>
      <c r="J10123" s="124"/>
    </row>
    <row r="10124" spans="3:10" x14ac:dyDescent="0.2">
      <c r="C10124" s="209"/>
      <c r="D10124" s="209"/>
      <c r="E10124" s="209"/>
      <c r="J10124" s="124"/>
    </row>
    <row r="10125" spans="3:10" x14ac:dyDescent="0.2">
      <c r="C10125" s="209"/>
      <c r="D10125" s="209"/>
      <c r="E10125" s="209"/>
      <c r="J10125" s="124"/>
    </row>
    <row r="10126" spans="3:10" x14ac:dyDescent="0.2">
      <c r="C10126" s="209"/>
      <c r="D10126" s="209"/>
      <c r="E10126" s="209"/>
      <c r="J10126" s="124"/>
    </row>
    <row r="10127" spans="3:10" x14ac:dyDescent="0.2">
      <c r="C10127" s="209"/>
      <c r="D10127" s="209"/>
      <c r="E10127" s="209"/>
      <c r="J10127" s="124"/>
    </row>
    <row r="10128" spans="3:10" x14ac:dyDescent="0.2">
      <c r="C10128" s="209"/>
      <c r="D10128" s="209"/>
      <c r="E10128" s="209"/>
      <c r="J10128" s="124"/>
    </row>
    <row r="10129" spans="3:10" x14ac:dyDescent="0.2">
      <c r="C10129" s="209"/>
      <c r="D10129" s="209"/>
      <c r="E10129" s="209"/>
      <c r="J10129" s="124"/>
    </row>
    <row r="10130" spans="3:10" x14ac:dyDescent="0.2">
      <c r="C10130" s="209"/>
      <c r="D10130" s="209"/>
      <c r="E10130" s="209"/>
      <c r="J10130" s="124"/>
    </row>
    <row r="10131" spans="3:10" x14ac:dyDescent="0.2">
      <c r="C10131" s="209"/>
      <c r="D10131" s="209"/>
      <c r="E10131" s="209"/>
      <c r="J10131" s="124"/>
    </row>
    <row r="10132" spans="3:10" x14ac:dyDescent="0.2">
      <c r="C10132" s="209"/>
      <c r="D10132" s="209"/>
      <c r="E10132" s="209"/>
      <c r="J10132" s="124"/>
    </row>
    <row r="10133" spans="3:10" x14ac:dyDescent="0.2">
      <c r="C10133" s="209"/>
      <c r="D10133" s="209"/>
      <c r="E10133" s="209"/>
      <c r="J10133" s="124"/>
    </row>
    <row r="10134" spans="3:10" x14ac:dyDescent="0.2">
      <c r="C10134" s="209"/>
      <c r="D10134" s="209"/>
      <c r="E10134" s="209"/>
      <c r="J10134" s="124"/>
    </row>
    <row r="10135" spans="3:10" x14ac:dyDescent="0.2">
      <c r="C10135" s="209"/>
      <c r="D10135" s="209"/>
      <c r="E10135" s="209"/>
      <c r="J10135" s="124"/>
    </row>
    <row r="10136" spans="3:10" x14ac:dyDescent="0.2">
      <c r="C10136" s="209"/>
      <c r="D10136" s="209"/>
      <c r="E10136" s="209"/>
      <c r="J10136" s="124"/>
    </row>
    <row r="10137" spans="3:10" x14ac:dyDescent="0.2">
      <c r="C10137" s="209"/>
      <c r="D10137" s="209"/>
      <c r="E10137" s="209"/>
      <c r="J10137" s="124"/>
    </row>
    <row r="10138" spans="3:10" x14ac:dyDescent="0.2">
      <c r="C10138" s="209"/>
      <c r="D10138" s="209"/>
      <c r="E10138" s="209"/>
      <c r="J10138" s="124"/>
    </row>
    <row r="10139" spans="3:10" x14ac:dyDescent="0.2">
      <c r="C10139" s="209"/>
      <c r="D10139" s="209"/>
      <c r="E10139" s="209"/>
      <c r="J10139" s="124"/>
    </row>
    <row r="10140" spans="3:10" x14ac:dyDescent="0.2">
      <c r="C10140" s="209"/>
      <c r="D10140" s="209"/>
      <c r="E10140" s="209"/>
      <c r="J10140" s="124"/>
    </row>
    <row r="10141" spans="3:10" x14ac:dyDescent="0.2">
      <c r="C10141" s="209"/>
      <c r="D10141" s="209"/>
      <c r="E10141" s="209"/>
      <c r="J10141" s="124"/>
    </row>
    <row r="10142" spans="3:10" x14ac:dyDescent="0.2">
      <c r="C10142" s="209"/>
      <c r="D10142" s="209"/>
      <c r="E10142" s="209"/>
      <c r="J10142" s="124"/>
    </row>
    <row r="10143" spans="3:10" x14ac:dyDescent="0.2">
      <c r="C10143" s="209"/>
      <c r="D10143" s="209"/>
      <c r="E10143" s="209"/>
      <c r="J10143" s="124"/>
    </row>
    <row r="10144" spans="3:10" x14ac:dyDescent="0.2">
      <c r="C10144" s="209"/>
      <c r="D10144" s="209"/>
      <c r="E10144" s="209"/>
      <c r="J10144" s="124"/>
    </row>
    <row r="10145" spans="3:10" x14ac:dyDescent="0.2">
      <c r="C10145" s="209"/>
      <c r="D10145" s="209"/>
      <c r="E10145" s="209"/>
      <c r="J10145" s="124"/>
    </row>
    <row r="10146" spans="3:10" x14ac:dyDescent="0.2">
      <c r="C10146" s="209"/>
      <c r="D10146" s="209"/>
      <c r="E10146" s="209"/>
      <c r="J10146" s="124"/>
    </row>
    <row r="10147" spans="3:10" x14ac:dyDescent="0.2">
      <c r="C10147" s="209"/>
      <c r="D10147" s="209"/>
      <c r="E10147" s="209"/>
      <c r="J10147" s="124"/>
    </row>
    <row r="10148" spans="3:10" x14ac:dyDescent="0.2">
      <c r="C10148" s="209"/>
      <c r="D10148" s="209"/>
      <c r="E10148" s="209"/>
      <c r="J10148" s="124"/>
    </row>
    <row r="10149" spans="3:10" x14ac:dyDescent="0.2">
      <c r="C10149" s="209"/>
      <c r="D10149" s="209"/>
      <c r="E10149" s="209"/>
      <c r="J10149" s="124"/>
    </row>
    <row r="10150" spans="3:10" x14ac:dyDescent="0.2">
      <c r="C10150" s="209"/>
      <c r="D10150" s="209"/>
      <c r="E10150" s="209"/>
      <c r="J10150" s="124"/>
    </row>
    <row r="10151" spans="3:10" x14ac:dyDescent="0.2">
      <c r="C10151" s="209"/>
      <c r="D10151" s="209"/>
      <c r="E10151" s="209"/>
      <c r="J10151" s="124"/>
    </row>
    <row r="10152" spans="3:10" x14ac:dyDescent="0.2">
      <c r="C10152" s="209"/>
      <c r="D10152" s="209"/>
      <c r="E10152" s="209"/>
      <c r="J10152" s="124"/>
    </row>
    <row r="10153" spans="3:10" x14ac:dyDescent="0.2">
      <c r="C10153" s="209"/>
      <c r="D10153" s="209"/>
      <c r="E10153" s="209"/>
      <c r="J10153" s="124"/>
    </row>
    <row r="10154" spans="3:10" x14ac:dyDescent="0.2">
      <c r="C10154" s="209"/>
      <c r="D10154" s="209"/>
      <c r="E10154" s="209"/>
      <c r="J10154" s="124"/>
    </row>
    <row r="10155" spans="3:10" x14ac:dyDescent="0.2">
      <c r="C10155" s="209"/>
      <c r="D10155" s="209"/>
      <c r="E10155" s="209"/>
      <c r="J10155" s="124"/>
    </row>
    <row r="10156" spans="3:10" x14ac:dyDescent="0.2">
      <c r="C10156" s="209"/>
      <c r="D10156" s="209"/>
      <c r="E10156" s="209"/>
      <c r="J10156" s="124"/>
    </row>
    <row r="10157" spans="3:10" x14ac:dyDescent="0.2">
      <c r="C10157" s="209"/>
      <c r="D10157" s="209"/>
      <c r="E10157" s="209"/>
      <c r="J10157" s="124"/>
    </row>
    <row r="10158" spans="3:10" x14ac:dyDescent="0.2">
      <c r="C10158" s="209"/>
      <c r="D10158" s="209"/>
      <c r="E10158" s="209"/>
      <c r="J10158" s="124"/>
    </row>
    <row r="10159" spans="3:10" x14ac:dyDescent="0.2">
      <c r="C10159" s="209"/>
      <c r="D10159" s="209"/>
      <c r="E10159" s="209"/>
      <c r="J10159" s="124"/>
    </row>
    <row r="10160" spans="3:10" x14ac:dyDescent="0.2">
      <c r="C10160" s="209"/>
      <c r="D10160" s="209"/>
      <c r="E10160" s="209"/>
      <c r="J10160" s="124"/>
    </row>
    <row r="10161" spans="3:10" x14ac:dyDescent="0.2">
      <c r="C10161" s="209"/>
      <c r="D10161" s="209"/>
      <c r="E10161" s="209"/>
      <c r="J10161" s="124"/>
    </row>
    <row r="10162" spans="3:10" x14ac:dyDescent="0.2">
      <c r="C10162" s="209"/>
      <c r="D10162" s="209"/>
      <c r="E10162" s="209"/>
      <c r="J10162" s="124"/>
    </row>
    <row r="10163" spans="3:10" x14ac:dyDescent="0.2">
      <c r="C10163" s="209"/>
      <c r="D10163" s="209"/>
      <c r="E10163" s="209"/>
      <c r="J10163" s="124"/>
    </row>
    <row r="10164" spans="3:10" x14ac:dyDescent="0.2">
      <c r="C10164" s="209"/>
      <c r="D10164" s="209"/>
      <c r="E10164" s="209"/>
      <c r="J10164" s="124"/>
    </row>
    <row r="10165" spans="3:10" x14ac:dyDescent="0.2">
      <c r="C10165" s="209"/>
      <c r="D10165" s="209"/>
      <c r="E10165" s="209"/>
      <c r="J10165" s="124"/>
    </row>
    <row r="10166" spans="3:10" x14ac:dyDescent="0.2">
      <c r="C10166" s="209"/>
      <c r="D10166" s="209"/>
      <c r="E10166" s="209"/>
      <c r="J10166" s="124"/>
    </row>
    <row r="10167" spans="3:10" x14ac:dyDescent="0.2">
      <c r="C10167" s="209"/>
      <c r="D10167" s="209"/>
      <c r="E10167" s="209"/>
      <c r="J10167" s="124"/>
    </row>
    <row r="10168" spans="3:10" x14ac:dyDescent="0.2">
      <c r="C10168" s="209"/>
      <c r="D10168" s="209"/>
      <c r="E10168" s="209"/>
      <c r="J10168" s="124"/>
    </row>
    <row r="10169" spans="3:10" x14ac:dyDescent="0.2">
      <c r="C10169" s="209"/>
      <c r="D10169" s="209"/>
      <c r="E10169" s="209"/>
      <c r="J10169" s="124"/>
    </row>
    <row r="10170" spans="3:10" x14ac:dyDescent="0.2">
      <c r="C10170" s="209"/>
      <c r="D10170" s="209"/>
      <c r="E10170" s="209"/>
      <c r="J10170" s="124"/>
    </row>
    <row r="10171" spans="3:10" x14ac:dyDescent="0.2">
      <c r="C10171" s="209"/>
      <c r="D10171" s="209"/>
      <c r="E10171" s="209"/>
      <c r="J10171" s="124"/>
    </row>
    <row r="10172" spans="3:10" x14ac:dyDescent="0.2">
      <c r="C10172" s="209"/>
      <c r="D10172" s="209"/>
      <c r="E10172" s="209"/>
      <c r="J10172" s="124"/>
    </row>
    <row r="10173" spans="3:10" x14ac:dyDescent="0.2">
      <c r="C10173" s="209"/>
      <c r="D10173" s="209"/>
      <c r="E10173" s="209"/>
      <c r="J10173" s="124"/>
    </row>
    <row r="10174" spans="3:10" x14ac:dyDescent="0.2">
      <c r="C10174" s="209"/>
      <c r="D10174" s="209"/>
      <c r="E10174" s="209"/>
      <c r="J10174" s="124"/>
    </row>
    <row r="10175" spans="3:10" x14ac:dyDescent="0.2">
      <c r="C10175" s="209"/>
      <c r="D10175" s="209"/>
      <c r="E10175" s="209"/>
      <c r="J10175" s="124"/>
    </row>
    <row r="10176" spans="3:10" x14ac:dyDescent="0.2">
      <c r="C10176" s="209"/>
      <c r="D10176" s="209"/>
      <c r="E10176" s="209"/>
      <c r="J10176" s="124"/>
    </row>
    <row r="10177" spans="3:10" x14ac:dyDescent="0.2">
      <c r="C10177" s="209"/>
      <c r="D10177" s="209"/>
      <c r="E10177" s="209"/>
      <c r="J10177" s="124"/>
    </row>
    <row r="10178" spans="3:10" x14ac:dyDescent="0.2">
      <c r="C10178" s="209"/>
      <c r="D10178" s="209"/>
      <c r="E10178" s="209"/>
      <c r="J10178" s="124"/>
    </row>
    <row r="10179" spans="3:10" x14ac:dyDescent="0.2">
      <c r="C10179" s="209"/>
      <c r="D10179" s="209"/>
      <c r="E10179" s="209"/>
      <c r="J10179" s="124"/>
    </row>
    <row r="10180" spans="3:10" x14ac:dyDescent="0.2">
      <c r="C10180" s="209"/>
      <c r="D10180" s="209"/>
      <c r="E10180" s="209"/>
      <c r="J10180" s="124"/>
    </row>
    <row r="10181" spans="3:10" x14ac:dyDescent="0.2">
      <c r="C10181" s="209"/>
      <c r="D10181" s="209"/>
      <c r="E10181" s="209"/>
      <c r="J10181" s="124"/>
    </row>
    <row r="10182" spans="3:10" x14ac:dyDescent="0.2">
      <c r="C10182" s="209"/>
      <c r="D10182" s="209"/>
      <c r="E10182" s="209"/>
      <c r="J10182" s="124"/>
    </row>
    <row r="10183" spans="3:10" x14ac:dyDescent="0.2">
      <c r="C10183" s="209"/>
      <c r="D10183" s="209"/>
      <c r="E10183" s="209"/>
      <c r="J10183" s="124"/>
    </row>
    <row r="10184" spans="3:10" x14ac:dyDescent="0.2">
      <c r="C10184" s="209"/>
      <c r="D10184" s="209"/>
      <c r="E10184" s="209"/>
      <c r="J10184" s="124"/>
    </row>
    <row r="10185" spans="3:10" x14ac:dyDescent="0.2">
      <c r="C10185" s="209"/>
      <c r="D10185" s="209"/>
      <c r="E10185" s="209"/>
      <c r="J10185" s="124"/>
    </row>
    <row r="10186" spans="3:10" x14ac:dyDescent="0.2">
      <c r="C10186" s="209"/>
      <c r="D10186" s="209"/>
      <c r="E10186" s="209"/>
      <c r="J10186" s="124"/>
    </row>
    <row r="10187" spans="3:10" x14ac:dyDescent="0.2">
      <c r="C10187" s="209"/>
      <c r="D10187" s="209"/>
      <c r="E10187" s="209"/>
      <c r="J10187" s="124"/>
    </row>
    <row r="10188" spans="3:10" x14ac:dyDescent="0.2">
      <c r="C10188" s="209"/>
      <c r="D10188" s="209"/>
      <c r="E10188" s="209"/>
      <c r="J10188" s="124"/>
    </row>
    <row r="10189" spans="3:10" x14ac:dyDescent="0.2">
      <c r="C10189" s="209"/>
      <c r="D10189" s="209"/>
      <c r="E10189" s="209"/>
      <c r="J10189" s="124"/>
    </row>
    <row r="10190" spans="3:10" x14ac:dyDescent="0.2">
      <c r="C10190" s="209"/>
      <c r="D10190" s="209"/>
      <c r="E10190" s="209"/>
      <c r="J10190" s="124"/>
    </row>
    <row r="10191" spans="3:10" x14ac:dyDescent="0.2">
      <c r="C10191" s="209"/>
      <c r="D10191" s="209"/>
      <c r="E10191" s="209"/>
      <c r="J10191" s="124"/>
    </row>
    <row r="10192" spans="3:10" x14ac:dyDescent="0.2">
      <c r="C10192" s="209"/>
      <c r="D10192" s="209"/>
      <c r="E10192" s="209"/>
      <c r="J10192" s="124"/>
    </row>
    <row r="10193" spans="3:10" x14ac:dyDescent="0.2">
      <c r="C10193" s="209"/>
      <c r="D10193" s="209"/>
      <c r="E10193" s="209"/>
      <c r="J10193" s="124"/>
    </row>
    <row r="10194" spans="3:10" x14ac:dyDescent="0.2">
      <c r="C10194" s="209"/>
      <c r="D10194" s="209"/>
      <c r="E10194" s="209"/>
      <c r="J10194" s="124"/>
    </row>
    <row r="10195" spans="3:10" x14ac:dyDescent="0.2">
      <c r="C10195" s="209"/>
      <c r="D10195" s="209"/>
      <c r="E10195" s="209"/>
      <c r="J10195" s="124"/>
    </row>
    <row r="10196" spans="3:10" x14ac:dyDescent="0.2">
      <c r="C10196" s="209"/>
      <c r="D10196" s="209"/>
      <c r="E10196" s="209"/>
      <c r="J10196" s="124"/>
    </row>
    <row r="10197" spans="3:10" x14ac:dyDescent="0.2">
      <c r="C10197" s="209"/>
      <c r="D10197" s="209"/>
      <c r="E10197" s="209"/>
      <c r="J10197" s="124"/>
    </row>
    <row r="10198" spans="3:10" x14ac:dyDescent="0.2">
      <c r="C10198" s="209"/>
      <c r="D10198" s="209"/>
      <c r="E10198" s="209"/>
      <c r="J10198" s="124"/>
    </row>
    <row r="10199" spans="3:10" x14ac:dyDescent="0.2">
      <c r="C10199" s="209"/>
      <c r="D10199" s="209"/>
      <c r="E10199" s="209"/>
      <c r="J10199" s="124"/>
    </row>
    <row r="10200" spans="3:10" x14ac:dyDescent="0.2">
      <c r="C10200" s="209"/>
      <c r="D10200" s="209"/>
      <c r="E10200" s="209"/>
      <c r="J10200" s="124"/>
    </row>
    <row r="10201" spans="3:10" x14ac:dyDescent="0.2">
      <c r="C10201" s="209"/>
      <c r="D10201" s="209"/>
      <c r="E10201" s="209"/>
      <c r="J10201" s="124"/>
    </row>
    <row r="10202" spans="3:10" x14ac:dyDescent="0.2">
      <c r="C10202" s="209"/>
      <c r="D10202" s="209"/>
      <c r="E10202" s="209"/>
      <c r="J10202" s="124"/>
    </row>
    <row r="10203" spans="3:10" x14ac:dyDescent="0.2">
      <c r="C10203" s="209"/>
      <c r="D10203" s="209"/>
      <c r="E10203" s="209"/>
      <c r="J10203" s="124"/>
    </row>
    <row r="10204" spans="3:10" x14ac:dyDescent="0.2">
      <c r="C10204" s="209"/>
      <c r="D10204" s="209"/>
      <c r="E10204" s="209"/>
      <c r="J10204" s="124"/>
    </row>
    <row r="10205" spans="3:10" x14ac:dyDescent="0.2">
      <c r="C10205" s="209"/>
      <c r="D10205" s="209"/>
      <c r="E10205" s="209"/>
      <c r="J10205" s="124"/>
    </row>
    <row r="10206" spans="3:10" x14ac:dyDescent="0.2">
      <c r="C10206" s="209"/>
      <c r="D10206" s="209"/>
      <c r="E10206" s="209"/>
      <c r="J10206" s="124"/>
    </row>
    <row r="10207" spans="3:10" x14ac:dyDescent="0.2">
      <c r="C10207" s="209"/>
      <c r="D10207" s="209"/>
      <c r="E10207" s="209"/>
      <c r="J10207" s="124"/>
    </row>
    <row r="10208" spans="3:10" x14ac:dyDescent="0.2">
      <c r="C10208" s="209"/>
      <c r="D10208" s="209"/>
      <c r="E10208" s="209"/>
      <c r="J10208" s="124"/>
    </row>
    <row r="10209" spans="3:10" x14ac:dyDescent="0.2">
      <c r="C10209" s="209"/>
      <c r="D10209" s="209"/>
      <c r="E10209" s="209"/>
      <c r="J10209" s="124"/>
    </row>
    <row r="10210" spans="3:10" x14ac:dyDescent="0.2">
      <c r="C10210" s="209"/>
      <c r="D10210" s="209"/>
      <c r="E10210" s="209"/>
      <c r="J10210" s="124"/>
    </row>
    <row r="10211" spans="3:10" x14ac:dyDescent="0.2">
      <c r="C10211" s="209"/>
      <c r="D10211" s="209"/>
      <c r="E10211" s="209"/>
      <c r="J10211" s="124"/>
    </row>
    <row r="10212" spans="3:10" x14ac:dyDescent="0.2">
      <c r="C10212" s="209"/>
      <c r="D10212" s="209"/>
      <c r="E10212" s="209"/>
      <c r="J10212" s="124"/>
    </row>
    <row r="10213" spans="3:10" x14ac:dyDescent="0.2">
      <c r="C10213" s="209"/>
      <c r="D10213" s="209"/>
      <c r="E10213" s="209"/>
      <c r="J10213" s="124"/>
    </row>
    <row r="10214" spans="3:10" x14ac:dyDescent="0.2">
      <c r="C10214" s="209"/>
      <c r="D10214" s="209"/>
      <c r="E10214" s="209"/>
      <c r="J10214" s="124"/>
    </row>
    <row r="10215" spans="3:10" x14ac:dyDescent="0.2">
      <c r="C10215" s="209"/>
      <c r="D10215" s="209"/>
      <c r="E10215" s="209"/>
      <c r="J10215" s="124"/>
    </row>
    <row r="10216" spans="3:10" x14ac:dyDescent="0.2">
      <c r="C10216" s="209"/>
      <c r="D10216" s="209"/>
      <c r="E10216" s="209"/>
      <c r="J10216" s="124"/>
    </row>
    <row r="10217" spans="3:10" x14ac:dyDescent="0.2">
      <c r="C10217" s="209"/>
      <c r="D10217" s="209"/>
      <c r="E10217" s="209"/>
      <c r="J10217" s="124"/>
    </row>
    <row r="10218" spans="3:10" x14ac:dyDescent="0.2">
      <c r="C10218" s="209"/>
      <c r="D10218" s="209"/>
      <c r="E10218" s="209"/>
      <c r="J10218" s="124"/>
    </row>
    <row r="10219" spans="3:10" x14ac:dyDescent="0.2">
      <c r="C10219" s="209"/>
      <c r="D10219" s="209"/>
      <c r="E10219" s="209"/>
      <c r="J10219" s="124"/>
    </row>
    <row r="10220" spans="3:10" x14ac:dyDescent="0.2">
      <c r="C10220" s="209"/>
      <c r="D10220" s="209"/>
      <c r="E10220" s="209"/>
      <c r="J10220" s="124"/>
    </row>
    <row r="10221" spans="3:10" x14ac:dyDescent="0.2">
      <c r="C10221" s="209"/>
      <c r="D10221" s="209"/>
      <c r="E10221" s="209"/>
      <c r="J10221" s="124"/>
    </row>
    <row r="10222" spans="3:10" x14ac:dyDescent="0.2">
      <c r="C10222" s="209"/>
      <c r="D10222" s="209"/>
      <c r="E10222" s="209"/>
      <c r="J10222" s="124"/>
    </row>
    <row r="10223" spans="3:10" x14ac:dyDescent="0.2">
      <c r="C10223" s="209"/>
      <c r="D10223" s="209"/>
      <c r="E10223" s="209"/>
      <c r="J10223" s="124"/>
    </row>
    <row r="10224" spans="3:10" x14ac:dyDescent="0.2">
      <c r="C10224" s="209"/>
      <c r="D10224" s="209"/>
      <c r="E10224" s="209"/>
      <c r="J10224" s="124"/>
    </row>
    <row r="10225" spans="3:10" x14ac:dyDescent="0.2">
      <c r="C10225" s="209"/>
      <c r="D10225" s="209"/>
      <c r="E10225" s="209"/>
      <c r="J10225" s="124"/>
    </row>
    <row r="10226" spans="3:10" x14ac:dyDescent="0.2">
      <c r="C10226" s="209"/>
      <c r="D10226" s="209"/>
      <c r="E10226" s="209"/>
      <c r="J10226" s="124"/>
    </row>
    <row r="10227" spans="3:10" x14ac:dyDescent="0.2">
      <c r="C10227" s="209"/>
      <c r="D10227" s="209"/>
      <c r="E10227" s="209"/>
      <c r="J10227" s="124"/>
    </row>
    <row r="10228" spans="3:10" x14ac:dyDescent="0.2">
      <c r="C10228" s="209"/>
      <c r="D10228" s="209"/>
      <c r="E10228" s="209"/>
      <c r="J10228" s="124"/>
    </row>
    <row r="10229" spans="3:10" x14ac:dyDescent="0.2">
      <c r="C10229" s="209"/>
      <c r="D10229" s="209"/>
      <c r="E10229" s="209"/>
      <c r="J10229" s="124"/>
    </row>
    <row r="10230" spans="3:10" x14ac:dyDescent="0.2">
      <c r="C10230" s="209"/>
      <c r="D10230" s="209"/>
      <c r="E10230" s="209"/>
      <c r="J10230" s="124"/>
    </row>
    <row r="10231" spans="3:10" x14ac:dyDescent="0.2">
      <c r="C10231" s="209"/>
      <c r="D10231" s="209"/>
      <c r="E10231" s="209"/>
      <c r="J10231" s="124"/>
    </row>
    <row r="10232" spans="3:10" x14ac:dyDescent="0.2">
      <c r="C10232" s="209"/>
      <c r="D10232" s="209"/>
      <c r="E10232" s="209"/>
      <c r="J10232" s="124"/>
    </row>
    <row r="10233" spans="3:10" x14ac:dyDescent="0.2">
      <c r="C10233" s="209"/>
      <c r="D10233" s="209"/>
      <c r="E10233" s="209"/>
      <c r="J10233" s="124"/>
    </row>
    <row r="10234" spans="3:10" x14ac:dyDescent="0.2">
      <c r="C10234" s="209"/>
      <c r="D10234" s="209"/>
      <c r="E10234" s="209"/>
      <c r="J10234" s="124"/>
    </row>
    <row r="10235" spans="3:10" x14ac:dyDescent="0.2">
      <c r="C10235" s="209"/>
      <c r="D10235" s="209"/>
      <c r="E10235" s="209"/>
      <c r="J10235" s="124"/>
    </row>
    <row r="10236" spans="3:10" x14ac:dyDescent="0.2">
      <c r="C10236" s="209"/>
      <c r="D10236" s="209"/>
      <c r="E10236" s="209"/>
      <c r="J10236" s="124"/>
    </row>
    <row r="10237" spans="3:10" x14ac:dyDescent="0.2">
      <c r="C10237" s="209"/>
      <c r="D10237" s="209"/>
      <c r="E10237" s="209"/>
      <c r="J10237" s="124"/>
    </row>
    <row r="10238" spans="3:10" x14ac:dyDescent="0.2">
      <c r="C10238" s="209"/>
      <c r="D10238" s="209"/>
      <c r="E10238" s="209"/>
      <c r="J10238" s="124"/>
    </row>
    <row r="10239" spans="3:10" x14ac:dyDescent="0.2">
      <c r="C10239" s="209"/>
      <c r="D10239" s="209"/>
      <c r="E10239" s="209"/>
      <c r="J10239" s="124"/>
    </row>
    <row r="10240" spans="3:10" x14ac:dyDescent="0.2">
      <c r="C10240" s="209"/>
      <c r="D10240" s="209"/>
      <c r="E10240" s="209"/>
      <c r="J10240" s="124"/>
    </row>
    <row r="10241" spans="3:10" x14ac:dyDescent="0.2">
      <c r="C10241" s="209"/>
      <c r="D10241" s="209"/>
      <c r="E10241" s="209"/>
      <c r="J10241" s="124"/>
    </row>
    <row r="10242" spans="3:10" x14ac:dyDescent="0.2">
      <c r="C10242" s="209"/>
      <c r="D10242" s="209"/>
      <c r="E10242" s="209"/>
      <c r="J10242" s="124"/>
    </row>
    <row r="10243" spans="3:10" x14ac:dyDescent="0.2">
      <c r="C10243" s="209"/>
      <c r="D10243" s="209"/>
      <c r="E10243" s="209"/>
      <c r="J10243" s="124"/>
    </row>
    <row r="10244" spans="3:10" x14ac:dyDescent="0.2">
      <c r="C10244" s="209"/>
      <c r="D10244" s="209"/>
      <c r="E10244" s="209"/>
      <c r="J10244" s="124"/>
    </row>
    <row r="10245" spans="3:10" x14ac:dyDescent="0.2">
      <c r="C10245" s="209"/>
      <c r="D10245" s="209"/>
      <c r="E10245" s="209"/>
      <c r="J10245" s="124"/>
    </row>
    <row r="10246" spans="3:10" x14ac:dyDescent="0.2">
      <c r="C10246" s="209"/>
      <c r="D10246" s="209"/>
      <c r="E10246" s="209"/>
      <c r="J10246" s="124"/>
    </row>
    <row r="10247" spans="3:10" x14ac:dyDescent="0.2">
      <c r="C10247" s="209"/>
      <c r="D10247" s="209"/>
      <c r="E10247" s="209"/>
      <c r="J10247" s="124"/>
    </row>
    <row r="10248" spans="3:10" x14ac:dyDescent="0.2">
      <c r="C10248" s="209"/>
      <c r="D10248" s="209"/>
      <c r="E10248" s="209"/>
      <c r="J10248" s="124"/>
    </row>
    <row r="10249" spans="3:10" x14ac:dyDescent="0.2">
      <c r="C10249" s="209"/>
      <c r="D10249" s="209"/>
      <c r="E10249" s="209"/>
      <c r="J10249" s="124"/>
    </row>
    <row r="10250" spans="3:10" x14ac:dyDescent="0.2">
      <c r="C10250" s="209"/>
      <c r="D10250" s="209"/>
      <c r="E10250" s="209"/>
      <c r="J10250" s="124"/>
    </row>
    <row r="10251" spans="3:10" x14ac:dyDescent="0.2">
      <c r="C10251" s="209"/>
      <c r="D10251" s="209"/>
      <c r="E10251" s="209"/>
      <c r="J10251" s="124"/>
    </row>
    <row r="10252" spans="3:10" x14ac:dyDescent="0.2">
      <c r="C10252" s="209"/>
      <c r="D10252" s="209"/>
      <c r="E10252" s="209"/>
      <c r="J10252" s="124"/>
    </row>
    <row r="10253" spans="3:10" x14ac:dyDescent="0.2">
      <c r="C10253" s="209"/>
      <c r="D10253" s="209"/>
      <c r="E10253" s="209"/>
      <c r="J10253" s="124"/>
    </row>
    <row r="10254" spans="3:10" x14ac:dyDescent="0.2">
      <c r="C10254" s="209"/>
      <c r="D10254" s="209"/>
      <c r="E10254" s="209"/>
      <c r="J10254" s="124"/>
    </row>
    <row r="10255" spans="3:10" x14ac:dyDescent="0.2">
      <c r="C10255" s="209"/>
      <c r="D10255" s="209"/>
      <c r="E10255" s="209"/>
      <c r="J10255" s="124"/>
    </row>
    <row r="10256" spans="3:10" x14ac:dyDescent="0.2">
      <c r="C10256" s="209"/>
      <c r="D10256" s="209"/>
      <c r="E10256" s="209"/>
      <c r="J10256" s="124"/>
    </row>
    <row r="10257" spans="3:10" x14ac:dyDescent="0.2">
      <c r="C10257" s="209"/>
      <c r="D10257" s="209"/>
      <c r="E10257" s="209"/>
      <c r="J10257" s="124"/>
    </row>
    <row r="10258" spans="3:10" x14ac:dyDescent="0.2">
      <c r="C10258" s="209"/>
      <c r="D10258" s="209"/>
      <c r="E10258" s="209"/>
      <c r="J10258" s="124"/>
    </row>
    <row r="10259" spans="3:10" x14ac:dyDescent="0.2">
      <c r="C10259" s="209"/>
      <c r="D10259" s="209"/>
      <c r="E10259" s="209"/>
      <c r="J10259" s="124"/>
    </row>
    <row r="10260" spans="3:10" x14ac:dyDescent="0.2">
      <c r="C10260" s="209"/>
      <c r="D10260" s="209"/>
      <c r="E10260" s="209"/>
      <c r="J10260" s="124"/>
    </row>
    <row r="10261" spans="3:10" x14ac:dyDescent="0.2">
      <c r="C10261" s="209"/>
      <c r="D10261" s="209"/>
      <c r="E10261" s="209"/>
      <c r="J10261" s="124"/>
    </row>
    <row r="10262" spans="3:10" x14ac:dyDescent="0.2">
      <c r="C10262" s="209"/>
      <c r="D10262" s="209"/>
      <c r="E10262" s="209"/>
      <c r="J10262" s="124"/>
    </row>
    <row r="10263" spans="3:10" x14ac:dyDescent="0.2">
      <c r="C10263" s="209"/>
      <c r="D10263" s="209"/>
      <c r="E10263" s="209"/>
      <c r="J10263" s="124"/>
    </row>
    <row r="10264" spans="3:10" x14ac:dyDescent="0.2">
      <c r="C10264" s="209"/>
      <c r="D10264" s="209"/>
      <c r="E10264" s="209"/>
      <c r="J10264" s="124"/>
    </row>
    <row r="10265" spans="3:10" x14ac:dyDescent="0.2">
      <c r="C10265" s="209"/>
      <c r="D10265" s="209"/>
      <c r="E10265" s="209"/>
      <c r="J10265" s="124"/>
    </row>
    <row r="10266" spans="3:10" x14ac:dyDescent="0.2">
      <c r="C10266" s="209"/>
      <c r="D10266" s="209"/>
      <c r="E10266" s="209"/>
      <c r="J10266" s="124"/>
    </row>
    <row r="10267" spans="3:10" x14ac:dyDescent="0.2">
      <c r="C10267" s="209"/>
      <c r="D10267" s="209"/>
      <c r="E10267" s="209"/>
      <c r="J10267" s="124"/>
    </row>
    <row r="10268" spans="3:10" x14ac:dyDescent="0.2">
      <c r="C10268" s="209"/>
      <c r="D10268" s="209"/>
      <c r="E10268" s="209"/>
      <c r="J10268" s="124"/>
    </row>
    <row r="10269" spans="3:10" x14ac:dyDescent="0.2">
      <c r="C10269" s="209"/>
      <c r="D10269" s="209"/>
      <c r="E10269" s="209"/>
      <c r="J10269" s="124"/>
    </row>
    <row r="10270" spans="3:10" x14ac:dyDescent="0.2">
      <c r="C10270" s="209"/>
      <c r="D10270" s="209"/>
      <c r="E10270" s="209"/>
      <c r="J10270" s="124"/>
    </row>
    <row r="10271" spans="3:10" x14ac:dyDescent="0.2">
      <c r="C10271" s="209"/>
      <c r="D10271" s="209"/>
      <c r="E10271" s="209"/>
      <c r="J10271" s="124"/>
    </row>
    <row r="10272" spans="3:10" x14ac:dyDescent="0.2">
      <c r="C10272" s="209"/>
      <c r="D10272" s="209"/>
      <c r="E10272" s="209"/>
      <c r="J10272" s="124"/>
    </row>
    <row r="10273" spans="3:10" x14ac:dyDescent="0.2">
      <c r="C10273" s="209"/>
      <c r="D10273" s="209"/>
      <c r="E10273" s="209"/>
      <c r="J10273" s="124"/>
    </row>
    <row r="10274" spans="3:10" x14ac:dyDescent="0.2">
      <c r="C10274" s="209"/>
      <c r="D10274" s="209"/>
      <c r="E10274" s="209"/>
      <c r="J10274" s="124"/>
    </row>
    <row r="10275" spans="3:10" x14ac:dyDescent="0.2">
      <c r="C10275" s="209"/>
      <c r="D10275" s="209"/>
      <c r="E10275" s="209"/>
      <c r="J10275" s="124"/>
    </row>
    <row r="10276" spans="3:10" x14ac:dyDescent="0.2">
      <c r="C10276" s="209"/>
      <c r="D10276" s="209"/>
      <c r="E10276" s="209"/>
      <c r="J10276" s="124"/>
    </row>
    <row r="10277" spans="3:10" x14ac:dyDescent="0.2">
      <c r="C10277" s="209"/>
      <c r="D10277" s="209"/>
      <c r="E10277" s="209"/>
      <c r="J10277" s="124"/>
    </row>
    <row r="10278" spans="3:10" x14ac:dyDescent="0.2">
      <c r="C10278" s="209"/>
      <c r="D10278" s="209"/>
      <c r="E10278" s="209"/>
      <c r="J10278" s="124"/>
    </row>
    <row r="10279" spans="3:10" x14ac:dyDescent="0.2">
      <c r="C10279" s="209"/>
      <c r="D10279" s="209"/>
      <c r="E10279" s="209"/>
      <c r="J10279" s="124"/>
    </row>
    <row r="10280" spans="3:10" x14ac:dyDescent="0.2">
      <c r="C10280" s="209"/>
      <c r="D10280" s="209"/>
      <c r="E10280" s="209"/>
      <c r="J10280" s="124"/>
    </row>
    <row r="10281" spans="3:10" x14ac:dyDescent="0.2">
      <c r="C10281" s="209"/>
      <c r="D10281" s="209"/>
      <c r="E10281" s="209"/>
      <c r="J10281" s="124"/>
    </row>
    <row r="10282" spans="3:10" x14ac:dyDescent="0.2">
      <c r="C10282" s="209"/>
      <c r="D10282" s="209"/>
      <c r="E10282" s="209"/>
      <c r="J10282" s="124"/>
    </row>
    <row r="10283" spans="3:10" x14ac:dyDescent="0.2">
      <c r="C10283" s="209"/>
      <c r="D10283" s="209"/>
      <c r="E10283" s="209"/>
      <c r="J10283" s="124"/>
    </row>
    <row r="10284" spans="3:10" x14ac:dyDescent="0.2">
      <c r="C10284" s="209"/>
      <c r="D10284" s="209"/>
      <c r="E10284" s="209"/>
      <c r="J10284" s="124"/>
    </row>
    <row r="10285" spans="3:10" x14ac:dyDescent="0.2">
      <c r="C10285" s="209"/>
      <c r="D10285" s="209"/>
      <c r="E10285" s="209"/>
      <c r="J10285" s="124"/>
    </row>
    <row r="10286" spans="3:10" x14ac:dyDescent="0.2">
      <c r="C10286" s="209"/>
      <c r="D10286" s="209"/>
      <c r="E10286" s="209"/>
      <c r="J10286" s="124"/>
    </row>
    <row r="10287" spans="3:10" x14ac:dyDescent="0.2">
      <c r="C10287" s="209"/>
      <c r="D10287" s="209"/>
      <c r="E10287" s="209"/>
      <c r="J10287" s="124"/>
    </row>
    <row r="10288" spans="3:10" x14ac:dyDescent="0.2">
      <c r="C10288" s="209"/>
      <c r="D10288" s="209"/>
      <c r="E10288" s="209"/>
      <c r="J10288" s="124"/>
    </row>
    <row r="10289" spans="3:10" x14ac:dyDescent="0.2">
      <c r="C10289" s="209"/>
      <c r="D10289" s="209"/>
      <c r="E10289" s="209"/>
      <c r="J10289" s="124"/>
    </row>
    <row r="10290" spans="3:10" x14ac:dyDescent="0.2">
      <c r="C10290" s="209"/>
      <c r="D10290" s="209"/>
      <c r="E10290" s="209"/>
      <c r="J10290" s="124"/>
    </row>
    <row r="10291" spans="3:10" x14ac:dyDescent="0.2">
      <c r="C10291" s="209"/>
      <c r="D10291" s="209"/>
      <c r="E10291" s="209"/>
      <c r="J10291" s="124"/>
    </row>
    <row r="10292" spans="3:10" x14ac:dyDescent="0.2">
      <c r="C10292" s="209"/>
      <c r="D10292" s="209"/>
      <c r="E10292" s="209"/>
      <c r="J10292" s="124"/>
    </row>
    <row r="10293" spans="3:10" x14ac:dyDescent="0.2">
      <c r="C10293" s="209"/>
      <c r="D10293" s="209"/>
      <c r="E10293" s="209"/>
      <c r="J10293" s="124"/>
    </row>
    <row r="10294" spans="3:10" x14ac:dyDescent="0.2">
      <c r="C10294" s="209"/>
      <c r="D10294" s="209"/>
      <c r="E10294" s="209"/>
      <c r="J10294" s="124"/>
    </row>
    <row r="10295" spans="3:10" x14ac:dyDescent="0.2">
      <c r="C10295" s="209"/>
      <c r="D10295" s="209"/>
      <c r="E10295" s="209"/>
      <c r="J10295" s="124"/>
    </row>
    <row r="10296" spans="3:10" x14ac:dyDescent="0.2">
      <c r="C10296" s="209"/>
      <c r="D10296" s="209"/>
      <c r="E10296" s="209"/>
      <c r="J10296" s="124"/>
    </row>
    <row r="10297" spans="3:10" x14ac:dyDescent="0.2">
      <c r="C10297" s="209"/>
      <c r="D10297" s="209"/>
      <c r="E10297" s="209"/>
      <c r="J10297" s="124"/>
    </row>
    <row r="10298" spans="3:10" x14ac:dyDescent="0.2">
      <c r="C10298" s="209"/>
      <c r="D10298" s="209"/>
      <c r="E10298" s="209"/>
      <c r="J10298" s="124"/>
    </row>
    <row r="10299" spans="3:10" x14ac:dyDescent="0.2">
      <c r="C10299" s="209"/>
      <c r="D10299" s="209"/>
      <c r="E10299" s="209"/>
      <c r="J10299" s="124"/>
    </row>
    <row r="10300" spans="3:10" x14ac:dyDescent="0.2">
      <c r="C10300" s="209"/>
      <c r="D10300" s="209"/>
      <c r="E10300" s="209"/>
      <c r="J10300" s="124"/>
    </row>
    <row r="10301" spans="3:10" x14ac:dyDescent="0.2">
      <c r="C10301" s="209"/>
      <c r="D10301" s="209"/>
      <c r="E10301" s="209"/>
      <c r="J10301" s="124"/>
    </row>
    <row r="10302" spans="3:10" x14ac:dyDescent="0.2">
      <c r="C10302" s="209"/>
      <c r="D10302" s="209"/>
      <c r="E10302" s="209"/>
      <c r="J10302" s="124"/>
    </row>
    <row r="10303" spans="3:10" x14ac:dyDescent="0.2">
      <c r="C10303" s="209"/>
      <c r="D10303" s="209"/>
      <c r="E10303" s="209"/>
      <c r="J10303" s="124"/>
    </row>
    <row r="10304" spans="3:10" x14ac:dyDescent="0.2">
      <c r="C10304" s="209"/>
      <c r="D10304" s="209"/>
      <c r="E10304" s="209"/>
      <c r="J10304" s="124"/>
    </row>
    <row r="10305" spans="3:10" x14ac:dyDescent="0.2">
      <c r="C10305" s="209"/>
      <c r="D10305" s="209"/>
      <c r="E10305" s="209"/>
      <c r="J10305" s="124"/>
    </row>
    <row r="10306" spans="3:10" x14ac:dyDescent="0.2">
      <c r="C10306" s="209"/>
      <c r="D10306" s="209"/>
      <c r="E10306" s="209"/>
      <c r="J10306" s="124"/>
    </row>
    <row r="10307" spans="3:10" x14ac:dyDescent="0.2">
      <c r="C10307" s="209"/>
      <c r="D10307" s="209"/>
      <c r="E10307" s="209"/>
      <c r="J10307" s="124"/>
    </row>
    <row r="10308" spans="3:10" x14ac:dyDescent="0.2">
      <c r="C10308" s="209"/>
      <c r="D10308" s="209"/>
      <c r="E10308" s="209"/>
      <c r="J10308" s="124"/>
    </row>
    <row r="10309" spans="3:10" x14ac:dyDescent="0.2">
      <c r="C10309" s="209"/>
      <c r="D10309" s="209"/>
      <c r="E10309" s="209"/>
      <c r="J10309" s="124"/>
    </row>
    <row r="10310" spans="3:10" x14ac:dyDescent="0.2">
      <c r="C10310" s="209"/>
      <c r="D10310" s="209"/>
      <c r="E10310" s="209"/>
      <c r="J10310" s="124"/>
    </row>
    <row r="10311" spans="3:10" x14ac:dyDescent="0.2">
      <c r="C10311" s="209"/>
      <c r="D10311" s="209"/>
      <c r="E10311" s="209"/>
      <c r="J10311" s="124"/>
    </row>
    <row r="10312" spans="3:10" x14ac:dyDescent="0.2">
      <c r="C10312" s="209"/>
      <c r="D10312" s="209"/>
      <c r="E10312" s="209"/>
      <c r="J10312" s="124"/>
    </row>
    <row r="10313" spans="3:10" x14ac:dyDescent="0.2">
      <c r="C10313" s="209"/>
      <c r="D10313" s="209"/>
      <c r="E10313" s="209"/>
      <c r="J10313" s="124"/>
    </row>
    <row r="10314" spans="3:10" x14ac:dyDescent="0.2">
      <c r="C10314" s="209"/>
      <c r="D10314" s="209"/>
      <c r="E10314" s="209"/>
      <c r="J10314" s="124"/>
    </row>
    <row r="10315" spans="3:10" x14ac:dyDescent="0.2">
      <c r="C10315" s="209"/>
      <c r="D10315" s="209"/>
      <c r="E10315" s="209"/>
      <c r="J10315" s="124"/>
    </row>
    <row r="10316" spans="3:10" x14ac:dyDescent="0.2">
      <c r="C10316" s="209"/>
      <c r="D10316" s="209"/>
      <c r="E10316" s="209"/>
      <c r="J10316" s="124"/>
    </row>
    <row r="10317" spans="3:10" x14ac:dyDescent="0.2">
      <c r="C10317" s="209"/>
      <c r="D10317" s="209"/>
      <c r="E10317" s="209"/>
      <c r="J10317" s="124"/>
    </row>
    <row r="10318" spans="3:10" x14ac:dyDescent="0.2">
      <c r="C10318" s="209"/>
      <c r="D10318" s="209"/>
      <c r="E10318" s="209"/>
      <c r="J10318" s="124"/>
    </row>
    <row r="10319" spans="3:10" x14ac:dyDescent="0.2">
      <c r="C10319" s="209"/>
      <c r="D10319" s="209"/>
      <c r="E10319" s="209"/>
      <c r="J10319" s="124"/>
    </row>
    <row r="10320" spans="3:10" x14ac:dyDescent="0.2">
      <c r="C10320" s="209"/>
      <c r="D10320" s="209"/>
      <c r="E10320" s="209"/>
      <c r="J10320" s="124"/>
    </row>
    <row r="10321" spans="3:10" x14ac:dyDescent="0.2">
      <c r="C10321" s="209"/>
      <c r="D10321" s="209"/>
      <c r="E10321" s="209"/>
      <c r="J10321" s="124"/>
    </row>
    <row r="10322" spans="3:10" x14ac:dyDescent="0.2">
      <c r="C10322" s="209"/>
      <c r="D10322" s="209"/>
      <c r="E10322" s="209"/>
      <c r="J10322" s="124"/>
    </row>
    <row r="10323" spans="3:10" x14ac:dyDescent="0.2">
      <c r="C10323" s="209"/>
      <c r="D10323" s="209"/>
      <c r="E10323" s="209"/>
      <c r="J10323" s="124"/>
    </row>
    <row r="10324" spans="3:10" x14ac:dyDescent="0.2">
      <c r="C10324" s="209"/>
      <c r="D10324" s="209"/>
      <c r="E10324" s="209"/>
      <c r="J10324" s="124"/>
    </row>
    <row r="10325" spans="3:10" x14ac:dyDescent="0.2">
      <c r="C10325" s="209"/>
      <c r="D10325" s="209"/>
      <c r="E10325" s="209"/>
      <c r="J10325" s="124"/>
    </row>
    <row r="10326" spans="3:10" x14ac:dyDescent="0.2">
      <c r="C10326" s="209"/>
      <c r="D10326" s="209"/>
      <c r="E10326" s="209"/>
      <c r="J10326" s="124"/>
    </row>
    <row r="10327" spans="3:10" x14ac:dyDescent="0.2">
      <c r="C10327" s="209"/>
      <c r="D10327" s="209"/>
      <c r="E10327" s="209"/>
      <c r="J10327" s="124"/>
    </row>
    <row r="10328" spans="3:10" x14ac:dyDescent="0.2">
      <c r="C10328" s="209"/>
      <c r="D10328" s="209"/>
      <c r="E10328" s="209"/>
      <c r="J10328" s="124"/>
    </row>
    <row r="10329" spans="3:10" x14ac:dyDescent="0.2">
      <c r="C10329" s="209"/>
      <c r="D10329" s="209"/>
      <c r="E10329" s="209"/>
      <c r="J10329" s="124"/>
    </row>
    <row r="10330" spans="3:10" x14ac:dyDescent="0.2">
      <c r="C10330" s="209"/>
      <c r="D10330" s="209"/>
      <c r="E10330" s="209"/>
      <c r="J10330" s="124"/>
    </row>
    <row r="10331" spans="3:10" x14ac:dyDescent="0.2">
      <c r="C10331" s="209"/>
      <c r="D10331" s="209"/>
      <c r="E10331" s="209"/>
      <c r="J10331" s="124"/>
    </row>
    <row r="10332" spans="3:10" x14ac:dyDescent="0.2">
      <c r="C10332" s="209"/>
      <c r="D10332" s="209"/>
      <c r="E10332" s="209"/>
      <c r="J10332" s="124"/>
    </row>
    <row r="10333" spans="3:10" x14ac:dyDescent="0.2">
      <c r="C10333" s="209"/>
      <c r="D10333" s="209"/>
      <c r="E10333" s="209"/>
      <c r="J10333" s="124"/>
    </row>
    <row r="10334" spans="3:10" x14ac:dyDescent="0.2">
      <c r="C10334" s="209"/>
      <c r="D10334" s="209"/>
      <c r="E10334" s="209"/>
      <c r="J10334" s="124"/>
    </row>
    <row r="10335" spans="3:10" x14ac:dyDescent="0.2">
      <c r="C10335" s="209"/>
      <c r="D10335" s="209"/>
      <c r="E10335" s="209"/>
      <c r="J10335" s="124"/>
    </row>
    <row r="10336" spans="3:10" x14ac:dyDescent="0.2">
      <c r="C10336" s="209"/>
      <c r="D10336" s="209"/>
      <c r="E10336" s="209"/>
      <c r="J10336" s="124"/>
    </row>
    <row r="10337" spans="3:10" x14ac:dyDescent="0.2">
      <c r="C10337" s="209"/>
      <c r="D10337" s="209"/>
      <c r="E10337" s="209"/>
      <c r="J10337" s="124"/>
    </row>
    <row r="10338" spans="3:10" x14ac:dyDescent="0.2">
      <c r="C10338" s="209"/>
      <c r="D10338" s="209"/>
      <c r="E10338" s="209"/>
      <c r="J10338" s="124"/>
    </row>
    <row r="10339" spans="3:10" x14ac:dyDescent="0.2">
      <c r="C10339" s="209"/>
      <c r="D10339" s="209"/>
      <c r="E10339" s="209"/>
      <c r="J10339" s="124"/>
    </row>
    <row r="10340" spans="3:10" x14ac:dyDescent="0.2">
      <c r="C10340" s="209"/>
      <c r="D10340" s="209"/>
      <c r="E10340" s="209"/>
      <c r="J10340" s="124"/>
    </row>
    <row r="10341" spans="3:10" x14ac:dyDescent="0.2">
      <c r="C10341" s="209"/>
      <c r="D10341" s="209"/>
      <c r="E10341" s="209"/>
      <c r="J10341" s="124"/>
    </row>
    <row r="10342" spans="3:10" x14ac:dyDescent="0.2">
      <c r="C10342" s="209"/>
      <c r="D10342" s="209"/>
      <c r="E10342" s="209"/>
      <c r="J10342" s="124"/>
    </row>
    <row r="10343" spans="3:10" x14ac:dyDescent="0.2">
      <c r="C10343" s="209"/>
      <c r="D10343" s="209"/>
      <c r="E10343" s="209"/>
      <c r="J10343" s="124"/>
    </row>
    <row r="10344" spans="3:10" x14ac:dyDescent="0.2">
      <c r="C10344" s="209"/>
      <c r="D10344" s="209"/>
      <c r="E10344" s="209"/>
      <c r="J10344" s="124"/>
    </row>
    <row r="10345" spans="3:10" x14ac:dyDescent="0.2">
      <c r="C10345" s="209"/>
      <c r="D10345" s="209"/>
      <c r="E10345" s="209"/>
      <c r="J10345" s="124"/>
    </row>
    <row r="10346" spans="3:10" x14ac:dyDescent="0.2">
      <c r="C10346" s="209"/>
      <c r="D10346" s="209"/>
      <c r="E10346" s="209"/>
      <c r="J10346" s="124"/>
    </row>
    <row r="10347" spans="3:10" x14ac:dyDescent="0.2">
      <c r="C10347" s="209"/>
      <c r="D10347" s="209"/>
      <c r="E10347" s="209"/>
      <c r="J10347" s="124"/>
    </row>
    <row r="10348" spans="3:10" x14ac:dyDescent="0.2">
      <c r="C10348" s="209"/>
      <c r="D10348" s="209"/>
      <c r="E10348" s="209"/>
      <c r="J10348" s="124"/>
    </row>
    <row r="10349" spans="3:10" x14ac:dyDescent="0.2">
      <c r="C10349" s="209"/>
      <c r="D10349" s="209"/>
      <c r="E10349" s="209"/>
      <c r="J10349" s="124"/>
    </row>
    <row r="10350" spans="3:10" x14ac:dyDescent="0.2">
      <c r="C10350" s="209"/>
      <c r="D10350" s="209"/>
      <c r="E10350" s="209"/>
      <c r="J10350" s="124"/>
    </row>
    <row r="10351" spans="3:10" x14ac:dyDescent="0.2">
      <c r="C10351" s="209"/>
      <c r="D10351" s="209"/>
      <c r="E10351" s="209"/>
      <c r="J10351" s="124"/>
    </row>
    <row r="10352" spans="3:10" x14ac:dyDescent="0.2">
      <c r="C10352" s="209"/>
      <c r="D10352" s="209"/>
      <c r="E10352" s="209"/>
      <c r="J10352" s="124"/>
    </row>
    <row r="10353" spans="3:10" x14ac:dyDescent="0.2">
      <c r="C10353" s="209"/>
      <c r="D10353" s="209"/>
      <c r="E10353" s="209"/>
      <c r="J10353" s="124"/>
    </row>
    <row r="10354" spans="3:10" x14ac:dyDescent="0.2">
      <c r="C10354" s="209"/>
      <c r="D10354" s="209"/>
      <c r="E10354" s="209"/>
      <c r="J10354" s="124"/>
    </row>
    <row r="10355" spans="3:10" x14ac:dyDescent="0.2">
      <c r="C10355" s="209"/>
      <c r="D10355" s="209"/>
      <c r="E10355" s="209"/>
      <c r="J10355" s="124"/>
    </row>
    <row r="10356" spans="3:10" x14ac:dyDescent="0.2">
      <c r="C10356" s="209"/>
      <c r="D10356" s="209"/>
      <c r="E10356" s="209"/>
      <c r="J10356" s="124"/>
    </row>
    <row r="10357" spans="3:10" x14ac:dyDescent="0.2">
      <c r="C10357" s="209"/>
      <c r="D10357" s="209"/>
      <c r="E10357" s="209"/>
      <c r="J10357" s="124"/>
    </row>
    <row r="10358" spans="3:10" x14ac:dyDescent="0.2">
      <c r="C10358" s="209"/>
      <c r="D10358" s="209"/>
      <c r="E10358" s="209"/>
      <c r="J10358" s="124"/>
    </row>
    <row r="10359" spans="3:10" x14ac:dyDescent="0.2">
      <c r="C10359" s="209"/>
      <c r="D10359" s="209"/>
      <c r="E10359" s="209"/>
      <c r="J10359" s="124"/>
    </row>
    <row r="10360" spans="3:10" x14ac:dyDescent="0.2">
      <c r="C10360" s="209"/>
      <c r="D10360" s="209"/>
      <c r="E10360" s="209"/>
      <c r="J10360" s="124"/>
    </row>
    <row r="10361" spans="3:10" x14ac:dyDescent="0.2">
      <c r="C10361" s="209"/>
      <c r="D10361" s="209"/>
      <c r="E10361" s="209"/>
      <c r="J10361" s="124"/>
    </row>
    <row r="10362" spans="3:10" x14ac:dyDescent="0.2">
      <c r="C10362" s="209"/>
      <c r="D10362" s="209"/>
      <c r="E10362" s="209"/>
      <c r="J10362" s="124"/>
    </row>
    <row r="10363" spans="3:10" x14ac:dyDescent="0.2">
      <c r="C10363" s="209"/>
      <c r="D10363" s="209"/>
      <c r="E10363" s="209"/>
      <c r="J10363" s="124"/>
    </row>
    <row r="10364" spans="3:10" x14ac:dyDescent="0.2">
      <c r="C10364" s="209"/>
      <c r="D10364" s="209"/>
      <c r="E10364" s="209"/>
      <c r="J10364" s="124"/>
    </row>
    <row r="10365" spans="3:10" x14ac:dyDescent="0.2">
      <c r="C10365" s="209"/>
      <c r="D10365" s="209"/>
      <c r="E10365" s="209"/>
      <c r="J10365" s="124"/>
    </row>
    <row r="10366" spans="3:10" x14ac:dyDescent="0.2">
      <c r="C10366" s="209"/>
      <c r="D10366" s="209"/>
      <c r="E10366" s="209"/>
      <c r="J10366" s="124"/>
    </row>
    <row r="10367" spans="3:10" x14ac:dyDescent="0.2">
      <c r="C10367" s="209"/>
      <c r="D10367" s="209"/>
      <c r="E10367" s="209"/>
      <c r="J10367" s="124"/>
    </row>
    <row r="10368" spans="3:10" x14ac:dyDescent="0.2">
      <c r="C10368" s="209"/>
      <c r="D10368" s="209"/>
      <c r="E10368" s="209"/>
      <c r="J10368" s="124"/>
    </row>
    <row r="10369" spans="3:10" x14ac:dyDescent="0.2">
      <c r="C10369" s="209"/>
      <c r="D10369" s="209"/>
      <c r="E10369" s="209"/>
      <c r="J10369" s="124"/>
    </row>
    <row r="10370" spans="3:10" x14ac:dyDescent="0.2">
      <c r="C10370" s="209"/>
      <c r="D10370" s="209"/>
      <c r="E10370" s="209"/>
      <c r="J10370" s="124"/>
    </row>
    <row r="10371" spans="3:10" x14ac:dyDescent="0.2">
      <c r="C10371" s="209"/>
      <c r="D10371" s="209"/>
      <c r="E10371" s="209"/>
      <c r="J10371" s="124"/>
    </row>
    <row r="10372" spans="3:10" x14ac:dyDescent="0.2">
      <c r="C10372" s="209"/>
      <c r="D10372" s="209"/>
      <c r="E10372" s="209"/>
      <c r="J10372" s="124"/>
    </row>
    <row r="10373" spans="3:10" x14ac:dyDescent="0.2">
      <c r="C10373" s="209"/>
      <c r="D10373" s="209"/>
      <c r="E10373" s="209"/>
      <c r="J10373" s="124"/>
    </row>
    <row r="10374" spans="3:10" x14ac:dyDescent="0.2">
      <c r="C10374" s="209"/>
      <c r="D10374" s="209"/>
      <c r="E10374" s="209"/>
      <c r="J10374" s="124"/>
    </row>
    <row r="10375" spans="3:10" x14ac:dyDescent="0.2">
      <c r="C10375" s="209"/>
      <c r="D10375" s="209"/>
      <c r="E10375" s="209"/>
      <c r="J10375" s="124"/>
    </row>
    <row r="10376" spans="3:10" x14ac:dyDescent="0.2">
      <c r="C10376" s="209"/>
      <c r="D10376" s="209"/>
      <c r="E10376" s="209"/>
      <c r="J10376" s="124"/>
    </row>
    <row r="10377" spans="3:10" x14ac:dyDescent="0.2">
      <c r="C10377" s="209"/>
      <c r="D10377" s="209"/>
      <c r="E10377" s="209"/>
      <c r="J10377" s="124"/>
    </row>
    <row r="10378" spans="3:10" x14ac:dyDescent="0.2">
      <c r="C10378" s="209"/>
      <c r="D10378" s="209"/>
      <c r="E10378" s="209"/>
      <c r="J10378" s="124"/>
    </row>
    <row r="10379" spans="3:10" x14ac:dyDescent="0.2">
      <c r="C10379" s="209"/>
      <c r="D10379" s="209"/>
      <c r="E10379" s="209"/>
      <c r="J10379" s="124"/>
    </row>
    <row r="10380" spans="3:10" x14ac:dyDescent="0.2">
      <c r="C10380" s="209"/>
      <c r="D10380" s="209"/>
      <c r="E10380" s="209"/>
      <c r="J10380" s="124"/>
    </row>
    <row r="10381" spans="3:10" x14ac:dyDescent="0.2">
      <c r="C10381" s="209"/>
      <c r="D10381" s="209"/>
      <c r="E10381" s="209"/>
      <c r="J10381" s="124"/>
    </row>
    <row r="10382" spans="3:10" x14ac:dyDescent="0.2">
      <c r="C10382" s="209"/>
      <c r="D10382" s="209"/>
      <c r="E10382" s="209"/>
      <c r="J10382" s="124"/>
    </row>
    <row r="10383" spans="3:10" x14ac:dyDescent="0.2">
      <c r="C10383" s="209"/>
      <c r="D10383" s="209"/>
      <c r="E10383" s="209"/>
      <c r="J10383" s="124"/>
    </row>
    <row r="10384" spans="3:10" x14ac:dyDescent="0.2">
      <c r="C10384" s="209"/>
      <c r="D10384" s="209"/>
      <c r="E10384" s="209"/>
      <c r="J10384" s="124"/>
    </row>
    <row r="10385" spans="3:10" x14ac:dyDescent="0.2">
      <c r="C10385" s="209"/>
      <c r="D10385" s="209"/>
      <c r="E10385" s="209"/>
      <c r="J10385" s="124"/>
    </row>
    <row r="10386" spans="3:10" x14ac:dyDescent="0.2">
      <c r="C10386" s="209"/>
      <c r="D10386" s="209"/>
      <c r="E10386" s="209"/>
      <c r="J10386" s="124"/>
    </row>
    <row r="10387" spans="3:10" x14ac:dyDescent="0.2">
      <c r="C10387" s="209"/>
      <c r="D10387" s="209"/>
      <c r="E10387" s="209"/>
      <c r="J10387" s="124"/>
    </row>
    <row r="10388" spans="3:10" x14ac:dyDescent="0.2">
      <c r="C10388" s="209"/>
      <c r="D10388" s="209"/>
      <c r="E10388" s="209"/>
      <c r="J10388" s="124"/>
    </row>
    <row r="10389" spans="3:10" x14ac:dyDescent="0.2">
      <c r="C10389" s="209"/>
      <c r="D10389" s="209"/>
      <c r="E10389" s="209"/>
      <c r="J10389" s="124"/>
    </row>
    <row r="10390" spans="3:10" x14ac:dyDescent="0.2">
      <c r="C10390" s="209"/>
      <c r="D10390" s="209"/>
      <c r="E10390" s="209"/>
      <c r="J10390" s="124"/>
    </row>
    <row r="10391" spans="3:10" x14ac:dyDescent="0.2">
      <c r="C10391" s="209"/>
      <c r="D10391" s="209"/>
      <c r="E10391" s="209"/>
      <c r="J10391" s="124"/>
    </row>
    <row r="10392" spans="3:10" x14ac:dyDescent="0.2">
      <c r="C10392" s="209"/>
      <c r="D10392" s="209"/>
      <c r="E10392" s="209"/>
      <c r="J10392" s="124"/>
    </row>
    <row r="10393" spans="3:10" x14ac:dyDescent="0.2">
      <c r="C10393" s="209"/>
      <c r="D10393" s="209"/>
      <c r="E10393" s="209"/>
      <c r="J10393" s="124"/>
    </row>
    <row r="10394" spans="3:10" x14ac:dyDescent="0.2">
      <c r="C10394" s="209"/>
      <c r="D10394" s="209"/>
      <c r="E10394" s="209"/>
      <c r="J10394" s="124"/>
    </row>
    <row r="10395" spans="3:10" x14ac:dyDescent="0.2">
      <c r="C10395" s="209"/>
      <c r="D10395" s="209"/>
      <c r="E10395" s="209"/>
      <c r="J10395" s="124"/>
    </row>
    <row r="10396" spans="3:10" x14ac:dyDescent="0.2">
      <c r="C10396" s="209"/>
      <c r="D10396" s="209"/>
      <c r="E10396" s="209"/>
      <c r="J10396" s="124"/>
    </row>
    <row r="10397" spans="3:10" x14ac:dyDescent="0.2">
      <c r="C10397" s="209"/>
      <c r="D10397" s="209"/>
      <c r="E10397" s="209"/>
      <c r="J10397" s="124"/>
    </row>
    <row r="10398" spans="3:10" x14ac:dyDescent="0.2">
      <c r="C10398" s="209"/>
      <c r="D10398" s="209"/>
      <c r="E10398" s="209"/>
      <c r="J10398" s="124"/>
    </row>
    <row r="10399" spans="3:10" x14ac:dyDescent="0.2">
      <c r="C10399" s="209"/>
      <c r="D10399" s="209"/>
      <c r="E10399" s="209"/>
      <c r="J10399" s="124"/>
    </row>
    <row r="10400" spans="3:10" x14ac:dyDescent="0.2">
      <c r="C10400" s="209"/>
      <c r="D10400" s="209"/>
      <c r="E10400" s="209"/>
      <c r="J10400" s="124"/>
    </row>
    <row r="10401" spans="3:10" x14ac:dyDescent="0.2">
      <c r="C10401" s="209"/>
      <c r="D10401" s="209"/>
      <c r="E10401" s="209"/>
      <c r="J10401" s="124"/>
    </row>
    <row r="10402" spans="3:10" x14ac:dyDescent="0.2">
      <c r="C10402" s="209"/>
      <c r="D10402" s="209"/>
      <c r="E10402" s="209"/>
      <c r="J10402" s="124"/>
    </row>
    <row r="10403" spans="3:10" x14ac:dyDescent="0.2">
      <c r="C10403" s="209"/>
      <c r="D10403" s="209"/>
      <c r="E10403" s="209"/>
      <c r="J10403" s="124"/>
    </row>
    <row r="10404" spans="3:10" x14ac:dyDescent="0.2">
      <c r="C10404" s="209"/>
      <c r="D10404" s="209"/>
      <c r="E10404" s="209"/>
      <c r="J10404" s="124"/>
    </row>
    <row r="10405" spans="3:10" x14ac:dyDescent="0.2">
      <c r="C10405" s="209"/>
      <c r="D10405" s="209"/>
      <c r="E10405" s="209"/>
      <c r="J10405" s="124"/>
    </row>
    <row r="10406" spans="3:10" x14ac:dyDescent="0.2">
      <c r="C10406" s="209"/>
      <c r="D10406" s="209"/>
      <c r="E10406" s="209"/>
      <c r="J10406" s="124"/>
    </row>
    <row r="10407" spans="3:10" x14ac:dyDescent="0.2">
      <c r="C10407" s="209"/>
      <c r="D10407" s="209"/>
      <c r="E10407" s="209"/>
      <c r="J10407" s="124"/>
    </row>
    <row r="10408" spans="3:10" x14ac:dyDescent="0.2">
      <c r="C10408" s="209"/>
      <c r="D10408" s="209"/>
      <c r="E10408" s="209"/>
      <c r="J10408" s="124"/>
    </row>
    <row r="10409" spans="3:10" x14ac:dyDescent="0.2">
      <c r="C10409" s="209"/>
      <c r="D10409" s="209"/>
      <c r="E10409" s="209"/>
      <c r="J10409" s="124"/>
    </row>
    <row r="10410" spans="3:10" x14ac:dyDescent="0.2">
      <c r="C10410" s="209"/>
      <c r="D10410" s="209"/>
      <c r="E10410" s="209"/>
      <c r="J10410" s="124"/>
    </row>
    <row r="10411" spans="3:10" x14ac:dyDescent="0.2">
      <c r="C10411" s="209"/>
      <c r="D10411" s="209"/>
      <c r="E10411" s="209"/>
      <c r="J10411" s="124"/>
    </row>
    <row r="10412" spans="3:10" x14ac:dyDescent="0.2">
      <c r="C10412" s="209"/>
      <c r="D10412" s="209"/>
      <c r="E10412" s="209"/>
      <c r="J10412" s="124"/>
    </row>
    <row r="10413" spans="3:10" x14ac:dyDescent="0.2">
      <c r="C10413" s="209"/>
      <c r="D10413" s="209"/>
      <c r="E10413" s="209"/>
      <c r="J10413" s="124"/>
    </row>
    <row r="10414" spans="3:10" x14ac:dyDescent="0.2">
      <c r="C10414" s="209"/>
      <c r="D10414" s="209"/>
      <c r="E10414" s="209"/>
      <c r="J10414" s="124"/>
    </row>
    <row r="10415" spans="3:10" x14ac:dyDescent="0.2">
      <c r="C10415" s="209"/>
      <c r="D10415" s="209"/>
      <c r="E10415" s="209"/>
      <c r="J10415" s="124"/>
    </row>
    <row r="10416" spans="3:10" x14ac:dyDescent="0.2">
      <c r="C10416" s="209"/>
      <c r="D10416" s="209"/>
      <c r="E10416" s="209"/>
      <c r="J10416" s="124"/>
    </row>
    <row r="10417" spans="3:10" x14ac:dyDescent="0.2">
      <c r="C10417" s="209"/>
      <c r="D10417" s="209"/>
      <c r="E10417" s="209"/>
      <c r="J10417" s="124"/>
    </row>
    <row r="10418" spans="3:10" x14ac:dyDescent="0.2">
      <c r="C10418" s="209"/>
      <c r="D10418" s="209"/>
      <c r="E10418" s="209"/>
      <c r="J10418" s="124"/>
    </row>
    <row r="10419" spans="3:10" x14ac:dyDescent="0.2">
      <c r="C10419" s="209"/>
      <c r="D10419" s="209"/>
      <c r="E10419" s="209"/>
      <c r="J10419" s="124"/>
    </row>
    <row r="10420" spans="3:10" x14ac:dyDescent="0.2">
      <c r="C10420" s="209"/>
      <c r="D10420" s="209"/>
      <c r="E10420" s="209"/>
      <c r="J10420" s="124"/>
    </row>
    <row r="10421" spans="3:10" x14ac:dyDescent="0.2">
      <c r="C10421" s="209"/>
      <c r="D10421" s="209"/>
      <c r="E10421" s="209"/>
      <c r="J10421" s="124"/>
    </row>
    <row r="10422" spans="3:10" x14ac:dyDescent="0.2">
      <c r="C10422" s="209"/>
      <c r="D10422" s="209"/>
      <c r="E10422" s="209"/>
      <c r="J10422" s="124"/>
    </row>
    <row r="10423" spans="3:10" x14ac:dyDescent="0.2">
      <c r="C10423" s="209"/>
      <c r="D10423" s="209"/>
      <c r="E10423" s="209"/>
      <c r="J10423" s="124"/>
    </row>
    <row r="10424" spans="3:10" x14ac:dyDescent="0.2">
      <c r="C10424" s="209"/>
      <c r="D10424" s="209"/>
      <c r="E10424" s="209"/>
      <c r="J10424" s="124"/>
    </row>
    <row r="10425" spans="3:10" x14ac:dyDescent="0.2">
      <c r="C10425" s="209"/>
      <c r="D10425" s="209"/>
      <c r="E10425" s="209"/>
      <c r="J10425" s="124"/>
    </row>
    <row r="10426" spans="3:10" x14ac:dyDescent="0.2">
      <c r="C10426" s="209"/>
      <c r="D10426" s="209"/>
      <c r="E10426" s="209"/>
      <c r="J10426" s="124"/>
    </row>
    <row r="10427" spans="3:10" x14ac:dyDescent="0.2">
      <c r="C10427" s="209"/>
      <c r="D10427" s="209"/>
      <c r="E10427" s="209"/>
      <c r="J10427" s="124"/>
    </row>
    <row r="10428" spans="3:10" x14ac:dyDescent="0.2">
      <c r="C10428" s="209"/>
      <c r="D10428" s="209"/>
      <c r="E10428" s="209"/>
      <c r="J10428" s="124"/>
    </row>
    <row r="10429" spans="3:10" x14ac:dyDescent="0.2">
      <c r="C10429" s="209"/>
      <c r="D10429" s="209"/>
      <c r="E10429" s="209"/>
      <c r="J10429" s="124"/>
    </row>
    <row r="10430" spans="3:10" x14ac:dyDescent="0.2">
      <c r="C10430" s="209"/>
      <c r="D10430" s="209"/>
      <c r="E10430" s="209"/>
      <c r="J10430" s="124"/>
    </row>
    <row r="10431" spans="3:10" x14ac:dyDescent="0.2">
      <c r="C10431" s="209"/>
      <c r="D10431" s="209"/>
      <c r="E10431" s="209"/>
      <c r="J10431" s="124"/>
    </row>
    <row r="10432" spans="3:10" x14ac:dyDescent="0.2">
      <c r="C10432" s="209"/>
      <c r="D10432" s="209"/>
      <c r="E10432" s="209"/>
      <c r="J10432" s="124"/>
    </row>
    <row r="10433" spans="3:10" x14ac:dyDescent="0.2">
      <c r="C10433" s="209"/>
      <c r="D10433" s="209"/>
      <c r="E10433" s="209"/>
      <c r="J10433" s="124"/>
    </row>
    <row r="10434" spans="3:10" x14ac:dyDescent="0.2">
      <c r="C10434" s="209"/>
      <c r="D10434" s="209"/>
      <c r="E10434" s="209"/>
      <c r="J10434" s="124"/>
    </row>
    <row r="10435" spans="3:10" x14ac:dyDescent="0.2">
      <c r="C10435" s="209"/>
      <c r="D10435" s="209"/>
      <c r="E10435" s="209"/>
      <c r="J10435" s="124"/>
    </row>
    <row r="10436" spans="3:10" x14ac:dyDescent="0.2">
      <c r="C10436" s="209"/>
      <c r="D10436" s="209"/>
      <c r="E10436" s="209"/>
      <c r="J10436" s="124"/>
    </row>
    <row r="10437" spans="3:10" x14ac:dyDescent="0.2">
      <c r="C10437" s="209"/>
      <c r="D10437" s="209"/>
      <c r="E10437" s="209"/>
      <c r="J10437" s="124"/>
    </row>
    <row r="10438" spans="3:10" x14ac:dyDescent="0.2">
      <c r="C10438" s="209"/>
      <c r="D10438" s="209"/>
      <c r="E10438" s="209"/>
      <c r="J10438" s="124"/>
    </row>
    <row r="10439" spans="3:10" x14ac:dyDescent="0.2">
      <c r="C10439" s="209"/>
      <c r="D10439" s="209"/>
      <c r="E10439" s="209"/>
      <c r="J10439" s="124"/>
    </row>
    <row r="10440" spans="3:10" x14ac:dyDescent="0.2">
      <c r="C10440" s="209"/>
      <c r="D10440" s="209"/>
      <c r="E10440" s="209"/>
      <c r="J10440" s="124"/>
    </row>
    <row r="10441" spans="3:10" x14ac:dyDescent="0.2">
      <c r="C10441" s="209"/>
      <c r="D10441" s="209"/>
      <c r="E10441" s="209"/>
      <c r="J10441" s="124"/>
    </row>
    <row r="10442" spans="3:10" x14ac:dyDescent="0.2">
      <c r="C10442" s="209"/>
      <c r="D10442" s="209"/>
      <c r="E10442" s="209"/>
      <c r="J10442" s="124"/>
    </row>
    <row r="10443" spans="3:10" x14ac:dyDescent="0.2">
      <c r="C10443" s="209"/>
      <c r="D10443" s="209"/>
      <c r="E10443" s="209"/>
      <c r="J10443" s="124"/>
    </row>
    <row r="10444" spans="3:10" x14ac:dyDescent="0.2">
      <c r="C10444" s="209"/>
      <c r="D10444" s="209"/>
      <c r="E10444" s="209"/>
      <c r="J10444" s="124"/>
    </row>
    <row r="10445" spans="3:10" x14ac:dyDescent="0.2">
      <c r="C10445" s="209"/>
      <c r="D10445" s="209"/>
      <c r="E10445" s="209"/>
      <c r="J10445" s="124"/>
    </row>
    <row r="10446" spans="3:10" x14ac:dyDescent="0.2">
      <c r="C10446" s="209"/>
      <c r="D10446" s="209"/>
      <c r="E10446" s="209"/>
      <c r="J10446" s="124"/>
    </row>
    <row r="10447" spans="3:10" x14ac:dyDescent="0.2">
      <c r="C10447" s="209"/>
      <c r="D10447" s="209"/>
      <c r="E10447" s="209"/>
      <c r="J10447" s="124"/>
    </row>
    <row r="10448" spans="3:10" x14ac:dyDescent="0.2">
      <c r="C10448" s="209"/>
      <c r="D10448" s="209"/>
      <c r="E10448" s="209"/>
      <c r="J10448" s="124"/>
    </row>
    <row r="10449" spans="3:10" x14ac:dyDescent="0.2">
      <c r="C10449" s="209"/>
      <c r="D10449" s="209"/>
      <c r="E10449" s="209"/>
      <c r="J10449" s="124"/>
    </row>
    <row r="10450" spans="3:10" x14ac:dyDescent="0.2">
      <c r="C10450" s="209"/>
      <c r="D10450" s="209"/>
      <c r="E10450" s="209"/>
      <c r="J10450" s="124"/>
    </row>
    <row r="10451" spans="3:10" x14ac:dyDescent="0.2">
      <c r="C10451" s="209"/>
      <c r="D10451" s="209"/>
      <c r="E10451" s="209"/>
      <c r="J10451" s="124"/>
    </row>
    <row r="10452" spans="3:10" x14ac:dyDescent="0.2">
      <c r="C10452" s="209"/>
      <c r="D10452" s="209"/>
      <c r="E10452" s="209"/>
      <c r="J10452" s="124"/>
    </row>
    <row r="10453" spans="3:10" x14ac:dyDescent="0.2">
      <c r="C10453" s="209"/>
      <c r="D10453" s="209"/>
      <c r="E10453" s="209"/>
      <c r="J10453" s="124"/>
    </row>
    <row r="10454" spans="3:10" x14ac:dyDescent="0.2">
      <c r="C10454" s="209"/>
      <c r="D10454" s="209"/>
      <c r="E10454" s="209"/>
      <c r="J10454" s="124"/>
    </row>
    <row r="10455" spans="3:10" x14ac:dyDescent="0.2">
      <c r="C10455" s="209"/>
      <c r="D10455" s="209"/>
      <c r="E10455" s="209"/>
      <c r="J10455" s="124"/>
    </row>
    <row r="10456" spans="3:10" x14ac:dyDescent="0.2">
      <c r="C10456" s="209"/>
      <c r="D10456" s="209"/>
      <c r="E10456" s="209"/>
      <c r="J10456" s="124"/>
    </row>
    <row r="10457" spans="3:10" x14ac:dyDescent="0.2">
      <c r="C10457" s="209"/>
      <c r="D10457" s="209"/>
      <c r="E10457" s="209"/>
      <c r="J10457" s="124"/>
    </row>
    <row r="10458" spans="3:10" x14ac:dyDescent="0.2">
      <c r="C10458" s="209"/>
      <c r="D10458" s="209"/>
      <c r="E10458" s="209"/>
      <c r="J10458" s="124"/>
    </row>
    <row r="10459" spans="3:10" x14ac:dyDescent="0.2">
      <c r="C10459" s="209"/>
      <c r="D10459" s="209"/>
      <c r="E10459" s="209"/>
      <c r="J10459" s="124"/>
    </row>
    <row r="10460" spans="3:10" x14ac:dyDescent="0.2">
      <c r="C10460" s="209"/>
      <c r="D10460" s="209"/>
      <c r="E10460" s="209"/>
      <c r="J10460" s="124"/>
    </row>
    <row r="10461" spans="3:10" x14ac:dyDescent="0.2">
      <c r="C10461" s="209"/>
      <c r="D10461" s="209"/>
      <c r="E10461" s="209"/>
      <c r="J10461" s="124"/>
    </row>
    <row r="10462" spans="3:10" x14ac:dyDescent="0.2">
      <c r="C10462" s="209"/>
      <c r="D10462" s="209"/>
      <c r="E10462" s="209"/>
      <c r="J10462" s="124"/>
    </row>
    <row r="10463" spans="3:10" x14ac:dyDescent="0.2">
      <c r="C10463" s="209"/>
      <c r="D10463" s="209"/>
      <c r="E10463" s="209"/>
      <c r="J10463" s="124"/>
    </row>
    <row r="10464" spans="3:10" x14ac:dyDescent="0.2">
      <c r="C10464" s="209"/>
      <c r="D10464" s="209"/>
      <c r="E10464" s="209"/>
      <c r="J10464" s="124"/>
    </row>
    <row r="10465" spans="3:10" x14ac:dyDescent="0.2">
      <c r="C10465" s="209"/>
      <c r="D10465" s="209"/>
      <c r="E10465" s="209"/>
      <c r="J10465" s="124"/>
    </row>
    <row r="10466" spans="3:10" x14ac:dyDescent="0.2">
      <c r="C10466" s="209"/>
      <c r="D10466" s="209"/>
      <c r="E10466" s="209"/>
      <c r="J10466" s="124"/>
    </row>
    <row r="10467" spans="3:10" x14ac:dyDescent="0.2">
      <c r="C10467" s="209"/>
      <c r="D10467" s="209"/>
      <c r="E10467" s="209"/>
      <c r="J10467" s="124"/>
    </row>
    <row r="10468" spans="3:10" x14ac:dyDescent="0.2">
      <c r="C10468" s="209"/>
      <c r="D10468" s="209"/>
      <c r="E10468" s="209"/>
      <c r="J10468" s="124"/>
    </row>
    <row r="10469" spans="3:10" x14ac:dyDescent="0.2">
      <c r="C10469" s="209"/>
      <c r="D10469" s="209"/>
      <c r="E10469" s="209"/>
      <c r="J10469" s="124"/>
    </row>
    <row r="10470" spans="3:10" x14ac:dyDescent="0.2">
      <c r="C10470" s="209"/>
      <c r="D10470" s="209"/>
      <c r="E10470" s="209"/>
      <c r="J10470" s="124"/>
    </row>
    <row r="10471" spans="3:10" x14ac:dyDescent="0.2">
      <c r="C10471" s="209"/>
      <c r="D10471" s="209"/>
      <c r="E10471" s="209"/>
      <c r="J10471" s="124"/>
    </row>
    <row r="10472" spans="3:10" x14ac:dyDescent="0.2">
      <c r="C10472" s="209"/>
      <c r="D10472" s="209"/>
      <c r="E10472" s="209"/>
      <c r="J10472" s="124"/>
    </row>
    <row r="10473" spans="3:10" x14ac:dyDescent="0.2">
      <c r="C10473" s="209"/>
      <c r="D10473" s="209"/>
      <c r="E10473" s="209"/>
      <c r="J10473" s="124"/>
    </row>
    <row r="10474" spans="3:10" x14ac:dyDescent="0.2">
      <c r="C10474" s="209"/>
      <c r="D10474" s="209"/>
      <c r="E10474" s="209"/>
      <c r="J10474" s="124"/>
    </row>
    <row r="10475" spans="3:10" x14ac:dyDescent="0.2">
      <c r="C10475" s="209"/>
      <c r="D10475" s="209"/>
      <c r="E10475" s="209"/>
      <c r="J10475" s="124"/>
    </row>
    <row r="10476" spans="3:10" x14ac:dyDescent="0.2">
      <c r="C10476" s="209"/>
      <c r="D10476" s="209"/>
      <c r="E10476" s="209"/>
      <c r="J10476" s="124"/>
    </row>
    <row r="10477" spans="3:10" x14ac:dyDescent="0.2">
      <c r="C10477" s="209"/>
      <c r="D10477" s="209"/>
      <c r="E10477" s="209"/>
      <c r="J10477" s="124"/>
    </row>
    <row r="10478" spans="3:10" x14ac:dyDescent="0.2">
      <c r="C10478" s="209"/>
      <c r="D10478" s="209"/>
      <c r="E10478" s="209"/>
      <c r="J10478" s="124"/>
    </row>
    <row r="10479" spans="3:10" x14ac:dyDescent="0.2">
      <c r="C10479" s="209"/>
      <c r="D10479" s="209"/>
      <c r="E10479" s="209"/>
      <c r="J10479" s="124"/>
    </row>
    <row r="10480" spans="3:10" x14ac:dyDescent="0.2">
      <c r="C10480" s="209"/>
      <c r="D10480" s="209"/>
      <c r="E10480" s="209"/>
      <c r="J10480" s="124"/>
    </row>
    <row r="10481" spans="3:10" x14ac:dyDescent="0.2">
      <c r="C10481" s="209"/>
      <c r="D10481" s="209"/>
      <c r="E10481" s="209"/>
      <c r="J10481" s="124"/>
    </row>
    <row r="10482" spans="3:10" x14ac:dyDescent="0.2">
      <c r="C10482" s="209"/>
      <c r="D10482" s="209"/>
      <c r="E10482" s="209"/>
      <c r="J10482" s="124"/>
    </row>
    <row r="10483" spans="3:10" x14ac:dyDescent="0.2">
      <c r="C10483" s="209"/>
      <c r="D10483" s="209"/>
      <c r="E10483" s="209"/>
      <c r="J10483" s="124"/>
    </row>
    <row r="10484" spans="3:10" x14ac:dyDescent="0.2">
      <c r="C10484" s="209"/>
      <c r="D10484" s="209"/>
      <c r="E10484" s="209"/>
      <c r="J10484" s="124"/>
    </row>
    <row r="10485" spans="3:10" x14ac:dyDescent="0.2">
      <c r="C10485" s="209"/>
      <c r="D10485" s="209"/>
      <c r="E10485" s="209"/>
      <c r="J10485" s="124"/>
    </row>
    <row r="10486" spans="3:10" x14ac:dyDescent="0.2">
      <c r="C10486" s="209"/>
      <c r="D10486" s="209"/>
      <c r="E10486" s="209"/>
      <c r="J10486" s="124"/>
    </row>
    <row r="10487" spans="3:10" x14ac:dyDescent="0.2">
      <c r="C10487" s="209"/>
      <c r="D10487" s="209"/>
      <c r="E10487" s="209"/>
      <c r="J10487" s="124"/>
    </row>
    <row r="10488" spans="3:10" x14ac:dyDescent="0.2">
      <c r="C10488" s="209"/>
      <c r="D10488" s="209"/>
      <c r="E10488" s="209"/>
      <c r="J10488" s="124"/>
    </row>
    <row r="10489" spans="3:10" x14ac:dyDescent="0.2">
      <c r="C10489" s="209"/>
      <c r="D10489" s="209"/>
      <c r="E10489" s="209"/>
      <c r="J10489" s="124"/>
    </row>
    <row r="10490" spans="3:10" x14ac:dyDescent="0.2">
      <c r="C10490" s="209"/>
      <c r="D10490" s="209"/>
      <c r="E10490" s="209"/>
      <c r="J10490" s="124"/>
    </row>
    <row r="10491" spans="3:10" x14ac:dyDescent="0.2">
      <c r="C10491" s="209"/>
      <c r="D10491" s="209"/>
      <c r="E10491" s="209"/>
      <c r="J10491" s="124"/>
    </row>
    <row r="10492" spans="3:10" x14ac:dyDescent="0.2">
      <c r="C10492" s="209"/>
      <c r="D10492" s="209"/>
      <c r="E10492" s="209"/>
      <c r="J10492" s="124"/>
    </row>
    <row r="10493" spans="3:10" x14ac:dyDescent="0.2">
      <c r="C10493" s="209"/>
      <c r="D10493" s="209"/>
      <c r="E10493" s="209"/>
      <c r="J10493" s="124"/>
    </row>
    <row r="10494" spans="3:10" x14ac:dyDescent="0.2">
      <c r="C10494" s="209"/>
      <c r="D10494" s="209"/>
      <c r="E10494" s="209"/>
      <c r="J10494" s="124"/>
    </row>
    <row r="10495" spans="3:10" x14ac:dyDescent="0.2">
      <c r="C10495" s="209"/>
      <c r="D10495" s="209"/>
      <c r="E10495" s="209"/>
      <c r="J10495" s="124"/>
    </row>
    <row r="10496" spans="3:10" x14ac:dyDescent="0.2">
      <c r="C10496" s="209"/>
      <c r="D10496" s="209"/>
      <c r="E10496" s="209"/>
      <c r="J10496" s="124"/>
    </row>
    <row r="10497" spans="3:10" x14ac:dyDescent="0.2">
      <c r="C10497" s="209"/>
      <c r="D10497" s="209"/>
      <c r="E10497" s="209"/>
      <c r="J10497" s="124"/>
    </row>
    <row r="10498" spans="3:10" x14ac:dyDescent="0.2">
      <c r="C10498" s="209"/>
      <c r="D10498" s="209"/>
      <c r="E10498" s="209"/>
      <c r="J10498" s="124"/>
    </row>
    <row r="10499" spans="3:10" x14ac:dyDescent="0.2">
      <c r="C10499" s="209"/>
      <c r="D10499" s="209"/>
      <c r="E10499" s="209"/>
      <c r="J10499" s="124"/>
    </row>
    <row r="10500" spans="3:10" x14ac:dyDescent="0.2">
      <c r="C10500" s="209"/>
      <c r="D10500" s="209"/>
      <c r="E10500" s="209"/>
      <c r="J10500" s="124"/>
    </row>
    <row r="10501" spans="3:10" x14ac:dyDescent="0.2">
      <c r="C10501" s="209"/>
      <c r="D10501" s="209"/>
      <c r="E10501" s="209"/>
      <c r="J10501" s="124"/>
    </row>
    <row r="10502" spans="3:10" x14ac:dyDescent="0.2">
      <c r="C10502" s="209"/>
      <c r="D10502" s="209"/>
      <c r="E10502" s="209"/>
      <c r="J10502" s="124"/>
    </row>
    <row r="10503" spans="3:10" x14ac:dyDescent="0.2">
      <c r="C10503" s="209"/>
      <c r="D10503" s="209"/>
      <c r="E10503" s="209"/>
      <c r="J10503" s="124"/>
    </row>
    <row r="10504" spans="3:10" x14ac:dyDescent="0.2">
      <c r="C10504" s="209"/>
      <c r="D10504" s="209"/>
      <c r="E10504" s="209"/>
      <c r="J10504" s="124"/>
    </row>
    <row r="10505" spans="3:10" x14ac:dyDescent="0.2">
      <c r="C10505" s="209"/>
      <c r="D10505" s="209"/>
      <c r="E10505" s="209"/>
      <c r="J10505" s="124"/>
    </row>
    <row r="10506" spans="3:10" x14ac:dyDescent="0.2">
      <c r="C10506" s="209"/>
      <c r="D10506" s="209"/>
      <c r="E10506" s="209"/>
      <c r="J10506" s="124"/>
    </row>
    <row r="10507" spans="3:10" x14ac:dyDescent="0.2">
      <c r="C10507" s="209"/>
      <c r="D10507" s="209"/>
      <c r="E10507" s="209"/>
      <c r="J10507" s="124"/>
    </row>
    <row r="10508" spans="3:10" x14ac:dyDescent="0.2">
      <c r="C10508" s="209"/>
      <c r="D10508" s="209"/>
      <c r="E10508" s="209"/>
      <c r="J10508" s="124"/>
    </row>
    <row r="10509" spans="3:10" x14ac:dyDescent="0.2">
      <c r="C10509" s="209"/>
      <c r="D10509" s="209"/>
      <c r="E10509" s="209"/>
      <c r="J10509" s="124"/>
    </row>
    <row r="10510" spans="3:10" x14ac:dyDescent="0.2">
      <c r="C10510" s="209"/>
      <c r="D10510" s="209"/>
      <c r="E10510" s="209"/>
      <c r="J10510" s="124"/>
    </row>
    <row r="10511" spans="3:10" x14ac:dyDescent="0.2">
      <c r="C10511" s="209"/>
      <c r="D10511" s="209"/>
      <c r="E10511" s="209"/>
      <c r="J10511" s="124"/>
    </row>
    <row r="10512" spans="3:10" x14ac:dyDescent="0.2">
      <c r="C10512" s="209"/>
      <c r="D10512" s="209"/>
      <c r="E10512" s="209"/>
      <c r="J10512" s="124"/>
    </row>
    <row r="10513" spans="3:10" x14ac:dyDescent="0.2">
      <c r="C10513" s="209"/>
      <c r="D10513" s="209"/>
      <c r="E10513" s="209"/>
      <c r="J10513" s="124"/>
    </row>
    <row r="10514" spans="3:10" x14ac:dyDescent="0.2">
      <c r="C10514" s="209"/>
      <c r="D10514" s="209"/>
      <c r="E10514" s="209"/>
      <c r="J10514" s="124"/>
    </row>
    <row r="10515" spans="3:10" x14ac:dyDescent="0.2">
      <c r="C10515" s="209"/>
      <c r="D10515" s="209"/>
      <c r="E10515" s="209"/>
      <c r="J10515" s="124"/>
    </row>
    <row r="10516" spans="3:10" x14ac:dyDescent="0.2">
      <c r="C10516" s="209"/>
      <c r="D10516" s="209"/>
      <c r="E10516" s="209"/>
      <c r="J10516" s="124"/>
    </row>
    <row r="10517" spans="3:10" x14ac:dyDescent="0.2">
      <c r="C10517" s="209"/>
      <c r="D10517" s="209"/>
      <c r="E10517" s="209"/>
      <c r="J10517" s="124"/>
    </row>
    <row r="10518" spans="3:10" x14ac:dyDescent="0.2">
      <c r="C10518" s="209"/>
      <c r="D10518" s="209"/>
      <c r="E10518" s="209"/>
      <c r="J10518" s="124"/>
    </row>
    <row r="10519" spans="3:10" x14ac:dyDescent="0.2">
      <c r="C10519" s="209"/>
      <c r="D10519" s="209"/>
      <c r="E10519" s="209"/>
      <c r="J10519" s="124"/>
    </row>
    <row r="10520" spans="3:10" x14ac:dyDescent="0.2">
      <c r="C10520" s="209"/>
      <c r="D10520" s="209"/>
      <c r="E10520" s="209"/>
      <c r="J10520" s="124"/>
    </row>
    <row r="10521" spans="3:10" x14ac:dyDescent="0.2">
      <c r="C10521" s="209"/>
      <c r="D10521" s="209"/>
      <c r="E10521" s="209"/>
      <c r="J10521" s="124"/>
    </row>
    <row r="10522" spans="3:10" x14ac:dyDescent="0.2">
      <c r="C10522" s="209"/>
      <c r="D10522" s="209"/>
      <c r="E10522" s="209"/>
      <c r="J10522" s="124"/>
    </row>
    <row r="10523" spans="3:10" x14ac:dyDescent="0.2">
      <c r="C10523" s="209"/>
      <c r="D10523" s="209"/>
      <c r="E10523" s="209"/>
      <c r="J10523" s="124"/>
    </row>
    <row r="10524" spans="3:10" x14ac:dyDescent="0.2">
      <c r="C10524" s="209"/>
      <c r="D10524" s="209"/>
      <c r="E10524" s="209"/>
      <c r="J10524" s="124"/>
    </row>
    <row r="10525" spans="3:10" x14ac:dyDescent="0.2">
      <c r="C10525" s="209"/>
      <c r="D10525" s="209"/>
      <c r="E10525" s="209"/>
      <c r="J10525" s="124"/>
    </row>
    <row r="10526" spans="3:10" x14ac:dyDescent="0.2">
      <c r="C10526" s="209"/>
      <c r="D10526" s="209"/>
      <c r="E10526" s="209"/>
      <c r="J10526" s="124"/>
    </row>
    <row r="10527" spans="3:10" x14ac:dyDescent="0.2">
      <c r="C10527" s="209"/>
      <c r="D10527" s="209"/>
      <c r="E10527" s="209"/>
      <c r="J10527" s="124"/>
    </row>
    <row r="10528" spans="3:10" x14ac:dyDescent="0.2">
      <c r="C10528" s="209"/>
      <c r="D10528" s="209"/>
      <c r="E10528" s="209"/>
      <c r="J10528" s="124"/>
    </row>
    <row r="10529" spans="3:10" x14ac:dyDescent="0.2">
      <c r="C10529" s="209"/>
      <c r="D10529" s="209"/>
      <c r="E10529" s="209"/>
      <c r="J10529" s="124"/>
    </row>
    <row r="10530" spans="3:10" x14ac:dyDescent="0.2">
      <c r="C10530" s="209"/>
      <c r="D10530" s="209"/>
      <c r="E10530" s="209"/>
      <c r="J10530" s="124"/>
    </row>
    <row r="10531" spans="3:10" x14ac:dyDescent="0.2">
      <c r="C10531" s="209"/>
      <c r="D10531" s="209"/>
      <c r="E10531" s="209"/>
      <c r="J10531" s="124"/>
    </row>
    <row r="10532" spans="3:10" x14ac:dyDescent="0.2">
      <c r="C10532" s="209"/>
      <c r="D10532" s="209"/>
      <c r="E10532" s="209"/>
      <c r="J10532" s="124"/>
    </row>
    <row r="10533" spans="3:10" x14ac:dyDescent="0.2">
      <c r="C10533" s="209"/>
      <c r="D10533" s="209"/>
      <c r="E10533" s="209"/>
      <c r="J10533" s="124"/>
    </row>
    <row r="10534" spans="3:10" x14ac:dyDescent="0.2">
      <c r="C10534" s="209"/>
      <c r="D10534" s="209"/>
      <c r="E10534" s="209"/>
      <c r="J10534" s="124"/>
    </row>
    <row r="10535" spans="3:10" x14ac:dyDescent="0.2">
      <c r="C10535" s="209"/>
      <c r="D10535" s="209"/>
      <c r="E10535" s="209"/>
      <c r="J10535" s="124"/>
    </row>
    <row r="10536" spans="3:10" x14ac:dyDescent="0.2">
      <c r="C10536" s="209"/>
      <c r="D10536" s="209"/>
      <c r="E10536" s="209"/>
      <c r="J10536" s="124"/>
    </row>
    <row r="10537" spans="3:10" x14ac:dyDescent="0.2">
      <c r="C10537" s="209"/>
      <c r="D10537" s="209"/>
      <c r="E10537" s="209"/>
      <c r="J10537" s="124"/>
    </row>
    <row r="10538" spans="3:10" x14ac:dyDescent="0.2">
      <c r="C10538" s="209"/>
      <c r="D10538" s="209"/>
      <c r="E10538" s="209"/>
      <c r="J10538" s="124"/>
    </row>
    <row r="10539" spans="3:10" x14ac:dyDescent="0.2">
      <c r="C10539" s="209"/>
      <c r="D10539" s="209"/>
      <c r="E10539" s="209"/>
      <c r="J10539" s="124"/>
    </row>
    <row r="10540" spans="3:10" x14ac:dyDescent="0.2">
      <c r="C10540" s="209"/>
      <c r="D10540" s="209"/>
      <c r="E10540" s="209"/>
      <c r="J10540" s="124"/>
    </row>
    <row r="10541" spans="3:10" x14ac:dyDescent="0.2">
      <c r="C10541" s="209"/>
      <c r="D10541" s="209"/>
      <c r="E10541" s="209"/>
      <c r="J10541" s="124"/>
    </row>
    <row r="10542" spans="3:10" x14ac:dyDescent="0.2">
      <c r="C10542" s="209"/>
      <c r="D10542" s="209"/>
      <c r="E10542" s="209"/>
      <c r="J10542" s="124"/>
    </row>
    <row r="10543" spans="3:10" x14ac:dyDescent="0.2">
      <c r="C10543" s="209"/>
      <c r="D10543" s="209"/>
      <c r="E10543" s="209"/>
      <c r="J10543" s="124"/>
    </row>
    <row r="10544" spans="3:10" x14ac:dyDescent="0.2">
      <c r="C10544" s="209"/>
      <c r="D10544" s="209"/>
      <c r="E10544" s="209"/>
      <c r="J10544" s="124"/>
    </row>
    <row r="10545" spans="3:10" x14ac:dyDescent="0.2">
      <c r="C10545" s="209"/>
      <c r="D10545" s="209"/>
      <c r="E10545" s="209"/>
      <c r="J10545" s="124"/>
    </row>
    <row r="10546" spans="3:10" x14ac:dyDescent="0.2">
      <c r="C10546" s="209"/>
      <c r="D10546" s="209"/>
      <c r="E10546" s="209"/>
      <c r="J10546" s="124"/>
    </row>
    <row r="10547" spans="3:10" x14ac:dyDescent="0.2">
      <c r="C10547" s="209"/>
      <c r="D10547" s="209"/>
      <c r="E10547" s="209"/>
      <c r="J10547" s="124"/>
    </row>
    <row r="10548" spans="3:10" x14ac:dyDescent="0.2">
      <c r="C10548" s="209"/>
      <c r="D10548" s="209"/>
      <c r="E10548" s="209"/>
      <c r="J10548" s="124"/>
    </row>
    <row r="10549" spans="3:10" x14ac:dyDescent="0.2">
      <c r="C10549" s="209"/>
      <c r="D10549" s="209"/>
      <c r="E10549" s="209"/>
      <c r="J10549" s="124"/>
    </row>
    <row r="10550" spans="3:10" x14ac:dyDescent="0.2">
      <c r="C10550" s="209"/>
      <c r="D10550" s="209"/>
      <c r="E10550" s="209"/>
      <c r="J10550" s="124"/>
    </row>
    <row r="10551" spans="3:10" x14ac:dyDescent="0.2">
      <c r="C10551" s="209"/>
      <c r="D10551" s="209"/>
      <c r="E10551" s="209"/>
      <c r="J10551" s="124"/>
    </row>
    <row r="10552" spans="3:10" x14ac:dyDescent="0.2">
      <c r="C10552" s="209"/>
      <c r="D10552" s="209"/>
      <c r="E10552" s="209"/>
      <c r="J10552" s="124"/>
    </row>
    <row r="10553" spans="3:10" x14ac:dyDescent="0.2">
      <c r="C10553" s="209"/>
      <c r="D10553" s="209"/>
      <c r="E10553" s="209"/>
      <c r="J10553" s="124"/>
    </row>
    <row r="10554" spans="3:10" x14ac:dyDescent="0.2">
      <c r="C10554" s="209"/>
      <c r="D10554" s="209"/>
      <c r="E10554" s="209"/>
      <c r="J10554" s="124"/>
    </row>
    <row r="10555" spans="3:10" x14ac:dyDescent="0.2">
      <c r="C10555" s="209"/>
      <c r="D10555" s="209"/>
      <c r="E10555" s="209"/>
      <c r="J10555" s="124"/>
    </row>
    <row r="10556" spans="3:10" x14ac:dyDescent="0.2">
      <c r="C10556" s="209"/>
      <c r="D10556" s="209"/>
      <c r="E10556" s="209"/>
      <c r="J10556" s="124"/>
    </row>
    <row r="10557" spans="3:10" x14ac:dyDescent="0.2">
      <c r="C10557" s="209"/>
      <c r="D10557" s="209"/>
      <c r="E10557" s="209"/>
      <c r="J10557" s="124"/>
    </row>
    <row r="10558" spans="3:10" x14ac:dyDescent="0.2">
      <c r="C10558" s="209"/>
      <c r="D10558" s="209"/>
      <c r="E10558" s="209"/>
      <c r="J10558" s="124"/>
    </row>
    <row r="10559" spans="3:10" x14ac:dyDescent="0.2">
      <c r="C10559" s="209"/>
      <c r="D10559" s="209"/>
      <c r="E10559" s="209"/>
      <c r="J10559" s="124"/>
    </row>
    <row r="10560" spans="3:10" x14ac:dyDescent="0.2">
      <c r="C10560" s="209"/>
      <c r="D10560" s="209"/>
      <c r="E10560" s="209"/>
      <c r="J10560" s="124"/>
    </row>
    <row r="10561" spans="3:10" x14ac:dyDescent="0.2">
      <c r="C10561" s="209"/>
      <c r="D10561" s="209"/>
      <c r="E10561" s="209"/>
      <c r="J10561" s="124"/>
    </row>
    <row r="10562" spans="3:10" x14ac:dyDescent="0.2">
      <c r="C10562" s="209"/>
      <c r="D10562" s="209"/>
      <c r="E10562" s="209"/>
      <c r="J10562" s="124"/>
    </row>
    <row r="10563" spans="3:10" x14ac:dyDescent="0.2">
      <c r="C10563" s="209"/>
      <c r="D10563" s="209"/>
      <c r="E10563" s="209"/>
      <c r="J10563" s="124"/>
    </row>
    <row r="10564" spans="3:10" x14ac:dyDescent="0.2">
      <c r="C10564" s="209"/>
      <c r="D10564" s="209"/>
      <c r="E10564" s="209"/>
      <c r="J10564" s="124"/>
    </row>
    <row r="10565" spans="3:10" x14ac:dyDescent="0.2">
      <c r="C10565" s="209"/>
      <c r="D10565" s="209"/>
      <c r="E10565" s="209"/>
      <c r="J10565" s="124"/>
    </row>
    <row r="10566" spans="3:10" x14ac:dyDescent="0.2">
      <c r="C10566" s="209"/>
      <c r="D10566" s="209"/>
      <c r="E10566" s="209"/>
      <c r="J10566" s="124"/>
    </row>
    <row r="10567" spans="3:10" x14ac:dyDescent="0.2">
      <c r="C10567" s="209"/>
      <c r="D10567" s="209"/>
      <c r="E10567" s="209"/>
      <c r="J10567" s="124"/>
    </row>
    <row r="10568" spans="3:10" x14ac:dyDescent="0.2">
      <c r="C10568" s="209"/>
      <c r="D10568" s="209"/>
      <c r="E10568" s="209"/>
      <c r="J10568" s="124"/>
    </row>
    <row r="10569" spans="3:10" x14ac:dyDescent="0.2">
      <c r="C10569" s="209"/>
      <c r="D10569" s="209"/>
      <c r="E10569" s="209"/>
      <c r="J10569" s="124"/>
    </row>
    <row r="10570" spans="3:10" x14ac:dyDescent="0.2">
      <c r="C10570" s="209"/>
      <c r="D10570" s="209"/>
      <c r="E10570" s="209"/>
      <c r="J10570" s="124"/>
    </row>
    <row r="10571" spans="3:10" x14ac:dyDescent="0.2">
      <c r="C10571" s="209"/>
      <c r="D10571" s="209"/>
      <c r="E10571" s="209"/>
      <c r="J10571" s="124"/>
    </row>
    <row r="10572" spans="3:10" x14ac:dyDescent="0.2">
      <c r="C10572" s="209"/>
      <c r="D10572" s="209"/>
      <c r="E10572" s="209"/>
      <c r="J10572" s="124"/>
    </row>
    <row r="10573" spans="3:10" x14ac:dyDescent="0.2">
      <c r="C10573" s="209"/>
      <c r="D10573" s="209"/>
      <c r="E10573" s="209"/>
      <c r="J10573" s="124"/>
    </row>
    <row r="10574" spans="3:10" x14ac:dyDescent="0.2">
      <c r="C10574" s="209"/>
      <c r="D10574" s="209"/>
      <c r="E10574" s="209"/>
      <c r="J10574" s="124"/>
    </row>
    <row r="10575" spans="3:10" x14ac:dyDescent="0.2">
      <c r="C10575" s="209"/>
      <c r="D10575" s="209"/>
      <c r="E10575" s="209"/>
      <c r="J10575" s="124"/>
    </row>
    <row r="10576" spans="3:10" x14ac:dyDescent="0.2">
      <c r="C10576" s="209"/>
      <c r="D10576" s="209"/>
      <c r="E10576" s="209"/>
      <c r="J10576" s="124"/>
    </row>
    <row r="10577" spans="3:10" x14ac:dyDescent="0.2">
      <c r="C10577" s="209"/>
      <c r="D10577" s="209"/>
      <c r="E10577" s="209"/>
      <c r="J10577" s="124"/>
    </row>
    <row r="10578" spans="3:10" x14ac:dyDescent="0.2">
      <c r="C10578" s="209"/>
      <c r="D10578" s="209"/>
      <c r="E10578" s="209"/>
      <c r="J10578" s="124"/>
    </row>
    <row r="10579" spans="3:10" x14ac:dyDescent="0.2">
      <c r="C10579" s="209"/>
      <c r="D10579" s="209"/>
      <c r="E10579" s="209"/>
      <c r="J10579" s="124"/>
    </row>
    <row r="10580" spans="3:10" x14ac:dyDescent="0.2">
      <c r="C10580" s="209"/>
      <c r="D10580" s="209"/>
      <c r="E10580" s="209"/>
      <c r="J10580" s="124"/>
    </row>
    <row r="10581" spans="3:10" x14ac:dyDescent="0.2">
      <c r="C10581" s="209"/>
      <c r="D10581" s="209"/>
      <c r="E10581" s="209"/>
      <c r="J10581" s="124"/>
    </row>
    <row r="10582" spans="3:10" x14ac:dyDescent="0.2">
      <c r="C10582" s="209"/>
      <c r="D10582" s="209"/>
      <c r="E10582" s="209"/>
      <c r="J10582" s="124"/>
    </row>
    <row r="10583" spans="3:10" x14ac:dyDescent="0.2">
      <c r="C10583" s="209"/>
      <c r="D10583" s="209"/>
      <c r="E10583" s="209"/>
      <c r="J10583" s="124"/>
    </row>
    <row r="10584" spans="3:10" x14ac:dyDescent="0.2">
      <c r="C10584" s="209"/>
      <c r="D10584" s="209"/>
      <c r="E10584" s="209"/>
      <c r="J10584" s="124"/>
    </row>
    <row r="10585" spans="3:10" x14ac:dyDescent="0.2">
      <c r="C10585" s="209"/>
      <c r="D10585" s="209"/>
      <c r="E10585" s="209"/>
      <c r="J10585" s="124"/>
    </row>
    <row r="10586" spans="3:10" x14ac:dyDescent="0.2">
      <c r="C10586" s="209"/>
      <c r="D10586" s="209"/>
      <c r="E10586" s="209"/>
      <c r="J10586" s="124"/>
    </row>
    <row r="10587" spans="3:10" x14ac:dyDescent="0.2">
      <c r="C10587" s="209"/>
      <c r="D10587" s="209"/>
      <c r="E10587" s="209"/>
      <c r="J10587" s="124"/>
    </row>
    <row r="10588" spans="3:10" x14ac:dyDescent="0.2">
      <c r="C10588" s="209"/>
      <c r="D10588" s="209"/>
      <c r="E10588" s="209"/>
      <c r="J10588" s="124"/>
    </row>
    <row r="10589" spans="3:10" x14ac:dyDescent="0.2">
      <c r="C10589" s="209"/>
      <c r="D10589" s="209"/>
      <c r="E10589" s="209"/>
      <c r="J10589" s="124"/>
    </row>
    <row r="10590" spans="3:10" x14ac:dyDescent="0.2">
      <c r="C10590" s="209"/>
      <c r="D10590" s="209"/>
      <c r="E10590" s="209"/>
      <c r="J10590" s="124"/>
    </row>
    <row r="10591" spans="3:10" x14ac:dyDescent="0.2">
      <c r="C10591" s="209"/>
      <c r="D10591" s="209"/>
      <c r="E10591" s="209"/>
      <c r="J10591" s="124"/>
    </row>
    <row r="10592" spans="3:10" x14ac:dyDescent="0.2">
      <c r="C10592" s="209"/>
      <c r="D10592" s="209"/>
      <c r="E10592" s="209"/>
      <c r="J10592" s="124"/>
    </row>
    <row r="10593" spans="3:10" x14ac:dyDescent="0.2">
      <c r="C10593" s="209"/>
      <c r="D10593" s="209"/>
      <c r="E10593" s="209"/>
      <c r="J10593" s="124"/>
    </row>
    <row r="10594" spans="3:10" x14ac:dyDescent="0.2">
      <c r="C10594" s="209"/>
      <c r="D10594" s="209"/>
      <c r="E10594" s="209"/>
      <c r="J10594" s="124"/>
    </row>
    <row r="10595" spans="3:10" x14ac:dyDescent="0.2">
      <c r="C10595" s="209"/>
      <c r="D10595" s="209"/>
      <c r="E10595" s="209"/>
      <c r="J10595" s="124"/>
    </row>
    <row r="10596" spans="3:10" x14ac:dyDescent="0.2">
      <c r="C10596" s="209"/>
      <c r="D10596" s="209"/>
      <c r="E10596" s="209"/>
      <c r="J10596" s="124"/>
    </row>
    <row r="10597" spans="3:10" x14ac:dyDescent="0.2">
      <c r="C10597" s="209"/>
      <c r="D10597" s="209"/>
      <c r="E10597" s="209"/>
      <c r="J10597" s="124"/>
    </row>
    <row r="10598" spans="3:10" x14ac:dyDescent="0.2">
      <c r="C10598" s="209"/>
      <c r="D10598" s="209"/>
      <c r="E10598" s="209"/>
      <c r="J10598" s="124"/>
    </row>
    <row r="10599" spans="3:10" x14ac:dyDescent="0.2">
      <c r="C10599" s="209"/>
      <c r="D10599" s="209"/>
      <c r="E10599" s="209"/>
      <c r="J10599" s="124"/>
    </row>
    <row r="10600" spans="3:10" x14ac:dyDescent="0.2">
      <c r="C10600" s="209"/>
      <c r="D10600" s="209"/>
      <c r="E10600" s="209"/>
      <c r="J10600" s="124"/>
    </row>
    <row r="10601" spans="3:10" x14ac:dyDescent="0.2">
      <c r="C10601" s="209"/>
      <c r="D10601" s="209"/>
      <c r="E10601" s="209"/>
      <c r="J10601" s="124"/>
    </row>
    <row r="10602" spans="3:10" x14ac:dyDescent="0.2">
      <c r="C10602" s="209"/>
      <c r="D10602" s="209"/>
      <c r="E10602" s="209"/>
      <c r="J10602" s="124"/>
    </row>
    <row r="10603" spans="3:10" x14ac:dyDescent="0.2">
      <c r="C10603" s="209"/>
      <c r="D10603" s="209"/>
      <c r="E10603" s="209"/>
      <c r="J10603" s="124"/>
    </row>
    <row r="10604" spans="3:10" x14ac:dyDescent="0.2">
      <c r="C10604" s="209"/>
      <c r="D10604" s="209"/>
      <c r="E10604" s="209"/>
      <c r="J10604" s="124"/>
    </row>
    <row r="10605" spans="3:10" x14ac:dyDescent="0.2">
      <c r="C10605" s="209"/>
      <c r="D10605" s="209"/>
      <c r="E10605" s="209"/>
      <c r="J10605" s="124"/>
    </row>
    <row r="10606" spans="3:10" x14ac:dyDescent="0.2">
      <c r="C10606" s="209"/>
      <c r="D10606" s="209"/>
      <c r="E10606" s="209"/>
      <c r="J10606" s="124"/>
    </row>
    <row r="10607" spans="3:10" x14ac:dyDescent="0.2">
      <c r="C10607" s="209"/>
      <c r="D10607" s="209"/>
      <c r="E10607" s="209"/>
      <c r="J10607" s="124"/>
    </row>
    <row r="10608" spans="3:10" x14ac:dyDescent="0.2">
      <c r="C10608" s="209"/>
      <c r="D10608" s="209"/>
      <c r="E10608" s="209"/>
      <c r="J10608" s="124"/>
    </row>
    <row r="10609" spans="3:10" x14ac:dyDescent="0.2">
      <c r="C10609" s="209"/>
      <c r="D10609" s="209"/>
      <c r="E10609" s="209"/>
      <c r="J10609" s="124"/>
    </row>
    <row r="10610" spans="3:10" x14ac:dyDescent="0.2">
      <c r="C10610" s="209"/>
      <c r="D10610" s="209"/>
      <c r="E10610" s="209"/>
      <c r="J10610" s="124"/>
    </row>
    <row r="10611" spans="3:10" x14ac:dyDescent="0.2">
      <c r="C10611" s="209"/>
      <c r="D10611" s="209"/>
      <c r="E10611" s="209"/>
      <c r="J10611" s="124"/>
    </row>
    <row r="10612" spans="3:10" x14ac:dyDescent="0.2">
      <c r="C10612" s="209"/>
      <c r="D10612" s="209"/>
      <c r="E10612" s="209"/>
      <c r="J10612" s="124"/>
    </row>
    <row r="10613" spans="3:10" x14ac:dyDescent="0.2">
      <c r="C10613" s="209"/>
      <c r="D10613" s="209"/>
      <c r="E10613" s="209"/>
      <c r="J10613" s="124"/>
    </row>
    <row r="10614" spans="3:10" x14ac:dyDescent="0.2">
      <c r="C10614" s="209"/>
      <c r="D10614" s="209"/>
      <c r="E10614" s="209"/>
      <c r="J10614" s="124"/>
    </row>
    <row r="10615" spans="3:10" x14ac:dyDescent="0.2">
      <c r="C10615" s="209"/>
      <c r="D10615" s="209"/>
      <c r="E10615" s="209"/>
      <c r="J10615" s="124"/>
    </row>
    <row r="10616" spans="3:10" x14ac:dyDescent="0.2">
      <c r="C10616" s="209"/>
      <c r="D10616" s="209"/>
      <c r="E10616" s="209"/>
      <c r="J10616" s="124"/>
    </row>
    <row r="10617" spans="3:10" x14ac:dyDescent="0.2">
      <c r="C10617" s="209"/>
      <c r="D10617" s="209"/>
      <c r="E10617" s="209"/>
      <c r="J10617" s="124"/>
    </row>
    <row r="10618" spans="3:10" x14ac:dyDescent="0.2">
      <c r="C10618" s="209"/>
      <c r="D10618" s="209"/>
      <c r="E10618" s="209"/>
      <c r="J10618" s="124"/>
    </row>
    <row r="10619" spans="3:10" x14ac:dyDescent="0.2">
      <c r="C10619" s="209"/>
      <c r="D10619" s="209"/>
      <c r="E10619" s="209"/>
      <c r="J10619" s="124"/>
    </row>
    <row r="10620" spans="3:10" x14ac:dyDescent="0.2">
      <c r="C10620" s="209"/>
      <c r="D10620" s="209"/>
      <c r="E10620" s="209"/>
      <c r="J10620" s="124"/>
    </row>
    <row r="10621" spans="3:10" x14ac:dyDescent="0.2">
      <c r="C10621" s="209"/>
      <c r="D10621" s="209"/>
      <c r="E10621" s="209"/>
      <c r="J10621" s="124"/>
    </row>
    <row r="10622" spans="3:10" x14ac:dyDescent="0.2">
      <c r="C10622" s="209"/>
      <c r="D10622" s="209"/>
      <c r="E10622" s="209"/>
      <c r="J10622" s="124"/>
    </row>
    <row r="10623" spans="3:10" x14ac:dyDescent="0.2">
      <c r="C10623" s="209"/>
      <c r="D10623" s="209"/>
      <c r="E10623" s="209"/>
      <c r="J10623" s="124"/>
    </row>
    <row r="10624" spans="3:10" x14ac:dyDescent="0.2">
      <c r="C10624" s="209"/>
      <c r="D10624" s="209"/>
      <c r="E10624" s="209"/>
      <c r="J10624" s="124"/>
    </row>
    <row r="10625" spans="3:10" x14ac:dyDescent="0.2">
      <c r="C10625" s="209"/>
      <c r="D10625" s="209"/>
      <c r="E10625" s="209"/>
      <c r="J10625" s="124"/>
    </row>
    <row r="10626" spans="3:10" x14ac:dyDescent="0.2">
      <c r="C10626" s="209"/>
      <c r="D10626" s="209"/>
      <c r="E10626" s="209"/>
      <c r="J10626" s="124"/>
    </row>
    <row r="10627" spans="3:10" x14ac:dyDescent="0.2">
      <c r="C10627" s="209"/>
      <c r="D10627" s="209"/>
      <c r="E10627" s="209"/>
      <c r="J10627" s="124"/>
    </row>
    <row r="10628" spans="3:10" x14ac:dyDescent="0.2">
      <c r="C10628" s="209"/>
      <c r="D10628" s="209"/>
      <c r="E10628" s="209"/>
      <c r="J10628" s="124"/>
    </row>
    <row r="10629" spans="3:10" x14ac:dyDescent="0.2">
      <c r="C10629" s="209"/>
      <c r="D10629" s="209"/>
      <c r="E10629" s="209"/>
      <c r="J10629" s="124"/>
    </row>
    <row r="10630" spans="3:10" x14ac:dyDescent="0.2">
      <c r="C10630" s="209"/>
      <c r="D10630" s="209"/>
      <c r="E10630" s="209"/>
      <c r="J10630" s="124"/>
    </row>
    <row r="10631" spans="3:10" x14ac:dyDescent="0.2">
      <c r="C10631" s="209"/>
      <c r="D10631" s="209"/>
      <c r="E10631" s="209"/>
      <c r="J10631" s="124"/>
    </row>
    <row r="10632" spans="3:10" x14ac:dyDescent="0.2">
      <c r="C10632" s="209"/>
      <c r="D10632" s="209"/>
      <c r="E10632" s="209"/>
      <c r="J10632" s="124"/>
    </row>
    <row r="10633" spans="3:10" x14ac:dyDescent="0.2">
      <c r="C10633" s="209"/>
      <c r="D10633" s="209"/>
      <c r="E10633" s="209"/>
      <c r="J10633" s="124"/>
    </row>
    <row r="10634" spans="3:10" x14ac:dyDescent="0.2">
      <c r="C10634" s="209"/>
      <c r="D10634" s="209"/>
      <c r="E10634" s="209"/>
      <c r="J10634" s="124"/>
    </row>
    <row r="10635" spans="3:10" x14ac:dyDescent="0.2">
      <c r="C10635" s="209"/>
      <c r="D10635" s="209"/>
      <c r="E10635" s="209"/>
      <c r="J10635" s="124"/>
    </row>
    <row r="10636" spans="3:10" x14ac:dyDescent="0.2">
      <c r="C10636" s="209"/>
      <c r="D10636" s="209"/>
      <c r="E10636" s="209"/>
      <c r="J10636" s="124"/>
    </row>
    <row r="10637" spans="3:10" x14ac:dyDescent="0.2">
      <c r="C10637" s="209"/>
      <c r="D10637" s="209"/>
      <c r="E10637" s="209"/>
      <c r="J10637" s="124"/>
    </row>
    <row r="10638" spans="3:10" x14ac:dyDescent="0.2">
      <c r="C10638" s="209"/>
      <c r="D10638" s="209"/>
      <c r="E10638" s="209"/>
      <c r="J10638" s="124"/>
    </row>
    <row r="10639" spans="3:10" x14ac:dyDescent="0.2">
      <c r="C10639" s="209"/>
      <c r="D10639" s="209"/>
      <c r="E10639" s="209"/>
      <c r="J10639" s="124"/>
    </row>
    <row r="10640" spans="3:10" x14ac:dyDescent="0.2">
      <c r="C10640" s="209"/>
      <c r="D10640" s="209"/>
      <c r="E10640" s="209"/>
      <c r="J10640" s="124"/>
    </row>
    <row r="10641" spans="3:10" x14ac:dyDescent="0.2">
      <c r="C10641" s="209"/>
      <c r="D10641" s="209"/>
      <c r="E10641" s="209"/>
      <c r="J10641" s="124"/>
    </row>
    <row r="10642" spans="3:10" x14ac:dyDescent="0.2">
      <c r="C10642" s="209"/>
      <c r="D10642" s="209"/>
      <c r="E10642" s="209"/>
      <c r="J10642" s="124"/>
    </row>
    <row r="10643" spans="3:10" x14ac:dyDescent="0.2">
      <c r="C10643" s="209"/>
      <c r="D10643" s="209"/>
      <c r="E10643" s="209"/>
      <c r="J10643" s="124"/>
    </row>
    <row r="10644" spans="3:10" x14ac:dyDescent="0.2">
      <c r="C10644" s="209"/>
      <c r="D10644" s="209"/>
      <c r="E10644" s="209"/>
      <c r="J10644" s="124"/>
    </row>
    <row r="10645" spans="3:10" x14ac:dyDescent="0.2">
      <c r="C10645" s="209"/>
      <c r="D10645" s="209"/>
      <c r="E10645" s="209"/>
      <c r="J10645" s="124"/>
    </row>
    <row r="10646" spans="3:10" x14ac:dyDescent="0.2">
      <c r="C10646" s="209"/>
      <c r="D10646" s="209"/>
      <c r="E10646" s="209"/>
      <c r="J10646" s="124"/>
    </row>
    <row r="10647" spans="3:10" x14ac:dyDescent="0.2">
      <c r="C10647" s="209"/>
      <c r="D10647" s="209"/>
      <c r="E10647" s="209"/>
      <c r="J10647" s="124"/>
    </row>
    <row r="10648" spans="3:10" x14ac:dyDescent="0.2">
      <c r="C10648" s="209"/>
      <c r="D10648" s="209"/>
      <c r="E10648" s="209"/>
      <c r="J10648" s="124"/>
    </row>
    <row r="10649" spans="3:10" x14ac:dyDescent="0.2">
      <c r="C10649" s="209"/>
      <c r="D10649" s="209"/>
      <c r="E10649" s="209"/>
      <c r="J10649" s="124"/>
    </row>
    <row r="10650" spans="3:10" x14ac:dyDescent="0.2">
      <c r="C10650" s="209"/>
      <c r="D10650" s="209"/>
      <c r="E10650" s="209"/>
      <c r="J10650" s="124"/>
    </row>
    <row r="10651" spans="3:10" x14ac:dyDescent="0.2">
      <c r="C10651" s="209"/>
      <c r="D10651" s="209"/>
      <c r="E10651" s="209"/>
      <c r="J10651" s="124"/>
    </row>
    <row r="10652" spans="3:10" x14ac:dyDescent="0.2">
      <c r="C10652" s="209"/>
      <c r="D10652" s="209"/>
      <c r="E10652" s="209"/>
      <c r="J10652" s="124"/>
    </row>
    <row r="10653" spans="3:10" x14ac:dyDescent="0.2">
      <c r="C10653" s="209"/>
      <c r="D10653" s="209"/>
      <c r="E10653" s="209"/>
      <c r="J10653" s="124"/>
    </row>
    <row r="10654" spans="3:10" x14ac:dyDescent="0.2">
      <c r="C10654" s="209"/>
      <c r="D10654" s="209"/>
      <c r="E10654" s="209"/>
      <c r="J10654" s="124"/>
    </row>
    <row r="10655" spans="3:10" x14ac:dyDescent="0.2">
      <c r="C10655" s="209"/>
      <c r="D10655" s="209"/>
      <c r="E10655" s="209"/>
      <c r="J10655" s="124"/>
    </row>
    <row r="10656" spans="3:10" x14ac:dyDescent="0.2">
      <c r="C10656" s="209"/>
      <c r="D10656" s="209"/>
      <c r="E10656" s="209"/>
      <c r="J10656" s="124"/>
    </row>
    <row r="10657" spans="3:10" x14ac:dyDescent="0.2">
      <c r="C10657" s="209"/>
      <c r="D10657" s="209"/>
      <c r="E10657" s="209"/>
      <c r="J10657" s="124"/>
    </row>
    <row r="10658" spans="3:10" x14ac:dyDescent="0.2">
      <c r="C10658" s="209"/>
      <c r="D10658" s="209"/>
      <c r="E10658" s="209"/>
      <c r="J10658" s="124"/>
    </row>
    <row r="10659" spans="3:10" x14ac:dyDescent="0.2">
      <c r="C10659" s="209"/>
      <c r="D10659" s="209"/>
      <c r="E10659" s="209"/>
      <c r="J10659" s="124"/>
    </row>
    <row r="10660" spans="3:10" x14ac:dyDescent="0.2">
      <c r="C10660" s="209"/>
      <c r="D10660" s="209"/>
      <c r="E10660" s="209"/>
      <c r="J10660" s="124"/>
    </row>
    <row r="10661" spans="3:10" x14ac:dyDescent="0.2">
      <c r="C10661" s="209"/>
      <c r="D10661" s="209"/>
      <c r="E10661" s="209"/>
      <c r="J10661" s="124"/>
    </row>
    <row r="10662" spans="3:10" x14ac:dyDescent="0.2">
      <c r="C10662" s="209"/>
      <c r="D10662" s="209"/>
      <c r="E10662" s="209"/>
      <c r="J10662" s="124"/>
    </row>
    <row r="10663" spans="3:10" x14ac:dyDescent="0.2">
      <c r="C10663" s="209"/>
      <c r="D10663" s="209"/>
      <c r="E10663" s="209"/>
      <c r="J10663" s="124"/>
    </row>
    <row r="10664" spans="3:10" x14ac:dyDescent="0.2">
      <c r="C10664" s="209"/>
      <c r="D10664" s="209"/>
      <c r="E10664" s="209"/>
      <c r="J10664" s="124"/>
    </row>
    <row r="10665" spans="3:10" x14ac:dyDescent="0.2">
      <c r="C10665" s="209"/>
      <c r="D10665" s="209"/>
      <c r="E10665" s="209"/>
      <c r="J10665" s="124"/>
    </row>
    <row r="10666" spans="3:10" x14ac:dyDescent="0.2">
      <c r="C10666" s="209"/>
      <c r="D10666" s="209"/>
      <c r="E10666" s="209"/>
      <c r="J10666" s="124"/>
    </row>
    <row r="10667" spans="3:10" x14ac:dyDescent="0.2">
      <c r="C10667" s="209"/>
      <c r="D10667" s="209"/>
      <c r="E10667" s="209"/>
      <c r="J10667" s="124"/>
    </row>
    <row r="10668" spans="3:10" x14ac:dyDescent="0.2">
      <c r="C10668" s="209"/>
      <c r="D10668" s="209"/>
      <c r="E10668" s="209"/>
      <c r="J10668" s="124"/>
    </row>
    <row r="10669" spans="3:10" x14ac:dyDescent="0.2">
      <c r="C10669" s="209"/>
      <c r="D10669" s="209"/>
      <c r="E10669" s="209"/>
      <c r="J10669" s="124"/>
    </row>
    <row r="10670" spans="3:10" x14ac:dyDescent="0.2">
      <c r="C10670" s="209"/>
      <c r="D10670" s="209"/>
      <c r="E10670" s="209"/>
      <c r="J10670" s="124"/>
    </row>
    <row r="10671" spans="3:10" x14ac:dyDescent="0.2">
      <c r="C10671" s="209"/>
      <c r="D10671" s="209"/>
      <c r="E10671" s="209"/>
      <c r="J10671" s="124"/>
    </row>
    <row r="10672" spans="3:10" x14ac:dyDescent="0.2">
      <c r="C10672" s="209"/>
      <c r="D10672" s="209"/>
      <c r="E10672" s="209"/>
      <c r="J10672" s="124"/>
    </row>
    <row r="10673" spans="3:10" x14ac:dyDescent="0.2">
      <c r="C10673" s="209"/>
      <c r="D10673" s="209"/>
      <c r="E10673" s="209"/>
      <c r="J10673" s="124"/>
    </row>
    <row r="10674" spans="3:10" x14ac:dyDescent="0.2">
      <c r="C10674" s="209"/>
      <c r="D10674" s="209"/>
      <c r="E10674" s="209"/>
      <c r="J10674" s="124"/>
    </row>
    <row r="10675" spans="3:10" x14ac:dyDescent="0.2">
      <c r="C10675" s="209"/>
      <c r="D10675" s="209"/>
      <c r="E10675" s="209"/>
      <c r="J10675" s="124"/>
    </row>
    <row r="10676" spans="3:10" x14ac:dyDescent="0.2">
      <c r="C10676" s="209"/>
      <c r="D10676" s="209"/>
      <c r="E10676" s="209"/>
      <c r="J10676" s="124"/>
    </row>
    <row r="10677" spans="3:10" x14ac:dyDescent="0.2">
      <c r="C10677" s="209"/>
      <c r="D10677" s="209"/>
      <c r="E10677" s="209"/>
      <c r="J10677" s="124"/>
    </row>
    <row r="10678" spans="3:10" x14ac:dyDescent="0.2">
      <c r="C10678" s="209"/>
      <c r="D10678" s="209"/>
      <c r="E10678" s="209"/>
      <c r="J10678" s="124"/>
    </row>
    <row r="10679" spans="3:10" x14ac:dyDescent="0.2">
      <c r="C10679" s="209"/>
      <c r="D10679" s="209"/>
      <c r="E10679" s="209"/>
      <c r="J10679" s="124"/>
    </row>
    <row r="10680" spans="3:10" x14ac:dyDescent="0.2">
      <c r="C10680" s="209"/>
      <c r="D10680" s="209"/>
      <c r="E10680" s="209"/>
      <c r="J10680" s="124"/>
    </row>
    <row r="10681" spans="3:10" x14ac:dyDescent="0.2">
      <c r="C10681" s="209"/>
      <c r="D10681" s="209"/>
      <c r="E10681" s="209"/>
      <c r="J10681" s="124"/>
    </row>
    <row r="10682" spans="3:10" x14ac:dyDescent="0.2">
      <c r="C10682" s="209"/>
      <c r="D10682" s="209"/>
      <c r="E10682" s="209"/>
      <c r="J10682" s="124"/>
    </row>
    <row r="10683" spans="3:10" x14ac:dyDescent="0.2">
      <c r="C10683" s="209"/>
      <c r="D10683" s="209"/>
      <c r="E10683" s="209"/>
      <c r="J10683" s="124"/>
    </row>
    <row r="10684" spans="3:10" x14ac:dyDescent="0.2">
      <c r="C10684" s="209"/>
      <c r="D10684" s="209"/>
      <c r="E10684" s="209"/>
      <c r="J10684" s="124"/>
    </row>
    <row r="10685" spans="3:10" x14ac:dyDescent="0.2">
      <c r="C10685" s="209"/>
      <c r="D10685" s="209"/>
      <c r="E10685" s="209"/>
      <c r="J10685" s="124"/>
    </row>
    <row r="10686" spans="3:10" x14ac:dyDescent="0.2">
      <c r="C10686" s="209"/>
      <c r="D10686" s="209"/>
      <c r="E10686" s="209"/>
      <c r="J10686" s="124"/>
    </row>
    <row r="10687" spans="3:10" x14ac:dyDescent="0.2">
      <c r="C10687" s="209"/>
      <c r="D10687" s="209"/>
      <c r="E10687" s="209"/>
      <c r="J10687" s="124"/>
    </row>
    <row r="10688" spans="3:10" x14ac:dyDescent="0.2">
      <c r="C10688" s="209"/>
      <c r="D10688" s="209"/>
      <c r="E10688" s="209"/>
      <c r="J10688" s="124"/>
    </row>
    <row r="10689" spans="3:10" x14ac:dyDescent="0.2">
      <c r="C10689" s="209"/>
      <c r="D10689" s="209"/>
      <c r="E10689" s="209"/>
      <c r="J10689" s="124"/>
    </row>
    <row r="10690" spans="3:10" x14ac:dyDescent="0.2">
      <c r="C10690" s="209"/>
      <c r="D10690" s="209"/>
      <c r="E10690" s="209"/>
      <c r="J10690" s="124"/>
    </row>
    <row r="10691" spans="3:10" x14ac:dyDescent="0.2">
      <c r="C10691" s="209"/>
      <c r="D10691" s="209"/>
      <c r="E10691" s="209"/>
      <c r="J10691" s="124"/>
    </row>
    <row r="10692" spans="3:10" x14ac:dyDescent="0.2">
      <c r="C10692" s="209"/>
      <c r="D10692" s="209"/>
      <c r="E10692" s="209"/>
      <c r="J10692" s="124"/>
    </row>
    <row r="10693" spans="3:10" x14ac:dyDescent="0.2">
      <c r="C10693" s="209"/>
      <c r="D10693" s="209"/>
      <c r="E10693" s="209"/>
      <c r="J10693" s="124"/>
    </row>
    <row r="10694" spans="3:10" x14ac:dyDescent="0.2">
      <c r="C10694" s="209"/>
      <c r="D10694" s="209"/>
      <c r="E10694" s="209"/>
      <c r="J10694" s="124"/>
    </row>
    <row r="10695" spans="3:10" x14ac:dyDescent="0.2">
      <c r="C10695" s="209"/>
      <c r="D10695" s="209"/>
      <c r="E10695" s="209"/>
      <c r="J10695" s="124"/>
    </row>
    <row r="10696" spans="3:10" x14ac:dyDescent="0.2">
      <c r="C10696" s="209"/>
      <c r="D10696" s="209"/>
      <c r="E10696" s="209"/>
      <c r="J10696" s="124"/>
    </row>
    <row r="10697" spans="3:10" x14ac:dyDescent="0.2">
      <c r="C10697" s="209"/>
      <c r="D10697" s="209"/>
      <c r="E10697" s="209"/>
      <c r="J10697" s="124"/>
    </row>
    <row r="10698" spans="3:10" x14ac:dyDescent="0.2">
      <c r="C10698" s="209"/>
      <c r="D10698" s="209"/>
      <c r="E10698" s="209"/>
      <c r="J10698" s="124"/>
    </row>
    <row r="10699" spans="3:10" x14ac:dyDescent="0.2">
      <c r="C10699" s="209"/>
      <c r="D10699" s="209"/>
      <c r="E10699" s="209"/>
      <c r="J10699" s="124"/>
    </row>
    <row r="10700" spans="3:10" x14ac:dyDescent="0.2">
      <c r="C10700" s="209"/>
      <c r="D10700" s="209"/>
      <c r="E10700" s="209"/>
      <c r="J10700" s="124"/>
    </row>
    <row r="10701" spans="3:10" x14ac:dyDescent="0.2">
      <c r="C10701" s="209"/>
      <c r="D10701" s="209"/>
      <c r="E10701" s="209"/>
      <c r="J10701" s="124"/>
    </row>
    <row r="10702" spans="3:10" x14ac:dyDescent="0.2">
      <c r="C10702" s="209"/>
      <c r="D10702" s="209"/>
      <c r="E10702" s="209"/>
      <c r="J10702" s="124"/>
    </row>
    <row r="10703" spans="3:10" x14ac:dyDescent="0.2">
      <c r="C10703" s="209"/>
      <c r="D10703" s="209"/>
      <c r="E10703" s="209"/>
      <c r="J10703" s="124"/>
    </row>
    <row r="10704" spans="3:10" x14ac:dyDescent="0.2">
      <c r="C10704" s="209"/>
      <c r="D10704" s="209"/>
      <c r="E10704" s="209"/>
      <c r="J10704" s="124"/>
    </row>
    <row r="10705" spans="3:10" x14ac:dyDescent="0.2">
      <c r="C10705" s="209"/>
      <c r="D10705" s="209"/>
      <c r="E10705" s="209"/>
      <c r="J10705" s="124"/>
    </row>
    <row r="10706" spans="3:10" x14ac:dyDescent="0.2">
      <c r="C10706" s="209"/>
      <c r="D10706" s="209"/>
      <c r="E10706" s="209"/>
      <c r="J10706" s="124"/>
    </row>
    <row r="10707" spans="3:10" x14ac:dyDescent="0.2">
      <c r="C10707" s="209"/>
      <c r="D10707" s="209"/>
      <c r="E10707" s="209"/>
      <c r="J10707" s="124"/>
    </row>
    <row r="10708" spans="3:10" x14ac:dyDescent="0.2">
      <c r="C10708" s="209"/>
      <c r="D10708" s="209"/>
      <c r="E10708" s="209"/>
      <c r="J10708" s="124"/>
    </row>
    <row r="10709" spans="3:10" x14ac:dyDescent="0.2">
      <c r="C10709" s="209"/>
      <c r="D10709" s="209"/>
      <c r="E10709" s="209"/>
      <c r="J10709" s="124"/>
    </row>
    <row r="10710" spans="3:10" x14ac:dyDescent="0.2">
      <c r="C10710" s="209"/>
      <c r="D10710" s="209"/>
      <c r="E10710" s="209"/>
      <c r="J10710" s="124"/>
    </row>
    <row r="10711" spans="3:10" x14ac:dyDescent="0.2">
      <c r="C10711" s="209"/>
      <c r="D10711" s="209"/>
      <c r="E10711" s="209"/>
      <c r="J10711" s="124"/>
    </row>
    <row r="10712" spans="3:10" x14ac:dyDescent="0.2">
      <c r="C10712" s="209"/>
      <c r="D10712" s="209"/>
      <c r="E10712" s="209"/>
      <c r="J10712" s="124"/>
    </row>
    <row r="10713" spans="3:10" x14ac:dyDescent="0.2">
      <c r="C10713" s="209"/>
      <c r="D10713" s="209"/>
      <c r="E10713" s="209"/>
      <c r="J10713" s="124"/>
    </row>
    <row r="10714" spans="3:10" x14ac:dyDescent="0.2">
      <c r="C10714" s="209"/>
      <c r="D10714" s="209"/>
      <c r="E10714" s="209"/>
      <c r="J10714" s="124"/>
    </row>
    <row r="10715" spans="3:10" x14ac:dyDescent="0.2">
      <c r="C10715" s="209"/>
      <c r="D10715" s="209"/>
      <c r="E10715" s="209"/>
      <c r="J10715" s="124"/>
    </row>
    <row r="10716" spans="3:10" x14ac:dyDescent="0.2">
      <c r="C10716" s="209"/>
      <c r="D10716" s="209"/>
      <c r="E10716" s="209"/>
      <c r="J10716" s="124"/>
    </row>
    <row r="10717" spans="3:10" x14ac:dyDescent="0.2">
      <c r="C10717" s="209"/>
      <c r="D10717" s="209"/>
      <c r="E10717" s="209"/>
      <c r="J10717" s="124"/>
    </row>
    <row r="10718" spans="3:10" x14ac:dyDescent="0.2">
      <c r="C10718" s="209"/>
      <c r="D10718" s="209"/>
      <c r="E10718" s="209"/>
      <c r="J10718" s="124"/>
    </row>
    <row r="10719" spans="3:10" x14ac:dyDescent="0.2">
      <c r="C10719" s="209"/>
      <c r="D10719" s="209"/>
      <c r="E10719" s="209"/>
      <c r="J10719" s="124"/>
    </row>
    <row r="10720" spans="3:10" x14ac:dyDescent="0.2">
      <c r="C10720" s="209"/>
      <c r="D10720" s="209"/>
      <c r="E10720" s="209"/>
      <c r="J10720" s="124"/>
    </row>
    <row r="10721" spans="3:10" x14ac:dyDescent="0.2">
      <c r="C10721" s="209"/>
      <c r="D10721" s="209"/>
      <c r="E10721" s="209"/>
      <c r="J10721" s="124"/>
    </row>
    <row r="10722" spans="3:10" x14ac:dyDescent="0.2">
      <c r="C10722" s="209"/>
      <c r="D10722" s="209"/>
      <c r="E10722" s="209"/>
      <c r="J10722" s="124"/>
    </row>
    <row r="10723" spans="3:10" x14ac:dyDescent="0.2">
      <c r="C10723" s="209"/>
      <c r="D10723" s="209"/>
      <c r="E10723" s="209"/>
      <c r="J10723" s="124"/>
    </row>
    <row r="10724" spans="3:10" x14ac:dyDescent="0.2">
      <c r="C10724" s="209"/>
      <c r="D10724" s="209"/>
      <c r="E10724" s="209"/>
      <c r="J10724" s="124"/>
    </row>
    <row r="10725" spans="3:10" x14ac:dyDescent="0.2">
      <c r="C10725" s="209"/>
      <c r="D10725" s="209"/>
      <c r="E10725" s="209"/>
      <c r="J10725" s="124"/>
    </row>
    <row r="10726" spans="3:10" x14ac:dyDescent="0.2">
      <c r="C10726" s="209"/>
      <c r="D10726" s="209"/>
      <c r="E10726" s="209"/>
      <c r="J10726" s="124"/>
    </row>
    <row r="10727" spans="3:10" x14ac:dyDescent="0.2">
      <c r="C10727" s="209"/>
      <c r="D10727" s="209"/>
      <c r="E10727" s="209"/>
      <c r="J10727" s="124"/>
    </row>
    <row r="10728" spans="3:10" x14ac:dyDescent="0.2">
      <c r="C10728" s="209"/>
      <c r="D10728" s="209"/>
      <c r="E10728" s="209"/>
      <c r="J10728" s="124"/>
    </row>
    <row r="10729" spans="3:10" x14ac:dyDescent="0.2">
      <c r="C10729" s="209"/>
      <c r="D10729" s="209"/>
      <c r="E10729" s="209"/>
      <c r="J10729" s="124"/>
    </row>
    <row r="10730" spans="3:10" x14ac:dyDescent="0.2">
      <c r="C10730" s="209"/>
      <c r="D10730" s="209"/>
      <c r="E10730" s="209"/>
      <c r="J10730" s="124"/>
    </row>
    <row r="10731" spans="3:10" x14ac:dyDescent="0.2">
      <c r="C10731" s="209"/>
      <c r="D10731" s="209"/>
      <c r="E10731" s="209"/>
      <c r="J10731" s="124"/>
    </row>
    <row r="10732" spans="3:10" x14ac:dyDescent="0.2">
      <c r="C10732" s="209"/>
      <c r="D10732" s="209"/>
      <c r="E10732" s="209"/>
      <c r="J10732" s="124"/>
    </row>
    <row r="10733" spans="3:10" x14ac:dyDescent="0.2">
      <c r="C10733" s="209"/>
      <c r="D10733" s="209"/>
      <c r="E10733" s="209"/>
      <c r="J10733" s="124"/>
    </row>
    <row r="10734" spans="3:10" x14ac:dyDescent="0.2">
      <c r="C10734" s="209"/>
      <c r="D10734" s="209"/>
      <c r="E10734" s="209"/>
      <c r="J10734" s="124"/>
    </row>
    <row r="10735" spans="3:10" x14ac:dyDescent="0.2">
      <c r="C10735" s="209"/>
      <c r="D10735" s="209"/>
      <c r="E10735" s="209"/>
      <c r="J10735" s="124"/>
    </row>
    <row r="10736" spans="3:10" x14ac:dyDescent="0.2">
      <c r="C10736" s="209"/>
      <c r="D10736" s="209"/>
      <c r="E10736" s="209"/>
      <c r="J10736" s="124"/>
    </row>
    <row r="10737" spans="3:10" x14ac:dyDescent="0.2">
      <c r="C10737" s="209"/>
      <c r="D10737" s="209"/>
      <c r="E10737" s="209"/>
      <c r="J10737" s="124"/>
    </row>
    <row r="10738" spans="3:10" x14ac:dyDescent="0.2">
      <c r="C10738" s="209"/>
      <c r="D10738" s="209"/>
      <c r="E10738" s="209"/>
      <c r="J10738" s="124"/>
    </row>
    <row r="10739" spans="3:10" x14ac:dyDescent="0.2">
      <c r="C10739" s="209"/>
      <c r="D10739" s="209"/>
      <c r="E10739" s="209"/>
      <c r="J10739" s="124"/>
    </row>
    <row r="10740" spans="3:10" x14ac:dyDescent="0.2">
      <c r="C10740" s="209"/>
      <c r="D10740" s="209"/>
      <c r="E10740" s="209"/>
      <c r="J10740" s="124"/>
    </row>
    <row r="10741" spans="3:10" x14ac:dyDescent="0.2">
      <c r="C10741" s="209"/>
      <c r="D10741" s="209"/>
      <c r="E10741" s="209"/>
      <c r="J10741" s="124"/>
    </row>
    <row r="10742" spans="3:10" x14ac:dyDescent="0.2">
      <c r="C10742" s="209"/>
      <c r="D10742" s="209"/>
      <c r="E10742" s="209"/>
      <c r="J10742" s="124"/>
    </row>
    <row r="10743" spans="3:10" x14ac:dyDescent="0.2">
      <c r="C10743" s="209"/>
      <c r="D10743" s="209"/>
      <c r="E10743" s="209"/>
      <c r="J10743" s="124"/>
    </row>
    <row r="10744" spans="3:10" x14ac:dyDescent="0.2">
      <c r="C10744" s="209"/>
      <c r="D10744" s="209"/>
      <c r="E10744" s="209"/>
      <c r="J10744" s="124"/>
    </row>
    <row r="10745" spans="3:10" x14ac:dyDescent="0.2">
      <c r="C10745" s="209"/>
      <c r="D10745" s="209"/>
      <c r="E10745" s="209"/>
      <c r="J10745" s="124"/>
    </row>
    <row r="10746" spans="3:10" x14ac:dyDescent="0.2">
      <c r="C10746" s="209"/>
      <c r="D10746" s="209"/>
      <c r="E10746" s="209"/>
      <c r="J10746" s="124"/>
    </row>
    <row r="10747" spans="3:10" x14ac:dyDescent="0.2">
      <c r="C10747" s="209"/>
      <c r="D10747" s="209"/>
      <c r="E10747" s="209"/>
      <c r="J10747" s="124"/>
    </row>
    <row r="10748" spans="3:10" x14ac:dyDescent="0.2">
      <c r="C10748" s="209"/>
      <c r="D10748" s="209"/>
      <c r="E10748" s="209"/>
      <c r="J10748" s="124"/>
    </row>
    <row r="10749" spans="3:10" x14ac:dyDescent="0.2">
      <c r="C10749" s="209"/>
      <c r="D10749" s="209"/>
      <c r="E10749" s="209"/>
      <c r="J10749" s="124"/>
    </row>
    <row r="10750" spans="3:10" x14ac:dyDescent="0.2">
      <c r="C10750" s="209"/>
      <c r="D10750" s="209"/>
      <c r="E10750" s="209"/>
      <c r="J10750" s="124"/>
    </row>
    <row r="10751" spans="3:10" x14ac:dyDescent="0.2">
      <c r="C10751" s="209"/>
      <c r="D10751" s="209"/>
      <c r="E10751" s="209"/>
      <c r="J10751" s="124"/>
    </row>
    <row r="10752" spans="3:10" x14ac:dyDescent="0.2">
      <c r="C10752" s="209"/>
      <c r="D10752" s="209"/>
      <c r="E10752" s="209"/>
      <c r="J10752" s="124"/>
    </row>
    <row r="10753" spans="3:10" x14ac:dyDescent="0.2">
      <c r="C10753" s="209"/>
      <c r="D10753" s="209"/>
      <c r="E10753" s="209"/>
      <c r="J10753" s="124"/>
    </row>
    <row r="10754" spans="3:10" x14ac:dyDescent="0.2">
      <c r="C10754" s="209"/>
      <c r="D10754" s="209"/>
      <c r="E10754" s="209"/>
      <c r="J10754" s="124"/>
    </row>
    <row r="10755" spans="3:10" x14ac:dyDescent="0.2">
      <c r="C10755" s="209"/>
      <c r="D10755" s="209"/>
      <c r="E10755" s="209"/>
      <c r="J10755" s="124"/>
    </row>
    <row r="10756" spans="3:10" x14ac:dyDescent="0.2">
      <c r="C10756" s="209"/>
      <c r="D10756" s="209"/>
      <c r="E10756" s="209"/>
      <c r="J10756" s="124"/>
    </row>
    <row r="10757" spans="3:10" x14ac:dyDescent="0.2">
      <c r="C10757" s="209"/>
      <c r="D10757" s="209"/>
      <c r="E10757" s="209"/>
      <c r="J10757" s="124"/>
    </row>
    <row r="10758" spans="3:10" x14ac:dyDescent="0.2">
      <c r="C10758" s="209"/>
      <c r="D10758" s="209"/>
      <c r="E10758" s="209"/>
      <c r="J10758" s="124"/>
    </row>
    <row r="10759" spans="3:10" x14ac:dyDescent="0.2">
      <c r="C10759" s="209"/>
      <c r="D10759" s="209"/>
      <c r="E10759" s="209"/>
      <c r="J10759" s="124"/>
    </row>
    <row r="10760" spans="3:10" x14ac:dyDescent="0.2">
      <c r="C10760" s="209"/>
      <c r="D10760" s="209"/>
      <c r="E10760" s="209"/>
      <c r="J10760" s="124"/>
    </row>
    <row r="10761" spans="3:10" x14ac:dyDescent="0.2">
      <c r="C10761" s="209"/>
      <c r="D10761" s="209"/>
      <c r="E10761" s="209"/>
      <c r="J10761" s="124"/>
    </row>
    <row r="10762" spans="3:10" x14ac:dyDescent="0.2">
      <c r="C10762" s="209"/>
      <c r="D10762" s="209"/>
      <c r="E10762" s="209"/>
      <c r="J10762" s="124"/>
    </row>
    <row r="10763" spans="3:10" x14ac:dyDescent="0.2">
      <c r="C10763" s="209"/>
      <c r="D10763" s="209"/>
      <c r="E10763" s="209"/>
      <c r="J10763" s="124"/>
    </row>
    <row r="10764" spans="3:10" x14ac:dyDescent="0.2">
      <c r="C10764" s="209"/>
      <c r="D10764" s="209"/>
      <c r="E10764" s="209"/>
      <c r="J10764" s="124"/>
    </row>
    <row r="10765" spans="3:10" x14ac:dyDescent="0.2">
      <c r="C10765" s="209"/>
      <c r="D10765" s="209"/>
      <c r="E10765" s="209"/>
      <c r="J10765" s="124"/>
    </row>
    <row r="10766" spans="3:10" x14ac:dyDescent="0.2">
      <c r="C10766" s="209"/>
      <c r="D10766" s="209"/>
      <c r="E10766" s="209"/>
      <c r="J10766" s="124"/>
    </row>
    <row r="10767" spans="3:10" x14ac:dyDescent="0.2">
      <c r="C10767" s="209"/>
      <c r="D10767" s="209"/>
      <c r="E10767" s="209"/>
      <c r="J10767" s="124"/>
    </row>
    <row r="10768" spans="3:10" x14ac:dyDescent="0.2">
      <c r="C10768" s="209"/>
      <c r="D10768" s="209"/>
      <c r="E10768" s="209"/>
      <c r="J10768" s="124"/>
    </row>
    <row r="10769" spans="3:10" x14ac:dyDescent="0.2">
      <c r="C10769" s="209"/>
      <c r="D10769" s="209"/>
      <c r="E10769" s="209"/>
      <c r="J10769" s="124"/>
    </row>
    <row r="10770" spans="3:10" x14ac:dyDescent="0.2">
      <c r="C10770" s="209"/>
      <c r="D10770" s="209"/>
      <c r="E10770" s="209"/>
      <c r="J10770" s="124"/>
    </row>
    <row r="10771" spans="3:10" x14ac:dyDescent="0.2">
      <c r="C10771" s="209"/>
      <c r="D10771" s="209"/>
      <c r="E10771" s="209"/>
      <c r="J10771" s="124"/>
    </row>
    <row r="10772" spans="3:10" x14ac:dyDescent="0.2">
      <c r="C10772" s="209"/>
      <c r="D10772" s="209"/>
      <c r="E10772" s="209"/>
      <c r="J10772" s="124"/>
    </row>
    <row r="10773" spans="3:10" x14ac:dyDescent="0.2">
      <c r="C10773" s="209"/>
      <c r="D10773" s="209"/>
      <c r="E10773" s="209"/>
      <c r="J10773" s="124"/>
    </row>
    <row r="10774" spans="3:10" x14ac:dyDescent="0.2">
      <c r="C10774" s="209"/>
      <c r="D10774" s="209"/>
      <c r="E10774" s="209"/>
      <c r="J10774" s="124"/>
    </row>
    <row r="10775" spans="3:10" x14ac:dyDescent="0.2">
      <c r="C10775" s="209"/>
      <c r="D10775" s="209"/>
      <c r="E10775" s="209"/>
      <c r="J10775" s="124"/>
    </row>
    <row r="10776" spans="3:10" x14ac:dyDescent="0.2">
      <c r="C10776" s="209"/>
      <c r="D10776" s="209"/>
      <c r="E10776" s="209"/>
      <c r="J10776" s="124"/>
    </row>
    <row r="10777" spans="3:10" x14ac:dyDescent="0.2">
      <c r="C10777" s="209"/>
      <c r="D10777" s="209"/>
      <c r="E10777" s="209"/>
      <c r="J10777" s="124"/>
    </row>
    <row r="10778" spans="3:10" x14ac:dyDescent="0.2">
      <c r="C10778" s="209"/>
      <c r="D10778" s="209"/>
      <c r="E10778" s="209"/>
      <c r="J10778" s="124"/>
    </row>
    <row r="10779" spans="3:10" x14ac:dyDescent="0.2">
      <c r="C10779" s="209"/>
      <c r="D10779" s="209"/>
      <c r="E10779" s="209"/>
      <c r="J10779" s="124"/>
    </row>
    <row r="10780" spans="3:10" x14ac:dyDescent="0.2">
      <c r="C10780" s="209"/>
      <c r="D10780" s="209"/>
      <c r="E10780" s="209"/>
      <c r="J10780" s="124"/>
    </row>
    <row r="10781" spans="3:10" x14ac:dyDescent="0.2">
      <c r="C10781" s="209"/>
      <c r="D10781" s="209"/>
      <c r="E10781" s="209"/>
      <c r="J10781" s="124"/>
    </row>
    <row r="10782" spans="3:10" x14ac:dyDescent="0.2">
      <c r="C10782" s="209"/>
      <c r="D10782" s="209"/>
      <c r="E10782" s="209"/>
      <c r="J10782" s="124"/>
    </row>
    <row r="10783" spans="3:10" x14ac:dyDescent="0.2">
      <c r="C10783" s="209"/>
      <c r="D10783" s="209"/>
      <c r="E10783" s="209"/>
      <c r="J10783" s="124"/>
    </row>
    <row r="10784" spans="3:10" x14ac:dyDescent="0.2">
      <c r="C10784" s="209"/>
      <c r="D10784" s="209"/>
      <c r="E10784" s="209"/>
      <c r="J10784" s="124"/>
    </row>
    <row r="10785" spans="3:10" x14ac:dyDescent="0.2">
      <c r="C10785" s="209"/>
      <c r="D10785" s="209"/>
      <c r="E10785" s="209"/>
      <c r="J10785" s="124"/>
    </row>
    <row r="10786" spans="3:10" x14ac:dyDescent="0.2">
      <c r="C10786" s="209"/>
      <c r="D10786" s="209"/>
      <c r="E10786" s="209"/>
      <c r="J10786" s="124"/>
    </row>
    <row r="10787" spans="3:10" x14ac:dyDescent="0.2">
      <c r="C10787" s="209"/>
      <c r="D10787" s="209"/>
      <c r="E10787" s="209"/>
      <c r="J10787" s="124"/>
    </row>
    <row r="10788" spans="3:10" x14ac:dyDescent="0.2">
      <c r="C10788" s="209"/>
      <c r="D10788" s="209"/>
      <c r="E10788" s="209"/>
      <c r="J10788" s="124"/>
    </row>
    <row r="10789" spans="3:10" x14ac:dyDescent="0.2">
      <c r="C10789" s="209"/>
      <c r="D10789" s="209"/>
      <c r="E10789" s="209"/>
      <c r="J10789" s="124"/>
    </row>
    <row r="10790" spans="3:10" x14ac:dyDescent="0.2">
      <c r="C10790" s="209"/>
      <c r="D10790" s="209"/>
      <c r="E10790" s="209"/>
      <c r="J10790" s="124"/>
    </row>
    <row r="10791" spans="3:10" x14ac:dyDescent="0.2">
      <c r="C10791" s="209"/>
      <c r="D10791" s="209"/>
      <c r="E10791" s="209"/>
      <c r="J10791" s="124"/>
    </row>
    <row r="10792" spans="3:10" x14ac:dyDescent="0.2">
      <c r="C10792" s="209"/>
      <c r="D10792" s="209"/>
      <c r="E10792" s="209"/>
      <c r="J10792" s="124"/>
    </row>
    <row r="10793" spans="3:10" x14ac:dyDescent="0.2">
      <c r="C10793" s="209"/>
      <c r="D10793" s="209"/>
      <c r="E10793" s="209"/>
      <c r="J10793" s="124"/>
    </row>
    <row r="10794" spans="3:10" x14ac:dyDescent="0.2">
      <c r="C10794" s="209"/>
      <c r="D10794" s="209"/>
      <c r="E10794" s="209"/>
      <c r="J10794" s="124"/>
    </row>
    <row r="10795" spans="3:10" x14ac:dyDescent="0.2">
      <c r="C10795" s="209"/>
      <c r="D10795" s="209"/>
      <c r="E10795" s="209"/>
      <c r="J10795" s="124"/>
    </row>
    <row r="10796" spans="3:10" x14ac:dyDescent="0.2">
      <c r="C10796" s="209"/>
      <c r="D10796" s="209"/>
      <c r="E10796" s="209"/>
      <c r="J10796" s="124"/>
    </row>
    <row r="10797" spans="3:10" x14ac:dyDescent="0.2">
      <c r="C10797" s="209"/>
      <c r="D10797" s="209"/>
      <c r="E10797" s="209"/>
      <c r="J10797" s="124"/>
    </row>
    <row r="10798" spans="3:10" x14ac:dyDescent="0.2">
      <c r="C10798" s="209"/>
      <c r="D10798" s="209"/>
      <c r="E10798" s="209"/>
      <c r="J10798" s="124"/>
    </row>
    <row r="10799" spans="3:10" x14ac:dyDescent="0.2">
      <c r="C10799" s="209"/>
      <c r="D10799" s="209"/>
      <c r="E10799" s="209"/>
      <c r="J10799" s="124"/>
    </row>
    <row r="10800" spans="3:10" x14ac:dyDescent="0.2">
      <c r="C10800" s="209"/>
      <c r="D10800" s="209"/>
      <c r="E10800" s="209"/>
      <c r="J10800" s="124"/>
    </row>
    <row r="10801" spans="3:10" x14ac:dyDescent="0.2">
      <c r="C10801" s="209"/>
      <c r="D10801" s="209"/>
      <c r="E10801" s="209"/>
      <c r="J10801" s="124"/>
    </row>
    <row r="10802" spans="3:10" x14ac:dyDescent="0.2">
      <c r="C10802" s="209"/>
      <c r="D10802" s="209"/>
      <c r="E10802" s="209"/>
      <c r="J10802" s="124"/>
    </row>
    <row r="10803" spans="3:10" x14ac:dyDescent="0.2">
      <c r="C10803" s="209"/>
      <c r="D10803" s="209"/>
      <c r="E10803" s="209"/>
      <c r="J10803" s="124"/>
    </row>
    <row r="10804" spans="3:10" x14ac:dyDescent="0.2">
      <c r="C10804" s="209"/>
      <c r="D10804" s="209"/>
      <c r="E10804" s="209"/>
      <c r="J10804" s="124"/>
    </row>
    <row r="10805" spans="3:10" x14ac:dyDescent="0.2">
      <c r="C10805" s="209"/>
      <c r="D10805" s="209"/>
      <c r="E10805" s="209"/>
      <c r="J10805" s="124"/>
    </row>
    <row r="10806" spans="3:10" x14ac:dyDescent="0.2">
      <c r="C10806" s="209"/>
      <c r="D10806" s="209"/>
      <c r="E10806" s="209"/>
      <c r="J10806" s="124"/>
    </row>
    <row r="10807" spans="3:10" x14ac:dyDescent="0.2">
      <c r="C10807" s="209"/>
      <c r="D10807" s="209"/>
      <c r="E10807" s="209"/>
      <c r="J10807" s="124"/>
    </row>
    <row r="10808" spans="3:10" x14ac:dyDescent="0.2">
      <c r="C10808" s="209"/>
      <c r="D10808" s="209"/>
      <c r="E10808" s="209"/>
      <c r="J10808" s="124"/>
    </row>
    <row r="10809" spans="3:10" x14ac:dyDescent="0.2">
      <c r="C10809" s="209"/>
      <c r="D10809" s="209"/>
      <c r="E10809" s="209"/>
      <c r="J10809" s="124"/>
    </row>
    <row r="10810" spans="3:10" x14ac:dyDescent="0.2">
      <c r="C10810" s="209"/>
      <c r="D10810" s="209"/>
      <c r="E10810" s="209"/>
      <c r="J10810" s="124"/>
    </row>
    <row r="10811" spans="3:10" x14ac:dyDescent="0.2">
      <c r="C10811" s="209"/>
      <c r="D10811" s="209"/>
      <c r="E10811" s="209"/>
      <c r="J10811" s="124"/>
    </row>
    <row r="10812" spans="3:10" x14ac:dyDescent="0.2">
      <c r="C10812" s="209"/>
      <c r="D10812" s="209"/>
      <c r="E10812" s="209"/>
      <c r="J10812" s="124"/>
    </row>
    <row r="10813" spans="3:10" x14ac:dyDescent="0.2">
      <c r="C10813" s="209"/>
      <c r="D10813" s="209"/>
      <c r="E10813" s="209"/>
      <c r="J10813" s="124"/>
    </row>
    <row r="10814" spans="3:10" x14ac:dyDescent="0.2">
      <c r="C10814" s="209"/>
      <c r="D10814" s="209"/>
      <c r="E10814" s="209"/>
      <c r="J10814" s="124"/>
    </row>
    <row r="10815" spans="3:10" x14ac:dyDescent="0.2">
      <c r="C10815" s="209"/>
      <c r="D10815" s="209"/>
      <c r="E10815" s="209"/>
      <c r="J10815" s="124"/>
    </row>
    <row r="10816" spans="3:10" x14ac:dyDescent="0.2">
      <c r="C10816" s="209"/>
      <c r="D10816" s="209"/>
      <c r="E10816" s="209"/>
      <c r="J10816" s="124"/>
    </row>
    <row r="10817" spans="3:10" x14ac:dyDescent="0.2">
      <c r="C10817" s="209"/>
      <c r="D10817" s="209"/>
      <c r="E10817" s="209"/>
      <c r="J10817" s="124"/>
    </row>
    <row r="10818" spans="3:10" x14ac:dyDescent="0.2">
      <c r="C10818" s="209"/>
      <c r="D10818" s="209"/>
      <c r="E10818" s="209"/>
      <c r="J10818" s="124"/>
    </row>
    <row r="10819" spans="3:10" x14ac:dyDescent="0.2">
      <c r="C10819" s="209"/>
      <c r="D10819" s="209"/>
      <c r="E10819" s="209"/>
      <c r="J10819" s="124"/>
    </row>
    <row r="10820" spans="3:10" x14ac:dyDescent="0.2">
      <c r="C10820" s="209"/>
      <c r="D10820" s="209"/>
      <c r="E10820" s="209"/>
      <c r="J10820" s="124"/>
    </row>
    <row r="10821" spans="3:10" x14ac:dyDescent="0.2">
      <c r="C10821" s="209"/>
      <c r="D10821" s="209"/>
      <c r="E10821" s="209"/>
      <c r="J10821" s="124"/>
    </row>
    <row r="10822" spans="3:10" x14ac:dyDescent="0.2">
      <c r="C10822" s="209"/>
      <c r="D10822" s="209"/>
      <c r="E10822" s="209"/>
      <c r="J10822" s="124"/>
    </row>
    <row r="10823" spans="3:10" x14ac:dyDescent="0.2">
      <c r="C10823" s="209"/>
      <c r="D10823" s="209"/>
      <c r="E10823" s="209"/>
      <c r="J10823" s="124"/>
    </row>
    <row r="10824" spans="3:10" x14ac:dyDescent="0.2">
      <c r="C10824" s="209"/>
      <c r="D10824" s="209"/>
      <c r="E10824" s="209"/>
      <c r="J10824" s="124"/>
    </row>
    <row r="10825" spans="3:10" x14ac:dyDescent="0.2">
      <c r="C10825" s="209"/>
      <c r="D10825" s="209"/>
      <c r="E10825" s="209"/>
      <c r="J10825" s="124"/>
    </row>
    <row r="10826" spans="3:10" x14ac:dyDescent="0.2">
      <c r="C10826" s="209"/>
      <c r="D10826" s="209"/>
      <c r="E10826" s="209"/>
      <c r="J10826" s="124"/>
    </row>
    <row r="10827" spans="3:10" x14ac:dyDescent="0.2">
      <c r="C10827" s="209"/>
      <c r="D10827" s="209"/>
      <c r="E10827" s="209"/>
      <c r="J10827" s="124"/>
    </row>
    <row r="10828" spans="3:10" x14ac:dyDescent="0.2">
      <c r="C10828" s="209"/>
      <c r="D10828" s="209"/>
      <c r="E10828" s="209"/>
      <c r="J10828" s="124"/>
    </row>
    <row r="10829" spans="3:10" x14ac:dyDescent="0.2">
      <c r="C10829" s="209"/>
      <c r="D10829" s="209"/>
      <c r="E10829" s="209"/>
      <c r="J10829" s="124"/>
    </row>
    <row r="10830" spans="3:10" x14ac:dyDescent="0.2">
      <c r="C10830" s="209"/>
      <c r="D10830" s="209"/>
      <c r="E10830" s="209"/>
      <c r="J10830" s="124"/>
    </row>
    <row r="10831" spans="3:10" x14ac:dyDescent="0.2">
      <c r="C10831" s="209"/>
      <c r="D10831" s="209"/>
      <c r="E10831" s="209"/>
      <c r="J10831" s="124"/>
    </row>
    <row r="10832" spans="3:10" x14ac:dyDescent="0.2">
      <c r="C10832" s="209"/>
      <c r="D10832" s="209"/>
      <c r="E10832" s="209"/>
      <c r="J10832" s="124"/>
    </row>
    <row r="10833" spans="3:10" x14ac:dyDescent="0.2">
      <c r="C10833" s="209"/>
      <c r="D10833" s="209"/>
      <c r="E10833" s="209"/>
      <c r="J10833" s="124"/>
    </row>
    <row r="10834" spans="3:10" x14ac:dyDescent="0.2">
      <c r="C10834" s="209"/>
      <c r="D10834" s="209"/>
      <c r="E10834" s="209"/>
      <c r="J10834" s="124"/>
    </row>
    <row r="10835" spans="3:10" x14ac:dyDescent="0.2">
      <c r="C10835" s="209"/>
      <c r="D10835" s="209"/>
      <c r="E10835" s="209"/>
      <c r="J10835" s="124"/>
    </row>
    <row r="10836" spans="3:10" x14ac:dyDescent="0.2">
      <c r="C10836" s="209"/>
      <c r="D10836" s="209"/>
      <c r="E10836" s="209"/>
      <c r="J10836" s="124"/>
    </row>
    <row r="10837" spans="3:10" x14ac:dyDescent="0.2">
      <c r="C10837" s="209"/>
      <c r="D10837" s="209"/>
      <c r="E10837" s="209"/>
      <c r="J10837" s="124"/>
    </row>
    <row r="10838" spans="3:10" x14ac:dyDescent="0.2">
      <c r="C10838" s="209"/>
      <c r="D10838" s="209"/>
      <c r="E10838" s="209"/>
      <c r="J10838" s="124"/>
    </row>
    <row r="10839" spans="3:10" x14ac:dyDescent="0.2">
      <c r="C10839" s="209"/>
      <c r="D10839" s="209"/>
      <c r="E10839" s="209"/>
      <c r="J10839" s="124"/>
    </row>
    <row r="10840" spans="3:10" x14ac:dyDescent="0.2">
      <c r="C10840" s="209"/>
      <c r="D10840" s="209"/>
      <c r="E10840" s="209"/>
      <c r="J10840" s="124"/>
    </row>
    <row r="10841" spans="3:10" x14ac:dyDescent="0.2">
      <c r="C10841" s="209"/>
      <c r="D10841" s="209"/>
      <c r="E10841" s="209"/>
      <c r="J10841" s="124"/>
    </row>
    <row r="10842" spans="3:10" x14ac:dyDescent="0.2">
      <c r="C10842" s="209"/>
      <c r="D10842" s="209"/>
      <c r="E10842" s="209"/>
      <c r="J10842" s="124"/>
    </row>
    <row r="10843" spans="3:10" x14ac:dyDescent="0.2">
      <c r="C10843" s="209"/>
      <c r="D10843" s="209"/>
      <c r="E10843" s="209"/>
      <c r="J10843" s="124"/>
    </row>
    <row r="10844" spans="3:10" x14ac:dyDescent="0.2">
      <c r="C10844" s="209"/>
      <c r="D10844" s="209"/>
      <c r="E10844" s="209"/>
      <c r="J10844" s="124"/>
    </row>
    <row r="10845" spans="3:10" x14ac:dyDescent="0.2">
      <c r="C10845" s="209"/>
      <c r="D10845" s="209"/>
      <c r="E10845" s="209"/>
      <c r="J10845" s="124"/>
    </row>
    <row r="10846" spans="3:10" x14ac:dyDescent="0.2">
      <c r="C10846" s="209"/>
      <c r="D10846" s="209"/>
      <c r="E10846" s="209"/>
      <c r="J10846" s="124"/>
    </row>
    <row r="10847" spans="3:10" x14ac:dyDescent="0.2">
      <c r="C10847" s="209"/>
      <c r="D10847" s="209"/>
      <c r="E10847" s="209"/>
      <c r="J10847" s="124"/>
    </row>
    <row r="10848" spans="3:10" x14ac:dyDescent="0.2">
      <c r="C10848" s="209"/>
      <c r="D10848" s="209"/>
      <c r="E10848" s="209"/>
      <c r="J10848" s="124"/>
    </row>
    <row r="10849" spans="3:10" x14ac:dyDescent="0.2">
      <c r="C10849" s="209"/>
      <c r="D10849" s="209"/>
      <c r="E10849" s="209"/>
      <c r="J10849" s="124"/>
    </row>
    <row r="10850" spans="3:10" x14ac:dyDescent="0.2">
      <c r="C10850" s="209"/>
      <c r="D10850" s="209"/>
      <c r="E10850" s="209"/>
      <c r="J10850" s="124"/>
    </row>
    <row r="10851" spans="3:10" x14ac:dyDescent="0.2">
      <c r="C10851" s="209"/>
      <c r="D10851" s="209"/>
      <c r="E10851" s="209"/>
      <c r="J10851" s="124"/>
    </row>
    <row r="10852" spans="3:10" x14ac:dyDescent="0.2">
      <c r="C10852" s="209"/>
      <c r="D10852" s="209"/>
      <c r="E10852" s="209"/>
      <c r="J10852" s="124"/>
    </row>
    <row r="10853" spans="3:10" x14ac:dyDescent="0.2">
      <c r="C10853" s="209"/>
      <c r="D10853" s="209"/>
      <c r="E10853" s="209"/>
      <c r="J10853" s="124"/>
    </row>
    <row r="10854" spans="3:10" x14ac:dyDescent="0.2">
      <c r="C10854" s="209"/>
      <c r="D10854" s="209"/>
      <c r="E10854" s="209"/>
      <c r="J10854" s="124"/>
    </row>
    <row r="10855" spans="3:10" x14ac:dyDescent="0.2">
      <c r="C10855" s="209"/>
      <c r="D10855" s="209"/>
      <c r="E10855" s="209"/>
      <c r="J10855" s="124"/>
    </row>
    <row r="10856" spans="3:10" x14ac:dyDescent="0.2">
      <c r="C10856" s="209"/>
      <c r="D10856" s="209"/>
      <c r="E10856" s="209"/>
      <c r="J10856" s="124"/>
    </row>
    <row r="10857" spans="3:10" x14ac:dyDescent="0.2">
      <c r="C10857" s="209"/>
      <c r="D10857" s="209"/>
      <c r="E10857" s="209"/>
      <c r="J10857" s="124"/>
    </row>
    <row r="10858" spans="3:10" x14ac:dyDescent="0.2">
      <c r="C10858" s="209"/>
      <c r="D10858" s="209"/>
      <c r="E10858" s="209"/>
      <c r="J10858" s="124"/>
    </row>
    <row r="10859" spans="3:10" x14ac:dyDescent="0.2">
      <c r="C10859" s="209"/>
      <c r="D10859" s="209"/>
      <c r="E10859" s="209"/>
      <c r="J10859" s="124"/>
    </row>
    <row r="10860" spans="3:10" x14ac:dyDescent="0.2">
      <c r="C10860" s="209"/>
      <c r="D10860" s="209"/>
      <c r="E10860" s="209"/>
      <c r="J10860" s="124"/>
    </row>
    <row r="10861" spans="3:10" x14ac:dyDescent="0.2">
      <c r="C10861" s="209"/>
      <c r="D10861" s="209"/>
      <c r="E10861" s="209"/>
      <c r="J10861" s="124"/>
    </row>
    <row r="10862" spans="3:10" x14ac:dyDescent="0.2">
      <c r="C10862" s="209"/>
      <c r="D10862" s="209"/>
      <c r="E10862" s="209"/>
      <c r="J10862" s="124"/>
    </row>
    <row r="10863" spans="3:10" x14ac:dyDescent="0.2">
      <c r="C10863" s="209"/>
      <c r="D10863" s="209"/>
      <c r="E10863" s="209"/>
      <c r="J10863" s="124"/>
    </row>
    <row r="10864" spans="3:10" x14ac:dyDescent="0.2">
      <c r="C10864" s="209"/>
      <c r="D10864" s="209"/>
      <c r="E10864" s="209"/>
      <c r="J10864" s="124"/>
    </row>
    <row r="10865" spans="3:10" x14ac:dyDescent="0.2">
      <c r="C10865" s="209"/>
      <c r="D10865" s="209"/>
      <c r="E10865" s="209"/>
      <c r="J10865" s="124"/>
    </row>
    <row r="10866" spans="3:10" x14ac:dyDescent="0.2">
      <c r="C10866" s="209"/>
      <c r="D10866" s="209"/>
      <c r="E10866" s="209"/>
      <c r="J10866" s="124"/>
    </row>
    <row r="10867" spans="3:10" x14ac:dyDescent="0.2">
      <c r="C10867" s="209"/>
      <c r="D10867" s="209"/>
      <c r="E10867" s="209"/>
      <c r="J10867" s="124"/>
    </row>
    <row r="10868" spans="3:10" x14ac:dyDescent="0.2">
      <c r="C10868" s="209"/>
      <c r="D10868" s="209"/>
      <c r="E10868" s="209"/>
      <c r="J10868" s="124"/>
    </row>
    <row r="10869" spans="3:10" x14ac:dyDescent="0.2">
      <c r="C10869" s="209"/>
      <c r="D10869" s="209"/>
      <c r="E10869" s="209"/>
      <c r="J10869" s="124"/>
    </row>
    <row r="10870" spans="3:10" x14ac:dyDescent="0.2">
      <c r="C10870" s="209"/>
      <c r="D10870" s="209"/>
      <c r="E10870" s="209"/>
      <c r="J10870" s="124"/>
    </row>
    <row r="10871" spans="3:10" x14ac:dyDescent="0.2">
      <c r="C10871" s="209"/>
      <c r="D10871" s="209"/>
      <c r="E10871" s="209"/>
      <c r="J10871" s="124"/>
    </row>
    <row r="10872" spans="3:10" x14ac:dyDescent="0.2">
      <c r="C10872" s="209"/>
      <c r="D10872" s="209"/>
      <c r="E10872" s="209"/>
      <c r="J10872" s="124"/>
    </row>
    <row r="10873" spans="3:10" x14ac:dyDescent="0.2">
      <c r="C10873" s="209"/>
      <c r="D10873" s="209"/>
      <c r="E10873" s="209"/>
      <c r="J10873" s="124"/>
    </row>
    <row r="10874" spans="3:10" x14ac:dyDescent="0.2">
      <c r="C10874" s="209"/>
      <c r="D10874" s="209"/>
      <c r="E10874" s="209"/>
      <c r="J10874" s="124"/>
    </row>
    <row r="10875" spans="3:10" x14ac:dyDescent="0.2">
      <c r="C10875" s="209"/>
      <c r="D10875" s="209"/>
      <c r="E10875" s="209"/>
      <c r="J10875" s="124"/>
    </row>
    <row r="10876" spans="3:10" x14ac:dyDescent="0.2">
      <c r="C10876" s="209"/>
      <c r="D10876" s="209"/>
      <c r="E10876" s="209"/>
      <c r="J10876" s="124"/>
    </row>
    <row r="10877" spans="3:10" x14ac:dyDescent="0.2">
      <c r="C10877" s="209"/>
      <c r="D10877" s="209"/>
      <c r="E10877" s="209"/>
      <c r="J10877" s="124"/>
    </row>
    <row r="10878" spans="3:10" x14ac:dyDescent="0.2">
      <c r="C10878" s="209"/>
      <c r="D10878" s="209"/>
      <c r="E10878" s="209"/>
      <c r="J10878" s="124"/>
    </row>
    <row r="10879" spans="3:10" x14ac:dyDescent="0.2">
      <c r="C10879" s="209"/>
      <c r="D10879" s="209"/>
      <c r="E10879" s="209"/>
      <c r="J10879" s="124"/>
    </row>
    <row r="10880" spans="3:10" x14ac:dyDescent="0.2">
      <c r="C10880" s="209"/>
      <c r="D10880" s="209"/>
      <c r="E10880" s="209"/>
      <c r="J10880" s="124"/>
    </row>
    <row r="10881" spans="3:10" x14ac:dyDescent="0.2">
      <c r="C10881" s="209"/>
      <c r="D10881" s="209"/>
      <c r="E10881" s="209"/>
      <c r="J10881" s="124"/>
    </row>
    <row r="10882" spans="3:10" x14ac:dyDescent="0.2">
      <c r="C10882" s="209"/>
      <c r="D10882" s="209"/>
      <c r="E10882" s="209"/>
      <c r="J10882" s="124"/>
    </row>
    <row r="10883" spans="3:10" x14ac:dyDescent="0.2">
      <c r="C10883" s="209"/>
      <c r="D10883" s="209"/>
      <c r="E10883" s="209"/>
      <c r="J10883" s="124"/>
    </row>
    <row r="10884" spans="3:10" x14ac:dyDescent="0.2">
      <c r="C10884" s="209"/>
      <c r="D10884" s="209"/>
      <c r="E10884" s="209"/>
      <c r="J10884" s="124"/>
    </row>
    <row r="10885" spans="3:10" x14ac:dyDescent="0.2">
      <c r="C10885" s="209"/>
      <c r="D10885" s="209"/>
      <c r="E10885" s="209"/>
      <c r="J10885" s="124"/>
    </row>
    <row r="10886" spans="3:10" x14ac:dyDescent="0.2">
      <c r="C10886" s="209"/>
      <c r="D10886" s="209"/>
      <c r="E10886" s="209"/>
      <c r="J10886" s="124"/>
    </row>
    <row r="10887" spans="3:10" x14ac:dyDescent="0.2">
      <c r="C10887" s="209"/>
      <c r="D10887" s="209"/>
      <c r="E10887" s="209"/>
      <c r="J10887" s="124"/>
    </row>
    <row r="10888" spans="3:10" x14ac:dyDescent="0.2">
      <c r="C10888" s="209"/>
      <c r="D10888" s="209"/>
      <c r="E10888" s="209"/>
      <c r="J10888" s="124"/>
    </row>
    <row r="10889" spans="3:10" x14ac:dyDescent="0.2">
      <c r="C10889" s="209"/>
      <c r="D10889" s="209"/>
      <c r="E10889" s="209"/>
      <c r="J10889" s="124"/>
    </row>
    <row r="10890" spans="3:10" x14ac:dyDescent="0.2">
      <c r="C10890" s="209"/>
      <c r="D10890" s="209"/>
      <c r="E10890" s="209"/>
      <c r="J10890" s="124"/>
    </row>
    <row r="10891" spans="3:10" x14ac:dyDescent="0.2">
      <c r="C10891" s="209"/>
      <c r="D10891" s="209"/>
      <c r="E10891" s="209"/>
      <c r="J10891" s="124"/>
    </row>
    <row r="10892" spans="3:10" x14ac:dyDescent="0.2">
      <c r="C10892" s="209"/>
      <c r="D10892" s="209"/>
      <c r="E10892" s="209"/>
      <c r="J10892" s="124"/>
    </row>
    <row r="10893" spans="3:10" x14ac:dyDescent="0.2">
      <c r="C10893" s="209"/>
      <c r="D10893" s="209"/>
      <c r="E10893" s="209"/>
      <c r="J10893" s="124"/>
    </row>
    <row r="10894" spans="3:10" x14ac:dyDescent="0.2">
      <c r="C10894" s="209"/>
      <c r="D10894" s="209"/>
      <c r="E10894" s="209"/>
      <c r="J10894" s="124"/>
    </row>
    <row r="10895" spans="3:10" x14ac:dyDescent="0.2">
      <c r="C10895" s="209"/>
      <c r="D10895" s="209"/>
      <c r="E10895" s="209"/>
      <c r="J10895" s="124"/>
    </row>
    <row r="10896" spans="3:10" x14ac:dyDescent="0.2">
      <c r="C10896" s="209"/>
      <c r="D10896" s="209"/>
      <c r="E10896" s="209"/>
      <c r="J10896" s="124"/>
    </row>
    <row r="10897" spans="3:10" x14ac:dyDescent="0.2">
      <c r="C10897" s="209"/>
      <c r="D10897" s="209"/>
      <c r="E10897" s="209"/>
      <c r="J10897" s="124"/>
    </row>
    <row r="10898" spans="3:10" x14ac:dyDescent="0.2">
      <c r="C10898" s="209"/>
      <c r="D10898" s="209"/>
      <c r="E10898" s="209"/>
      <c r="J10898" s="124"/>
    </row>
    <row r="10899" spans="3:10" x14ac:dyDescent="0.2">
      <c r="C10899" s="209"/>
      <c r="D10899" s="209"/>
      <c r="E10899" s="209"/>
      <c r="J10899" s="124"/>
    </row>
    <row r="10900" spans="3:10" x14ac:dyDescent="0.2">
      <c r="C10900" s="209"/>
      <c r="D10900" s="209"/>
      <c r="E10900" s="209"/>
      <c r="J10900" s="124"/>
    </row>
    <row r="10901" spans="3:10" x14ac:dyDescent="0.2">
      <c r="C10901" s="209"/>
      <c r="D10901" s="209"/>
      <c r="E10901" s="209"/>
      <c r="J10901" s="124"/>
    </row>
    <row r="10902" spans="3:10" x14ac:dyDescent="0.2">
      <c r="C10902" s="209"/>
      <c r="D10902" s="209"/>
      <c r="E10902" s="209"/>
      <c r="J10902" s="124"/>
    </row>
    <row r="10903" spans="3:10" x14ac:dyDescent="0.2">
      <c r="C10903" s="209"/>
      <c r="D10903" s="209"/>
      <c r="E10903" s="209"/>
      <c r="J10903" s="124"/>
    </row>
    <row r="10904" spans="3:10" x14ac:dyDescent="0.2">
      <c r="C10904" s="209"/>
      <c r="D10904" s="209"/>
      <c r="E10904" s="209"/>
      <c r="J10904" s="124"/>
    </row>
    <row r="10905" spans="3:10" x14ac:dyDescent="0.2">
      <c r="C10905" s="209"/>
      <c r="D10905" s="209"/>
      <c r="E10905" s="209"/>
      <c r="J10905" s="124"/>
    </row>
    <row r="10906" spans="3:10" x14ac:dyDescent="0.2">
      <c r="C10906" s="209"/>
      <c r="D10906" s="209"/>
      <c r="E10906" s="209"/>
      <c r="J10906" s="124"/>
    </row>
    <row r="10907" spans="3:10" x14ac:dyDescent="0.2">
      <c r="C10907" s="209"/>
      <c r="D10907" s="209"/>
      <c r="E10907" s="209"/>
      <c r="J10907" s="124"/>
    </row>
    <row r="10908" spans="3:10" x14ac:dyDescent="0.2">
      <c r="C10908" s="209"/>
      <c r="D10908" s="209"/>
      <c r="E10908" s="209"/>
      <c r="J10908" s="124"/>
    </row>
    <row r="10909" spans="3:10" x14ac:dyDescent="0.2">
      <c r="C10909" s="209"/>
      <c r="D10909" s="209"/>
      <c r="E10909" s="209"/>
      <c r="J10909" s="124"/>
    </row>
    <row r="10910" spans="3:10" x14ac:dyDescent="0.2">
      <c r="C10910" s="209"/>
      <c r="D10910" s="209"/>
      <c r="E10910" s="209"/>
      <c r="J10910" s="124"/>
    </row>
    <row r="10911" spans="3:10" x14ac:dyDescent="0.2">
      <c r="C10911" s="209"/>
      <c r="D10911" s="209"/>
      <c r="E10911" s="209"/>
      <c r="J10911" s="124"/>
    </row>
    <row r="10912" spans="3:10" x14ac:dyDescent="0.2">
      <c r="C10912" s="209"/>
      <c r="D10912" s="209"/>
      <c r="E10912" s="209"/>
      <c r="J10912" s="124"/>
    </row>
    <row r="10913" spans="3:10" x14ac:dyDescent="0.2">
      <c r="C10913" s="209"/>
      <c r="D10913" s="209"/>
      <c r="E10913" s="209"/>
      <c r="J10913" s="124"/>
    </row>
    <row r="10914" spans="3:10" x14ac:dyDescent="0.2">
      <c r="C10914" s="209"/>
      <c r="D10914" s="209"/>
      <c r="E10914" s="209"/>
      <c r="J10914" s="124"/>
    </row>
    <row r="10915" spans="3:10" x14ac:dyDescent="0.2">
      <c r="C10915" s="209"/>
      <c r="D10915" s="209"/>
      <c r="E10915" s="209"/>
      <c r="J10915" s="124"/>
    </row>
    <row r="10916" spans="3:10" x14ac:dyDescent="0.2">
      <c r="C10916" s="209"/>
      <c r="D10916" s="209"/>
      <c r="E10916" s="209"/>
      <c r="J10916" s="124"/>
    </row>
    <row r="10917" spans="3:10" x14ac:dyDescent="0.2">
      <c r="C10917" s="209"/>
      <c r="D10917" s="209"/>
      <c r="E10917" s="209"/>
      <c r="J10917" s="124"/>
    </row>
    <row r="10918" spans="3:10" x14ac:dyDescent="0.2">
      <c r="C10918" s="209"/>
      <c r="D10918" s="209"/>
      <c r="E10918" s="209"/>
      <c r="J10918" s="124"/>
    </row>
    <row r="10919" spans="3:10" x14ac:dyDescent="0.2">
      <c r="C10919" s="209"/>
      <c r="D10919" s="209"/>
      <c r="E10919" s="209"/>
      <c r="J10919" s="124"/>
    </row>
    <row r="10920" spans="3:10" x14ac:dyDescent="0.2">
      <c r="C10920" s="209"/>
      <c r="D10920" s="209"/>
      <c r="E10920" s="209"/>
      <c r="J10920" s="124"/>
    </row>
    <row r="10921" spans="3:10" x14ac:dyDescent="0.2">
      <c r="C10921" s="209"/>
      <c r="D10921" s="209"/>
      <c r="E10921" s="209"/>
      <c r="J10921" s="124"/>
    </row>
    <row r="10922" spans="3:10" x14ac:dyDescent="0.2">
      <c r="C10922" s="209"/>
      <c r="D10922" s="209"/>
      <c r="E10922" s="209"/>
      <c r="J10922" s="124"/>
    </row>
    <row r="10923" spans="3:10" x14ac:dyDescent="0.2">
      <c r="C10923" s="209"/>
      <c r="D10923" s="209"/>
      <c r="E10923" s="209"/>
      <c r="J10923" s="124"/>
    </row>
    <row r="10924" spans="3:10" x14ac:dyDescent="0.2">
      <c r="C10924" s="209"/>
      <c r="D10924" s="209"/>
      <c r="E10924" s="209"/>
      <c r="J10924" s="124"/>
    </row>
    <row r="10925" spans="3:10" x14ac:dyDescent="0.2">
      <c r="C10925" s="209"/>
      <c r="D10925" s="209"/>
      <c r="E10925" s="209"/>
      <c r="J10925" s="124"/>
    </row>
    <row r="10926" spans="3:10" x14ac:dyDescent="0.2">
      <c r="C10926" s="209"/>
      <c r="D10926" s="209"/>
      <c r="E10926" s="209"/>
      <c r="J10926" s="124"/>
    </row>
    <row r="10927" spans="3:10" x14ac:dyDescent="0.2">
      <c r="C10927" s="209"/>
      <c r="D10927" s="209"/>
      <c r="E10927" s="209"/>
      <c r="J10927" s="124"/>
    </row>
    <row r="10928" spans="3:10" x14ac:dyDescent="0.2">
      <c r="C10928" s="209"/>
      <c r="D10928" s="209"/>
      <c r="E10928" s="209"/>
      <c r="J10928" s="124"/>
    </row>
    <row r="10929" spans="3:10" x14ac:dyDescent="0.2">
      <c r="C10929" s="209"/>
      <c r="D10929" s="209"/>
      <c r="E10929" s="209"/>
      <c r="J10929" s="124"/>
    </row>
    <row r="10930" spans="3:10" x14ac:dyDescent="0.2">
      <c r="C10930" s="209"/>
      <c r="D10930" s="209"/>
      <c r="E10930" s="209"/>
      <c r="J10930" s="124"/>
    </row>
    <row r="10931" spans="3:10" x14ac:dyDescent="0.2">
      <c r="C10931" s="209"/>
      <c r="D10931" s="209"/>
      <c r="E10931" s="209"/>
      <c r="J10931" s="124"/>
    </row>
    <row r="10932" spans="3:10" x14ac:dyDescent="0.2">
      <c r="C10932" s="209"/>
      <c r="D10932" s="209"/>
      <c r="E10932" s="209"/>
      <c r="J10932" s="124"/>
    </row>
    <row r="10933" spans="3:10" x14ac:dyDescent="0.2">
      <c r="C10933" s="209"/>
      <c r="D10933" s="209"/>
      <c r="E10933" s="209"/>
      <c r="J10933" s="124"/>
    </row>
    <row r="10934" spans="3:10" x14ac:dyDescent="0.2">
      <c r="C10934" s="209"/>
      <c r="D10934" s="209"/>
      <c r="E10934" s="209"/>
      <c r="J10934" s="124"/>
    </row>
    <row r="10935" spans="3:10" x14ac:dyDescent="0.2">
      <c r="C10935" s="209"/>
      <c r="D10935" s="209"/>
      <c r="E10935" s="209"/>
      <c r="J10935" s="124"/>
    </row>
    <row r="10936" spans="3:10" x14ac:dyDescent="0.2">
      <c r="C10936" s="209"/>
      <c r="D10936" s="209"/>
      <c r="E10936" s="209"/>
      <c r="J10936" s="124"/>
    </row>
    <row r="10937" spans="3:10" x14ac:dyDescent="0.2">
      <c r="C10937" s="209"/>
      <c r="D10937" s="209"/>
      <c r="E10937" s="209"/>
      <c r="J10937" s="124"/>
    </row>
    <row r="10938" spans="3:10" x14ac:dyDescent="0.2">
      <c r="C10938" s="209"/>
      <c r="D10938" s="209"/>
      <c r="E10938" s="209"/>
      <c r="J10938" s="124"/>
    </row>
    <row r="10939" spans="3:10" x14ac:dyDescent="0.2">
      <c r="C10939" s="209"/>
      <c r="D10939" s="209"/>
      <c r="E10939" s="209"/>
      <c r="J10939" s="124"/>
    </row>
    <row r="10940" spans="3:10" x14ac:dyDescent="0.2">
      <c r="C10940" s="209"/>
      <c r="D10940" s="209"/>
      <c r="E10940" s="209"/>
      <c r="J10940" s="124"/>
    </row>
    <row r="10941" spans="3:10" x14ac:dyDescent="0.2">
      <c r="C10941" s="209"/>
      <c r="D10941" s="209"/>
      <c r="E10941" s="209"/>
      <c r="J10941" s="124"/>
    </row>
    <row r="10942" spans="3:10" x14ac:dyDescent="0.2">
      <c r="C10942" s="209"/>
      <c r="D10942" s="209"/>
      <c r="E10942" s="209"/>
      <c r="J10942" s="124"/>
    </row>
    <row r="10943" spans="3:10" x14ac:dyDescent="0.2">
      <c r="C10943" s="209"/>
      <c r="D10943" s="209"/>
      <c r="E10943" s="209"/>
      <c r="J10943" s="124"/>
    </row>
    <row r="10944" spans="3:10" x14ac:dyDescent="0.2">
      <c r="C10944" s="209"/>
      <c r="D10944" s="209"/>
      <c r="E10944" s="209"/>
      <c r="J10944" s="124"/>
    </row>
    <row r="10945" spans="3:10" x14ac:dyDescent="0.2">
      <c r="C10945" s="209"/>
      <c r="D10945" s="209"/>
      <c r="E10945" s="209"/>
      <c r="J10945" s="124"/>
    </row>
    <row r="10946" spans="3:10" x14ac:dyDescent="0.2">
      <c r="C10946" s="209"/>
      <c r="D10946" s="209"/>
      <c r="E10946" s="209"/>
      <c r="J10946" s="124"/>
    </row>
    <row r="10947" spans="3:10" x14ac:dyDescent="0.2">
      <c r="C10947" s="209"/>
      <c r="D10947" s="209"/>
      <c r="E10947" s="209"/>
      <c r="J10947" s="124"/>
    </row>
    <row r="10948" spans="3:10" x14ac:dyDescent="0.2">
      <c r="C10948" s="209"/>
      <c r="D10948" s="209"/>
      <c r="E10948" s="209"/>
      <c r="J10948" s="124"/>
    </row>
    <row r="10949" spans="3:10" x14ac:dyDescent="0.2">
      <c r="C10949" s="209"/>
      <c r="D10949" s="209"/>
      <c r="E10949" s="209"/>
      <c r="J10949" s="124"/>
    </row>
    <row r="10950" spans="3:10" x14ac:dyDescent="0.2">
      <c r="C10950" s="209"/>
      <c r="D10950" s="209"/>
      <c r="E10950" s="209"/>
      <c r="J10950" s="124"/>
    </row>
    <row r="10951" spans="3:10" x14ac:dyDescent="0.2">
      <c r="C10951" s="209"/>
      <c r="D10951" s="209"/>
      <c r="E10951" s="209"/>
      <c r="J10951" s="124"/>
    </row>
    <row r="10952" spans="3:10" x14ac:dyDescent="0.2">
      <c r="C10952" s="209"/>
      <c r="D10952" s="209"/>
      <c r="E10952" s="209"/>
      <c r="J10952" s="124"/>
    </row>
    <row r="10953" spans="3:10" x14ac:dyDescent="0.2">
      <c r="C10953" s="209"/>
      <c r="D10953" s="209"/>
      <c r="E10953" s="209"/>
      <c r="J10953" s="124"/>
    </row>
    <row r="10954" spans="3:10" x14ac:dyDescent="0.2">
      <c r="C10954" s="209"/>
      <c r="D10954" s="209"/>
      <c r="E10954" s="209"/>
      <c r="J10954" s="124"/>
    </row>
    <row r="10955" spans="3:10" x14ac:dyDescent="0.2">
      <c r="C10955" s="209"/>
      <c r="D10955" s="209"/>
      <c r="E10955" s="209"/>
      <c r="J10955" s="124"/>
    </row>
    <row r="10956" spans="3:10" x14ac:dyDescent="0.2">
      <c r="C10956" s="209"/>
      <c r="D10956" s="209"/>
      <c r="E10956" s="209"/>
      <c r="J10956" s="124"/>
    </row>
    <row r="10957" spans="3:10" x14ac:dyDescent="0.2">
      <c r="C10957" s="209"/>
      <c r="D10957" s="209"/>
      <c r="E10957" s="209"/>
      <c r="J10957" s="124"/>
    </row>
    <row r="10958" spans="3:10" x14ac:dyDescent="0.2">
      <c r="C10958" s="209"/>
      <c r="D10958" s="209"/>
      <c r="E10958" s="209"/>
      <c r="J10958" s="124"/>
    </row>
    <row r="10959" spans="3:10" x14ac:dyDescent="0.2">
      <c r="C10959" s="209"/>
      <c r="D10959" s="209"/>
      <c r="E10959" s="209"/>
      <c r="J10959" s="124"/>
    </row>
    <row r="10960" spans="3:10" x14ac:dyDescent="0.2">
      <c r="C10960" s="209"/>
      <c r="D10960" s="209"/>
      <c r="E10960" s="209"/>
      <c r="J10960" s="124"/>
    </row>
    <row r="10961" spans="3:10" x14ac:dyDescent="0.2">
      <c r="C10961" s="209"/>
      <c r="D10961" s="209"/>
      <c r="E10961" s="209"/>
      <c r="J10961" s="124"/>
    </row>
    <row r="10962" spans="3:10" x14ac:dyDescent="0.2">
      <c r="C10962" s="209"/>
      <c r="D10962" s="209"/>
      <c r="E10962" s="209"/>
      <c r="J10962" s="124"/>
    </row>
    <row r="10963" spans="3:10" x14ac:dyDescent="0.2">
      <c r="C10963" s="209"/>
      <c r="D10963" s="209"/>
      <c r="E10963" s="209"/>
      <c r="J10963" s="124"/>
    </row>
    <row r="10964" spans="3:10" x14ac:dyDescent="0.2">
      <c r="C10964" s="209"/>
      <c r="D10964" s="209"/>
      <c r="E10964" s="209"/>
      <c r="J10964" s="124"/>
    </row>
    <row r="10965" spans="3:10" x14ac:dyDescent="0.2">
      <c r="C10965" s="209"/>
      <c r="D10965" s="209"/>
      <c r="E10965" s="209"/>
      <c r="J10965" s="124"/>
    </row>
    <row r="10966" spans="3:10" x14ac:dyDescent="0.2">
      <c r="C10966" s="209"/>
      <c r="D10966" s="209"/>
      <c r="E10966" s="209"/>
      <c r="J10966" s="124"/>
    </row>
    <row r="10967" spans="3:10" x14ac:dyDescent="0.2">
      <c r="C10967" s="209"/>
      <c r="D10967" s="209"/>
      <c r="E10967" s="209"/>
      <c r="J10967" s="124"/>
    </row>
    <row r="10968" spans="3:10" x14ac:dyDescent="0.2">
      <c r="C10968" s="209"/>
      <c r="D10968" s="209"/>
      <c r="E10968" s="209"/>
      <c r="J10968" s="124"/>
    </row>
    <row r="10969" spans="3:10" x14ac:dyDescent="0.2">
      <c r="C10969" s="209"/>
      <c r="D10969" s="209"/>
      <c r="E10969" s="209"/>
      <c r="J10969" s="124"/>
    </row>
    <row r="10970" spans="3:10" x14ac:dyDescent="0.2">
      <c r="C10970" s="209"/>
      <c r="D10970" s="209"/>
      <c r="E10970" s="209"/>
      <c r="J10970" s="124"/>
    </row>
    <row r="10971" spans="3:10" x14ac:dyDescent="0.2">
      <c r="C10971" s="209"/>
      <c r="D10971" s="209"/>
      <c r="E10971" s="209"/>
      <c r="J10971" s="124"/>
    </row>
    <row r="10972" spans="3:10" x14ac:dyDescent="0.2">
      <c r="C10972" s="209"/>
      <c r="D10972" s="209"/>
      <c r="E10972" s="209"/>
      <c r="J10972" s="124"/>
    </row>
    <row r="10973" spans="3:10" x14ac:dyDescent="0.2">
      <c r="C10973" s="209"/>
      <c r="D10973" s="209"/>
      <c r="E10973" s="209"/>
      <c r="J10973" s="124"/>
    </row>
    <row r="10974" spans="3:10" x14ac:dyDescent="0.2">
      <c r="C10974" s="209"/>
      <c r="D10974" s="209"/>
      <c r="E10974" s="209"/>
      <c r="J10974" s="124"/>
    </row>
    <row r="10975" spans="3:10" x14ac:dyDescent="0.2">
      <c r="C10975" s="209"/>
      <c r="D10975" s="209"/>
      <c r="E10975" s="209"/>
      <c r="J10975" s="124"/>
    </row>
    <row r="10976" spans="3:10" x14ac:dyDescent="0.2">
      <c r="C10976" s="209"/>
      <c r="D10976" s="209"/>
      <c r="E10976" s="209"/>
      <c r="J10976" s="124"/>
    </row>
    <row r="10977" spans="3:10" x14ac:dyDescent="0.2">
      <c r="C10977" s="209"/>
      <c r="D10977" s="209"/>
      <c r="E10977" s="209"/>
      <c r="J10977" s="124"/>
    </row>
    <row r="10978" spans="3:10" x14ac:dyDescent="0.2">
      <c r="C10978" s="209"/>
      <c r="D10978" s="209"/>
      <c r="E10978" s="209"/>
      <c r="J10978" s="124"/>
    </row>
    <row r="10979" spans="3:10" x14ac:dyDescent="0.2">
      <c r="C10979" s="209"/>
      <c r="D10979" s="209"/>
      <c r="E10979" s="209"/>
      <c r="J10979" s="124"/>
    </row>
    <row r="10980" spans="3:10" x14ac:dyDescent="0.2">
      <c r="C10980" s="209"/>
      <c r="D10980" s="209"/>
      <c r="E10980" s="209"/>
      <c r="J10980" s="124"/>
    </row>
    <row r="10981" spans="3:10" x14ac:dyDescent="0.2">
      <c r="C10981" s="209"/>
      <c r="D10981" s="209"/>
      <c r="E10981" s="209"/>
      <c r="J10981" s="124"/>
    </row>
    <row r="10982" spans="3:10" x14ac:dyDescent="0.2">
      <c r="C10982" s="209"/>
      <c r="D10982" s="209"/>
      <c r="E10982" s="209"/>
      <c r="J10982" s="124"/>
    </row>
    <row r="10983" spans="3:10" x14ac:dyDescent="0.2">
      <c r="C10983" s="209"/>
      <c r="D10983" s="209"/>
      <c r="E10983" s="209"/>
      <c r="J10983" s="124"/>
    </row>
    <row r="10984" spans="3:10" x14ac:dyDescent="0.2">
      <c r="C10984" s="209"/>
      <c r="D10984" s="209"/>
      <c r="E10984" s="209"/>
      <c r="J10984" s="124"/>
    </row>
    <row r="10985" spans="3:10" x14ac:dyDescent="0.2">
      <c r="C10985" s="209"/>
      <c r="D10985" s="209"/>
      <c r="E10985" s="209"/>
      <c r="J10985" s="124"/>
    </row>
    <row r="10986" spans="3:10" x14ac:dyDescent="0.2">
      <c r="C10986" s="209"/>
      <c r="D10986" s="209"/>
      <c r="E10986" s="209"/>
      <c r="J10986" s="124"/>
    </row>
    <row r="10987" spans="3:10" x14ac:dyDescent="0.2">
      <c r="C10987" s="209"/>
      <c r="D10987" s="209"/>
      <c r="E10987" s="209"/>
      <c r="J10987" s="124"/>
    </row>
    <row r="10988" spans="3:10" x14ac:dyDescent="0.2">
      <c r="C10988" s="209"/>
      <c r="D10988" s="209"/>
      <c r="E10988" s="209"/>
      <c r="J10988" s="124"/>
    </row>
    <row r="10989" spans="3:10" x14ac:dyDescent="0.2">
      <c r="C10989" s="209"/>
      <c r="D10989" s="209"/>
      <c r="E10989" s="209"/>
      <c r="J10989" s="124"/>
    </row>
    <row r="10990" spans="3:10" x14ac:dyDescent="0.2">
      <c r="C10990" s="209"/>
      <c r="D10990" s="209"/>
      <c r="E10990" s="209"/>
      <c r="J10990" s="124"/>
    </row>
    <row r="10991" spans="3:10" x14ac:dyDescent="0.2">
      <c r="C10991" s="209"/>
      <c r="D10991" s="209"/>
      <c r="E10991" s="209"/>
      <c r="J10991" s="124"/>
    </row>
    <row r="10992" spans="3:10" x14ac:dyDescent="0.2">
      <c r="C10992" s="209"/>
      <c r="D10992" s="209"/>
      <c r="E10992" s="209"/>
      <c r="J10992" s="124"/>
    </row>
    <row r="10993" spans="3:10" x14ac:dyDescent="0.2">
      <c r="C10993" s="209"/>
      <c r="D10993" s="209"/>
      <c r="E10993" s="209"/>
      <c r="J10993" s="124"/>
    </row>
    <row r="10994" spans="3:10" x14ac:dyDescent="0.2">
      <c r="C10994" s="209"/>
      <c r="D10994" s="209"/>
      <c r="E10994" s="209"/>
      <c r="J10994" s="124"/>
    </row>
    <row r="10995" spans="3:10" x14ac:dyDescent="0.2">
      <c r="C10995" s="209"/>
      <c r="D10995" s="209"/>
      <c r="E10995" s="209"/>
      <c r="J10995" s="124"/>
    </row>
    <row r="10996" spans="3:10" x14ac:dyDescent="0.2">
      <c r="C10996" s="209"/>
      <c r="D10996" s="209"/>
      <c r="E10996" s="209"/>
      <c r="J10996" s="124"/>
    </row>
    <row r="10997" spans="3:10" x14ac:dyDescent="0.2">
      <c r="C10997" s="209"/>
      <c r="D10997" s="209"/>
      <c r="E10997" s="209"/>
      <c r="J10997" s="124"/>
    </row>
    <row r="10998" spans="3:10" x14ac:dyDescent="0.2">
      <c r="C10998" s="209"/>
      <c r="D10998" s="209"/>
      <c r="E10998" s="209"/>
      <c r="J10998" s="124"/>
    </row>
    <row r="10999" spans="3:10" x14ac:dyDescent="0.2">
      <c r="C10999" s="209"/>
      <c r="D10999" s="209"/>
      <c r="E10999" s="209"/>
      <c r="J10999" s="124"/>
    </row>
    <row r="11000" spans="3:10" x14ac:dyDescent="0.2">
      <c r="C11000" s="209"/>
      <c r="D11000" s="209"/>
      <c r="E11000" s="209"/>
      <c r="J11000" s="124"/>
    </row>
    <row r="11001" spans="3:10" x14ac:dyDescent="0.2">
      <c r="C11001" s="209"/>
      <c r="D11001" s="209"/>
      <c r="E11001" s="209"/>
      <c r="J11001" s="124"/>
    </row>
    <row r="11002" spans="3:10" x14ac:dyDescent="0.2">
      <c r="C11002" s="209"/>
      <c r="D11002" s="209"/>
      <c r="E11002" s="209"/>
      <c r="J11002" s="124"/>
    </row>
    <row r="11003" spans="3:10" x14ac:dyDescent="0.2">
      <c r="C11003" s="209"/>
      <c r="D11003" s="209"/>
      <c r="E11003" s="209"/>
      <c r="J11003" s="124"/>
    </row>
    <row r="11004" spans="3:10" x14ac:dyDescent="0.2">
      <c r="C11004" s="209"/>
      <c r="D11004" s="209"/>
      <c r="E11004" s="209"/>
      <c r="J11004" s="124"/>
    </row>
    <row r="11005" spans="3:10" x14ac:dyDescent="0.2">
      <c r="C11005" s="209"/>
      <c r="D11005" s="209"/>
      <c r="E11005" s="209"/>
      <c r="J11005" s="124"/>
    </row>
    <row r="11006" spans="3:10" x14ac:dyDescent="0.2">
      <c r="C11006" s="209"/>
      <c r="D11006" s="209"/>
      <c r="E11006" s="209"/>
      <c r="J11006" s="124"/>
    </row>
    <row r="11007" spans="3:10" x14ac:dyDescent="0.2">
      <c r="C11007" s="209"/>
      <c r="D11007" s="209"/>
      <c r="E11007" s="209"/>
      <c r="J11007" s="124"/>
    </row>
    <row r="11008" spans="3:10" x14ac:dyDescent="0.2">
      <c r="C11008" s="209"/>
      <c r="D11008" s="209"/>
      <c r="E11008" s="209"/>
      <c r="J11008" s="124"/>
    </row>
    <row r="11009" spans="3:10" x14ac:dyDescent="0.2">
      <c r="C11009" s="209"/>
      <c r="D11009" s="209"/>
      <c r="E11009" s="209"/>
      <c r="J11009" s="124"/>
    </row>
    <row r="11010" spans="3:10" x14ac:dyDescent="0.2">
      <c r="C11010" s="209"/>
      <c r="D11010" s="209"/>
      <c r="E11010" s="209"/>
      <c r="J11010" s="124"/>
    </row>
    <row r="11011" spans="3:10" x14ac:dyDescent="0.2">
      <c r="C11011" s="209"/>
      <c r="D11011" s="209"/>
      <c r="E11011" s="209"/>
      <c r="J11011" s="124"/>
    </row>
    <row r="11012" spans="3:10" x14ac:dyDescent="0.2">
      <c r="C11012" s="209"/>
      <c r="D11012" s="209"/>
      <c r="E11012" s="209"/>
      <c r="J11012" s="124"/>
    </row>
    <row r="11013" spans="3:10" x14ac:dyDescent="0.2">
      <c r="C11013" s="209"/>
      <c r="D11013" s="209"/>
      <c r="E11013" s="209"/>
      <c r="J11013" s="124"/>
    </row>
    <row r="11014" spans="3:10" x14ac:dyDescent="0.2">
      <c r="C11014" s="209"/>
      <c r="D11014" s="209"/>
      <c r="E11014" s="209"/>
      <c r="J11014" s="124"/>
    </row>
    <row r="11015" spans="3:10" x14ac:dyDescent="0.2">
      <c r="C11015" s="209"/>
      <c r="D11015" s="209"/>
      <c r="E11015" s="209"/>
      <c r="J11015" s="124"/>
    </row>
    <row r="11016" spans="3:10" x14ac:dyDescent="0.2">
      <c r="C11016" s="209"/>
      <c r="D11016" s="209"/>
      <c r="E11016" s="209"/>
      <c r="J11016" s="124"/>
    </row>
    <row r="11017" spans="3:10" x14ac:dyDescent="0.2">
      <c r="C11017" s="209"/>
      <c r="D11017" s="209"/>
      <c r="E11017" s="209"/>
      <c r="J11017" s="124"/>
    </row>
    <row r="11018" spans="3:10" x14ac:dyDescent="0.2">
      <c r="C11018" s="209"/>
      <c r="D11018" s="209"/>
      <c r="E11018" s="209"/>
      <c r="J11018" s="124"/>
    </row>
    <row r="11019" spans="3:10" x14ac:dyDescent="0.2">
      <c r="C11019" s="209"/>
      <c r="D11019" s="209"/>
      <c r="E11019" s="209"/>
      <c r="J11019" s="124"/>
    </row>
    <row r="11020" spans="3:10" x14ac:dyDescent="0.2">
      <c r="C11020" s="209"/>
      <c r="D11020" s="209"/>
      <c r="E11020" s="209"/>
      <c r="J11020" s="124"/>
    </row>
    <row r="11021" spans="3:10" x14ac:dyDescent="0.2">
      <c r="C11021" s="209"/>
      <c r="D11021" s="209"/>
      <c r="E11021" s="209"/>
      <c r="J11021" s="124"/>
    </row>
    <row r="11022" spans="3:10" x14ac:dyDescent="0.2">
      <c r="C11022" s="209"/>
      <c r="D11022" s="209"/>
      <c r="E11022" s="209"/>
      <c r="J11022" s="124"/>
    </row>
    <row r="11023" spans="3:10" x14ac:dyDescent="0.2">
      <c r="C11023" s="209"/>
      <c r="D11023" s="209"/>
      <c r="E11023" s="209"/>
      <c r="J11023" s="124"/>
    </row>
    <row r="11024" spans="3:10" x14ac:dyDescent="0.2">
      <c r="C11024" s="209"/>
      <c r="D11024" s="209"/>
      <c r="E11024" s="209"/>
      <c r="J11024" s="124"/>
    </row>
    <row r="11025" spans="3:10" x14ac:dyDescent="0.2">
      <c r="C11025" s="209"/>
      <c r="D11025" s="209"/>
      <c r="E11025" s="209"/>
      <c r="J11025" s="124"/>
    </row>
    <row r="11026" spans="3:10" x14ac:dyDescent="0.2">
      <c r="C11026" s="209"/>
      <c r="D11026" s="209"/>
      <c r="E11026" s="209"/>
      <c r="J11026" s="124"/>
    </row>
    <row r="11027" spans="3:10" x14ac:dyDescent="0.2">
      <c r="C11027" s="209"/>
      <c r="D11027" s="209"/>
      <c r="E11027" s="209"/>
      <c r="J11027" s="124"/>
    </row>
    <row r="11028" spans="3:10" x14ac:dyDescent="0.2">
      <c r="C11028" s="209"/>
      <c r="D11028" s="209"/>
      <c r="E11028" s="209"/>
      <c r="J11028" s="124"/>
    </row>
    <row r="11029" spans="3:10" x14ac:dyDescent="0.2">
      <c r="C11029" s="209"/>
      <c r="D11029" s="209"/>
      <c r="E11029" s="209"/>
      <c r="J11029" s="124"/>
    </row>
    <row r="11030" spans="3:10" x14ac:dyDescent="0.2">
      <c r="C11030" s="209"/>
      <c r="D11030" s="209"/>
      <c r="E11030" s="209"/>
      <c r="J11030" s="124"/>
    </row>
    <row r="11031" spans="3:10" x14ac:dyDescent="0.2">
      <c r="C11031" s="209"/>
      <c r="D11031" s="209"/>
      <c r="E11031" s="209"/>
      <c r="J11031" s="124"/>
    </row>
    <row r="11032" spans="3:10" x14ac:dyDescent="0.2">
      <c r="C11032" s="209"/>
      <c r="D11032" s="209"/>
      <c r="E11032" s="209"/>
      <c r="J11032" s="124"/>
    </row>
    <row r="11033" spans="3:10" x14ac:dyDescent="0.2">
      <c r="C11033" s="209"/>
      <c r="D11033" s="209"/>
      <c r="E11033" s="209"/>
      <c r="J11033" s="124"/>
    </row>
    <row r="11034" spans="3:10" x14ac:dyDescent="0.2">
      <c r="C11034" s="209"/>
      <c r="D11034" s="209"/>
      <c r="E11034" s="209"/>
      <c r="J11034" s="124"/>
    </row>
    <row r="11035" spans="3:10" x14ac:dyDescent="0.2">
      <c r="C11035" s="209"/>
      <c r="D11035" s="209"/>
      <c r="E11035" s="209"/>
      <c r="J11035" s="124"/>
    </row>
    <row r="11036" spans="3:10" x14ac:dyDescent="0.2">
      <c r="C11036" s="209"/>
      <c r="D11036" s="209"/>
      <c r="E11036" s="209"/>
      <c r="J11036" s="124"/>
    </row>
    <row r="11037" spans="3:10" x14ac:dyDescent="0.2">
      <c r="C11037" s="209"/>
      <c r="D11037" s="209"/>
      <c r="E11037" s="209"/>
      <c r="J11037" s="124"/>
    </row>
    <row r="11038" spans="3:10" x14ac:dyDescent="0.2">
      <c r="C11038" s="209"/>
      <c r="D11038" s="209"/>
      <c r="E11038" s="209"/>
      <c r="J11038" s="124"/>
    </row>
    <row r="11039" spans="3:10" x14ac:dyDescent="0.2">
      <c r="C11039" s="209"/>
      <c r="D11039" s="209"/>
      <c r="E11039" s="209"/>
      <c r="J11039" s="124"/>
    </row>
    <row r="11040" spans="3:10" x14ac:dyDescent="0.2">
      <c r="C11040" s="209"/>
      <c r="D11040" s="209"/>
      <c r="E11040" s="209"/>
      <c r="J11040" s="124"/>
    </row>
    <row r="11041" spans="3:10" x14ac:dyDescent="0.2">
      <c r="C11041" s="209"/>
      <c r="D11041" s="209"/>
      <c r="E11041" s="209"/>
      <c r="J11041" s="124"/>
    </row>
    <row r="11042" spans="3:10" x14ac:dyDescent="0.2">
      <c r="C11042" s="209"/>
      <c r="D11042" s="209"/>
      <c r="E11042" s="209"/>
      <c r="J11042" s="124"/>
    </row>
    <row r="11043" spans="3:10" x14ac:dyDescent="0.2">
      <c r="C11043" s="209"/>
      <c r="D11043" s="209"/>
      <c r="E11043" s="209"/>
      <c r="J11043" s="124"/>
    </row>
    <row r="11044" spans="3:10" x14ac:dyDescent="0.2">
      <c r="C11044" s="209"/>
      <c r="D11044" s="209"/>
      <c r="E11044" s="209"/>
      <c r="J11044" s="124"/>
    </row>
    <row r="11045" spans="3:10" x14ac:dyDescent="0.2">
      <c r="C11045" s="209"/>
      <c r="D11045" s="209"/>
      <c r="E11045" s="209"/>
      <c r="J11045" s="124"/>
    </row>
    <row r="11046" spans="3:10" x14ac:dyDescent="0.2">
      <c r="C11046" s="209"/>
      <c r="D11046" s="209"/>
      <c r="E11046" s="209"/>
      <c r="J11046" s="124"/>
    </row>
    <row r="11047" spans="3:10" x14ac:dyDescent="0.2">
      <c r="C11047" s="209"/>
      <c r="D11047" s="209"/>
      <c r="E11047" s="209"/>
      <c r="J11047" s="124"/>
    </row>
    <row r="11048" spans="3:10" x14ac:dyDescent="0.2">
      <c r="C11048" s="209"/>
      <c r="D11048" s="209"/>
      <c r="E11048" s="209"/>
      <c r="J11048" s="124"/>
    </row>
    <row r="11049" spans="3:10" x14ac:dyDescent="0.2">
      <c r="C11049" s="209"/>
      <c r="D11049" s="209"/>
      <c r="E11049" s="209"/>
      <c r="J11049" s="124"/>
    </row>
    <row r="11050" spans="3:10" x14ac:dyDescent="0.2">
      <c r="C11050" s="209"/>
      <c r="D11050" s="209"/>
      <c r="E11050" s="209"/>
      <c r="J11050" s="124"/>
    </row>
    <row r="11051" spans="3:10" x14ac:dyDescent="0.2">
      <c r="C11051" s="209"/>
      <c r="D11051" s="209"/>
      <c r="E11051" s="209"/>
      <c r="J11051" s="124"/>
    </row>
    <row r="11052" spans="3:10" x14ac:dyDescent="0.2">
      <c r="C11052" s="209"/>
      <c r="D11052" s="209"/>
      <c r="E11052" s="209"/>
      <c r="J11052" s="124"/>
    </row>
    <row r="11053" spans="3:10" x14ac:dyDescent="0.2">
      <c r="C11053" s="209"/>
      <c r="D11053" s="209"/>
      <c r="E11053" s="209"/>
      <c r="J11053" s="124"/>
    </row>
    <row r="11054" spans="3:10" x14ac:dyDescent="0.2">
      <c r="C11054" s="209"/>
      <c r="D11054" s="209"/>
      <c r="E11054" s="209"/>
      <c r="J11054" s="124"/>
    </row>
    <row r="11055" spans="3:10" x14ac:dyDescent="0.2">
      <c r="C11055" s="209"/>
      <c r="D11055" s="209"/>
      <c r="E11055" s="209"/>
      <c r="J11055" s="124"/>
    </row>
    <row r="11056" spans="3:10" x14ac:dyDescent="0.2">
      <c r="C11056" s="209"/>
      <c r="D11056" s="209"/>
      <c r="E11056" s="209"/>
      <c r="J11056" s="124"/>
    </row>
    <row r="11057" spans="3:10" x14ac:dyDescent="0.2">
      <c r="C11057" s="209"/>
      <c r="D11057" s="209"/>
      <c r="E11057" s="209"/>
      <c r="J11057" s="124"/>
    </row>
    <row r="11058" spans="3:10" x14ac:dyDescent="0.2">
      <c r="C11058" s="209"/>
      <c r="D11058" s="209"/>
      <c r="E11058" s="209"/>
      <c r="J11058" s="124"/>
    </row>
    <row r="11059" spans="3:10" x14ac:dyDescent="0.2">
      <c r="C11059" s="209"/>
      <c r="D11059" s="209"/>
      <c r="E11059" s="209"/>
      <c r="J11059" s="124"/>
    </row>
    <row r="11060" spans="3:10" x14ac:dyDescent="0.2">
      <c r="C11060" s="209"/>
      <c r="D11060" s="209"/>
      <c r="E11060" s="209"/>
      <c r="J11060" s="124"/>
    </row>
    <row r="11061" spans="3:10" x14ac:dyDescent="0.2">
      <c r="C11061" s="209"/>
      <c r="D11061" s="209"/>
      <c r="E11061" s="209"/>
      <c r="J11061" s="124"/>
    </row>
    <row r="11062" spans="3:10" x14ac:dyDescent="0.2">
      <c r="C11062" s="209"/>
      <c r="D11062" s="209"/>
      <c r="E11062" s="209"/>
      <c r="J11062" s="124"/>
    </row>
    <row r="11063" spans="3:10" x14ac:dyDescent="0.2">
      <c r="C11063" s="209"/>
      <c r="D11063" s="209"/>
      <c r="E11063" s="209"/>
      <c r="J11063" s="124"/>
    </row>
    <row r="11064" spans="3:10" x14ac:dyDescent="0.2">
      <c r="C11064" s="209"/>
      <c r="D11064" s="209"/>
      <c r="E11064" s="209"/>
      <c r="J11064" s="124"/>
    </row>
    <row r="11065" spans="3:10" x14ac:dyDescent="0.2">
      <c r="C11065" s="209"/>
      <c r="D11065" s="209"/>
      <c r="E11065" s="209"/>
      <c r="J11065" s="124"/>
    </row>
    <row r="11066" spans="3:10" x14ac:dyDescent="0.2">
      <c r="C11066" s="209"/>
      <c r="D11066" s="209"/>
      <c r="E11066" s="209"/>
      <c r="J11066" s="124"/>
    </row>
    <row r="11067" spans="3:10" x14ac:dyDescent="0.2">
      <c r="C11067" s="209"/>
      <c r="D11067" s="209"/>
      <c r="E11067" s="209"/>
      <c r="J11067" s="124"/>
    </row>
    <row r="11068" spans="3:10" x14ac:dyDescent="0.2">
      <c r="C11068" s="209"/>
      <c r="D11068" s="209"/>
      <c r="E11068" s="209"/>
      <c r="J11068" s="124"/>
    </row>
    <row r="11069" spans="3:10" x14ac:dyDescent="0.2">
      <c r="C11069" s="209"/>
      <c r="D11069" s="209"/>
      <c r="E11069" s="209"/>
      <c r="J11069" s="124"/>
    </row>
    <row r="11070" spans="3:10" x14ac:dyDescent="0.2">
      <c r="C11070" s="209"/>
      <c r="D11070" s="209"/>
      <c r="E11070" s="209"/>
      <c r="J11070" s="124"/>
    </row>
    <row r="11071" spans="3:10" x14ac:dyDescent="0.2">
      <c r="C11071" s="209"/>
      <c r="D11071" s="209"/>
      <c r="E11071" s="209"/>
      <c r="J11071" s="124"/>
    </row>
    <row r="11072" spans="3:10" x14ac:dyDescent="0.2">
      <c r="C11072" s="209"/>
      <c r="D11072" s="209"/>
      <c r="E11072" s="209"/>
      <c r="J11072" s="124"/>
    </row>
    <row r="11073" spans="3:10" x14ac:dyDescent="0.2">
      <c r="C11073" s="209"/>
      <c r="D11073" s="209"/>
      <c r="E11073" s="209"/>
      <c r="J11073" s="124"/>
    </row>
    <row r="11074" spans="3:10" x14ac:dyDescent="0.2">
      <c r="C11074" s="209"/>
      <c r="D11074" s="209"/>
      <c r="E11074" s="209"/>
      <c r="J11074" s="124"/>
    </row>
    <row r="11075" spans="3:10" x14ac:dyDescent="0.2">
      <c r="C11075" s="209"/>
      <c r="D11075" s="209"/>
      <c r="E11075" s="209"/>
      <c r="J11075" s="124"/>
    </row>
    <row r="11076" spans="3:10" x14ac:dyDescent="0.2">
      <c r="C11076" s="209"/>
      <c r="D11076" s="209"/>
      <c r="E11076" s="209"/>
      <c r="J11076" s="124"/>
    </row>
    <row r="11077" spans="3:10" x14ac:dyDescent="0.2">
      <c r="C11077" s="209"/>
      <c r="D11077" s="209"/>
      <c r="E11077" s="209"/>
      <c r="J11077" s="124"/>
    </row>
    <row r="11078" spans="3:10" x14ac:dyDescent="0.2">
      <c r="C11078" s="209"/>
      <c r="D11078" s="209"/>
      <c r="E11078" s="209"/>
      <c r="J11078" s="124"/>
    </row>
    <row r="11079" spans="3:10" x14ac:dyDescent="0.2">
      <c r="C11079" s="209"/>
      <c r="D11079" s="209"/>
      <c r="E11079" s="209"/>
      <c r="J11079" s="124"/>
    </row>
    <row r="11080" spans="3:10" x14ac:dyDescent="0.2">
      <c r="C11080" s="209"/>
      <c r="D11080" s="209"/>
      <c r="E11080" s="209"/>
      <c r="J11080" s="124"/>
    </row>
    <row r="11081" spans="3:10" x14ac:dyDescent="0.2">
      <c r="C11081" s="209"/>
      <c r="D11081" s="209"/>
      <c r="E11081" s="209"/>
      <c r="J11081" s="124"/>
    </row>
    <row r="11082" spans="3:10" x14ac:dyDescent="0.2">
      <c r="C11082" s="209"/>
      <c r="D11082" s="209"/>
      <c r="E11082" s="209"/>
      <c r="J11082" s="124"/>
    </row>
    <row r="11083" spans="3:10" x14ac:dyDescent="0.2">
      <c r="C11083" s="209"/>
      <c r="D11083" s="209"/>
      <c r="E11083" s="209"/>
      <c r="J11083" s="124"/>
    </row>
    <row r="11084" spans="3:10" x14ac:dyDescent="0.2">
      <c r="C11084" s="209"/>
      <c r="D11084" s="209"/>
      <c r="E11084" s="209"/>
      <c r="J11084" s="124"/>
    </row>
    <row r="11085" spans="3:10" x14ac:dyDescent="0.2">
      <c r="C11085" s="209"/>
      <c r="D11085" s="209"/>
      <c r="E11085" s="209"/>
      <c r="J11085" s="124"/>
    </row>
    <row r="11086" spans="3:10" x14ac:dyDescent="0.2">
      <c r="C11086" s="209"/>
      <c r="D11086" s="209"/>
      <c r="E11086" s="209"/>
      <c r="J11086" s="124"/>
    </row>
    <row r="11087" spans="3:10" x14ac:dyDescent="0.2">
      <c r="C11087" s="209"/>
      <c r="D11087" s="209"/>
      <c r="E11087" s="209"/>
      <c r="J11087" s="124"/>
    </row>
    <row r="11088" spans="3:10" x14ac:dyDescent="0.2">
      <c r="C11088" s="209"/>
      <c r="D11088" s="209"/>
      <c r="E11088" s="209"/>
      <c r="J11088" s="124"/>
    </row>
    <row r="11089" spans="3:10" x14ac:dyDescent="0.2">
      <c r="C11089" s="209"/>
      <c r="D11089" s="209"/>
      <c r="E11089" s="209"/>
      <c r="J11089" s="124"/>
    </row>
    <row r="11090" spans="3:10" x14ac:dyDescent="0.2">
      <c r="C11090" s="209"/>
      <c r="D11090" s="209"/>
      <c r="E11090" s="209"/>
      <c r="J11090" s="124"/>
    </row>
    <row r="11091" spans="3:10" x14ac:dyDescent="0.2">
      <c r="C11091" s="209"/>
      <c r="D11091" s="209"/>
      <c r="E11091" s="209"/>
      <c r="J11091" s="124"/>
    </row>
    <row r="11092" spans="3:10" x14ac:dyDescent="0.2">
      <c r="C11092" s="209"/>
      <c r="D11092" s="209"/>
      <c r="E11092" s="209"/>
      <c r="J11092" s="124"/>
    </row>
    <row r="11093" spans="3:10" x14ac:dyDescent="0.2">
      <c r="C11093" s="209"/>
      <c r="D11093" s="209"/>
      <c r="E11093" s="209"/>
      <c r="J11093" s="124"/>
    </row>
    <row r="11094" spans="3:10" x14ac:dyDescent="0.2">
      <c r="C11094" s="209"/>
      <c r="D11094" s="209"/>
      <c r="E11094" s="209"/>
      <c r="J11094" s="124"/>
    </row>
    <row r="11095" spans="3:10" x14ac:dyDescent="0.2">
      <c r="C11095" s="209"/>
      <c r="D11095" s="209"/>
      <c r="E11095" s="209"/>
      <c r="J11095" s="124"/>
    </row>
    <row r="11096" spans="3:10" x14ac:dyDescent="0.2">
      <c r="C11096" s="209"/>
      <c r="D11096" s="209"/>
      <c r="E11096" s="209"/>
      <c r="J11096" s="124"/>
    </row>
    <row r="11097" spans="3:10" x14ac:dyDescent="0.2">
      <c r="C11097" s="209"/>
      <c r="D11097" s="209"/>
      <c r="E11097" s="209"/>
      <c r="J11097" s="124"/>
    </row>
    <row r="11098" spans="3:10" x14ac:dyDescent="0.2">
      <c r="C11098" s="209"/>
      <c r="D11098" s="209"/>
      <c r="E11098" s="209"/>
      <c r="J11098" s="124"/>
    </row>
    <row r="11099" spans="3:10" x14ac:dyDescent="0.2">
      <c r="C11099" s="209"/>
      <c r="D11099" s="209"/>
      <c r="E11099" s="209"/>
      <c r="J11099" s="124"/>
    </row>
    <row r="11100" spans="3:10" x14ac:dyDescent="0.2">
      <c r="C11100" s="209"/>
      <c r="D11100" s="209"/>
      <c r="E11100" s="209"/>
      <c r="J11100" s="124"/>
    </row>
    <row r="11101" spans="3:10" x14ac:dyDescent="0.2">
      <c r="C11101" s="209"/>
      <c r="D11101" s="209"/>
      <c r="E11101" s="209"/>
      <c r="J11101" s="124"/>
    </row>
    <row r="11102" spans="3:10" x14ac:dyDescent="0.2">
      <c r="C11102" s="209"/>
      <c r="D11102" s="209"/>
      <c r="E11102" s="209"/>
      <c r="J11102" s="124"/>
    </row>
    <row r="11103" spans="3:10" x14ac:dyDescent="0.2">
      <c r="C11103" s="209"/>
      <c r="D11103" s="209"/>
      <c r="E11103" s="209"/>
      <c r="J11103" s="124"/>
    </row>
    <row r="11104" spans="3:10" x14ac:dyDescent="0.2">
      <c r="C11104" s="209"/>
      <c r="D11104" s="209"/>
      <c r="E11104" s="209"/>
      <c r="J11104" s="124"/>
    </row>
    <row r="11105" spans="3:10" x14ac:dyDescent="0.2">
      <c r="C11105" s="209"/>
      <c r="D11105" s="209"/>
      <c r="E11105" s="209"/>
      <c r="J11105" s="124"/>
    </row>
    <row r="11106" spans="3:10" x14ac:dyDescent="0.2">
      <c r="C11106" s="209"/>
      <c r="D11106" s="209"/>
      <c r="E11106" s="209"/>
      <c r="J11106" s="124"/>
    </row>
    <row r="11107" spans="3:10" x14ac:dyDescent="0.2">
      <c r="C11107" s="209"/>
      <c r="D11107" s="209"/>
      <c r="E11107" s="209"/>
      <c r="J11107" s="124"/>
    </row>
    <row r="11108" spans="3:10" x14ac:dyDescent="0.2">
      <c r="C11108" s="209"/>
      <c r="D11108" s="209"/>
      <c r="E11108" s="209"/>
      <c r="J11108" s="124"/>
    </row>
    <row r="11109" spans="3:10" x14ac:dyDescent="0.2">
      <c r="C11109" s="209"/>
      <c r="D11109" s="209"/>
      <c r="E11109" s="209"/>
      <c r="J11109" s="124"/>
    </row>
    <row r="11110" spans="3:10" x14ac:dyDescent="0.2">
      <c r="C11110" s="209"/>
      <c r="D11110" s="209"/>
      <c r="E11110" s="209"/>
      <c r="J11110" s="124"/>
    </row>
    <row r="11111" spans="3:10" x14ac:dyDescent="0.2">
      <c r="C11111" s="209"/>
      <c r="D11111" s="209"/>
      <c r="E11111" s="209"/>
      <c r="J11111" s="124"/>
    </row>
    <row r="11112" spans="3:10" x14ac:dyDescent="0.2">
      <c r="C11112" s="209"/>
      <c r="D11112" s="209"/>
      <c r="E11112" s="209"/>
      <c r="J11112" s="124"/>
    </row>
    <row r="11113" spans="3:10" x14ac:dyDescent="0.2">
      <c r="C11113" s="209"/>
      <c r="D11113" s="209"/>
      <c r="E11113" s="209"/>
      <c r="J11113" s="124"/>
    </row>
    <row r="11114" spans="3:10" x14ac:dyDescent="0.2">
      <c r="C11114" s="209"/>
      <c r="D11114" s="209"/>
      <c r="E11114" s="209"/>
      <c r="J11114" s="124"/>
    </row>
    <row r="11115" spans="3:10" x14ac:dyDescent="0.2">
      <c r="C11115" s="209"/>
      <c r="D11115" s="209"/>
      <c r="E11115" s="209"/>
      <c r="J11115" s="124"/>
    </row>
    <row r="11116" spans="3:10" x14ac:dyDescent="0.2">
      <c r="C11116" s="209"/>
      <c r="D11116" s="209"/>
      <c r="E11116" s="209"/>
      <c r="J11116" s="124"/>
    </row>
    <row r="11117" spans="3:10" x14ac:dyDescent="0.2">
      <c r="C11117" s="209"/>
      <c r="D11117" s="209"/>
      <c r="E11117" s="209"/>
      <c r="J11117" s="124"/>
    </row>
    <row r="11118" spans="3:10" x14ac:dyDescent="0.2">
      <c r="C11118" s="209"/>
      <c r="D11118" s="209"/>
      <c r="E11118" s="209"/>
      <c r="J11118" s="124"/>
    </row>
    <row r="11119" spans="3:10" x14ac:dyDescent="0.2">
      <c r="C11119" s="209"/>
      <c r="D11119" s="209"/>
      <c r="E11119" s="209"/>
      <c r="J11119" s="124"/>
    </row>
    <row r="11120" spans="3:10" x14ac:dyDescent="0.2">
      <c r="C11120" s="209"/>
      <c r="D11120" s="209"/>
      <c r="E11120" s="209"/>
      <c r="J11120" s="124"/>
    </row>
    <row r="11121" spans="3:10" x14ac:dyDescent="0.2">
      <c r="C11121" s="209"/>
      <c r="D11121" s="209"/>
      <c r="E11121" s="209"/>
      <c r="J11121" s="124"/>
    </row>
    <row r="11122" spans="3:10" x14ac:dyDescent="0.2">
      <c r="C11122" s="209"/>
      <c r="D11122" s="209"/>
      <c r="E11122" s="209"/>
      <c r="J11122" s="124"/>
    </row>
    <row r="11123" spans="3:10" x14ac:dyDescent="0.2">
      <c r="C11123" s="209"/>
      <c r="D11123" s="209"/>
      <c r="E11123" s="209"/>
      <c r="J11123" s="124"/>
    </row>
    <row r="11124" spans="3:10" x14ac:dyDescent="0.2">
      <c r="C11124" s="209"/>
      <c r="D11124" s="209"/>
      <c r="E11124" s="209"/>
      <c r="J11124" s="124"/>
    </row>
    <row r="11125" spans="3:10" x14ac:dyDescent="0.2">
      <c r="C11125" s="209"/>
      <c r="D11125" s="209"/>
      <c r="E11125" s="209"/>
      <c r="J11125" s="124"/>
    </row>
    <row r="11126" spans="3:10" x14ac:dyDescent="0.2">
      <c r="C11126" s="209"/>
      <c r="D11126" s="209"/>
      <c r="E11126" s="209"/>
      <c r="J11126" s="124"/>
    </row>
    <row r="11127" spans="3:10" x14ac:dyDescent="0.2">
      <c r="C11127" s="209"/>
      <c r="D11127" s="209"/>
      <c r="E11127" s="209"/>
      <c r="J11127" s="124"/>
    </row>
    <row r="11128" spans="3:10" x14ac:dyDescent="0.2">
      <c r="C11128" s="209"/>
      <c r="D11128" s="209"/>
      <c r="E11128" s="209"/>
      <c r="J11128" s="124"/>
    </row>
    <row r="11129" spans="3:10" x14ac:dyDescent="0.2">
      <c r="C11129" s="209"/>
      <c r="D11129" s="209"/>
      <c r="E11129" s="209"/>
      <c r="J11129" s="124"/>
    </row>
    <row r="11130" spans="3:10" x14ac:dyDescent="0.2">
      <c r="C11130" s="209"/>
      <c r="D11130" s="209"/>
      <c r="E11130" s="209"/>
      <c r="J11130" s="124"/>
    </row>
    <row r="11131" spans="3:10" x14ac:dyDescent="0.2">
      <c r="C11131" s="209"/>
      <c r="D11131" s="209"/>
      <c r="E11131" s="209"/>
      <c r="J11131" s="124"/>
    </row>
    <row r="11132" spans="3:10" x14ac:dyDescent="0.2">
      <c r="C11132" s="209"/>
      <c r="D11132" s="209"/>
      <c r="E11132" s="209"/>
      <c r="J11132" s="124"/>
    </row>
    <row r="11133" spans="3:10" x14ac:dyDescent="0.2">
      <c r="C11133" s="209"/>
      <c r="D11133" s="209"/>
      <c r="E11133" s="209"/>
      <c r="J11133" s="124"/>
    </row>
    <row r="11134" spans="3:10" x14ac:dyDescent="0.2">
      <c r="C11134" s="209"/>
      <c r="D11134" s="209"/>
      <c r="E11134" s="209"/>
      <c r="J11134" s="124"/>
    </row>
    <row r="11135" spans="3:10" x14ac:dyDescent="0.2">
      <c r="C11135" s="209"/>
      <c r="D11135" s="209"/>
      <c r="E11135" s="209"/>
      <c r="J11135" s="124"/>
    </row>
    <row r="11136" spans="3:10" x14ac:dyDescent="0.2">
      <c r="C11136" s="209"/>
      <c r="D11136" s="209"/>
      <c r="E11136" s="209"/>
      <c r="J11136" s="124"/>
    </row>
    <row r="11137" spans="3:10" x14ac:dyDescent="0.2">
      <c r="C11137" s="209"/>
      <c r="D11137" s="209"/>
      <c r="E11137" s="209"/>
      <c r="J11137" s="124"/>
    </row>
    <row r="11138" spans="3:10" x14ac:dyDescent="0.2">
      <c r="C11138" s="209"/>
      <c r="D11138" s="209"/>
      <c r="E11138" s="209"/>
      <c r="J11138" s="124"/>
    </row>
    <row r="11139" spans="3:10" x14ac:dyDescent="0.2">
      <c r="C11139" s="209"/>
      <c r="D11139" s="209"/>
      <c r="E11139" s="209"/>
      <c r="J11139" s="124"/>
    </row>
    <row r="11140" spans="3:10" x14ac:dyDescent="0.2">
      <c r="C11140" s="209"/>
      <c r="D11140" s="209"/>
      <c r="E11140" s="209"/>
      <c r="J11140" s="124"/>
    </row>
    <row r="11141" spans="3:10" x14ac:dyDescent="0.2">
      <c r="C11141" s="209"/>
      <c r="D11141" s="209"/>
      <c r="E11141" s="209"/>
      <c r="J11141" s="124"/>
    </row>
    <row r="11142" spans="3:10" x14ac:dyDescent="0.2">
      <c r="C11142" s="209"/>
      <c r="D11142" s="209"/>
      <c r="E11142" s="209"/>
      <c r="J11142" s="124"/>
    </row>
    <row r="11143" spans="3:10" x14ac:dyDescent="0.2">
      <c r="C11143" s="209"/>
      <c r="D11143" s="209"/>
      <c r="E11143" s="209"/>
      <c r="J11143" s="124"/>
    </row>
    <row r="11144" spans="3:10" x14ac:dyDescent="0.2">
      <c r="C11144" s="209"/>
      <c r="D11144" s="209"/>
      <c r="E11144" s="209"/>
      <c r="J11144" s="124"/>
    </row>
    <row r="11145" spans="3:10" x14ac:dyDescent="0.2">
      <c r="C11145" s="209"/>
      <c r="D11145" s="209"/>
      <c r="E11145" s="209"/>
      <c r="J11145" s="124"/>
    </row>
    <row r="11146" spans="3:10" x14ac:dyDescent="0.2">
      <c r="C11146" s="209"/>
      <c r="D11146" s="209"/>
      <c r="E11146" s="209"/>
      <c r="J11146" s="124"/>
    </row>
    <row r="11147" spans="3:10" x14ac:dyDescent="0.2">
      <c r="C11147" s="209"/>
      <c r="D11147" s="209"/>
      <c r="E11147" s="209"/>
      <c r="J11147" s="124"/>
    </row>
    <row r="11148" spans="3:10" x14ac:dyDescent="0.2">
      <c r="C11148" s="209"/>
      <c r="D11148" s="209"/>
      <c r="E11148" s="209"/>
      <c r="J11148" s="124"/>
    </row>
    <row r="11149" spans="3:10" x14ac:dyDescent="0.2">
      <c r="C11149" s="209"/>
      <c r="D11149" s="209"/>
      <c r="E11149" s="209"/>
      <c r="J11149" s="124"/>
    </row>
    <row r="11150" spans="3:10" x14ac:dyDescent="0.2">
      <c r="C11150" s="209"/>
      <c r="D11150" s="209"/>
      <c r="E11150" s="209"/>
      <c r="J11150" s="124"/>
    </row>
    <row r="11151" spans="3:10" x14ac:dyDescent="0.2">
      <c r="C11151" s="209"/>
      <c r="D11151" s="209"/>
      <c r="E11151" s="209"/>
      <c r="J11151" s="124"/>
    </row>
    <row r="11152" spans="3:10" x14ac:dyDescent="0.2">
      <c r="C11152" s="209"/>
      <c r="D11152" s="209"/>
      <c r="E11152" s="209"/>
      <c r="J11152" s="124"/>
    </row>
    <row r="11153" spans="3:10" x14ac:dyDescent="0.2">
      <c r="C11153" s="209"/>
      <c r="D11153" s="209"/>
      <c r="E11153" s="209"/>
      <c r="J11153" s="124"/>
    </row>
    <row r="11154" spans="3:10" x14ac:dyDescent="0.2">
      <c r="C11154" s="209"/>
      <c r="D11154" s="209"/>
      <c r="E11154" s="209"/>
      <c r="J11154" s="124"/>
    </row>
    <row r="11155" spans="3:10" x14ac:dyDescent="0.2">
      <c r="C11155" s="209"/>
      <c r="D11155" s="209"/>
      <c r="E11155" s="209"/>
      <c r="J11155" s="124"/>
    </row>
    <row r="11156" spans="3:10" x14ac:dyDescent="0.2">
      <c r="C11156" s="209"/>
      <c r="D11156" s="209"/>
      <c r="E11156" s="209"/>
      <c r="J11156" s="124"/>
    </row>
    <row r="11157" spans="3:10" x14ac:dyDescent="0.2">
      <c r="C11157" s="209"/>
      <c r="D11157" s="209"/>
      <c r="E11157" s="209"/>
      <c r="J11157" s="124"/>
    </row>
    <row r="11158" spans="3:10" x14ac:dyDescent="0.2">
      <c r="C11158" s="209"/>
      <c r="D11158" s="209"/>
      <c r="E11158" s="209"/>
      <c r="J11158" s="124"/>
    </row>
    <row r="11159" spans="3:10" x14ac:dyDescent="0.2">
      <c r="C11159" s="209"/>
      <c r="D11159" s="209"/>
      <c r="E11159" s="209"/>
      <c r="J11159" s="124"/>
    </row>
    <row r="11160" spans="3:10" x14ac:dyDescent="0.2">
      <c r="C11160" s="209"/>
      <c r="D11160" s="209"/>
      <c r="E11160" s="209"/>
      <c r="J11160" s="124"/>
    </row>
    <row r="11161" spans="3:10" x14ac:dyDescent="0.2">
      <c r="C11161" s="209"/>
      <c r="D11161" s="209"/>
      <c r="E11161" s="209"/>
      <c r="J11161" s="124"/>
    </row>
    <row r="11162" spans="3:10" x14ac:dyDescent="0.2">
      <c r="C11162" s="209"/>
      <c r="D11162" s="209"/>
      <c r="E11162" s="209"/>
      <c r="J11162" s="124"/>
    </row>
    <row r="11163" spans="3:10" x14ac:dyDescent="0.2">
      <c r="C11163" s="209"/>
      <c r="D11163" s="209"/>
      <c r="E11163" s="209"/>
      <c r="J11163" s="124"/>
    </row>
    <row r="11164" spans="3:10" x14ac:dyDescent="0.2">
      <c r="C11164" s="209"/>
      <c r="D11164" s="209"/>
      <c r="E11164" s="209"/>
      <c r="J11164" s="124"/>
    </row>
    <row r="11165" spans="3:10" x14ac:dyDescent="0.2">
      <c r="C11165" s="209"/>
      <c r="D11165" s="209"/>
      <c r="E11165" s="209"/>
      <c r="J11165" s="124"/>
    </row>
    <row r="11166" spans="3:10" x14ac:dyDescent="0.2">
      <c r="C11166" s="209"/>
      <c r="D11166" s="209"/>
      <c r="E11166" s="209"/>
      <c r="J11166" s="124"/>
    </row>
    <row r="11167" spans="3:10" x14ac:dyDescent="0.2">
      <c r="C11167" s="209"/>
      <c r="D11167" s="209"/>
      <c r="E11167" s="209"/>
      <c r="J11167" s="124"/>
    </row>
    <row r="11168" spans="3:10" x14ac:dyDescent="0.2">
      <c r="C11168" s="209"/>
      <c r="D11168" s="209"/>
      <c r="E11168" s="209"/>
      <c r="J11168" s="124"/>
    </row>
    <row r="11169" spans="3:10" x14ac:dyDescent="0.2">
      <c r="C11169" s="209"/>
      <c r="D11169" s="209"/>
      <c r="E11169" s="209"/>
      <c r="J11169" s="124"/>
    </row>
    <row r="11170" spans="3:10" x14ac:dyDescent="0.2">
      <c r="C11170" s="209"/>
      <c r="D11170" s="209"/>
      <c r="E11170" s="209"/>
      <c r="J11170" s="124"/>
    </row>
    <row r="11171" spans="3:10" x14ac:dyDescent="0.2">
      <c r="C11171" s="209"/>
      <c r="D11171" s="209"/>
      <c r="E11171" s="209"/>
      <c r="J11171" s="124"/>
    </row>
    <row r="11172" spans="3:10" x14ac:dyDescent="0.2">
      <c r="C11172" s="209"/>
      <c r="D11172" s="209"/>
      <c r="E11172" s="209"/>
      <c r="J11172" s="124"/>
    </row>
    <row r="11173" spans="3:10" x14ac:dyDescent="0.2">
      <c r="C11173" s="209"/>
      <c r="D11173" s="209"/>
      <c r="E11173" s="209"/>
      <c r="J11173" s="124"/>
    </row>
    <row r="11174" spans="3:10" x14ac:dyDescent="0.2">
      <c r="C11174" s="209"/>
      <c r="D11174" s="209"/>
      <c r="E11174" s="209"/>
      <c r="J11174" s="124"/>
    </row>
    <row r="11175" spans="3:10" x14ac:dyDescent="0.2">
      <c r="C11175" s="209"/>
      <c r="D11175" s="209"/>
      <c r="E11175" s="209"/>
      <c r="J11175" s="124"/>
    </row>
    <row r="11176" spans="3:10" x14ac:dyDescent="0.2">
      <c r="C11176" s="209"/>
      <c r="D11176" s="209"/>
      <c r="E11176" s="209"/>
      <c r="J11176" s="124"/>
    </row>
    <row r="11177" spans="3:10" x14ac:dyDescent="0.2">
      <c r="C11177" s="209"/>
      <c r="D11177" s="209"/>
      <c r="E11177" s="209"/>
      <c r="J11177" s="124"/>
    </row>
    <row r="11178" spans="3:10" x14ac:dyDescent="0.2">
      <c r="C11178" s="209"/>
      <c r="D11178" s="209"/>
      <c r="E11178" s="209"/>
      <c r="J11178" s="124"/>
    </row>
    <row r="11179" spans="3:10" x14ac:dyDescent="0.2">
      <c r="C11179" s="209"/>
      <c r="D11179" s="209"/>
      <c r="E11179" s="209"/>
      <c r="J11179" s="124"/>
    </row>
    <row r="11180" spans="3:10" x14ac:dyDescent="0.2">
      <c r="C11180" s="209"/>
      <c r="D11180" s="209"/>
      <c r="E11180" s="209"/>
      <c r="J11180" s="124"/>
    </row>
    <row r="11181" spans="3:10" x14ac:dyDescent="0.2">
      <c r="C11181" s="209"/>
      <c r="D11181" s="209"/>
      <c r="E11181" s="209"/>
      <c r="J11181" s="124"/>
    </row>
    <row r="11182" spans="3:10" x14ac:dyDescent="0.2">
      <c r="C11182" s="209"/>
      <c r="D11182" s="209"/>
      <c r="E11182" s="209"/>
      <c r="J11182" s="124"/>
    </row>
    <row r="11183" spans="3:10" x14ac:dyDescent="0.2">
      <c r="C11183" s="209"/>
      <c r="D11183" s="209"/>
      <c r="E11183" s="209"/>
      <c r="J11183" s="124"/>
    </row>
    <row r="11184" spans="3:10" x14ac:dyDescent="0.2">
      <c r="C11184" s="209"/>
      <c r="D11184" s="209"/>
      <c r="E11184" s="209"/>
      <c r="J11184" s="124"/>
    </row>
    <row r="11185" spans="3:10" x14ac:dyDescent="0.2">
      <c r="C11185" s="209"/>
      <c r="D11185" s="209"/>
      <c r="E11185" s="209"/>
      <c r="J11185" s="124"/>
    </row>
    <row r="11186" spans="3:10" x14ac:dyDescent="0.2">
      <c r="C11186" s="209"/>
      <c r="D11186" s="209"/>
      <c r="E11186" s="209"/>
      <c r="J11186" s="124"/>
    </row>
    <row r="11187" spans="3:10" x14ac:dyDescent="0.2">
      <c r="C11187" s="209"/>
      <c r="D11187" s="209"/>
      <c r="E11187" s="209"/>
      <c r="J11187" s="124"/>
    </row>
    <row r="11188" spans="3:10" x14ac:dyDescent="0.2">
      <c r="C11188" s="209"/>
      <c r="D11188" s="209"/>
      <c r="E11188" s="209"/>
      <c r="J11188" s="124"/>
    </row>
    <row r="11189" spans="3:10" x14ac:dyDescent="0.2">
      <c r="C11189" s="209"/>
      <c r="D11189" s="209"/>
      <c r="E11189" s="209"/>
      <c r="J11189" s="124"/>
    </row>
    <row r="11190" spans="3:10" x14ac:dyDescent="0.2">
      <c r="C11190" s="209"/>
      <c r="D11190" s="209"/>
      <c r="E11190" s="209"/>
      <c r="J11190" s="124"/>
    </row>
    <row r="11191" spans="3:10" x14ac:dyDescent="0.2">
      <c r="C11191" s="209"/>
      <c r="D11191" s="209"/>
      <c r="E11191" s="209"/>
      <c r="J11191" s="124"/>
    </row>
    <row r="11192" spans="3:10" x14ac:dyDescent="0.2">
      <c r="C11192" s="209"/>
      <c r="D11192" s="209"/>
      <c r="E11192" s="209"/>
      <c r="J11192" s="124"/>
    </row>
    <row r="11193" spans="3:10" x14ac:dyDescent="0.2">
      <c r="C11193" s="209"/>
      <c r="D11193" s="209"/>
      <c r="E11193" s="209"/>
      <c r="J11193" s="124"/>
    </row>
    <row r="11194" spans="3:10" x14ac:dyDescent="0.2">
      <c r="C11194" s="209"/>
      <c r="D11194" s="209"/>
      <c r="E11194" s="209"/>
      <c r="J11194" s="124"/>
    </row>
    <row r="11195" spans="3:10" x14ac:dyDescent="0.2">
      <c r="C11195" s="209"/>
      <c r="D11195" s="209"/>
      <c r="E11195" s="209"/>
      <c r="J11195" s="124"/>
    </row>
    <row r="11196" spans="3:10" x14ac:dyDescent="0.2">
      <c r="C11196" s="209"/>
      <c r="D11196" s="209"/>
      <c r="E11196" s="209"/>
      <c r="J11196" s="124"/>
    </row>
    <row r="11197" spans="3:10" x14ac:dyDescent="0.2">
      <c r="C11197" s="209"/>
      <c r="D11197" s="209"/>
      <c r="E11197" s="209"/>
      <c r="J11197" s="124"/>
    </row>
    <row r="11198" spans="3:10" x14ac:dyDescent="0.2">
      <c r="C11198" s="209"/>
      <c r="D11198" s="209"/>
      <c r="E11198" s="209"/>
      <c r="J11198" s="124"/>
    </row>
    <row r="11199" spans="3:10" x14ac:dyDescent="0.2">
      <c r="C11199" s="209"/>
      <c r="D11199" s="209"/>
      <c r="E11199" s="209"/>
      <c r="J11199" s="124"/>
    </row>
    <row r="11200" spans="3:10" x14ac:dyDescent="0.2">
      <c r="C11200" s="209"/>
      <c r="D11200" s="209"/>
      <c r="E11200" s="209"/>
      <c r="J11200" s="124"/>
    </row>
    <row r="11201" spans="3:10" x14ac:dyDescent="0.2">
      <c r="C11201" s="209"/>
      <c r="D11201" s="209"/>
      <c r="E11201" s="209"/>
      <c r="J11201" s="124"/>
    </row>
    <row r="11202" spans="3:10" x14ac:dyDescent="0.2">
      <c r="C11202" s="209"/>
      <c r="D11202" s="209"/>
      <c r="E11202" s="209"/>
      <c r="J11202" s="124"/>
    </row>
    <row r="11203" spans="3:10" x14ac:dyDescent="0.2">
      <c r="C11203" s="209"/>
      <c r="D11203" s="209"/>
      <c r="E11203" s="209"/>
      <c r="J11203" s="124"/>
    </row>
    <row r="11204" spans="3:10" x14ac:dyDescent="0.2">
      <c r="C11204" s="209"/>
      <c r="D11204" s="209"/>
      <c r="E11204" s="209"/>
      <c r="J11204" s="124"/>
    </row>
    <row r="11205" spans="3:10" x14ac:dyDescent="0.2">
      <c r="C11205" s="209"/>
      <c r="D11205" s="209"/>
      <c r="E11205" s="209"/>
      <c r="J11205" s="124"/>
    </row>
    <row r="11206" spans="3:10" x14ac:dyDescent="0.2">
      <c r="C11206" s="209"/>
      <c r="D11206" s="209"/>
      <c r="E11206" s="209"/>
      <c r="J11206" s="124"/>
    </row>
    <row r="11207" spans="3:10" x14ac:dyDescent="0.2">
      <c r="C11207" s="209"/>
      <c r="D11207" s="209"/>
      <c r="E11207" s="209"/>
      <c r="J11207" s="124"/>
    </row>
    <row r="11208" spans="3:10" x14ac:dyDescent="0.2">
      <c r="C11208" s="209"/>
      <c r="D11208" s="209"/>
      <c r="E11208" s="209"/>
      <c r="J11208" s="124"/>
    </row>
    <row r="11209" spans="3:10" x14ac:dyDescent="0.2">
      <c r="C11209" s="209"/>
      <c r="D11209" s="209"/>
      <c r="E11209" s="209"/>
      <c r="J11209" s="124"/>
    </row>
    <row r="11210" spans="3:10" x14ac:dyDescent="0.2">
      <c r="C11210" s="209"/>
      <c r="D11210" s="209"/>
      <c r="E11210" s="209"/>
      <c r="J11210" s="124"/>
    </row>
    <row r="11211" spans="3:10" x14ac:dyDescent="0.2">
      <c r="C11211" s="209"/>
      <c r="D11211" s="209"/>
      <c r="E11211" s="209"/>
      <c r="J11211" s="124"/>
    </row>
    <row r="11212" spans="3:10" x14ac:dyDescent="0.2">
      <c r="C11212" s="209"/>
      <c r="D11212" s="209"/>
      <c r="E11212" s="209"/>
      <c r="J11212" s="124"/>
    </row>
    <row r="11213" spans="3:10" x14ac:dyDescent="0.2">
      <c r="C11213" s="209"/>
      <c r="D11213" s="209"/>
      <c r="E11213" s="209"/>
      <c r="J11213" s="124"/>
    </row>
    <row r="11214" spans="3:10" x14ac:dyDescent="0.2">
      <c r="C11214" s="209"/>
      <c r="D11214" s="209"/>
      <c r="E11214" s="209"/>
      <c r="J11214" s="124"/>
    </row>
    <row r="11215" spans="3:10" x14ac:dyDescent="0.2">
      <c r="C11215" s="209"/>
      <c r="D11215" s="209"/>
      <c r="E11215" s="209"/>
      <c r="J11215" s="124"/>
    </row>
    <row r="11216" spans="3:10" x14ac:dyDescent="0.2">
      <c r="C11216" s="209"/>
      <c r="D11216" s="209"/>
      <c r="E11216" s="209"/>
      <c r="J11216" s="124"/>
    </row>
    <row r="11217" spans="3:10" x14ac:dyDescent="0.2">
      <c r="C11217" s="209"/>
      <c r="D11217" s="209"/>
      <c r="E11217" s="209"/>
      <c r="J11217" s="124"/>
    </row>
    <row r="11218" spans="3:10" x14ac:dyDescent="0.2">
      <c r="C11218" s="209"/>
      <c r="D11218" s="209"/>
      <c r="E11218" s="209"/>
      <c r="J11218" s="124"/>
    </row>
    <row r="11219" spans="3:10" x14ac:dyDescent="0.2">
      <c r="C11219" s="209"/>
      <c r="D11219" s="209"/>
      <c r="E11219" s="209"/>
      <c r="J11219" s="124"/>
    </row>
    <row r="11220" spans="3:10" x14ac:dyDescent="0.2">
      <c r="C11220" s="209"/>
      <c r="D11220" s="209"/>
      <c r="E11220" s="209"/>
      <c r="J11220" s="124"/>
    </row>
    <row r="11221" spans="3:10" x14ac:dyDescent="0.2">
      <c r="C11221" s="209"/>
      <c r="D11221" s="209"/>
      <c r="E11221" s="209"/>
      <c r="J11221" s="124"/>
    </row>
    <row r="11222" spans="3:10" x14ac:dyDescent="0.2">
      <c r="C11222" s="209"/>
      <c r="D11222" s="209"/>
      <c r="E11222" s="209"/>
      <c r="J11222" s="124"/>
    </row>
    <row r="11223" spans="3:10" x14ac:dyDescent="0.2">
      <c r="C11223" s="209"/>
      <c r="D11223" s="209"/>
      <c r="E11223" s="209"/>
      <c r="J11223" s="124"/>
    </row>
    <row r="11224" spans="3:10" x14ac:dyDescent="0.2">
      <c r="C11224" s="209"/>
      <c r="D11224" s="209"/>
      <c r="E11224" s="209"/>
      <c r="J11224" s="124"/>
    </row>
    <row r="11225" spans="3:10" x14ac:dyDescent="0.2">
      <c r="C11225" s="209"/>
      <c r="D11225" s="209"/>
      <c r="E11225" s="209"/>
      <c r="J11225" s="124"/>
    </row>
    <row r="11226" spans="3:10" x14ac:dyDescent="0.2">
      <c r="C11226" s="209"/>
      <c r="D11226" s="209"/>
      <c r="E11226" s="209"/>
      <c r="J11226" s="124"/>
    </row>
    <row r="11227" spans="3:10" x14ac:dyDescent="0.2">
      <c r="C11227" s="209"/>
      <c r="D11227" s="209"/>
      <c r="E11227" s="209"/>
      <c r="J11227" s="124"/>
    </row>
    <row r="11228" spans="3:10" x14ac:dyDescent="0.2">
      <c r="C11228" s="209"/>
      <c r="D11228" s="209"/>
      <c r="E11228" s="209"/>
      <c r="J11228" s="124"/>
    </row>
    <row r="11229" spans="3:10" x14ac:dyDescent="0.2">
      <c r="C11229" s="209"/>
      <c r="D11229" s="209"/>
      <c r="E11229" s="209"/>
      <c r="J11229" s="124"/>
    </row>
    <row r="11230" spans="3:10" x14ac:dyDescent="0.2">
      <c r="C11230" s="209"/>
      <c r="D11230" s="209"/>
      <c r="E11230" s="209"/>
      <c r="J11230" s="124"/>
    </row>
    <row r="11231" spans="3:10" x14ac:dyDescent="0.2">
      <c r="C11231" s="209"/>
      <c r="D11231" s="209"/>
      <c r="E11231" s="209"/>
      <c r="J11231" s="124"/>
    </row>
    <row r="11232" spans="3:10" x14ac:dyDescent="0.2">
      <c r="C11232" s="209"/>
      <c r="D11232" s="209"/>
      <c r="E11232" s="209"/>
      <c r="J11232" s="124"/>
    </row>
    <row r="11233" spans="3:10" x14ac:dyDescent="0.2">
      <c r="C11233" s="209"/>
      <c r="D11233" s="209"/>
      <c r="E11233" s="209"/>
      <c r="J11233" s="124"/>
    </row>
    <row r="11234" spans="3:10" x14ac:dyDescent="0.2">
      <c r="C11234" s="209"/>
      <c r="D11234" s="209"/>
      <c r="E11234" s="209"/>
      <c r="J11234" s="124"/>
    </row>
    <row r="11235" spans="3:10" x14ac:dyDescent="0.2">
      <c r="C11235" s="209"/>
      <c r="D11235" s="209"/>
      <c r="E11235" s="209"/>
      <c r="J11235" s="124"/>
    </row>
    <row r="11236" spans="3:10" x14ac:dyDescent="0.2">
      <c r="C11236" s="209"/>
      <c r="D11236" s="209"/>
      <c r="E11236" s="209"/>
      <c r="J11236" s="124"/>
    </row>
    <row r="11237" spans="3:10" x14ac:dyDescent="0.2">
      <c r="C11237" s="209"/>
      <c r="D11237" s="209"/>
      <c r="E11237" s="209"/>
      <c r="J11237" s="124"/>
    </row>
    <row r="11238" spans="3:10" x14ac:dyDescent="0.2">
      <c r="C11238" s="209"/>
      <c r="D11238" s="209"/>
      <c r="E11238" s="209"/>
      <c r="J11238" s="124"/>
    </row>
    <row r="11239" spans="3:10" x14ac:dyDescent="0.2">
      <c r="C11239" s="209"/>
      <c r="D11239" s="209"/>
      <c r="E11239" s="209"/>
      <c r="J11239" s="124"/>
    </row>
    <row r="11240" spans="3:10" x14ac:dyDescent="0.2">
      <c r="C11240" s="209"/>
      <c r="D11240" s="209"/>
      <c r="E11240" s="209"/>
      <c r="J11240" s="124"/>
    </row>
    <row r="11241" spans="3:10" x14ac:dyDescent="0.2">
      <c r="C11241" s="209"/>
      <c r="D11241" s="209"/>
      <c r="E11241" s="209"/>
      <c r="J11241" s="124"/>
    </row>
    <row r="11242" spans="3:10" x14ac:dyDescent="0.2">
      <c r="C11242" s="209"/>
      <c r="D11242" s="209"/>
      <c r="E11242" s="209"/>
      <c r="J11242" s="124"/>
    </row>
    <row r="11243" spans="3:10" x14ac:dyDescent="0.2">
      <c r="C11243" s="209"/>
      <c r="D11243" s="209"/>
      <c r="E11243" s="209"/>
      <c r="J11243" s="124"/>
    </row>
    <row r="11244" spans="3:10" x14ac:dyDescent="0.2">
      <c r="C11244" s="209"/>
      <c r="D11244" s="209"/>
      <c r="E11244" s="209"/>
      <c r="J11244" s="124"/>
    </row>
    <row r="11245" spans="3:10" x14ac:dyDescent="0.2">
      <c r="C11245" s="209"/>
      <c r="D11245" s="209"/>
      <c r="E11245" s="209"/>
      <c r="J11245" s="124"/>
    </row>
    <row r="11246" spans="3:10" x14ac:dyDescent="0.2">
      <c r="C11246" s="209"/>
      <c r="D11246" s="209"/>
      <c r="E11246" s="209"/>
      <c r="J11246" s="124"/>
    </row>
    <row r="11247" spans="3:10" x14ac:dyDescent="0.2">
      <c r="C11247" s="209"/>
      <c r="D11247" s="209"/>
      <c r="E11247" s="209"/>
      <c r="J11247" s="124"/>
    </row>
    <row r="11248" spans="3:10" x14ac:dyDescent="0.2">
      <c r="C11248" s="209"/>
      <c r="D11248" s="209"/>
      <c r="E11248" s="209"/>
      <c r="J11248" s="124"/>
    </row>
    <row r="11249" spans="3:10" x14ac:dyDescent="0.2">
      <c r="C11249" s="209"/>
      <c r="D11249" s="209"/>
      <c r="E11249" s="209"/>
      <c r="J11249" s="124"/>
    </row>
    <row r="11250" spans="3:10" x14ac:dyDescent="0.2">
      <c r="C11250" s="209"/>
      <c r="D11250" s="209"/>
      <c r="E11250" s="209"/>
      <c r="J11250" s="124"/>
    </row>
    <row r="11251" spans="3:10" x14ac:dyDescent="0.2">
      <c r="C11251" s="209"/>
      <c r="D11251" s="209"/>
      <c r="E11251" s="209"/>
      <c r="J11251" s="124"/>
    </row>
    <row r="11252" spans="3:10" x14ac:dyDescent="0.2">
      <c r="C11252" s="209"/>
      <c r="D11252" s="209"/>
      <c r="E11252" s="209"/>
      <c r="J11252" s="124"/>
    </row>
    <row r="11253" spans="3:10" x14ac:dyDescent="0.2">
      <c r="C11253" s="209"/>
      <c r="D11253" s="209"/>
      <c r="E11253" s="209"/>
      <c r="J11253" s="124"/>
    </row>
    <row r="11254" spans="3:10" x14ac:dyDescent="0.2">
      <c r="C11254" s="209"/>
      <c r="D11254" s="209"/>
      <c r="E11254" s="209"/>
      <c r="J11254" s="124"/>
    </row>
    <row r="11255" spans="3:10" x14ac:dyDescent="0.2">
      <c r="C11255" s="209"/>
      <c r="D11255" s="209"/>
      <c r="E11255" s="209"/>
      <c r="J11255" s="124"/>
    </row>
    <row r="11256" spans="3:10" x14ac:dyDescent="0.2">
      <c r="C11256" s="209"/>
      <c r="D11256" s="209"/>
      <c r="E11256" s="209"/>
      <c r="J11256" s="124"/>
    </row>
    <row r="11257" spans="3:10" x14ac:dyDescent="0.2">
      <c r="C11257" s="209"/>
      <c r="D11257" s="209"/>
      <c r="E11257" s="209"/>
      <c r="J11257" s="124"/>
    </row>
    <row r="11258" spans="3:10" x14ac:dyDescent="0.2">
      <c r="C11258" s="209"/>
      <c r="D11258" s="209"/>
      <c r="E11258" s="209"/>
      <c r="J11258" s="124"/>
    </row>
    <row r="11259" spans="3:10" x14ac:dyDescent="0.2">
      <c r="C11259" s="209"/>
      <c r="D11259" s="209"/>
      <c r="E11259" s="209"/>
      <c r="J11259" s="124"/>
    </row>
    <row r="11260" spans="3:10" x14ac:dyDescent="0.2">
      <c r="C11260" s="209"/>
      <c r="D11260" s="209"/>
      <c r="E11260" s="209"/>
      <c r="J11260" s="124"/>
    </row>
    <row r="11261" spans="3:10" x14ac:dyDescent="0.2">
      <c r="C11261" s="209"/>
      <c r="D11261" s="209"/>
      <c r="E11261" s="209"/>
      <c r="J11261" s="124"/>
    </row>
    <row r="11262" spans="3:10" x14ac:dyDescent="0.2">
      <c r="C11262" s="209"/>
      <c r="D11262" s="209"/>
      <c r="E11262" s="209"/>
      <c r="J11262" s="124"/>
    </row>
    <row r="11263" spans="3:10" x14ac:dyDescent="0.2">
      <c r="C11263" s="209"/>
      <c r="D11263" s="209"/>
      <c r="E11263" s="209"/>
      <c r="J11263" s="124"/>
    </row>
    <row r="11264" spans="3:10" x14ac:dyDescent="0.2">
      <c r="C11264" s="209"/>
      <c r="D11264" s="209"/>
      <c r="E11264" s="209"/>
      <c r="J11264" s="124"/>
    </row>
    <row r="11265" spans="3:10" x14ac:dyDescent="0.2">
      <c r="C11265" s="209"/>
      <c r="D11265" s="209"/>
      <c r="E11265" s="209"/>
      <c r="J11265" s="124"/>
    </row>
    <row r="11266" spans="3:10" x14ac:dyDescent="0.2">
      <c r="C11266" s="209"/>
      <c r="D11266" s="209"/>
      <c r="E11266" s="209"/>
      <c r="J11266" s="124"/>
    </row>
    <row r="11267" spans="3:10" x14ac:dyDescent="0.2">
      <c r="C11267" s="209"/>
      <c r="D11267" s="209"/>
      <c r="E11267" s="209"/>
      <c r="J11267" s="124"/>
    </row>
    <row r="11268" spans="3:10" x14ac:dyDescent="0.2">
      <c r="C11268" s="209"/>
      <c r="D11268" s="209"/>
      <c r="E11268" s="209"/>
      <c r="J11268" s="124"/>
    </row>
    <row r="11269" spans="3:10" x14ac:dyDescent="0.2">
      <c r="C11269" s="209"/>
      <c r="D11269" s="209"/>
      <c r="E11269" s="209"/>
      <c r="J11269" s="124"/>
    </row>
    <row r="11270" spans="3:10" x14ac:dyDescent="0.2">
      <c r="C11270" s="209"/>
      <c r="D11270" s="209"/>
      <c r="E11270" s="209"/>
      <c r="J11270" s="124"/>
    </row>
    <row r="11271" spans="3:10" x14ac:dyDescent="0.2">
      <c r="C11271" s="209"/>
      <c r="D11271" s="209"/>
      <c r="E11271" s="209"/>
      <c r="J11271" s="124"/>
    </row>
    <row r="11272" spans="3:10" x14ac:dyDescent="0.2">
      <c r="C11272" s="209"/>
      <c r="D11272" s="209"/>
      <c r="E11272" s="209"/>
      <c r="J11272" s="124"/>
    </row>
    <row r="11273" spans="3:10" x14ac:dyDescent="0.2">
      <c r="C11273" s="209"/>
      <c r="D11273" s="209"/>
      <c r="E11273" s="209"/>
      <c r="J11273" s="124"/>
    </row>
    <row r="11274" spans="3:10" x14ac:dyDescent="0.2">
      <c r="C11274" s="209"/>
      <c r="D11274" s="209"/>
      <c r="E11274" s="209"/>
      <c r="J11274" s="124"/>
    </row>
    <row r="11275" spans="3:10" x14ac:dyDescent="0.2">
      <c r="C11275" s="209"/>
      <c r="D11275" s="209"/>
      <c r="E11275" s="209"/>
      <c r="J11275" s="124"/>
    </row>
    <row r="11276" spans="3:10" x14ac:dyDescent="0.2">
      <c r="C11276" s="209"/>
      <c r="D11276" s="209"/>
      <c r="E11276" s="209"/>
      <c r="J11276" s="124"/>
    </row>
    <row r="11277" spans="3:10" x14ac:dyDescent="0.2">
      <c r="C11277" s="209"/>
      <c r="D11277" s="209"/>
      <c r="E11277" s="209"/>
      <c r="J11277" s="124"/>
    </row>
    <row r="11278" spans="3:10" x14ac:dyDescent="0.2">
      <c r="C11278" s="209"/>
      <c r="D11278" s="209"/>
      <c r="E11278" s="209"/>
      <c r="J11278" s="124"/>
    </row>
    <row r="11279" spans="3:10" x14ac:dyDescent="0.2">
      <c r="C11279" s="209"/>
      <c r="D11279" s="209"/>
      <c r="E11279" s="209"/>
      <c r="J11279" s="124"/>
    </row>
    <row r="11280" spans="3:10" x14ac:dyDescent="0.2">
      <c r="C11280" s="209"/>
      <c r="D11280" s="209"/>
      <c r="E11280" s="209"/>
      <c r="J11280" s="124"/>
    </row>
    <row r="11281" spans="3:10" x14ac:dyDescent="0.2">
      <c r="C11281" s="209"/>
      <c r="D11281" s="209"/>
      <c r="E11281" s="209"/>
      <c r="J11281" s="124"/>
    </row>
    <row r="11282" spans="3:10" x14ac:dyDescent="0.2">
      <c r="C11282" s="209"/>
      <c r="D11282" s="209"/>
      <c r="E11282" s="209"/>
      <c r="J11282" s="124"/>
    </row>
    <row r="11283" spans="3:10" x14ac:dyDescent="0.2">
      <c r="C11283" s="209"/>
      <c r="D11283" s="209"/>
      <c r="E11283" s="209"/>
      <c r="J11283" s="124"/>
    </row>
    <row r="11284" spans="3:10" x14ac:dyDescent="0.2">
      <c r="C11284" s="209"/>
      <c r="D11284" s="209"/>
      <c r="E11284" s="209"/>
      <c r="J11284" s="124"/>
    </row>
    <row r="11285" spans="3:10" x14ac:dyDescent="0.2">
      <c r="C11285" s="209"/>
      <c r="D11285" s="209"/>
      <c r="E11285" s="209"/>
      <c r="J11285" s="124"/>
    </row>
    <row r="11286" spans="3:10" x14ac:dyDescent="0.2">
      <c r="C11286" s="209"/>
      <c r="D11286" s="209"/>
      <c r="E11286" s="209"/>
      <c r="J11286" s="124"/>
    </row>
    <row r="11287" spans="3:10" x14ac:dyDescent="0.2">
      <c r="C11287" s="209"/>
      <c r="D11287" s="209"/>
      <c r="E11287" s="209"/>
      <c r="J11287" s="124"/>
    </row>
    <row r="11288" spans="3:10" x14ac:dyDescent="0.2">
      <c r="C11288" s="209"/>
      <c r="D11288" s="209"/>
      <c r="E11288" s="209"/>
      <c r="J11288" s="124"/>
    </row>
    <row r="11289" spans="3:10" x14ac:dyDescent="0.2">
      <c r="C11289" s="209"/>
      <c r="D11289" s="209"/>
      <c r="E11289" s="209"/>
      <c r="J11289" s="124"/>
    </row>
    <row r="11290" spans="3:10" x14ac:dyDescent="0.2">
      <c r="C11290" s="209"/>
      <c r="D11290" s="209"/>
      <c r="E11290" s="209"/>
      <c r="J11290" s="124"/>
    </row>
    <row r="11291" spans="3:10" x14ac:dyDescent="0.2">
      <c r="C11291" s="209"/>
      <c r="D11291" s="209"/>
      <c r="E11291" s="209"/>
      <c r="J11291" s="124"/>
    </row>
    <row r="11292" spans="3:10" x14ac:dyDescent="0.2">
      <c r="C11292" s="209"/>
      <c r="D11292" s="209"/>
      <c r="E11292" s="209"/>
      <c r="J11292" s="124"/>
    </row>
    <row r="11293" spans="3:10" x14ac:dyDescent="0.2">
      <c r="C11293" s="209"/>
      <c r="D11293" s="209"/>
      <c r="E11293" s="209"/>
      <c r="J11293" s="124"/>
    </row>
    <row r="11294" spans="3:10" x14ac:dyDescent="0.2">
      <c r="C11294" s="209"/>
      <c r="D11294" s="209"/>
      <c r="E11294" s="209"/>
      <c r="J11294" s="124"/>
    </row>
    <row r="11295" spans="3:10" x14ac:dyDescent="0.2">
      <c r="C11295" s="209"/>
      <c r="D11295" s="209"/>
      <c r="E11295" s="209"/>
      <c r="J11295" s="124"/>
    </row>
    <row r="11296" spans="3:10" x14ac:dyDescent="0.2">
      <c r="C11296" s="209"/>
      <c r="D11296" s="209"/>
      <c r="E11296" s="209"/>
      <c r="J11296" s="124"/>
    </row>
    <row r="11297" spans="3:10" x14ac:dyDescent="0.2">
      <c r="C11297" s="209"/>
      <c r="D11297" s="209"/>
      <c r="E11297" s="209"/>
      <c r="J11297" s="124"/>
    </row>
    <row r="11298" spans="3:10" x14ac:dyDescent="0.2">
      <c r="C11298" s="209"/>
      <c r="D11298" s="209"/>
      <c r="E11298" s="209"/>
      <c r="J11298" s="124"/>
    </row>
    <row r="11299" spans="3:10" x14ac:dyDescent="0.2">
      <c r="C11299" s="209"/>
      <c r="D11299" s="209"/>
      <c r="E11299" s="209"/>
      <c r="J11299" s="124"/>
    </row>
    <row r="11300" spans="3:10" x14ac:dyDescent="0.2">
      <c r="C11300" s="209"/>
      <c r="D11300" s="209"/>
      <c r="E11300" s="209"/>
      <c r="J11300" s="124"/>
    </row>
    <row r="11301" spans="3:10" x14ac:dyDescent="0.2">
      <c r="C11301" s="209"/>
      <c r="D11301" s="209"/>
      <c r="E11301" s="209"/>
      <c r="J11301" s="124"/>
    </row>
    <row r="11302" spans="3:10" x14ac:dyDescent="0.2">
      <c r="C11302" s="209"/>
      <c r="D11302" s="209"/>
      <c r="E11302" s="209"/>
      <c r="J11302" s="124"/>
    </row>
    <row r="11303" spans="3:10" x14ac:dyDescent="0.2">
      <c r="C11303" s="209"/>
      <c r="D11303" s="209"/>
      <c r="E11303" s="209"/>
      <c r="J11303" s="124"/>
    </row>
    <row r="11304" spans="3:10" x14ac:dyDescent="0.2">
      <c r="C11304" s="209"/>
      <c r="D11304" s="209"/>
      <c r="E11304" s="209"/>
      <c r="J11304" s="124"/>
    </row>
    <row r="11305" spans="3:10" x14ac:dyDescent="0.2">
      <c r="C11305" s="209"/>
      <c r="D11305" s="209"/>
      <c r="E11305" s="209"/>
      <c r="J11305" s="124"/>
    </row>
    <row r="11306" spans="3:10" x14ac:dyDescent="0.2">
      <c r="C11306" s="209"/>
      <c r="D11306" s="209"/>
      <c r="E11306" s="209"/>
      <c r="J11306" s="124"/>
    </row>
    <row r="11307" spans="3:10" x14ac:dyDescent="0.2">
      <c r="C11307" s="209"/>
      <c r="D11307" s="209"/>
      <c r="E11307" s="209"/>
      <c r="J11307" s="124"/>
    </row>
    <row r="11308" spans="3:10" x14ac:dyDescent="0.2">
      <c r="C11308" s="209"/>
      <c r="D11308" s="209"/>
      <c r="E11308" s="209"/>
      <c r="J11308" s="124"/>
    </row>
    <row r="11309" spans="3:10" x14ac:dyDescent="0.2">
      <c r="C11309" s="209"/>
      <c r="D11309" s="209"/>
      <c r="E11309" s="209"/>
      <c r="J11309" s="124"/>
    </row>
    <row r="11310" spans="3:10" x14ac:dyDescent="0.2">
      <c r="C11310" s="209"/>
      <c r="D11310" s="209"/>
      <c r="E11310" s="209"/>
      <c r="J11310" s="124"/>
    </row>
    <row r="11311" spans="3:10" x14ac:dyDescent="0.2">
      <c r="C11311" s="209"/>
      <c r="D11311" s="209"/>
      <c r="E11311" s="209"/>
      <c r="J11311" s="124"/>
    </row>
    <row r="11312" spans="3:10" x14ac:dyDescent="0.2">
      <c r="C11312" s="209"/>
      <c r="D11312" s="209"/>
      <c r="E11312" s="209"/>
      <c r="J11312" s="124"/>
    </row>
    <row r="11313" spans="3:10" x14ac:dyDescent="0.2">
      <c r="C11313" s="209"/>
      <c r="D11313" s="209"/>
      <c r="E11313" s="209"/>
      <c r="J11313" s="124"/>
    </row>
    <row r="11314" spans="3:10" x14ac:dyDescent="0.2">
      <c r="C11314" s="209"/>
      <c r="D11314" s="209"/>
      <c r="E11314" s="209"/>
      <c r="J11314" s="124"/>
    </row>
    <row r="11315" spans="3:10" x14ac:dyDescent="0.2">
      <c r="C11315" s="209"/>
      <c r="D11315" s="209"/>
      <c r="E11315" s="209"/>
      <c r="J11315" s="124"/>
    </row>
    <row r="11316" spans="3:10" x14ac:dyDescent="0.2">
      <c r="C11316" s="209"/>
      <c r="D11316" s="209"/>
      <c r="E11316" s="209"/>
      <c r="J11316" s="124"/>
    </row>
    <row r="11317" spans="3:10" x14ac:dyDescent="0.2">
      <c r="C11317" s="209"/>
      <c r="D11317" s="209"/>
      <c r="E11317" s="209"/>
      <c r="J11317" s="124"/>
    </row>
    <row r="11318" spans="3:10" x14ac:dyDescent="0.2">
      <c r="C11318" s="209"/>
      <c r="D11318" s="209"/>
      <c r="E11318" s="209"/>
      <c r="J11318" s="124"/>
    </row>
    <row r="11319" spans="3:10" x14ac:dyDescent="0.2">
      <c r="C11319" s="209"/>
      <c r="D11319" s="209"/>
      <c r="E11319" s="209"/>
      <c r="J11319" s="124"/>
    </row>
    <row r="11320" spans="3:10" x14ac:dyDescent="0.2">
      <c r="C11320" s="209"/>
      <c r="D11320" s="209"/>
      <c r="E11320" s="209"/>
      <c r="J11320" s="124"/>
    </row>
    <row r="11321" spans="3:10" x14ac:dyDescent="0.2">
      <c r="C11321" s="209"/>
      <c r="D11321" s="209"/>
      <c r="E11321" s="209"/>
      <c r="J11321" s="124"/>
    </row>
    <row r="11322" spans="3:10" x14ac:dyDescent="0.2">
      <c r="C11322" s="209"/>
      <c r="D11322" s="209"/>
      <c r="E11322" s="209"/>
      <c r="J11322" s="124"/>
    </row>
    <row r="11323" spans="3:10" x14ac:dyDescent="0.2">
      <c r="C11323" s="209"/>
      <c r="D11323" s="209"/>
      <c r="E11323" s="209"/>
      <c r="J11323" s="124"/>
    </row>
    <row r="11324" spans="3:10" x14ac:dyDescent="0.2">
      <c r="C11324" s="209"/>
      <c r="D11324" s="209"/>
      <c r="E11324" s="209"/>
      <c r="J11324" s="124"/>
    </row>
    <row r="11325" spans="3:10" x14ac:dyDescent="0.2">
      <c r="C11325" s="209"/>
      <c r="D11325" s="209"/>
      <c r="E11325" s="209"/>
      <c r="J11325" s="124"/>
    </row>
    <row r="11326" spans="3:10" x14ac:dyDescent="0.2">
      <c r="C11326" s="209"/>
      <c r="D11326" s="209"/>
      <c r="E11326" s="209"/>
      <c r="J11326" s="124"/>
    </row>
    <row r="11327" spans="3:10" x14ac:dyDescent="0.2">
      <c r="C11327" s="209"/>
      <c r="D11327" s="209"/>
      <c r="E11327" s="209"/>
      <c r="J11327" s="124"/>
    </row>
    <row r="11328" spans="3:10" x14ac:dyDescent="0.2">
      <c r="C11328" s="209"/>
      <c r="D11328" s="209"/>
      <c r="E11328" s="209"/>
      <c r="J11328" s="124"/>
    </row>
    <row r="11329" spans="3:10" x14ac:dyDescent="0.2">
      <c r="C11329" s="209"/>
      <c r="D11329" s="209"/>
      <c r="E11329" s="209"/>
      <c r="J11329" s="124"/>
    </row>
    <row r="11330" spans="3:10" x14ac:dyDescent="0.2">
      <c r="C11330" s="209"/>
      <c r="D11330" s="209"/>
      <c r="E11330" s="209"/>
      <c r="J11330" s="124"/>
    </row>
    <row r="11331" spans="3:10" x14ac:dyDescent="0.2">
      <c r="C11331" s="209"/>
      <c r="D11331" s="209"/>
      <c r="E11331" s="209"/>
      <c r="J11331" s="124"/>
    </row>
    <row r="11332" spans="3:10" x14ac:dyDescent="0.2">
      <c r="C11332" s="209"/>
      <c r="D11332" s="209"/>
      <c r="E11332" s="209"/>
      <c r="J11332" s="124"/>
    </row>
    <row r="11333" spans="3:10" x14ac:dyDescent="0.2">
      <c r="C11333" s="209"/>
      <c r="D11333" s="209"/>
      <c r="E11333" s="209"/>
      <c r="J11333" s="124"/>
    </row>
    <row r="11334" spans="3:10" x14ac:dyDescent="0.2">
      <c r="C11334" s="209"/>
      <c r="D11334" s="209"/>
      <c r="E11334" s="209"/>
      <c r="J11334" s="124"/>
    </row>
    <row r="11335" spans="3:10" x14ac:dyDescent="0.2">
      <c r="C11335" s="209"/>
      <c r="D11335" s="209"/>
      <c r="E11335" s="209"/>
      <c r="J11335" s="124"/>
    </row>
    <row r="11336" spans="3:10" x14ac:dyDescent="0.2">
      <c r="C11336" s="209"/>
      <c r="D11336" s="209"/>
      <c r="E11336" s="209"/>
      <c r="J11336" s="124"/>
    </row>
    <row r="11337" spans="3:10" x14ac:dyDescent="0.2">
      <c r="C11337" s="209"/>
      <c r="D11337" s="209"/>
      <c r="E11337" s="209"/>
      <c r="J11337" s="124"/>
    </row>
    <row r="11338" spans="3:10" x14ac:dyDescent="0.2">
      <c r="C11338" s="209"/>
      <c r="D11338" s="209"/>
      <c r="E11338" s="209"/>
      <c r="J11338" s="124"/>
    </row>
    <row r="11339" spans="3:10" x14ac:dyDescent="0.2">
      <c r="C11339" s="209"/>
      <c r="D11339" s="209"/>
      <c r="E11339" s="209"/>
      <c r="J11339" s="124"/>
    </row>
    <row r="11340" spans="3:10" x14ac:dyDescent="0.2">
      <c r="C11340" s="209"/>
      <c r="D11340" s="209"/>
      <c r="E11340" s="209"/>
      <c r="J11340" s="124"/>
    </row>
    <row r="11341" spans="3:10" x14ac:dyDescent="0.2">
      <c r="C11341" s="209"/>
      <c r="D11341" s="209"/>
      <c r="E11341" s="209"/>
      <c r="J11341" s="124"/>
    </row>
    <row r="11342" spans="3:10" x14ac:dyDescent="0.2">
      <c r="C11342" s="209"/>
      <c r="D11342" s="209"/>
      <c r="E11342" s="209"/>
      <c r="J11342" s="124"/>
    </row>
    <row r="11343" spans="3:10" x14ac:dyDescent="0.2">
      <c r="C11343" s="209"/>
      <c r="D11343" s="209"/>
      <c r="E11343" s="209"/>
      <c r="J11343" s="124"/>
    </row>
    <row r="11344" spans="3:10" x14ac:dyDescent="0.2">
      <c r="C11344" s="209"/>
      <c r="D11344" s="209"/>
      <c r="E11344" s="209"/>
      <c r="J11344" s="124"/>
    </row>
    <row r="11345" spans="3:10" x14ac:dyDescent="0.2">
      <c r="C11345" s="209"/>
      <c r="D11345" s="209"/>
      <c r="E11345" s="209"/>
      <c r="J11345" s="124"/>
    </row>
    <row r="11346" spans="3:10" x14ac:dyDescent="0.2">
      <c r="C11346" s="209"/>
      <c r="D11346" s="209"/>
      <c r="E11346" s="209"/>
      <c r="J11346" s="124"/>
    </row>
    <row r="11347" spans="3:10" x14ac:dyDescent="0.2">
      <c r="C11347" s="209"/>
      <c r="D11347" s="209"/>
      <c r="E11347" s="209"/>
      <c r="J11347" s="124"/>
    </row>
    <row r="11348" spans="3:10" x14ac:dyDescent="0.2">
      <c r="C11348" s="209"/>
      <c r="D11348" s="209"/>
      <c r="E11348" s="209"/>
      <c r="J11348" s="124"/>
    </row>
    <row r="11349" spans="3:10" x14ac:dyDescent="0.2">
      <c r="C11349" s="209"/>
      <c r="D11349" s="209"/>
      <c r="E11349" s="209"/>
      <c r="J11349" s="124"/>
    </row>
    <row r="11350" spans="3:10" x14ac:dyDescent="0.2">
      <c r="C11350" s="209"/>
      <c r="D11350" s="209"/>
      <c r="E11350" s="209"/>
      <c r="J11350" s="124"/>
    </row>
    <row r="11351" spans="3:10" x14ac:dyDescent="0.2">
      <c r="C11351" s="209"/>
      <c r="D11351" s="209"/>
      <c r="E11351" s="209"/>
      <c r="J11351" s="124"/>
    </row>
    <row r="11352" spans="3:10" x14ac:dyDescent="0.2">
      <c r="C11352" s="209"/>
      <c r="D11352" s="209"/>
      <c r="E11352" s="209"/>
      <c r="J11352" s="124"/>
    </row>
    <row r="11353" spans="3:10" x14ac:dyDescent="0.2">
      <c r="C11353" s="209"/>
      <c r="D11353" s="209"/>
      <c r="E11353" s="209"/>
      <c r="J11353" s="124"/>
    </row>
    <row r="11354" spans="3:10" x14ac:dyDescent="0.2">
      <c r="C11354" s="209"/>
      <c r="D11354" s="209"/>
      <c r="E11354" s="209"/>
      <c r="J11354" s="124"/>
    </row>
    <row r="11355" spans="3:10" x14ac:dyDescent="0.2">
      <c r="C11355" s="209"/>
      <c r="D11355" s="209"/>
      <c r="E11355" s="209"/>
      <c r="J11355" s="124"/>
    </row>
    <row r="11356" spans="3:10" x14ac:dyDescent="0.2">
      <c r="C11356" s="209"/>
      <c r="D11356" s="209"/>
      <c r="E11356" s="209"/>
      <c r="J11356" s="124"/>
    </row>
    <row r="11357" spans="3:10" x14ac:dyDescent="0.2">
      <c r="C11357" s="209"/>
      <c r="D11357" s="209"/>
      <c r="E11357" s="209"/>
      <c r="J11357" s="124"/>
    </row>
    <row r="11358" spans="3:10" x14ac:dyDescent="0.2">
      <c r="C11358" s="209"/>
      <c r="D11358" s="209"/>
      <c r="E11358" s="209"/>
      <c r="J11358" s="124"/>
    </row>
    <row r="11359" spans="3:10" x14ac:dyDescent="0.2">
      <c r="C11359" s="209"/>
      <c r="D11359" s="209"/>
      <c r="E11359" s="209"/>
      <c r="J11359" s="124"/>
    </row>
    <row r="11360" spans="3:10" x14ac:dyDescent="0.2">
      <c r="C11360" s="209"/>
      <c r="D11360" s="209"/>
      <c r="E11360" s="209"/>
      <c r="J11360" s="124"/>
    </row>
    <row r="11361" spans="3:10" x14ac:dyDescent="0.2">
      <c r="C11361" s="209"/>
      <c r="D11361" s="209"/>
      <c r="E11361" s="209"/>
      <c r="J11361" s="124"/>
    </row>
    <row r="11362" spans="3:10" x14ac:dyDescent="0.2">
      <c r="C11362" s="209"/>
      <c r="D11362" s="209"/>
      <c r="E11362" s="209"/>
      <c r="J11362" s="124"/>
    </row>
    <row r="11363" spans="3:10" x14ac:dyDescent="0.2">
      <c r="C11363" s="209"/>
      <c r="D11363" s="209"/>
      <c r="E11363" s="209"/>
      <c r="J11363" s="124"/>
    </row>
    <row r="11364" spans="3:10" x14ac:dyDescent="0.2">
      <c r="C11364" s="209"/>
      <c r="D11364" s="209"/>
      <c r="E11364" s="209"/>
      <c r="J11364" s="124"/>
    </row>
    <row r="11365" spans="3:10" x14ac:dyDescent="0.2">
      <c r="C11365" s="209"/>
      <c r="D11365" s="209"/>
      <c r="E11365" s="209"/>
      <c r="J11365" s="124"/>
    </row>
    <row r="11366" spans="3:10" x14ac:dyDescent="0.2">
      <c r="C11366" s="209"/>
      <c r="D11366" s="209"/>
      <c r="E11366" s="209"/>
      <c r="J11366" s="124"/>
    </row>
    <row r="11367" spans="3:10" x14ac:dyDescent="0.2">
      <c r="C11367" s="209"/>
      <c r="D11367" s="209"/>
      <c r="E11367" s="209"/>
      <c r="J11367" s="124"/>
    </row>
    <row r="11368" spans="3:10" x14ac:dyDescent="0.2">
      <c r="C11368" s="209"/>
      <c r="D11368" s="209"/>
      <c r="E11368" s="209"/>
      <c r="J11368" s="124"/>
    </row>
    <row r="11369" spans="3:10" x14ac:dyDescent="0.2">
      <c r="C11369" s="209"/>
      <c r="D11369" s="209"/>
      <c r="E11369" s="209"/>
      <c r="J11369" s="124"/>
    </row>
    <row r="11370" spans="3:10" x14ac:dyDescent="0.2">
      <c r="C11370" s="209"/>
      <c r="D11370" s="209"/>
      <c r="E11370" s="209"/>
      <c r="J11370" s="124"/>
    </row>
    <row r="11371" spans="3:10" x14ac:dyDescent="0.2">
      <c r="C11371" s="209"/>
      <c r="D11371" s="209"/>
      <c r="E11371" s="209"/>
      <c r="J11371" s="124"/>
    </row>
    <row r="11372" spans="3:10" x14ac:dyDescent="0.2">
      <c r="C11372" s="209"/>
      <c r="D11372" s="209"/>
      <c r="E11372" s="209"/>
      <c r="J11372" s="124"/>
    </row>
    <row r="11373" spans="3:10" x14ac:dyDescent="0.2">
      <c r="C11373" s="209"/>
      <c r="D11373" s="209"/>
      <c r="E11373" s="209"/>
      <c r="J11373" s="124"/>
    </row>
    <row r="11374" spans="3:10" x14ac:dyDescent="0.2">
      <c r="C11374" s="209"/>
      <c r="D11374" s="209"/>
      <c r="E11374" s="209"/>
      <c r="J11374" s="124"/>
    </row>
    <row r="11375" spans="3:10" x14ac:dyDescent="0.2">
      <c r="C11375" s="209"/>
      <c r="D11375" s="209"/>
      <c r="E11375" s="209"/>
      <c r="J11375" s="124"/>
    </row>
    <row r="11376" spans="3:10" x14ac:dyDescent="0.2">
      <c r="C11376" s="209"/>
      <c r="D11376" s="209"/>
      <c r="E11376" s="209"/>
      <c r="J11376" s="124"/>
    </row>
    <row r="11377" spans="3:10" x14ac:dyDescent="0.2">
      <c r="C11377" s="209"/>
      <c r="D11377" s="209"/>
      <c r="E11377" s="209"/>
      <c r="J11377" s="124"/>
    </row>
    <row r="11378" spans="3:10" x14ac:dyDescent="0.2">
      <c r="C11378" s="209"/>
      <c r="D11378" s="209"/>
      <c r="E11378" s="209"/>
      <c r="J11378" s="124"/>
    </row>
    <row r="11379" spans="3:10" x14ac:dyDescent="0.2">
      <c r="C11379" s="209"/>
      <c r="D11379" s="209"/>
      <c r="E11379" s="209"/>
      <c r="J11379" s="124"/>
    </row>
    <row r="11380" spans="3:10" x14ac:dyDescent="0.2">
      <c r="C11380" s="209"/>
      <c r="D11380" s="209"/>
      <c r="E11380" s="209"/>
      <c r="J11380" s="124"/>
    </row>
    <row r="11381" spans="3:10" x14ac:dyDescent="0.2">
      <c r="C11381" s="209"/>
      <c r="D11381" s="209"/>
      <c r="E11381" s="209"/>
      <c r="J11381" s="124"/>
    </row>
    <row r="11382" spans="3:10" x14ac:dyDescent="0.2">
      <c r="C11382" s="209"/>
      <c r="D11382" s="209"/>
      <c r="E11382" s="209"/>
      <c r="J11382" s="124"/>
    </row>
    <row r="11383" spans="3:10" x14ac:dyDescent="0.2">
      <c r="C11383" s="209"/>
      <c r="D11383" s="209"/>
      <c r="E11383" s="209"/>
      <c r="J11383" s="124"/>
    </row>
    <row r="11384" spans="3:10" x14ac:dyDescent="0.2">
      <c r="C11384" s="209"/>
      <c r="D11384" s="209"/>
      <c r="E11384" s="209"/>
      <c r="J11384" s="124"/>
    </row>
    <row r="11385" spans="3:10" x14ac:dyDescent="0.2">
      <c r="C11385" s="209"/>
      <c r="D11385" s="209"/>
      <c r="E11385" s="209"/>
      <c r="J11385" s="124"/>
    </row>
    <row r="11386" spans="3:10" x14ac:dyDescent="0.2">
      <c r="C11386" s="209"/>
      <c r="D11386" s="209"/>
      <c r="E11386" s="209"/>
      <c r="J11386" s="124"/>
    </row>
    <row r="11387" spans="3:10" x14ac:dyDescent="0.2">
      <c r="C11387" s="209"/>
      <c r="D11387" s="209"/>
      <c r="E11387" s="209"/>
      <c r="J11387" s="124"/>
    </row>
    <row r="11388" spans="3:10" x14ac:dyDescent="0.2">
      <c r="C11388" s="209"/>
      <c r="D11388" s="209"/>
      <c r="E11388" s="209"/>
      <c r="J11388" s="124"/>
    </row>
    <row r="11389" spans="3:10" x14ac:dyDescent="0.2">
      <c r="C11389" s="209"/>
      <c r="D11389" s="209"/>
      <c r="E11389" s="209"/>
      <c r="J11389" s="124"/>
    </row>
    <row r="11390" spans="3:10" x14ac:dyDescent="0.2">
      <c r="C11390" s="209"/>
      <c r="D11390" s="209"/>
      <c r="E11390" s="209"/>
      <c r="J11390" s="124"/>
    </row>
    <row r="11391" spans="3:10" x14ac:dyDescent="0.2">
      <c r="C11391" s="209"/>
      <c r="D11391" s="209"/>
      <c r="E11391" s="209"/>
      <c r="J11391" s="124"/>
    </row>
    <row r="11392" spans="3:10" x14ac:dyDescent="0.2">
      <c r="C11392" s="209"/>
      <c r="D11392" s="209"/>
      <c r="E11392" s="209"/>
      <c r="J11392" s="124"/>
    </row>
    <row r="11393" spans="3:10" x14ac:dyDescent="0.2">
      <c r="C11393" s="209"/>
      <c r="D11393" s="209"/>
      <c r="E11393" s="209"/>
      <c r="J11393" s="124"/>
    </row>
    <row r="11394" spans="3:10" x14ac:dyDescent="0.2">
      <c r="C11394" s="209"/>
      <c r="D11394" s="209"/>
      <c r="E11394" s="209"/>
      <c r="J11394" s="124"/>
    </row>
    <row r="11395" spans="3:10" x14ac:dyDescent="0.2">
      <c r="C11395" s="209"/>
      <c r="D11395" s="209"/>
      <c r="E11395" s="209"/>
      <c r="J11395" s="124"/>
    </row>
    <row r="11396" spans="3:10" x14ac:dyDescent="0.2">
      <c r="C11396" s="209"/>
      <c r="D11396" s="209"/>
      <c r="E11396" s="209"/>
      <c r="J11396" s="124"/>
    </row>
    <row r="11397" spans="3:10" x14ac:dyDescent="0.2">
      <c r="C11397" s="209"/>
      <c r="D11397" s="209"/>
      <c r="E11397" s="209"/>
      <c r="J11397" s="124"/>
    </row>
    <row r="11398" spans="3:10" x14ac:dyDescent="0.2">
      <c r="C11398" s="209"/>
      <c r="D11398" s="209"/>
      <c r="E11398" s="209"/>
      <c r="J11398" s="124"/>
    </row>
    <row r="11399" spans="3:10" x14ac:dyDescent="0.2">
      <c r="C11399" s="209"/>
      <c r="D11399" s="209"/>
      <c r="E11399" s="209"/>
      <c r="J11399" s="124"/>
    </row>
    <row r="11400" spans="3:10" x14ac:dyDescent="0.2">
      <c r="C11400" s="209"/>
      <c r="D11400" s="209"/>
      <c r="E11400" s="209"/>
      <c r="J11400" s="124"/>
    </row>
    <row r="11401" spans="3:10" x14ac:dyDescent="0.2">
      <c r="C11401" s="209"/>
      <c r="D11401" s="209"/>
      <c r="E11401" s="209"/>
      <c r="J11401" s="124"/>
    </row>
    <row r="11402" spans="3:10" x14ac:dyDescent="0.2">
      <c r="C11402" s="209"/>
      <c r="D11402" s="209"/>
      <c r="E11402" s="209"/>
      <c r="J11402" s="124"/>
    </row>
    <row r="11403" spans="3:10" x14ac:dyDescent="0.2">
      <c r="C11403" s="209"/>
      <c r="D11403" s="209"/>
      <c r="E11403" s="209"/>
      <c r="J11403" s="124"/>
    </row>
    <row r="11404" spans="3:10" x14ac:dyDescent="0.2">
      <c r="C11404" s="209"/>
      <c r="D11404" s="209"/>
      <c r="E11404" s="209"/>
      <c r="J11404" s="124"/>
    </row>
    <row r="11405" spans="3:10" x14ac:dyDescent="0.2">
      <c r="C11405" s="209"/>
      <c r="D11405" s="209"/>
      <c r="E11405" s="209"/>
      <c r="J11405" s="124"/>
    </row>
    <row r="11406" spans="3:10" x14ac:dyDescent="0.2">
      <c r="C11406" s="209"/>
      <c r="D11406" s="209"/>
      <c r="E11406" s="209"/>
      <c r="J11406" s="124"/>
    </row>
    <row r="11407" spans="3:10" x14ac:dyDescent="0.2">
      <c r="C11407" s="209"/>
      <c r="D11407" s="209"/>
      <c r="E11407" s="209"/>
      <c r="J11407" s="124"/>
    </row>
    <row r="11408" spans="3:10" x14ac:dyDescent="0.2">
      <c r="C11408" s="209"/>
      <c r="D11408" s="209"/>
      <c r="E11408" s="209"/>
      <c r="J11408" s="124"/>
    </row>
    <row r="11409" spans="3:10" x14ac:dyDescent="0.2">
      <c r="C11409" s="209"/>
      <c r="D11409" s="209"/>
      <c r="E11409" s="209"/>
      <c r="J11409" s="124"/>
    </row>
    <row r="11410" spans="3:10" x14ac:dyDescent="0.2">
      <c r="C11410" s="209"/>
      <c r="D11410" s="209"/>
      <c r="E11410" s="209"/>
      <c r="J11410" s="124"/>
    </row>
    <row r="11411" spans="3:10" x14ac:dyDescent="0.2">
      <c r="C11411" s="209"/>
      <c r="D11411" s="209"/>
      <c r="E11411" s="209"/>
      <c r="J11411" s="124"/>
    </row>
    <row r="11412" spans="3:10" x14ac:dyDescent="0.2">
      <c r="C11412" s="209"/>
      <c r="D11412" s="209"/>
      <c r="E11412" s="209"/>
      <c r="J11412" s="124"/>
    </row>
    <row r="11413" spans="3:10" x14ac:dyDescent="0.2">
      <c r="C11413" s="209"/>
      <c r="D11413" s="209"/>
      <c r="E11413" s="209"/>
      <c r="J11413" s="124"/>
    </row>
    <row r="11414" spans="3:10" x14ac:dyDescent="0.2">
      <c r="C11414" s="209"/>
      <c r="D11414" s="209"/>
      <c r="E11414" s="209"/>
      <c r="J11414" s="124"/>
    </row>
    <row r="11415" spans="3:10" x14ac:dyDescent="0.2">
      <c r="C11415" s="209"/>
      <c r="D11415" s="209"/>
      <c r="E11415" s="209"/>
      <c r="J11415" s="124"/>
    </row>
    <row r="11416" spans="3:10" x14ac:dyDescent="0.2">
      <c r="C11416" s="209"/>
      <c r="D11416" s="209"/>
      <c r="E11416" s="209"/>
      <c r="J11416" s="124"/>
    </row>
    <row r="11417" spans="3:10" x14ac:dyDescent="0.2">
      <c r="C11417" s="209"/>
      <c r="D11417" s="209"/>
      <c r="E11417" s="209"/>
      <c r="J11417" s="124"/>
    </row>
    <row r="11418" spans="3:10" x14ac:dyDescent="0.2">
      <c r="C11418" s="209"/>
      <c r="D11418" s="209"/>
      <c r="E11418" s="209"/>
      <c r="J11418" s="124"/>
    </row>
    <row r="11419" spans="3:10" x14ac:dyDescent="0.2">
      <c r="C11419" s="209"/>
      <c r="D11419" s="209"/>
      <c r="E11419" s="209"/>
      <c r="J11419" s="124"/>
    </row>
    <row r="11420" spans="3:10" x14ac:dyDescent="0.2">
      <c r="C11420" s="209"/>
      <c r="D11420" s="209"/>
      <c r="E11420" s="209"/>
      <c r="J11420" s="124"/>
    </row>
    <row r="11421" spans="3:10" x14ac:dyDescent="0.2">
      <c r="C11421" s="209"/>
      <c r="D11421" s="209"/>
      <c r="E11421" s="209"/>
      <c r="J11421" s="124"/>
    </row>
    <row r="11422" spans="3:10" x14ac:dyDescent="0.2">
      <c r="C11422" s="209"/>
      <c r="D11422" s="209"/>
      <c r="E11422" s="209"/>
      <c r="J11422" s="124"/>
    </row>
    <row r="11423" spans="3:10" x14ac:dyDescent="0.2">
      <c r="C11423" s="209"/>
      <c r="D11423" s="209"/>
      <c r="E11423" s="209"/>
      <c r="J11423" s="124"/>
    </row>
    <row r="11424" spans="3:10" x14ac:dyDescent="0.2">
      <c r="C11424" s="209"/>
      <c r="D11424" s="209"/>
      <c r="E11424" s="209"/>
      <c r="J11424" s="124"/>
    </row>
    <row r="11425" spans="3:10" x14ac:dyDescent="0.2">
      <c r="C11425" s="209"/>
      <c r="D11425" s="209"/>
      <c r="E11425" s="209"/>
      <c r="J11425" s="124"/>
    </row>
    <row r="11426" spans="3:10" x14ac:dyDescent="0.2">
      <c r="C11426" s="209"/>
      <c r="D11426" s="209"/>
      <c r="E11426" s="209"/>
      <c r="J11426" s="124"/>
    </row>
    <row r="11427" spans="3:10" x14ac:dyDescent="0.2">
      <c r="C11427" s="209"/>
      <c r="D11427" s="209"/>
      <c r="E11427" s="209"/>
      <c r="J11427" s="124"/>
    </row>
    <row r="11428" spans="3:10" x14ac:dyDescent="0.2">
      <c r="C11428" s="209"/>
      <c r="D11428" s="209"/>
      <c r="E11428" s="209"/>
      <c r="J11428" s="124"/>
    </row>
    <row r="11429" spans="3:10" x14ac:dyDescent="0.2">
      <c r="C11429" s="209"/>
      <c r="D11429" s="209"/>
      <c r="E11429" s="209"/>
      <c r="J11429" s="124"/>
    </row>
    <row r="11430" spans="3:10" x14ac:dyDescent="0.2">
      <c r="C11430" s="209"/>
      <c r="D11430" s="209"/>
      <c r="E11430" s="209"/>
      <c r="J11430" s="124"/>
    </row>
    <row r="11431" spans="3:10" x14ac:dyDescent="0.2">
      <c r="C11431" s="209"/>
      <c r="D11431" s="209"/>
      <c r="E11431" s="209"/>
      <c r="J11431" s="124"/>
    </row>
    <row r="11432" spans="3:10" x14ac:dyDescent="0.2">
      <c r="C11432" s="209"/>
      <c r="D11432" s="209"/>
      <c r="E11432" s="209"/>
      <c r="J11432" s="124"/>
    </row>
    <row r="11433" spans="3:10" x14ac:dyDescent="0.2">
      <c r="C11433" s="209"/>
      <c r="D11433" s="209"/>
      <c r="E11433" s="209"/>
      <c r="J11433" s="124"/>
    </row>
    <row r="11434" spans="3:10" x14ac:dyDescent="0.2">
      <c r="C11434" s="209"/>
      <c r="D11434" s="209"/>
      <c r="E11434" s="209"/>
      <c r="J11434" s="124"/>
    </row>
    <row r="11435" spans="3:10" x14ac:dyDescent="0.2">
      <c r="C11435" s="209"/>
      <c r="D11435" s="209"/>
      <c r="E11435" s="209"/>
      <c r="J11435" s="124"/>
    </row>
    <row r="11436" spans="3:10" x14ac:dyDescent="0.2">
      <c r="C11436" s="209"/>
      <c r="D11436" s="209"/>
      <c r="E11436" s="209"/>
      <c r="J11436" s="124"/>
    </row>
    <row r="11437" spans="3:10" x14ac:dyDescent="0.2">
      <c r="C11437" s="209"/>
      <c r="D11437" s="209"/>
      <c r="E11437" s="209"/>
      <c r="J11437" s="124"/>
    </row>
    <row r="11438" spans="3:10" x14ac:dyDescent="0.2">
      <c r="C11438" s="209"/>
      <c r="D11438" s="209"/>
      <c r="E11438" s="209"/>
      <c r="J11438" s="124"/>
    </row>
    <row r="11439" spans="3:10" x14ac:dyDescent="0.2">
      <c r="C11439" s="209"/>
      <c r="D11439" s="209"/>
      <c r="E11439" s="209"/>
      <c r="J11439" s="124"/>
    </row>
    <row r="11440" spans="3:10" x14ac:dyDescent="0.2">
      <c r="C11440" s="209"/>
      <c r="D11440" s="209"/>
      <c r="E11440" s="209"/>
      <c r="J11440" s="124"/>
    </row>
    <row r="11441" spans="3:10" x14ac:dyDescent="0.2">
      <c r="C11441" s="209"/>
      <c r="D11441" s="209"/>
      <c r="E11441" s="209"/>
      <c r="J11441" s="124"/>
    </row>
    <row r="11442" spans="3:10" x14ac:dyDescent="0.2">
      <c r="C11442" s="209"/>
      <c r="D11442" s="209"/>
      <c r="E11442" s="209"/>
      <c r="J11442" s="124"/>
    </row>
    <row r="11443" spans="3:10" x14ac:dyDescent="0.2">
      <c r="C11443" s="209"/>
      <c r="D11443" s="209"/>
      <c r="E11443" s="209"/>
      <c r="J11443" s="124"/>
    </row>
    <row r="11444" spans="3:10" x14ac:dyDescent="0.2">
      <c r="C11444" s="209"/>
      <c r="D11444" s="209"/>
      <c r="E11444" s="209"/>
      <c r="J11444" s="124"/>
    </row>
    <row r="11445" spans="3:10" x14ac:dyDescent="0.2">
      <c r="C11445" s="209"/>
      <c r="D11445" s="209"/>
      <c r="E11445" s="209"/>
      <c r="J11445" s="124"/>
    </row>
    <row r="11446" spans="3:10" x14ac:dyDescent="0.2">
      <c r="C11446" s="209"/>
      <c r="D11446" s="209"/>
      <c r="E11446" s="209"/>
      <c r="J11446" s="124"/>
    </row>
    <row r="11447" spans="3:10" x14ac:dyDescent="0.2">
      <c r="C11447" s="209"/>
      <c r="D11447" s="209"/>
      <c r="E11447" s="209"/>
      <c r="J11447" s="124"/>
    </row>
    <row r="11448" spans="3:10" x14ac:dyDescent="0.2">
      <c r="C11448" s="209"/>
      <c r="D11448" s="209"/>
      <c r="E11448" s="209"/>
      <c r="J11448" s="124"/>
    </row>
    <row r="11449" spans="3:10" x14ac:dyDescent="0.2">
      <c r="C11449" s="209"/>
      <c r="D11449" s="209"/>
      <c r="E11449" s="209"/>
      <c r="J11449" s="124"/>
    </row>
    <row r="11450" spans="3:10" x14ac:dyDescent="0.2">
      <c r="C11450" s="209"/>
      <c r="D11450" s="209"/>
      <c r="E11450" s="209"/>
      <c r="J11450" s="124"/>
    </row>
    <row r="11451" spans="3:10" x14ac:dyDescent="0.2">
      <c r="C11451" s="209"/>
      <c r="D11451" s="209"/>
      <c r="E11451" s="209"/>
      <c r="J11451" s="124"/>
    </row>
    <row r="11452" spans="3:10" x14ac:dyDescent="0.2">
      <c r="C11452" s="209"/>
      <c r="D11452" s="209"/>
      <c r="E11452" s="209"/>
      <c r="J11452" s="124"/>
    </row>
    <row r="11453" spans="3:10" x14ac:dyDescent="0.2">
      <c r="C11453" s="209"/>
      <c r="D11453" s="209"/>
      <c r="E11453" s="209"/>
      <c r="J11453" s="124"/>
    </row>
    <row r="11454" spans="3:10" x14ac:dyDescent="0.2">
      <c r="C11454" s="209"/>
      <c r="D11454" s="209"/>
      <c r="E11454" s="209"/>
      <c r="J11454" s="124"/>
    </row>
    <row r="11455" spans="3:10" x14ac:dyDescent="0.2">
      <c r="C11455" s="209"/>
      <c r="D11455" s="209"/>
      <c r="E11455" s="209"/>
      <c r="J11455" s="124"/>
    </row>
    <row r="11456" spans="3:10" x14ac:dyDescent="0.2">
      <c r="C11456" s="209"/>
      <c r="D11456" s="209"/>
      <c r="E11456" s="209"/>
      <c r="J11456" s="124"/>
    </row>
    <row r="11457" spans="3:10" x14ac:dyDescent="0.2">
      <c r="C11457" s="209"/>
      <c r="D11457" s="209"/>
      <c r="E11457" s="209"/>
      <c r="J11457" s="124"/>
    </row>
    <row r="11458" spans="3:10" x14ac:dyDescent="0.2">
      <c r="C11458" s="209"/>
      <c r="D11458" s="209"/>
      <c r="E11458" s="209"/>
      <c r="J11458" s="124"/>
    </row>
    <row r="11459" spans="3:10" x14ac:dyDescent="0.2">
      <c r="C11459" s="209"/>
      <c r="D11459" s="209"/>
      <c r="E11459" s="209"/>
      <c r="J11459" s="124"/>
    </row>
    <row r="11460" spans="3:10" x14ac:dyDescent="0.2">
      <c r="C11460" s="209"/>
      <c r="D11460" s="209"/>
      <c r="E11460" s="209"/>
      <c r="J11460" s="124"/>
    </row>
    <row r="11461" spans="3:10" x14ac:dyDescent="0.2">
      <c r="C11461" s="209"/>
      <c r="D11461" s="209"/>
      <c r="E11461" s="209"/>
      <c r="J11461" s="124"/>
    </row>
    <row r="11462" spans="3:10" x14ac:dyDescent="0.2">
      <c r="C11462" s="209"/>
      <c r="D11462" s="209"/>
      <c r="E11462" s="209"/>
      <c r="J11462" s="124"/>
    </row>
    <row r="11463" spans="3:10" x14ac:dyDescent="0.2">
      <c r="C11463" s="209"/>
      <c r="D11463" s="209"/>
      <c r="E11463" s="209"/>
      <c r="J11463" s="124"/>
    </row>
    <row r="11464" spans="3:10" x14ac:dyDescent="0.2">
      <c r="C11464" s="209"/>
      <c r="D11464" s="209"/>
      <c r="E11464" s="209"/>
      <c r="J11464" s="124"/>
    </row>
    <row r="11465" spans="3:10" x14ac:dyDescent="0.2">
      <c r="C11465" s="209"/>
      <c r="D11465" s="209"/>
      <c r="E11465" s="209"/>
      <c r="J11465" s="124"/>
    </row>
    <row r="11466" spans="3:10" x14ac:dyDescent="0.2">
      <c r="C11466" s="209"/>
      <c r="D11466" s="209"/>
      <c r="E11466" s="209"/>
      <c r="J11466" s="124"/>
    </row>
    <row r="11467" spans="3:10" x14ac:dyDescent="0.2">
      <c r="C11467" s="209"/>
      <c r="D11467" s="209"/>
      <c r="E11467" s="209"/>
      <c r="J11467" s="124"/>
    </row>
    <row r="11468" spans="3:10" x14ac:dyDescent="0.2">
      <c r="C11468" s="209"/>
      <c r="D11468" s="209"/>
      <c r="E11468" s="209"/>
      <c r="J11468" s="124"/>
    </row>
    <row r="11469" spans="3:10" x14ac:dyDescent="0.2">
      <c r="C11469" s="209"/>
      <c r="D11469" s="209"/>
      <c r="E11469" s="209"/>
      <c r="J11469" s="124"/>
    </row>
    <row r="11470" spans="3:10" x14ac:dyDescent="0.2">
      <c r="C11470" s="209"/>
      <c r="D11470" s="209"/>
      <c r="E11470" s="209"/>
      <c r="J11470" s="124"/>
    </row>
    <row r="11471" spans="3:10" x14ac:dyDescent="0.2">
      <c r="C11471" s="209"/>
      <c r="D11471" s="209"/>
      <c r="E11471" s="209"/>
      <c r="J11471" s="124"/>
    </row>
    <row r="11472" spans="3:10" x14ac:dyDescent="0.2">
      <c r="C11472" s="209"/>
      <c r="D11472" s="209"/>
      <c r="E11472" s="209"/>
      <c r="J11472" s="124"/>
    </row>
    <row r="11473" spans="3:10" x14ac:dyDescent="0.2">
      <c r="C11473" s="209"/>
      <c r="D11473" s="209"/>
      <c r="E11473" s="209"/>
      <c r="J11473" s="124"/>
    </row>
    <row r="11474" spans="3:10" x14ac:dyDescent="0.2">
      <c r="C11474" s="209"/>
      <c r="D11474" s="209"/>
      <c r="E11474" s="209"/>
      <c r="J11474" s="124"/>
    </row>
    <row r="11475" spans="3:10" x14ac:dyDescent="0.2">
      <c r="C11475" s="209"/>
      <c r="D11475" s="209"/>
      <c r="E11475" s="209"/>
      <c r="J11475" s="124"/>
    </row>
    <row r="11476" spans="3:10" x14ac:dyDescent="0.2">
      <c r="C11476" s="209"/>
      <c r="D11476" s="209"/>
      <c r="E11476" s="209"/>
      <c r="J11476" s="124"/>
    </row>
    <row r="11477" spans="3:10" x14ac:dyDescent="0.2">
      <c r="C11477" s="209"/>
      <c r="D11477" s="209"/>
      <c r="E11477" s="209"/>
      <c r="J11477" s="124"/>
    </row>
    <row r="11478" spans="3:10" x14ac:dyDescent="0.2">
      <c r="C11478" s="209"/>
      <c r="D11478" s="209"/>
      <c r="E11478" s="209"/>
      <c r="J11478" s="124"/>
    </row>
    <row r="11479" spans="3:10" x14ac:dyDescent="0.2">
      <c r="C11479" s="209"/>
      <c r="D11479" s="209"/>
      <c r="E11479" s="209"/>
      <c r="J11479" s="124"/>
    </row>
    <row r="11480" spans="3:10" x14ac:dyDescent="0.2">
      <c r="C11480" s="209"/>
      <c r="D11480" s="209"/>
      <c r="E11480" s="209"/>
      <c r="J11480" s="124"/>
    </row>
    <row r="11481" spans="3:10" x14ac:dyDescent="0.2">
      <c r="C11481" s="209"/>
      <c r="D11481" s="209"/>
      <c r="E11481" s="209"/>
      <c r="J11481" s="124"/>
    </row>
    <row r="11482" spans="3:10" x14ac:dyDescent="0.2">
      <c r="C11482" s="209"/>
      <c r="D11482" s="209"/>
      <c r="E11482" s="209"/>
      <c r="J11482" s="124"/>
    </row>
    <row r="11483" spans="3:10" x14ac:dyDescent="0.2">
      <c r="C11483" s="209"/>
      <c r="D11483" s="209"/>
      <c r="E11483" s="209"/>
      <c r="J11483" s="124"/>
    </row>
    <row r="11484" spans="3:10" x14ac:dyDescent="0.2">
      <c r="C11484" s="209"/>
      <c r="D11484" s="209"/>
      <c r="E11484" s="209"/>
      <c r="J11484" s="124"/>
    </row>
    <row r="11485" spans="3:10" x14ac:dyDescent="0.2">
      <c r="C11485" s="209"/>
      <c r="D11485" s="209"/>
      <c r="E11485" s="209"/>
      <c r="J11485" s="124"/>
    </row>
    <row r="11486" spans="3:10" x14ac:dyDescent="0.2">
      <c r="C11486" s="209"/>
      <c r="D11486" s="209"/>
      <c r="E11486" s="209"/>
      <c r="J11486" s="124"/>
    </row>
    <row r="11487" spans="3:10" x14ac:dyDescent="0.2">
      <c r="C11487" s="209"/>
      <c r="D11487" s="209"/>
      <c r="E11487" s="209"/>
      <c r="J11487" s="124"/>
    </row>
    <row r="11488" spans="3:10" x14ac:dyDescent="0.2">
      <c r="C11488" s="209"/>
      <c r="D11488" s="209"/>
      <c r="E11488" s="209"/>
      <c r="J11488" s="124"/>
    </row>
    <row r="11489" spans="3:10" x14ac:dyDescent="0.2">
      <c r="C11489" s="209"/>
      <c r="D11489" s="209"/>
      <c r="E11489" s="209"/>
      <c r="J11489" s="124"/>
    </row>
    <row r="11490" spans="3:10" x14ac:dyDescent="0.2">
      <c r="C11490" s="209"/>
      <c r="D11490" s="209"/>
      <c r="E11490" s="209"/>
      <c r="J11490" s="124"/>
    </row>
    <row r="11491" spans="3:10" x14ac:dyDescent="0.2">
      <c r="C11491" s="209"/>
      <c r="D11491" s="209"/>
      <c r="E11491" s="209"/>
      <c r="J11491" s="124"/>
    </row>
    <row r="11492" spans="3:10" x14ac:dyDescent="0.2">
      <c r="C11492" s="209"/>
      <c r="D11492" s="209"/>
      <c r="E11492" s="209"/>
      <c r="J11492" s="124"/>
    </row>
    <row r="11493" spans="3:10" x14ac:dyDescent="0.2">
      <c r="C11493" s="209"/>
      <c r="D11493" s="209"/>
      <c r="E11493" s="209"/>
      <c r="J11493" s="124"/>
    </row>
    <row r="11494" spans="3:10" x14ac:dyDescent="0.2">
      <c r="C11494" s="209"/>
      <c r="D11494" s="209"/>
      <c r="E11494" s="209"/>
      <c r="J11494" s="124"/>
    </row>
    <row r="11495" spans="3:10" x14ac:dyDescent="0.2">
      <c r="C11495" s="209"/>
      <c r="D11495" s="209"/>
      <c r="E11495" s="209"/>
      <c r="J11495" s="124"/>
    </row>
    <row r="11496" spans="3:10" x14ac:dyDescent="0.2">
      <c r="C11496" s="209"/>
      <c r="D11496" s="209"/>
      <c r="E11496" s="209"/>
      <c r="J11496" s="124"/>
    </row>
    <row r="11497" spans="3:10" x14ac:dyDescent="0.2">
      <c r="C11497" s="209"/>
      <c r="D11497" s="209"/>
      <c r="E11497" s="209"/>
      <c r="J11497" s="124"/>
    </row>
    <row r="11498" spans="3:10" x14ac:dyDescent="0.2">
      <c r="C11498" s="209"/>
      <c r="D11498" s="209"/>
      <c r="E11498" s="209"/>
      <c r="J11498" s="124"/>
    </row>
    <row r="11499" spans="3:10" x14ac:dyDescent="0.2">
      <c r="C11499" s="209"/>
      <c r="D11499" s="209"/>
      <c r="E11499" s="209"/>
      <c r="J11499" s="124"/>
    </row>
    <row r="11500" spans="3:10" x14ac:dyDescent="0.2">
      <c r="C11500" s="209"/>
      <c r="D11500" s="209"/>
      <c r="E11500" s="209"/>
      <c r="J11500" s="124"/>
    </row>
    <row r="11501" spans="3:10" x14ac:dyDescent="0.2">
      <c r="C11501" s="209"/>
      <c r="D11501" s="209"/>
      <c r="E11501" s="209"/>
      <c r="J11501" s="124"/>
    </row>
    <row r="11502" spans="3:10" x14ac:dyDescent="0.2">
      <c r="C11502" s="209"/>
      <c r="D11502" s="209"/>
      <c r="E11502" s="209"/>
      <c r="J11502" s="124"/>
    </row>
    <row r="11503" spans="3:10" x14ac:dyDescent="0.2">
      <c r="C11503" s="209"/>
      <c r="D11503" s="209"/>
      <c r="E11503" s="209"/>
      <c r="J11503" s="124"/>
    </row>
    <row r="11504" spans="3:10" x14ac:dyDescent="0.2">
      <c r="C11504" s="209"/>
      <c r="D11504" s="209"/>
      <c r="E11504" s="209"/>
      <c r="J11504" s="124"/>
    </row>
    <row r="11505" spans="3:10" x14ac:dyDescent="0.2">
      <c r="C11505" s="209"/>
      <c r="D11505" s="209"/>
      <c r="E11505" s="209"/>
      <c r="J11505" s="124"/>
    </row>
    <row r="11506" spans="3:10" x14ac:dyDescent="0.2">
      <c r="C11506" s="209"/>
      <c r="D11506" s="209"/>
      <c r="E11506" s="209"/>
      <c r="J11506" s="124"/>
    </row>
    <row r="11507" spans="3:10" x14ac:dyDescent="0.2">
      <c r="C11507" s="209"/>
      <c r="D11507" s="209"/>
      <c r="E11507" s="209"/>
      <c r="J11507" s="124"/>
    </row>
    <row r="11508" spans="3:10" x14ac:dyDescent="0.2">
      <c r="C11508" s="209"/>
      <c r="D11508" s="209"/>
      <c r="E11508" s="209"/>
      <c r="J11508" s="124"/>
    </row>
    <row r="11509" spans="3:10" x14ac:dyDescent="0.2">
      <c r="C11509" s="209"/>
      <c r="D11509" s="209"/>
      <c r="E11509" s="209"/>
      <c r="J11509" s="124"/>
    </row>
    <row r="11510" spans="3:10" x14ac:dyDescent="0.2">
      <c r="C11510" s="209"/>
      <c r="D11510" s="209"/>
      <c r="E11510" s="209"/>
      <c r="J11510" s="124"/>
    </row>
    <row r="11511" spans="3:10" x14ac:dyDescent="0.2">
      <c r="C11511" s="209"/>
      <c r="D11511" s="209"/>
      <c r="E11511" s="209"/>
      <c r="J11511" s="124"/>
    </row>
    <row r="11512" spans="3:10" x14ac:dyDescent="0.2">
      <c r="C11512" s="209"/>
      <c r="D11512" s="209"/>
      <c r="E11512" s="209"/>
      <c r="J11512" s="124"/>
    </row>
    <row r="11513" spans="3:10" x14ac:dyDescent="0.2">
      <c r="C11513" s="209"/>
      <c r="D11513" s="209"/>
      <c r="E11513" s="209"/>
      <c r="J11513" s="124"/>
    </row>
    <row r="11514" spans="3:10" x14ac:dyDescent="0.2">
      <c r="C11514" s="209"/>
      <c r="D11514" s="209"/>
      <c r="E11514" s="209"/>
      <c r="J11514" s="124"/>
    </row>
    <row r="11515" spans="3:10" x14ac:dyDescent="0.2">
      <c r="C11515" s="209"/>
      <c r="D11515" s="209"/>
      <c r="E11515" s="209"/>
      <c r="J11515" s="124"/>
    </row>
    <row r="11516" spans="3:10" x14ac:dyDescent="0.2">
      <c r="C11516" s="209"/>
      <c r="D11516" s="209"/>
      <c r="E11516" s="209"/>
      <c r="J11516" s="124"/>
    </row>
    <row r="11517" spans="3:10" x14ac:dyDescent="0.2">
      <c r="C11517" s="209"/>
      <c r="D11517" s="209"/>
      <c r="E11517" s="209"/>
      <c r="J11517" s="124"/>
    </row>
    <row r="11518" spans="3:10" x14ac:dyDescent="0.2">
      <c r="C11518" s="209"/>
      <c r="D11518" s="209"/>
      <c r="E11518" s="209"/>
      <c r="J11518" s="124"/>
    </row>
    <row r="11519" spans="3:10" x14ac:dyDescent="0.2">
      <c r="C11519" s="209"/>
      <c r="D11519" s="209"/>
      <c r="E11519" s="209"/>
      <c r="J11519" s="124"/>
    </row>
    <row r="11520" spans="3:10" x14ac:dyDescent="0.2">
      <c r="C11520" s="209"/>
      <c r="D11520" s="209"/>
      <c r="E11520" s="209"/>
      <c r="J11520" s="124"/>
    </row>
    <row r="11521" spans="3:10" x14ac:dyDescent="0.2">
      <c r="C11521" s="209"/>
      <c r="D11521" s="209"/>
      <c r="E11521" s="209"/>
      <c r="J11521" s="124"/>
    </row>
    <row r="11522" spans="3:10" x14ac:dyDescent="0.2">
      <c r="C11522" s="209"/>
      <c r="D11522" s="209"/>
      <c r="E11522" s="209"/>
      <c r="J11522" s="124"/>
    </row>
    <row r="11523" spans="3:10" x14ac:dyDescent="0.2">
      <c r="C11523" s="209"/>
      <c r="D11523" s="209"/>
      <c r="E11523" s="209"/>
      <c r="J11523" s="124"/>
    </row>
    <row r="11524" spans="3:10" x14ac:dyDescent="0.2">
      <c r="C11524" s="209"/>
      <c r="D11524" s="209"/>
      <c r="E11524" s="209"/>
      <c r="J11524" s="124"/>
    </row>
    <row r="11525" spans="3:10" x14ac:dyDescent="0.2">
      <c r="C11525" s="209"/>
      <c r="D11525" s="209"/>
      <c r="E11525" s="209"/>
      <c r="J11525" s="124"/>
    </row>
    <row r="11526" spans="3:10" x14ac:dyDescent="0.2">
      <c r="C11526" s="209"/>
      <c r="D11526" s="209"/>
      <c r="E11526" s="209"/>
      <c r="J11526" s="124"/>
    </row>
    <row r="11527" spans="3:10" x14ac:dyDescent="0.2">
      <c r="C11527" s="209"/>
      <c r="D11527" s="209"/>
      <c r="E11527" s="209"/>
      <c r="J11527" s="124"/>
    </row>
    <row r="11528" spans="3:10" x14ac:dyDescent="0.2">
      <c r="C11528" s="209"/>
      <c r="D11528" s="209"/>
      <c r="E11528" s="209"/>
      <c r="J11528" s="124"/>
    </row>
    <row r="11529" spans="3:10" x14ac:dyDescent="0.2">
      <c r="C11529" s="209"/>
      <c r="D11529" s="209"/>
      <c r="E11529" s="209"/>
      <c r="J11529" s="124"/>
    </row>
    <row r="11530" spans="3:10" x14ac:dyDescent="0.2">
      <c r="C11530" s="209"/>
      <c r="D11530" s="209"/>
      <c r="E11530" s="209"/>
      <c r="J11530" s="124"/>
    </row>
    <row r="11531" spans="3:10" x14ac:dyDescent="0.2">
      <c r="C11531" s="209"/>
      <c r="D11531" s="209"/>
      <c r="E11531" s="209"/>
      <c r="J11531" s="124"/>
    </row>
    <row r="11532" spans="3:10" x14ac:dyDescent="0.2">
      <c r="C11532" s="209"/>
      <c r="D11532" s="209"/>
      <c r="E11532" s="209"/>
      <c r="J11532" s="124"/>
    </row>
    <row r="11533" spans="3:10" x14ac:dyDescent="0.2">
      <c r="C11533" s="209"/>
      <c r="D11533" s="209"/>
      <c r="E11533" s="209"/>
      <c r="J11533" s="124"/>
    </row>
    <row r="11534" spans="3:10" x14ac:dyDescent="0.2">
      <c r="C11534" s="209"/>
      <c r="D11534" s="209"/>
      <c r="E11534" s="209"/>
      <c r="J11534" s="124"/>
    </row>
    <row r="11535" spans="3:10" x14ac:dyDescent="0.2">
      <c r="C11535" s="209"/>
      <c r="D11535" s="209"/>
      <c r="E11535" s="209"/>
      <c r="J11535" s="124"/>
    </row>
    <row r="11536" spans="3:10" x14ac:dyDescent="0.2">
      <c r="C11536" s="209"/>
      <c r="D11536" s="209"/>
      <c r="E11536" s="209"/>
      <c r="J11536" s="124"/>
    </row>
    <row r="11537" spans="3:10" x14ac:dyDescent="0.2">
      <c r="C11537" s="209"/>
      <c r="D11537" s="209"/>
      <c r="E11537" s="209"/>
      <c r="J11537" s="124"/>
    </row>
    <row r="11538" spans="3:10" x14ac:dyDescent="0.2">
      <c r="C11538" s="209"/>
      <c r="D11538" s="209"/>
      <c r="E11538" s="209"/>
      <c r="J11538" s="124"/>
    </row>
    <row r="11539" spans="3:10" x14ac:dyDescent="0.2">
      <c r="C11539" s="209"/>
      <c r="D11539" s="209"/>
      <c r="E11539" s="209"/>
      <c r="J11539" s="124"/>
    </row>
    <row r="11540" spans="3:10" x14ac:dyDescent="0.2">
      <c r="C11540" s="209"/>
      <c r="D11540" s="209"/>
      <c r="E11540" s="209"/>
      <c r="J11540" s="124"/>
    </row>
    <row r="11541" spans="3:10" x14ac:dyDescent="0.2">
      <c r="C11541" s="209"/>
      <c r="D11541" s="209"/>
      <c r="E11541" s="209"/>
      <c r="J11541" s="124"/>
    </row>
    <row r="11542" spans="3:10" x14ac:dyDescent="0.2">
      <c r="C11542" s="209"/>
      <c r="D11542" s="209"/>
      <c r="E11542" s="209"/>
      <c r="J11542" s="124"/>
    </row>
    <row r="11543" spans="3:10" x14ac:dyDescent="0.2">
      <c r="C11543" s="209"/>
      <c r="D11543" s="209"/>
      <c r="E11543" s="209"/>
      <c r="J11543" s="124"/>
    </row>
    <row r="11544" spans="3:10" x14ac:dyDescent="0.2">
      <c r="C11544" s="209"/>
      <c r="D11544" s="209"/>
      <c r="E11544" s="209"/>
      <c r="J11544" s="124"/>
    </row>
    <row r="11545" spans="3:10" x14ac:dyDescent="0.2">
      <c r="C11545" s="209"/>
      <c r="D11545" s="209"/>
      <c r="E11545" s="209"/>
      <c r="J11545" s="124"/>
    </row>
    <row r="11546" spans="3:10" x14ac:dyDescent="0.2">
      <c r="C11546" s="209"/>
      <c r="D11546" s="209"/>
      <c r="E11546" s="209"/>
      <c r="J11546" s="124"/>
    </row>
    <row r="11547" spans="3:10" x14ac:dyDescent="0.2">
      <c r="C11547" s="209"/>
      <c r="D11547" s="209"/>
      <c r="E11547" s="209"/>
      <c r="J11547" s="124"/>
    </row>
    <row r="11548" spans="3:10" x14ac:dyDescent="0.2">
      <c r="C11548" s="209"/>
      <c r="D11548" s="209"/>
      <c r="E11548" s="209"/>
      <c r="J11548" s="124"/>
    </row>
    <row r="11549" spans="3:10" x14ac:dyDescent="0.2">
      <c r="C11549" s="209"/>
      <c r="D11549" s="209"/>
      <c r="E11549" s="209"/>
      <c r="J11549" s="124"/>
    </row>
    <row r="11550" spans="3:10" x14ac:dyDescent="0.2">
      <c r="C11550" s="209"/>
      <c r="D11550" s="209"/>
      <c r="E11550" s="209"/>
      <c r="J11550" s="124"/>
    </row>
    <row r="11551" spans="3:10" x14ac:dyDescent="0.2">
      <c r="C11551" s="209"/>
      <c r="D11551" s="209"/>
      <c r="E11551" s="209"/>
      <c r="J11551" s="124"/>
    </row>
    <row r="11552" spans="3:10" x14ac:dyDescent="0.2">
      <c r="C11552" s="209"/>
      <c r="D11552" s="209"/>
      <c r="E11552" s="209"/>
      <c r="J11552" s="124"/>
    </row>
    <row r="11553" spans="3:10" x14ac:dyDescent="0.2">
      <c r="C11553" s="209"/>
      <c r="D11553" s="209"/>
      <c r="E11553" s="209"/>
      <c r="J11553" s="124"/>
    </row>
    <row r="11554" spans="3:10" x14ac:dyDescent="0.2">
      <c r="C11554" s="209"/>
      <c r="D11554" s="209"/>
      <c r="E11554" s="209"/>
      <c r="J11554" s="124"/>
    </row>
    <row r="11555" spans="3:10" x14ac:dyDescent="0.2">
      <c r="C11555" s="209"/>
      <c r="D11555" s="209"/>
      <c r="E11555" s="209"/>
      <c r="J11555" s="124"/>
    </row>
    <row r="11556" spans="3:10" x14ac:dyDescent="0.2">
      <c r="C11556" s="209"/>
      <c r="D11556" s="209"/>
      <c r="E11556" s="209"/>
      <c r="J11556" s="124"/>
    </row>
    <row r="11557" spans="3:10" x14ac:dyDescent="0.2">
      <c r="C11557" s="209"/>
      <c r="D11557" s="209"/>
      <c r="E11557" s="209"/>
      <c r="J11557" s="124"/>
    </row>
    <row r="11558" spans="3:10" x14ac:dyDescent="0.2">
      <c r="C11558" s="209"/>
      <c r="D11558" s="209"/>
      <c r="E11558" s="209"/>
      <c r="J11558" s="124"/>
    </row>
    <row r="11559" spans="3:10" x14ac:dyDescent="0.2">
      <c r="C11559" s="209"/>
      <c r="D11559" s="209"/>
      <c r="E11559" s="209"/>
      <c r="J11559" s="124"/>
    </row>
    <row r="11560" spans="3:10" x14ac:dyDescent="0.2">
      <c r="C11560" s="209"/>
      <c r="D11560" s="209"/>
      <c r="E11560" s="209"/>
      <c r="J11560" s="124"/>
    </row>
    <row r="11561" spans="3:10" x14ac:dyDescent="0.2">
      <c r="C11561" s="209"/>
      <c r="D11561" s="209"/>
      <c r="E11561" s="209"/>
      <c r="J11561" s="124"/>
    </row>
    <row r="11562" spans="3:10" x14ac:dyDescent="0.2">
      <c r="C11562" s="209"/>
      <c r="D11562" s="209"/>
      <c r="E11562" s="209"/>
      <c r="J11562" s="124"/>
    </row>
    <row r="11563" spans="3:10" x14ac:dyDescent="0.2">
      <c r="C11563" s="209"/>
      <c r="D11563" s="209"/>
      <c r="E11563" s="209"/>
      <c r="J11563" s="124"/>
    </row>
    <row r="11564" spans="3:10" x14ac:dyDescent="0.2">
      <c r="C11564" s="209"/>
      <c r="D11564" s="209"/>
      <c r="E11564" s="209"/>
      <c r="J11564" s="124"/>
    </row>
    <row r="11565" spans="3:10" x14ac:dyDescent="0.2">
      <c r="C11565" s="209"/>
      <c r="D11565" s="209"/>
      <c r="E11565" s="209"/>
      <c r="J11565" s="124"/>
    </row>
    <row r="11566" spans="3:10" x14ac:dyDescent="0.2">
      <c r="C11566" s="209"/>
      <c r="D11566" s="209"/>
      <c r="E11566" s="209"/>
      <c r="J11566" s="124"/>
    </row>
    <row r="11567" spans="3:10" x14ac:dyDescent="0.2">
      <c r="C11567" s="209"/>
      <c r="D11567" s="209"/>
      <c r="E11567" s="209"/>
      <c r="J11567" s="124"/>
    </row>
    <row r="11568" spans="3:10" x14ac:dyDescent="0.2">
      <c r="C11568" s="209"/>
      <c r="D11568" s="209"/>
      <c r="E11568" s="209"/>
      <c r="J11568" s="124"/>
    </row>
    <row r="11569" spans="3:10" x14ac:dyDescent="0.2">
      <c r="C11569" s="209"/>
      <c r="D11569" s="209"/>
      <c r="E11569" s="209"/>
      <c r="J11569" s="124"/>
    </row>
    <row r="11570" spans="3:10" x14ac:dyDescent="0.2">
      <c r="C11570" s="209"/>
      <c r="D11570" s="209"/>
      <c r="E11570" s="209"/>
      <c r="J11570" s="124"/>
    </row>
    <row r="11571" spans="3:10" x14ac:dyDescent="0.2">
      <c r="C11571" s="209"/>
      <c r="D11571" s="209"/>
      <c r="E11571" s="209"/>
      <c r="J11571" s="124"/>
    </row>
    <row r="11572" spans="3:10" x14ac:dyDescent="0.2">
      <c r="C11572" s="209"/>
      <c r="D11572" s="209"/>
      <c r="E11572" s="209"/>
      <c r="J11572" s="124"/>
    </row>
    <row r="11573" spans="3:10" x14ac:dyDescent="0.2">
      <c r="C11573" s="209"/>
      <c r="D11573" s="209"/>
      <c r="E11573" s="209"/>
      <c r="J11573" s="124"/>
    </row>
    <row r="11574" spans="3:10" x14ac:dyDescent="0.2">
      <c r="C11574" s="209"/>
      <c r="D11574" s="209"/>
      <c r="E11574" s="209"/>
      <c r="J11574" s="124"/>
    </row>
    <row r="11575" spans="3:10" x14ac:dyDescent="0.2">
      <c r="C11575" s="209"/>
      <c r="D11575" s="209"/>
      <c r="E11575" s="209"/>
      <c r="J11575" s="124"/>
    </row>
    <row r="11576" spans="3:10" x14ac:dyDescent="0.2">
      <c r="C11576" s="209"/>
      <c r="D11576" s="209"/>
      <c r="E11576" s="209"/>
      <c r="J11576" s="124"/>
    </row>
    <row r="11577" spans="3:10" x14ac:dyDescent="0.2">
      <c r="C11577" s="209"/>
      <c r="D11577" s="209"/>
      <c r="E11577" s="209"/>
      <c r="J11577" s="124"/>
    </row>
    <row r="11578" spans="3:10" x14ac:dyDescent="0.2">
      <c r="C11578" s="209"/>
      <c r="D11578" s="209"/>
      <c r="E11578" s="209"/>
      <c r="J11578" s="124"/>
    </row>
    <row r="11579" spans="3:10" x14ac:dyDescent="0.2">
      <c r="C11579" s="209"/>
      <c r="D11579" s="209"/>
      <c r="E11579" s="209"/>
      <c r="J11579" s="124"/>
    </row>
    <row r="11580" spans="3:10" x14ac:dyDescent="0.2">
      <c r="C11580" s="209"/>
      <c r="D11580" s="209"/>
      <c r="E11580" s="209"/>
      <c r="J11580" s="124"/>
    </row>
    <row r="11581" spans="3:10" x14ac:dyDescent="0.2">
      <c r="C11581" s="209"/>
      <c r="D11581" s="209"/>
      <c r="E11581" s="209"/>
      <c r="J11581" s="124"/>
    </row>
    <row r="11582" spans="3:10" x14ac:dyDescent="0.2">
      <c r="C11582" s="209"/>
      <c r="D11582" s="209"/>
      <c r="E11582" s="209"/>
      <c r="J11582" s="124"/>
    </row>
    <row r="11583" spans="3:10" x14ac:dyDescent="0.2">
      <c r="C11583" s="209"/>
      <c r="D11583" s="209"/>
      <c r="E11583" s="209"/>
      <c r="J11583" s="124"/>
    </row>
    <row r="11584" spans="3:10" x14ac:dyDescent="0.2">
      <c r="C11584" s="209"/>
      <c r="D11584" s="209"/>
      <c r="E11584" s="209"/>
      <c r="J11584" s="124"/>
    </row>
    <row r="11585" spans="3:10" x14ac:dyDescent="0.2">
      <c r="C11585" s="209"/>
      <c r="D11585" s="209"/>
      <c r="E11585" s="209"/>
      <c r="J11585" s="124"/>
    </row>
    <row r="11586" spans="3:10" x14ac:dyDescent="0.2">
      <c r="C11586" s="209"/>
      <c r="D11586" s="209"/>
      <c r="E11586" s="209"/>
      <c r="J11586" s="124"/>
    </row>
    <row r="11587" spans="3:10" x14ac:dyDescent="0.2">
      <c r="C11587" s="209"/>
      <c r="D11587" s="209"/>
      <c r="E11587" s="209"/>
      <c r="J11587" s="124"/>
    </row>
    <row r="11588" spans="3:10" x14ac:dyDescent="0.2">
      <c r="C11588" s="209"/>
      <c r="D11588" s="209"/>
      <c r="E11588" s="209"/>
      <c r="J11588" s="124"/>
    </row>
    <row r="11589" spans="3:10" x14ac:dyDescent="0.2">
      <c r="C11589" s="209"/>
      <c r="D11589" s="209"/>
      <c r="E11589" s="209"/>
      <c r="J11589" s="124"/>
    </row>
    <row r="11590" spans="3:10" x14ac:dyDescent="0.2">
      <c r="C11590" s="209"/>
      <c r="D11590" s="209"/>
      <c r="E11590" s="209"/>
      <c r="J11590" s="124"/>
    </row>
    <row r="11591" spans="3:10" x14ac:dyDescent="0.2">
      <c r="C11591" s="209"/>
      <c r="D11591" s="209"/>
      <c r="E11591" s="209"/>
      <c r="J11591" s="124"/>
    </row>
    <row r="11592" spans="3:10" x14ac:dyDescent="0.2">
      <c r="C11592" s="209"/>
      <c r="D11592" s="209"/>
      <c r="E11592" s="209"/>
      <c r="J11592" s="124"/>
    </row>
    <row r="11593" spans="3:10" x14ac:dyDescent="0.2">
      <c r="C11593" s="209"/>
      <c r="D11593" s="209"/>
      <c r="E11593" s="209"/>
      <c r="J11593" s="124"/>
    </row>
    <row r="11594" spans="3:10" x14ac:dyDescent="0.2">
      <c r="C11594" s="209"/>
      <c r="D11594" s="209"/>
      <c r="E11594" s="209"/>
      <c r="J11594" s="124"/>
    </row>
    <row r="11595" spans="3:10" x14ac:dyDescent="0.2">
      <c r="C11595" s="209"/>
      <c r="D11595" s="209"/>
      <c r="E11595" s="209"/>
      <c r="J11595" s="124"/>
    </row>
    <row r="11596" spans="3:10" x14ac:dyDescent="0.2">
      <c r="C11596" s="209"/>
      <c r="D11596" s="209"/>
      <c r="E11596" s="209"/>
      <c r="J11596" s="124"/>
    </row>
    <row r="11597" spans="3:10" x14ac:dyDescent="0.2">
      <c r="C11597" s="209"/>
      <c r="D11597" s="209"/>
      <c r="E11597" s="209"/>
      <c r="J11597" s="124"/>
    </row>
    <row r="11598" spans="3:10" x14ac:dyDescent="0.2">
      <c r="C11598" s="209"/>
      <c r="D11598" s="209"/>
      <c r="E11598" s="209"/>
      <c r="J11598" s="124"/>
    </row>
    <row r="11599" spans="3:10" x14ac:dyDescent="0.2">
      <c r="C11599" s="209"/>
      <c r="D11599" s="209"/>
      <c r="E11599" s="209"/>
      <c r="J11599" s="124"/>
    </row>
    <row r="11600" spans="3:10" x14ac:dyDescent="0.2">
      <c r="C11600" s="209"/>
      <c r="D11600" s="209"/>
      <c r="E11600" s="209"/>
      <c r="J11600" s="124"/>
    </row>
    <row r="11601" spans="3:10" x14ac:dyDescent="0.2">
      <c r="C11601" s="209"/>
      <c r="D11601" s="209"/>
      <c r="E11601" s="209"/>
      <c r="J11601" s="124"/>
    </row>
    <row r="11602" spans="3:10" x14ac:dyDescent="0.2">
      <c r="C11602" s="209"/>
      <c r="D11602" s="209"/>
      <c r="E11602" s="209"/>
      <c r="J11602" s="124"/>
    </row>
    <row r="11603" spans="3:10" x14ac:dyDescent="0.2">
      <c r="C11603" s="209"/>
      <c r="D11603" s="209"/>
      <c r="E11603" s="209"/>
      <c r="J11603" s="124"/>
    </row>
    <row r="11604" spans="3:10" x14ac:dyDescent="0.2">
      <c r="C11604" s="209"/>
      <c r="D11604" s="209"/>
      <c r="E11604" s="209"/>
      <c r="J11604" s="124"/>
    </row>
    <row r="11605" spans="3:10" x14ac:dyDescent="0.2">
      <c r="C11605" s="209"/>
      <c r="D11605" s="209"/>
      <c r="E11605" s="209"/>
      <c r="J11605" s="124"/>
    </row>
    <row r="11606" spans="3:10" x14ac:dyDescent="0.2">
      <c r="C11606" s="209"/>
      <c r="D11606" s="209"/>
      <c r="E11606" s="209"/>
      <c r="J11606" s="124"/>
    </row>
    <row r="11607" spans="3:10" x14ac:dyDescent="0.2">
      <c r="C11607" s="209"/>
      <c r="D11607" s="209"/>
      <c r="E11607" s="209"/>
      <c r="J11607" s="124"/>
    </row>
    <row r="11608" spans="3:10" x14ac:dyDescent="0.2">
      <c r="C11608" s="209"/>
      <c r="D11608" s="209"/>
      <c r="E11608" s="209"/>
      <c r="J11608" s="124"/>
    </row>
    <row r="11609" spans="3:10" x14ac:dyDescent="0.2">
      <c r="C11609" s="209"/>
      <c r="D11609" s="209"/>
      <c r="E11609" s="209"/>
      <c r="J11609" s="124"/>
    </row>
    <row r="11610" spans="3:10" x14ac:dyDescent="0.2">
      <c r="C11610" s="209"/>
      <c r="D11610" s="209"/>
      <c r="E11610" s="209"/>
      <c r="J11610" s="124"/>
    </row>
    <row r="11611" spans="3:10" x14ac:dyDescent="0.2">
      <c r="C11611" s="209"/>
      <c r="D11611" s="209"/>
      <c r="E11611" s="209"/>
      <c r="J11611" s="124"/>
    </row>
    <row r="11612" spans="3:10" x14ac:dyDescent="0.2">
      <c r="C11612" s="209"/>
      <c r="D11612" s="209"/>
      <c r="E11612" s="209"/>
      <c r="J11612" s="124"/>
    </row>
    <row r="11613" spans="3:10" x14ac:dyDescent="0.2">
      <c r="C11613" s="209"/>
      <c r="D11613" s="209"/>
      <c r="E11613" s="209"/>
      <c r="J11613" s="124"/>
    </row>
    <row r="11614" spans="3:10" x14ac:dyDescent="0.2">
      <c r="C11614" s="209"/>
      <c r="D11614" s="209"/>
      <c r="E11614" s="209"/>
      <c r="J11614" s="124"/>
    </row>
    <row r="11615" spans="3:10" x14ac:dyDescent="0.2">
      <c r="C11615" s="209"/>
      <c r="D11615" s="209"/>
      <c r="E11615" s="209"/>
      <c r="J11615" s="124"/>
    </row>
    <row r="11616" spans="3:10" x14ac:dyDescent="0.2">
      <c r="C11616" s="209"/>
      <c r="D11616" s="209"/>
      <c r="E11616" s="209"/>
      <c r="J11616" s="124"/>
    </row>
    <row r="11617" spans="3:10" x14ac:dyDescent="0.2">
      <c r="C11617" s="209"/>
      <c r="D11617" s="209"/>
      <c r="E11617" s="209"/>
      <c r="J11617" s="124"/>
    </row>
    <row r="11618" spans="3:10" x14ac:dyDescent="0.2">
      <c r="C11618" s="209"/>
      <c r="D11618" s="209"/>
      <c r="E11618" s="209"/>
      <c r="J11618" s="124"/>
    </row>
    <row r="11619" spans="3:10" x14ac:dyDescent="0.2">
      <c r="C11619" s="209"/>
      <c r="D11619" s="209"/>
      <c r="E11619" s="209"/>
      <c r="J11619" s="124"/>
    </row>
    <row r="11620" spans="3:10" x14ac:dyDescent="0.2">
      <c r="C11620" s="209"/>
      <c r="D11620" s="209"/>
      <c r="E11620" s="209"/>
      <c r="J11620" s="124"/>
    </row>
    <row r="11621" spans="3:10" x14ac:dyDescent="0.2">
      <c r="C11621" s="209"/>
      <c r="D11621" s="209"/>
      <c r="E11621" s="209"/>
      <c r="J11621" s="124"/>
    </row>
    <row r="11622" spans="3:10" x14ac:dyDescent="0.2">
      <c r="C11622" s="209"/>
      <c r="D11622" s="209"/>
      <c r="E11622" s="209"/>
      <c r="J11622" s="124"/>
    </row>
    <row r="11623" spans="3:10" x14ac:dyDescent="0.2">
      <c r="C11623" s="209"/>
      <c r="D11623" s="209"/>
      <c r="E11623" s="209"/>
      <c r="J11623" s="124"/>
    </row>
    <row r="11624" spans="3:10" x14ac:dyDescent="0.2">
      <c r="C11624" s="209"/>
      <c r="D11624" s="209"/>
      <c r="E11624" s="209"/>
      <c r="J11624" s="124"/>
    </row>
    <row r="11625" spans="3:10" x14ac:dyDescent="0.2">
      <c r="C11625" s="209"/>
      <c r="D11625" s="209"/>
      <c r="E11625" s="209"/>
      <c r="J11625" s="124"/>
    </row>
    <row r="11626" spans="3:10" x14ac:dyDescent="0.2">
      <c r="C11626" s="209"/>
      <c r="D11626" s="209"/>
      <c r="E11626" s="209"/>
      <c r="J11626" s="124"/>
    </row>
    <row r="11627" spans="3:10" x14ac:dyDescent="0.2">
      <c r="C11627" s="209"/>
      <c r="D11627" s="209"/>
      <c r="E11627" s="209"/>
      <c r="J11627" s="124"/>
    </row>
    <row r="11628" spans="3:10" x14ac:dyDescent="0.2">
      <c r="C11628" s="209"/>
      <c r="D11628" s="209"/>
      <c r="E11628" s="209"/>
      <c r="J11628" s="124"/>
    </row>
    <row r="11629" spans="3:10" x14ac:dyDescent="0.2">
      <c r="C11629" s="209"/>
      <c r="D11629" s="209"/>
      <c r="E11629" s="209"/>
      <c r="J11629" s="124"/>
    </row>
    <row r="11630" spans="3:10" x14ac:dyDescent="0.2">
      <c r="C11630" s="209"/>
      <c r="D11630" s="209"/>
      <c r="E11630" s="209"/>
      <c r="J11630" s="124"/>
    </row>
    <row r="11631" spans="3:10" x14ac:dyDescent="0.2">
      <c r="C11631" s="209"/>
      <c r="D11631" s="209"/>
      <c r="E11631" s="209"/>
      <c r="J11631" s="124"/>
    </row>
    <row r="11632" spans="3:10" x14ac:dyDescent="0.2">
      <c r="C11632" s="209"/>
      <c r="D11632" s="209"/>
      <c r="E11632" s="209"/>
      <c r="J11632" s="124"/>
    </row>
    <row r="11633" spans="3:10" x14ac:dyDescent="0.2">
      <c r="C11633" s="209"/>
      <c r="D11633" s="209"/>
      <c r="E11633" s="209"/>
      <c r="J11633" s="124"/>
    </row>
    <row r="11634" spans="3:10" x14ac:dyDescent="0.2">
      <c r="C11634" s="209"/>
      <c r="D11634" s="209"/>
      <c r="E11634" s="209"/>
      <c r="J11634" s="124"/>
    </row>
    <row r="11635" spans="3:10" x14ac:dyDescent="0.2">
      <c r="C11635" s="209"/>
      <c r="D11635" s="209"/>
      <c r="E11635" s="209"/>
      <c r="J11635" s="124"/>
    </row>
    <row r="11636" spans="3:10" x14ac:dyDescent="0.2">
      <c r="C11636" s="209"/>
      <c r="D11636" s="209"/>
      <c r="E11636" s="209"/>
      <c r="J11636" s="124"/>
    </row>
    <row r="11637" spans="3:10" x14ac:dyDescent="0.2">
      <c r="C11637" s="209"/>
      <c r="D11637" s="209"/>
      <c r="E11637" s="209"/>
      <c r="J11637" s="124"/>
    </row>
    <row r="11638" spans="3:10" x14ac:dyDescent="0.2">
      <c r="C11638" s="209"/>
      <c r="D11638" s="209"/>
      <c r="E11638" s="209"/>
      <c r="J11638" s="124"/>
    </row>
    <row r="11639" spans="3:10" x14ac:dyDescent="0.2">
      <c r="C11639" s="209"/>
      <c r="D11639" s="209"/>
      <c r="E11639" s="209"/>
      <c r="J11639" s="124"/>
    </row>
    <row r="11640" spans="3:10" x14ac:dyDescent="0.2">
      <c r="C11640" s="209"/>
      <c r="D11640" s="209"/>
      <c r="E11640" s="209"/>
      <c r="J11640" s="124"/>
    </row>
    <row r="11641" spans="3:10" x14ac:dyDescent="0.2">
      <c r="C11641" s="209"/>
      <c r="D11641" s="209"/>
      <c r="E11641" s="209"/>
      <c r="J11641" s="124"/>
    </row>
    <row r="11642" spans="3:10" x14ac:dyDescent="0.2">
      <c r="C11642" s="209"/>
      <c r="D11642" s="209"/>
      <c r="E11642" s="209"/>
      <c r="J11642" s="124"/>
    </row>
    <row r="11643" spans="3:10" x14ac:dyDescent="0.2">
      <c r="C11643" s="209"/>
      <c r="D11643" s="209"/>
      <c r="E11643" s="209"/>
      <c r="J11643" s="124"/>
    </row>
    <row r="11644" spans="3:10" x14ac:dyDescent="0.2">
      <c r="C11644" s="209"/>
      <c r="D11644" s="209"/>
      <c r="E11644" s="209"/>
      <c r="J11644" s="124"/>
    </row>
    <row r="11645" spans="3:10" x14ac:dyDescent="0.2">
      <c r="C11645" s="209"/>
      <c r="D11645" s="209"/>
      <c r="E11645" s="209"/>
      <c r="J11645" s="124"/>
    </row>
    <row r="11646" spans="3:10" x14ac:dyDescent="0.2">
      <c r="C11646" s="209"/>
      <c r="D11646" s="209"/>
      <c r="E11646" s="209"/>
      <c r="J11646" s="124"/>
    </row>
    <row r="11647" spans="3:10" x14ac:dyDescent="0.2">
      <c r="C11647" s="209"/>
      <c r="D11647" s="209"/>
      <c r="E11647" s="209"/>
      <c r="J11647" s="124"/>
    </row>
    <row r="11648" spans="3:10" x14ac:dyDescent="0.2">
      <c r="C11648" s="209"/>
      <c r="D11648" s="209"/>
      <c r="E11648" s="209"/>
      <c r="J11648" s="124"/>
    </row>
    <row r="11649" spans="3:10" x14ac:dyDescent="0.2">
      <c r="C11649" s="209"/>
      <c r="D11649" s="209"/>
      <c r="E11649" s="209"/>
      <c r="J11649" s="124"/>
    </row>
    <row r="11650" spans="3:10" x14ac:dyDescent="0.2">
      <c r="C11650" s="209"/>
      <c r="D11650" s="209"/>
      <c r="E11650" s="209"/>
      <c r="J11650" s="124"/>
    </row>
    <row r="11651" spans="3:10" x14ac:dyDescent="0.2">
      <c r="C11651" s="209"/>
      <c r="D11651" s="209"/>
      <c r="E11651" s="209"/>
      <c r="J11651" s="124"/>
    </row>
    <row r="11652" spans="3:10" x14ac:dyDescent="0.2">
      <c r="C11652" s="209"/>
      <c r="D11652" s="209"/>
      <c r="E11652" s="209"/>
      <c r="J11652" s="124"/>
    </row>
    <row r="11653" spans="3:10" x14ac:dyDescent="0.2">
      <c r="C11653" s="209"/>
      <c r="D11653" s="209"/>
      <c r="E11653" s="209"/>
      <c r="J11653" s="124"/>
    </row>
    <row r="11654" spans="3:10" x14ac:dyDescent="0.2">
      <c r="C11654" s="209"/>
      <c r="D11654" s="209"/>
      <c r="E11654" s="209"/>
      <c r="J11654" s="124"/>
    </row>
    <row r="11655" spans="3:10" x14ac:dyDescent="0.2">
      <c r="C11655" s="209"/>
      <c r="D11655" s="209"/>
      <c r="E11655" s="209"/>
      <c r="J11655" s="124"/>
    </row>
    <row r="11656" spans="3:10" x14ac:dyDescent="0.2">
      <c r="C11656" s="209"/>
      <c r="D11656" s="209"/>
      <c r="E11656" s="209"/>
      <c r="J11656" s="124"/>
    </row>
    <row r="11657" spans="3:10" x14ac:dyDescent="0.2">
      <c r="C11657" s="209"/>
      <c r="D11657" s="209"/>
      <c r="E11657" s="209"/>
      <c r="J11657" s="124"/>
    </row>
    <row r="11658" spans="3:10" x14ac:dyDescent="0.2">
      <c r="C11658" s="209"/>
      <c r="D11658" s="209"/>
      <c r="E11658" s="209"/>
      <c r="J11658" s="124"/>
    </row>
    <row r="11659" spans="3:10" x14ac:dyDescent="0.2">
      <c r="C11659" s="209"/>
      <c r="D11659" s="209"/>
      <c r="E11659" s="209"/>
      <c r="J11659" s="124"/>
    </row>
    <row r="11660" spans="3:10" x14ac:dyDescent="0.2">
      <c r="C11660" s="209"/>
      <c r="D11660" s="209"/>
      <c r="E11660" s="209"/>
      <c r="J11660" s="124"/>
    </row>
    <row r="11661" spans="3:10" x14ac:dyDescent="0.2">
      <c r="C11661" s="209"/>
      <c r="D11661" s="209"/>
      <c r="E11661" s="209"/>
      <c r="J11661" s="124"/>
    </row>
    <row r="11662" spans="3:10" x14ac:dyDescent="0.2">
      <c r="C11662" s="209"/>
      <c r="D11662" s="209"/>
      <c r="E11662" s="209"/>
      <c r="J11662" s="124"/>
    </row>
    <row r="11663" spans="3:10" x14ac:dyDescent="0.2">
      <c r="C11663" s="209"/>
      <c r="D11663" s="209"/>
      <c r="E11663" s="209"/>
      <c r="J11663" s="124"/>
    </row>
    <row r="11664" spans="3:10" x14ac:dyDescent="0.2">
      <c r="C11664" s="209"/>
      <c r="D11664" s="209"/>
      <c r="E11664" s="209"/>
      <c r="J11664" s="124"/>
    </row>
    <row r="11665" spans="3:10" x14ac:dyDescent="0.2">
      <c r="C11665" s="209"/>
      <c r="D11665" s="209"/>
      <c r="E11665" s="209"/>
      <c r="J11665" s="124"/>
    </row>
    <row r="11666" spans="3:10" x14ac:dyDescent="0.2">
      <c r="C11666" s="209"/>
      <c r="D11666" s="209"/>
      <c r="E11666" s="209"/>
      <c r="J11666" s="124"/>
    </row>
    <row r="11667" spans="3:10" x14ac:dyDescent="0.2">
      <c r="C11667" s="209"/>
      <c r="D11667" s="209"/>
      <c r="E11667" s="209"/>
      <c r="J11667" s="124"/>
    </row>
    <row r="11668" spans="3:10" x14ac:dyDescent="0.2">
      <c r="C11668" s="209"/>
      <c r="D11668" s="209"/>
      <c r="E11668" s="209"/>
      <c r="J11668" s="124"/>
    </row>
    <row r="11669" spans="3:10" x14ac:dyDescent="0.2">
      <c r="C11669" s="209"/>
      <c r="D11669" s="209"/>
      <c r="E11669" s="209"/>
      <c r="J11669" s="124"/>
    </row>
    <row r="11670" spans="3:10" x14ac:dyDescent="0.2">
      <c r="C11670" s="209"/>
      <c r="D11670" s="209"/>
      <c r="E11670" s="209"/>
      <c r="J11670" s="124"/>
    </row>
    <row r="11671" spans="3:10" x14ac:dyDescent="0.2">
      <c r="C11671" s="209"/>
      <c r="D11671" s="209"/>
      <c r="E11671" s="209"/>
      <c r="J11671" s="124"/>
    </row>
    <row r="11672" spans="3:10" x14ac:dyDescent="0.2">
      <c r="C11672" s="209"/>
      <c r="D11672" s="209"/>
      <c r="E11672" s="209"/>
      <c r="J11672" s="124"/>
    </row>
    <row r="11673" spans="3:10" x14ac:dyDescent="0.2">
      <c r="C11673" s="209"/>
      <c r="D11673" s="209"/>
      <c r="E11673" s="209"/>
      <c r="J11673" s="124"/>
    </row>
    <row r="11674" spans="3:10" x14ac:dyDescent="0.2">
      <c r="C11674" s="209"/>
      <c r="D11674" s="209"/>
      <c r="E11674" s="209"/>
      <c r="J11674" s="124"/>
    </row>
    <row r="11675" spans="3:10" x14ac:dyDescent="0.2">
      <c r="C11675" s="209"/>
      <c r="D11675" s="209"/>
      <c r="E11675" s="209"/>
      <c r="J11675" s="124"/>
    </row>
    <row r="11676" spans="3:10" x14ac:dyDescent="0.2">
      <c r="C11676" s="209"/>
      <c r="D11676" s="209"/>
      <c r="E11676" s="209"/>
      <c r="J11676" s="124"/>
    </row>
    <row r="11677" spans="3:10" x14ac:dyDescent="0.2">
      <c r="C11677" s="209"/>
      <c r="D11677" s="209"/>
      <c r="E11677" s="209"/>
      <c r="J11677" s="124"/>
    </row>
    <row r="11678" spans="3:10" x14ac:dyDescent="0.2">
      <c r="C11678" s="209"/>
      <c r="D11678" s="209"/>
      <c r="E11678" s="209"/>
      <c r="J11678" s="124"/>
    </row>
    <row r="11679" spans="3:10" x14ac:dyDescent="0.2">
      <c r="C11679" s="209"/>
      <c r="D11679" s="209"/>
      <c r="E11679" s="209"/>
      <c r="J11679" s="124"/>
    </row>
    <row r="11680" spans="3:10" x14ac:dyDescent="0.2">
      <c r="C11680" s="209"/>
      <c r="D11680" s="209"/>
      <c r="E11680" s="209"/>
      <c r="J11680" s="124"/>
    </row>
    <row r="11681" spans="3:10" x14ac:dyDescent="0.2">
      <c r="C11681" s="209"/>
      <c r="D11681" s="209"/>
      <c r="E11681" s="209"/>
      <c r="J11681" s="124"/>
    </row>
    <row r="11682" spans="3:10" x14ac:dyDescent="0.2">
      <c r="C11682" s="209"/>
      <c r="D11682" s="209"/>
      <c r="E11682" s="209"/>
      <c r="J11682" s="124"/>
    </row>
    <row r="11683" spans="3:10" x14ac:dyDescent="0.2">
      <c r="C11683" s="209"/>
      <c r="D11683" s="209"/>
      <c r="E11683" s="209"/>
      <c r="J11683" s="124"/>
    </row>
    <row r="11684" spans="3:10" x14ac:dyDescent="0.2">
      <c r="C11684" s="209"/>
      <c r="D11684" s="209"/>
      <c r="E11684" s="209"/>
      <c r="J11684" s="124"/>
    </row>
    <row r="11685" spans="3:10" x14ac:dyDescent="0.2">
      <c r="C11685" s="209"/>
      <c r="D11685" s="209"/>
      <c r="E11685" s="209"/>
      <c r="J11685" s="124"/>
    </row>
    <row r="11686" spans="3:10" x14ac:dyDescent="0.2">
      <c r="C11686" s="209"/>
      <c r="D11686" s="209"/>
      <c r="E11686" s="209"/>
      <c r="J11686" s="124"/>
    </row>
    <row r="11687" spans="3:10" x14ac:dyDescent="0.2">
      <c r="C11687" s="209"/>
      <c r="D11687" s="209"/>
      <c r="E11687" s="209"/>
      <c r="J11687" s="124"/>
    </row>
    <row r="11688" spans="3:10" x14ac:dyDescent="0.2">
      <c r="C11688" s="209"/>
      <c r="D11688" s="209"/>
      <c r="E11688" s="209"/>
      <c r="J11688" s="124"/>
    </row>
    <row r="11689" spans="3:10" x14ac:dyDescent="0.2">
      <c r="C11689" s="209"/>
      <c r="D11689" s="209"/>
      <c r="E11689" s="209"/>
      <c r="J11689" s="124"/>
    </row>
    <row r="11690" spans="3:10" x14ac:dyDescent="0.2">
      <c r="C11690" s="209"/>
      <c r="D11690" s="209"/>
      <c r="E11690" s="209"/>
      <c r="J11690" s="124"/>
    </row>
    <row r="11691" spans="3:10" x14ac:dyDescent="0.2">
      <c r="C11691" s="209"/>
      <c r="D11691" s="209"/>
      <c r="E11691" s="209"/>
      <c r="J11691" s="124"/>
    </row>
    <row r="11692" spans="3:10" x14ac:dyDescent="0.2">
      <c r="C11692" s="209"/>
      <c r="D11692" s="209"/>
      <c r="E11692" s="209"/>
      <c r="J11692" s="124"/>
    </row>
    <row r="11693" spans="3:10" x14ac:dyDescent="0.2">
      <c r="C11693" s="209"/>
      <c r="D11693" s="209"/>
      <c r="E11693" s="209"/>
      <c r="J11693" s="124"/>
    </row>
    <row r="11694" spans="3:10" x14ac:dyDescent="0.2">
      <c r="C11694" s="209"/>
      <c r="D11694" s="209"/>
      <c r="E11694" s="209"/>
      <c r="J11694" s="124"/>
    </row>
    <row r="11695" spans="3:10" x14ac:dyDescent="0.2">
      <c r="C11695" s="209"/>
      <c r="D11695" s="209"/>
      <c r="E11695" s="209"/>
      <c r="J11695" s="124"/>
    </row>
    <row r="11696" spans="3:10" x14ac:dyDescent="0.2">
      <c r="C11696" s="209"/>
      <c r="D11696" s="209"/>
      <c r="E11696" s="209"/>
      <c r="J11696" s="124"/>
    </row>
    <row r="11697" spans="3:10" x14ac:dyDescent="0.2">
      <c r="C11697" s="209"/>
      <c r="D11697" s="209"/>
      <c r="E11697" s="209"/>
      <c r="J11697" s="124"/>
    </row>
    <row r="11698" spans="3:10" x14ac:dyDescent="0.2">
      <c r="C11698" s="209"/>
      <c r="D11698" s="209"/>
      <c r="E11698" s="209"/>
      <c r="J11698" s="124"/>
    </row>
    <row r="11699" spans="3:10" x14ac:dyDescent="0.2">
      <c r="C11699" s="209"/>
      <c r="D11699" s="209"/>
      <c r="E11699" s="209"/>
      <c r="J11699" s="124"/>
    </row>
    <row r="11700" spans="3:10" x14ac:dyDescent="0.2">
      <c r="C11700" s="209"/>
      <c r="D11700" s="209"/>
      <c r="E11700" s="209"/>
      <c r="J11700" s="124"/>
    </row>
    <row r="11701" spans="3:10" x14ac:dyDescent="0.2">
      <c r="C11701" s="209"/>
      <c r="D11701" s="209"/>
      <c r="E11701" s="209"/>
      <c r="J11701" s="124"/>
    </row>
    <row r="11702" spans="3:10" x14ac:dyDescent="0.2">
      <c r="C11702" s="209"/>
      <c r="D11702" s="209"/>
      <c r="E11702" s="209"/>
      <c r="J11702" s="124"/>
    </row>
    <row r="11703" spans="3:10" x14ac:dyDescent="0.2">
      <c r="C11703" s="209"/>
      <c r="D11703" s="209"/>
      <c r="E11703" s="209"/>
      <c r="J11703" s="124"/>
    </row>
    <row r="11704" spans="3:10" x14ac:dyDescent="0.2">
      <c r="C11704" s="209"/>
      <c r="D11704" s="209"/>
      <c r="E11704" s="209"/>
      <c r="J11704" s="124"/>
    </row>
    <row r="11705" spans="3:10" x14ac:dyDescent="0.2">
      <c r="C11705" s="209"/>
      <c r="D11705" s="209"/>
      <c r="E11705" s="209"/>
      <c r="J11705" s="124"/>
    </row>
    <row r="11706" spans="3:10" x14ac:dyDescent="0.2">
      <c r="C11706" s="209"/>
      <c r="D11706" s="209"/>
      <c r="E11706" s="209"/>
      <c r="J11706" s="124"/>
    </row>
    <row r="11707" spans="3:10" x14ac:dyDescent="0.2">
      <c r="C11707" s="209"/>
      <c r="D11707" s="209"/>
      <c r="E11707" s="209"/>
      <c r="J11707" s="124"/>
    </row>
    <row r="11708" spans="3:10" x14ac:dyDescent="0.2">
      <c r="C11708" s="209"/>
      <c r="D11708" s="209"/>
      <c r="E11708" s="209"/>
      <c r="J11708" s="124"/>
    </row>
    <row r="11709" spans="3:10" x14ac:dyDescent="0.2">
      <c r="C11709" s="209"/>
      <c r="D11709" s="209"/>
      <c r="E11709" s="209"/>
      <c r="J11709" s="124"/>
    </row>
    <row r="11710" spans="3:10" x14ac:dyDescent="0.2">
      <c r="C11710" s="209"/>
      <c r="D11710" s="209"/>
      <c r="E11710" s="209"/>
      <c r="J11710" s="124"/>
    </row>
    <row r="11711" spans="3:10" x14ac:dyDescent="0.2">
      <c r="C11711" s="209"/>
      <c r="D11711" s="209"/>
      <c r="E11711" s="209"/>
      <c r="J11711" s="124"/>
    </row>
    <row r="11712" spans="3:10" x14ac:dyDescent="0.2">
      <c r="C11712" s="209"/>
      <c r="D11712" s="209"/>
      <c r="E11712" s="209"/>
      <c r="J11712" s="124"/>
    </row>
    <row r="11713" spans="3:10" x14ac:dyDescent="0.2">
      <c r="C11713" s="209"/>
      <c r="D11713" s="209"/>
      <c r="E11713" s="209"/>
      <c r="J11713" s="124"/>
    </row>
    <row r="11714" spans="3:10" x14ac:dyDescent="0.2">
      <c r="C11714" s="209"/>
      <c r="D11714" s="209"/>
      <c r="E11714" s="209"/>
      <c r="J11714" s="124"/>
    </row>
    <row r="11715" spans="3:10" x14ac:dyDescent="0.2">
      <c r="C11715" s="209"/>
      <c r="D11715" s="209"/>
      <c r="E11715" s="209"/>
      <c r="J11715" s="124"/>
    </row>
    <row r="11716" spans="3:10" x14ac:dyDescent="0.2">
      <c r="C11716" s="209"/>
      <c r="D11716" s="209"/>
      <c r="E11716" s="209"/>
      <c r="J11716" s="124"/>
    </row>
    <row r="11717" spans="3:10" x14ac:dyDescent="0.2">
      <c r="C11717" s="209"/>
      <c r="D11717" s="209"/>
      <c r="E11717" s="209"/>
      <c r="J11717" s="124"/>
    </row>
    <row r="11718" spans="3:10" x14ac:dyDescent="0.2">
      <c r="C11718" s="209"/>
      <c r="D11718" s="209"/>
      <c r="E11718" s="209"/>
      <c r="J11718" s="124"/>
    </row>
    <row r="11719" spans="3:10" x14ac:dyDescent="0.2">
      <c r="C11719" s="209"/>
      <c r="D11719" s="209"/>
      <c r="E11719" s="209"/>
      <c r="J11719" s="124"/>
    </row>
    <row r="11720" spans="3:10" x14ac:dyDescent="0.2">
      <c r="C11720" s="209"/>
      <c r="D11720" s="209"/>
      <c r="E11720" s="209"/>
      <c r="J11720" s="124"/>
    </row>
    <row r="11721" spans="3:10" x14ac:dyDescent="0.2">
      <c r="C11721" s="209"/>
      <c r="D11721" s="209"/>
      <c r="E11721" s="209"/>
      <c r="J11721" s="124"/>
    </row>
    <row r="11722" spans="3:10" x14ac:dyDescent="0.2">
      <c r="C11722" s="209"/>
      <c r="D11722" s="209"/>
      <c r="E11722" s="209"/>
      <c r="J11722" s="124"/>
    </row>
    <row r="11723" spans="3:10" x14ac:dyDescent="0.2">
      <c r="C11723" s="209"/>
      <c r="D11723" s="209"/>
      <c r="E11723" s="209"/>
      <c r="J11723" s="124"/>
    </row>
    <row r="11724" spans="3:10" x14ac:dyDescent="0.2">
      <c r="C11724" s="209"/>
      <c r="D11724" s="209"/>
      <c r="E11724" s="209"/>
      <c r="J11724" s="124"/>
    </row>
    <row r="11725" spans="3:10" x14ac:dyDescent="0.2">
      <c r="C11725" s="209"/>
      <c r="D11725" s="209"/>
      <c r="E11725" s="209"/>
      <c r="J11725" s="124"/>
    </row>
    <row r="11726" spans="3:10" x14ac:dyDescent="0.2">
      <c r="C11726" s="209"/>
      <c r="D11726" s="209"/>
      <c r="E11726" s="209"/>
      <c r="J11726" s="124"/>
    </row>
    <row r="11727" spans="3:10" x14ac:dyDescent="0.2">
      <c r="C11727" s="209"/>
      <c r="D11727" s="209"/>
      <c r="E11727" s="209"/>
      <c r="J11727" s="124"/>
    </row>
    <row r="11728" spans="3:10" x14ac:dyDescent="0.2">
      <c r="C11728" s="209"/>
      <c r="D11728" s="209"/>
      <c r="E11728" s="209"/>
      <c r="J11728" s="124"/>
    </row>
    <row r="11729" spans="3:10" x14ac:dyDescent="0.2">
      <c r="C11729" s="209"/>
      <c r="D11729" s="209"/>
      <c r="E11729" s="209"/>
      <c r="J11729" s="124"/>
    </row>
    <row r="11730" spans="3:10" x14ac:dyDescent="0.2">
      <c r="C11730" s="209"/>
      <c r="D11730" s="209"/>
      <c r="E11730" s="209"/>
      <c r="J11730" s="124"/>
    </row>
    <row r="11731" spans="3:10" x14ac:dyDescent="0.2">
      <c r="C11731" s="209"/>
      <c r="D11731" s="209"/>
      <c r="E11731" s="209"/>
      <c r="J11731" s="124"/>
    </row>
    <row r="11732" spans="3:10" x14ac:dyDescent="0.2">
      <c r="C11732" s="209"/>
      <c r="D11732" s="209"/>
      <c r="E11732" s="209"/>
      <c r="J11732" s="124"/>
    </row>
    <row r="11733" spans="3:10" x14ac:dyDescent="0.2">
      <c r="C11733" s="209"/>
      <c r="D11733" s="209"/>
      <c r="E11733" s="209"/>
      <c r="J11733" s="124"/>
    </row>
    <row r="11734" spans="3:10" x14ac:dyDescent="0.2">
      <c r="C11734" s="209"/>
      <c r="D11734" s="209"/>
      <c r="E11734" s="209"/>
      <c r="J11734" s="124"/>
    </row>
    <row r="11735" spans="3:10" x14ac:dyDescent="0.2">
      <c r="C11735" s="209"/>
      <c r="D11735" s="209"/>
      <c r="E11735" s="209"/>
      <c r="J11735" s="124"/>
    </row>
    <row r="11736" spans="3:10" x14ac:dyDescent="0.2">
      <c r="C11736" s="209"/>
      <c r="D11736" s="209"/>
      <c r="E11736" s="209"/>
      <c r="J11736" s="124"/>
    </row>
    <row r="11737" spans="3:10" x14ac:dyDescent="0.2">
      <c r="C11737" s="209"/>
      <c r="D11737" s="209"/>
      <c r="E11737" s="209"/>
      <c r="J11737" s="124"/>
    </row>
    <row r="11738" spans="3:10" x14ac:dyDescent="0.2">
      <c r="C11738" s="209"/>
      <c r="D11738" s="209"/>
      <c r="E11738" s="209"/>
      <c r="J11738" s="124"/>
    </row>
    <row r="11739" spans="3:10" x14ac:dyDescent="0.2">
      <c r="C11739" s="209"/>
      <c r="D11739" s="209"/>
      <c r="E11739" s="209"/>
      <c r="J11739" s="124"/>
    </row>
    <row r="11740" spans="3:10" x14ac:dyDescent="0.2">
      <c r="C11740" s="209"/>
      <c r="D11740" s="209"/>
      <c r="E11740" s="209"/>
      <c r="J11740" s="124"/>
    </row>
    <row r="11741" spans="3:10" x14ac:dyDescent="0.2">
      <c r="C11741" s="209"/>
      <c r="D11741" s="209"/>
      <c r="E11741" s="209"/>
      <c r="J11741" s="124"/>
    </row>
    <row r="11742" spans="3:10" x14ac:dyDescent="0.2">
      <c r="C11742" s="209"/>
      <c r="D11742" s="209"/>
      <c r="E11742" s="209"/>
      <c r="J11742" s="124"/>
    </row>
    <row r="11743" spans="3:10" x14ac:dyDescent="0.2">
      <c r="C11743" s="209"/>
      <c r="D11743" s="209"/>
      <c r="E11743" s="209"/>
      <c r="J11743" s="124"/>
    </row>
    <row r="11744" spans="3:10" x14ac:dyDescent="0.2">
      <c r="C11744" s="209"/>
      <c r="D11744" s="209"/>
      <c r="E11744" s="209"/>
      <c r="J11744" s="124"/>
    </row>
    <row r="11745" spans="3:10" x14ac:dyDescent="0.2">
      <c r="C11745" s="209"/>
      <c r="D11745" s="209"/>
      <c r="E11745" s="209"/>
      <c r="J11745" s="124"/>
    </row>
    <row r="11746" spans="3:10" x14ac:dyDescent="0.2">
      <c r="C11746" s="209"/>
      <c r="D11746" s="209"/>
      <c r="E11746" s="209"/>
      <c r="J11746" s="124"/>
    </row>
    <row r="11747" spans="3:10" x14ac:dyDescent="0.2">
      <c r="C11747" s="209"/>
      <c r="D11747" s="209"/>
      <c r="E11747" s="209"/>
      <c r="J11747" s="124"/>
    </row>
    <row r="11748" spans="3:10" x14ac:dyDescent="0.2">
      <c r="C11748" s="209"/>
      <c r="D11748" s="209"/>
      <c r="E11748" s="209"/>
      <c r="J11748" s="124"/>
    </row>
    <row r="11749" spans="3:10" x14ac:dyDescent="0.2">
      <c r="C11749" s="209"/>
      <c r="D11749" s="209"/>
      <c r="E11749" s="209"/>
      <c r="J11749" s="124"/>
    </row>
    <row r="11750" spans="3:10" x14ac:dyDescent="0.2">
      <c r="C11750" s="209"/>
      <c r="D11750" s="209"/>
      <c r="E11750" s="209"/>
      <c r="J11750" s="124"/>
    </row>
    <row r="11751" spans="3:10" x14ac:dyDescent="0.2">
      <c r="C11751" s="209"/>
      <c r="D11751" s="209"/>
      <c r="E11751" s="209"/>
      <c r="J11751" s="124"/>
    </row>
    <row r="11752" spans="3:10" x14ac:dyDescent="0.2">
      <c r="C11752" s="209"/>
      <c r="D11752" s="209"/>
      <c r="E11752" s="209"/>
      <c r="J11752" s="124"/>
    </row>
    <row r="11753" spans="3:10" x14ac:dyDescent="0.2">
      <c r="C11753" s="209"/>
      <c r="D11753" s="209"/>
      <c r="E11753" s="209"/>
      <c r="J11753" s="124"/>
    </row>
    <row r="11754" spans="3:10" x14ac:dyDescent="0.2">
      <c r="C11754" s="209"/>
      <c r="D11754" s="209"/>
      <c r="E11754" s="209"/>
      <c r="J11754" s="124"/>
    </row>
    <row r="11755" spans="3:10" x14ac:dyDescent="0.2">
      <c r="C11755" s="209"/>
      <c r="D11755" s="209"/>
      <c r="E11755" s="209"/>
      <c r="J11755" s="124"/>
    </row>
    <row r="11756" spans="3:10" x14ac:dyDescent="0.2">
      <c r="C11756" s="209"/>
      <c r="D11756" s="209"/>
      <c r="E11756" s="209"/>
      <c r="J11756" s="124"/>
    </row>
    <row r="11757" spans="3:10" x14ac:dyDescent="0.2">
      <c r="C11757" s="209"/>
      <c r="D11757" s="209"/>
      <c r="E11757" s="209"/>
      <c r="J11757" s="124"/>
    </row>
    <row r="11758" spans="3:10" x14ac:dyDescent="0.2">
      <c r="C11758" s="209"/>
      <c r="D11758" s="209"/>
      <c r="E11758" s="209"/>
      <c r="J11758" s="124"/>
    </row>
    <row r="11759" spans="3:10" x14ac:dyDescent="0.2">
      <c r="C11759" s="209"/>
      <c r="D11759" s="209"/>
      <c r="E11759" s="209"/>
      <c r="J11759" s="124"/>
    </row>
    <row r="11760" spans="3:10" x14ac:dyDescent="0.2">
      <c r="C11760" s="209"/>
      <c r="D11760" s="209"/>
      <c r="E11760" s="209"/>
      <c r="J11760" s="124"/>
    </row>
    <row r="11761" spans="3:10" x14ac:dyDescent="0.2">
      <c r="C11761" s="209"/>
      <c r="D11761" s="209"/>
      <c r="E11761" s="209"/>
      <c r="J11761" s="124"/>
    </row>
    <row r="11762" spans="3:10" x14ac:dyDescent="0.2">
      <c r="C11762" s="209"/>
      <c r="D11762" s="209"/>
      <c r="E11762" s="209"/>
      <c r="J11762" s="124"/>
    </row>
    <row r="11763" spans="3:10" x14ac:dyDescent="0.2">
      <c r="C11763" s="209"/>
      <c r="D11763" s="209"/>
      <c r="E11763" s="209"/>
      <c r="J11763" s="124"/>
    </row>
    <row r="11764" spans="3:10" x14ac:dyDescent="0.2">
      <c r="C11764" s="209"/>
      <c r="D11764" s="209"/>
      <c r="E11764" s="209"/>
      <c r="J11764" s="124"/>
    </row>
    <row r="11765" spans="3:10" x14ac:dyDescent="0.2">
      <c r="C11765" s="209"/>
      <c r="D11765" s="209"/>
      <c r="E11765" s="209"/>
      <c r="J11765" s="124"/>
    </row>
    <row r="11766" spans="3:10" x14ac:dyDescent="0.2">
      <c r="C11766" s="209"/>
      <c r="D11766" s="209"/>
      <c r="E11766" s="209"/>
      <c r="J11766" s="124"/>
    </row>
    <row r="11767" spans="3:10" x14ac:dyDescent="0.2">
      <c r="C11767" s="209"/>
      <c r="D11767" s="209"/>
      <c r="E11767" s="209"/>
      <c r="J11767" s="124"/>
    </row>
    <row r="11768" spans="3:10" x14ac:dyDescent="0.2">
      <c r="C11768" s="209"/>
      <c r="D11768" s="209"/>
      <c r="E11768" s="209"/>
      <c r="J11768" s="124"/>
    </row>
    <row r="11769" spans="3:10" x14ac:dyDescent="0.2">
      <c r="C11769" s="209"/>
      <c r="D11769" s="209"/>
      <c r="E11769" s="209"/>
      <c r="J11769" s="124"/>
    </row>
    <row r="11770" spans="3:10" x14ac:dyDescent="0.2">
      <c r="C11770" s="209"/>
      <c r="D11770" s="209"/>
      <c r="E11770" s="209"/>
      <c r="J11770" s="124"/>
    </row>
    <row r="11771" spans="3:10" x14ac:dyDescent="0.2">
      <c r="C11771" s="209"/>
      <c r="D11771" s="209"/>
      <c r="E11771" s="209"/>
      <c r="J11771" s="124"/>
    </row>
    <row r="11772" spans="3:10" x14ac:dyDescent="0.2">
      <c r="C11772" s="209"/>
      <c r="D11772" s="209"/>
      <c r="E11772" s="209"/>
      <c r="J11772" s="124"/>
    </row>
    <row r="11773" spans="3:10" x14ac:dyDescent="0.2">
      <c r="C11773" s="209"/>
      <c r="D11773" s="209"/>
      <c r="E11773" s="209"/>
      <c r="J11773" s="124"/>
    </row>
    <row r="11774" spans="3:10" x14ac:dyDescent="0.2">
      <c r="C11774" s="209"/>
      <c r="D11774" s="209"/>
      <c r="E11774" s="209"/>
      <c r="J11774" s="124"/>
    </row>
    <row r="11775" spans="3:10" x14ac:dyDescent="0.2">
      <c r="C11775" s="209"/>
      <c r="D11775" s="209"/>
      <c r="E11775" s="209"/>
      <c r="J11775" s="124"/>
    </row>
    <row r="11776" spans="3:10" x14ac:dyDescent="0.2">
      <c r="C11776" s="209"/>
      <c r="D11776" s="209"/>
      <c r="E11776" s="209"/>
      <c r="J11776" s="124"/>
    </row>
    <row r="11777" spans="3:10" x14ac:dyDescent="0.2">
      <c r="C11777" s="209"/>
      <c r="D11777" s="209"/>
      <c r="E11777" s="209"/>
      <c r="J11777" s="124"/>
    </row>
    <row r="11778" spans="3:10" x14ac:dyDescent="0.2">
      <c r="C11778" s="209"/>
      <c r="D11778" s="209"/>
      <c r="E11778" s="209"/>
      <c r="J11778" s="124"/>
    </row>
    <row r="11779" spans="3:10" x14ac:dyDescent="0.2">
      <c r="C11779" s="209"/>
      <c r="D11779" s="209"/>
      <c r="E11779" s="209"/>
      <c r="J11779" s="124"/>
    </row>
    <row r="11780" spans="3:10" x14ac:dyDescent="0.2">
      <c r="C11780" s="209"/>
      <c r="D11780" s="209"/>
      <c r="E11780" s="209"/>
      <c r="J11780" s="124"/>
    </row>
    <row r="11781" spans="3:10" x14ac:dyDescent="0.2">
      <c r="C11781" s="209"/>
      <c r="D11781" s="209"/>
      <c r="E11781" s="209"/>
      <c r="J11781" s="124"/>
    </row>
    <row r="11782" spans="3:10" x14ac:dyDescent="0.2">
      <c r="C11782" s="209"/>
      <c r="D11782" s="209"/>
      <c r="E11782" s="209"/>
      <c r="J11782" s="124"/>
    </row>
    <row r="11783" spans="3:10" x14ac:dyDescent="0.2">
      <c r="C11783" s="209"/>
      <c r="D11783" s="209"/>
      <c r="E11783" s="209"/>
      <c r="J11783" s="124"/>
    </row>
    <row r="11784" spans="3:10" x14ac:dyDescent="0.2">
      <c r="C11784" s="209"/>
      <c r="D11784" s="209"/>
      <c r="E11784" s="209"/>
      <c r="J11784" s="124"/>
    </row>
    <row r="11785" spans="3:10" x14ac:dyDescent="0.2">
      <c r="C11785" s="209"/>
      <c r="D11785" s="209"/>
      <c r="E11785" s="209"/>
      <c r="J11785" s="124"/>
    </row>
    <row r="11786" spans="3:10" x14ac:dyDescent="0.2">
      <c r="C11786" s="209"/>
      <c r="D11786" s="209"/>
      <c r="E11786" s="209"/>
      <c r="J11786" s="124"/>
    </row>
    <row r="11787" spans="3:10" x14ac:dyDescent="0.2">
      <c r="C11787" s="209"/>
      <c r="D11787" s="209"/>
      <c r="E11787" s="209"/>
      <c r="J11787" s="124"/>
    </row>
    <row r="11788" spans="3:10" x14ac:dyDescent="0.2">
      <c r="C11788" s="209"/>
      <c r="D11788" s="209"/>
      <c r="E11788" s="209"/>
      <c r="J11788" s="124"/>
    </row>
    <row r="11789" spans="3:10" x14ac:dyDescent="0.2">
      <c r="C11789" s="209"/>
      <c r="D11789" s="209"/>
      <c r="E11789" s="209"/>
      <c r="J11789" s="124"/>
    </row>
    <row r="11790" spans="3:10" x14ac:dyDescent="0.2">
      <c r="C11790" s="209"/>
      <c r="D11790" s="209"/>
      <c r="E11790" s="209"/>
      <c r="J11790" s="124"/>
    </row>
    <row r="11791" spans="3:10" x14ac:dyDescent="0.2">
      <c r="C11791" s="209"/>
      <c r="D11791" s="209"/>
      <c r="E11791" s="209"/>
      <c r="J11791" s="124"/>
    </row>
    <row r="11792" spans="3:10" x14ac:dyDescent="0.2">
      <c r="C11792" s="209"/>
      <c r="D11792" s="209"/>
      <c r="E11792" s="209"/>
      <c r="J11792" s="124"/>
    </row>
    <row r="11793" spans="3:10" x14ac:dyDescent="0.2">
      <c r="C11793" s="209"/>
      <c r="D11793" s="209"/>
      <c r="E11793" s="209"/>
      <c r="J11793" s="124"/>
    </row>
    <row r="11794" spans="3:10" x14ac:dyDescent="0.2">
      <c r="C11794" s="209"/>
      <c r="D11794" s="209"/>
      <c r="E11794" s="209"/>
      <c r="J11794" s="124"/>
    </row>
    <row r="11795" spans="3:10" x14ac:dyDescent="0.2">
      <c r="C11795" s="209"/>
      <c r="D11795" s="209"/>
      <c r="E11795" s="209"/>
      <c r="J11795" s="124"/>
    </row>
    <row r="11796" spans="3:10" x14ac:dyDescent="0.2">
      <c r="C11796" s="209"/>
      <c r="D11796" s="209"/>
      <c r="E11796" s="209"/>
      <c r="J11796" s="124"/>
    </row>
    <row r="11797" spans="3:10" x14ac:dyDescent="0.2">
      <c r="C11797" s="209"/>
      <c r="D11797" s="209"/>
      <c r="E11797" s="209"/>
      <c r="J11797" s="124"/>
    </row>
    <row r="11798" spans="3:10" x14ac:dyDescent="0.2">
      <c r="C11798" s="209"/>
      <c r="D11798" s="209"/>
      <c r="E11798" s="209"/>
      <c r="J11798" s="124"/>
    </row>
    <row r="11799" spans="3:10" x14ac:dyDescent="0.2">
      <c r="C11799" s="209"/>
      <c r="D11799" s="209"/>
      <c r="E11799" s="209"/>
      <c r="J11799" s="124"/>
    </row>
    <row r="11800" spans="3:10" x14ac:dyDescent="0.2">
      <c r="C11800" s="209"/>
      <c r="D11800" s="209"/>
      <c r="E11800" s="209"/>
      <c r="J11800" s="124"/>
    </row>
    <row r="11801" spans="3:10" x14ac:dyDescent="0.2">
      <c r="C11801" s="209"/>
      <c r="D11801" s="209"/>
      <c r="E11801" s="209"/>
      <c r="J11801" s="124"/>
    </row>
    <row r="11802" spans="3:10" x14ac:dyDescent="0.2">
      <c r="C11802" s="209"/>
      <c r="D11802" s="209"/>
      <c r="E11802" s="209"/>
      <c r="J11802" s="124"/>
    </row>
    <row r="11803" spans="3:10" x14ac:dyDescent="0.2">
      <c r="C11803" s="209"/>
      <c r="D11803" s="209"/>
      <c r="E11803" s="209"/>
      <c r="J11803" s="124"/>
    </row>
    <row r="11804" spans="3:10" x14ac:dyDescent="0.2">
      <c r="C11804" s="209"/>
      <c r="D11804" s="209"/>
      <c r="E11804" s="209"/>
      <c r="J11804" s="124"/>
    </row>
    <row r="11805" spans="3:10" x14ac:dyDescent="0.2">
      <c r="C11805" s="209"/>
      <c r="D11805" s="209"/>
      <c r="E11805" s="209"/>
      <c r="J11805" s="124"/>
    </row>
    <row r="11806" spans="3:10" x14ac:dyDescent="0.2">
      <c r="C11806" s="209"/>
      <c r="D11806" s="209"/>
      <c r="E11806" s="209"/>
      <c r="J11806" s="124"/>
    </row>
    <row r="11807" spans="3:10" x14ac:dyDescent="0.2">
      <c r="C11807" s="209"/>
      <c r="D11807" s="209"/>
      <c r="E11807" s="209"/>
      <c r="J11807" s="124"/>
    </row>
    <row r="11808" spans="3:10" x14ac:dyDescent="0.2">
      <c r="C11808" s="209"/>
      <c r="D11808" s="209"/>
      <c r="E11808" s="209"/>
      <c r="J11808" s="124"/>
    </row>
    <row r="11809" spans="3:10" x14ac:dyDescent="0.2">
      <c r="C11809" s="209"/>
      <c r="D11809" s="209"/>
      <c r="E11809" s="209"/>
      <c r="J11809" s="124"/>
    </row>
    <row r="11810" spans="3:10" x14ac:dyDescent="0.2">
      <c r="C11810" s="209"/>
      <c r="D11810" s="209"/>
      <c r="E11810" s="209"/>
      <c r="J11810" s="124"/>
    </row>
    <row r="11811" spans="3:10" x14ac:dyDescent="0.2">
      <c r="C11811" s="209"/>
      <c r="D11811" s="209"/>
      <c r="E11811" s="209"/>
      <c r="J11811" s="124"/>
    </row>
    <row r="11812" spans="3:10" x14ac:dyDescent="0.2">
      <c r="C11812" s="209"/>
      <c r="D11812" s="209"/>
      <c r="E11812" s="209"/>
      <c r="J11812" s="124"/>
    </row>
    <row r="11813" spans="3:10" x14ac:dyDescent="0.2">
      <c r="C11813" s="209"/>
      <c r="D11813" s="209"/>
      <c r="E11813" s="209"/>
      <c r="J11813" s="124"/>
    </row>
    <row r="11814" spans="3:10" x14ac:dyDescent="0.2">
      <c r="C11814" s="209"/>
      <c r="D11814" s="209"/>
      <c r="E11814" s="209"/>
      <c r="J11814" s="124"/>
    </row>
    <row r="11815" spans="3:10" x14ac:dyDescent="0.2">
      <c r="C11815" s="209"/>
      <c r="D11815" s="209"/>
      <c r="E11815" s="209"/>
      <c r="J11815" s="124"/>
    </row>
    <row r="11816" spans="3:10" x14ac:dyDescent="0.2">
      <c r="C11816" s="209"/>
      <c r="D11816" s="209"/>
      <c r="E11816" s="209"/>
      <c r="J11816" s="124"/>
    </row>
    <row r="11817" spans="3:10" x14ac:dyDescent="0.2">
      <c r="C11817" s="209"/>
      <c r="D11817" s="209"/>
      <c r="E11817" s="209"/>
      <c r="J11817" s="124"/>
    </row>
    <row r="11818" spans="3:10" x14ac:dyDescent="0.2">
      <c r="C11818" s="209"/>
      <c r="D11818" s="209"/>
      <c r="E11818" s="209"/>
      <c r="J11818" s="124"/>
    </row>
    <row r="11819" spans="3:10" x14ac:dyDescent="0.2">
      <c r="C11819" s="209"/>
      <c r="D11819" s="209"/>
      <c r="E11819" s="209"/>
      <c r="J11819" s="124"/>
    </row>
    <row r="11820" spans="3:10" x14ac:dyDescent="0.2">
      <c r="C11820" s="209"/>
      <c r="D11820" s="209"/>
      <c r="E11820" s="209"/>
      <c r="J11820" s="124"/>
    </row>
    <row r="11821" spans="3:10" x14ac:dyDescent="0.2">
      <c r="C11821" s="209"/>
      <c r="D11821" s="209"/>
      <c r="E11821" s="209"/>
      <c r="J11821" s="124"/>
    </row>
    <row r="11822" spans="3:10" x14ac:dyDescent="0.2">
      <c r="C11822" s="209"/>
      <c r="D11822" s="209"/>
      <c r="E11822" s="209"/>
      <c r="J11822" s="124"/>
    </row>
    <row r="11823" spans="3:10" x14ac:dyDescent="0.2">
      <c r="C11823" s="209"/>
      <c r="D11823" s="209"/>
      <c r="E11823" s="209"/>
      <c r="J11823" s="124"/>
    </row>
    <row r="11824" spans="3:10" x14ac:dyDescent="0.2">
      <c r="C11824" s="209"/>
      <c r="D11824" s="209"/>
      <c r="E11824" s="209"/>
      <c r="J11824" s="124"/>
    </row>
    <row r="11825" spans="3:10" x14ac:dyDescent="0.2">
      <c r="C11825" s="209"/>
      <c r="D11825" s="209"/>
      <c r="E11825" s="209"/>
      <c r="J11825" s="124"/>
    </row>
    <row r="11826" spans="3:10" x14ac:dyDescent="0.2">
      <c r="C11826" s="209"/>
      <c r="D11826" s="209"/>
      <c r="E11826" s="209"/>
      <c r="J11826" s="124"/>
    </row>
    <row r="11827" spans="3:10" x14ac:dyDescent="0.2">
      <c r="C11827" s="209"/>
      <c r="D11827" s="209"/>
      <c r="E11827" s="209"/>
      <c r="J11827" s="124"/>
    </row>
    <row r="11828" spans="3:10" x14ac:dyDescent="0.2">
      <c r="C11828" s="209"/>
      <c r="D11828" s="209"/>
      <c r="E11828" s="209"/>
      <c r="J11828" s="124"/>
    </row>
    <row r="11829" spans="3:10" x14ac:dyDescent="0.2">
      <c r="C11829" s="209"/>
      <c r="D11829" s="209"/>
      <c r="E11829" s="209"/>
      <c r="J11829" s="124"/>
    </row>
    <row r="11830" spans="3:10" x14ac:dyDescent="0.2">
      <c r="C11830" s="209"/>
      <c r="D11830" s="209"/>
      <c r="E11830" s="209"/>
      <c r="J11830" s="124"/>
    </row>
    <row r="11831" spans="3:10" x14ac:dyDescent="0.2">
      <c r="C11831" s="209"/>
      <c r="D11831" s="209"/>
      <c r="E11831" s="209"/>
      <c r="J11831" s="124"/>
    </row>
    <row r="11832" spans="3:10" x14ac:dyDescent="0.2">
      <c r="C11832" s="209"/>
      <c r="D11832" s="209"/>
      <c r="E11832" s="209"/>
      <c r="J11832" s="124"/>
    </row>
    <row r="11833" spans="3:10" x14ac:dyDescent="0.2">
      <c r="C11833" s="209"/>
      <c r="D11833" s="209"/>
      <c r="E11833" s="209"/>
      <c r="J11833" s="124"/>
    </row>
    <row r="11834" spans="3:10" x14ac:dyDescent="0.2">
      <c r="C11834" s="209"/>
      <c r="D11834" s="209"/>
      <c r="E11834" s="209"/>
      <c r="J11834" s="124"/>
    </row>
    <row r="11835" spans="3:10" x14ac:dyDescent="0.2">
      <c r="C11835" s="209"/>
      <c r="D11835" s="209"/>
      <c r="E11835" s="209"/>
      <c r="J11835" s="124"/>
    </row>
    <row r="11836" spans="3:10" x14ac:dyDescent="0.2">
      <c r="C11836" s="209"/>
      <c r="D11836" s="209"/>
      <c r="E11836" s="209"/>
      <c r="J11836" s="124"/>
    </row>
    <row r="11837" spans="3:10" x14ac:dyDescent="0.2">
      <c r="C11837" s="209"/>
      <c r="D11837" s="209"/>
      <c r="E11837" s="209"/>
      <c r="J11837" s="124"/>
    </row>
    <row r="11838" spans="3:10" x14ac:dyDescent="0.2">
      <c r="C11838" s="209"/>
      <c r="D11838" s="209"/>
      <c r="E11838" s="209"/>
      <c r="J11838" s="124"/>
    </row>
    <row r="11839" spans="3:10" x14ac:dyDescent="0.2">
      <c r="C11839" s="209"/>
      <c r="D11839" s="209"/>
      <c r="E11839" s="209"/>
      <c r="J11839" s="124"/>
    </row>
    <row r="11840" spans="3:10" x14ac:dyDescent="0.2">
      <c r="C11840" s="209"/>
      <c r="D11840" s="209"/>
      <c r="E11840" s="209"/>
      <c r="J11840" s="124"/>
    </row>
    <row r="11841" spans="3:10" x14ac:dyDescent="0.2">
      <c r="C11841" s="209"/>
      <c r="D11841" s="209"/>
      <c r="E11841" s="209"/>
      <c r="J11841" s="124"/>
    </row>
    <row r="11842" spans="3:10" x14ac:dyDescent="0.2">
      <c r="C11842" s="209"/>
      <c r="D11842" s="209"/>
      <c r="E11842" s="209"/>
      <c r="J11842" s="124"/>
    </row>
    <row r="11843" spans="3:10" x14ac:dyDescent="0.2">
      <c r="C11843" s="209"/>
      <c r="D11843" s="209"/>
      <c r="E11843" s="209"/>
      <c r="J11843" s="124"/>
    </row>
    <row r="11844" spans="3:10" x14ac:dyDescent="0.2">
      <c r="C11844" s="209"/>
      <c r="D11844" s="209"/>
      <c r="E11844" s="209"/>
      <c r="J11844" s="124"/>
    </row>
    <row r="11845" spans="3:10" x14ac:dyDescent="0.2">
      <c r="C11845" s="209"/>
      <c r="D11845" s="209"/>
      <c r="E11845" s="209"/>
      <c r="J11845" s="124"/>
    </row>
    <row r="11846" spans="3:10" x14ac:dyDescent="0.2">
      <c r="C11846" s="209"/>
      <c r="D11846" s="209"/>
      <c r="E11846" s="209"/>
      <c r="J11846" s="124"/>
    </row>
    <row r="11847" spans="3:10" x14ac:dyDescent="0.2">
      <c r="C11847" s="209"/>
      <c r="D11847" s="209"/>
      <c r="E11847" s="209"/>
      <c r="J11847" s="124"/>
    </row>
    <row r="11848" spans="3:10" x14ac:dyDescent="0.2">
      <c r="C11848" s="209"/>
      <c r="D11848" s="209"/>
      <c r="E11848" s="209"/>
      <c r="J11848" s="124"/>
    </row>
    <row r="11849" spans="3:10" x14ac:dyDescent="0.2">
      <c r="C11849" s="209"/>
      <c r="D11849" s="209"/>
      <c r="E11849" s="209"/>
      <c r="J11849" s="124"/>
    </row>
    <row r="11850" spans="3:10" x14ac:dyDescent="0.2">
      <c r="C11850" s="209"/>
      <c r="D11850" s="209"/>
      <c r="E11850" s="209"/>
      <c r="J11850" s="124"/>
    </row>
    <row r="11851" spans="3:10" x14ac:dyDescent="0.2">
      <c r="C11851" s="209"/>
      <c r="D11851" s="209"/>
      <c r="E11851" s="209"/>
      <c r="J11851" s="124"/>
    </row>
    <row r="11852" spans="3:10" x14ac:dyDescent="0.2">
      <c r="C11852" s="209"/>
      <c r="D11852" s="209"/>
      <c r="E11852" s="209"/>
      <c r="J11852" s="124"/>
    </row>
    <row r="11853" spans="3:10" x14ac:dyDescent="0.2">
      <c r="C11853" s="209"/>
      <c r="D11853" s="209"/>
      <c r="E11853" s="209"/>
      <c r="J11853" s="124"/>
    </row>
    <row r="11854" spans="3:10" x14ac:dyDescent="0.2">
      <c r="C11854" s="209"/>
      <c r="D11854" s="209"/>
      <c r="E11854" s="209"/>
      <c r="J11854" s="124"/>
    </row>
    <row r="11855" spans="3:10" x14ac:dyDescent="0.2">
      <c r="C11855" s="209"/>
      <c r="D11855" s="209"/>
      <c r="E11855" s="209"/>
      <c r="J11855" s="124"/>
    </row>
    <row r="11856" spans="3:10" x14ac:dyDescent="0.2">
      <c r="C11856" s="209"/>
      <c r="D11856" s="209"/>
      <c r="E11856" s="209"/>
      <c r="J11856" s="124"/>
    </row>
    <row r="11857" spans="3:10" x14ac:dyDescent="0.2">
      <c r="C11857" s="209"/>
      <c r="D11857" s="209"/>
      <c r="E11857" s="209"/>
      <c r="J11857" s="124"/>
    </row>
    <row r="11858" spans="3:10" x14ac:dyDescent="0.2">
      <c r="C11858" s="209"/>
      <c r="D11858" s="209"/>
      <c r="E11858" s="209"/>
      <c r="J11858" s="124"/>
    </row>
    <row r="11859" spans="3:10" x14ac:dyDescent="0.2">
      <c r="C11859" s="209"/>
      <c r="D11859" s="209"/>
      <c r="E11859" s="209"/>
      <c r="J11859" s="124"/>
    </row>
    <row r="11860" spans="3:10" x14ac:dyDescent="0.2">
      <c r="C11860" s="209"/>
      <c r="D11860" s="209"/>
      <c r="E11860" s="209"/>
      <c r="J11860" s="124"/>
    </row>
    <row r="11861" spans="3:10" x14ac:dyDescent="0.2">
      <c r="C11861" s="209"/>
      <c r="D11861" s="209"/>
      <c r="E11861" s="209"/>
      <c r="J11861" s="124"/>
    </row>
    <row r="11862" spans="3:10" x14ac:dyDescent="0.2">
      <c r="C11862" s="209"/>
      <c r="D11862" s="209"/>
      <c r="E11862" s="209"/>
      <c r="J11862" s="124"/>
    </row>
    <row r="11863" spans="3:10" x14ac:dyDescent="0.2">
      <c r="C11863" s="209"/>
      <c r="D11863" s="209"/>
      <c r="E11863" s="209"/>
      <c r="J11863" s="124"/>
    </row>
    <row r="11864" spans="3:10" x14ac:dyDescent="0.2">
      <c r="C11864" s="209"/>
      <c r="D11864" s="209"/>
      <c r="E11864" s="209"/>
      <c r="J11864" s="124"/>
    </row>
    <row r="11865" spans="3:10" x14ac:dyDescent="0.2">
      <c r="C11865" s="209"/>
      <c r="D11865" s="209"/>
      <c r="E11865" s="209"/>
      <c r="J11865" s="124"/>
    </row>
    <row r="11866" spans="3:10" x14ac:dyDescent="0.2">
      <c r="C11866" s="209"/>
      <c r="D11866" s="209"/>
      <c r="E11866" s="209"/>
      <c r="J11866" s="124"/>
    </row>
    <row r="11867" spans="3:10" x14ac:dyDescent="0.2">
      <c r="C11867" s="209"/>
      <c r="D11867" s="209"/>
      <c r="E11867" s="209"/>
      <c r="J11867" s="124"/>
    </row>
    <row r="11868" spans="3:10" x14ac:dyDescent="0.2">
      <c r="C11868" s="209"/>
      <c r="D11868" s="209"/>
      <c r="E11868" s="209"/>
      <c r="J11868" s="124"/>
    </row>
    <row r="11869" spans="3:10" x14ac:dyDescent="0.2">
      <c r="C11869" s="209"/>
      <c r="D11869" s="209"/>
      <c r="E11869" s="209"/>
      <c r="J11869" s="124"/>
    </row>
    <row r="11870" spans="3:10" x14ac:dyDescent="0.2">
      <c r="C11870" s="209"/>
      <c r="D11870" s="209"/>
      <c r="E11870" s="209"/>
      <c r="J11870" s="124"/>
    </row>
    <row r="11871" spans="3:10" x14ac:dyDescent="0.2">
      <c r="C11871" s="209"/>
      <c r="D11871" s="209"/>
      <c r="E11871" s="209"/>
      <c r="J11871" s="124"/>
    </row>
    <row r="11872" spans="3:10" x14ac:dyDescent="0.2">
      <c r="C11872" s="209"/>
      <c r="D11872" s="209"/>
      <c r="E11872" s="209"/>
      <c r="J11872" s="124"/>
    </row>
    <row r="11873" spans="3:10" x14ac:dyDescent="0.2">
      <c r="C11873" s="209"/>
      <c r="D11873" s="209"/>
      <c r="E11873" s="209"/>
      <c r="J11873" s="124"/>
    </row>
    <row r="11874" spans="3:10" x14ac:dyDescent="0.2">
      <c r="C11874" s="209"/>
      <c r="D11874" s="209"/>
      <c r="E11874" s="209"/>
      <c r="J11874" s="124"/>
    </row>
    <row r="11875" spans="3:10" x14ac:dyDescent="0.2">
      <c r="C11875" s="209"/>
      <c r="D11875" s="209"/>
      <c r="E11875" s="209"/>
      <c r="J11875" s="124"/>
    </row>
    <row r="11876" spans="3:10" x14ac:dyDescent="0.2">
      <c r="C11876" s="209"/>
      <c r="D11876" s="209"/>
      <c r="E11876" s="209"/>
      <c r="J11876" s="124"/>
    </row>
    <row r="11877" spans="3:10" x14ac:dyDescent="0.2">
      <c r="C11877" s="209"/>
      <c r="D11877" s="209"/>
      <c r="E11877" s="209"/>
      <c r="J11877" s="124"/>
    </row>
    <row r="11878" spans="3:10" x14ac:dyDescent="0.2">
      <c r="C11878" s="209"/>
      <c r="D11878" s="209"/>
      <c r="E11878" s="209"/>
      <c r="J11878" s="124"/>
    </row>
    <row r="11879" spans="3:10" x14ac:dyDescent="0.2">
      <c r="C11879" s="209"/>
      <c r="D11879" s="209"/>
      <c r="E11879" s="209"/>
      <c r="J11879" s="124"/>
    </row>
    <row r="11880" spans="3:10" x14ac:dyDescent="0.2">
      <c r="C11880" s="209"/>
      <c r="D11880" s="209"/>
      <c r="E11880" s="209"/>
      <c r="J11880" s="124"/>
    </row>
    <row r="11881" spans="3:10" x14ac:dyDescent="0.2">
      <c r="C11881" s="209"/>
      <c r="D11881" s="209"/>
      <c r="E11881" s="209"/>
      <c r="J11881" s="124"/>
    </row>
    <row r="11882" spans="3:10" x14ac:dyDescent="0.2">
      <c r="C11882" s="209"/>
      <c r="D11882" s="209"/>
      <c r="E11882" s="209"/>
      <c r="J11882" s="124"/>
    </row>
    <row r="11883" spans="3:10" x14ac:dyDescent="0.2">
      <c r="C11883" s="209"/>
      <c r="D11883" s="209"/>
      <c r="E11883" s="209"/>
      <c r="J11883" s="124"/>
    </row>
    <row r="11884" spans="3:10" x14ac:dyDescent="0.2">
      <c r="C11884" s="209"/>
      <c r="D11884" s="209"/>
      <c r="E11884" s="209"/>
      <c r="J11884" s="124"/>
    </row>
    <row r="11885" spans="3:10" x14ac:dyDescent="0.2">
      <c r="C11885" s="209"/>
      <c r="D11885" s="209"/>
      <c r="E11885" s="209"/>
      <c r="J11885" s="124"/>
    </row>
    <row r="11886" spans="3:10" x14ac:dyDescent="0.2">
      <c r="C11886" s="209"/>
      <c r="D11886" s="209"/>
      <c r="E11886" s="209"/>
      <c r="J11886" s="124"/>
    </row>
    <row r="11887" spans="3:10" x14ac:dyDescent="0.2">
      <c r="C11887" s="209"/>
      <c r="D11887" s="209"/>
      <c r="E11887" s="209"/>
      <c r="J11887" s="124"/>
    </row>
    <row r="11888" spans="3:10" x14ac:dyDescent="0.2">
      <c r="C11888" s="209"/>
      <c r="D11888" s="209"/>
      <c r="E11888" s="209"/>
      <c r="J11888" s="124"/>
    </row>
    <row r="11889" spans="3:10" x14ac:dyDescent="0.2">
      <c r="C11889" s="209"/>
      <c r="D11889" s="209"/>
      <c r="E11889" s="209"/>
      <c r="J11889" s="124"/>
    </row>
    <row r="11890" spans="3:10" x14ac:dyDescent="0.2">
      <c r="C11890" s="209"/>
      <c r="D11890" s="209"/>
      <c r="E11890" s="209"/>
      <c r="J11890" s="124"/>
    </row>
    <row r="11891" spans="3:10" x14ac:dyDescent="0.2">
      <c r="C11891" s="209"/>
      <c r="D11891" s="209"/>
      <c r="E11891" s="209"/>
      <c r="J11891" s="124"/>
    </row>
    <row r="11892" spans="3:10" x14ac:dyDescent="0.2">
      <c r="C11892" s="209"/>
      <c r="D11892" s="209"/>
      <c r="E11892" s="209"/>
      <c r="J11892" s="124"/>
    </row>
    <row r="11893" spans="3:10" x14ac:dyDescent="0.2">
      <c r="C11893" s="209"/>
      <c r="D11893" s="209"/>
      <c r="E11893" s="209"/>
      <c r="J11893" s="124"/>
    </row>
    <row r="11894" spans="3:10" x14ac:dyDescent="0.2">
      <c r="C11894" s="209"/>
      <c r="D11894" s="209"/>
      <c r="E11894" s="209"/>
      <c r="J11894" s="124"/>
    </row>
    <row r="11895" spans="3:10" x14ac:dyDescent="0.2">
      <c r="C11895" s="209"/>
      <c r="D11895" s="209"/>
      <c r="E11895" s="209"/>
      <c r="J11895" s="124"/>
    </row>
    <row r="11896" spans="3:10" x14ac:dyDescent="0.2">
      <c r="C11896" s="209"/>
      <c r="D11896" s="209"/>
      <c r="E11896" s="209"/>
      <c r="J11896" s="124"/>
    </row>
    <row r="11897" spans="3:10" x14ac:dyDescent="0.2">
      <c r="C11897" s="209"/>
      <c r="D11897" s="209"/>
      <c r="E11897" s="209"/>
      <c r="J11897" s="124"/>
    </row>
    <row r="11898" spans="3:10" x14ac:dyDescent="0.2">
      <c r="C11898" s="209"/>
      <c r="D11898" s="209"/>
      <c r="E11898" s="209"/>
      <c r="J11898" s="124"/>
    </row>
    <row r="11899" spans="3:10" x14ac:dyDescent="0.2">
      <c r="C11899" s="209"/>
      <c r="D11899" s="209"/>
      <c r="E11899" s="209"/>
      <c r="J11899" s="124"/>
    </row>
    <row r="11900" spans="3:10" x14ac:dyDescent="0.2">
      <c r="C11900" s="209"/>
      <c r="D11900" s="209"/>
      <c r="E11900" s="209"/>
      <c r="J11900" s="124"/>
    </row>
    <row r="11901" spans="3:10" x14ac:dyDescent="0.2">
      <c r="C11901" s="209"/>
      <c r="D11901" s="209"/>
      <c r="E11901" s="209"/>
      <c r="J11901" s="124"/>
    </row>
    <row r="11902" spans="3:10" x14ac:dyDescent="0.2">
      <c r="C11902" s="209"/>
      <c r="D11902" s="209"/>
      <c r="E11902" s="209"/>
      <c r="J11902" s="124"/>
    </row>
    <row r="11903" spans="3:10" x14ac:dyDescent="0.2">
      <c r="C11903" s="209"/>
      <c r="D11903" s="209"/>
      <c r="E11903" s="209"/>
      <c r="J11903" s="124"/>
    </row>
    <row r="11904" spans="3:10" x14ac:dyDescent="0.2">
      <c r="C11904" s="209"/>
      <c r="D11904" s="209"/>
      <c r="E11904" s="209"/>
      <c r="J11904" s="124"/>
    </row>
    <row r="11905" spans="3:10" x14ac:dyDescent="0.2">
      <c r="C11905" s="209"/>
      <c r="D11905" s="209"/>
      <c r="E11905" s="209"/>
      <c r="J11905" s="124"/>
    </row>
    <row r="11906" spans="3:10" x14ac:dyDescent="0.2">
      <c r="C11906" s="209"/>
      <c r="D11906" s="209"/>
      <c r="E11906" s="209"/>
      <c r="J11906" s="124"/>
    </row>
    <row r="11907" spans="3:10" x14ac:dyDescent="0.2">
      <c r="C11907" s="209"/>
      <c r="D11907" s="209"/>
      <c r="E11907" s="209"/>
      <c r="J11907" s="124"/>
    </row>
    <row r="11908" spans="3:10" x14ac:dyDescent="0.2">
      <c r="C11908" s="209"/>
      <c r="D11908" s="209"/>
      <c r="E11908" s="209"/>
      <c r="J11908" s="124"/>
    </row>
    <row r="11909" spans="3:10" x14ac:dyDescent="0.2">
      <c r="C11909" s="209"/>
      <c r="D11909" s="209"/>
      <c r="E11909" s="209"/>
      <c r="J11909" s="124"/>
    </row>
    <row r="11910" spans="3:10" x14ac:dyDescent="0.2">
      <c r="C11910" s="209"/>
      <c r="D11910" s="209"/>
      <c r="E11910" s="209"/>
      <c r="J11910" s="124"/>
    </row>
    <row r="11911" spans="3:10" x14ac:dyDescent="0.2">
      <c r="C11911" s="209"/>
      <c r="D11911" s="209"/>
      <c r="E11911" s="209"/>
      <c r="J11911" s="124"/>
    </row>
    <row r="11912" spans="3:10" x14ac:dyDescent="0.2">
      <c r="C11912" s="209"/>
      <c r="D11912" s="209"/>
      <c r="E11912" s="209"/>
      <c r="J11912" s="124"/>
    </row>
    <row r="11913" spans="3:10" x14ac:dyDescent="0.2">
      <c r="C11913" s="209"/>
      <c r="D11913" s="209"/>
      <c r="E11913" s="209"/>
      <c r="J11913" s="124"/>
    </row>
    <row r="11914" spans="3:10" x14ac:dyDescent="0.2">
      <c r="C11914" s="209"/>
      <c r="D11914" s="209"/>
      <c r="E11914" s="209"/>
      <c r="J11914" s="124"/>
    </row>
    <row r="11915" spans="3:10" x14ac:dyDescent="0.2">
      <c r="C11915" s="209"/>
      <c r="D11915" s="209"/>
      <c r="E11915" s="209"/>
      <c r="J11915" s="124"/>
    </row>
    <row r="11916" spans="3:10" x14ac:dyDescent="0.2">
      <c r="C11916" s="209"/>
      <c r="D11916" s="209"/>
      <c r="E11916" s="209"/>
      <c r="J11916" s="124"/>
    </row>
    <row r="11917" spans="3:10" x14ac:dyDescent="0.2">
      <c r="C11917" s="209"/>
      <c r="D11917" s="209"/>
      <c r="E11917" s="209"/>
      <c r="J11917" s="124"/>
    </row>
    <row r="11918" spans="3:10" x14ac:dyDescent="0.2">
      <c r="C11918" s="209"/>
      <c r="D11918" s="209"/>
      <c r="E11918" s="209"/>
      <c r="J11918" s="124"/>
    </row>
    <row r="11919" spans="3:10" x14ac:dyDescent="0.2">
      <c r="C11919" s="209"/>
      <c r="D11919" s="209"/>
      <c r="E11919" s="209"/>
      <c r="J11919" s="124"/>
    </row>
    <row r="11920" spans="3:10" x14ac:dyDescent="0.2">
      <c r="C11920" s="209"/>
      <c r="D11920" s="209"/>
      <c r="E11920" s="209"/>
      <c r="J11920" s="124"/>
    </row>
    <row r="11921" spans="3:10" x14ac:dyDescent="0.2">
      <c r="C11921" s="209"/>
      <c r="D11921" s="209"/>
      <c r="E11921" s="209"/>
      <c r="J11921" s="124"/>
    </row>
    <row r="11922" spans="3:10" x14ac:dyDescent="0.2">
      <c r="C11922" s="209"/>
      <c r="D11922" s="209"/>
      <c r="E11922" s="209"/>
      <c r="J11922" s="124"/>
    </row>
    <row r="11923" spans="3:10" x14ac:dyDescent="0.2">
      <c r="C11923" s="209"/>
      <c r="D11923" s="209"/>
      <c r="E11923" s="209"/>
      <c r="J11923" s="124"/>
    </row>
    <row r="11924" spans="3:10" x14ac:dyDescent="0.2">
      <c r="C11924" s="209"/>
      <c r="D11924" s="209"/>
      <c r="E11924" s="209"/>
      <c r="J11924" s="124"/>
    </row>
    <row r="11925" spans="3:10" x14ac:dyDescent="0.2">
      <c r="C11925" s="209"/>
      <c r="D11925" s="209"/>
      <c r="E11925" s="209"/>
      <c r="J11925" s="124"/>
    </row>
    <row r="11926" spans="3:10" x14ac:dyDescent="0.2">
      <c r="C11926" s="209"/>
      <c r="D11926" s="209"/>
      <c r="E11926" s="209"/>
      <c r="J11926" s="124"/>
    </row>
    <row r="11927" spans="3:10" x14ac:dyDescent="0.2">
      <c r="C11927" s="209"/>
      <c r="D11927" s="209"/>
      <c r="E11927" s="209"/>
      <c r="J11927" s="124"/>
    </row>
    <row r="11928" spans="3:10" x14ac:dyDescent="0.2">
      <c r="C11928" s="209"/>
      <c r="D11928" s="209"/>
      <c r="E11928" s="209"/>
      <c r="J11928" s="124"/>
    </row>
    <row r="11929" spans="3:10" x14ac:dyDescent="0.2">
      <c r="C11929" s="209"/>
      <c r="D11929" s="209"/>
      <c r="E11929" s="209"/>
      <c r="J11929" s="124"/>
    </row>
    <row r="11930" spans="3:10" x14ac:dyDescent="0.2">
      <c r="C11930" s="209"/>
      <c r="D11930" s="209"/>
      <c r="E11930" s="209"/>
      <c r="J11930" s="124"/>
    </row>
    <row r="11931" spans="3:10" x14ac:dyDescent="0.2">
      <c r="C11931" s="209"/>
      <c r="D11931" s="209"/>
      <c r="E11931" s="209"/>
      <c r="J11931" s="124"/>
    </row>
    <row r="11932" spans="3:10" x14ac:dyDescent="0.2">
      <c r="C11932" s="209"/>
      <c r="D11932" s="209"/>
      <c r="E11932" s="209"/>
      <c r="J11932" s="124"/>
    </row>
    <row r="11933" spans="3:10" x14ac:dyDescent="0.2">
      <c r="C11933" s="209"/>
      <c r="D11933" s="209"/>
      <c r="E11933" s="209"/>
      <c r="J11933" s="124"/>
    </row>
    <row r="11934" spans="3:10" x14ac:dyDescent="0.2">
      <c r="C11934" s="209"/>
      <c r="D11934" s="209"/>
      <c r="E11934" s="209"/>
      <c r="J11934" s="124"/>
    </row>
    <row r="11935" spans="3:10" x14ac:dyDescent="0.2">
      <c r="C11935" s="209"/>
      <c r="D11935" s="209"/>
      <c r="E11935" s="209"/>
      <c r="J11935" s="124"/>
    </row>
    <row r="11936" spans="3:10" x14ac:dyDescent="0.2">
      <c r="C11936" s="209"/>
      <c r="D11936" s="209"/>
      <c r="E11936" s="209"/>
      <c r="J11936" s="124"/>
    </row>
    <row r="11937" spans="3:10" x14ac:dyDescent="0.2">
      <c r="C11937" s="209"/>
      <c r="D11937" s="209"/>
      <c r="E11937" s="209"/>
      <c r="J11937" s="124"/>
    </row>
    <row r="11938" spans="3:10" x14ac:dyDescent="0.2">
      <c r="C11938" s="209"/>
      <c r="D11938" s="209"/>
      <c r="E11938" s="209"/>
      <c r="J11938" s="124"/>
    </row>
    <row r="11939" spans="3:10" x14ac:dyDescent="0.2">
      <c r="C11939" s="209"/>
      <c r="D11939" s="209"/>
      <c r="E11939" s="209"/>
      <c r="J11939" s="124"/>
    </row>
    <row r="11940" spans="3:10" x14ac:dyDescent="0.2">
      <c r="C11940" s="209"/>
      <c r="D11940" s="209"/>
      <c r="E11940" s="209"/>
      <c r="J11940" s="124"/>
    </row>
    <row r="11941" spans="3:10" x14ac:dyDescent="0.2">
      <c r="C11941" s="209"/>
      <c r="D11941" s="209"/>
      <c r="E11941" s="209"/>
      <c r="J11941" s="124"/>
    </row>
    <row r="11942" spans="3:10" x14ac:dyDescent="0.2">
      <c r="C11942" s="209"/>
      <c r="D11942" s="209"/>
      <c r="E11942" s="209"/>
      <c r="J11942" s="124"/>
    </row>
    <row r="11943" spans="3:10" x14ac:dyDescent="0.2">
      <c r="C11943" s="209"/>
      <c r="D11943" s="209"/>
      <c r="E11943" s="209"/>
      <c r="J11943" s="124"/>
    </row>
    <row r="11944" spans="3:10" x14ac:dyDescent="0.2">
      <c r="C11944" s="209"/>
      <c r="D11944" s="209"/>
      <c r="E11944" s="209"/>
      <c r="J11944" s="124"/>
    </row>
    <row r="11945" spans="3:10" x14ac:dyDescent="0.2">
      <c r="C11945" s="209"/>
      <c r="D11945" s="209"/>
      <c r="E11945" s="209"/>
      <c r="J11945" s="124"/>
    </row>
    <row r="11946" spans="3:10" x14ac:dyDescent="0.2">
      <c r="C11946" s="209"/>
      <c r="D11946" s="209"/>
      <c r="E11946" s="209"/>
      <c r="J11946" s="124"/>
    </row>
    <row r="11947" spans="3:10" x14ac:dyDescent="0.2">
      <c r="C11947" s="209"/>
      <c r="D11947" s="209"/>
      <c r="E11947" s="209"/>
      <c r="J11947" s="124"/>
    </row>
    <row r="11948" spans="3:10" x14ac:dyDescent="0.2">
      <c r="C11948" s="209"/>
      <c r="D11948" s="209"/>
      <c r="E11948" s="209"/>
      <c r="J11948" s="124"/>
    </row>
    <row r="11949" spans="3:10" x14ac:dyDescent="0.2">
      <c r="C11949" s="209"/>
      <c r="D11949" s="209"/>
      <c r="E11949" s="209"/>
      <c r="J11949" s="124"/>
    </row>
    <row r="11950" spans="3:10" x14ac:dyDescent="0.2">
      <c r="C11950" s="209"/>
      <c r="D11950" s="209"/>
      <c r="E11950" s="209"/>
      <c r="J11950" s="124"/>
    </row>
    <row r="11951" spans="3:10" x14ac:dyDescent="0.2">
      <c r="C11951" s="209"/>
      <c r="D11951" s="209"/>
      <c r="E11951" s="209"/>
      <c r="J11951" s="124"/>
    </row>
    <row r="11952" spans="3:10" x14ac:dyDescent="0.2">
      <c r="C11952" s="209"/>
      <c r="D11952" s="209"/>
      <c r="E11952" s="209"/>
      <c r="J11952" s="124"/>
    </row>
    <row r="11953" spans="3:10" x14ac:dyDescent="0.2">
      <c r="C11953" s="209"/>
      <c r="D11953" s="209"/>
      <c r="E11953" s="209"/>
      <c r="J11953" s="124"/>
    </row>
    <row r="11954" spans="3:10" x14ac:dyDescent="0.2">
      <c r="C11954" s="209"/>
      <c r="D11954" s="209"/>
      <c r="E11954" s="209"/>
      <c r="J11954" s="124"/>
    </row>
    <row r="11955" spans="3:10" x14ac:dyDescent="0.2">
      <c r="C11955" s="209"/>
      <c r="D11955" s="209"/>
      <c r="E11955" s="209"/>
      <c r="J11955" s="124"/>
    </row>
    <row r="11956" spans="3:10" x14ac:dyDescent="0.2">
      <c r="C11956" s="209"/>
      <c r="D11956" s="209"/>
      <c r="E11956" s="209"/>
      <c r="J11956" s="124"/>
    </row>
    <row r="11957" spans="3:10" x14ac:dyDescent="0.2">
      <c r="C11957" s="209"/>
      <c r="D11957" s="209"/>
      <c r="E11957" s="209"/>
      <c r="J11957" s="124"/>
    </row>
    <row r="11958" spans="3:10" x14ac:dyDescent="0.2">
      <c r="C11958" s="209"/>
      <c r="D11958" s="209"/>
      <c r="E11958" s="209"/>
      <c r="J11958" s="124"/>
    </row>
    <row r="11959" spans="3:10" x14ac:dyDescent="0.2">
      <c r="C11959" s="209"/>
      <c r="D11959" s="209"/>
      <c r="E11959" s="209"/>
      <c r="J11959" s="124"/>
    </row>
    <row r="11960" spans="3:10" x14ac:dyDescent="0.2">
      <c r="C11960" s="209"/>
      <c r="D11960" s="209"/>
      <c r="E11960" s="209"/>
      <c r="J11960" s="124"/>
    </row>
    <row r="11961" spans="3:10" x14ac:dyDescent="0.2">
      <c r="C11961" s="209"/>
      <c r="D11961" s="209"/>
      <c r="E11961" s="209"/>
      <c r="J11961" s="124"/>
    </row>
    <row r="11962" spans="3:10" x14ac:dyDescent="0.2">
      <c r="C11962" s="209"/>
      <c r="D11962" s="209"/>
      <c r="E11962" s="209"/>
      <c r="J11962" s="124"/>
    </row>
    <row r="11963" spans="3:10" x14ac:dyDescent="0.2">
      <c r="C11963" s="209"/>
      <c r="D11963" s="209"/>
      <c r="E11963" s="209"/>
      <c r="J11963" s="124"/>
    </row>
    <row r="11964" spans="3:10" x14ac:dyDescent="0.2">
      <c r="C11964" s="209"/>
      <c r="D11964" s="209"/>
      <c r="E11964" s="209"/>
      <c r="J11964" s="124"/>
    </row>
    <row r="11965" spans="3:10" x14ac:dyDescent="0.2">
      <c r="C11965" s="209"/>
      <c r="D11965" s="209"/>
      <c r="E11965" s="209"/>
      <c r="J11965" s="124"/>
    </row>
    <row r="11966" spans="3:10" x14ac:dyDescent="0.2">
      <c r="C11966" s="209"/>
      <c r="D11966" s="209"/>
      <c r="E11966" s="209"/>
      <c r="J11966" s="124"/>
    </row>
    <row r="11967" spans="3:10" x14ac:dyDescent="0.2">
      <c r="C11967" s="209"/>
      <c r="D11967" s="209"/>
      <c r="E11967" s="209"/>
      <c r="J11967" s="124"/>
    </row>
    <row r="11968" spans="3:10" x14ac:dyDescent="0.2">
      <c r="C11968" s="209"/>
      <c r="D11968" s="209"/>
      <c r="E11968" s="209"/>
      <c r="J11968" s="124"/>
    </row>
    <row r="11969" spans="3:10" x14ac:dyDescent="0.2">
      <c r="C11969" s="209"/>
      <c r="D11969" s="209"/>
      <c r="E11969" s="209"/>
      <c r="J11969" s="124"/>
    </row>
    <row r="11970" spans="3:10" x14ac:dyDescent="0.2">
      <c r="C11970" s="209"/>
      <c r="D11970" s="209"/>
      <c r="E11970" s="209"/>
      <c r="J11970" s="124"/>
    </row>
    <row r="11971" spans="3:10" x14ac:dyDescent="0.2">
      <c r="C11971" s="209"/>
      <c r="D11971" s="209"/>
      <c r="E11971" s="209"/>
      <c r="J11971" s="124"/>
    </row>
    <row r="11972" spans="3:10" x14ac:dyDescent="0.2">
      <c r="C11972" s="209"/>
      <c r="D11972" s="209"/>
      <c r="E11972" s="209"/>
      <c r="J11972" s="124"/>
    </row>
    <row r="11973" spans="3:10" x14ac:dyDescent="0.2">
      <c r="C11973" s="209"/>
      <c r="D11973" s="209"/>
      <c r="E11973" s="209"/>
      <c r="J11973" s="124"/>
    </row>
    <row r="11974" spans="3:10" x14ac:dyDescent="0.2">
      <c r="C11974" s="209"/>
      <c r="D11974" s="209"/>
      <c r="E11974" s="209"/>
      <c r="J11974" s="124"/>
    </row>
    <row r="11975" spans="3:10" x14ac:dyDescent="0.2">
      <c r="C11975" s="209"/>
      <c r="D11975" s="209"/>
      <c r="E11975" s="209"/>
      <c r="J11975" s="124"/>
    </row>
    <row r="11976" spans="3:10" x14ac:dyDescent="0.2">
      <c r="C11976" s="209"/>
      <c r="D11976" s="209"/>
      <c r="E11976" s="209"/>
      <c r="J11976" s="124"/>
    </row>
    <row r="11977" spans="3:10" x14ac:dyDescent="0.2">
      <c r="C11977" s="209"/>
      <c r="D11977" s="209"/>
      <c r="E11977" s="209"/>
      <c r="J11977" s="124"/>
    </row>
    <row r="11978" spans="3:10" x14ac:dyDescent="0.2">
      <c r="C11978" s="209"/>
      <c r="D11978" s="209"/>
      <c r="E11978" s="209"/>
      <c r="J11978" s="124"/>
    </row>
    <row r="11979" spans="3:10" x14ac:dyDescent="0.2">
      <c r="C11979" s="209"/>
      <c r="D11979" s="209"/>
      <c r="E11979" s="209"/>
      <c r="J11979" s="124"/>
    </row>
    <row r="11980" spans="3:10" x14ac:dyDescent="0.2">
      <c r="C11980" s="209"/>
      <c r="D11980" s="209"/>
      <c r="E11980" s="209"/>
      <c r="J11980" s="124"/>
    </row>
    <row r="11981" spans="3:10" x14ac:dyDescent="0.2">
      <c r="C11981" s="209"/>
      <c r="D11981" s="209"/>
      <c r="E11981" s="209"/>
      <c r="J11981" s="124"/>
    </row>
    <row r="11982" spans="3:10" x14ac:dyDescent="0.2">
      <c r="C11982" s="209"/>
      <c r="D11982" s="209"/>
      <c r="E11982" s="209"/>
      <c r="J11982" s="124"/>
    </row>
    <row r="11983" spans="3:10" x14ac:dyDescent="0.2">
      <c r="C11983" s="209"/>
      <c r="D11983" s="209"/>
      <c r="E11983" s="209"/>
      <c r="J11983" s="124"/>
    </row>
    <row r="11984" spans="3:10" x14ac:dyDescent="0.2">
      <c r="C11984" s="209"/>
      <c r="D11984" s="209"/>
      <c r="E11984" s="209"/>
      <c r="J11984" s="124"/>
    </row>
    <row r="11985" spans="3:10" x14ac:dyDescent="0.2">
      <c r="C11985" s="209"/>
      <c r="D11985" s="209"/>
      <c r="E11985" s="209"/>
      <c r="J11985" s="124"/>
    </row>
    <row r="11986" spans="3:10" x14ac:dyDescent="0.2">
      <c r="C11986" s="209"/>
      <c r="D11986" s="209"/>
      <c r="E11986" s="209"/>
      <c r="J11986" s="124"/>
    </row>
    <row r="11987" spans="3:10" x14ac:dyDescent="0.2">
      <c r="C11987" s="209"/>
      <c r="D11987" s="209"/>
      <c r="E11987" s="209"/>
      <c r="J11987" s="124"/>
    </row>
    <row r="11988" spans="3:10" x14ac:dyDescent="0.2">
      <c r="C11988" s="209"/>
      <c r="D11988" s="209"/>
      <c r="E11988" s="209"/>
      <c r="J11988" s="124"/>
    </row>
    <row r="11989" spans="3:10" x14ac:dyDescent="0.2">
      <c r="C11989" s="209"/>
      <c r="D11989" s="209"/>
      <c r="E11989" s="209"/>
      <c r="J11989" s="124"/>
    </row>
    <row r="11990" spans="3:10" x14ac:dyDescent="0.2">
      <c r="C11990" s="209"/>
      <c r="D11990" s="209"/>
      <c r="E11990" s="209"/>
      <c r="J11990" s="124"/>
    </row>
    <row r="11991" spans="3:10" x14ac:dyDescent="0.2">
      <c r="C11991" s="209"/>
      <c r="D11991" s="209"/>
      <c r="E11991" s="209"/>
      <c r="J11991" s="124"/>
    </row>
    <row r="11992" spans="3:10" x14ac:dyDescent="0.2">
      <c r="C11992" s="209"/>
      <c r="D11992" s="209"/>
      <c r="E11992" s="209"/>
      <c r="J11992" s="124"/>
    </row>
    <row r="11993" spans="3:10" x14ac:dyDescent="0.2">
      <c r="C11993" s="209"/>
      <c r="D11993" s="209"/>
      <c r="E11993" s="209"/>
      <c r="J11993" s="124"/>
    </row>
    <row r="11994" spans="3:10" x14ac:dyDescent="0.2">
      <c r="C11994" s="209"/>
      <c r="D11994" s="209"/>
      <c r="E11994" s="209"/>
      <c r="J11994" s="124"/>
    </row>
    <row r="11995" spans="3:10" x14ac:dyDescent="0.2">
      <c r="C11995" s="209"/>
      <c r="D11995" s="209"/>
      <c r="E11995" s="209"/>
      <c r="J11995" s="124"/>
    </row>
    <row r="11996" spans="3:10" x14ac:dyDescent="0.2">
      <c r="C11996" s="209"/>
      <c r="D11996" s="209"/>
      <c r="E11996" s="209"/>
      <c r="J11996" s="124"/>
    </row>
    <row r="11997" spans="3:10" x14ac:dyDescent="0.2">
      <c r="C11997" s="209"/>
      <c r="D11997" s="209"/>
      <c r="E11997" s="209"/>
      <c r="J11997" s="124"/>
    </row>
    <row r="11998" spans="3:10" x14ac:dyDescent="0.2">
      <c r="C11998" s="209"/>
      <c r="D11998" s="209"/>
      <c r="E11998" s="209"/>
      <c r="J11998" s="124"/>
    </row>
    <row r="11999" spans="3:10" x14ac:dyDescent="0.2">
      <c r="C11999" s="209"/>
      <c r="D11999" s="209"/>
      <c r="E11999" s="209"/>
      <c r="J11999" s="124"/>
    </row>
    <row r="12000" spans="3:10" x14ac:dyDescent="0.2">
      <c r="C12000" s="209"/>
      <c r="D12000" s="209"/>
      <c r="E12000" s="209"/>
      <c r="J12000" s="124"/>
    </row>
    <row r="12001" spans="3:10" x14ac:dyDescent="0.2">
      <c r="C12001" s="209"/>
      <c r="D12001" s="209"/>
      <c r="E12001" s="209"/>
      <c r="J12001" s="124"/>
    </row>
    <row r="12002" spans="3:10" x14ac:dyDescent="0.2">
      <c r="C12002" s="209"/>
      <c r="D12002" s="209"/>
      <c r="E12002" s="209"/>
      <c r="J12002" s="124"/>
    </row>
    <row r="12003" spans="3:10" x14ac:dyDescent="0.2">
      <c r="C12003" s="209"/>
      <c r="D12003" s="209"/>
      <c r="E12003" s="209"/>
      <c r="J12003" s="124"/>
    </row>
    <row r="12004" spans="3:10" x14ac:dyDescent="0.2">
      <c r="C12004" s="209"/>
      <c r="D12004" s="209"/>
      <c r="E12004" s="209"/>
      <c r="J12004" s="124"/>
    </row>
    <row r="12005" spans="3:10" x14ac:dyDescent="0.2">
      <c r="C12005" s="209"/>
      <c r="D12005" s="209"/>
      <c r="E12005" s="209"/>
      <c r="J12005" s="124"/>
    </row>
    <row r="12006" spans="3:10" x14ac:dyDescent="0.2">
      <c r="C12006" s="209"/>
      <c r="D12006" s="209"/>
      <c r="E12006" s="209"/>
      <c r="J12006" s="124"/>
    </row>
    <row r="12007" spans="3:10" x14ac:dyDescent="0.2">
      <c r="C12007" s="209"/>
      <c r="D12007" s="209"/>
      <c r="E12007" s="209"/>
      <c r="J12007" s="124"/>
    </row>
    <row r="12008" spans="3:10" x14ac:dyDescent="0.2">
      <c r="C12008" s="209"/>
      <c r="D12008" s="209"/>
      <c r="E12008" s="209"/>
      <c r="J12008" s="124"/>
    </row>
    <row r="12009" spans="3:10" x14ac:dyDescent="0.2">
      <c r="C12009" s="209"/>
      <c r="D12009" s="209"/>
      <c r="E12009" s="209"/>
      <c r="J12009" s="124"/>
    </row>
    <row r="12010" spans="3:10" x14ac:dyDescent="0.2">
      <c r="C12010" s="209"/>
      <c r="D12010" s="209"/>
      <c r="E12010" s="209"/>
      <c r="J12010" s="124"/>
    </row>
    <row r="12011" spans="3:10" x14ac:dyDescent="0.2">
      <c r="C12011" s="209"/>
      <c r="D12011" s="209"/>
      <c r="E12011" s="209"/>
      <c r="J12011" s="124"/>
    </row>
    <row r="12012" spans="3:10" x14ac:dyDescent="0.2">
      <c r="C12012" s="209"/>
      <c r="D12012" s="209"/>
      <c r="E12012" s="209"/>
      <c r="J12012" s="124"/>
    </row>
    <row r="12013" spans="3:10" x14ac:dyDescent="0.2">
      <c r="C12013" s="209"/>
      <c r="D12013" s="209"/>
      <c r="E12013" s="209"/>
      <c r="J12013" s="124"/>
    </row>
    <row r="12014" spans="3:10" x14ac:dyDescent="0.2">
      <c r="C12014" s="209"/>
      <c r="D12014" s="209"/>
      <c r="E12014" s="209"/>
      <c r="J12014" s="124"/>
    </row>
    <row r="12015" spans="3:10" x14ac:dyDescent="0.2">
      <c r="C12015" s="209"/>
      <c r="D12015" s="209"/>
      <c r="E12015" s="209"/>
      <c r="J12015" s="124"/>
    </row>
    <row r="12016" spans="3:10" x14ac:dyDescent="0.2">
      <c r="C12016" s="209"/>
      <c r="D12016" s="209"/>
      <c r="E12016" s="209"/>
      <c r="J12016" s="124"/>
    </row>
    <row r="12017" spans="3:10" x14ac:dyDescent="0.2">
      <c r="C12017" s="209"/>
      <c r="D12017" s="209"/>
      <c r="E12017" s="209"/>
      <c r="J12017" s="124"/>
    </row>
    <row r="12018" spans="3:10" x14ac:dyDescent="0.2">
      <c r="C12018" s="209"/>
      <c r="D12018" s="209"/>
      <c r="E12018" s="209"/>
      <c r="J12018" s="124"/>
    </row>
    <row r="12019" spans="3:10" x14ac:dyDescent="0.2">
      <c r="C12019" s="209"/>
      <c r="D12019" s="209"/>
      <c r="E12019" s="209"/>
      <c r="J12019" s="124"/>
    </row>
    <row r="12020" spans="3:10" x14ac:dyDescent="0.2">
      <c r="C12020" s="209"/>
      <c r="D12020" s="209"/>
      <c r="E12020" s="209"/>
      <c r="J12020" s="124"/>
    </row>
    <row r="12021" spans="3:10" x14ac:dyDescent="0.2">
      <c r="C12021" s="209"/>
      <c r="D12021" s="209"/>
      <c r="E12021" s="209"/>
      <c r="J12021" s="124"/>
    </row>
    <row r="12022" spans="3:10" x14ac:dyDescent="0.2">
      <c r="C12022" s="209"/>
      <c r="D12022" s="209"/>
      <c r="E12022" s="209"/>
      <c r="J12022" s="124"/>
    </row>
    <row r="12023" spans="3:10" x14ac:dyDescent="0.2">
      <c r="C12023" s="209"/>
      <c r="D12023" s="209"/>
      <c r="E12023" s="209"/>
      <c r="J12023" s="124"/>
    </row>
    <row r="12024" spans="3:10" x14ac:dyDescent="0.2">
      <c r="C12024" s="209"/>
      <c r="D12024" s="209"/>
      <c r="E12024" s="209"/>
      <c r="J12024" s="124"/>
    </row>
    <row r="12025" spans="3:10" x14ac:dyDescent="0.2">
      <c r="C12025" s="209"/>
      <c r="D12025" s="209"/>
      <c r="E12025" s="209"/>
      <c r="J12025" s="124"/>
    </row>
    <row r="12026" spans="3:10" x14ac:dyDescent="0.2">
      <c r="C12026" s="209"/>
      <c r="D12026" s="209"/>
      <c r="E12026" s="209"/>
      <c r="J12026" s="124"/>
    </row>
    <row r="12027" spans="3:10" x14ac:dyDescent="0.2">
      <c r="C12027" s="209"/>
      <c r="D12027" s="209"/>
      <c r="E12027" s="209"/>
      <c r="J12027" s="124"/>
    </row>
    <row r="12028" spans="3:10" x14ac:dyDescent="0.2">
      <c r="C12028" s="209"/>
      <c r="D12028" s="209"/>
      <c r="E12028" s="209"/>
      <c r="J12028" s="124"/>
    </row>
    <row r="12029" spans="3:10" x14ac:dyDescent="0.2">
      <c r="C12029" s="209"/>
      <c r="D12029" s="209"/>
      <c r="E12029" s="209"/>
      <c r="J12029" s="124"/>
    </row>
    <row r="12030" spans="3:10" x14ac:dyDescent="0.2">
      <c r="C12030" s="209"/>
      <c r="D12030" s="209"/>
      <c r="E12030" s="209"/>
      <c r="J12030" s="124"/>
    </row>
    <row r="12031" spans="3:10" x14ac:dyDescent="0.2">
      <c r="C12031" s="209"/>
      <c r="D12031" s="209"/>
      <c r="E12031" s="209"/>
      <c r="J12031" s="124"/>
    </row>
    <row r="12032" spans="3:10" x14ac:dyDescent="0.2">
      <c r="C12032" s="209"/>
      <c r="D12032" s="209"/>
      <c r="E12032" s="209"/>
      <c r="J12032" s="124"/>
    </row>
    <row r="12033" spans="3:10" x14ac:dyDescent="0.2">
      <c r="C12033" s="209"/>
      <c r="D12033" s="209"/>
      <c r="E12033" s="209"/>
      <c r="J12033" s="124"/>
    </row>
    <row r="12034" spans="3:10" x14ac:dyDescent="0.2">
      <c r="C12034" s="209"/>
      <c r="D12034" s="209"/>
      <c r="E12034" s="209"/>
      <c r="J12034" s="124"/>
    </row>
    <row r="12035" spans="3:10" x14ac:dyDescent="0.2">
      <c r="C12035" s="209"/>
      <c r="D12035" s="209"/>
      <c r="E12035" s="209"/>
      <c r="J12035" s="124"/>
    </row>
    <row r="12036" spans="3:10" x14ac:dyDescent="0.2">
      <c r="C12036" s="209"/>
      <c r="D12036" s="209"/>
      <c r="E12036" s="209"/>
      <c r="J12036" s="124"/>
    </row>
    <row r="12037" spans="3:10" x14ac:dyDescent="0.2">
      <c r="C12037" s="209"/>
      <c r="D12037" s="209"/>
      <c r="E12037" s="209"/>
      <c r="J12037" s="124"/>
    </row>
    <row r="12038" spans="3:10" x14ac:dyDescent="0.2">
      <c r="C12038" s="209"/>
      <c r="D12038" s="209"/>
      <c r="E12038" s="209"/>
      <c r="J12038" s="124"/>
    </row>
    <row r="12039" spans="3:10" x14ac:dyDescent="0.2">
      <c r="C12039" s="209"/>
      <c r="D12039" s="209"/>
      <c r="E12039" s="209"/>
      <c r="J12039" s="124"/>
    </row>
    <row r="12040" spans="3:10" x14ac:dyDescent="0.2">
      <c r="C12040" s="209"/>
      <c r="D12040" s="209"/>
      <c r="E12040" s="209"/>
      <c r="J12040" s="124"/>
    </row>
    <row r="12041" spans="3:10" x14ac:dyDescent="0.2">
      <c r="C12041" s="209"/>
      <c r="D12041" s="209"/>
      <c r="E12041" s="209"/>
      <c r="J12041" s="124"/>
    </row>
    <row r="12042" spans="3:10" x14ac:dyDescent="0.2">
      <c r="C12042" s="209"/>
      <c r="D12042" s="209"/>
      <c r="E12042" s="209"/>
      <c r="J12042" s="124"/>
    </row>
    <row r="12043" spans="3:10" x14ac:dyDescent="0.2">
      <c r="C12043" s="209"/>
      <c r="D12043" s="209"/>
      <c r="E12043" s="209"/>
      <c r="J12043" s="124"/>
    </row>
    <row r="12044" spans="3:10" x14ac:dyDescent="0.2">
      <c r="C12044" s="209"/>
      <c r="D12044" s="209"/>
      <c r="E12044" s="209"/>
      <c r="J12044" s="124"/>
    </row>
    <row r="12045" spans="3:10" x14ac:dyDescent="0.2">
      <c r="C12045" s="209"/>
      <c r="D12045" s="209"/>
      <c r="E12045" s="209"/>
      <c r="J12045" s="124"/>
    </row>
    <row r="12046" spans="3:10" x14ac:dyDescent="0.2">
      <c r="C12046" s="209"/>
      <c r="D12046" s="209"/>
      <c r="E12046" s="209"/>
      <c r="J12046" s="124"/>
    </row>
    <row r="12047" spans="3:10" x14ac:dyDescent="0.2">
      <c r="C12047" s="209"/>
      <c r="D12047" s="209"/>
      <c r="E12047" s="209"/>
      <c r="J12047" s="124"/>
    </row>
    <row r="12048" spans="3:10" x14ac:dyDescent="0.2">
      <c r="C12048" s="209"/>
      <c r="D12048" s="209"/>
      <c r="E12048" s="209"/>
      <c r="J12048" s="124"/>
    </row>
    <row r="12049" spans="3:10" x14ac:dyDescent="0.2">
      <c r="C12049" s="209"/>
      <c r="D12049" s="209"/>
      <c r="E12049" s="209"/>
      <c r="J12049" s="124"/>
    </row>
    <row r="12050" spans="3:10" x14ac:dyDescent="0.2">
      <c r="C12050" s="209"/>
      <c r="D12050" s="209"/>
      <c r="E12050" s="209"/>
      <c r="J12050" s="124"/>
    </row>
    <row r="12051" spans="3:10" x14ac:dyDescent="0.2">
      <c r="C12051" s="209"/>
      <c r="D12051" s="209"/>
      <c r="E12051" s="209"/>
      <c r="J12051" s="124"/>
    </row>
    <row r="12052" spans="3:10" x14ac:dyDescent="0.2">
      <c r="C12052" s="209"/>
      <c r="D12052" s="209"/>
      <c r="E12052" s="209"/>
      <c r="J12052" s="124"/>
    </row>
    <row r="12053" spans="3:10" x14ac:dyDescent="0.2">
      <c r="C12053" s="209"/>
      <c r="D12053" s="209"/>
      <c r="E12053" s="209"/>
      <c r="J12053" s="124"/>
    </row>
    <row r="12054" spans="3:10" x14ac:dyDescent="0.2">
      <c r="C12054" s="209"/>
      <c r="D12054" s="209"/>
      <c r="E12054" s="209"/>
      <c r="J12054" s="124"/>
    </row>
    <row r="12055" spans="3:10" x14ac:dyDescent="0.2">
      <c r="C12055" s="209"/>
      <c r="D12055" s="209"/>
      <c r="E12055" s="209"/>
      <c r="J12055" s="124"/>
    </row>
    <row r="12056" spans="3:10" x14ac:dyDescent="0.2">
      <c r="C12056" s="209"/>
      <c r="D12056" s="209"/>
      <c r="E12056" s="209"/>
      <c r="J12056" s="124"/>
    </row>
    <row r="12057" spans="3:10" x14ac:dyDescent="0.2">
      <c r="C12057" s="209"/>
      <c r="D12057" s="209"/>
      <c r="E12057" s="209"/>
      <c r="J12057" s="124"/>
    </row>
    <row r="12058" spans="3:10" x14ac:dyDescent="0.2">
      <c r="C12058" s="209"/>
      <c r="D12058" s="209"/>
      <c r="E12058" s="209"/>
      <c r="J12058" s="124"/>
    </row>
    <row r="12059" spans="3:10" x14ac:dyDescent="0.2">
      <c r="C12059" s="209"/>
      <c r="D12059" s="209"/>
      <c r="E12059" s="209"/>
      <c r="J12059" s="124"/>
    </row>
    <row r="12060" spans="3:10" x14ac:dyDescent="0.2">
      <c r="C12060" s="209"/>
      <c r="D12060" s="209"/>
      <c r="E12060" s="209"/>
      <c r="J12060" s="124"/>
    </row>
    <row r="12061" spans="3:10" x14ac:dyDescent="0.2">
      <c r="C12061" s="209"/>
      <c r="D12061" s="209"/>
      <c r="E12061" s="209"/>
      <c r="J12061" s="124"/>
    </row>
    <row r="12062" spans="3:10" x14ac:dyDescent="0.2">
      <c r="C12062" s="209"/>
      <c r="D12062" s="209"/>
      <c r="E12062" s="209"/>
      <c r="J12062" s="124"/>
    </row>
    <row r="12063" spans="3:10" x14ac:dyDescent="0.2">
      <c r="C12063" s="209"/>
      <c r="D12063" s="209"/>
      <c r="E12063" s="209"/>
      <c r="J12063" s="124"/>
    </row>
    <row r="12064" spans="3:10" x14ac:dyDescent="0.2">
      <c r="C12064" s="209"/>
      <c r="D12064" s="209"/>
      <c r="E12064" s="209"/>
      <c r="J12064" s="124"/>
    </row>
    <row r="12065" spans="3:10" x14ac:dyDescent="0.2">
      <c r="C12065" s="209"/>
      <c r="D12065" s="209"/>
      <c r="E12065" s="209"/>
      <c r="J12065" s="124"/>
    </row>
    <row r="12066" spans="3:10" x14ac:dyDescent="0.2">
      <c r="C12066" s="209"/>
      <c r="D12066" s="209"/>
      <c r="E12066" s="209"/>
      <c r="J12066" s="124"/>
    </row>
    <row r="12067" spans="3:10" x14ac:dyDescent="0.2">
      <c r="C12067" s="209"/>
      <c r="D12067" s="209"/>
      <c r="E12067" s="209"/>
      <c r="J12067" s="124"/>
    </row>
    <row r="12068" spans="3:10" x14ac:dyDescent="0.2">
      <c r="C12068" s="209"/>
      <c r="D12068" s="209"/>
      <c r="E12068" s="209"/>
      <c r="J12068" s="124"/>
    </row>
    <row r="12069" spans="3:10" x14ac:dyDescent="0.2">
      <c r="C12069" s="209"/>
      <c r="D12069" s="209"/>
      <c r="E12069" s="209"/>
      <c r="J12069" s="124"/>
    </row>
    <row r="12070" spans="3:10" x14ac:dyDescent="0.2">
      <c r="C12070" s="209"/>
      <c r="D12070" s="209"/>
      <c r="E12070" s="209"/>
      <c r="J12070" s="124"/>
    </row>
    <row r="12071" spans="3:10" x14ac:dyDescent="0.2">
      <c r="C12071" s="209"/>
      <c r="D12071" s="209"/>
      <c r="E12071" s="209"/>
      <c r="J12071" s="124"/>
    </row>
    <row r="12072" spans="3:10" x14ac:dyDescent="0.2">
      <c r="C12072" s="209"/>
      <c r="D12072" s="209"/>
      <c r="E12072" s="209"/>
      <c r="J12072" s="124"/>
    </row>
    <row r="12073" spans="3:10" x14ac:dyDescent="0.2">
      <c r="C12073" s="209"/>
      <c r="D12073" s="209"/>
      <c r="E12073" s="209"/>
      <c r="J12073" s="124"/>
    </row>
    <row r="12074" spans="3:10" x14ac:dyDescent="0.2">
      <c r="C12074" s="209"/>
      <c r="D12074" s="209"/>
      <c r="E12074" s="209"/>
      <c r="J12074" s="124"/>
    </row>
    <row r="12075" spans="3:10" x14ac:dyDescent="0.2">
      <c r="C12075" s="209"/>
      <c r="D12075" s="209"/>
      <c r="E12075" s="209"/>
      <c r="J12075" s="124"/>
    </row>
    <row r="12076" spans="3:10" x14ac:dyDescent="0.2">
      <c r="C12076" s="209"/>
      <c r="D12076" s="209"/>
      <c r="E12076" s="209"/>
      <c r="J12076" s="124"/>
    </row>
    <row r="12077" spans="3:10" x14ac:dyDescent="0.2">
      <c r="C12077" s="209"/>
      <c r="D12077" s="209"/>
      <c r="E12077" s="209"/>
      <c r="J12077" s="124"/>
    </row>
    <row r="12078" spans="3:10" x14ac:dyDescent="0.2">
      <c r="C12078" s="209"/>
      <c r="D12078" s="209"/>
      <c r="E12078" s="209"/>
      <c r="J12078" s="124"/>
    </row>
    <row r="12079" spans="3:10" x14ac:dyDescent="0.2">
      <c r="C12079" s="209"/>
      <c r="D12079" s="209"/>
      <c r="E12079" s="209"/>
      <c r="J12079" s="124"/>
    </row>
    <row r="12080" spans="3:10" x14ac:dyDescent="0.2">
      <c r="C12080" s="209"/>
      <c r="D12080" s="209"/>
      <c r="E12080" s="209"/>
      <c r="J12080" s="124"/>
    </row>
    <row r="12081" spans="3:10" x14ac:dyDescent="0.2">
      <c r="C12081" s="209"/>
      <c r="D12081" s="209"/>
      <c r="E12081" s="209"/>
      <c r="J12081" s="124"/>
    </row>
    <row r="12082" spans="3:10" x14ac:dyDescent="0.2">
      <c r="C12082" s="209"/>
      <c r="D12082" s="209"/>
      <c r="E12082" s="209"/>
      <c r="J12082" s="124"/>
    </row>
    <row r="12083" spans="3:10" x14ac:dyDescent="0.2">
      <c r="C12083" s="209"/>
      <c r="D12083" s="209"/>
      <c r="E12083" s="209"/>
      <c r="J12083" s="124"/>
    </row>
    <row r="12084" spans="3:10" x14ac:dyDescent="0.2">
      <c r="C12084" s="209"/>
      <c r="D12084" s="209"/>
      <c r="E12084" s="209"/>
      <c r="J12084" s="124"/>
    </row>
    <row r="12085" spans="3:10" x14ac:dyDescent="0.2">
      <c r="C12085" s="209"/>
      <c r="D12085" s="209"/>
      <c r="E12085" s="209"/>
      <c r="J12085" s="124"/>
    </row>
    <row r="12086" spans="3:10" x14ac:dyDescent="0.2">
      <c r="C12086" s="209"/>
      <c r="D12086" s="209"/>
      <c r="E12086" s="209"/>
      <c r="J12086" s="124"/>
    </row>
    <row r="12087" spans="3:10" x14ac:dyDescent="0.2">
      <c r="C12087" s="209"/>
      <c r="D12087" s="209"/>
      <c r="E12087" s="209"/>
      <c r="J12087" s="124"/>
    </row>
    <row r="12088" spans="3:10" x14ac:dyDescent="0.2">
      <c r="C12088" s="209"/>
      <c r="D12088" s="209"/>
      <c r="E12088" s="209"/>
      <c r="J12088" s="124"/>
    </row>
    <row r="12089" spans="3:10" x14ac:dyDescent="0.2">
      <c r="C12089" s="209"/>
      <c r="D12089" s="209"/>
      <c r="E12089" s="209"/>
      <c r="J12089" s="124"/>
    </row>
    <row r="12090" spans="3:10" x14ac:dyDescent="0.2">
      <c r="C12090" s="209"/>
      <c r="D12090" s="209"/>
      <c r="E12090" s="209"/>
      <c r="J12090" s="124"/>
    </row>
    <row r="12091" spans="3:10" x14ac:dyDescent="0.2">
      <c r="C12091" s="209"/>
      <c r="D12091" s="209"/>
      <c r="E12091" s="209"/>
      <c r="J12091" s="124"/>
    </row>
    <row r="12092" spans="3:10" x14ac:dyDescent="0.2">
      <c r="C12092" s="209"/>
      <c r="D12092" s="209"/>
      <c r="E12092" s="209"/>
      <c r="J12092" s="124"/>
    </row>
    <row r="12093" spans="3:10" x14ac:dyDescent="0.2">
      <c r="C12093" s="209"/>
      <c r="D12093" s="209"/>
      <c r="E12093" s="209"/>
      <c r="J12093" s="124"/>
    </row>
    <row r="12094" spans="3:10" x14ac:dyDescent="0.2">
      <c r="C12094" s="209"/>
      <c r="D12094" s="209"/>
      <c r="E12094" s="209"/>
      <c r="J12094" s="124"/>
    </row>
    <row r="12095" spans="3:10" x14ac:dyDescent="0.2">
      <c r="C12095" s="209"/>
      <c r="D12095" s="209"/>
      <c r="E12095" s="209"/>
      <c r="J12095" s="124"/>
    </row>
    <row r="12096" spans="3:10" x14ac:dyDescent="0.2">
      <c r="C12096" s="209"/>
      <c r="D12096" s="209"/>
      <c r="E12096" s="209"/>
      <c r="J12096" s="124"/>
    </row>
    <row r="12097" spans="3:10" x14ac:dyDescent="0.2">
      <c r="C12097" s="209"/>
      <c r="D12097" s="209"/>
      <c r="E12097" s="209"/>
      <c r="J12097" s="124"/>
    </row>
    <row r="12098" spans="3:10" x14ac:dyDescent="0.2">
      <c r="C12098" s="209"/>
      <c r="D12098" s="209"/>
      <c r="E12098" s="209"/>
      <c r="J12098" s="124"/>
    </row>
    <row r="12099" spans="3:10" x14ac:dyDescent="0.2">
      <c r="C12099" s="209"/>
      <c r="D12099" s="209"/>
      <c r="E12099" s="209"/>
      <c r="J12099" s="124"/>
    </row>
    <row r="12100" spans="3:10" x14ac:dyDescent="0.2">
      <c r="C12100" s="209"/>
      <c r="D12100" s="209"/>
      <c r="E12100" s="209"/>
      <c r="J12100" s="124"/>
    </row>
    <row r="12101" spans="3:10" x14ac:dyDescent="0.2">
      <c r="C12101" s="209"/>
      <c r="D12101" s="209"/>
      <c r="E12101" s="209"/>
      <c r="J12101" s="124"/>
    </row>
    <row r="12102" spans="3:10" x14ac:dyDescent="0.2">
      <c r="C12102" s="209"/>
      <c r="D12102" s="209"/>
      <c r="E12102" s="209"/>
      <c r="J12102" s="124"/>
    </row>
    <row r="12103" spans="3:10" x14ac:dyDescent="0.2">
      <c r="C12103" s="209"/>
      <c r="D12103" s="209"/>
      <c r="E12103" s="209"/>
      <c r="J12103" s="124"/>
    </row>
    <row r="12104" spans="3:10" x14ac:dyDescent="0.2">
      <c r="C12104" s="209"/>
      <c r="D12104" s="209"/>
      <c r="E12104" s="209"/>
      <c r="J12104" s="124"/>
    </row>
    <row r="12105" spans="3:10" x14ac:dyDescent="0.2">
      <c r="C12105" s="209"/>
      <c r="D12105" s="209"/>
      <c r="E12105" s="209"/>
      <c r="J12105" s="124"/>
    </row>
    <row r="12106" spans="3:10" x14ac:dyDescent="0.2">
      <c r="C12106" s="209"/>
      <c r="D12106" s="209"/>
      <c r="E12106" s="209"/>
      <c r="J12106" s="124"/>
    </row>
    <row r="12107" spans="3:10" x14ac:dyDescent="0.2">
      <c r="C12107" s="209"/>
      <c r="D12107" s="209"/>
      <c r="E12107" s="209"/>
      <c r="J12107" s="124"/>
    </row>
    <row r="12108" spans="3:10" x14ac:dyDescent="0.2">
      <c r="C12108" s="209"/>
      <c r="D12108" s="209"/>
      <c r="E12108" s="209"/>
      <c r="J12108" s="124"/>
    </row>
    <row r="12109" spans="3:10" x14ac:dyDescent="0.2">
      <c r="C12109" s="209"/>
      <c r="D12109" s="209"/>
      <c r="E12109" s="209"/>
      <c r="J12109" s="124"/>
    </row>
    <row r="12110" spans="3:10" x14ac:dyDescent="0.2">
      <c r="C12110" s="209"/>
      <c r="D12110" s="209"/>
      <c r="E12110" s="209"/>
      <c r="J12110" s="124"/>
    </row>
    <row r="12111" spans="3:10" x14ac:dyDescent="0.2">
      <c r="C12111" s="209"/>
      <c r="D12111" s="209"/>
      <c r="E12111" s="209"/>
      <c r="J12111" s="124"/>
    </row>
    <row r="12112" spans="3:10" x14ac:dyDescent="0.2">
      <c r="C12112" s="209"/>
      <c r="D12112" s="209"/>
      <c r="E12112" s="209"/>
      <c r="J12112" s="124"/>
    </row>
    <row r="12113" spans="3:10" x14ac:dyDescent="0.2">
      <c r="C12113" s="209"/>
      <c r="D12113" s="209"/>
      <c r="E12113" s="209"/>
      <c r="J12113" s="124"/>
    </row>
    <row r="12114" spans="3:10" x14ac:dyDescent="0.2">
      <c r="C12114" s="209"/>
      <c r="D12114" s="209"/>
      <c r="E12114" s="209"/>
      <c r="J12114" s="124"/>
    </row>
    <row r="12115" spans="3:10" x14ac:dyDescent="0.2">
      <c r="C12115" s="209"/>
      <c r="D12115" s="209"/>
      <c r="E12115" s="209"/>
      <c r="J12115" s="124"/>
    </row>
    <row r="12116" spans="3:10" x14ac:dyDescent="0.2">
      <c r="C12116" s="209"/>
      <c r="D12116" s="209"/>
      <c r="E12116" s="209"/>
      <c r="J12116" s="124"/>
    </row>
    <row r="12117" spans="3:10" x14ac:dyDescent="0.2">
      <c r="C12117" s="209"/>
      <c r="D12117" s="209"/>
      <c r="E12117" s="209"/>
      <c r="J12117" s="124"/>
    </row>
    <row r="12118" spans="3:10" x14ac:dyDescent="0.2">
      <c r="C12118" s="209"/>
      <c r="D12118" s="209"/>
      <c r="E12118" s="209"/>
      <c r="J12118" s="124"/>
    </row>
    <row r="12119" spans="3:10" x14ac:dyDescent="0.2">
      <c r="C12119" s="209"/>
      <c r="D12119" s="209"/>
      <c r="E12119" s="209"/>
      <c r="J12119" s="124"/>
    </row>
    <row r="12120" spans="3:10" x14ac:dyDescent="0.2">
      <c r="C12120" s="209"/>
      <c r="D12120" s="209"/>
      <c r="E12120" s="209"/>
      <c r="J12120" s="124"/>
    </row>
    <row r="12121" spans="3:10" x14ac:dyDescent="0.2">
      <c r="C12121" s="209"/>
      <c r="D12121" s="209"/>
      <c r="E12121" s="209"/>
      <c r="J12121" s="124"/>
    </row>
    <row r="12122" spans="3:10" x14ac:dyDescent="0.2">
      <c r="C12122" s="209"/>
      <c r="D12122" s="209"/>
      <c r="E12122" s="209"/>
      <c r="J12122" s="124"/>
    </row>
    <row r="12123" spans="3:10" x14ac:dyDescent="0.2">
      <c r="C12123" s="209"/>
      <c r="D12123" s="209"/>
      <c r="E12123" s="209"/>
      <c r="J12123" s="124"/>
    </row>
    <row r="12124" spans="3:10" x14ac:dyDescent="0.2">
      <c r="C12124" s="209"/>
      <c r="D12124" s="209"/>
      <c r="E12124" s="209"/>
      <c r="J12124" s="124"/>
    </row>
    <row r="12125" spans="3:10" x14ac:dyDescent="0.2">
      <c r="C12125" s="209"/>
      <c r="D12125" s="209"/>
      <c r="E12125" s="209"/>
      <c r="J12125" s="124"/>
    </row>
    <row r="12126" spans="3:10" x14ac:dyDescent="0.2">
      <c r="C12126" s="209"/>
      <c r="D12126" s="209"/>
      <c r="E12126" s="209"/>
      <c r="J12126" s="124"/>
    </row>
    <row r="12127" spans="3:10" x14ac:dyDescent="0.2">
      <c r="C12127" s="209"/>
      <c r="D12127" s="209"/>
      <c r="E12127" s="209"/>
      <c r="J12127" s="124"/>
    </row>
    <row r="12128" spans="3:10" x14ac:dyDescent="0.2">
      <c r="C12128" s="209"/>
      <c r="D12128" s="209"/>
      <c r="E12128" s="209"/>
      <c r="J12128" s="124"/>
    </row>
    <row r="12129" spans="3:10" x14ac:dyDescent="0.2">
      <c r="C12129" s="209"/>
      <c r="D12129" s="209"/>
      <c r="E12129" s="209"/>
      <c r="J12129" s="124"/>
    </row>
    <row r="12130" spans="3:10" x14ac:dyDescent="0.2">
      <c r="C12130" s="209"/>
      <c r="D12130" s="209"/>
      <c r="E12130" s="209"/>
      <c r="J12130" s="124"/>
    </row>
    <row r="12131" spans="3:10" x14ac:dyDescent="0.2">
      <c r="C12131" s="209"/>
      <c r="D12131" s="209"/>
      <c r="E12131" s="209"/>
      <c r="J12131" s="124"/>
    </row>
    <row r="12132" spans="3:10" x14ac:dyDescent="0.2">
      <c r="C12132" s="209"/>
      <c r="D12132" s="209"/>
      <c r="E12132" s="209"/>
      <c r="J12132" s="124"/>
    </row>
    <row r="12133" spans="3:10" x14ac:dyDescent="0.2">
      <c r="C12133" s="209"/>
      <c r="D12133" s="209"/>
      <c r="E12133" s="209"/>
      <c r="J12133" s="124"/>
    </row>
    <row r="12134" spans="3:10" x14ac:dyDescent="0.2">
      <c r="C12134" s="209"/>
      <c r="D12134" s="209"/>
      <c r="E12134" s="209"/>
      <c r="J12134" s="124"/>
    </row>
    <row r="12135" spans="3:10" x14ac:dyDescent="0.2">
      <c r="C12135" s="209"/>
      <c r="D12135" s="209"/>
      <c r="E12135" s="209"/>
      <c r="J12135" s="124"/>
    </row>
    <row r="12136" spans="3:10" x14ac:dyDescent="0.2">
      <c r="C12136" s="209"/>
      <c r="D12136" s="209"/>
      <c r="E12136" s="209"/>
      <c r="J12136" s="124"/>
    </row>
    <row r="12137" spans="3:10" x14ac:dyDescent="0.2">
      <c r="C12137" s="209"/>
      <c r="D12137" s="209"/>
      <c r="E12137" s="209"/>
      <c r="J12137" s="124"/>
    </row>
    <row r="12138" spans="3:10" x14ac:dyDescent="0.2">
      <c r="C12138" s="209"/>
      <c r="D12138" s="209"/>
      <c r="E12138" s="209"/>
      <c r="J12138" s="124"/>
    </row>
    <row r="12139" spans="3:10" x14ac:dyDescent="0.2">
      <c r="C12139" s="209"/>
      <c r="D12139" s="209"/>
      <c r="E12139" s="209"/>
      <c r="J12139" s="124"/>
    </row>
    <row r="12140" spans="3:10" x14ac:dyDescent="0.2">
      <c r="C12140" s="209"/>
      <c r="D12140" s="209"/>
      <c r="E12140" s="209"/>
      <c r="J12140" s="124"/>
    </row>
    <row r="12141" spans="3:10" x14ac:dyDescent="0.2">
      <c r="C12141" s="209"/>
      <c r="D12141" s="209"/>
      <c r="E12141" s="209"/>
      <c r="J12141" s="124"/>
    </row>
    <row r="12142" spans="3:10" x14ac:dyDescent="0.2">
      <c r="C12142" s="209"/>
      <c r="D12142" s="209"/>
      <c r="E12142" s="209"/>
      <c r="J12142" s="124"/>
    </row>
    <row r="12143" spans="3:10" x14ac:dyDescent="0.2">
      <c r="C12143" s="209"/>
      <c r="D12143" s="209"/>
      <c r="E12143" s="209"/>
      <c r="J12143" s="124"/>
    </row>
    <row r="12144" spans="3:10" x14ac:dyDescent="0.2">
      <c r="C12144" s="209"/>
      <c r="D12144" s="209"/>
      <c r="E12144" s="209"/>
      <c r="J12144" s="124"/>
    </row>
    <row r="12145" spans="3:10" x14ac:dyDescent="0.2">
      <c r="C12145" s="209"/>
      <c r="D12145" s="209"/>
      <c r="E12145" s="209"/>
      <c r="J12145" s="124"/>
    </row>
    <row r="12146" spans="3:10" x14ac:dyDescent="0.2">
      <c r="C12146" s="209"/>
      <c r="D12146" s="209"/>
      <c r="E12146" s="209"/>
      <c r="J12146" s="124"/>
    </row>
    <row r="12147" spans="3:10" x14ac:dyDescent="0.2">
      <c r="C12147" s="209"/>
      <c r="D12147" s="209"/>
      <c r="E12147" s="209"/>
      <c r="J12147" s="124"/>
    </row>
    <row r="12148" spans="3:10" x14ac:dyDescent="0.2">
      <c r="C12148" s="209"/>
      <c r="D12148" s="209"/>
      <c r="E12148" s="209"/>
      <c r="J12148" s="124"/>
    </row>
    <row r="12149" spans="3:10" x14ac:dyDescent="0.2">
      <c r="C12149" s="209"/>
      <c r="D12149" s="209"/>
      <c r="E12149" s="209"/>
      <c r="J12149" s="124"/>
    </row>
    <row r="12150" spans="3:10" x14ac:dyDescent="0.2">
      <c r="C12150" s="209"/>
      <c r="D12150" s="209"/>
      <c r="E12150" s="209"/>
      <c r="J12150" s="124"/>
    </row>
    <row r="12151" spans="3:10" x14ac:dyDescent="0.2">
      <c r="C12151" s="209"/>
      <c r="D12151" s="209"/>
      <c r="E12151" s="209"/>
      <c r="J12151" s="124"/>
    </row>
    <row r="12152" spans="3:10" x14ac:dyDescent="0.2">
      <c r="C12152" s="209"/>
      <c r="D12152" s="209"/>
      <c r="E12152" s="209"/>
      <c r="J12152" s="124"/>
    </row>
    <row r="12153" spans="3:10" x14ac:dyDescent="0.2">
      <c r="C12153" s="209"/>
      <c r="D12153" s="209"/>
      <c r="E12153" s="209"/>
      <c r="J12153" s="124"/>
    </row>
    <row r="12154" spans="3:10" x14ac:dyDescent="0.2">
      <c r="C12154" s="209"/>
      <c r="D12154" s="209"/>
      <c r="E12154" s="209"/>
      <c r="J12154" s="124"/>
    </row>
    <row r="12155" spans="3:10" x14ac:dyDescent="0.2">
      <c r="C12155" s="209"/>
      <c r="D12155" s="209"/>
      <c r="E12155" s="209"/>
      <c r="J12155" s="124"/>
    </row>
    <row r="12156" spans="3:10" x14ac:dyDescent="0.2">
      <c r="C12156" s="209"/>
      <c r="D12156" s="209"/>
      <c r="E12156" s="209"/>
      <c r="J12156" s="124"/>
    </row>
    <row r="12157" spans="3:10" x14ac:dyDescent="0.2">
      <c r="C12157" s="209"/>
      <c r="D12157" s="209"/>
      <c r="E12157" s="209"/>
      <c r="J12157" s="124"/>
    </row>
    <row r="12158" spans="3:10" x14ac:dyDescent="0.2">
      <c r="C12158" s="209"/>
      <c r="D12158" s="209"/>
      <c r="E12158" s="209"/>
      <c r="J12158" s="124"/>
    </row>
    <row r="12159" spans="3:10" x14ac:dyDescent="0.2">
      <c r="C12159" s="209"/>
      <c r="D12159" s="209"/>
      <c r="E12159" s="209"/>
      <c r="J12159" s="124"/>
    </row>
    <row r="12160" spans="3:10" x14ac:dyDescent="0.2">
      <c r="C12160" s="209"/>
      <c r="D12160" s="209"/>
      <c r="E12160" s="209"/>
      <c r="J12160" s="124"/>
    </row>
    <row r="12161" spans="3:10" x14ac:dyDescent="0.2">
      <c r="C12161" s="209"/>
      <c r="D12161" s="209"/>
      <c r="E12161" s="209"/>
      <c r="J12161" s="124"/>
    </row>
    <row r="12162" spans="3:10" x14ac:dyDescent="0.2">
      <c r="C12162" s="209"/>
      <c r="D12162" s="209"/>
      <c r="E12162" s="209"/>
      <c r="J12162" s="124"/>
    </row>
    <row r="12163" spans="3:10" x14ac:dyDescent="0.2">
      <c r="C12163" s="209"/>
      <c r="D12163" s="209"/>
      <c r="E12163" s="209"/>
      <c r="J12163" s="124"/>
    </row>
    <row r="12164" spans="3:10" x14ac:dyDescent="0.2">
      <c r="C12164" s="209"/>
      <c r="D12164" s="209"/>
      <c r="E12164" s="209"/>
      <c r="J12164" s="124"/>
    </row>
    <row r="12165" spans="3:10" x14ac:dyDescent="0.2">
      <c r="C12165" s="209"/>
      <c r="D12165" s="209"/>
      <c r="E12165" s="209"/>
      <c r="J12165" s="124"/>
    </row>
    <row r="12166" spans="3:10" x14ac:dyDescent="0.2">
      <c r="C12166" s="209"/>
      <c r="D12166" s="209"/>
      <c r="E12166" s="209"/>
      <c r="J12166" s="124"/>
    </row>
    <row r="12167" spans="3:10" x14ac:dyDescent="0.2">
      <c r="C12167" s="209"/>
      <c r="D12167" s="209"/>
      <c r="E12167" s="209"/>
      <c r="J12167" s="124"/>
    </row>
    <row r="12168" spans="3:10" x14ac:dyDescent="0.2">
      <c r="C12168" s="209"/>
      <c r="D12168" s="209"/>
      <c r="E12168" s="209"/>
      <c r="J12168" s="124"/>
    </row>
    <row r="12169" spans="3:10" x14ac:dyDescent="0.2">
      <c r="C12169" s="209"/>
      <c r="D12169" s="209"/>
      <c r="E12169" s="209"/>
      <c r="J12169" s="124"/>
    </row>
    <row r="12170" spans="3:10" x14ac:dyDescent="0.2">
      <c r="C12170" s="209"/>
      <c r="D12170" s="209"/>
      <c r="E12170" s="209"/>
      <c r="J12170" s="124"/>
    </row>
    <row r="12171" spans="3:10" x14ac:dyDescent="0.2">
      <c r="C12171" s="209"/>
      <c r="D12171" s="209"/>
      <c r="E12171" s="209"/>
      <c r="J12171" s="124"/>
    </row>
    <row r="12172" spans="3:10" x14ac:dyDescent="0.2">
      <c r="C12172" s="209"/>
      <c r="D12172" s="209"/>
      <c r="E12172" s="209"/>
      <c r="J12172" s="124"/>
    </row>
    <row r="12173" spans="3:10" x14ac:dyDescent="0.2">
      <c r="C12173" s="209"/>
      <c r="D12173" s="209"/>
      <c r="E12173" s="209"/>
      <c r="J12173" s="124"/>
    </row>
    <row r="12174" spans="3:10" x14ac:dyDescent="0.2">
      <c r="C12174" s="209"/>
      <c r="D12174" s="209"/>
      <c r="E12174" s="209"/>
      <c r="J12174" s="124"/>
    </row>
    <row r="12175" spans="3:10" x14ac:dyDescent="0.2">
      <c r="C12175" s="209"/>
      <c r="D12175" s="209"/>
      <c r="E12175" s="209"/>
      <c r="J12175" s="124"/>
    </row>
    <row r="12176" spans="3:10" x14ac:dyDescent="0.2">
      <c r="C12176" s="209"/>
      <c r="D12176" s="209"/>
      <c r="E12176" s="209"/>
      <c r="J12176" s="124"/>
    </row>
    <row r="12177" spans="3:10" x14ac:dyDescent="0.2">
      <c r="C12177" s="209"/>
      <c r="D12177" s="209"/>
      <c r="E12177" s="209"/>
      <c r="J12177" s="124"/>
    </row>
    <row r="12178" spans="3:10" x14ac:dyDescent="0.2">
      <c r="C12178" s="209"/>
      <c r="D12178" s="209"/>
      <c r="E12178" s="209"/>
      <c r="J12178" s="124"/>
    </row>
    <row r="12179" spans="3:10" x14ac:dyDescent="0.2">
      <c r="C12179" s="209"/>
      <c r="D12179" s="209"/>
      <c r="E12179" s="209"/>
      <c r="J12179" s="124"/>
    </row>
    <row r="12180" spans="3:10" x14ac:dyDescent="0.2">
      <c r="C12180" s="209"/>
      <c r="D12180" s="209"/>
      <c r="E12180" s="209"/>
      <c r="J12180" s="124"/>
    </row>
    <row r="12181" spans="3:10" x14ac:dyDescent="0.2">
      <c r="C12181" s="209"/>
      <c r="D12181" s="209"/>
      <c r="E12181" s="209"/>
      <c r="J12181" s="124"/>
    </row>
    <row r="12182" spans="3:10" x14ac:dyDescent="0.2">
      <c r="C12182" s="209"/>
      <c r="D12182" s="209"/>
      <c r="E12182" s="209"/>
      <c r="J12182" s="124"/>
    </row>
    <row r="12183" spans="3:10" x14ac:dyDescent="0.2">
      <c r="C12183" s="209"/>
      <c r="D12183" s="209"/>
      <c r="E12183" s="209"/>
      <c r="J12183" s="124"/>
    </row>
    <row r="12184" spans="3:10" x14ac:dyDescent="0.2">
      <c r="C12184" s="209"/>
      <c r="D12184" s="209"/>
      <c r="E12184" s="209"/>
      <c r="J12184" s="124"/>
    </row>
    <row r="12185" spans="3:10" x14ac:dyDescent="0.2">
      <c r="C12185" s="209"/>
      <c r="D12185" s="209"/>
      <c r="E12185" s="209"/>
      <c r="J12185" s="124"/>
    </row>
    <row r="12186" spans="3:10" x14ac:dyDescent="0.2">
      <c r="C12186" s="209"/>
      <c r="D12186" s="209"/>
      <c r="E12186" s="209"/>
      <c r="J12186" s="124"/>
    </row>
    <row r="12187" spans="3:10" x14ac:dyDescent="0.2">
      <c r="C12187" s="209"/>
      <c r="D12187" s="209"/>
      <c r="E12187" s="209"/>
      <c r="J12187" s="124"/>
    </row>
    <row r="12188" spans="3:10" x14ac:dyDescent="0.2">
      <c r="C12188" s="209"/>
      <c r="D12188" s="209"/>
      <c r="E12188" s="209"/>
      <c r="J12188" s="124"/>
    </row>
    <row r="12189" spans="3:10" x14ac:dyDescent="0.2">
      <c r="C12189" s="209"/>
      <c r="D12189" s="209"/>
      <c r="E12189" s="209"/>
      <c r="J12189" s="124"/>
    </row>
    <row r="12190" spans="3:10" x14ac:dyDescent="0.2">
      <c r="C12190" s="209"/>
      <c r="D12190" s="209"/>
      <c r="E12190" s="209"/>
      <c r="J12190" s="124"/>
    </row>
    <row r="12191" spans="3:10" x14ac:dyDescent="0.2">
      <c r="C12191" s="209"/>
      <c r="D12191" s="209"/>
      <c r="E12191" s="209"/>
      <c r="J12191" s="124"/>
    </row>
    <row r="12192" spans="3:10" x14ac:dyDescent="0.2">
      <c r="C12192" s="209"/>
      <c r="D12192" s="209"/>
      <c r="E12192" s="209"/>
      <c r="J12192" s="124"/>
    </row>
    <row r="12193" spans="3:10" x14ac:dyDescent="0.2">
      <c r="C12193" s="209"/>
      <c r="D12193" s="209"/>
      <c r="E12193" s="209"/>
      <c r="J12193" s="124"/>
    </row>
    <row r="12194" spans="3:10" x14ac:dyDescent="0.2">
      <c r="C12194" s="209"/>
      <c r="D12194" s="209"/>
      <c r="E12194" s="209"/>
      <c r="J12194" s="124"/>
    </row>
    <row r="12195" spans="3:10" x14ac:dyDescent="0.2">
      <c r="C12195" s="209"/>
      <c r="D12195" s="209"/>
      <c r="E12195" s="209"/>
      <c r="J12195" s="124"/>
    </row>
    <row r="12196" spans="3:10" x14ac:dyDescent="0.2">
      <c r="C12196" s="209"/>
      <c r="D12196" s="209"/>
      <c r="E12196" s="209"/>
      <c r="J12196" s="124"/>
    </row>
    <row r="12197" spans="3:10" x14ac:dyDescent="0.2">
      <c r="C12197" s="209"/>
      <c r="D12197" s="209"/>
      <c r="E12197" s="209"/>
      <c r="J12197" s="124"/>
    </row>
    <row r="12198" spans="3:10" x14ac:dyDescent="0.2">
      <c r="C12198" s="209"/>
      <c r="D12198" s="209"/>
      <c r="E12198" s="209"/>
      <c r="J12198" s="124"/>
    </row>
    <row r="12199" spans="3:10" x14ac:dyDescent="0.2">
      <c r="C12199" s="209"/>
      <c r="D12199" s="209"/>
      <c r="E12199" s="209"/>
      <c r="J12199" s="124"/>
    </row>
    <row r="12200" spans="3:10" x14ac:dyDescent="0.2">
      <c r="C12200" s="209"/>
      <c r="D12200" s="209"/>
      <c r="E12200" s="209"/>
      <c r="J12200" s="124"/>
    </row>
    <row r="12201" spans="3:10" x14ac:dyDescent="0.2">
      <c r="C12201" s="209"/>
      <c r="D12201" s="209"/>
      <c r="E12201" s="209"/>
      <c r="J12201" s="124"/>
    </row>
    <row r="12202" spans="3:10" x14ac:dyDescent="0.2">
      <c r="C12202" s="209"/>
      <c r="D12202" s="209"/>
      <c r="E12202" s="209"/>
      <c r="J12202" s="124"/>
    </row>
    <row r="12203" spans="3:10" x14ac:dyDescent="0.2">
      <c r="C12203" s="209"/>
      <c r="D12203" s="209"/>
      <c r="E12203" s="209"/>
      <c r="J12203" s="124"/>
    </row>
    <row r="12204" spans="3:10" x14ac:dyDescent="0.2">
      <c r="C12204" s="209"/>
      <c r="D12204" s="209"/>
      <c r="E12204" s="209"/>
      <c r="J12204" s="124"/>
    </row>
    <row r="12205" spans="3:10" x14ac:dyDescent="0.2">
      <c r="C12205" s="209"/>
      <c r="D12205" s="209"/>
      <c r="E12205" s="209"/>
      <c r="J12205" s="124"/>
    </row>
    <row r="12206" spans="3:10" x14ac:dyDescent="0.2">
      <c r="C12206" s="209"/>
      <c r="D12206" s="209"/>
      <c r="E12206" s="209"/>
      <c r="J12206" s="124"/>
    </row>
    <row r="12207" spans="3:10" x14ac:dyDescent="0.2">
      <c r="C12207" s="209"/>
      <c r="D12207" s="209"/>
      <c r="E12207" s="209"/>
      <c r="J12207" s="124"/>
    </row>
    <row r="12208" spans="3:10" x14ac:dyDescent="0.2">
      <c r="C12208" s="209"/>
      <c r="D12208" s="209"/>
      <c r="E12208" s="209"/>
      <c r="J12208" s="124"/>
    </row>
    <row r="12209" spans="3:10" x14ac:dyDescent="0.2">
      <c r="C12209" s="209"/>
      <c r="D12209" s="209"/>
      <c r="E12209" s="209"/>
      <c r="J12209" s="124"/>
    </row>
    <row r="12210" spans="3:10" x14ac:dyDescent="0.2">
      <c r="C12210" s="209"/>
      <c r="D12210" s="209"/>
      <c r="E12210" s="209"/>
      <c r="J12210" s="124"/>
    </row>
    <row r="12211" spans="3:10" x14ac:dyDescent="0.2">
      <c r="C12211" s="209"/>
      <c r="D12211" s="209"/>
      <c r="E12211" s="209"/>
      <c r="J12211" s="124"/>
    </row>
    <row r="12212" spans="3:10" x14ac:dyDescent="0.2">
      <c r="C12212" s="209"/>
      <c r="D12212" s="209"/>
      <c r="E12212" s="209"/>
      <c r="J12212" s="124"/>
    </row>
    <row r="12213" spans="3:10" x14ac:dyDescent="0.2">
      <c r="C12213" s="209"/>
      <c r="D12213" s="209"/>
      <c r="E12213" s="209"/>
      <c r="J12213" s="124"/>
    </row>
    <row r="12214" spans="3:10" x14ac:dyDescent="0.2">
      <c r="C12214" s="209"/>
      <c r="D12214" s="209"/>
      <c r="E12214" s="209"/>
      <c r="J12214" s="124"/>
    </row>
    <row r="12215" spans="3:10" x14ac:dyDescent="0.2">
      <c r="C12215" s="209"/>
      <c r="D12215" s="209"/>
      <c r="E12215" s="209"/>
      <c r="J12215" s="124"/>
    </row>
    <row r="12216" spans="3:10" x14ac:dyDescent="0.2">
      <c r="C12216" s="209"/>
      <c r="D12216" s="209"/>
      <c r="E12216" s="209"/>
      <c r="J12216" s="124"/>
    </row>
    <row r="12217" spans="3:10" x14ac:dyDescent="0.2">
      <c r="C12217" s="209"/>
      <c r="D12217" s="209"/>
      <c r="E12217" s="209"/>
      <c r="J12217" s="124"/>
    </row>
    <row r="12218" spans="3:10" x14ac:dyDescent="0.2">
      <c r="C12218" s="209"/>
      <c r="D12218" s="209"/>
      <c r="E12218" s="209"/>
      <c r="J12218" s="124"/>
    </row>
    <row r="12219" spans="3:10" x14ac:dyDescent="0.2">
      <c r="C12219" s="209"/>
      <c r="D12219" s="209"/>
      <c r="E12219" s="209"/>
      <c r="J12219" s="124"/>
    </row>
    <row r="12220" spans="3:10" x14ac:dyDescent="0.2">
      <c r="C12220" s="209"/>
      <c r="D12220" s="209"/>
      <c r="E12220" s="209"/>
      <c r="J12220" s="124"/>
    </row>
    <row r="12221" spans="3:10" x14ac:dyDescent="0.2">
      <c r="C12221" s="209"/>
      <c r="D12221" s="209"/>
      <c r="E12221" s="209"/>
      <c r="J12221" s="124"/>
    </row>
    <row r="12222" spans="3:10" x14ac:dyDescent="0.2">
      <c r="C12222" s="209"/>
      <c r="D12222" s="209"/>
      <c r="E12222" s="209"/>
      <c r="J12222" s="124"/>
    </row>
    <row r="12223" spans="3:10" x14ac:dyDescent="0.2">
      <c r="C12223" s="209"/>
      <c r="D12223" s="209"/>
      <c r="E12223" s="209"/>
      <c r="J12223" s="124"/>
    </row>
    <row r="12224" spans="3:10" x14ac:dyDescent="0.2">
      <c r="C12224" s="209"/>
      <c r="D12224" s="209"/>
      <c r="E12224" s="209"/>
      <c r="J12224" s="124"/>
    </row>
    <row r="12225" spans="3:10" x14ac:dyDescent="0.2">
      <c r="C12225" s="209"/>
      <c r="D12225" s="209"/>
      <c r="E12225" s="209"/>
      <c r="J12225" s="124"/>
    </row>
    <row r="12226" spans="3:10" x14ac:dyDescent="0.2">
      <c r="C12226" s="209"/>
      <c r="D12226" s="209"/>
      <c r="E12226" s="209"/>
      <c r="J12226" s="124"/>
    </row>
    <row r="12227" spans="3:10" x14ac:dyDescent="0.2">
      <c r="C12227" s="209"/>
      <c r="D12227" s="209"/>
      <c r="E12227" s="209"/>
      <c r="J12227" s="124"/>
    </row>
    <row r="12228" spans="3:10" x14ac:dyDescent="0.2">
      <c r="C12228" s="209"/>
      <c r="D12228" s="209"/>
      <c r="E12228" s="209"/>
      <c r="J12228" s="124"/>
    </row>
    <row r="12229" spans="3:10" x14ac:dyDescent="0.2">
      <c r="C12229" s="209"/>
      <c r="D12229" s="209"/>
      <c r="E12229" s="209"/>
      <c r="J12229" s="124"/>
    </row>
    <row r="12230" spans="3:10" x14ac:dyDescent="0.2">
      <c r="C12230" s="209"/>
      <c r="D12230" s="209"/>
      <c r="E12230" s="209"/>
      <c r="J12230" s="124"/>
    </row>
    <row r="12231" spans="3:10" x14ac:dyDescent="0.2">
      <c r="C12231" s="209"/>
      <c r="D12231" s="209"/>
      <c r="E12231" s="209"/>
      <c r="J12231" s="124"/>
    </row>
    <row r="12232" spans="3:10" x14ac:dyDescent="0.2">
      <c r="C12232" s="209"/>
      <c r="D12232" s="209"/>
      <c r="E12232" s="209"/>
      <c r="J12232" s="124"/>
    </row>
    <row r="12233" spans="3:10" x14ac:dyDescent="0.2">
      <c r="C12233" s="209"/>
      <c r="D12233" s="209"/>
      <c r="E12233" s="209"/>
      <c r="J12233" s="124"/>
    </row>
    <row r="12234" spans="3:10" x14ac:dyDescent="0.2">
      <c r="C12234" s="209"/>
      <c r="D12234" s="209"/>
      <c r="E12234" s="209"/>
      <c r="J12234" s="124"/>
    </row>
    <row r="12235" spans="3:10" x14ac:dyDescent="0.2">
      <c r="C12235" s="209"/>
      <c r="D12235" s="209"/>
      <c r="E12235" s="209"/>
      <c r="J12235" s="124"/>
    </row>
    <row r="12236" spans="3:10" x14ac:dyDescent="0.2">
      <c r="C12236" s="209"/>
      <c r="D12236" s="209"/>
      <c r="E12236" s="209"/>
      <c r="J12236" s="124"/>
    </row>
    <row r="12237" spans="3:10" x14ac:dyDescent="0.2">
      <c r="C12237" s="209"/>
      <c r="D12237" s="209"/>
      <c r="E12237" s="209"/>
      <c r="J12237" s="124"/>
    </row>
    <row r="12238" spans="3:10" x14ac:dyDescent="0.2">
      <c r="C12238" s="209"/>
      <c r="D12238" s="209"/>
      <c r="E12238" s="209"/>
      <c r="J12238" s="124"/>
    </row>
    <row r="12239" spans="3:10" x14ac:dyDescent="0.2">
      <c r="C12239" s="209"/>
      <c r="D12239" s="209"/>
      <c r="E12239" s="209"/>
      <c r="J12239" s="124"/>
    </row>
    <row r="12240" spans="3:10" x14ac:dyDescent="0.2">
      <c r="C12240" s="209"/>
      <c r="D12240" s="209"/>
      <c r="E12240" s="209"/>
      <c r="J12240" s="124"/>
    </row>
    <row r="12241" spans="3:10" x14ac:dyDescent="0.2">
      <c r="C12241" s="209"/>
      <c r="D12241" s="209"/>
      <c r="E12241" s="209"/>
      <c r="J12241" s="124"/>
    </row>
    <row r="12242" spans="3:10" x14ac:dyDescent="0.2">
      <c r="C12242" s="209"/>
      <c r="D12242" s="209"/>
      <c r="E12242" s="209"/>
      <c r="J12242" s="124"/>
    </row>
    <row r="12243" spans="3:10" x14ac:dyDescent="0.2">
      <c r="C12243" s="209"/>
      <c r="D12243" s="209"/>
      <c r="E12243" s="209"/>
      <c r="J12243" s="124"/>
    </row>
    <row r="12244" spans="3:10" x14ac:dyDescent="0.2">
      <c r="C12244" s="209"/>
      <c r="D12244" s="209"/>
      <c r="E12244" s="209"/>
      <c r="J12244" s="124"/>
    </row>
    <row r="12245" spans="3:10" x14ac:dyDescent="0.2">
      <c r="C12245" s="209"/>
      <c r="D12245" s="209"/>
      <c r="E12245" s="209"/>
      <c r="J12245" s="124"/>
    </row>
    <row r="12246" spans="3:10" x14ac:dyDescent="0.2">
      <c r="C12246" s="209"/>
      <c r="D12246" s="209"/>
      <c r="E12246" s="209"/>
      <c r="J12246" s="124"/>
    </row>
    <row r="12247" spans="3:10" x14ac:dyDescent="0.2">
      <c r="C12247" s="209"/>
      <c r="D12247" s="209"/>
      <c r="E12247" s="209"/>
      <c r="J12247" s="124"/>
    </row>
    <row r="12248" spans="3:10" x14ac:dyDescent="0.2">
      <c r="C12248" s="209"/>
      <c r="D12248" s="209"/>
      <c r="E12248" s="209"/>
      <c r="J12248" s="124"/>
    </row>
    <row r="12249" spans="3:10" x14ac:dyDescent="0.2">
      <c r="C12249" s="209"/>
      <c r="D12249" s="209"/>
      <c r="E12249" s="209"/>
      <c r="J12249" s="124"/>
    </row>
    <row r="12250" spans="3:10" x14ac:dyDescent="0.2">
      <c r="C12250" s="209"/>
      <c r="D12250" s="209"/>
      <c r="E12250" s="209"/>
      <c r="J12250" s="124"/>
    </row>
    <row r="12251" spans="3:10" x14ac:dyDescent="0.2">
      <c r="C12251" s="209"/>
      <c r="D12251" s="209"/>
      <c r="E12251" s="209"/>
      <c r="J12251" s="124"/>
    </row>
    <row r="12252" spans="3:10" x14ac:dyDescent="0.2">
      <c r="C12252" s="209"/>
      <c r="D12252" s="209"/>
      <c r="E12252" s="209"/>
      <c r="J12252" s="124"/>
    </row>
    <row r="12253" spans="3:10" x14ac:dyDescent="0.2">
      <c r="C12253" s="209"/>
      <c r="D12253" s="209"/>
      <c r="E12253" s="209"/>
      <c r="J12253" s="124"/>
    </row>
    <row r="12254" spans="3:10" x14ac:dyDescent="0.2">
      <c r="C12254" s="209"/>
      <c r="D12254" s="209"/>
      <c r="E12254" s="209"/>
      <c r="J12254" s="124"/>
    </row>
    <row r="12255" spans="3:10" x14ac:dyDescent="0.2">
      <c r="C12255" s="209"/>
      <c r="D12255" s="209"/>
      <c r="E12255" s="209"/>
      <c r="J12255" s="124"/>
    </row>
    <row r="12256" spans="3:10" x14ac:dyDescent="0.2">
      <c r="C12256" s="209"/>
      <c r="D12256" s="209"/>
      <c r="E12256" s="209"/>
      <c r="J12256" s="124"/>
    </row>
    <row r="12257" spans="3:10" x14ac:dyDescent="0.2">
      <c r="C12257" s="209"/>
      <c r="D12257" s="209"/>
      <c r="E12257" s="209"/>
      <c r="J12257" s="124"/>
    </row>
    <row r="12258" spans="3:10" x14ac:dyDescent="0.2">
      <c r="C12258" s="209"/>
      <c r="D12258" s="209"/>
      <c r="E12258" s="209"/>
      <c r="J12258" s="124"/>
    </row>
    <row r="12259" spans="3:10" x14ac:dyDescent="0.2">
      <c r="C12259" s="209"/>
      <c r="D12259" s="209"/>
      <c r="E12259" s="209"/>
      <c r="J12259" s="124"/>
    </row>
    <row r="12260" spans="3:10" x14ac:dyDescent="0.2">
      <c r="C12260" s="209"/>
      <c r="D12260" s="209"/>
      <c r="E12260" s="209"/>
      <c r="J12260" s="124"/>
    </row>
    <row r="12261" spans="3:10" x14ac:dyDescent="0.2">
      <c r="C12261" s="209"/>
      <c r="D12261" s="209"/>
      <c r="E12261" s="209"/>
      <c r="J12261" s="124"/>
    </row>
    <row r="12262" spans="3:10" x14ac:dyDescent="0.2">
      <c r="C12262" s="209"/>
      <c r="D12262" s="209"/>
      <c r="E12262" s="209"/>
      <c r="J12262" s="124"/>
    </row>
    <row r="12263" spans="3:10" x14ac:dyDescent="0.2">
      <c r="C12263" s="209"/>
      <c r="D12263" s="209"/>
      <c r="E12263" s="209"/>
      <c r="J12263" s="124"/>
    </row>
    <row r="12264" spans="3:10" x14ac:dyDescent="0.2">
      <c r="C12264" s="209"/>
      <c r="D12264" s="209"/>
      <c r="E12264" s="209"/>
      <c r="J12264" s="124"/>
    </row>
    <row r="12265" spans="3:10" x14ac:dyDescent="0.2">
      <c r="C12265" s="209"/>
      <c r="D12265" s="209"/>
      <c r="E12265" s="209"/>
      <c r="J12265" s="124"/>
    </row>
    <row r="12266" spans="3:10" x14ac:dyDescent="0.2">
      <c r="C12266" s="209"/>
      <c r="D12266" s="209"/>
      <c r="E12266" s="209"/>
      <c r="J12266" s="124"/>
    </row>
    <row r="12267" spans="3:10" x14ac:dyDescent="0.2">
      <c r="C12267" s="209"/>
      <c r="D12267" s="209"/>
      <c r="E12267" s="209"/>
      <c r="J12267" s="124"/>
    </row>
    <row r="12268" spans="3:10" x14ac:dyDescent="0.2">
      <c r="C12268" s="209"/>
      <c r="D12268" s="209"/>
      <c r="E12268" s="209"/>
      <c r="J12268" s="124"/>
    </row>
    <row r="12269" spans="3:10" x14ac:dyDescent="0.2">
      <c r="C12269" s="209"/>
      <c r="D12269" s="209"/>
      <c r="E12269" s="209"/>
      <c r="J12269" s="124"/>
    </row>
    <row r="12270" spans="3:10" x14ac:dyDescent="0.2">
      <c r="C12270" s="209"/>
      <c r="D12270" s="209"/>
      <c r="E12270" s="209"/>
      <c r="J12270" s="124"/>
    </row>
    <row r="12271" spans="3:10" x14ac:dyDescent="0.2">
      <c r="C12271" s="209"/>
      <c r="D12271" s="209"/>
      <c r="E12271" s="209"/>
      <c r="J12271" s="124"/>
    </row>
    <row r="12272" spans="3:10" x14ac:dyDescent="0.2">
      <c r="C12272" s="209"/>
      <c r="D12272" s="209"/>
      <c r="E12272" s="209"/>
      <c r="J12272" s="124"/>
    </row>
    <row r="12273" spans="3:10" x14ac:dyDescent="0.2">
      <c r="C12273" s="209"/>
      <c r="D12273" s="209"/>
      <c r="E12273" s="209"/>
      <c r="J12273" s="124"/>
    </row>
    <row r="12274" spans="3:10" x14ac:dyDescent="0.2">
      <c r="C12274" s="209"/>
      <c r="D12274" s="209"/>
      <c r="E12274" s="209"/>
      <c r="J12274" s="124"/>
    </row>
    <row r="12275" spans="3:10" x14ac:dyDescent="0.2">
      <c r="C12275" s="209"/>
      <c r="D12275" s="209"/>
      <c r="E12275" s="209"/>
      <c r="J12275" s="124"/>
    </row>
    <row r="12276" spans="3:10" x14ac:dyDescent="0.2">
      <c r="C12276" s="209"/>
      <c r="D12276" s="209"/>
      <c r="E12276" s="209"/>
      <c r="J12276" s="124"/>
    </row>
    <row r="12277" spans="3:10" x14ac:dyDescent="0.2">
      <c r="C12277" s="209"/>
      <c r="D12277" s="209"/>
      <c r="E12277" s="209"/>
      <c r="J12277" s="124"/>
    </row>
    <row r="12278" spans="3:10" x14ac:dyDescent="0.2">
      <c r="C12278" s="209"/>
      <c r="D12278" s="209"/>
      <c r="E12278" s="209"/>
      <c r="J12278" s="124"/>
    </row>
    <row r="12279" spans="3:10" x14ac:dyDescent="0.2">
      <c r="C12279" s="209"/>
      <c r="D12279" s="209"/>
      <c r="E12279" s="209"/>
      <c r="J12279" s="124"/>
    </row>
    <row r="12280" spans="3:10" x14ac:dyDescent="0.2">
      <c r="C12280" s="209"/>
      <c r="D12280" s="209"/>
      <c r="E12280" s="209"/>
      <c r="J12280" s="124"/>
    </row>
    <row r="12281" spans="3:10" x14ac:dyDescent="0.2">
      <c r="C12281" s="209"/>
      <c r="D12281" s="209"/>
      <c r="E12281" s="209"/>
      <c r="J12281" s="124"/>
    </row>
    <row r="12282" spans="3:10" x14ac:dyDescent="0.2">
      <c r="C12282" s="209"/>
      <c r="D12282" s="209"/>
      <c r="E12282" s="209"/>
      <c r="J12282" s="124"/>
    </row>
    <row r="12283" spans="3:10" x14ac:dyDescent="0.2">
      <c r="C12283" s="209"/>
      <c r="D12283" s="209"/>
      <c r="E12283" s="209"/>
      <c r="J12283" s="124"/>
    </row>
    <row r="12284" spans="3:10" x14ac:dyDescent="0.2">
      <c r="C12284" s="209"/>
      <c r="D12284" s="209"/>
      <c r="E12284" s="209"/>
      <c r="J12284" s="124"/>
    </row>
    <row r="12285" spans="3:10" x14ac:dyDescent="0.2">
      <c r="C12285" s="209"/>
      <c r="D12285" s="209"/>
      <c r="E12285" s="209"/>
      <c r="J12285" s="124"/>
    </row>
    <row r="12286" spans="3:10" x14ac:dyDescent="0.2">
      <c r="C12286" s="209"/>
      <c r="D12286" s="209"/>
      <c r="E12286" s="209"/>
      <c r="J12286" s="124"/>
    </row>
    <row r="12287" spans="3:10" x14ac:dyDescent="0.2">
      <c r="C12287" s="209"/>
      <c r="D12287" s="209"/>
      <c r="E12287" s="209"/>
      <c r="J12287" s="124"/>
    </row>
    <row r="12288" spans="3:10" x14ac:dyDescent="0.2">
      <c r="C12288" s="209"/>
      <c r="D12288" s="209"/>
      <c r="E12288" s="209"/>
      <c r="J12288" s="124"/>
    </row>
    <row r="12289" spans="3:10" x14ac:dyDescent="0.2">
      <c r="C12289" s="209"/>
      <c r="D12289" s="209"/>
      <c r="E12289" s="209"/>
      <c r="J12289" s="124"/>
    </row>
    <row r="12290" spans="3:10" x14ac:dyDescent="0.2">
      <c r="C12290" s="209"/>
      <c r="D12290" s="209"/>
      <c r="E12290" s="209"/>
      <c r="J12290" s="124"/>
    </row>
    <row r="12291" spans="3:10" x14ac:dyDescent="0.2">
      <c r="C12291" s="209"/>
      <c r="D12291" s="209"/>
      <c r="E12291" s="209"/>
      <c r="J12291" s="124"/>
    </row>
    <row r="12292" spans="3:10" x14ac:dyDescent="0.2">
      <c r="C12292" s="209"/>
      <c r="D12292" s="209"/>
      <c r="E12292" s="209"/>
      <c r="J12292" s="124"/>
    </row>
    <row r="12293" spans="3:10" x14ac:dyDescent="0.2">
      <c r="C12293" s="209"/>
      <c r="D12293" s="209"/>
      <c r="E12293" s="209"/>
      <c r="J12293" s="124"/>
    </row>
    <row r="12294" spans="3:10" x14ac:dyDescent="0.2">
      <c r="C12294" s="209"/>
      <c r="D12294" s="209"/>
      <c r="E12294" s="209"/>
      <c r="J12294" s="124"/>
    </row>
    <row r="12295" spans="3:10" x14ac:dyDescent="0.2">
      <c r="C12295" s="209"/>
      <c r="D12295" s="209"/>
      <c r="E12295" s="209"/>
      <c r="J12295" s="124"/>
    </row>
    <row r="12296" spans="3:10" x14ac:dyDescent="0.2">
      <c r="C12296" s="209"/>
      <c r="D12296" s="209"/>
      <c r="E12296" s="209"/>
      <c r="J12296" s="124"/>
    </row>
    <row r="12297" spans="3:10" x14ac:dyDescent="0.2">
      <c r="C12297" s="209"/>
      <c r="D12297" s="209"/>
      <c r="E12297" s="209"/>
      <c r="J12297" s="124"/>
    </row>
    <row r="12298" spans="3:10" x14ac:dyDescent="0.2">
      <c r="C12298" s="209"/>
      <c r="D12298" s="209"/>
      <c r="E12298" s="209"/>
      <c r="J12298" s="124"/>
    </row>
    <row r="12299" spans="3:10" x14ac:dyDescent="0.2">
      <c r="C12299" s="209"/>
      <c r="D12299" s="209"/>
      <c r="E12299" s="209"/>
      <c r="J12299" s="124"/>
    </row>
    <row r="12300" spans="3:10" x14ac:dyDescent="0.2">
      <c r="C12300" s="209"/>
      <c r="D12300" s="209"/>
      <c r="E12300" s="209"/>
      <c r="J12300" s="124"/>
    </row>
    <row r="12301" spans="3:10" x14ac:dyDescent="0.2">
      <c r="C12301" s="209"/>
      <c r="D12301" s="209"/>
      <c r="E12301" s="209"/>
      <c r="J12301" s="124"/>
    </row>
    <row r="12302" spans="3:10" x14ac:dyDescent="0.2">
      <c r="C12302" s="209"/>
      <c r="D12302" s="209"/>
      <c r="E12302" s="209"/>
      <c r="J12302" s="124"/>
    </row>
    <row r="12303" spans="3:10" x14ac:dyDescent="0.2">
      <c r="C12303" s="209"/>
      <c r="D12303" s="209"/>
      <c r="E12303" s="209"/>
      <c r="J12303" s="124"/>
    </row>
    <row r="12304" spans="3:10" x14ac:dyDescent="0.2">
      <c r="C12304" s="209"/>
      <c r="D12304" s="209"/>
      <c r="E12304" s="209"/>
      <c r="J12304" s="124"/>
    </row>
    <row r="12305" spans="3:10" x14ac:dyDescent="0.2">
      <c r="C12305" s="209"/>
      <c r="D12305" s="209"/>
      <c r="E12305" s="209"/>
      <c r="J12305" s="124"/>
    </row>
    <row r="12306" spans="3:10" x14ac:dyDescent="0.2">
      <c r="C12306" s="209"/>
      <c r="D12306" s="209"/>
      <c r="E12306" s="209"/>
      <c r="J12306" s="124"/>
    </row>
    <row r="12307" spans="3:10" x14ac:dyDescent="0.2">
      <c r="C12307" s="209"/>
      <c r="D12307" s="209"/>
      <c r="E12307" s="209"/>
      <c r="J12307" s="124"/>
    </row>
    <row r="12308" spans="3:10" x14ac:dyDescent="0.2">
      <c r="C12308" s="209"/>
      <c r="D12308" s="209"/>
      <c r="E12308" s="209"/>
      <c r="J12308" s="124"/>
    </row>
    <row r="12309" spans="3:10" x14ac:dyDescent="0.2">
      <c r="C12309" s="209"/>
      <c r="D12309" s="209"/>
      <c r="E12309" s="209"/>
      <c r="J12309" s="124"/>
    </row>
    <row r="12310" spans="3:10" x14ac:dyDescent="0.2">
      <c r="C12310" s="209"/>
      <c r="D12310" s="209"/>
      <c r="E12310" s="209"/>
      <c r="J12310" s="124"/>
    </row>
    <row r="12311" spans="3:10" x14ac:dyDescent="0.2">
      <c r="C12311" s="209"/>
      <c r="D12311" s="209"/>
      <c r="E12311" s="209"/>
      <c r="J12311" s="124"/>
    </row>
    <row r="12312" spans="3:10" x14ac:dyDescent="0.2">
      <c r="C12312" s="209"/>
      <c r="D12312" s="209"/>
      <c r="E12312" s="209"/>
      <c r="J12312" s="124"/>
    </row>
    <row r="12313" spans="3:10" x14ac:dyDescent="0.2">
      <c r="C12313" s="209"/>
      <c r="D12313" s="209"/>
      <c r="E12313" s="209"/>
      <c r="J12313" s="124"/>
    </row>
    <row r="12314" spans="3:10" x14ac:dyDescent="0.2">
      <c r="C12314" s="209"/>
      <c r="D12314" s="209"/>
      <c r="E12314" s="209"/>
      <c r="J12314" s="124"/>
    </row>
    <row r="12315" spans="3:10" x14ac:dyDescent="0.2">
      <c r="C12315" s="209"/>
      <c r="D12315" s="209"/>
      <c r="E12315" s="209"/>
      <c r="J12315" s="124"/>
    </row>
    <row r="12316" spans="3:10" x14ac:dyDescent="0.2">
      <c r="C12316" s="209"/>
      <c r="D12316" s="209"/>
      <c r="E12316" s="209"/>
      <c r="J12316" s="124"/>
    </row>
    <row r="12317" spans="3:10" x14ac:dyDescent="0.2">
      <c r="C12317" s="209"/>
      <c r="D12317" s="209"/>
      <c r="E12317" s="209"/>
      <c r="J12317" s="124"/>
    </row>
    <row r="12318" spans="3:10" x14ac:dyDescent="0.2">
      <c r="C12318" s="209"/>
      <c r="D12318" s="209"/>
      <c r="E12318" s="209"/>
      <c r="J12318" s="124"/>
    </row>
    <row r="12319" spans="3:10" x14ac:dyDescent="0.2">
      <c r="C12319" s="209"/>
      <c r="D12319" s="209"/>
      <c r="E12319" s="209"/>
      <c r="J12319" s="124"/>
    </row>
    <row r="12320" spans="3:10" x14ac:dyDescent="0.2">
      <c r="C12320" s="209"/>
      <c r="D12320" s="209"/>
      <c r="E12320" s="209"/>
      <c r="J12320" s="124"/>
    </row>
    <row r="12321" spans="3:10" x14ac:dyDescent="0.2">
      <c r="C12321" s="209"/>
      <c r="D12321" s="209"/>
      <c r="E12321" s="209"/>
      <c r="J12321" s="124"/>
    </row>
    <row r="12322" spans="3:10" x14ac:dyDescent="0.2">
      <c r="C12322" s="209"/>
      <c r="D12322" s="209"/>
      <c r="E12322" s="209"/>
      <c r="J12322" s="124"/>
    </row>
    <row r="12323" spans="3:10" x14ac:dyDescent="0.2">
      <c r="C12323" s="209"/>
      <c r="D12323" s="209"/>
      <c r="E12323" s="209"/>
      <c r="J12323" s="124"/>
    </row>
    <row r="12324" spans="3:10" x14ac:dyDescent="0.2">
      <c r="C12324" s="209"/>
      <c r="D12324" s="209"/>
      <c r="E12324" s="209"/>
      <c r="J12324" s="124"/>
    </row>
    <row r="12325" spans="3:10" x14ac:dyDescent="0.2">
      <c r="C12325" s="209"/>
      <c r="D12325" s="209"/>
      <c r="E12325" s="209"/>
      <c r="J12325" s="124"/>
    </row>
    <row r="12326" spans="3:10" x14ac:dyDescent="0.2">
      <c r="C12326" s="209"/>
      <c r="D12326" s="209"/>
      <c r="E12326" s="209"/>
      <c r="J12326" s="124"/>
    </row>
    <row r="12327" spans="3:10" x14ac:dyDescent="0.2">
      <c r="C12327" s="209"/>
      <c r="D12327" s="209"/>
      <c r="E12327" s="209"/>
      <c r="J12327" s="124"/>
    </row>
    <row r="12328" spans="3:10" x14ac:dyDescent="0.2">
      <c r="C12328" s="209"/>
      <c r="D12328" s="209"/>
      <c r="E12328" s="209"/>
      <c r="J12328" s="124"/>
    </row>
    <row r="12329" spans="3:10" x14ac:dyDescent="0.2">
      <c r="C12329" s="209"/>
      <c r="D12329" s="209"/>
      <c r="E12329" s="209"/>
      <c r="J12329" s="124"/>
    </row>
    <row r="12330" spans="3:10" x14ac:dyDescent="0.2">
      <c r="C12330" s="209"/>
      <c r="D12330" s="209"/>
      <c r="E12330" s="209"/>
      <c r="J12330" s="124"/>
    </row>
    <row r="12331" spans="3:10" x14ac:dyDescent="0.2">
      <c r="C12331" s="209"/>
      <c r="D12331" s="209"/>
      <c r="E12331" s="209"/>
      <c r="J12331" s="124"/>
    </row>
    <row r="12332" spans="3:10" x14ac:dyDescent="0.2">
      <c r="C12332" s="209"/>
      <c r="D12332" s="209"/>
      <c r="E12332" s="209"/>
      <c r="J12332" s="124"/>
    </row>
    <row r="12333" spans="3:10" x14ac:dyDescent="0.2">
      <c r="C12333" s="209"/>
      <c r="D12333" s="209"/>
      <c r="E12333" s="209"/>
      <c r="J12333" s="124"/>
    </row>
    <row r="12334" spans="3:10" x14ac:dyDescent="0.2">
      <c r="C12334" s="209"/>
      <c r="D12334" s="209"/>
      <c r="E12334" s="209"/>
      <c r="J12334" s="124"/>
    </row>
    <row r="12335" spans="3:10" x14ac:dyDescent="0.2">
      <c r="C12335" s="209"/>
      <c r="D12335" s="209"/>
      <c r="E12335" s="209"/>
      <c r="J12335" s="124"/>
    </row>
    <row r="12336" spans="3:10" x14ac:dyDescent="0.2">
      <c r="C12336" s="209"/>
      <c r="D12336" s="209"/>
      <c r="E12336" s="209"/>
      <c r="J12336" s="124"/>
    </row>
    <row r="12337" spans="3:10" x14ac:dyDescent="0.2">
      <c r="C12337" s="209"/>
      <c r="D12337" s="209"/>
      <c r="E12337" s="209"/>
      <c r="J12337" s="124"/>
    </row>
    <row r="12338" spans="3:10" x14ac:dyDescent="0.2">
      <c r="C12338" s="209"/>
      <c r="D12338" s="209"/>
      <c r="E12338" s="209"/>
      <c r="J12338" s="124"/>
    </row>
    <row r="12339" spans="3:10" x14ac:dyDescent="0.2">
      <c r="C12339" s="209"/>
      <c r="D12339" s="209"/>
      <c r="E12339" s="209"/>
      <c r="J12339" s="124"/>
    </row>
    <row r="12340" spans="3:10" x14ac:dyDescent="0.2">
      <c r="C12340" s="209"/>
      <c r="D12340" s="209"/>
      <c r="E12340" s="209"/>
      <c r="J12340" s="124"/>
    </row>
    <row r="12341" spans="3:10" x14ac:dyDescent="0.2">
      <c r="C12341" s="209"/>
      <c r="D12341" s="209"/>
      <c r="E12341" s="209"/>
      <c r="J12341" s="124"/>
    </row>
    <row r="12342" spans="3:10" x14ac:dyDescent="0.2">
      <c r="C12342" s="209"/>
      <c r="D12342" s="209"/>
      <c r="E12342" s="209"/>
      <c r="J12342" s="124"/>
    </row>
    <row r="12343" spans="3:10" x14ac:dyDescent="0.2">
      <c r="C12343" s="209"/>
      <c r="D12343" s="209"/>
      <c r="E12343" s="209"/>
      <c r="J12343" s="124"/>
    </row>
    <row r="12344" spans="3:10" x14ac:dyDescent="0.2">
      <c r="C12344" s="209"/>
      <c r="D12344" s="209"/>
      <c r="E12344" s="209"/>
      <c r="J12344" s="124"/>
    </row>
    <row r="12345" spans="3:10" x14ac:dyDescent="0.2">
      <c r="C12345" s="209"/>
      <c r="D12345" s="209"/>
      <c r="E12345" s="209"/>
      <c r="J12345" s="124"/>
    </row>
    <row r="12346" spans="3:10" x14ac:dyDescent="0.2">
      <c r="C12346" s="209"/>
      <c r="D12346" s="209"/>
      <c r="E12346" s="209"/>
      <c r="J12346" s="124"/>
    </row>
    <row r="12347" spans="3:10" x14ac:dyDescent="0.2">
      <c r="C12347" s="209"/>
      <c r="D12347" s="209"/>
      <c r="E12347" s="209"/>
      <c r="J12347" s="124"/>
    </row>
    <row r="12348" spans="3:10" x14ac:dyDescent="0.2">
      <c r="C12348" s="209"/>
      <c r="D12348" s="209"/>
      <c r="E12348" s="209"/>
      <c r="J12348" s="124"/>
    </row>
    <row r="12349" spans="3:10" x14ac:dyDescent="0.2">
      <c r="C12349" s="209"/>
      <c r="D12349" s="209"/>
      <c r="E12349" s="209"/>
      <c r="J12349" s="124"/>
    </row>
    <row r="12350" spans="3:10" x14ac:dyDescent="0.2">
      <c r="C12350" s="209"/>
      <c r="D12350" s="209"/>
      <c r="E12350" s="209"/>
      <c r="J12350" s="124"/>
    </row>
    <row r="12351" spans="3:10" x14ac:dyDescent="0.2">
      <c r="C12351" s="209"/>
      <c r="D12351" s="209"/>
      <c r="E12351" s="209"/>
      <c r="J12351" s="124"/>
    </row>
    <row r="12352" spans="3:10" x14ac:dyDescent="0.2">
      <c r="C12352" s="209"/>
      <c r="D12352" s="209"/>
      <c r="E12352" s="209"/>
      <c r="J12352" s="124"/>
    </row>
    <row r="12353" spans="3:10" x14ac:dyDescent="0.2">
      <c r="C12353" s="209"/>
      <c r="D12353" s="209"/>
      <c r="E12353" s="209"/>
      <c r="J12353" s="124"/>
    </row>
    <row r="12354" spans="3:10" x14ac:dyDescent="0.2">
      <c r="C12354" s="209"/>
      <c r="D12354" s="209"/>
      <c r="E12354" s="209"/>
      <c r="J12354" s="124"/>
    </row>
    <row r="12355" spans="3:10" x14ac:dyDescent="0.2">
      <c r="C12355" s="209"/>
      <c r="D12355" s="209"/>
      <c r="E12355" s="209"/>
      <c r="J12355" s="124"/>
    </row>
    <row r="12356" spans="3:10" x14ac:dyDescent="0.2">
      <c r="C12356" s="209"/>
      <c r="D12356" s="209"/>
      <c r="E12356" s="209"/>
      <c r="J12356" s="124"/>
    </row>
    <row r="12357" spans="3:10" x14ac:dyDescent="0.2">
      <c r="C12357" s="209"/>
      <c r="D12357" s="209"/>
      <c r="E12357" s="209"/>
      <c r="J12357" s="124"/>
    </row>
    <row r="12358" spans="3:10" x14ac:dyDescent="0.2">
      <c r="C12358" s="209"/>
      <c r="D12358" s="209"/>
      <c r="E12358" s="209"/>
      <c r="J12358" s="124"/>
    </row>
    <row r="12359" spans="3:10" x14ac:dyDescent="0.2">
      <c r="C12359" s="209"/>
      <c r="D12359" s="209"/>
      <c r="E12359" s="209"/>
      <c r="J12359" s="124"/>
    </row>
    <row r="12360" spans="3:10" x14ac:dyDescent="0.2">
      <c r="C12360" s="209"/>
      <c r="D12360" s="209"/>
      <c r="E12360" s="209"/>
      <c r="J12360" s="124"/>
    </row>
    <row r="12361" spans="3:10" x14ac:dyDescent="0.2">
      <c r="C12361" s="209"/>
      <c r="D12361" s="209"/>
      <c r="E12361" s="209"/>
      <c r="J12361" s="124"/>
    </row>
    <row r="12362" spans="3:10" x14ac:dyDescent="0.2">
      <c r="C12362" s="209"/>
      <c r="D12362" s="209"/>
      <c r="E12362" s="209"/>
      <c r="J12362" s="124"/>
    </row>
    <row r="12363" spans="3:10" x14ac:dyDescent="0.2">
      <c r="C12363" s="209"/>
      <c r="D12363" s="209"/>
      <c r="E12363" s="209"/>
      <c r="J12363" s="124"/>
    </row>
    <row r="12364" spans="3:10" x14ac:dyDescent="0.2">
      <c r="C12364" s="209"/>
      <c r="D12364" s="209"/>
      <c r="E12364" s="209"/>
      <c r="J12364" s="124"/>
    </row>
    <row r="12365" spans="3:10" x14ac:dyDescent="0.2">
      <c r="C12365" s="209"/>
      <c r="D12365" s="209"/>
      <c r="E12365" s="209"/>
      <c r="J12365" s="124"/>
    </row>
    <row r="12366" spans="3:10" x14ac:dyDescent="0.2">
      <c r="C12366" s="209"/>
      <c r="D12366" s="209"/>
      <c r="E12366" s="209"/>
      <c r="J12366" s="124"/>
    </row>
    <row r="12367" spans="3:10" x14ac:dyDescent="0.2">
      <c r="C12367" s="209"/>
      <c r="D12367" s="209"/>
      <c r="E12367" s="209"/>
      <c r="J12367" s="124"/>
    </row>
    <row r="12368" spans="3:10" x14ac:dyDescent="0.2">
      <c r="C12368" s="209"/>
      <c r="D12368" s="209"/>
      <c r="E12368" s="209"/>
      <c r="J12368" s="124"/>
    </row>
    <row r="12369" spans="3:10" x14ac:dyDescent="0.2">
      <c r="C12369" s="209"/>
      <c r="D12369" s="209"/>
      <c r="E12369" s="209"/>
      <c r="J12369" s="124"/>
    </row>
    <row r="12370" spans="3:10" x14ac:dyDescent="0.2">
      <c r="C12370" s="209"/>
      <c r="D12370" s="209"/>
      <c r="E12370" s="209"/>
      <c r="J12370" s="124"/>
    </row>
    <row r="12371" spans="3:10" x14ac:dyDescent="0.2">
      <c r="C12371" s="209"/>
      <c r="D12371" s="209"/>
      <c r="E12371" s="209"/>
      <c r="J12371" s="124"/>
    </row>
    <row r="12372" spans="3:10" x14ac:dyDescent="0.2">
      <c r="C12372" s="209"/>
      <c r="D12372" s="209"/>
      <c r="E12372" s="209"/>
      <c r="J12372" s="124"/>
    </row>
    <row r="12373" spans="3:10" x14ac:dyDescent="0.2">
      <c r="C12373" s="209"/>
      <c r="D12373" s="209"/>
      <c r="E12373" s="209"/>
      <c r="J12373" s="124"/>
    </row>
    <row r="12374" spans="3:10" x14ac:dyDescent="0.2">
      <c r="C12374" s="209"/>
      <c r="D12374" s="209"/>
      <c r="E12374" s="209"/>
      <c r="J12374" s="124"/>
    </row>
    <row r="12375" spans="3:10" x14ac:dyDescent="0.2">
      <c r="C12375" s="209"/>
      <c r="D12375" s="209"/>
      <c r="E12375" s="209"/>
      <c r="J12375" s="124"/>
    </row>
    <row r="12376" spans="3:10" x14ac:dyDescent="0.2">
      <c r="C12376" s="209"/>
      <c r="D12376" s="209"/>
      <c r="E12376" s="209"/>
      <c r="J12376" s="124"/>
    </row>
    <row r="12377" spans="3:10" x14ac:dyDescent="0.2">
      <c r="C12377" s="209"/>
      <c r="D12377" s="209"/>
      <c r="E12377" s="209"/>
      <c r="J12377" s="124"/>
    </row>
    <row r="12378" spans="3:10" x14ac:dyDescent="0.2">
      <c r="C12378" s="209"/>
      <c r="D12378" s="209"/>
      <c r="E12378" s="209"/>
      <c r="J12378" s="124"/>
    </row>
    <row r="12379" spans="3:10" x14ac:dyDescent="0.2">
      <c r="C12379" s="209"/>
      <c r="D12379" s="209"/>
      <c r="E12379" s="209"/>
      <c r="J12379" s="124"/>
    </row>
    <row r="12380" spans="3:10" x14ac:dyDescent="0.2">
      <c r="C12380" s="209"/>
      <c r="D12380" s="209"/>
      <c r="E12380" s="209"/>
      <c r="J12380" s="124"/>
    </row>
    <row r="12381" spans="3:10" x14ac:dyDescent="0.2">
      <c r="C12381" s="209"/>
      <c r="D12381" s="209"/>
      <c r="E12381" s="209"/>
      <c r="J12381" s="124"/>
    </row>
    <row r="12382" spans="3:10" x14ac:dyDescent="0.2">
      <c r="C12382" s="209"/>
      <c r="D12382" s="209"/>
      <c r="E12382" s="209"/>
      <c r="J12382" s="124"/>
    </row>
    <row r="12383" spans="3:10" x14ac:dyDescent="0.2">
      <c r="C12383" s="209"/>
      <c r="D12383" s="209"/>
      <c r="E12383" s="209"/>
      <c r="J12383" s="124"/>
    </row>
    <row r="12384" spans="3:10" x14ac:dyDescent="0.2">
      <c r="C12384" s="209"/>
      <c r="D12384" s="209"/>
      <c r="E12384" s="209"/>
      <c r="J12384" s="124"/>
    </row>
    <row r="12385" spans="3:10" x14ac:dyDescent="0.2">
      <c r="C12385" s="209"/>
      <c r="D12385" s="209"/>
      <c r="E12385" s="209"/>
      <c r="J12385" s="124"/>
    </row>
    <row r="12386" spans="3:10" x14ac:dyDescent="0.2">
      <c r="C12386" s="209"/>
      <c r="D12386" s="209"/>
      <c r="E12386" s="209"/>
      <c r="J12386" s="124"/>
    </row>
    <row r="12387" spans="3:10" x14ac:dyDescent="0.2">
      <c r="C12387" s="209"/>
      <c r="D12387" s="209"/>
      <c r="E12387" s="209"/>
      <c r="J12387" s="124"/>
    </row>
    <row r="12388" spans="3:10" x14ac:dyDescent="0.2">
      <c r="C12388" s="209"/>
      <c r="D12388" s="209"/>
      <c r="E12388" s="209"/>
      <c r="J12388" s="124"/>
    </row>
    <row r="12389" spans="3:10" x14ac:dyDescent="0.2">
      <c r="C12389" s="209"/>
      <c r="D12389" s="209"/>
      <c r="E12389" s="209"/>
      <c r="J12389" s="124"/>
    </row>
    <row r="12390" spans="3:10" x14ac:dyDescent="0.2">
      <c r="C12390" s="209"/>
      <c r="D12390" s="209"/>
      <c r="E12390" s="209"/>
      <c r="J12390" s="124"/>
    </row>
    <row r="12391" spans="3:10" x14ac:dyDescent="0.2">
      <c r="C12391" s="209"/>
      <c r="D12391" s="209"/>
      <c r="E12391" s="209"/>
      <c r="J12391" s="124"/>
    </row>
    <row r="12392" spans="3:10" x14ac:dyDescent="0.2">
      <c r="C12392" s="209"/>
      <c r="D12392" s="209"/>
      <c r="E12392" s="209"/>
      <c r="J12392" s="124"/>
    </row>
    <row r="12393" spans="3:10" x14ac:dyDescent="0.2">
      <c r="C12393" s="209"/>
      <c r="D12393" s="209"/>
      <c r="E12393" s="209"/>
      <c r="J12393" s="124"/>
    </row>
    <row r="12394" spans="3:10" x14ac:dyDescent="0.2">
      <c r="C12394" s="209"/>
      <c r="D12394" s="209"/>
      <c r="E12394" s="209"/>
      <c r="J12394" s="124"/>
    </row>
    <row r="12395" spans="3:10" x14ac:dyDescent="0.2">
      <c r="C12395" s="209"/>
      <c r="D12395" s="209"/>
      <c r="E12395" s="209"/>
      <c r="J12395" s="124"/>
    </row>
    <row r="12396" spans="3:10" x14ac:dyDescent="0.2">
      <c r="C12396" s="209"/>
      <c r="D12396" s="209"/>
      <c r="E12396" s="209"/>
      <c r="J12396" s="124"/>
    </row>
    <row r="12397" spans="3:10" x14ac:dyDescent="0.2">
      <c r="C12397" s="209"/>
      <c r="D12397" s="209"/>
      <c r="E12397" s="209"/>
      <c r="J12397" s="124"/>
    </row>
    <row r="12398" spans="3:10" x14ac:dyDescent="0.2">
      <c r="C12398" s="209"/>
      <c r="D12398" s="209"/>
      <c r="E12398" s="209"/>
      <c r="J12398" s="124"/>
    </row>
    <row r="12399" spans="3:10" x14ac:dyDescent="0.2">
      <c r="C12399" s="209"/>
      <c r="D12399" s="209"/>
      <c r="E12399" s="209"/>
      <c r="J12399" s="124"/>
    </row>
    <row r="12400" spans="3:10" x14ac:dyDescent="0.2">
      <c r="C12400" s="209"/>
      <c r="D12400" s="209"/>
      <c r="E12400" s="209"/>
      <c r="J12400" s="124"/>
    </row>
    <row r="12401" spans="3:10" x14ac:dyDescent="0.2">
      <c r="C12401" s="209"/>
      <c r="D12401" s="209"/>
      <c r="E12401" s="209"/>
      <c r="J12401" s="124"/>
    </row>
    <row r="12402" spans="3:10" x14ac:dyDescent="0.2">
      <c r="C12402" s="209"/>
      <c r="D12402" s="209"/>
      <c r="E12402" s="209"/>
      <c r="J12402" s="124"/>
    </row>
    <row r="12403" spans="3:10" x14ac:dyDescent="0.2">
      <c r="C12403" s="209"/>
      <c r="D12403" s="209"/>
      <c r="E12403" s="209"/>
      <c r="J12403" s="124"/>
    </row>
    <row r="12404" spans="3:10" x14ac:dyDescent="0.2">
      <c r="C12404" s="209"/>
      <c r="D12404" s="209"/>
      <c r="E12404" s="209"/>
      <c r="J12404" s="124"/>
    </row>
    <row r="12405" spans="3:10" x14ac:dyDescent="0.2">
      <c r="C12405" s="209"/>
      <c r="D12405" s="209"/>
      <c r="E12405" s="209"/>
      <c r="J12405" s="124"/>
    </row>
    <row r="12406" spans="3:10" x14ac:dyDescent="0.2">
      <c r="C12406" s="209"/>
      <c r="D12406" s="209"/>
      <c r="E12406" s="209"/>
      <c r="J12406" s="124"/>
    </row>
    <row r="12407" spans="3:10" x14ac:dyDescent="0.2">
      <c r="C12407" s="209"/>
      <c r="D12407" s="209"/>
      <c r="E12407" s="209"/>
      <c r="J12407" s="124"/>
    </row>
    <row r="12408" spans="3:10" x14ac:dyDescent="0.2">
      <c r="C12408" s="209"/>
      <c r="D12408" s="209"/>
      <c r="E12408" s="209"/>
      <c r="J12408" s="124"/>
    </row>
    <row r="12409" spans="3:10" x14ac:dyDescent="0.2">
      <c r="C12409" s="209"/>
      <c r="D12409" s="209"/>
      <c r="E12409" s="209"/>
      <c r="J12409" s="124"/>
    </row>
    <row r="12410" spans="3:10" x14ac:dyDescent="0.2">
      <c r="C12410" s="209"/>
      <c r="D12410" s="209"/>
      <c r="E12410" s="209"/>
      <c r="J12410" s="124"/>
    </row>
    <row r="12411" spans="3:10" x14ac:dyDescent="0.2">
      <c r="C12411" s="209"/>
      <c r="D12411" s="209"/>
      <c r="E12411" s="209"/>
      <c r="J12411" s="124"/>
    </row>
    <row r="12412" spans="3:10" x14ac:dyDescent="0.2">
      <c r="C12412" s="209"/>
      <c r="D12412" s="209"/>
      <c r="E12412" s="209"/>
      <c r="J12412" s="124"/>
    </row>
    <row r="12413" spans="3:10" x14ac:dyDescent="0.2">
      <c r="C12413" s="209"/>
      <c r="D12413" s="209"/>
      <c r="E12413" s="209"/>
      <c r="J12413" s="124"/>
    </row>
    <row r="12414" spans="3:10" x14ac:dyDescent="0.2">
      <c r="C12414" s="209"/>
      <c r="D12414" s="209"/>
      <c r="E12414" s="209"/>
      <c r="J12414" s="124"/>
    </row>
    <row r="12415" spans="3:10" x14ac:dyDescent="0.2">
      <c r="C12415" s="209"/>
      <c r="D12415" s="209"/>
      <c r="E12415" s="209"/>
      <c r="J12415" s="124"/>
    </row>
    <row r="12416" spans="3:10" x14ac:dyDescent="0.2">
      <c r="C12416" s="209"/>
      <c r="D12416" s="209"/>
      <c r="E12416" s="209"/>
      <c r="J12416" s="124"/>
    </row>
    <row r="12417" spans="3:10" x14ac:dyDescent="0.2">
      <c r="C12417" s="209"/>
      <c r="D12417" s="209"/>
      <c r="E12417" s="209"/>
      <c r="J12417" s="124"/>
    </row>
    <row r="12418" spans="3:10" x14ac:dyDescent="0.2">
      <c r="C12418" s="209"/>
      <c r="D12418" s="209"/>
      <c r="E12418" s="209"/>
      <c r="J12418" s="124"/>
    </row>
    <row r="12419" spans="3:10" x14ac:dyDescent="0.2">
      <c r="C12419" s="209"/>
      <c r="D12419" s="209"/>
      <c r="E12419" s="209"/>
      <c r="J12419" s="124"/>
    </row>
    <row r="12420" spans="3:10" x14ac:dyDescent="0.2">
      <c r="C12420" s="209"/>
      <c r="D12420" s="209"/>
      <c r="E12420" s="209"/>
      <c r="J12420" s="124"/>
    </row>
    <row r="12421" spans="3:10" x14ac:dyDescent="0.2">
      <c r="C12421" s="209"/>
      <c r="D12421" s="209"/>
      <c r="E12421" s="209"/>
      <c r="J12421" s="124"/>
    </row>
    <row r="12422" spans="3:10" x14ac:dyDescent="0.2">
      <c r="C12422" s="209"/>
      <c r="D12422" s="209"/>
      <c r="E12422" s="209"/>
      <c r="J12422" s="124"/>
    </row>
    <row r="12423" spans="3:10" x14ac:dyDescent="0.2">
      <c r="C12423" s="209"/>
      <c r="D12423" s="209"/>
      <c r="E12423" s="209"/>
      <c r="J12423" s="124"/>
    </row>
    <row r="12424" spans="3:10" x14ac:dyDescent="0.2">
      <c r="C12424" s="209"/>
      <c r="D12424" s="209"/>
      <c r="E12424" s="209"/>
      <c r="J12424" s="124"/>
    </row>
    <row r="12425" spans="3:10" x14ac:dyDescent="0.2">
      <c r="C12425" s="209"/>
      <c r="D12425" s="209"/>
      <c r="E12425" s="209"/>
      <c r="J12425" s="124"/>
    </row>
    <row r="12426" spans="3:10" x14ac:dyDescent="0.2">
      <c r="C12426" s="209"/>
      <c r="D12426" s="209"/>
      <c r="E12426" s="209"/>
      <c r="J12426" s="124"/>
    </row>
    <row r="12427" spans="3:10" x14ac:dyDescent="0.2">
      <c r="C12427" s="209"/>
      <c r="D12427" s="209"/>
      <c r="E12427" s="209"/>
      <c r="J12427" s="124"/>
    </row>
    <row r="12428" spans="3:10" x14ac:dyDescent="0.2">
      <c r="C12428" s="209"/>
      <c r="D12428" s="209"/>
      <c r="E12428" s="209"/>
      <c r="J12428" s="124"/>
    </row>
    <row r="12429" spans="3:10" x14ac:dyDescent="0.2">
      <c r="C12429" s="209"/>
      <c r="D12429" s="209"/>
      <c r="E12429" s="209"/>
      <c r="J12429" s="124"/>
    </row>
    <row r="12430" spans="3:10" x14ac:dyDescent="0.2">
      <c r="C12430" s="209"/>
      <c r="D12430" s="209"/>
      <c r="E12430" s="209"/>
      <c r="J12430" s="124"/>
    </row>
    <row r="12431" spans="3:10" x14ac:dyDescent="0.2">
      <c r="C12431" s="209"/>
      <c r="D12431" s="209"/>
      <c r="E12431" s="209"/>
      <c r="J12431" s="124"/>
    </row>
    <row r="12432" spans="3:10" x14ac:dyDescent="0.2">
      <c r="C12432" s="209"/>
      <c r="D12432" s="209"/>
      <c r="E12432" s="209"/>
      <c r="J12432" s="124"/>
    </row>
    <row r="12433" spans="3:10" x14ac:dyDescent="0.2">
      <c r="C12433" s="209"/>
      <c r="D12433" s="209"/>
      <c r="E12433" s="209"/>
      <c r="J12433" s="124"/>
    </row>
    <row r="12434" spans="3:10" x14ac:dyDescent="0.2">
      <c r="C12434" s="209"/>
      <c r="D12434" s="209"/>
      <c r="E12434" s="209"/>
      <c r="J12434" s="124"/>
    </row>
    <row r="12435" spans="3:10" x14ac:dyDescent="0.2">
      <c r="C12435" s="209"/>
      <c r="D12435" s="209"/>
      <c r="E12435" s="209"/>
      <c r="J12435" s="124"/>
    </row>
    <row r="12436" spans="3:10" x14ac:dyDescent="0.2">
      <c r="C12436" s="209"/>
      <c r="D12436" s="209"/>
      <c r="E12436" s="209"/>
      <c r="J12436" s="124"/>
    </row>
    <row r="12437" spans="3:10" x14ac:dyDescent="0.2">
      <c r="C12437" s="209"/>
      <c r="D12437" s="209"/>
      <c r="E12437" s="209"/>
      <c r="J12437" s="124"/>
    </row>
    <row r="12438" spans="3:10" x14ac:dyDescent="0.2">
      <c r="C12438" s="209"/>
      <c r="D12438" s="209"/>
      <c r="E12438" s="209"/>
      <c r="J12438" s="124"/>
    </row>
    <row r="12439" spans="3:10" x14ac:dyDescent="0.2">
      <c r="C12439" s="209"/>
      <c r="D12439" s="209"/>
      <c r="E12439" s="209"/>
      <c r="J12439" s="124"/>
    </row>
    <row r="12440" spans="3:10" x14ac:dyDescent="0.2">
      <c r="C12440" s="209"/>
      <c r="D12440" s="209"/>
      <c r="E12440" s="209"/>
      <c r="J12440" s="124"/>
    </row>
    <row r="12441" spans="3:10" x14ac:dyDescent="0.2">
      <c r="C12441" s="209"/>
      <c r="D12441" s="209"/>
      <c r="E12441" s="209"/>
      <c r="J12441" s="124"/>
    </row>
    <row r="12442" spans="3:10" x14ac:dyDescent="0.2">
      <c r="C12442" s="209"/>
      <c r="D12442" s="209"/>
      <c r="E12442" s="209"/>
      <c r="J12442" s="124"/>
    </row>
    <row r="12443" spans="3:10" x14ac:dyDescent="0.2">
      <c r="C12443" s="209"/>
      <c r="D12443" s="209"/>
      <c r="E12443" s="209"/>
      <c r="J12443" s="124"/>
    </row>
    <row r="12444" spans="3:10" x14ac:dyDescent="0.2">
      <c r="C12444" s="209"/>
      <c r="D12444" s="209"/>
      <c r="E12444" s="209"/>
      <c r="J12444" s="124"/>
    </row>
    <row r="12445" spans="3:10" x14ac:dyDescent="0.2">
      <c r="C12445" s="209"/>
      <c r="D12445" s="209"/>
      <c r="E12445" s="209"/>
      <c r="J12445" s="124"/>
    </row>
    <row r="12446" spans="3:10" x14ac:dyDescent="0.2">
      <c r="C12446" s="209"/>
      <c r="D12446" s="209"/>
      <c r="E12446" s="209"/>
      <c r="J12446" s="124"/>
    </row>
    <row r="12447" spans="3:10" x14ac:dyDescent="0.2">
      <c r="C12447" s="209"/>
      <c r="D12447" s="209"/>
      <c r="E12447" s="209"/>
      <c r="J12447" s="124"/>
    </row>
    <row r="12448" spans="3:10" x14ac:dyDescent="0.2">
      <c r="C12448" s="209"/>
      <c r="D12448" s="209"/>
      <c r="E12448" s="209"/>
      <c r="J12448" s="124"/>
    </row>
    <row r="12449" spans="3:10" x14ac:dyDescent="0.2">
      <c r="C12449" s="209"/>
      <c r="D12449" s="209"/>
      <c r="E12449" s="209"/>
      <c r="J12449" s="124"/>
    </row>
    <row r="12450" spans="3:10" x14ac:dyDescent="0.2">
      <c r="C12450" s="209"/>
      <c r="D12450" s="209"/>
      <c r="E12450" s="209"/>
      <c r="J12450" s="124"/>
    </row>
    <row r="12451" spans="3:10" x14ac:dyDescent="0.2">
      <c r="C12451" s="209"/>
      <c r="D12451" s="209"/>
      <c r="E12451" s="209"/>
      <c r="J12451" s="124"/>
    </row>
    <row r="12452" spans="3:10" x14ac:dyDescent="0.2">
      <c r="C12452" s="209"/>
      <c r="D12452" s="209"/>
      <c r="E12452" s="209"/>
      <c r="J12452" s="124"/>
    </row>
    <row r="12453" spans="3:10" x14ac:dyDescent="0.2">
      <c r="C12453" s="209"/>
      <c r="D12453" s="209"/>
      <c r="E12453" s="209"/>
      <c r="J12453" s="124"/>
    </row>
    <row r="12454" spans="3:10" x14ac:dyDescent="0.2">
      <c r="C12454" s="209"/>
      <c r="D12454" s="209"/>
      <c r="E12454" s="209"/>
      <c r="J12454" s="124"/>
    </row>
    <row r="12455" spans="3:10" x14ac:dyDescent="0.2">
      <c r="C12455" s="209"/>
      <c r="D12455" s="209"/>
      <c r="E12455" s="209"/>
      <c r="J12455" s="124"/>
    </row>
    <row r="12456" spans="3:10" x14ac:dyDescent="0.2">
      <c r="C12456" s="209"/>
      <c r="D12456" s="209"/>
      <c r="E12456" s="209"/>
      <c r="J12456" s="124"/>
    </row>
    <row r="12457" spans="3:10" x14ac:dyDescent="0.2">
      <c r="C12457" s="209"/>
      <c r="D12457" s="209"/>
      <c r="E12457" s="209"/>
      <c r="J12457" s="124"/>
    </row>
    <row r="12458" spans="3:10" x14ac:dyDescent="0.2">
      <c r="C12458" s="209"/>
      <c r="D12458" s="209"/>
      <c r="E12458" s="209"/>
      <c r="J12458" s="124"/>
    </row>
    <row r="12459" spans="3:10" x14ac:dyDescent="0.2">
      <c r="C12459" s="209"/>
      <c r="D12459" s="209"/>
      <c r="E12459" s="209"/>
      <c r="J12459" s="124"/>
    </row>
    <row r="12460" spans="3:10" x14ac:dyDescent="0.2">
      <c r="C12460" s="209"/>
      <c r="D12460" s="209"/>
      <c r="E12460" s="209"/>
      <c r="J12460" s="124"/>
    </row>
    <row r="12461" spans="3:10" x14ac:dyDescent="0.2">
      <c r="C12461" s="209"/>
      <c r="D12461" s="209"/>
      <c r="E12461" s="209"/>
      <c r="J12461" s="124"/>
    </row>
    <row r="12462" spans="3:10" x14ac:dyDescent="0.2">
      <c r="C12462" s="209"/>
      <c r="D12462" s="209"/>
      <c r="E12462" s="209"/>
      <c r="J12462" s="124"/>
    </row>
    <row r="12463" spans="3:10" x14ac:dyDescent="0.2">
      <c r="C12463" s="209"/>
      <c r="D12463" s="209"/>
      <c r="E12463" s="209"/>
      <c r="J12463" s="124"/>
    </row>
    <row r="12464" spans="3:10" x14ac:dyDescent="0.2">
      <c r="C12464" s="209"/>
      <c r="D12464" s="209"/>
      <c r="E12464" s="209"/>
      <c r="J12464" s="124"/>
    </row>
    <row r="12465" spans="3:10" x14ac:dyDescent="0.2">
      <c r="C12465" s="209"/>
      <c r="D12465" s="209"/>
      <c r="E12465" s="209"/>
      <c r="J12465" s="124"/>
    </row>
    <row r="12466" spans="3:10" x14ac:dyDescent="0.2">
      <c r="C12466" s="209"/>
      <c r="D12466" s="209"/>
      <c r="E12466" s="209"/>
      <c r="J12466" s="124"/>
    </row>
    <row r="12467" spans="3:10" x14ac:dyDescent="0.2">
      <c r="C12467" s="209"/>
      <c r="D12467" s="209"/>
      <c r="E12467" s="209"/>
      <c r="J12467" s="124"/>
    </row>
    <row r="12468" spans="3:10" x14ac:dyDescent="0.2">
      <c r="C12468" s="209"/>
      <c r="D12468" s="209"/>
      <c r="E12468" s="209"/>
      <c r="J12468" s="124"/>
    </row>
    <row r="12469" spans="3:10" x14ac:dyDescent="0.2">
      <c r="C12469" s="209"/>
      <c r="D12469" s="209"/>
      <c r="E12469" s="209"/>
      <c r="J12469" s="124"/>
    </row>
    <row r="12470" spans="3:10" x14ac:dyDescent="0.2">
      <c r="C12470" s="209"/>
      <c r="D12470" s="209"/>
      <c r="E12470" s="209"/>
      <c r="J12470" s="124"/>
    </row>
    <row r="12471" spans="3:10" x14ac:dyDescent="0.2">
      <c r="C12471" s="209"/>
      <c r="D12471" s="209"/>
      <c r="E12471" s="209"/>
      <c r="J12471" s="124"/>
    </row>
    <row r="12472" spans="3:10" x14ac:dyDescent="0.2">
      <c r="C12472" s="209"/>
      <c r="D12472" s="209"/>
      <c r="E12472" s="209"/>
      <c r="J12472" s="124"/>
    </row>
    <row r="12473" spans="3:10" x14ac:dyDescent="0.2">
      <c r="C12473" s="209"/>
      <c r="D12473" s="209"/>
      <c r="E12473" s="209"/>
      <c r="J12473" s="124"/>
    </row>
    <row r="12474" spans="3:10" x14ac:dyDescent="0.2">
      <c r="C12474" s="209"/>
      <c r="D12474" s="209"/>
      <c r="E12474" s="209"/>
      <c r="J12474" s="124"/>
    </row>
    <row r="12475" spans="3:10" x14ac:dyDescent="0.2">
      <c r="C12475" s="209"/>
      <c r="D12475" s="209"/>
      <c r="E12475" s="209"/>
      <c r="J12475" s="124"/>
    </row>
    <row r="12476" spans="3:10" x14ac:dyDescent="0.2">
      <c r="C12476" s="209"/>
      <c r="D12476" s="209"/>
      <c r="E12476" s="209"/>
      <c r="J12476" s="124"/>
    </row>
    <row r="12477" spans="3:10" x14ac:dyDescent="0.2">
      <c r="C12477" s="209"/>
      <c r="D12477" s="209"/>
      <c r="E12477" s="209"/>
      <c r="J12477" s="124"/>
    </row>
    <row r="12478" spans="3:10" x14ac:dyDescent="0.2">
      <c r="C12478" s="209"/>
      <c r="D12478" s="209"/>
      <c r="E12478" s="209"/>
      <c r="J12478" s="124"/>
    </row>
    <row r="12479" spans="3:10" x14ac:dyDescent="0.2">
      <c r="C12479" s="209"/>
      <c r="D12479" s="209"/>
      <c r="E12479" s="209"/>
      <c r="J12479" s="124"/>
    </row>
    <row r="12480" spans="3:10" x14ac:dyDescent="0.2">
      <c r="C12480" s="209"/>
      <c r="D12480" s="209"/>
      <c r="E12480" s="209"/>
      <c r="J12480" s="124"/>
    </row>
    <row r="12481" spans="3:10" x14ac:dyDescent="0.2">
      <c r="C12481" s="209"/>
      <c r="D12481" s="209"/>
      <c r="E12481" s="209"/>
      <c r="J12481" s="124"/>
    </row>
    <row r="12482" spans="3:10" x14ac:dyDescent="0.2">
      <c r="C12482" s="209"/>
      <c r="D12482" s="209"/>
      <c r="E12482" s="209"/>
      <c r="J12482" s="124"/>
    </row>
    <row r="12483" spans="3:10" x14ac:dyDescent="0.2">
      <c r="C12483" s="209"/>
      <c r="D12483" s="209"/>
      <c r="E12483" s="209"/>
      <c r="J12483" s="124"/>
    </row>
    <row r="12484" spans="3:10" x14ac:dyDescent="0.2">
      <c r="C12484" s="209"/>
      <c r="D12484" s="209"/>
      <c r="E12484" s="209"/>
      <c r="J12484" s="124"/>
    </row>
    <row r="12485" spans="3:10" x14ac:dyDescent="0.2">
      <c r="C12485" s="209"/>
      <c r="D12485" s="209"/>
      <c r="E12485" s="209"/>
      <c r="J12485" s="124"/>
    </row>
    <row r="12486" spans="3:10" x14ac:dyDescent="0.2">
      <c r="C12486" s="209"/>
      <c r="D12486" s="209"/>
      <c r="E12486" s="209"/>
      <c r="J12486" s="124"/>
    </row>
    <row r="12487" spans="3:10" x14ac:dyDescent="0.2">
      <c r="C12487" s="209"/>
      <c r="D12487" s="209"/>
      <c r="E12487" s="209"/>
      <c r="J12487" s="124"/>
    </row>
    <row r="12488" spans="3:10" x14ac:dyDescent="0.2">
      <c r="C12488" s="209"/>
      <c r="D12488" s="209"/>
      <c r="E12488" s="209"/>
      <c r="J12488" s="124"/>
    </row>
    <row r="12489" spans="3:10" x14ac:dyDescent="0.2">
      <c r="C12489" s="209"/>
      <c r="D12489" s="209"/>
      <c r="E12489" s="209"/>
      <c r="J12489" s="124"/>
    </row>
    <row r="12490" spans="3:10" x14ac:dyDescent="0.2">
      <c r="C12490" s="209"/>
      <c r="D12490" s="209"/>
      <c r="E12490" s="209"/>
      <c r="J12490" s="124"/>
    </row>
    <row r="12491" spans="3:10" x14ac:dyDescent="0.2">
      <c r="C12491" s="209"/>
      <c r="D12491" s="209"/>
      <c r="E12491" s="209"/>
      <c r="J12491" s="124"/>
    </row>
    <row r="12492" spans="3:10" x14ac:dyDescent="0.2">
      <c r="C12492" s="209"/>
      <c r="D12492" s="209"/>
      <c r="E12492" s="209"/>
      <c r="J12492" s="124"/>
    </row>
    <row r="12493" spans="3:10" x14ac:dyDescent="0.2">
      <c r="C12493" s="209"/>
      <c r="D12493" s="209"/>
      <c r="E12493" s="209"/>
      <c r="J12493" s="124"/>
    </row>
    <row r="12494" spans="3:10" x14ac:dyDescent="0.2">
      <c r="C12494" s="209"/>
      <c r="D12494" s="209"/>
      <c r="E12494" s="209"/>
      <c r="J12494" s="124"/>
    </row>
    <row r="12495" spans="3:10" x14ac:dyDescent="0.2">
      <c r="C12495" s="209"/>
      <c r="D12495" s="209"/>
      <c r="E12495" s="209"/>
      <c r="J12495" s="124"/>
    </row>
    <row r="12496" spans="3:10" x14ac:dyDescent="0.2">
      <c r="C12496" s="209"/>
      <c r="D12496" s="209"/>
      <c r="E12496" s="209"/>
      <c r="J12496" s="124"/>
    </row>
    <row r="12497" spans="3:10" x14ac:dyDescent="0.2">
      <c r="C12497" s="209"/>
      <c r="D12497" s="209"/>
      <c r="E12497" s="209"/>
      <c r="J12497" s="124"/>
    </row>
    <row r="12498" spans="3:10" x14ac:dyDescent="0.2">
      <c r="C12498" s="209"/>
      <c r="D12498" s="209"/>
      <c r="E12498" s="209"/>
      <c r="J12498" s="124"/>
    </row>
    <row r="12499" spans="3:10" x14ac:dyDescent="0.2">
      <c r="C12499" s="209"/>
      <c r="D12499" s="209"/>
      <c r="E12499" s="209"/>
      <c r="J12499" s="124"/>
    </row>
    <row r="12500" spans="3:10" x14ac:dyDescent="0.2">
      <c r="C12500" s="209"/>
      <c r="D12500" s="209"/>
      <c r="E12500" s="209"/>
      <c r="J12500" s="124"/>
    </row>
    <row r="12501" spans="3:10" x14ac:dyDescent="0.2">
      <c r="C12501" s="209"/>
      <c r="D12501" s="209"/>
      <c r="E12501" s="209"/>
      <c r="J12501" s="124"/>
    </row>
    <row r="12502" spans="3:10" x14ac:dyDescent="0.2">
      <c r="C12502" s="209"/>
      <c r="D12502" s="209"/>
      <c r="E12502" s="209"/>
      <c r="J12502" s="124"/>
    </row>
    <row r="12503" spans="3:10" x14ac:dyDescent="0.2">
      <c r="C12503" s="209"/>
      <c r="D12503" s="209"/>
      <c r="E12503" s="209"/>
      <c r="J12503" s="124"/>
    </row>
    <row r="12504" spans="3:10" x14ac:dyDescent="0.2">
      <c r="C12504" s="209"/>
      <c r="D12504" s="209"/>
      <c r="E12504" s="209"/>
      <c r="J12504" s="124"/>
    </row>
    <row r="12505" spans="3:10" x14ac:dyDescent="0.2">
      <c r="C12505" s="209"/>
      <c r="D12505" s="209"/>
      <c r="E12505" s="209"/>
      <c r="J12505" s="124"/>
    </row>
    <row r="12506" spans="3:10" x14ac:dyDescent="0.2">
      <c r="C12506" s="209"/>
      <c r="D12506" s="209"/>
      <c r="E12506" s="209"/>
      <c r="J12506" s="124"/>
    </row>
    <row r="12507" spans="3:10" x14ac:dyDescent="0.2">
      <c r="C12507" s="209"/>
      <c r="D12507" s="209"/>
      <c r="E12507" s="209"/>
      <c r="J12507" s="124"/>
    </row>
    <row r="12508" spans="3:10" x14ac:dyDescent="0.2">
      <c r="C12508" s="209"/>
      <c r="D12508" s="209"/>
      <c r="E12508" s="209"/>
      <c r="J12508" s="124"/>
    </row>
    <row r="12509" spans="3:10" x14ac:dyDescent="0.2">
      <c r="C12509" s="209"/>
      <c r="D12509" s="209"/>
      <c r="E12509" s="209"/>
      <c r="J12509" s="124"/>
    </row>
    <row r="12510" spans="3:10" x14ac:dyDescent="0.2">
      <c r="C12510" s="209"/>
      <c r="D12510" s="209"/>
      <c r="E12510" s="209"/>
      <c r="J12510" s="124"/>
    </row>
    <row r="12511" spans="3:10" x14ac:dyDescent="0.2">
      <c r="C12511" s="209"/>
      <c r="D12511" s="209"/>
      <c r="E12511" s="209"/>
      <c r="J12511" s="124"/>
    </row>
    <row r="12512" spans="3:10" x14ac:dyDescent="0.2">
      <c r="C12512" s="209"/>
      <c r="D12512" s="209"/>
      <c r="E12512" s="209"/>
      <c r="J12512" s="124"/>
    </row>
    <row r="12513" spans="3:10" x14ac:dyDescent="0.2">
      <c r="C12513" s="209"/>
      <c r="D12513" s="209"/>
      <c r="E12513" s="209"/>
      <c r="J12513" s="124"/>
    </row>
    <row r="12514" spans="3:10" x14ac:dyDescent="0.2">
      <c r="C12514" s="209"/>
      <c r="D12514" s="209"/>
      <c r="E12514" s="209"/>
      <c r="J12514" s="124"/>
    </row>
    <row r="12515" spans="3:10" x14ac:dyDescent="0.2">
      <c r="C12515" s="209"/>
      <c r="D12515" s="209"/>
      <c r="E12515" s="209"/>
      <c r="J12515" s="124"/>
    </row>
    <row r="12516" spans="3:10" x14ac:dyDescent="0.2">
      <c r="C12516" s="209"/>
      <c r="D12516" s="209"/>
      <c r="E12516" s="209"/>
      <c r="J12516" s="124"/>
    </row>
    <row r="12517" spans="3:10" x14ac:dyDescent="0.2">
      <c r="C12517" s="209"/>
      <c r="D12517" s="209"/>
      <c r="E12517" s="209"/>
      <c r="J12517" s="124"/>
    </row>
    <row r="12518" spans="3:10" x14ac:dyDescent="0.2">
      <c r="C12518" s="209"/>
      <c r="D12518" s="209"/>
      <c r="E12518" s="209"/>
      <c r="J12518" s="124"/>
    </row>
    <row r="12519" spans="3:10" x14ac:dyDescent="0.2">
      <c r="C12519" s="209"/>
      <c r="D12519" s="209"/>
      <c r="E12519" s="209"/>
      <c r="J12519" s="124"/>
    </row>
    <row r="12520" spans="3:10" x14ac:dyDescent="0.2">
      <c r="C12520" s="209"/>
      <c r="D12520" s="209"/>
      <c r="E12520" s="209"/>
      <c r="J12520" s="124"/>
    </row>
    <row r="12521" spans="3:10" x14ac:dyDescent="0.2">
      <c r="C12521" s="209"/>
      <c r="D12521" s="209"/>
      <c r="E12521" s="209"/>
      <c r="J12521" s="124"/>
    </row>
    <row r="12522" spans="3:10" x14ac:dyDescent="0.2">
      <c r="C12522" s="209"/>
      <c r="D12522" s="209"/>
      <c r="E12522" s="209"/>
      <c r="J12522" s="124"/>
    </row>
    <row r="12523" spans="3:10" x14ac:dyDescent="0.2">
      <c r="C12523" s="209"/>
      <c r="D12523" s="209"/>
      <c r="E12523" s="209"/>
      <c r="J12523" s="124"/>
    </row>
    <row r="12524" spans="3:10" x14ac:dyDescent="0.2">
      <c r="C12524" s="209"/>
      <c r="D12524" s="209"/>
      <c r="E12524" s="209"/>
      <c r="J12524" s="124"/>
    </row>
    <row r="12525" spans="3:10" x14ac:dyDescent="0.2">
      <c r="C12525" s="209"/>
      <c r="D12525" s="209"/>
      <c r="E12525" s="209"/>
      <c r="J12525" s="124"/>
    </row>
    <row r="12526" spans="3:10" x14ac:dyDescent="0.2">
      <c r="C12526" s="209"/>
      <c r="D12526" s="209"/>
      <c r="E12526" s="209"/>
      <c r="J12526" s="124"/>
    </row>
    <row r="12527" spans="3:10" x14ac:dyDescent="0.2">
      <c r="C12527" s="209"/>
      <c r="D12527" s="209"/>
      <c r="E12527" s="209"/>
      <c r="J12527" s="124"/>
    </row>
    <row r="12528" spans="3:10" x14ac:dyDescent="0.2">
      <c r="C12528" s="209"/>
      <c r="D12528" s="209"/>
      <c r="E12528" s="209"/>
      <c r="J12528" s="124"/>
    </row>
    <row r="12529" spans="3:10" x14ac:dyDescent="0.2">
      <c r="C12529" s="209"/>
      <c r="D12529" s="209"/>
      <c r="E12529" s="209"/>
      <c r="J12529" s="124"/>
    </row>
    <row r="12530" spans="3:10" x14ac:dyDescent="0.2">
      <c r="C12530" s="209"/>
      <c r="D12530" s="209"/>
      <c r="E12530" s="209"/>
      <c r="J12530" s="124"/>
    </row>
    <row r="12531" spans="3:10" x14ac:dyDescent="0.2">
      <c r="C12531" s="209"/>
      <c r="D12531" s="209"/>
      <c r="E12531" s="209"/>
      <c r="J12531" s="124"/>
    </row>
    <row r="12532" spans="3:10" x14ac:dyDescent="0.2">
      <c r="C12532" s="209"/>
      <c r="D12532" s="209"/>
      <c r="E12532" s="209"/>
      <c r="J12532" s="124"/>
    </row>
    <row r="12533" spans="3:10" x14ac:dyDescent="0.2">
      <c r="C12533" s="209"/>
      <c r="D12533" s="209"/>
      <c r="E12533" s="209"/>
      <c r="J12533" s="124"/>
    </row>
    <row r="12534" spans="3:10" x14ac:dyDescent="0.2">
      <c r="C12534" s="209"/>
      <c r="D12534" s="209"/>
      <c r="E12534" s="209"/>
      <c r="J12534" s="124"/>
    </row>
    <row r="12535" spans="3:10" x14ac:dyDescent="0.2">
      <c r="C12535" s="209"/>
      <c r="D12535" s="209"/>
      <c r="E12535" s="209"/>
      <c r="J12535" s="124"/>
    </row>
    <row r="12536" spans="3:10" x14ac:dyDescent="0.2">
      <c r="C12536" s="209"/>
      <c r="D12536" s="209"/>
      <c r="E12536" s="209"/>
      <c r="J12536" s="124"/>
    </row>
    <row r="12537" spans="3:10" x14ac:dyDescent="0.2">
      <c r="C12537" s="209"/>
      <c r="D12537" s="209"/>
      <c r="E12537" s="209"/>
      <c r="J12537" s="124"/>
    </row>
    <row r="12538" spans="3:10" x14ac:dyDescent="0.2">
      <c r="C12538" s="209"/>
      <c r="D12538" s="209"/>
      <c r="E12538" s="209"/>
      <c r="J12538" s="124"/>
    </row>
    <row r="12539" spans="3:10" x14ac:dyDescent="0.2">
      <c r="C12539" s="209"/>
      <c r="D12539" s="209"/>
      <c r="E12539" s="209"/>
      <c r="J12539" s="124"/>
    </row>
    <row r="12540" spans="3:10" x14ac:dyDescent="0.2">
      <c r="C12540" s="209"/>
      <c r="D12540" s="209"/>
      <c r="E12540" s="209"/>
      <c r="J12540" s="124"/>
    </row>
    <row r="12541" spans="3:10" x14ac:dyDescent="0.2">
      <c r="C12541" s="209"/>
      <c r="D12541" s="209"/>
      <c r="E12541" s="209"/>
      <c r="J12541" s="124"/>
    </row>
    <row r="12542" spans="3:10" x14ac:dyDescent="0.2">
      <c r="C12542" s="209"/>
      <c r="D12542" s="209"/>
      <c r="E12542" s="209"/>
      <c r="J12542" s="124"/>
    </row>
    <row r="12543" spans="3:10" x14ac:dyDescent="0.2">
      <c r="C12543" s="209"/>
      <c r="D12543" s="209"/>
      <c r="E12543" s="209"/>
      <c r="J12543" s="124"/>
    </row>
    <row r="12544" spans="3:10" x14ac:dyDescent="0.2">
      <c r="C12544" s="209"/>
      <c r="D12544" s="209"/>
      <c r="E12544" s="209"/>
      <c r="J12544" s="124"/>
    </row>
    <row r="12545" spans="3:10" x14ac:dyDescent="0.2">
      <c r="C12545" s="209"/>
      <c r="D12545" s="209"/>
      <c r="E12545" s="209"/>
      <c r="J12545" s="124"/>
    </row>
    <row r="12546" spans="3:10" x14ac:dyDescent="0.2">
      <c r="C12546" s="209"/>
      <c r="D12546" s="209"/>
      <c r="E12546" s="209"/>
      <c r="J12546" s="124"/>
    </row>
    <row r="12547" spans="3:10" x14ac:dyDescent="0.2">
      <c r="C12547" s="209"/>
      <c r="D12547" s="209"/>
      <c r="E12547" s="209"/>
      <c r="J12547" s="124"/>
    </row>
    <row r="12548" spans="3:10" x14ac:dyDescent="0.2">
      <c r="C12548" s="209"/>
      <c r="D12548" s="209"/>
      <c r="E12548" s="209"/>
      <c r="J12548" s="124"/>
    </row>
    <row r="12549" spans="3:10" x14ac:dyDescent="0.2">
      <c r="C12549" s="209"/>
      <c r="D12549" s="209"/>
      <c r="E12549" s="209"/>
      <c r="J12549" s="124"/>
    </row>
    <row r="12550" spans="3:10" x14ac:dyDescent="0.2">
      <c r="C12550" s="209"/>
      <c r="D12550" s="209"/>
      <c r="E12550" s="209"/>
      <c r="J12550" s="124"/>
    </row>
    <row r="12551" spans="3:10" x14ac:dyDescent="0.2">
      <c r="C12551" s="209"/>
      <c r="D12551" s="209"/>
      <c r="E12551" s="209"/>
      <c r="J12551" s="124"/>
    </row>
    <row r="12552" spans="3:10" x14ac:dyDescent="0.2">
      <c r="C12552" s="209"/>
      <c r="D12552" s="209"/>
      <c r="E12552" s="209"/>
      <c r="J12552" s="124"/>
    </row>
    <row r="12553" spans="3:10" x14ac:dyDescent="0.2">
      <c r="C12553" s="209"/>
      <c r="D12553" s="209"/>
      <c r="E12553" s="209"/>
      <c r="J12553" s="124"/>
    </row>
    <row r="12554" spans="3:10" x14ac:dyDescent="0.2">
      <c r="C12554" s="209"/>
      <c r="D12554" s="209"/>
      <c r="E12554" s="209"/>
      <c r="J12554" s="124"/>
    </row>
    <row r="12555" spans="3:10" x14ac:dyDescent="0.2">
      <c r="C12555" s="209"/>
      <c r="D12555" s="209"/>
      <c r="E12555" s="209"/>
      <c r="J12555" s="124"/>
    </row>
    <row r="12556" spans="3:10" x14ac:dyDescent="0.2">
      <c r="C12556" s="209"/>
      <c r="D12556" s="209"/>
      <c r="E12556" s="209"/>
      <c r="J12556" s="124"/>
    </row>
    <row r="12557" spans="3:10" x14ac:dyDescent="0.2">
      <c r="C12557" s="209"/>
      <c r="D12557" s="209"/>
      <c r="E12557" s="209"/>
      <c r="J12557" s="124"/>
    </row>
    <row r="12558" spans="3:10" x14ac:dyDescent="0.2">
      <c r="C12558" s="209"/>
      <c r="D12558" s="209"/>
      <c r="E12558" s="209"/>
      <c r="J12558" s="124"/>
    </row>
    <row r="12559" spans="3:10" x14ac:dyDescent="0.2">
      <c r="C12559" s="209"/>
      <c r="D12559" s="209"/>
      <c r="E12559" s="209"/>
      <c r="J12559" s="124"/>
    </row>
    <row r="12560" spans="3:10" x14ac:dyDescent="0.2">
      <c r="C12560" s="209"/>
      <c r="D12560" s="209"/>
      <c r="E12560" s="209"/>
      <c r="J12560" s="124"/>
    </row>
    <row r="12561" spans="3:10" x14ac:dyDescent="0.2">
      <c r="C12561" s="209"/>
      <c r="D12561" s="209"/>
      <c r="E12561" s="209"/>
      <c r="J12561" s="124"/>
    </row>
    <row r="12562" spans="3:10" x14ac:dyDescent="0.2">
      <c r="C12562" s="209"/>
      <c r="D12562" s="209"/>
      <c r="E12562" s="209"/>
      <c r="J12562" s="124"/>
    </row>
    <row r="12563" spans="3:10" x14ac:dyDescent="0.2">
      <c r="C12563" s="209"/>
      <c r="D12563" s="209"/>
      <c r="E12563" s="209"/>
      <c r="J12563" s="124"/>
    </row>
    <row r="12564" spans="3:10" x14ac:dyDescent="0.2">
      <c r="C12564" s="209"/>
      <c r="D12564" s="209"/>
      <c r="E12564" s="209"/>
      <c r="J12564" s="124"/>
    </row>
    <row r="12565" spans="3:10" x14ac:dyDescent="0.2">
      <c r="C12565" s="209"/>
      <c r="D12565" s="209"/>
      <c r="E12565" s="209"/>
      <c r="J12565" s="124"/>
    </row>
    <row r="12566" spans="3:10" x14ac:dyDescent="0.2">
      <c r="C12566" s="209"/>
      <c r="D12566" s="209"/>
      <c r="E12566" s="209"/>
      <c r="J12566" s="124"/>
    </row>
    <row r="12567" spans="3:10" x14ac:dyDescent="0.2">
      <c r="C12567" s="209"/>
      <c r="D12567" s="209"/>
      <c r="E12567" s="209"/>
      <c r="J12567" s="124"/>
    </row>
    <row r="12568" spans="3:10" x14ac:dyDescent="0.2">
      <c r="C12568" s="209"/>
      <c r="D12568" s="209"/>
      <c r="E12568" s="209"/>
      <c r="J12568" s="124"/>
    </row>
    <row r="12569" spans="3:10" x14ac:dyDescent="0.2">
      <c r="C12569" s="209"/>
      <c r="D12569" s="209"/>
      <c r="E12569" s="209"/>
      <c r="J12569" s="124"/>
    </row>
    <row r="12570" spans="3:10" x14ac:dyDescent="0.2">
      <c r="C12570" s="209"/>
      <c r="D12570" s="209"/>
      <c r="E12570" s="209"/>
      <c r="J12570" s="124"/>
    </row>
    <row r="12571" spans="3:10" x14ac:dyDescent="0.2">
      <c r="C12571" s="209"/>
      <c r="D12571" s="209"/>
      <c r="E12571" s="209"/>
      <c r="J12571" s="124"/>
    </row>
    <row r="12572" spans="3:10" x14ac:dyDescent="0.2">
      <c r="C12572" s="209"/>
      <c r="D12572" s="209"/>
      <c r="E12572" s="209"/>
      <c r="J12572" s="124"/>
    </row>
    <row r="12573" spans="3:10" x14ac:dyDescent="0.2">
      <c r="C12573" s="209"/>
      <c r="D12573" s="209"/>
      <c r="E12573" s="209"/>
      <c r="J12573" s="124"/>
    </row>
    <row r="12574" spans="3:10" x14ac:dyDescent="0.2">
      <c r="C12574" s="209"/>
      <c r="D12574" s="209"/>
      <c r="E12574" s="209"/>
      <c r="J12574" s="124"/>
    </row>
    <row r="12575" spans="3:10" x14ac:dyDescent="0.2">
      <c r="C12575" s="209"/>
      <c r="D12575" s="209"/>
      <c r="E12575" s="209"/>
      <c r="J12575" s="124"/>
    </row>
    <row r="12576" spans="3:10" x14ac:dyDescent="0.2">
      <c r="C12576" s="209"/>
      <c r="D12576" s="209"/>
      <c r="E12576" s="209"/>
      <c r="J12576" s="124"/>
    </row>
    <row r="12577" spans="3:10" x14ac:dyDescent="0.2">
      <c r="C12577" s="209"/>
      <c r="D12577" s="209"/>
      <c r="E12577" s="209"/>
      <c r="J12577" s="124"/>
    </row>
    <row r="12578" spans="3:10" x14ac:dyDescent="0.2">
      <c r="C12578" s="209"/>
      <c r="D12578" s="209"/>
      <c r="E12578" s="209"/>
      <c r="J12578" s="124"/>
    </row>
    <row r="12579" spans="3:10" x14ac:dyDescent="0.2">
      <c r="C12579" s="209"/>
      <c r="D12579" s="209"/>
      <c r="E12579" s="209"/>
      <c r="J12579" s="124"/>
    </row>
    <row r="12580" spans="3:10" x14ac:dyDescent="0.2">
      <c r="C12580" s="209"/>
      <c r="D12580" s="209"/>
      <c r="E12580" s="209"/>
      <c r="J12580" s="124"/>
    </row>
    <row r="12581" spans="3:10" x14ac:dyDescent="0.2">
      <c r="C12581" s="209"/>
      <c r="D12581" s="209"/>
      <c r="E12581" s="209"/>
      <c r="J12581" s="124"/>
    </row>
    <row r="12582" spans="3:10" x14ac:dyDescent="0.2">
      <c r="C12582" s="209"/>
      <c r="D12582" s="209"/>
      <c r="E12582" s="209"/>
      <c r="J12582" s="124"/>
    </row>
    <row r="12583" spans="3:10" x14ac:dyDescent="0.2">
      <c r="C12583" s="209"/>
      <c r="D12583" s="209"/>
      <c r="E12583" s="209"/>
      <c r="J12583" s="124"/>
    </row>
    <row r="12584" spans="3:10" x14ac:dyDescent="0.2">
      <c r="C12584" s="209"/>
      <c r="D12584" s="209"/>
      <c r="E12584" s="209"/>
      <c r="J12584" s="124"/>
    </row>
    <row r="12585" spans="3:10" x14ac:dyDescent="0.2">
      <c r="C12585" s="209"/>
      <c r="D12585" s="209"/>
      <c r="E12585" s="209"/>
      <c r="J12585" s="124"/>
    </row>
    <row r="12586" spans="3:10" x14ac:dyDescent="0.2">
      <c r="C12586" s="209"/>
      <c r="D12586" s="209"/>
      <c r="E12586" s="209"/>
      <c r="J12586" s="124"/>
    </row>
    <row r="12587" spans="3:10" x14ac:dyDescent="0.2">
      <c r="C12587" s="209"/>
      <c r="D12587" s="209"/>
      <c r="E12587" s="209"/>
      <c r="J12587" s="124"/>
    </row>
    <row r="12588" spans="3:10" x14ac:dyDescent="0.2">
      <c r="C12588" s="209"/>
      <c r="D12588" s="209"/>
      <c r="E12588" s="209"/>
      <c r="J12588" s="124"/>
    </row>
    <row r="12589" spans="3:10" x14ac:dyDescent="0.2">
      <c r="C12589" s="209"/>
      <c r="D12589" s="209"/>
      <c r="E12589" s="209"/>
      <c r="J12589" s="124"/>
    </row>
    <row r="12590" spans="3:10" x14ac:dyDescent="0.2">
      <c r="C12590" s="209"/>
      <c r="D12590" s="209"/>
      <c r="E12590" s="209"/>
      <c r="J12590" s="124"/>
    </row>
    <row r="12591" spans="3:10" x14ac:dyDescent="0.2">
      <c r="C12591" s="209"/>
      <c r="D12591" s="209"/>
      <c r="E12591" s="209"/>
      <c r="J12591" s="124"/>
    </row>
    <row r="12592" spans="3:10" x14ac:dyDescent="0.2">
      <c r="C12592" s="209"/>
      <c r="D12592" s="209"/>
      <c r="E12592" s="209"/>
      <c r="J12592" s="124"/>
    </row>
    <row r="12593" spans="3:10" x14ac:dyDescent="0.2">
      <c r="C12593" s="209"/>
      <c r="D12593" s="209"/>
      <c r="E12593" s="209"/>
      <c r="J12593" s="124"/>
    </row>
    <row r="12594" spans="3:10" x14ac:dyDescent="0.2">
      <c r="C12594" s="209"/>
      <c r="D12594" s="209"/>
      <c r="E12594" s="209"/>
      <c r="J12594" s="124"/>
    </row>
    <row r="12595" spans="3:10" x14ac:dyDescent="0.2">
      <c r="C12595" s="209"/>
      <c r="D12595" s="209"/>
      <c r="E12595" s="209"/>
      <c r="J12595" s="124"/>
    </row>
    <row r="12596" spans="3:10" x14ac:dyDescent="0.2">
      <c r="C12596" s="209"/>
      <c r="D12596" s="209"/>
      <c r="E12596" s="209"/>
      <c r="J12596" s="124"/>
    </row>
    <row r="12597" spans="3:10" x14ac:dyDescent="0.2">
      <c r="C12597" s="209"/>
      <c r="D12597" s="209"/>
      <c r="E12597" s="209"/>
      <c r="J12597" s="124"/>
    </row>
    <row r="12598" spans="3:10" x14ac:dyDescent="0.2">
      <c r="C12598" s="209"/>
      <c r="D12598" s="209"/>
      <c r="E12598" s="209"/>
      <c r="J12598" s="124"/>
    </row>
    <row r="12599" spans="3:10" x14ac:dyDescent="0.2">
      <c r="C12599" s="209"/>
      <c r="D12599" s="209"/>
      <c r="E12599" s="209"/>
      <c r="J12599" s="124"/>
    </row>
    <row r="12600" spans="3:10" x14ac:dyDescent="0.2">
      <c r="C12600" s="209"/>
      <c r="D12600" s="209"/>
      <c r="E12600" s="209"/>
      <c r="J12600" s="124"/>
    </row>
    <row r="12601" spans="3:10" x14ac:dyDescent="0.2">
      <c r="C12601" s="209"/>
      <c r="D12601" s="209"/>
      <c r="E12601" s="209"/>
      <c r="J12601" s="124"/>
    </row>
    <row r="12602" spans="3:10" x14ac:dyDescent="0.2">
      <c r="C12602" s="209"/>
      <c r="D12602" s="209"/>
      <c r="E12602" s="209"/>
      <c r="J12602" s="124"/>
    </row>
    <row r="12603" spans="3:10" x14ac:dyDescent="0.2">
      <c r="C12603" s="209"/>
      <c r="D12603" s="209"/>
      <c r="E12603" s="209"/>
      <c r="J12603" s="124"/>
    </row>
    <row r="12604" spans="3:10" x14ac:dyDescent="0.2">
      <c r="C12604" s="209"/>
      <c r="D12604" s="209"/>
      <c r="E12604" s="209"/>
      <c r="J12604" s="124"/>
    </row>
    <row r="12605" spans="3:10" x14ac:dyDescent="0.2">
      <c r="C12605" s="209"/>
      <c r="D12605" s="209"/>
      <c r="E12605" s="209"/>
      <c r="J12605" s="124"/>
    </row>
    <row r="12606" spans="3:10" x14ac:dyDescent="0.2">
      <c r="C12606" s="209"/>
      <c r="D12606" s="209"/>
      <c r="E12606" s="209"/>
      <c r="J12606" s="124"/>
    </row>
    <row r="12607" spans="3:10" x14ac:dyDescent="0.2">
      <c r="C12607" s="209"/>
      <c r="D12607" s="209"/>
      <c r="E12607" s="209"/>
      <c r="J12607" s="124"/>
    </row>
    <row r="12608" spans="3:10" x14ac:dyDescent="0.2">
      <c r="C12608" s="209"/>
      <c r="D12608" s="209"/>
      <c r="E12608" s="209"/>
      <c r="J12608" s="124"/>
    </row>
    <row r="12609" spans="3:10" x14ac:dyDescent="0.2">
      <c r="C12609" s="209"/>
      <c r="D12609" s="209"/>
      <c r="E12609" s="209"/>
      <c r="J12609" s="124"/>
    </row>
    <row r="12610" spans="3:10" x14ac:dyDescent="0.2">
      <c r="C12610" s="209"/>
      <c r="D12610" s="209"/>
      <c r="E12610" s="209"/>
      <c r="J12610" s="124"/>
    </row>
    <row r="12611" spans="3:10" x14ac:dyDescent="0.2">
      <c r="C12611" s="209"/>
      <c r="D12611" s="209"/>
      <c r="E12611" s="209"/>
      <c r="J12611" s="124"/>
    </row>
    <row r="12612" spans="3:10" x14ac:dyDescent="0.2">
      <c r="C12612" s="209"/>
      <c r="D12612" s="209"/>
      <c r="E12612" s="209"/>
      <c r="J12612" s="124"/>
    </row>
    <row r="12613" spans="3:10" x14ac:dyDescent="0.2">
      <c r="C12613" s="209"/>
      <c r="D12613" s="209"/>
      <c r="E12613" s="209"/>
      <c r="J12613" s="124"/>
    </row>
    <row r="12614" spans="3:10" x14ac:dyDescent="0.2">
      <c r="C12614" s="209"/>
      <c r="D12614" s="209"/>
      <c r="E12614" s="209"/>
      <c r="J12614" s="124"/>
    </row>
    <row r="12615" spans="3:10" x14ac:dyDescent="0.2">
      <c r="C12615" s="209"/>
      <c r="D12615" s="209"/>
      <c r="E12615" s="209"/>
      <c r="J12615" s="124"/>
    </row>
    <row r="12616" spans="3:10" x14ac:dyDescent="0.2">
      <c r="C12616" s="209"/>
      <c r="D12616" s="209"/>
      <c r="E12616" s="209"/>
      <c r="J12616" s="124"/>
    </row>
    <row r="12617" spans="3:10" x14ac:dyDescent="0.2">
      <c r="C12617" s="209"/>
      <c r="D12617" s="209"/>
      <c r="E12617" s="209"/>
      <c r="J12617" s="124"/>
    </row>
    <row r="12618" spans="3:10" x14ac:dyDescent="0.2">
      <c r="C12618" s="209"/>
      <c r="D12618" s="209"/>
      <c r="E12618" s="209"/>
      <c r="J12618" s="124"/>
    </row>
    <row r="12619" spans="3:10" x14ac:dyDescent="0.2">
      <c r="C12619" s="209"/>
      <c r="D12619" s="209"/>
      <c r="E12619" s="209"/>
      <c r="J12619" s="124"/>
    </row>
    <row r="12620" spans="3:10" x14ac:dyDescent="0.2">
      <c r="C12620" s="209"/>
      <c r="D12620" s="209"/>
      <c r="E12620" s="209"/>
      <c r="J12620" s="124"/>
    </row>
    <row r="12621" spans="3:10" x14ac:dyDescent="0.2">
      <c r="C12621" s="209"/>
      <c r="D12621" s="209"/>
      <c r="E12621" s="209"/>
      <c r="J12621" s="124"/>
    </row>
    <row r="12622" spans="3:10" x14ac:dyDescent="0.2">
      <c r="C12622" s="209"/>
      <c r="D12622" s="209"/>
      <c r="E12622" s="209"/>
      <c r="J12622" s="124"/>
    </row>
    <row r="12623" spans="3:10" x14ac:dyDescent="0.2">
      <c r="C12623" s="209"/>
      <c r="D12623" s="209"/>
      <c r="E12623" s="209"/>
      <c r="J12623" s="124"/>
    </row>
    <row r="12624" spans="3:10" x14ac:dyDescent="0.2">
      <c r="C12624" s="209"/>
      <c r="D12624" s="209"/>
      <c r="E12624" s="209"/>
      <c r="J12624" s="124"/>
    </row>
    <row r="12625" spans="3:10" x14ac:dyDescent="0.2">
      <c r="C12625" s="209"/>
      <c r="D12625" s="209"/>
      <c r="E12625" s="209"/>
      <c r="J12625" s="124"/>
    </row>
    <row r="12626" spans="3:10" x14ac:dyDescent="0.2">
      <c r="C12626" s="209"/>
      <c r="D12626" s="209"/>
      <c r="E12626" s="209"/>
      <c r="J12626" s="124"/>
    </row>
    <row r="12627" spans="3:10" x14ac:dyDescent="0.2">
      <c r="C12627" s="209"/>
      <c r="D12627" s="209"/>
      <c r="E12627" s="209"/>
      <c r="J12627" s="124"/>
    </row>
    <row r="12628" spans="3:10" x14ac:dyDescent="0.2">
      <c r="C12628" s="209"/>
      <c r="D12628" s="209"/>
      <c r="E12628" s="209"/>
      <c r="J12628" s="124"/>
    </row>
    <row r="12629" spans="3:10" x14ac:dyDescent="0.2">
      <c r="C12629" s="209"/>
      <c r="D12629" s="209"/>
      <c r="E12629" s="209"/>
      <c r="J12629" s="124"/>
    </row>
    <row r="12630" spans="3:10" x14ac:dyDescent="0.2">
      <c r="C12630" s="209"/>
      <c r="D12630" s="209"/>
      <c r="E12630" s="209"/>
      <c r="J12630" s="124"/>
    </row>
    <row r="12631" spans="3:10" x14ac:dyDescent="0.2">
      <c r="C12631" s="209"/>
      <c r="D12631" s="209"/>
      <c r="E12631" s="209"/>
      <c r="J12631" s="124"/>
    </row>
    <row r="12632" spans="3:10" x14ac:dyDescent="0.2">
      <c r="C12632" s="209"/>
      <c r="D12632" s="209"/>
      <c r="E12632" s="209"/>
      <c r="J12632" s="124"/>
    </row>
    <row r="12633" spans="3:10" x14ac:dyDescent="0.2">
      <c r="C12633" s="209"/>
      <c r="D12633" s="209"/>
      <c r="E12633" s="209"/>
      <c r="J12633" s="124"/>
    </row>
    <row r="12634" spans="3:10" x14ac:dyDescent="0.2">
      <c r="C12634" s="209"/>
      <c r="D12634" s="209"/>
      <c r="E12634" s="209"/>
      <c r="J12634" s="124"/>
    </row>
    <row r="12635" spans="3:10" x14ac:dyDescent="0.2">
      <c r="C12635" s="209"/>
      <c r="D12635" s="209"/>
      <c r="E12635" s="209"/>
      <c r="J12635" s="124"/>
    </row>
    <row r="12636" spans="3:10" x14ac:dyDescent="0.2">
      <c r="C12636" s="209"/>
      <c r="D12636" s="209"/>
      <c r="E12636" s="209"/>
      <c r="J12636" s="124"/>
    </row>
    <row r="12637" spans="3:10" x14ac:dyDescent="0.2">
      <c r="C12637" s="209"/>
      <c r="D12637" s="209"/>
      <c r="E12637" s="209"/>
      <c r="J12637" s="124"/>
    </row>
    <row r="12638" spans="3:10" x14ac:dyDescent="0.2">
      <c r="C12638" s="209"/>
      <c r="D12638" s="209"/>
      <c r="E12638" s="209"/>
      <c r="J12638" s="124"/>
    </row>
    <row r="12639" spans="3:10" x14ac:dyDescent="0.2">
      <c r="C12639" s="209"/>
      <c r="D12639" s="209"/>
      <c r="E12639" s="209"/>
      <c r="J12639" s="124"/>
    </row>
    <row r="12640" spans="3:10" x14ac:dyDescent="0.2">
      <c r="C12640" s="209"/>
      <c r="D12640" s="209"/>
      <c r="E12640" s="209"/>
      <c r="J12640" s="124"/>
    </row>
    <row r="12641" spans="3:10" x14ac:dyDescent="0.2">
      <c r="C12641" s="209"/>
      <c r="D12641" s="209"/>
      <c r="E12641" s="209"/>
      <c r="J12641" s="124"/>
    </row>
    <row r="12642" spans="3:10" x14ac:dyDescent="0.2">
      <c r="C12642" s="209"/>
      <c r="D12642" s="209"/>
      <c r="E12642" s="209"/>
      <c r="J12642" s="124"/>
    </row>
    <row r="12643" spans="3:10" x14ac:dyDescent="0.2">
      <c r="C12643" s="209"/>
      <c r="D12643" s="209"/>
      <c r="E12643" s="209"/>
      <c r="J12643" s="124"/>
    </row>
    <row r="12644" spans="3:10" x14ac:dyDescent="0.2">
      <c r="C12644" s="209"/>
      <c r="D12644" s="209"/>
      <c r="E12644" s="209"/>
      <c r="J12644" s="124"/>
    </row>
    <row r="12645" spans="3:10" x14ac:dyDescent="0.2">
      <c r="C12645" s="209"/>
      <c r="D12645" s="209"/>
      <c r="E12645" s="209"/>
      <c r="J12645" s="124"/>
    </row>
    <row r="12646" spans="3:10" x14ac:dyDescent="0.2">
      <c r="C12646" s="209"/>
      <c r="D12646" s="209"/>
      <c r="E12646" s="209"/>
      <c r="J12646" s="124"/>
    </row>
    <row r="12647" spans="3:10" x14ac:dyDescent="0.2">
      <c r="C12647" s="209"/>
      <c r="D12647" s="209"/>
      <c r="E12647" s="209"/>
      <c r="J12647" s="124"/>
    </row>
    <row r="12648" spans="3:10" x14ac:dyDescent="0.2">
      <c r="C12648" s="209"/>
      <c r="D12648" s="209"/>
      <c r="E12648" s="209"/>
      <c r="J12648" s="124"/>
    </row>
    <row r="12649" spans="3:10" x14ac:dyDescent="0.2">
      <c r="C12649" s="209"/>
      <c r="D12649" s="209"/>
      <c r="E12649" s="209"/>
      <c r="J12649" s="124"/>
    </row>
    <row r="12650" spans="3:10" x14ac:dyDescent="0.2">
      <c r="C12650" s="209"/>
      <c r="D12650" s="209"/>
      <c r="E12650" s="209"/>
      <c r="J12650" s="124"/>
    </row>
    <row r="12651" spans="3:10" x14ac:dyDescent="0.2">
      <c r="C12651" s="209"/>
      <c r="D12651" s="209"/>
      <c r="E12651" s="209"/>
      <c r="J12651" s="124"/>
    </row>
    <row r="12652" spans="3:10" x14ac:dyDescent="0.2">
      <c r="C12652" s="209"/>
      <c r="D12652" s="209"/>
      <c r="E12652" s="209"/>
      <c r="J12652" s="124"/>
    </row>
    <row r="12653" spans="3:10" x14ac:dyDescent="0.2">
      <c r="C12653" s="209"/>
      <c r="D12653" s="209"/>
      <c r="E12653" s="209"/>
      <c r="J12653" s="124"/>
    </row>
    <row r="12654" spans="3:10" x14ac:dyDescent="0.2">
      <c r="C12654" s="209"/>
      <c r="D12654" s="209"/>
      <c r="E12654" s="209"/>
      <c r="J12654" s="124"/>
    </row>
    <row r="12655" spans="3:10" x14ac:dyDescent="0.2">
      <c r="C12655" s="209"/>
      <c r="D12655" s="209"/>
      <c r="E12655" s="209"/>
      <c r="J12655" s="124"/>
    </row>
    <row r="12656" spans="3:10" x14ac:dyDescent="0.2">
      <c r="C12656" s="209"/>
      <c r="D12656" s="209"/>
      <c r="E12656" s="209"/>
      <c r="J12656" s="124"/>
    </row>
    <row r="12657" spans="3:10" x14ac:dyDescent="0.2">
      <c r="C12657" s="209"/>
      <c r="D12657" s="209"/>
      <c r="E12657" s="209"/>
      <c r="J12657" s="124"/>
    </row>
    <row r="12658" spans="3:10" x14ac:dyDescent="0.2">
      <c r="C12658" s="209"/>
      <c r="D12658" s="209"/>
      <c r="E12658" s="209"/>
      <c r="J12658" s="124"/>
    </row>
    <row r="12659" spans="3:10" x14ac:dyDescent="0.2">
      <c r="C12659" s="209"/>
      <c r="D12659" s="209"/>
      <c r="E12659" s="209"/>
      <c r="J12659" s="124"/>
    </row>
    <row r="12660" spans="3:10" x14ac:dyDescent="0.2">
      <c r="C12660" s="209"/>
      <c r="D12660" s="209"/>
      <c r="E12660" s="209"/>
      <c r="J12660" s="124"/>
    </row>
    <row r="12661" spans="3:10" x14ac:dyDescent="0.2">
      <c r="C12661" s="209"/>
      <c r="D12661" s="209"/>
      <c r="E12661" s="209"/>
      <c r="J12661" s="124"/>
    </row>
    <row r="12662" spans="3:10" x14ac:dyDescent="0.2">
      <c r="C12662" s="209"/>
      <c r="D12662" s="209"/>
      <c r="E12662" s="209"/>
      <c r="J12662" s="124"/>
    </row>
    <row r="12663" spans="3:10" x14ac:dyDescent="0.2">
      <c r="C12663" s="209"/>
      <c r="D12663" s="209"/>
      <c r="E12663" s="209"/>
      <c r="J12663" s="124"/>
    </row>
    <row r="12664" spans="3:10" x14ac:dyDescent="0.2">
      <c r="C12664" s="209"/>
      <c r="D12664" s="209"/>
      <c r="E12664" s="209"/>
      <c r="J12664" s="124"/>
    </row>
    <row r="12665" spans="3:10" x14ac:dyDescent="0.2">
      <c r="C12665" s="209"/>
      <c r="D12665" s="209"/>
      <c r="E12665" s="209"/>
      <c r="J12665" s="124"/>
    </row>
    <row r="12666" spans="3:10" x14ac:dyDescent="0.2">
      <c r="C12666" s="209"/>
      <c r="D12666" s="209"/>
      <c r="E12666" s="209"/>
      <c r="J12666" s="124"/>
    </row>
    <row r="12667" spans="3:10" x14ac:dyDescent="0.2">
      <c r="C12667" s="209"/>
      <c r="D12667" s="209"/>
      <c r="E12667" s="209"/>
      <c r="J12667" s="124"/>
    </row>
    <row r="12668" spans="3:10" x14ac:dyDescent="0.2">
      <c r="C12668" s="209"/>
      <c r="D12668" s="209"/>
      <c r="E12668" s="209"/>
      <c r="J12668" s="124"/>
    </row>
    <row r="12669" spans="3:10" x14ac:dyDescent="0.2">
      <c r="C12669" s="209"/>
      <c r="D12669" s="209"/>
      <c r="E12669" s="209"/>
      <c r="J12669" s="124"/>
    </row>
    <row r="12670" spans="3:10" x14ac:dyDescent="0.2">
      <c r="C12670" s="209"/>
      <c r="D12670" s="209"/>
      <c r="E12670" s="209"/>
      <c r="J12670" s="124"/>
    </row>
    <row r="12671" spans="3:10" x14ac:dyDescent="0.2">
      <c r="C12671" s="209"/>
      <c r="D12671" s="209"/>
      <c r="E12671" s="209"/>
      <c r="J12671" s="124"/>
    </row>
    <row r="12672" spans="3:10" x14ac:dyDescent="0.2">
      <c r="C12672" s="209"/>
      <c r="D12672" s="209"/>
      <c r="E12672" s="209"/>
      <c r="J12672" s="124"/>
    </row>
    <row r="12673" spans="3:10" x14ac:dyDescent="0.2">
      <c r="C12673" s="209"/>
      <c r="D12673" s="209"/>
      <c r="E12673" s="209"/>
      <c r="J12673" s="124"/>
    </row>
    <row r="12674" spans="3:10" x14ac:dyDescent="0.2">
      <c r="C12674" s="209"/>
      <c r="D12674" s="209"/>
      <c r="E12674" s="209"/>
      <c r="J12674" s="124"/>
    </row>
    <row r="12675" spans="3:10" x14ac:dyDescent="0.2">
      <c r="C12675" s="209"/>
      <c r="D12675" s="209"/>
      <c r="E12675" s="209"/>
      <c r="J12675" s="124"/>
    </row>
    <row r="12676" spans="3:10" x14ac:dyDescent="0.2">
      <c r="C12676" s="209"/>
      <c r="D12676" s="209"/>
      <c r="E12676" s="209"/>
      <c r="J12676" s="124"/>
    </row>
    <row r="12677" spans="3:10" x14ac:dyDescent="0.2">
      <c r="C12677" s="209"/>
      <c r="D12677" s="209"/>
      <c r="E12677" s="209"/>
      <c r="J12677" s="124"/>
    </row>
    <row r="12678" spans="3:10" x14ac:dyDescent="0.2">
      <c r="C12678" s="209"/>
      <c r="D12678" s="209"/>
      <c r="E12678" s="209"/>
      <c r="J12678" s="124"/>
    </row>
    <row r="12679" spans="3:10" x14ac:dyDescent="0.2">
      <c r="C12679" s="209"/>
      <c r="D12679" s="209"/>
      <c r="E12679" s="209"/>
      <c r="J12679" s="124"/>
    </row>
    <row r="12680" spans="3:10" x14ac:dyDescent="0.2">
      <c r="C12680" s="209"/>
      <c r="D12680" s="209"/>
      <c r="E12680" s="209"/>
      <c r="J12680" s="124"/>
    </row>
    <row r="12681" spans="3:10" x14ac:dyDescent="0.2">
      <c r="C12681" s="209"/>
      <c r="D12681" s="209"/>
      <c r="E12681" s="209"/>
      <c r="J12681" s="124"/>
    </row>
    <row r="12682" spans="3:10" x14ac:dyDescent="0.2">
      <c r="C12682" s="209"/>
      <c r="D12682" s="209"/>
      <c r="E12682" s="209"/>
      <c r="J12682" s="124"/>
    </row>
    <row r="12683" spans="3:10" x14ac:dyDescent="0.2">
      <c r="C12683" s="209"/>
      <c r="D12683" s="209"/>
      <c r="E12683" s="209"/>
      <c r="J12683" s="124"/>
    </row>
    <row r="12684" spans="3:10" x14ac:dyDescent="0.2">
      <c r="C12684" s="209"/>
      <c r="D12684" s="209"/>
      <c r="E12684" s="209"/>
      <c r="J12684" s="124"/>
    </row>
    <row r="12685" spans="3:10" x14ac:dyDescent="0.2">
      <c r="C12685" s="209"/>
      <c r="D12685" s="209"/>
      <c r="E12685" s="209"/>
      <c r="J12685" s="124"/>
    </row>
    <row r="12686" spans="3:10" x14ac:dyDescent="0.2">
      <c r="C12686" s="209"/>
      <c r="D12686" s="209"/>
      <c r="E12686" s="209"/>
      <c r="J12686" s="124"/>
    </row>
    <row r="12687" spans="3:10" x14ac:dyDescent="0.2">
      <c r="C12687" s="209"/>
      <c r="D12687" s="209"/>
      <c r="E12687" s="209"/>
      <c r="J12687" s="124"/>
    </row>
    <row r="12688" spans="3:10" x14ac:dyDescent="0.2">
      <c r="C12688" s="209"/>
      <c r="D12688" s="209"/>
      <c r="E12688" s="209"/>
      <c r="J12688" s="124"/>
    </row>
    <row r="12689" spans="3:10" x14ac:dyDescent="0.2">
      <c r="C12689" s="209"/>
      <c r="D12689" s="209"/>
      <c r="E12689" s="209"/>
      <c r="J12689" s="124"/>
    </row>
    <row r="12690" spans="3:10" x14ac:dyDescent="0.2">
      <c r="C12690" s="209"/>
      <c r="D12690" s="209"/>
      <c r="E12690" s="209"/>
      <c r="J12690" s="124"/>
    </row>
    <row r="12691" spans="3:10" x14ac:dyDescent="0.2">
      <c r="C12691" s="209"/>
      <c r="D12691" s="209"/>
      <c r="E12691" s="209"/>
      <c r="J12691" s="124"/>
    </row>
    <row r="12692" spans="3:10" x14ac:dyDescent="0.2">
      <c r="C12692" s="209"/>
      <c r="D12692" s="209"/>
      <c r="E12692" s="209"/>
      <c r="J12692" s="124"/>
    </row>
    <row r="12693" spans="3:10" x14ac:dyDescent="0.2">
      <c r="C12693" s="209"/>
      <c r="D12693" s="209"/>
      <c r="E12693" s="209"/>
      <c r="J12693" s="124"/>
    </row>
    <row r="12694" spans="3:10" x14ac:dyDescent="0.2">
      <c r="C12694" s="209"/>
      <c r="D12694" s="209"/>
      <c r="E12694" s="209"/>
      <c r="J12694" s="124"/>
    </row>
    <row r="12695" spans="3:10" x14ac:dyDescent="0.2">
      <c r="C12695" s="209"/>
      <c r="D12695" s="209"/>
      <c r="E12695" s="209"/>
      <c r="J12695" s="124"/>
    </row>
    <row r="12696" spans="3:10" x14ac:dyDescent="0.2">
      <c r="C12696" s="209"/>
      <c r="D12696" s="209"/>
      <c r="E12696" s="209"/>
      <c r="J12696" s="124"/>
    </row>
    <row r="12697" spans="3:10" x14ac:dyDescent="0.2">
      <c r="C12697" s="209"/>
      <c r="D12697" s="209"/>
      <c r="E12697" s="209"/>
      <c r="J12697" s="124"/>
    </row>
    <row r="12698" spans="3:10" x14ac:dyDescent="0.2">
      <c r="C12698" s="209"/>
      <c r="D12698" s="209"/>
      <c r="E12698" s="209"/>
      <c r="J12698" s="124"/>
    </row>
    <row r="12699" spans="3:10" x14ac:dyDescent="0.2">
      <c r="C12699" s="209"/>
      <c r="D12699" s="209"/>
      <c r="E12699" s="209"/>
      <c r="J12699" s="124"/>
    </row>
    <row r="12700" spans="3:10" x14ac:dyDescent="0.2">
      <c r="C12700" s="209"/>
      <c r="D12700" s="209"/>
      <c r="E12700" s="209"/>
      <c r="J12700" s="124"/>
    </row>
    <row r="12701" spans="3:10" x14ac:dyDescent="0.2">
      <c r="C12701" s="209"/>
      <c r="D12701" s="209"/>
      <c r="E12701" s="209"/>
      <c r="J12701" s="124"/>
    </row>
    <row r="12702" spans="3:10" x14ac:dyDescent="0.2">
      <c r="C12702" s="209"/>
      <c r="D12702" s="209"/>
      <c r="E12702" s="209"/>
      <c r="J12702" s="124"/>
    </row>
    <row r="12703" spans="3:10" x14ac:dyDescent="0.2">
      <c r="C12703" s="209"/>
      <c r="D12703" s="209"/>
      <c r="E12703" s="209"/>
      <c r="J12703" s="124"/>
    </row>
    <row r="12704" spans="3:10" x14ac:dyDescent="0.2">
      <c r="C12704" s="209"/>
      <c r="D12704" s="209"/>
      <c r="E12704" s="209"/>
      <c r="J12704" s="124"/>
    </row>
    <row r="12705" spans="3:10" x14ac:dyDescent="0.2">
      <c r="C12705" s="209"/>
      <c r="D12705" s="209"/>
      <c r="E12705" s="209"/>
      <c r="J12705" s="124"/>
    </row>
    <row r="12706" spans="3:10" x14ac:dyDescent="0.2">
      <c r="C12706" s="209"/>
      <c r="D12706" s="209"/>
      <c r="E12706" s="209"/>
      <c r="J12706" s="124"/>
    </row>
    <row r="12707" spans="3:10" x14ac:dyDescent="0.2">
      <c r="C12707" s="209"/>
      <c r="D12707" s="209"/>
      <c r="E12707" s="209"/>
      <c r="J12707" s="124"/>
    </row>
    <row r="12708" spans="3:10" x14ac:dyDescent="0.2">
      <c r="C12708" s="209"/>
      <c r="D12708" s="209"/>
      <c r="E12708" s="209"/>
      <c r="J12708" s="124"/>
    </row>
    <row r="12709" spans="3:10" x14ac:dyDescent="0.2">
      <c r="C12709" s="209"/>
      <c r="D12709" s="209"/>
      <c r="E12709" s="209"/>
      <c r="J12709" s="124"/>
    </row>
    <row r="12710" spans="3:10" x14ac:dyDescent="0.2">
      <c r="C12710" s="209"/>
      <c r="D12710" s="209"/>
      <c r="E12710" s="209"/>
      <c r="J12710" s="124"/>
    </row>
    <row r="12711" spans="3:10" x14ac:dyDescent="0.2">
      <c r="C12711" s="209"/>
      <c r="D12711" s="209"/>
      <c r="E12711" s="209"/>
      <c r="J12711" s="124"/>
    </row>
    <row r="12712" spans="3:10" x14ac:dyDescent="0.2">
      <c r="C12712" s="209"/>
      <c r="D12712" s="209"/>
      <c r="E12712" s="209"/>
      <c r="J12712" s="124"/>
    </row>
    <row r="12713" spans="3:10" x14ac:dyDescent="0.2">
      <c r="C12713" s="209"/>
      <c r="D12713" s="209"/>
      <c r="E12713" s="209"/>
      <c r="J12713" s="124"/>
    </row>
    <row r="12714" spans="3:10" x14ac:dyDescent="0.2">
      <c r="C12714" s="209"/>
      <c r="D12714" s="209"/>
      <c r="E12714" s="209"/>
      <c r="J12714" s="124"/>
    </row>
    <row r="12715" spans="3:10" x14ac:dyDescent="0.2">
      <c r="C12715" s="209"/>
      <c r="D12715" s="209"/>
      <c r="E12715" s="209"/>
      <c r="J12715" s="124"/>
    </row>
    <row r="12716" spans="3:10" x14ac:dyDescent="0.2">
      <c r="C12716" s="209"/>
      <c r="D12716" s="209"/>
      <c r="E12716" s="209"/>
      <c r="J12716" s="124"/>
    </row>
    <row r="12717" spans="3:10" x14ac:dyDescent="0.2">
      <c r="C12717" s="209"/>
      <c r="D12717" s="209"/>
      <c r="E12717" s="209"/>
      <c r="J12717" s="124"/>
    </row>
    <row r="12718" spans="3:10" x14ac:dyDescent="0.2">
      <c r="C12718" s="209"/>
      <c r="D12718" s="209"/>
      <c r="E12718" s="209"/>
      <c r="J12718" s="124"/>
    </row>
    <row r="12719" spans="3:10" x14ac:dyDescent="0.2">
      <c r="C12719" s="209"/>
      <c r="D12719" s="209"/>
      <c r="E12719" s="209"/>
      <c r="J12719" s="124"/>
    </row>
    <row r="12720" spans="3:10" x14ac:dyDescent="0.2">
      <c r="C12720" s="209"/>
      <c r="D12720" s="209"/>
      <c r="E12720" s="209"/>
      <c r="J12720" s="124"/>
    </row>
    <row r="12721" spans="3:10" x14ac:dyDescent="0.2">
      <c r="C12721" s="209"/>
      <c r="D12721" s="209"/>
      <c r="E12721" s="209"/>
      <c r="J12721" s="124"/>
    </row>
    <row r="12722" spans="3:10" x14ac:dyDescent="0.2">
      <c r="C12722" s="209"/>
      <c r="D12722" s="209"/>
      <c r="E12722" s="209"/>
      <c r="J12722" s="124"/>
    </row>
    <row r="12723" spans="3:10" x14ac:dyDescent="0.2">
      <c r="C12723" s="209"/>
      <c r="D12723" s="209"/>
      <c r="E12723" s="209"/>
      <c r="J12723" s="124"/>
    </row>
    <row r="12724" spans="3:10" x14ac:dyDescent="0.2">
      <c r="C12724" s="209"/>
      <c r="D12724" s="209"/>
      <c r="E12724" s="209"/>
      <c r="J12724" s="124"/>
    </row>
    <row r="12725" spans="3:10" x14ac:dyDescent="0.2">
      <c r="C12725" s="209"/>
      <c r="D12725" s="209"/>
      <c r="E12725" s="209"/>
      <c r="J12725" s="124"/>
    </row>
    <row r="12726" spans="3:10" x14ac:dyDescent="0.2">
      <c r="C12726" s="209"/>
      <c r="D12726" s="209"/>
      <c r="E12726" s="209"/>
      <c r="J12726" s="124"/>
    </row>
    <row r="12727" spans="3:10" x14ac:dyDescent="0.2">
      <c r="C12727" s="209"/>
      <c r="D12727" s="209"/>
      <c r="E12727" s="209"/>
      <c r="J12727" s="124"/>
    </row>
    <row r="12728" spans="3:10" x14ac:dyDescent="0.2">
      <c r="C12728" s="209"/>
      <c r="D12728" s="209"/>
      <c r="E12728" s="209"/>
      <c r="J12728" s="124"/>
    </row>
    <row r="12729" spans="3:10" x14ac:dyDescent="0.2">
      <c r="C12729" s="209"/>
      <c r="D12729" s="209"/>
      <c r="E12729" s="209"/>
      <c r="J12729" s="124"/>
    </row>
    <row r="12730" spans="3:10" x14ac:dyDescent="0.2">
      <c r="C12730" s="209"/>
      <c r="D12730" s="209"/>
      <c r="E12730" s="209"/>
      <c r="J12730" s="124"/>
    </row>
    <row r="12731" spans="3:10" x14ac:dyDescent="0.2">
      <c r="C12731" s="209"/>
      <c r="D12731" s="209"/>
      <c r="E12731" s="209"/>
      <c r="J12731" s="124"/>
    </row>
    <row r="12732" spans="3:10" x14ac:dyDescent="0.2">
      <c r="C12732" s="209"/>
      <c r="D12732" s="209"/>
      <c r="E12732" s="209"/>
      <c r="J12732" s="124"/>
    </row>
    <row r="12733" spans="3:10" x14ac:dyDescent="0.2">
      <c r="C12733" s="209"/>
      <c r="D12733" s="209"/>
      <c r="E12733" s="209"/>
      <c r="J12733" s="124"/>
    </row>
    <row r="12734" spans="3:10" x14ac:dyDescent="0.2">
      <c r="C12734" s="209"/>
      <c r="D12734" s="209"/>
      <c r="E12734" s="209"/>
      <c r="J12734" s="124"/>
    </row>
    <row r="12735" spans="3:10" x14ac:dyDescent="0.2">
      <c r="C12735" s="209"/>
      <c r="D12735" s="209"/>
      <c r="E12735" s="209"/>
      <c r="J12735" s="124"/>
    </row>
    <row r="12736" spans="3:10" x14ac:dyDescent="0.2">
      <c r="C12736" s="209"/>
      <c r="D12736" s="209"/>
      <c r="E12736" s="209"/>
      <c r="J12736" s="124"/>
    </row>
    <row r="12737" spans="3:10" x14ac:dyDescent="0.2">
      <c r="C12737" s="209"/>
      <c r="D12737" s="209"/>
      <c r="E12737" s="209"/>
      <c r="J12737" s="124"/>
    </row>
    <row r="12738" spans="3:10" x14ac:dyDescent="0.2">
      <c r="C12738" s="209"/>
      <c r="D12738" s="209"/>
      <c r="E12738" s="209"/>
      <c r="J12738" s="124"/>
    </row>
    <row r="12739" spans="3:10" x14ac:dyDescent="0.2">
      <c r="C12739" s="209"/>
      <c r="D12739" s="209"/>
      <c r="E12739" s="209"/>
      <c r="J12739" s="124"/>
    </row>
    <row r="12740" spans="3:10" x14ac:dyDescent="0.2">
      <c r="C12740" s="209"/>
      <c r="D12740" s="209"/>
      <c r="E12740" s="209"/>
      <c r="J12740" s="124"/>
    </row>
    <row r="12741" spans="3:10" x14ac:dyDescent="0.2">
      <c r="C12741" s="209"/>
      <c r="D12741" s="209"/>
      <c r="E12741" s="209"/>
      <c r="J12741" s="124"/>
    </row>
    <row r="12742" spans="3:10" x14ac:dyDescent="0.2">
      <c r="C12742" s="209"/>
      <c r="D12742" s="209"/>
      <c r="E12742" s="209"/>
      <c r="J12742" s="124"/>
    </row>
    <row r="12743" spans="3:10" x14ac:dyDescent="0.2">
      <c r="C12743" s="209"/>
      <c r="D12743" s="209"/>
      <c r="E12743" s="209"/>
      <c r="J12743" s="124"/>
    </row>
    <row r="12744" spans="3:10" x14ac:dyDescent="0.2">
      <c r="C12744" s="209"/>
      <c r="D12744" s="209"/>
      <c r="E12744" s="209"/>
      <c r="J12744" s="124"/>
    </row>
    <row r="12745" spans="3:10" x14ac:dyDescent="0.2">
      <c r="C12745" s="209"/>
      <c r="D12745" s="209"/>
      <c r="E12745" s="209"/>
      <c r="J12745" s="124"/>
    </row>
    <row r="12746" spans="3:10" x14ac:dyDescent="0.2">
      <c r="C12746" s="209"/>
      <c r="D12746" s="209"/>
      <c r="E12746" s="209"/>
      <c r="J12746" s="124"/>
    </row>
    <row r="12747" spans="3:10" x14ac:dyDescent="0.2">
      <c r="C12747" s="209"/>
      <c r="D12747" s="209"/>
      <c r="E12747" s="209"/>
      <c r="J12747" s="124"/>
    </row>
    <row r="12748" spans="3:10" x14ac:dyDescent="0.2">
      <c r="C12748" s="209"/>
      <c r="D12748" s="209"/>
      <c r="E12748" s="209"/>
      <c r="J12748" s="124"/>
    </row>
    <row r="12749" spans="3:10" x14ac:dyDescent="0.2">
      <c r="C12749" s="209"/>
      <c r="D12749" s="209"/>
      <c r="E12749" s="209"/>
      <c r="J12749" s="124"/>
    </row>
    <row r="12750" spans="3:10" x14ac:dyDescent="0.2">
      <c r="C12750" s="209"/>
      <c r="D12750" s="209"/>
      <c r="E12750" s="209"/>
      <c r="J12750" s="124"/>
    </row>
    <row r="12751" spans="3:10" x14ac:dyDescent="0.2">
      <c r="C12751" s="209"/>
      <c r="D12751" s="209"/>
      <c r="E12751" s="209"/>
      <c r="J12751" s="124"/>
    </row>
    <row r="12752" spans="3:10" x14ac:dyDescent="0.2">
      <c r="C12752" s="209"/>
      <c r="D12752" s="209"/>
      <c r="E12752" s="209"/>
      <c r="J12752" s="124"/>
    </row>
    <row r="12753" spans="3:10" x14ac:dyDescent="0.2">
      <c r="C12753" s="209"/>
      <c r="D12753" s="209"/>
      <c r="E12753" s="209"/>
      <c r="J12753" s="124"/>
    </row>
    <row r="12754" spans="3:10" x14ac:dyDescent="0.2">
      <c r="C12754" s="209"/>
      <c r="D12754" s="209"/>
      <c r="E12754" s="209"/>
      <c r="J12754" s="124"/>
    </row>
    <row r="12755" spans="3:10" x14ac:dyDescent="0.2">
      <c r="C12755" s="209"/>
      <c r="D12755" s="209"/>
      <c r="E12755" s="209"/>
      <c r="J12755" s="124"/>
    </row>
    <row r="12756" spans="3:10" x14ac:dyDescent="0.2">
      <c r="C12756" s="209"/>
      <c r="D12756" s="209"/>
      <c r="E12756" s="209"/>
      <c r="J12756" s="124"/>
    </row>
    <row r="12757" spans="3:10" x14ac:dyDescent="0.2">
      <c r="C12757" s="209"/>
      <c r="D12757" s="209"/>
      <c r="E12757" s="209"/>
      <c r="J12757" s="124"/>
    </row>
    <row r="12758" spans="3:10" x14ac:dyDescent="0.2">
      <c r="C12758" s="209"/>
      <c r="D12758" s="209"/>
      <c r="E12758" s="209"/>
      <c r="J12758" s="124"/>
    </row>
    <row r="12759" spans="3:10" x14ac:dyDescent="0.2">
      <c r="C12759" s="209"/>
      <c r="D12759" s="209"/>
      <c r="E12759" s="209"/>
      <c r="J12759" s="124"/>
    </row>
    <row r="12760" spans="3:10" x14ac:dyDescent="0.2">
      <c r="C12760" s="209"/>
      <c r="D12760" s="209"/>
      <c r="E12760" s="209"/>
      <c r="J12760" s="124"/>
    </row>
    <row r="12761" spans="3:10" x14ac:dyDescent="0.2">
      <c r="C12761" s="209"/>
      <c r="D12761" s="209"/>
      <c r="E12761" s="209"/>
      <c r="J12761" s="124"/>
    </row>
    <row r="12762" spans="3:10" x14ac:dyDescent="0.2">
      <c r="C12762" s="209"/>
      <c r="D12762" s="209"/>
      <c r="E12762" s="209"/>
      <c r="J12762" s="124"/>
    </row>
    <row r="12763" spans="3:10" x14ac:dyDescent="0.2">
      <c r="C12763" s="209"/>
      <c r="D12763" s="209"/>
      <c r="E12763" s="209"/>
      <c r="J12763" s="124"/>
    </row>
    <row r="12764" spans="3:10" x14ac:dyDescent="0.2">
      <c r="C12764" s="209"/>
      <c r="D12764" s="209"/>
      <c r="E12764" s="209"/>
      <c r="J12764" s="124"/>
    </row>
    <row r="12765" spans="3:10" x14ac:dyDescent="0.2">
      <c r="C12765" s="209"/>
      <c r="D12765" s="209"/>
      <c r="E12765" s="209"/>
      <c r="J12765" s="124"/>
    </row>
    <row r="12766" spans="3:10" x14ac:dyDescent="0.2">
      <c r="C12766" s="209"/>
      <c r="D12766" s="209"/>
      <c r="E12766" s="209"/>
      <c r="J12766" s="124"/>
    </row>
    <row r="12767" spans="3:10" x14ac:dyDescent="0.2">
      <c r="C12767" s="209"/>
      <c r="D12767" s="209"/>
      <c r="E12767" s="209"/>
      <c r="J12767" s="124"/>
    </row>
    <row r="12768" spans="3:10" x14ac:dyDescent="0.2">
      <c r="C12768" s="209"/>
      <c r="D12768" s="209"/>
      <c r="E12768" s="209"/>
      <c r="J12768" s="124"/>
    </row>
    <row r="12769" spans="3:10" x14ac:dyDescent="0.2">
      <c r="C12769" s="209"/>
      <c r="D12769" s="209"/>
      <c r="E12769" s="209"/>
      <c r="J12769" s="124"/>
    </row>
    <row r="12770" spans="3:10" x14ac:dyDescent="0.2">
      <c r="C12770" s="209"/>
      <c r="D12770" s="209"/>
      <c r="E12770" s="209"/>
      <c r="J12770" s="124"/>
    </row>
    <row r="12771" spans="3:10" x14ac:dyDescent="0.2">
      <c r="C12771" s="209"/>
      <c r="D12771" s="209"/>
      <c r="E12771" s="209"/>
      <c r="J12771" s="124"/>
    </row>
    <row r="12772" spans="3:10" x14ac:dyDescent="0.2">
      <c r="C12772" s="209"/>
      <c r="D12772" s="209"/>
      <c r="E12772" s="209"/>
      <c r="J12772" s="124"/>
    </row>
    <row r="12773" spans="3:10" x14ac:dyDescent="0.2">
      <c r="C12773" s="209"/>
      <c r="D12773" s="209"/>
      <c r="E12773" s="209"/>
      <c r="J12773" s="124"/>
    </row>
    <row r="12774" spans="3:10" x14ac:dyDescent="0.2">
      <c r="C12774" s="209"/>
      <c r="D12774" s="209"/>
      <c r="E12774" s="209"/>
      <c r="J12774" s="124"/>
    </row>
    <row r="12775" spans="3:10" x14ac:dyDescent="0.2">
      <c r="C12775" s="209"/>
      <c r="D12775" s="209"/>
      <c r="E12775" s="209"/>
      <c r="J12775" s="124"/>
    </row>
    <row r="12776" spans="3:10" x14ac:dyDescent="0.2">
      <c r="C12776" s="209"/>
      <c r="D12776" s="209"/>
      <c r="E12776" s="209"/>
      <c r="J12776" s="124"/>
    </row>
    <row r="12777" spans="3:10" x14ac:dyDescent="0.2">
      <c r="C12777" s="209"/>
      <c r="D12777" s="209"/>
      <c r="E12777" s="209"/>
      <c r="J12777" s="124"/>
    </row>
    <row r="12778" spans="3:10" x14ac:dyDescent="0.2">
      <c r="C12778" s="209"/>
      <c r="D12778" s="209"/>
      <c r="E12778" s="209"/>
      <c r="J12778" s="124"/>
    </row>
    <row r="12779" spans="3:10" x14ac:dyDescent="0.2">
      <c r="C12779" s="209"/>
      <c r="D12779" s="209"/>
      <c r="E12779" s="209"/>
      <c r="J12779" s="124"/>
    </row>
    <row r="12780" spans="3:10" x14ac:dyDescent="0.2">
      <c r="C12780" s="209"/>
      <c r="D12780" s="209"/>
      <c r="E12780" s="209"/>
      <c r="J12780" s="124"/>
    </row>
    <row r="12781" spans="3:10" x14ac:dyDescent="0.2">
      <c r="C12781" s="209"/>
      <c r="D12781" s="209"/>
      <c r="E12781" s="209"/>
      <c r="J12781" s="124"/>
    </row>
    <row r="12782" spans="3:10" x14ac:dyDescent="0.2">
      <c r="C12782" s="209"/>
      <c r="D12782" s="209"/>
      <c r="E12782" s="209"/>
      <c r="J12782" s="124"/>
    </row>
    <row r="12783" spans="3:10" x14ac:dyDescent="0.2">
      <c r="C12783" s="209"/>
      <c r="D12783" s="209"/>
      <c r="E12783" s="209"/>
      <c r="J12783" s="124"/>
    </row>
    <row r="12784" spans="3:10" x14ac:dyDescent="0.2">
      <c r="C12784" s="209"/>
      <c r="D12784" s="209"/>
      <c r="E12784" s="209"/>
      <c r="J12784" s="124"/>
    </row>
    <row r="12785" spans="3:10" x14ac:dyDescent="0.2">
      <c r="C12785" s="209"/>
      <c r="D12785" s="209"/>
      <c r="E12785" s="209"/>
      <c r="J12785" s="124"/>
    </row>
    <row r="12786" spans="3:10" x14ac:dyDescent="0.2">
      <c r="C12786" s="209"/>
      <c r="D12786" s="209"/>
      <c r="E12786" s="209"/>
      <c r="J12786" s="124"/>
    </row>
    <row r="12787" spans="3:10" x14ac:dyDescent="0.2">
      <c r="C12787" s="209"/>
      <c r="D12787" s="209"/>
      <c r="E12787" s="209"/>
      <c r="J12787" s="124"/>
    </row>
    <row r="12788" spans="3:10" x14ac:dyDescent="0.2">
      <c r="C12788" s="209"/>
      <c r="D12788" s="209"/>
      <c r="E12788" s="209"/>
      <c r="J12788" s="124"/>
    </row>
    <row r="12789" spans="3:10" x14ac:dyDescent="0.2">
      <c r="C12789" s="209"/>
      <c r="D12789" s="209"/>
      <c r="E12789" s="209"/>
      <c r="J12789" s="124"/>
    </row>
    <row r="12790" spans="3:10" x14ac:dyDescent="0.2">
      <c r="C12790" s="209"/>
      <c r="D12790" s="209"/>
      <c r="E12790" s="209"/>
      <c r="J12790" s="124"/>
    </row>
    <row r="12791" spans="3:10" x14ac:dyDescent="0.2">
      <c r="C12791" s="209"/>
      <c r="D12791" s="209"/>
      <c r="E12791" s="209"/>
      <c r="J12791" s="124"/>
    </row>
    <row r="12792" spans="3:10" x14ac:dyDescent="0.2">
      <c r="C12792" s="209"/>
      <c r="D12792" s="209"/>
      <c r="E12792" s="209"/>
      <c r="J12792" s="124"/>
    </row>
    <row r="12793" spans="3:10" x14ac:dyDescent="0.2">
      <c r="C12793" s="209"/>
      <c r="D12793" s="209"/>
      <c r="E12793" s="209"/>
      <c r="J12793" s="124"/>
    </row>
    <row r="12794" spans="3:10" x14ac:dyDescent="0.2">
      <c r="C12794" s="209"/>
      <c r="D12794" s="209"/>
      <c r="E12794" s="209"/>
      <c r="J12794" s="124"/>
    </row>
    <row r="12795" spans="3:10" x14ac:dyDescent="0.2">
      <c r="C12795" s="209"/>
      <c r="D12795" s="209"/>
      <c r="E12795" s="209"/>
      <c r="J12795" s="124"/>
    </row>
    <row r="12796" spans="3:10" x14ac:dyDescent="0.2">
      <c r="C12796" s="209"/>
      <c r="D12796" s="209"/>
      <c r="E12796" s="209"/>
      <c r="J12796" s="124"/>
    </row>
    <row r="12797" spans="3:10" x14ac:dyDescent="0.2">
      <c r="C12797" s="209"/>
      <c r="D12797" s="209"/>
      <c r="E12797" s="209"/>
      <c r="J12797" s="124"/>
    </row>
    <row r="12798" spans="3:10" x14ac:dyDescent="0.2">
      <c r="C12798" s="209"/>
      <c r="D12798" s="209"/>
      <c r="E12798" s="209"/>
      <c r="J12798" s="124"/>
    </row>
    <row r="12799" spans="3:10" x14ac:dyDescent="0.2">
      <c r="C12799" s="209"/>
      <c r="D12799" s="209"/>
      <c r="E12799" s="209"/>
      <c r="J12799" s="124"/>
    </row>
    <row r="12800" spans="3:10" x14ac:dyDescent="0.2">
      <c r="C12800" s="209"/>
      <c r="D12800" s="209"/>
      <c r="E12800" s="209"/>
      <c r="J12800" s="124"/>
    </row>
    <row r="12801" spans="3:10" x14ac:dyDescent="0.2">
      <c r="C12801" s="209"/>
      <c r="D12801" s="209"/>
      <c r="E12801" s="209"/>
      <c r="J12801" s="124"/>
    </row>
    <row r="12802" spans="3:10" x14ac:dyDescent="0.2">
      <c r="C12802" s="209"/>
      <c r="D12802" s="209"/>
      <c r="E12802" s="209"/>
      <c r="J12802" s="124"/>
    </row>
    <row r="12803" spans="3:10" x14ac:dyDescent="0.2">
      <c r="C12803" s="209"/>
      <c r="D12803" s="209"/>
      <c r="E12803" s="209"/>
      <c r="J12803" s="124"/>
    </row>
    <row r="12804" spans="3:10" x14ac:dyDescent="0.2">
      <c r="C12804" s="209"/>
      <c r="D12804" s="209"/>
      <c r="E12804" s="209"/>
      <c r="J12804" s="124"/>
    </row>
    <row r="12805" spans="3:10" x14ac:dyDescent="0.2">
      <c r="C12805" s="209"/>
      <c r="D12805" s="209"/>
      <c r="E12805" s="209"/>
      <c r="J12805" s="124"/>
    </row>
    <row r="12806" spans="3:10" x14ac:dyDescent="0.2">
      <c r="C12806" s="209"/>
      <c r="D12806" s="209"/>
      <c r="E12806" s="209"/>
      <c r="J12806" s="124"/>
    </row>
    <row r="12807" spans="3:10" x14ac:dyDescent="0.2">
      <c r="C12807" s="209"/>
      <c r="D12807" s="209"/>
      <c r="E12807" s="209"/>
      <c r="J12807" s="124"/>
    </row>
    <row r="12808" spans="3:10" x14ac:dyDescent="0.2">
      <c r="C12808" s="209"/>
      <c r="D12808" s="209"/>
      <c r="E12808" s="209"/>
      <c r="J12808" s="124"/>
    </row>
    <row r="12809" spans="3:10" x14ac:dyDescent="0.2">
      <c r="C12809" s="209"/>
      <c r="D12809" s="209"/>
      <c r="E12809" s="209"/>
      <c r="J12809" s="124"/>
    </row>
    <row r="12810" spans="3:10" x14ac:dyDescent="0.2">
      <c r="C12810" s="209"/>
      <c r="D12810" s="209"/>
      <c r="E12810" s="209"/>
      <c r="J12810" s="124"/>
    </row>
    <row r="12811" spans="3:10" x14ac:dyDescent="0.2">
      <c r="C12811" s="209"/>
      <c r="D12811" s="209"/>
      <c r="E12811" s="209"/>
      <c r="J12811" s="124"/>
    </row>
    <row r="12812" spans="3:10" x14ac:dyDescent="0.2">
      <c r="C12812" s="209"/>
      <c r="D12812" s="209"/>
      <c r="E12812" s="209"/>
      <c r="J12812" s="124"/>
    </row>
    <row r="12813" spans="3:10" x14ac:dyDescent="0.2">
      <c r="C12813" s="209"/>
      <c r="D12813" s="209"/>
      <c r="E12813" s="209"/>
      <c r="J12813" s="124"/>
    </row>
    <row r="12814" spans="3:10" x14ac:dyDescent="0.2">
      <c r="C12814" s="209"/>
      <c r="D12814" s="209"/>
      <c r="E12814" s="209"/>
      <c r="J12814" s="124"/>
    </row>
    <row r="12815" spans="3:10" x14ac:dyDescent="0.2">
      <c r="C12815" s="209"/>
      <c r="D12815" s="209"/>
      <c r="E12815" s="209"/>
      <c r="J12815" s="124"/>
    </row>
    <row r="12816" spans="3:10" x14ac:dyDescent="0.2">
      <c r="C12816" s="209"/>
      <c r="D12816" s="209"/>
      <c r="E12816" s="209"/>
      <c r="J12816" s="124"/>
    </row>
    <row r="12817" spans="3:10" x14ac:dyDescent="0.2">
      <c r="C12817" s="209"/>
      <c r="D12817" s="209"/>
      <c r="E12817" s="209"/>
      <c r="J12817" s="124"/>
    </row>
    <row r="12818" spans="3:10" x14ac:dyDescent="0.2">
      <c r="C12818" s="209"/>
      <c r="D12818" s="209"/>
      <c r="E12818" s="209"/>
      <c r="J12818" s="124"/>
    </row>
    <row r="12819" spans="3:10" x14ac:dyDescent="0.2">
      <c r="C12819" s="209"/>
      <c r="D12819" s="209"/>
      <c r="E12819" s="209"/>
      <c r="J12819" s="124"/>
    </row>
    <row r="12820" spans="3:10" x14ac:dyDescent="0.2">
      <c r="C12820" s="209"/>
      <c r="D12820" s="209"/>
      <c r="E12820" s="209"/>
      <c r="J12820" s="124"/>
    </row>
    <row r="12821" spans="3:10" x14ac:dyDescent="0.2">
      <c r="C12821" s="209"/>
      <c r="D12821" s="209"/>
      <c r="E12821" s="209"/>
      <c r="J12821" s="124"/>
    </row>
    <row r="12822" spans="3:10" x14ac:dyDescent="0.2">
      <c r="C12822" s="209"/>
      <c r="D12822" s="209"/>
      <c r="E12822" s="209"/>
      <c r="J12822" s="124"/>
    </row>
    <row r="12823" spans="3:10" x14ac:dyDescent="0.2">
      <c r="C12823" s="209"/>
      <c r="D12823" s="209"/>
      <c r="E12823" s="209"/>
      <c r="J12823" s="124"/>
    </row>
    <row r="12824" spans="3:10" x14ac:dyDescent="0.2">
      <c r="C12824" s="209"/>
      <c r="D12824" s="209"/>
      <c r="E12824" s="209"/>
      <c r="J12824" s="124"/>
    </row>
    <row r="12825" spans="3:10" x14ac:dyDescent="0.2">
      <c r="C12825" s="209"/>
      <c r="D12825" s="209"/>
      <c r="E12825" s="209"/>
      <c r="J12825" s="124"/>
    </row>
    <row r="12826" spans="3:10" x14ac:dyDescent="0.2">
      <c r="C12826" s="209"/>
      <c r="D12826" s="209"/>
      <c r="E12826" s="209"/>
      <c r="J12826" s="124"/>
    </row>
    <row r="12827" spans="3:10" x14ac:dyDescent="0.2">
      <c r="C12827" s="209"/>
      <c r="D12827" s="209"/>
      <c r="E12827" s="209"/>
      <c r="J12827" s="124"/>
    </row>
    <row r="12828" spans="3:10" x14ac:dyDescent="0.2">
      <c r="C12828" s="209"/>
      <c r="D12828" s="209"/>
      <c r="E12828" s="209"/>
      <c r="J12828" s="124"/>
    </row>
    <row r="12829" spans="3:10" x14ac:dyDescent="0.2">
      <c r="C12829" s="209"/>
      <c r="D12829" s="209"/>
      <c r="E12829" s="209"/>
      <c r="J12829" s="124"/>
    </row>
    <row r="12830" spans="3:10" x14ac:dyDescent="0.2">
      <c r="C12830" s="209"/>
      <c r="D12830" s="209"/>
      <c r="E12830" s="209"/>
      <c r="J12830" s="124"/>
    </row>
    <row r="12831" spans="3:10" x14ac:dyDescent="0.2">
      <c r="C12831" s="209"/>
      <c r="D12831" s="209"/>
      <c r="E12831" s="209"/>
      <c r="J12831" s="124"/>
    </row>
    <row r="12832" spans="3:10" x14ac:dyDescent="0.2">
      <c r="C12832" s="209"/>
      <c r="D12832" s="209"/>
      <c r="E12832" s="209"/>
      <c r="J12832" s="124"/>
    </row>
    <row r="12833" spans="3:10" x14ac:dyDescent="0.2">
      <c r="C12833" s="209"/>
      <c r="D12833" s="209"/>
      <c r="E12833" s="209"/>
      <c r="J12833" s="124"/>
    </row>
    <row r="12834" spans="3:10" x14ac:dyDescent="0.2">
      <c r="C12834" s="209"/>
      <c r="D12834" s="209"/>
      <c r="E12834" s="209"/>
      <c r="J12834" s="124"/>
    </row>
    <row r="12835" spans="3:10" x14ac:dyDescent="0.2">
      <c r="C12835" s="209"/>
      <c r="D12835" s="209"/>
      <c r="E12835" s="209"/>
      <c r="J12835" s="124"/>
    </row>
    <row r="12836" spans="3:10" x14ac:dyDescent="0.2">
      <c r="C12836" s="209"/>
      <c r="D12836" s="209"/>
      <c r="E12836" s="209"/>
      <c r="J12836" s="124"/>
    </row>
    <row r="12837" spans="3:10" x14ac:dyDescent="0.2">
      <c r="C12837" s="209"/>
      <c r="D12837" s="209"/>
      <c r="E12837" s="209"/>
      <c r="J12837" s="124"/>
    </row>
    <row r="12838" spans="3:10" x14ac:dyDescent="0.2">
      <c r="C12838" s="209"/>
      <c r="D12838" s="209"/>
      <c r="E12838" s="209"/>
      <c r="J12838" s="124"/>
    </row>
    <row r="12839" spans="3:10" x14ac:dyDescent="0.2">
      <c r="C12839" s="209"/>
      <c r="D12839" s="209"/>
      <c r="E12839" s="209"/>
      <c r="J12839" s="124"/>
    </row>
    <row r="12840" spans="3:10" x14ac:dyDescent="0.2">
      <c r="C12840" s="209"/>
      <c r="D12840" s="209"/>
      <c r="E12840" s="209"/>
      <c r="J12840" s="124"/>
    </row>
    <row r="12841" spans="3:10" x14ac:dyDescent="0.2">
      <c r="C12841" s="209"/>
      <c r="D12841" s="209"/>
      <c r="E12841" s="209"/>
      <c r="J12841" s="124"/>
    </row>
    <row r="12842" spans="3:10" x14ac:dyDescent="0.2">
      <c r="C12842" s="209"/>
      <c r="D12842" s="209"/>
      <c r="E12842" s="209"/>
      <c r="J12842" s="124"/>
    </row>
    <row r="12843" spans="3:10" x14ac:dyDescent="0.2">
      <c r="C12843" s="209"/>
      <c r="D12843" s="209"/>
      <c r="E12843" s="209"/>
      <c r="J12843" s="124"/>
    </row>
    <row r="12844" spans="3:10" x14ac:dyDescent="0.2">
      <c r="C12844" s="209"/>
      <c r="D12844" s="209"/>
      <c r="E12844" s="209"/>
      <c r="J12844" s="124"/>
    </row>
    <row r="12845" spans="3:10" x14ac:dyDescent="0.2">
      <c r="C12845" s="209"/>
      <c r="D12845" s="209"/>
      <c r="E12845" s="209"/>
      <c r="J12845" s="124"/>
    </row>
    <row r="12846" spans="3:10" x14ac:dyDescent="0.2">
      <c r="C12846" s="209"/>
      <c r="D12846" s="209"/>
      <c r="E12846" s="209"/>
      <c r="J12846" s="124"/>
    </row>
    <row r="12847" spans="3:10" x14ac:dyDescent="0.2">
      <c r="C12847" s="209"/>
      <c r="D12847" s="209"/>
      <c r="E12847" s="209"/>
      <c r="J12847" s="124"/>
    </row>
    <row r="12848" spans="3:10" x14ac:dyDescent="0.2">
      <c r="C12848" s="209"/>
      <c r="D12848" s="209"/>
      <c r="E12848" s="209"/>
      <c r="J12848" s="124"/>
    </row>
    <row r="12849" spans="3:10" x14ac:dyDescent="0.2">
      <c r="C12849" s="209"/>
      <c r="D12849" s="209"/>
      <c r="E12849" s="209"/>
      <c r="J12849" s="124"/>
    </row>
    <row r="12850" spans="3:10" x14ac:dyDescent="0.2">
      <c r="C12850" s="209"/>
      <c r="D12850" s="209"/>
      <c r="E12850" s="209"/>
      <c r="J12850" s="124"/>
    </row>
    <row r="12851" spans="3:10" x14ac:dyDescent="0.2">
      <c r="C12851" s="209"/>
      <c r="D12851" s="209"/>
      <c r="E12851" s="209"/>
      <c r="J12851" s="124"/>
    </row>
    <row r="12852" spans="3:10" x14ac:dyDescent="0.2">
      <c r="C12852" s="209"/>
      <c r="D12852" s="209"/>
      <c r="E12852" s="209"/>
      <c r="J12852" s="124"/>
    </row>
    <row r="12853" spans="3:10" x14ac:dyDescent="0.2">
      <c r="C12853" s="209"/>
      <c r="D12853" s="209"/>
      <c r="E12853" s="209"/>
      <c r="J12853" s="124"/>
    </row>
    <row r="12854" spans="3:10" x14ac:dyDescent="0.2">
      <c r="C12854" s="209"/>
      <c r="D12854" s="209"/>
      <c r="E12854" s="209"/>
      <c r="J12854" s="124"/>
    </row>
    <row r="12855" spans="3:10" x14ac:dyDescent="0.2">
      <c r="C12855" s="209"/>
      <c r="D12855" s="209"/>
      <c r="E12855" s="209"/>
      <c r="J12855" s="124"/>
    </row>
    <row r="12856" spans="3:10" x14ac:dyDescent="0.2">
      <c r="C12856" s="209"/>
      <c r="D12856" s="209"/>
      <c r="E12856" s="209"/>
      <c r="J12856" s="124"/>
    </row>
    <row r="12857" spans="3:10" x14ac:dyDescent="0.2">
      <c r="C12857" s="209"/>
      <c r="D12857" s="209"/>
      <c r="E12857" s="209"/>
      <c r="J12857" s="124"/>
    </row>
    <row r="12858" spans="3:10" x14ac:dyDescent="0.2">
      <c r="C12858" s="209"/>
      <c r="D12858" s="209"/>
      <c r="E12858" s="209"/>
      <c r="J12858" s="124"/>
    </row>
    <row r="12859" spans="3:10" x14ac:dyDescent="0.2">
      <c r="C12859" s="209"/>
      <c r="D12859" s="209"/>
      <c r="E12859" s="209"/>
      <c r="J12859" s="124"/>
    </row>
    <row r="12860" spans="3:10" x14ac:dyDescent="0.2">
      <c r="C12860" s="209"/>
      <c r="D12860" s="209"/>
      <c r="E12860" s="209"/>
      <c r="J12860" s="124"/>
    </row>
    <row r="12861" spans="3:10" x14ac:dyDescent="0.2">
      <c r="C12861" s="209"/>
      <c r="D12861" s="209"/>
      <c r="E12861" s="209"/>
      <c r="J12861" s="124"/>
    </row>
    <row r="12862" spans="3:10" x14ac:dyDescent="0.2">
      <c r="C12862" s="209"/>
      <c r="D12862" s="209"/>
      <c r="E12862" s="209"/>
      <c r="J12862" s="124"/>
    </row>
    <row r="12863" spans="3:10" x14ac:dyDescent="0.2">
      <c r="C12863" s="209"/>
      <c r="D12863" s="209"/>
      <c r="E12863" s="209"/>
      <c r="J12863" s="124"/>
    </row>
    <row r="12864" spans="3:10" x14ac:dyDescent="0.2">
      <c r="C12864" s="209"/>
      <c r="D12864" s="209"/>
      <c r="E12864" s="209"/>
      <c r="J12864" s="124"/>
    </row>
    <row r="12865" spans="3:10" x14ac:dyDescent="0.2">
      <c r="C12865" s="209"/>
      <c r="D12865" s="209"/>
      <c r="E12865" s="209"/>
      <c r="J12865" s="124"/>
    </row>
    <row r="12866" spans="3:10" x14ac:dyDescent="0.2">
      <c r="C12866" s="209"/>
      <c r="D12866" s="209"/>
      <c r="E12866" s="209"/>
      <c r="J12866" s="124"/>
    </row>
    <row r="12867" spans="3:10" x14ac:dyDescent="0.2">
      <c r="C12867" s="209"/>
      <c r="D12867" s="209"/>
      <c r="E12867" s="209"/>
      <c r="J12867" s="124"/>
    </row>
    <row r="12868" spans="3:10" x14ac:dyDescent="0.2">
      <c r="C12868" s="209"/>
      <c r="D12868" s="209"/>
      <c r="E12868" s="209"/>
      <c r="J12868" s="124"/>
    </row>
    <row r="12869" spans="3:10" x14ac:dyDescent="0.2">
      <c r="C12869" s="209"/>
      <c r="D12869" s="209"/>
      <c r="E12869" s="209"/>
      <c r="J12869" s="124"/>
    </row>
    <row r="12870" spans="3:10" x14ac:dyDescent="0.2">
      <c r="C12870" s="209"/>
      <c r="D12870" s="209"/>
      <c r="E12870" s="209"/>
      <c r="J12870" s="124"/>
    </row>
    <row r="12871" spans="3:10" x14ac:dyDescent="0.2">
      <c r="C12871" s="209"/>
      <c r="D12871" s="209"/>
      <c r="E12871" s="209"/>
      <c r="J12871" s="124"/>
    </row>
    <row r="12872" spans="3:10" x14ac:dyDescent="0.2">
      <c r="C12872" s="209"/>
      <c r="D12872" s="209"/>
      <c r="E12872" s="209"/>
      <c r="J12872" s="124"/>
    </row>
    <row r="12873" spans="3:10" x14ac:dyDescent="0.2">
      <c r="C12873" s="209"/>
      <c r="D12873" s="209"/>
      <c r="E12873" s="209"/>
      <c r="J12873" s="124"/>
    </row>
    <row r="12874" spans="3:10" x14ac:dyDescent="0.2">
      <c r="C12874" s="209"/>
      <c r="D12874" s="209"/>
      <c r="E12874" s="209"/>
      <c r="J12874" s="124"/>
    </row>
    <row r="12875" spans="3:10" x14ac:dyDescent="0.2">
      <c r="C12875" s="209"/>
      <c r="D12875" s="209"/>
      <c r="E12875" s="209"/>
      <c r="J12875" s="124"/>
    </row>
    <row r="12876" spans="3:10" x14ac:dyDescent="0.2">
      <c r="C12876" s="209"/>
      <c r="D12876" s="209"/>
      <c r="E12876" s="209"/>
      <c r="J12876" s="124"/>
    </row>
    <row r="12877" spans="3:10" x14ac:dyDescent="0.2">
      <c r="C12877" s="209"/>
      <c r="D12877" s="209"/>
      <c r="E12877" s="209"/>
      <c r="J12877" s="124"/>
    </row>
    <row r="12878" spans="3:10" x14ac:dyDescent="0.2">
      <c r="C12878" s="209"/>
      <c r="D12878" s="209"/>
      <c r="E12878" s="209"/>
      <c r="J12878" s="124"/>
    </row>
    <row r="12879" spans="3:10" x14ac:dyDescent="0.2">
      <c r="C12879" s="209"/>
      <c r="D12879" s="209"/>
      <c r="E12879" s="209"/>
      <c r="J12879" s="124"/>
    </row>
    <row r="12880" spans="3:10" x14ac:dyDescent="0.2">
      <c r="C12880" s="209"/>
      <c r="D12880" s="209"/>
      <c r="E12880" s="209"/>
      <c r="J12880" s="124"/>
    </row>
    <row r="12881" spans="3:10" x14ac:dyDescent="0.2">
      <c r="C12881" s="209"/>
      <c r="D12881" s="209"/>
      <c r="E12881" s="209"/>
      <c r="J12881" s="124"/>
    </row>
    <row r="12882" spans="3:10" x14ac:dyDescent="0.2">
      <c r="C12882" s="209"/>
      <c r="D12882" s="209"/>
      <c r="E12882" s="209"/>
      <c r="J12882" s="124"/>
    </row>
    <row r="12883" spans="3:10" x14ac:dyDescent="0.2">
      <c r="C12883" s="209"/>
      <c r="D12883" s="209"/>
      <c r="E12883" s="209"/>
      <c r="J12883" s="124"/>
    </row>
    <row r="12884" spans="3:10" x14ac:dyDescent="0.2">
      <c r="C12884" s="209"/>
      <c r="D12884" s="209"/>
      <c r="E12884" s="209"/>
      <c r="J12884" s="124"/>
    </row>
    <row r="12885" spans="3:10" x14ac:dyDescent="0.2">
      <c r="C12885" s="209"/>
      <c r="D12885" s="209"/>
      <c r="E12885" s="209"/>
      <c r="J12885" s="124"/>
    </row>
    <row r="12886" spans="3:10" x14ac:dyDescent="0.2">
      <c r="C12886" s="209"/>
      <c r="D12886" s="209"/>
      <c r="E12886" s="209"/>
      <c r="J12886" s="124"/>
    </row>
    <row r="12887" spans="3:10" x14ac:dyDescent="0.2">
      <c r="C12887" s="209"/>
      <c r="D12887" s="209"/>
      <c r="E12887" s="209"/>
      <c r="J12887" s="124"/>
    </row>
    <row r="12888" spans="3:10" x14ac:dyDescent="0.2">
      <c r="C12888" s="209"/>
      <c r="D12888" s="209"/>
      <c r="E12888" s="209"/>
      <c r="J12888" s="124"/>
    </row>
    <row r="12889" spans="3:10" x14ac:dyDescent="0.2">
      <c r="C12889" s="209"/>
      <c r="D12889" s="209"/>
      <c r="E12889" s="209"/>
      <c r="J12889" s="124"/>
    </row>
    <row r="12890" spans="3:10" x14ac:dyDescent="0.2">
      <c r="C12890" s="209"/>
      <c r="D12890" s="209"/>
      <c r="E12890" s="209"/>
      <c r="J12890" s="124"/>
    </row>
    <row r="12891" spans="3:10" x14ac:dyDescent="0.2">
      <c r="C12891" s="209"/>
      <c r="D12891" s="209"/>
      <c r="E12891" s="209"/>
      <c r="J12891" s="124"/>
    </row>
    <row r="12892" spans="3:10" x14ac:dyDescent="0.2">
      <c r="C12892" s="209"/>
      <c r="D12892" s="209"/>
      <c r="E12892" s="209"/>
      <c r="J12892" s="124"/>
    </row>
    <row r="12893" spans="3:10" x14ac:dyDescent="0.2">
      <c r="C12893" s="209"/>
      <c r="D12893" s="209"/>
      <c r="E12893" s="209"/>
      <c r="J12893" s="124"/>
    </row>
    <row r="12894" spans="3:10" x14ac:dyDescent="0.2">
      <c r="C12894" s="209"/>
      <c r="D12894" s="209"/>
      <c r="E12894" s="209"/>
      <c r="J12894" s="124"/>
    </row>
    <row r="12895" spans="3:10" x14ac:dyDescent="0.2">
      <c r="C12895" s="209"/>
      <c r="D12895" s="209"/>
      <c r="E12895" s="209"/>
      <c r="J12895" s="124"/>
    </row>
    <row r="12896" spans="3:10" x14ac:dyDescent="0.2">
      <c r="C12896" s="209"/>
      <c r="D12896" s="209"/>
      <c r="E12896" s="209"/>
      <c r="J12896" s="124"/>
    </row>
    <row r="12897" spans="3:10" x14ac:dyDescent="0.2">
      <c r="C12897" s="209"/>
      <c r="D12897" s="209"/>
      <c r="E12897" s="209"/>
      <c r="J12897" s="124"/>
    </row>
    <row r="12898" spans="3:10" x14ac:dyDescent="0.2">
      <c r="C12898" s="209"/>
      <c r="D12898" s="209"/>
      <c r="E12898" s="209"/>
      <c r="J12898" s="124"/>
    </row>
    <row r="12899" spans="3:10" x14ac:dyDescent="0.2">
      <c r="C12899" s="209"/>
      <c r="D12899" s="209"/>
      <c r="E12899" s="209"/>
      <c r="J12899" s="124"/>
    </row>
    <row r="12900" spans="3:10" x14ac:dyDescent="0.2">
      <c r="C12900" s="209"/>
      <c r="D12900" s="209"/>
      <c r="E12900" s="209"/>
      <c r="J12900" s="124"/>
    </row>
    <row r="12901" spans="3:10" x14ac:dyDescent="0.2">
      <c r="C12901" s="209"/>
      <c r="D12901" s="209"/>
      <c r="E12901" s="209"/>
      <c r="J12901" s="124"/>
    </row>
    <row r="12902" spans="3:10" x14ac:dyDescent="0.2">
      <c r="C12902" s="209"/>
      <c r="D12902" s="209"/>
      <c r="E12902" s="209"/>
      <c r="J12902" s="124"/>
    </row>
    <row r="12903" spans="3:10" x14ac:dyDescent="0.2">
      <c r="C12903" s="209"/>
      <c r="D12903" s="209"/>
      <c r="E12903" s="209"/>
      <c r="J12903" s="124"/>
    </row>
    <row r="12904" spans="3:10" x14ac:dyDescent="0.2">
      <c r="C12904" s="209"/>
      <c r="D12904" s="209"/>
      <c r="E12904" s="209"/>
      <c r="J12904" s="124"/>
    </row>
    <row r="12905" spans="3:10" x14ac:dyDescent="0.2">
      <c r="C12905" s="209"/>
      <c r="D12905" s="209"/>
      <c r="E12905" s="209"/>
      <c r="J12905" s="124"/>
    </row>
    <row r="12906" spans="3:10" x14ac:dyDescent="0.2">
      <c r="C12906" s="209"/>
      <c r="D12906" s="209"/>
      <c r="E12906" s="209"/>
      <c r="J12906" s="124"/>
    </row>
    <row r="12907" spans="3:10" x14ac:dyDescent="0.2">
      <c r="C12907" s="209"/>
      <c r="D12907" s="209"/>
      <c r="E12907" s="209"/>
      <c r="J12907" s="124"/>
    </row>
    <row r="12908" spans="3:10" x14ac:dyDescent="0.2">
      <c r="C12908" s="209"/>
      <c r="D12908" s="209"/>
      <c r="E12908" s="209"/>
      <c r="J12908" s="124"/>
    </row>
    <row r="12909" spans="3:10" x14ac:dyDescent="0.2">
      <c r="C12909" s="209"/>
      <c r="D12909" s="209"/>
      <c r="E12909" s="209"/>
      <c r="J12909" s="124"/>
    </row>
    <row r="12910" spans="3:10" x14ac:dyDescent="0.2">
      <c r="C12910" s="209"/>
      <c r="D12910" s="209"/>
      <c r="E12910" s="209"/>
      <c r="J12910" s="124"/>
    </row>
    <row r="12911" spans="3:10" x14ac:dyDescent="0.2">
      <c r="C12911" s="209"/>
      <c r="D12911" s="209"/>
      <c r="E12911" s="209"/>
      <c r="J12911" s="124"/>
    </row>
    <row r="12912" spans="3:10" x14ac:dyDescent="0.2">
      <c r="C12912" s="209"/>
      <c r="D12912" s="209"/>
      <c r="E12912" s="209"/>
      <c r="J12912" s="124"/>
    </row>
    <row r="12913" spans="3:10" x14ac:dyDescent="0.2">
      <c r="C12913" s="209"/>
      <c r="D12913" s="209"/>
      <c r="E12913" s="209"/>
      <c r="J12913" s="124"/>
    </row>
    <row r="12914" spans="3:10" x14ac:dyDescent="0.2">
      <c r="C12914" s="209"/>
      <c r="D12914" s="209"/>
      <c r="E12914" s="209"/>
      <c r="J12914" s="124"/>
    </row>
    <row r="12915" spans="3:10" x14ac:dyDescent="0.2">
      <c r="C12915" s="209"/>
      <c r="D12915" s="209"/>
      <c r="E12915" s="209"/>
      <c r="J12915" s="124"/>
    </row>
    <row r="12916" spans="3:10" x14ac:dyDescent="0.2">
      <c r="C12916" s="209"/>
      <c r="D12916" s="209"/>
      <c r="E12916" s="209"/>
      <c r="J12916" s="124"/>
    </row>
    <row r="12917" spans="3:10" x14ac:dyDescent="0.2">
      <c r="C12917" s="209"/>
      <c r="D12917" s="209"/>
      <c r="E12917" s="209"/>
      <c r="J12917" s="124"/>
    </row>
    <row r="12918" spans="3:10" x14ac:dyDescent="0.2">
      <c r="C12918" s="209"/>
      <c r="D12918" s="209"/>
      <c r="E12918" s="209"/>
      <c r="J12918" s="124"/>
    </row>
    <row r="12919" spans="3:10" x14ac:dyDescent="0.2">
      <c r="C12919" s="209"/>
      <c r="D12919" s="209"/>
      <c r="E12919" s="209"/>
      <c r="J12919" s="124"/>
    </row>
    <row r="12920" spans="3:10" x14ac:dyDescent="0.2">
      <c r="C12920" s="209"/>
      <c r="D12920" s="209"/>
      <c r="E12920" s="209"/>
      <c r="J12920" s="124"/>
    </row>
    <row r="12921" spans="3:10" x14ac:dyDescent="0.2">
      <c r="C12921" s="209"/>
      <c r="D12921" s="209"/>
      <c r="E12921" s="209"/>
      <c r="J12921" s="124"/>
    </row>
    <row r="12922" spans="3:10" x14ac:dyDescent="0.2">
      <c r="C12922" s="209"/>
      <c r="D12922" s="209"/>
      <c r="E12922" s="209"/>
      <c r="J12922" s="124"/>
    </row>
    <row r="12923" spans="3:10" x14ac:dyDescent="0.2">
      <c r="C12923" s="209"/>
      <c r="D12923" s="209"/>
      <c r="E12923" s="209"/>
      <c r="J12923" s="124"/>
    </row>
    <row r="12924" spans="3:10" x14ac:dyDescent="0.2">
      <c r="C12924" s="209"/>
      <c r="D12924" s="209"/>
      <c r="E12924" s="209"/>
      <c r="J12924" s="124"/>
    </row>
    <row r="12925" spans="3:10" x14ac:dyDescent="0.2">
      <c r="C12925" s="209"/>
      <c r="D12925" s="209"/>
      <c r="E12925" s="209"/>
      <c r="J12925" s="124"/>
    </row>
    <row r="12926" spans="3:10" x14ac:dyDescent="0.2">
      <c r="C12926" s="209"/>
      <c r="D12926" s="209"/>
      <c r="E12926" s="209"/>
      <c r="J12926" s="124"/>
    </row>
    <row r="12927" spans="3:10" x14ac:dyDescent="0.2">
      <c r="C12927" s="209"/>
      <c r="D12927" s="209"/>
      <c r="E12927" s="209"/>
      <c r="J12927" s="124"/>
    </row>
    <row r="12928" spans="3:10" x14ac:dyDescent="0.2">
      <c r="C12928" s="209"/>
      <c r="D12928" s="209"/>
      <c r="E12928" s="209"/>
      <c r="J12928" s="124"/>
    </row>
    <row r="12929" spans="3:10" x14ac:dyDescent="0.2">
      <c r="C12929" s="209"/>
      <c r="D12929" s="209"/>
      <c r="E12929" s="209"/>
      <c r="J12929" s="124"/>
    </row>
    <row r="12930" spans="3:10" x14ac:dyDescent="0.2">
      <c r="C12930" s="209"/>
      <c r="D12930" s="209"/>
      <c r="E12930" s="209"/>
      <c r="J12930" s="124"/>
    </row>
    <row r="12931" spans="3:10" x14ac:dyDescent="0.2">
      <c r="C12931" s="209"/>
      <c r="D12931" s="209"/>
      <c r="E12931" s="209"/>
      <c r="J12931" s="124"/>
    </row>
    <row r="12932" spans="3:10" x14ac:dyDescent="0.2">
      <c r="C12932" s="209"/>
      <c r="D12932" s="209"/>
      <c r="E12932" s="209"/>
      <c r="J12932" s="124"/>
    </row>
    <row r="12933" spans="3:10" x14ac:dyDescent="0.2">
      <c r="C12933" s="209"/>
      <c r="D12933" s="209"/>
      <c r="E12933" s="209"/>
      <c r="J12933" s="124"/>
    </row>
    <row r="12934" spans="3:10" x14ac:dyDescent="0.2">
      <c r="C12934" s="209"/>
      <c r="D12934" s="209"/>
      <c r="E12934" s="209"/>
      <c r="J12934" s="124"/>
    </row>
    <row r="12935" spans="3:10" x14ac:dyDescent="0.2">
      <c r="C12935" s="209"/>
      <c r="D12935" s="209"/>
      <c r="E12935" s="209"/>
      <c r="J12935" s="124"/>
    </row>
    <row r="12936" spans="3:10" x14ac:dyDescent="0.2">
      <c r="C12936" s="209"/>
      <c r="D12936" s="209"/>
      <c r="E12936" s="209"/>
      <c r="J12936" s="124"/>
    </row>
    <row r="12937" spans="3:10" x14ac:dyDescent="0.2">
      <c r="C12937" s="209"/>
      <c r="D12937" s="209"/>
      <c r="E12937" s="209"/>
      <c r="J12937" s="124"/>
    </row>
    <row r="12938" spans="3:10" x14ac:dyDescent="0.2">
      <c r="C12938" s="209"/>
      <c r="D12938" s="209"/>
      <c r="E12938" s="209"/>
      <c r="J12938" s="124"/>
    </row>
    <row r="12939" spans="3:10" x14ac:dyDescent="0.2">
      <c r="C12939" s="209"/>
      <c r="D12939" s="209"/>
      <c r="E12939" s="209"/>
      <c r="J12939" s="124"/>
    </row>
    <row r="12940" spans="3:10" x14ac:dyDescent="0.2">
      <c r="C12940" s="209"/>
      <c r="D12940" s="209"/>
      <c r="E12940" s="209"/>
      <c r="J12940" s="124"/>
    </row>
    <row r="12941" spans="3:10" x14ac:dyDescent="0.2">
      <c r="C12941" s="209"/>
      <c r="D12941" s="209"/>
      <c r="E12941" s="209"/>
      <c r="J12941" s="124"/>
    </row>
    <row r="12942" spans="3:10" x14ac:dyDescent="0.2">
      <c r="C12942" s="209"/>
      <c r="D12942" s="209"/>
      <c r="E12942" s="209"/>
      <c r="J12942" s="124"/>
    </row>
    <row r="12943" spans="3:10" x14ac:dyDescent="0.2">
      <c r="C12943" s="209"/>
      <c r="D12943" s="209"/>
      <c r="E12943" s="209"/>
      <c r="J12943" s="124"/>
    </row>
    <row r="12944" spans="3:10" x14ac:dyDescent="0.2">
      <c r="C12944" s="209"/>
      <c r="D12944" s="209"/>
      <c r="E12944" s="209"/>
      <c r="J12944" s="124"/>
    </row>
    <row r="12945" spans="3:10" x14ac:dyDescent="0.2">
      <c r="C12945" s="209"/>
      <c r="D12945" s="209"/>
      <c r="E12945" s="209"/>
      <c r="J12945" s="124"/>
    </row>
    <row r="12946" spans="3:10" x14ac:dyDescent="0.2">
      <c r="C12946" s="209"/>
      <c r="D12946" s="209"/>
      <c r="E12946" s="209"/>
      <c r="J12946" s="124"/>
    </row>
    <row r="12947" spans="3:10" x14ac:dyDescent="0.2">
      <c r="C12947" s="209"/>
      <c r="D12947" s="209"/>
      <c r="E12947" s="209"/>
      <c r="J12947" s="124"/>
    </row>
    <row r="12948" spans="3:10" x14ac:dyDescent="0.2">
      <c r="C12948" s="209"/>
      <c r="D12948" s="209"/>
      <c r="E12948" s="209"/>
      <c r="J12948" s="124"/>
    </row>
    <row r="12949" spans="3:10" x14ac:dyDescent="0.2">
      <c r="C12949" s="209"/>
      <c r="D12949" s="209"/>
      <c r="E12949" s="209"/>
      <c r="J12949" s="124"/>
    </row>
    <row r="12950" spans="3:10" x14ac:dyDescent="0.2">
      <c r="C12950" s="209"/>
      <c r="D12950" s="209"/>
      <c r="E12950" s="209"/>
      <c r="J12950" s="124"/>
    </row>
    <row r="12951" spans="3:10" x14ac:dyDescent="0.2">
      <c r="C12951" s="209"/>
      <c r="D12951" s="209"/>
      <c r="E12951" s="209"/>
      <c r="J12951" s="124"/>
    </row>
    <row r="12952" spans="3:10" x14ac:dyDescent="0.2">
      <c r="C12952" s="209"/>
      <c r="D12952" s="209"/>
      <c r="E12952" s="209"/>
      <c r="J12952" s="124"/>
    </row>
    <row r="12953" spans="3:10" x14ac:dyDescent="0.2">
      <c r="C12953" s="209"/>
      <c r="D12953" s="209"/>
      <c r="E12953" s="209"/>
      <c r="J12953" s="124"/>
    </row>
    <row r="12954" spans="3:10" x14ac:dyDescent="0.2">
      <c r="C12954" s="209"/>
      <c r="D12954" s="209"/>
      <c r="E12954" s="209"/>
      <c r="J12954" s="124"/>
    </row>
    <row r="12955" spans="3:10" x14ac:dyDescent="0.2">
      <c r="C12955" s="209"/>
      <c r="D12955" s="209"/>
      <c r="E12955" s="209"/>
      <c r="J12955" s="124"/>
    </row>
    <row r="12956" spans="3:10" x14ac:dyDescent="0.2">
      <c r="C12956" s="209"/>
      <c r="D12956" s="209"/>
      <c r="E12956" s="209"/>
      <c r="J12956" s="124"/>
    </row>
    <row r="12957" spans="3:10" x14ac:dyDescent="0.2">
      <c r="C12957" s="209"/>
      <c r="D12957" s="209"/>
      <c r="E12957" s="209"/>
      <c r="J12957" s="124"/>
    </row>
    <row r="12958" spans="3:10" x14ac:dyDescent="0.2">
      <c r="C12958" s="209"/>
      <c r="D12958" s="209"/>
      <c r="E12958" s="209"/>
      <c r="J12958" s="124"/>
    </row>
    <row r="12959" spans="3:10" x14ac:dyDescent="0.2">
      <c r="C12959" s="209"/>
      <c r="D12959" s="209"/>
      <c r="E12959" s="209"/>
      <c r="J12959" s="124"/>
    </row>
    <row r="12960" spans="3:10" x14ac:dyDescent="0.2">
      <c r="C12960" s="209"/>
      <c r="D12960" s="209"/>
      <c r="E12960" s="209"/>
      <c r="J12960" s="124"/>
    </row>
    <row r="12961" spans="3:10" x14ac:dyDescent="0.2">
      <c r="C12961" s="209"/>
      <c r="D12961" s="209"/>
      <c r="E12961" s="209"/>
      <c r="J12961" s="124"/>
    </row>
    <row r="12962" spans="3:10" x14ac:dyDescent="0.2">
      <c r="C12962" s="209"/>
      <c r="D12962" s="209"/>
      <c r="E12962" s="209"/>
      <c r="J12962" s="124"/>
    </row>
    <row r="12963" spans="3:10" x14ac:dyDescent="0.2">
      <c r="C12963" s="209"/>
      <c r="D12963" s="209"/>
      <c r="E12963" s="209"/>
      <c r="J12963" s="124"/>
    </row>
    <row r="12964" spans="3:10" x14ac:dyDescent="0.2">
      <c r="C12964" s="209"/>
      <c r="D12964" s="209"/>
      <c r="E12964" s="209"/>
      <c r="J12964" s="124"/>
    </row>
    <row r="12965" spans="3:10" x14ac:dyDescent="0.2">
      <c r="C12965" s="209"/>
      <c r="D12965" s="209"/>
      <c r="E12965" s="209"/>
      <c r="J12965" s="124"/>
    </row>
    <row r="12966" spans="3:10" x14ac:dyDescent="0.2">
      <c r="C12966" s="209"/>
      <c r="D12966" s="209"/>
      <c r="E12966" s="209"/>
      <c r="J12966" s="124"/>
    </row>
    <row r="12967" spans="3:10" x14ac:dyDescent="0.2">
      <c r="C12967" s="209"/>
      <c r="D12967" s="209"/>
      <c r="E12967" s="209"/>
      <c r="J12967" s="124"/>
    </row>
    <row r="12968" spans="3:10" x14ac:dyDescent="0.2">
      <c r="C12968" s="209"/>
      <c r="D12968" s="209"/>
      <c r="E12968" s="209"/>
      <c r="J12968" s="124"/>
    </row>
    <row r="12969" spans="3:10" x14ac:dyDescent="0.2">
      <c r="C12969" s="209"/>
      <c r="D12969" s="209"/>
      <c r="E12969" s="209"/>
      <c r="J12969" s="124"/>
    </row>
    <row r="12970" spans="3:10" x14ac:dyDescent="0.2">
      <c r="C12970" s="209"/>
      <c r="D12970" s="209"/>
      <c r="E12970" s="209"/>
      <c r="J12970" s="124"/>
    </row>
    <row r="12971" spans="3:10" x14ac:dyDescent="0.2">
      <c r="C12971" s="209"/>
      <c r="D12971" s="209"/>
      <c r="E12971" s="209"/>
      <c r="J12971" s="124"/>
    </row>
    <row r="12972" spans="3:10" x14ac:dyDescent="0.2">
      <c r="C12972" s="209"/>
      <c r="D12972" s="209"/>
      <c r="E12972" s="209"/>
      <c r="J12972" s="124"/>
    </row>
    <row r="12973" spans="3:10" x14ac:dyDescent="0.2">
      <c r="C12973" s="209"/>
      <c r="D12973" s="209"/>
      <c r="E12973" s="209"/>
      <c r="J12973" s="124"/>
    </row>
    <row r="12974" spans="3:10" x14ac:dyDescent="0.2">
      <c r="C12974" s="209"/>
      <c r="D12974" s="209"/>
      <c r="E12974" s="209"/>
      <c r="J12974" s="124"/>
    </row>
    <row r="12975" spans="3:10" x14ac:dyDescent="0.2">
      <c r="C12975" s="209"/>
      <c r="D12975" s="209"/>
      <c r="E12975" s="209"/>
      <c r="J12975" s="124"/>
    </row>
    <row r="12976" spans="3:10" x14ac:dyDescent="0.2">
      <c r="C12976" s="209"/>
      <c r="D12976" s="209"/>
      <c r="E12976" s="209"/>
      <c r="J12976" s="124"/>
    </row>
    <row r="12977" spans="3:10" x14ac:dyDescent="0.2">
      <c r="C12977" s="209"/>
      <c r="D12977" s="209"/>
      <c r="E12977" s="209"/>
      <c r="J12977" s="124"/>
    </row>
    <row r="12978" spans="3:10" x14ac:dyDescent="0.2">
      <c r="C12978" s="209"/>
      <c r="D12978" s="209"/>
      <c r="E12978" s="209"/>
      <c r="J12978" s="124"/>
    </row>
    <row r="12979" spans="3:10" x14ac:dyDescent="0.2">
      <c r="C12979" s="209"/>
      <c r="D12979" s="209"/>
      <c r="E12979" s="209"/>
      <c r="J12979" s="124"/>
    </row>
    <row r="12980" spans="3:10" x14ac:dyDescent="0.2">
      <c r="C12980" s="209"/>
      <c r="D12980" s="209"/>
      <c r="E12980" s="209"/>
      <c r="J12980" s="124"/>
    </row>
    <row r="12981" spans="3:10" x14ac:dyDescent="0.2">
      <c r="C12981" s="209"/>
      <c r="D12981" s="209"/>
      <c r="E12981" s="209"/>
      <c r="J12981" s="124"/>
    </row>
    <row r="12982" spans="3:10" x14ac:dyDescent="0.2">
      <c r="C12982" s="209"/>
      <c r="D12982" s="209"/>
      <c r="E12982" s="209"/>
      <c r="J12982" s="124"/>
    </row>
    <row r="12983" spans="3:10" x14ac:dyDescent="0.2">
      <c r="C12983" s="209"/>
      <c r="D12983" s="209"/>
      <c r="E12983" s="209"/>
      <c r="J12983" s="124"/>
    </row>
    <row r="12984" spans="3:10" x14ac:dyDescent="0.2">
      <c r="C12984" s="209"/>
      <c r="D12984" s="209"/>
      <c r="E12984" s="209"/>
      <c r="J12984" s="124"/>
    </row>
    <row r="12985" spans="3:10" x14ac:dyDescent="0.2">
      <c r="C12985" s="209"/>
      <c r="D12985" s="209"/>
      <c r="E12985" s="209"/>
      <c r="J12985" s="124"/>
    </row>
    <row r="12986" spans="3:10" x14ac:dyDescent="0.2">
      <c r="C12986" s="209"/>
      <c r="D12986" s="209"/>
      <c r="E12986" s="209"/>
      <c r="J12986" s="124"/>
    </row>
    <row r="12987" spans="3:10" x14ac:dyDescent="0.2">
      <c r="C12987" s="209"/>
      <c r="D12987" s="209"/>
      <c r="E12987" s="209"/>
      <c r="J12987" s="124"/>
    </row>
    <row r="12988" spans="3:10" x14ac:dyDescent="0.2">
      <c r="C12988" s="209"/>
      <c r="D12988" s="209"/>
      <c r="E12988" s="209"/>
      <c r="J12988" s="124"/>
    </row>
    <row r="12989" spans="3:10" x14ac:dyDescent="0.2">
      <c r="C12989" s="209"/>
      <c r="D12989" s="209"/>
      <c r="E12989" s="209"/>
      <c r="J12989" s="124"/>
    </row>
    <row r="12990" spans="3:10" x14ac:dyDescent="0.2">
      <c r="C12990" s="209"/>
      <c r="D12990" s="209"/>
      <c r="E12990" s="209"/>
      <c r="J12990" s="124"/>
    </row>
    <row r="12991" spans="3:10" x14ac:dyDescent="0.2">
      <c r="C12991" s="209"/>
      <c r="D12991" s="209"/>
      <c r="E12991" s="209"/>
      <c r="J12991" s="124"/>
    </row>
    <row r="12992" spans="3:10" x14ac:dyDescent="0.2">
      <c r="C12992" s="209"/>
      <c r="D12992" s="209"/>
      <c r="E12992" s="209"/>
      <c r="J12992" s="124"/>
    </row>
    <row r="12993" spans="3:10" x14ac:dyDescent="0.2">
      <c r="C12993" s="209"/>
      <c r="D12993" s="209"/>
      <c r="E12993" s="209"/>
      <c r="J12993" s="124"/>
    </row>
    <row r="12994" spans="3:10" x14ac:dyDescent="0.2">
      <c r="C12994" s="209"/>
      <c r="D12994" s="209"/>
      <c r="E12994" s="209"/>
      <c r="J12994" s="124"/>
    </row>
    <row r="12995" spans="3:10" x14ac:dyDescent="0.2">
      <c r="C12995" s="209"/>
      <c r="D12995" s="209"/>
      <c r="E12995" s="209"/>
      <c r="J12995" s="124"/>
    </row>
    <row r="12996" spans="3:10" x14ac:dyDescent="0.2">
      <c r="C12996" s="209"/>
      <c r="D12996" s="209"/>
      <c r="E12996" s="209"/>
      <c r="J12996" s="124"/>
    </row>
    <row r="12997" spans="3:10" x14ac:dyDescent="0.2">
      <c r="C12997" s="209"/>
      <c r="D12997" s="209"/>
      <c r="E12997" s="209"/>
      <c r="J12997" s="124"/>
    </row>
    <row r="12998" spans="3:10" x14ac:dyDescent="0.2">
      <c r="C12998" s="209"/>
      <c r="D12998" s="209"/>
      <c r="E12998" s="209"/>
      <c r="J12998" s="124"/>
    </row>
    <row r="12999" spans="3:10" x14ac:dyDescent="0.2">
      <c r="C12999" s="209"/>
      <c r="D12999" s="209"/>
      <c r="E12999" s="209"/>
      <c r="J12999" s="124"/>
    </row>
    <row r="13000" spans="3:10" x14ac:dyDescent="0.2">
      <c r="C13000" s="209"/>
      <c r="D13000" s="209"/>
      <c r="E13000" s="209"/>
      <c r="J13000" s="124"/>
    </row>
    <row r="13001" spans="3:10" x14ac:dyDescent="0.2">
      <c r="C13001" s="209"/>
      <c r="D13001" s="209"/>
      <c r="E13001" s="209"/>
      <c r="J13001" s="124"/>
    </row>
    <row r="13002" spans="3:10" x14ac:dyDescent="0.2">
      <c r="C13002" s="209"/>
      <c r="D13002" s="209"/>
      <c r="E13002" s="209"/>
      <c r="J13002" s="124"/>
    </row>
    <row r="13003" spans="3:10" x14ac:dyDescent="0.2">
      <c r="C13003" s="209"/>
      <c r="D13003" s="209"/>
      <c r="E13003" s="209"/>
      <c r="J13003" s="124"/>
    </row>
    <row r="13004" spans="3:10" x14ac:dyDescent="0.2">
      <c r="C13004" s="209"/>
      <c r="D13004" s="209"/>
      <c r="E13004" s="209"/>
      <c r="J13004" s="124"/>
    </row>
    <row r="13005" spans="3:10" x14ac:dyDescent="0.2">
      <c r="C13005" s="209"/>
      <c r="D13005" s="209"/>
      <c r="E13005" s="209"/>
      <c r="J13005" s="124"/>
    </row>
    <row r="13006" spans="3:10" x14ac:dyDescent="0.2">
      <c r="C13006" s="209"/>
      <c r="D13006" s="209"/>
      <c r="E13006" s="209"/>
      <c r="J13006" s="124"/>
    </row>
    <row r="13007" spans="3:10" x14ac:dyDescent="0.2">
      <c r="C13007" s="209"/>
      <c r="D13007" s="209"/>
      <c r="E13007" s="209"/>
      <c r="J13007" s="124"/>
    </row>
    <row r="13008" spans="3:10" x14ac:dyDescent="0.2">
      <c r="C13008" s="209"/>
      <c r="D13008" s="209"/>
      <c r="E13008" s="209"/>
      <c r="J13008" s="124"/>
    </row>
    <row r="13009" spans="3:10" x14ac:dyDescent="0.2">
      <c r="C13009" s="209"/>
      <c r="D13009" s="209"/>
      <c r="E13009" s="209"/>
      <c r="J13009" s="124"/>
    </row>
    <row r="13010" spans="3:10" x14ac:dyDescent="0.2">
      <c r="C13010" s="209"/>
      <c r="D13010" s="209"/>
      <c r="E13010" s="209"/>
      <c r="J13010" s="124"/>
    </row>
    <row r="13011" spans="3:10" x14ac:dyDescent="0.2">
      <c r="C13011" s="209"/>
      <c r="D13011" s="209"/>
      <c r="E13011" s="209"/>
      <c r="J13011" s="124"/>
    </row>
    <row r="13012" spans="3:10" x14ac:dyDescent="0.2">
      <c r="C13012" s="209"/>
      <c r="D13012" s="209"/>
      <c r="E13012" s="209"/>
      <c r="J13012" s="124"/>
    </row>
    <row r="13013" spans="3:10" x14ac:dyDescent="0.2">
      <c r="C13013" s="209"/>
      <c r="D13013" s="209"/>
      <c r="E13013" s="209"/>
      <c r="J13013" s="124"/>
    </row>
    <row r="13014" spans="3:10" x14ac:dyDescent="0.2">
      <c r="C13014" s="209"/>
      <c r="D13014" s="209"/>
      <c r="E13014" s="209"/>
      <c r="J13014" s="124"/>
    </row>
    <row r="13015" spans="3:10" x14ac:dyDescent="0.2">
      <c r="C13015" s="209"/>
      <c r="D13015" s="209"/>
      <c r="E13015" s="209"/>
      <c r="J13015" s="124"/>
    </row>
    <row r="13016" spans="3:10" x14ac:dyDescent="0.2">
      <c r="C13016" s="209"/>
      <c r="D13016" s="209"/>
      <c r="E13016" s="209"/>
      <c r="J13016" s="124"/>
    </row>
    <row r="13017" spans="3:10" x14ac:dyDescent="0.2">
      <c r="C13017" s="209"/>
      <c r="D13017" s="209"/>
      <c r="E13017" s="209"/>
      <c r="J13017" s="124"/>
    </row>
    <row r="13018" spans="3:10" x14ac:dyDescent="0.2">
      <c r="C13018" s="209"/>
      <c r="D13018" s="209"/>
      <c r="E13018" s="209"/>
      <c r="J13018" s="124"/>
    </row>
    <row r="13019" spans="3:10" x14ac:dyDescent="0.2">
      <c r="C13019" s="209"/>
      <c r="D13019" s="209"/>
      <c r="E13019" s="209"/>
      <c r="J13019" s="124"/>
    </row>
    <row r="13020" spans="3:10" x14ac:dyDescent="0.2">
      <c r="C13020" s="209"/>
      <c r="D13020" s="209"/>
      <c r="E13020" s="209"/>
      <c r="J13020" s="124"/>
    </row>
    <row r="13021" spans="3:10" x14ac:dyDescent="0.2">
      <c r="C13021" s="209"/>
      <c r="D13021" s="209"/>
      <c r="E13021" s="209"/>
      <c r="J13021" s="124"/>
    </row>
    <row r="13022" spans="3:10" x14ac:dyDescent="0.2">
      <c r="C13022" s="209"/>
      <c r="D13022" s="209"/>
      <c r="E13022" s="209"/>
      <c r="J13022" s="124"/>
    </row>
    <row r="13023" spans="3:10" x14ac:dyDescent="0.2">
      <c r="C13023" s="209"/>
      <c r="D13023" s="209"/>
      <c r="E13023" s="209"/>
      <c r="J13023" s="124"/>
    </row>
    <row r="13024" spans="3:10" x14ac:dyDescent="0.2">
      <c r="C13024" s="209"/>
      <c r="D13024" s="209"/>
      <c r="E13024" s="209"/>
      <c r="J13024" s="124"/>
    </row>
    <row r="13025" spans="3:10" x14ac:dyDescent="0.2">
      <c r="C13025" s="209"/>
      <c r="D13025" s="209"/>
      <c r="E13025" s="209"/>
      <c r="J13025" s="124"/>
    </row>
    <row r="13026" spans="3:10" x14ac:dyDescent="0.2">
      <c r="C13026" s="209"/>
      <c r="D13026" s="209"/>
      <c r="E13026" s="209"/>
      <c r="J13026" s="124"/>
    </row>
    <row r="13027" spans="3:10" x14ac:dyDescent="0.2">
      <c r="C13027" s="209"/>
      <c r="D13027" s="209"/>
      <c r="E13027" s="209"/>
      <c r="J13027" s="124"/>
    </row>
    <row r="13028" spans="3:10" x14ac:dyDescent="0.2">
      <c r="C13028" s="209"/>
      <c r="D13028" s="209"/>
      <c r="E13028" s="209"/>
      <c r="J13028" s="124"/>
    </row>
    <row r="13029" spans="3:10" x14ac:dyDescent="0.2">
      <c r="C13029" s="209"/>
      <c r="D13029" s="209"/>
      <c r="E13029" s="209"/>
      <c r="J13029" s="124"/>
    </row>
    <row r="13030" spans="3:10" x14ac:dyDescent="0.2">
      <c r="C13030" s="209"/>
      <c r="D13030" s="209"/>
      <c r="E13030" s="209"/>
      <c r="J13030" s="124"/>
    </row>
    <row r="13031" spans="3:10" x14ac:dyDescent="0.2">
      <c r="C13031" s="209"/>
      <c r="D13031" s="209"/>
      <c r="E13031" s="209"/>
      <c r="J13031" s="124"/>
    </row>
    <row r="13032" spans="3:10" x14ac:dyDescent="0.2">
      <c r="C13032" s="209"/>
      <c r="D13032" s="209"/>
      <c r="E13032" s="209"/>
      <c r="J13032" s="124"/>
    </row>
    <row r="13033" spans="3:10" x14ac:dyDescent="0.2">
      <c r="C13033" s="209"/>
      <c r="D13033" s="209"/>
      <c r="E13033" s="209"/>
      <c r="J13033" s="124"/>
    </row>
    <row r="13034" spans="3:10" x14ac:dyDescent="0.2">
      <c r="C13034" s="209"/>
      <c r="D13034" s="209"/>
      <c r="E13034" s="209"/>
      <c r="J13034" s="124"/>
    </row>
    <row r="13035" spans="3:10" x14ac:dyDescent="0.2">
      <c r="C13035" s="209"/>
      <c r="D13035" s="209"/>
      <c r="E13035" s="209"/>
      <c r="J13035" s="124"/>
    </row>
    <row r="13036" spans="3:10" x14ac:dyDescent="0.2">
      <c r="C13036" s="209"/>
      <c r="D13036" s="209"/>
      <c r="E13036" s="209"/>
      <c r="J13036" s="124"/>
    </row>
    <row r="13037" spans="3:10" x14ac:dyDescent="0.2">
      <c r="C13037" s="209"/>
      <c r="D13037" s="209"/>
      <c r="E13037" s="209"/>
      <c r="J13037" s="124"/>
    </row>
    <row r="13038" spans="3:10" x14ac:dyDescent="0.2">
      <c r="C13038" s="209"/>
      <c r="D13038" s="209"/>
      <c r="E13038" s="209"/>
      <c r="J13038" s="124"/>
    </row>
    <row r="13039" spans="3:10" x14ac:dyDescent="0.2">
      <c r="C13039" s="209"/>
      <c r="D13039" s="209"/>
      <c r="E13039" s="209"/>
      <c r="J13039" s="124"/>
    </row>
    <row r="13040" spans="3:10" x14ac:dyDescent="0.2">
      <c r="C13040" s="209"/>
      <c r="D13040" s="209"/>
      <c r="E13040" s="209"/>
      <c r="J13040" s="124"/>
    </row>
    <row r="13041" spans="3:10" x14ac:dyDescent="0.2">
      <c r="C13041" s="209"/>
      <c r="D13041" s="209"/>
      <c r="E13041" s="209"/>
      <c r="J13041" s="124"/>
    </row>
    <row r="13042" spans="3:10" x14ac:dyDescent="0.2">
      <c r="C13042" s="209"/>
      <c r="D13042" s="209"/>
      <c r="E13042" s="209"/>
      <c r="J13042" s="124"/>
    </row>
    <row r="13043" spans="3:10" x14ac:dyDescent="0.2">
      <c r="C13043" s="209"/>
      <c r="D13043" s="209"/>
      <c r="E13043" s="209"/>
      <c r="J13043" s="124"/>
    </row>
    <row r="13044" spans="3:10" x14ac:dyDescent="0.2">
      <c r="C13044" s="209"/>
      <c r="D13044" s="209"/>
      <c r="E13044" s="209"/>
      <c r="J13044" s="124"/>
    </row>
    <row r="13045" spans="3:10" x14ac:dyDescent="0.2">
      <c r="C13045" s="209"/>
      <c r="D13045" s="209"/>
      <c r="E13045" s="209"/>
      <c r="J13045" s="124"/>
    </row>
    <row r="13046" spans="3:10" x14ac:dyDescent="0.2">
      <c r="C13046" s="209"/>
      <c r="D13046" s="209"/>
      <c r="E13046" s="209"/>
      <c r="J13046" s="124"/>
    </row>
    <row r="13047" spans="3:10" x14ac:dyDescent="0.2">
      <c r="C13047" s="209"/>
      <c r="D13047" s="209"/>
      <c r="E13047" s="209"/>
      <c r="J13047" s="124"/>
    </row>
    <row r="13048" spans="3:10" x14ac:dyDescent="0.2">
      <c r="C13048" s="209"/>
      <c r="D13048" s="209"/>
      <c r="E13048" s="209"/>
      <c r="J13048" s="124"/>
    </row>
    <row r="13049" spans="3:10" x14ac:dyDescent="0.2">
      <c r="C13049" s="209"/>
      <c r="D13049" s="209"/>
      <c r="E13049" s="209"/>
      <c r="J13049" s="124"/>
    </row>
    <row r="13050" spans="3:10" x14ac:dyDescent="0.2">
      <c r="C13050" s="209"/>
      <c r="D13050" s="209"/>
      <c r="E13050" s="209"/>
      <c r="J13050" s="124"/>
    </row>
    <row r="13051" spans="3:10" x14ac:dyDescent="0.2">
      <c r="C13051" s="209"/>
      <c r="D13051" s="209"/>
      <c r="E13051" s="209"/>
      <c r="J13051" s="124"/>
    </row>
    <row r="13052" spans="3:10" x14ac:dyDescent="0.2">
      <c r="C13052" s="209"/>
      <c r="D13052" s="209"/>
      <c r="E13052" s="209"/>
      <c r="J13052" s="124"/>
    </row>
    <row r="13053" spans="3:10" x14ac:dyDescent="0.2">
      <c r="C13053" s="209"/>
      <c r="D13053" s="209"/>
      <c r="E13053" s="209"/>
      <c r="J13053" s="124"/>
    </row>
    <row r="13054" spans="3:10" x14ac:dyDescent="0.2">
      <c r="C13054" s="209"/>
      <c r="D13054" s="209"/>
      <c r="E13054" s="209"/>
      <c r="J13054" s="124"/>
    </row>
    <row r="13055" spans="3:10" x14ac:dyDescent="0.2">
      <c r="C13055" s="209"/>
      <c r="D13055" s="209"/>
      <c r="E13055" s="209"/>
      <c r="J13055" s="124"/>
    </row>
    <row r="13056" spans="3:10" x14ac:dyDescent="0.2">
      <c r="C13056" s="209"/>
      <c r="D13056" s="209"/>
      <c r="E13056" s="209"/>
      <c r="J13056" s="124"/>
    </row>
    <row r="13057" spans="3:10" x14ac:dyDescent="0.2">
      <c r="C13057" s="209"/>
      <c r="D13057" s="209"/>
      <c r="E13057" s="209"/>
      <c r="J13057" s="124"/>
    </row>
    <row r="13058" spans="3:10" x14ac:dyDescent="0.2">
      <c r="C13058" s="209"/>
      <c r="D13058" s="209"/>
      <c r="E13058" s="209"/>
      <c r="J13058" s="124"/>
    </row>
    <row r="13059" spans="3:10" x14ac:dyDescent="0.2">
      <c r="C13059" s="209"/>
      <c r="D13059" s="209"/>
      <c r="E13059" s="209"/>
      <c r="J13059" s="124"/>
    </row>
    <row r="13060" spans="3:10" x14ac:dyDescent="0.2">
      <c r="C13060" s="209"/>
      <c r="D13060" s="209"/>
      <c r="E13060" s="209"/>
      <c r="J13060" s="124"/>
    </row>
    <row r="13061" spans="3:10" x14ac:dyDescent="0.2">
      <c r="C13061" s="209"/>
      <c r="D13061" s="209"/>
      <c r="E13061" s="209"/>
      <c r="J13061" s="124"/>
    </row>
    <row r="13062" spans="3:10" x14ac:dyDescent="0.2">
      <c r="C13062" s="209"/>
      <c r="D13062" s="209"/>
      <c r="E13062" s="209"/>
      <c r="J13062" s="124"/>
    </row>
    <row r="13063" spans="3:10" x14ac:dyDescent="0.2">
      <c r="C13063" s="209"/>
      <c r="D13063" s="209"/>
      <c r="E13063" s="209"/>
      <c r="J13063" s="124"/>
    </row>
    <row r="13064" spans="3:10" x14ac:dyDescent="0.2">
      <c r="C13064" s="209"/>
      <c r="D13064" s="209"/>
      <c r="E13064" s="209"/>
      <c r="J13064" s="124"/>
    </row>
    <row r="13065" spans="3:10" x14ac:dyDescent="0.2">
      <c r="C13065" s="209"/>
      <c r="D13065" s="209"/>
      <c r="E13065" s="209"/>
      <c r="J13065" s="124"/>
    </row>
    <row r="13066" spans="3:10" x14ac:dyDescent="0.2">
      <c r="C13066" s="209"/>
      <c r="D13066" s="209"/>
      <c r="E13066" s="209"/>
      <c r="J13066" s="124"/>
    </row>
    <row r="13067" spans="3:10" x14ac:dyDescent="0.2">
      <c r="C13067" s="209"/>
      <c r="D13067" s="209"/>
      <c r="E13067" s="209"/>
      <c r="J13067" s="124"/>
    </row>
    <row r="13068" spans="3:10" x14ac:dyDescent="0.2">
      <c r="C13068" s="209"/>
      <c r="D13068" s="209"/>
      <c r="E13068" s="209"/>
      <c r="J13068" s="124"/>
    </row>
    <row r="13069" spans="3:10" x14ac:dyDescent="0.2">
      <c r="C13069" s="209"/>
      <c r="D13069" s="209"/>
      <c r="E13069" s="209"/>
      <c r="J13069" s="124"/>
    </row>
    <row r="13070" spans="3:10" x14ac:dyDescent="0.2">
      <c r="C13070" s="209"/>
      <c r="D13070" s="209"/>
      <c r="E13070" s="209"/>
      <c r="J13070" s="124"/>
    </row>
    <row r="13071" spans="3:10" x14ac:dyDescent="0.2">
      <c r="C13071" s="209"/>
      <c r="D13071" s="209"/>
      <c r="E13071" s="209"/>
      <c r="J13071" s="124"/>
    </row>
    <row r="13072" spans="3:10" x14ac:dyDescent="0.2">
      <c r="C13072" s="209"/>
      <c r="D13072" s="209"/>
      <c r="E13072" s="209"/>
      <c r="J13072" s="124"/>
    </row>
    <row r="13073" spans="3:10" x14ac:dyDescent="0.2">
      <c r="C13073" s="209"/>
      <c r="D13073" s="209"/>
      <c r="E13073" s="209"/>
      <c r="J13073" s="124"/>
    </row>
    <row r="13074" spans="3:10" x14ac:dyDescent="0.2">
      <c r="C13074" s="209"/>
      <c r="D13074" s="209"/>
      <c r="E13074" s="209"/>
      <c r="J13074" s="124"/>
    </row>
    <row r="13075" spans="3:10" x14ac:dyDescent="0.2">
      <c r="C13075" s="209"/>
      <c r="D13075" s="209"/>
      <c r="E13075" s="209"/>
      <c r="J13075" s="124"/>
    </row>
    <row r="13076" spans="3:10" x14ac:dyDescent="0.2">
      <c r="C13076" s="209"/>
      <c r="D13076" s="209"/>
      <c r="E13076" s="209"/>
      <c r="J13076" s="124"/>
    </row>
    <row r="13077" spans="3:10" x14ac:dyDescent="0.2">
      <c r="C13077" s="209"/>
      <c r="D13077" s="209"/>
      <c r="E13077" s="209"/>
      <c r="J13077" s="124"/>
    </row>
    <row r="13078" spans="3:10" x14ac:dyDescent="0.2">
      <c r="C13078" s="209"/>
      <c r="D13078" s="209"/>
      <c r="E13078" s="209"/>
      <c r="J13078" s="124"/>
    </row>
    <row r="13079" spans="3:10" x14ac:dyDescent="0.2">
      <c r="C13079" s="209"/>
      <c r="D13079" s="209"/>
      <c r="E13079" s="209"/>
      <c r="J13079" s="124"/>
    </row>
    <row r="13080" spans="3:10" x14ac:dyDescent="0.2">
      <c r="C13080" s="209"/>
      <c r="D13080" s="209"/>
      <c r="E13080" s="209"/>
      <c r="J13080" s="124"/>
    </row>
    <row r="13081" spans="3:10" x14ac:dyDescent="0.2">
      <c r="C13081" s="209"/>
      <c r="D13081" s="209"/>
      <c r="E13081" s="209"/>
      <c r="J13081" s="124"/>
    </row>
    <row r="13082" spans="3:10" x14ac:dyDescent="0.2">
      <c r="C13082" s="209"/>
      <c r="D13082" s="209"/>
      <c r="E13082" s="209"/>
      <c r="J13082" s="124"/>
    </row>
    <row r="13083" spans="3:10" x14ac:dyDescent="0.2">
      <c r="C13083" s="209"/>
      <c r="D13083" s="209"/>
      <c r="E13083" s="209"/>
      <c r="J13083" s="124"/>
    </row>
    <row r="13084" spans="3:10" x14ac:dyDescent="0.2">
      <c r="C13084" s="209"/>
      <c r="D13084" s="209"/>
      <c r="E13084" s="209"/>
      <c r="J13084" s="124"/>
    </row>
    <row r="13085" spans="3:10" x14ac:dyDescent="0.2">
      <c r="C13085" s="209"/>
      <c r="D13085" s="209"/>
      <c r="E13085" s="209"/>
      <c r="J13085" s="124"/>
    </row>
    <row r="13086" spans="3:10" x14ac:dyDescent="0.2">
      <c r="C13086" s="209"/>
      <c r="D13086" s="209"/>
      <c r="E13086" s="209"/>
      <c r="J13086" s="124"/>
    </row>
    <row r="13087" spans="3:10" x14ac:dyDescent="0.2">
      <c r="C13087" s="209"/>
      <c r="D13087" s="209"/>
      <c r="E13087" s="209"/>
      <c r="J13087" s="124"/>
    </row>
    <row r="13088" spans="3:10" x14ac:dyDescent="0.2">
      <c r="C13088" s="209"/>
      <c r="D13088" s="209"/>
      <c r="E13088" s="209"/>
      <c r="J13088" s="124"/>
    </row>
    <row r="13089" spans="3:10" x14ac:dyDescent="0.2">
      <c r="C13089" s="209"/>
      <c r="D13089" s="209"/>
      <c r="E13089" s="209"/>
      <c r="J13089" s="124"/>
    </row>
    <row r="13090" spans="3:10" x14ac:dyDescent="0.2">
      <c r="C13090" s="209"/>
      <c r="D13090" s="209"/>
      <c r="E13090" s="209"/>
      <c r="J13090" s="124"/>
    </row>
    <row r="13091" spans="3:10" x14ac:dyDescent="0.2">
      <c r="C13091" s="209"/>
      <c r="D13091" s="209"/>
      <c r="E13091" s="209"/>
      <c r="J13091" s="124"/>
    </row>
    <row r="13092" spans="3:10" x14ac:dyDescent="0.2">
      <c r="C13092" s="209"/>
      <c r="D13092" s="209"/>
      <c r="E13092" s="209"/>
      <c r="J13092" s="124"/>
    </row>
    <row r="13093" spans="3:10" x14ac:dyDescent="0.2">
      <c r="C13093" s="209"/>
      <c r="D13093" s="209"/>
      <c r="E13093" s="209"/>
      <c r="J13093" s="124"/>
    </row>
    <row r="13094" spans="3:10" x14ac:dyDescent="0.2">
      <c r="C13094" s="209"/>
      <c r="D13094" s="209"/>
      <c r="E13094" s="209"/>
      <c r="J13094" s="124"/>
    </row>
    <row r="13095" spans="3:10" x14ac:dyDescent="0.2">
      <c r="C13095" s="209"/>
      <c r="D13095" s="209"/>
      <c r="E13095" s="209"/>
      <c r="J13095" s="124"/>
    </row>
    <row r="13096" spans="3:10" x14ac:dyDescent="0.2">
      <c r="C13096" s="209"/>
      <c r="D13096" s="209"/>
      <c r="E13096" s="209"/>
      <c r="J13096" s="124"/>
    </row>
    <row r="13097" spans="3:10" x14ac:dyDescent="0.2">
      <c r="C13097" s="209"/>
      <c r="D13097" s="209"/>
      <c r="E13097" s="209"/>
      <c r="J13097" s="124"/>
    </row>
    <row r="13098" spans="3:10" x14ac:dyDescent="0.2">
      <c r="C13098" s="209"/>
      <c r="D13098" s="209"/>
      <c r="E13098" s="209"/>
      <c r="J13098" s="124"/>
    </row>
    <row r="13099" spans="3:10" x14ac:dyDescent="0.2">
      <c r="C13099" s="209"/>
      <c r="D13099" s="209"/>
      <c r="E13099" s="209"/>
      <c r="J13099" s="124"/>
    </row>
    <row r="13100" spans="3:10" x14ac:dyDescent="0.2">
      <c r="C13100" s="209"/>
      <c r="D13100" s="209"/>
      <c r="E13100" s="209"/>
      <c r="J13100" s="124"/>
    </row>
    <row r="13101" spans="3:10" x14ac:dyDescent="0.2">
      <c r="C13101" s="209"/>
      <c r="D13101" s="209"/>
      <c r="E13101" s="209"/>
      <c r="J13101" s="124"/>
    </row>
    <row r="13102" spans="3:10" x14ac:dyDescent="0.2">
      <c r="C13102" s="209"/>
      <c r="D13102" s="209"/>
      <c r="E13102" s="209"/>
      <c r="J13102" s="124"/>
    </row>
    <row r="13103" spans="3:10" x14ac:dyDescent="0.2">
      <c r="C13103" s="209"/>
      <c r="D13103" s="209"/>
      <c r="E13103" s="209"/>
      <c r="J13103" s="124"/>
    </row>
    <row r="13104" spans="3:10" x14ac:dyDescent="0.2">
      <c r="C13104" s="209"/>
      <c r="D13104" s="209"/>
      <c r="E13104" s="209"/>
      <c r="J13104" s="124"/>
    </row>
    <row r="13105" spans="3:10" x14ac:dyDescent="0.2">
      <c r="C13105" s="209"/>
      <c r="D13105" s="209"/>
      <c r="E13105" s="209"/>
      <c r="J13105" s="124"/>
    </row>
    <row r="13106" spans="3:10" x14ac:dyDescent="0.2">
      <c r="C13106" s="209"/>
      <c r="D13106" s="209"/>
      <c r="E13106" s="209"/>
      <c r="J13106" s="124"/>
    </row>
    <row r="13107" spans="3:10" x14ac:dyDescent="0.2">
      <c r="C13107" s="209"/>
      <c r="D13107" s="209"/>
      <c r="E13107" s="209"/>
      <c r="J13107" s="124"/>
    </row>
    <row r="13108" spans="3:10" x14ac:dyDescent="0.2">
      <c r="C13108" s="209"/>
      <c r="D13108" s="209"/>
      <c r="E13108" s="209"/>
      <c r="J13108" s="124"/>
    </row>
    <row r="13109" spans="3:10" x14ac:dyDescent="0.2">
      <c r="C13109" s="209"/>
      <c r="D13109" s="209"/>
      <c r="E13109" s="209"/>
      <c r="J13109" s="124"/>
    </row>
    <row r="13110" spans="3:10" x14ac:dyDescent="0.2">
      <c r="C13110" s="209"/>
      <c r="D13110" s="209"/>
      <c r="E13110" s="209"/>
      <c r="J13110" s="124"/>
    </row>
    <row r="13111" spans="3:10" x14ac:dyDescent="0.2">
      <c r="C13111" s="209"/>
      <c r="D13111" s="209"/>
      <c r="E13111" s="209"/>
      <c r="J13111" s="124"/>
    </row>
    <row r="13112" spans="3:10" x14ac:dyDescent="0.2">
      <c r="C13112" s="209"/>
      <c r="D13112" s="209"/>
      <c r="E13112" s="209"/>
      <c r="J13112" s="124"/>
    </row>
    <row r="13113" spans="3:10" x14ac:dyDescent="0.2">
      <c r="C13113" s="209"/>
      <c r="D13113" s="209"/>
      <c r="E13113" s="209"/>
      <c r="J13113" s="124"/>
    </row>
    <row r="13114" spans="3:10" x14ac:dyDescent="0.2">
      <c r="C13114" s="209"/>
      <c r="D13114" s="209"/>
      <c r="E13114" s="209"/>
      <c r="J13114" s="124"/>
    </row>
    <row r="13115" spans="3:10" x14ac:dyDescent="0.2">
      <c r="C13115" s="209"/>
      <c r="D13115" s="209"/>
      <c r="E13115" s="209"/>
      <c r="J13115" s="124"/>
    </row>
    <row r="13116" spans="3:10" x14ac:dyDescent="0.2">
      <c r="C13116" s="209"/>
      <c r="D13116" s="209"/>
      <c r="E13116" s="209"/>
      <c r="J13116" s="124"/>
    </row>
    <row r="13117" spans="3:10" x14ac:dyDescent="0.2">
      <c r="C13117" s="209"/>
      <c r="D13117" s="209"/>
      <c r="E13117" s="209"/>
      <c r="J13117" s="124"/>
    </row>
    <row r="13118" spans="3:10" x14ac:dyDescent="0.2">
      <c r="C13118" s="209"/>
      <c r="D13118" s="209"/>
      <c r="E13118" s="209"/>
      <c r="J13118" s="124"/>
    </row>
    <row r="13119" spans="3:10" x14ac:dyDescent="0.2">
      <c r="C13119" s="209"/>
      <c r="D13119" s="209"/>
      <c r="E13119" s="209"/>
      <c r="J13119" s="124"/>
    </row>
    <row r="13120" spans="3:10" x14ac:dyDescent="0.2">
      <c r="C13120" s="209"/>
      <c r="D13120" s="209"/>
      <c r="E13120" s="209"/>
      <c r="J13120" s="124"/>
    </row>
    <row r="13121" spans="3:10" x14ac:dyDescent="0.2">
      <c r="C13121" s="209"/>
      <c r="D13121" s="209"/>
      <c r="E13121" s="209"/>
      <c r="J13121" s="124"/>
    </row>
    <row r="13122" spans="3:10" x14ac:dyDescent="0.2">
      <c r="C13122" s="209"/>
      <c r="D13122" s="209"/>
      <c r="E13122" s="209"/>
      <c r="J13122" s="124"/>
    </row>
    <row r="13123" spans="3:10" x14ac:dyDescent="0.2">
      <c r="C13123" s="209"/>
      <c r="D13123" s="209"/>
      <c r="E13123" s="209"/>
      <c r="J13123" s="124"/>
    </row>
    <row r="13124" spans="3:10" x14ac:dyDescent="0.2">
      <c r="C13124" s="209"/>
      <c r="D13124" s="209"/>
      <c r="E13124" s="209"/>
      <c r="J13124" s="124"/>
    </row>
    <row r="13125" spans="3:10" x14ac:dyDescent="0.2">
      <c r="C13125" s="209"/>
      <c r="D13125" s="209"/>
      <c r="E13125" s="209"/>
      <c r="J13125" s="124"/>
    </row>
    <row r="13126" spans="3:10" x14ac:dyDescent="0.2">
      <c r="C13126" s="209"/>
      <c r="D13126" s="209"/>
      <c r="E13126" s="209"/>
      <c r="J13126" s="124"/>
    </row>
    <row r="13127" spans="3:10" x14ac:dyDescent="0.2">
      <c r="C13127" s="209"/>
      <c r="D13127" s="209"/>
      <c r="E13127" s="209"/>
      <c r="J13127" s="124"/>
    </row>
    <row r="13128" spans="3:10" x14ac:dyDescent="0.2">
      <c r="C13128" s="209"/>
      <c r="D13128" s="209"/>
      <c r="E13128" s="209"/>
      <c r="J13128" s="124"/>
    </row>
    <row r="13129" spans="3:10" x14ac:dyDescent="0.2">
      <c r="C13129" s="209"/>
      <c r="D13129" s="209"/>
      <c r="E13129" s="209"/>
      <c r="J13129" s="124"/>
    </row>
    <row r="13130" spans="3:10" x14ac:dyDescent="0.2">
      <c r="C13130" s="209"/>
      <c r="D13130" s="209"/>
      <c r="E13130" s="209"/>
      <c r="J13130" s="124"/>
    </row>
    <row r="13131" spans="3:10" x14ac:dyDescent="0.2">
      <c r="C13131" s="209"/>
      <c r="D13131" s="209"/>
      <c r="E13131" s="209"/>
      <c r="J13131" s="124"/>
    </row>
    <row r="13132" spans="3:10" x14ac:dyDescent="0.2">
      <c r="C13132" s="209"/>
      <c r="D13132" s="209"/>
      <c r="E13132" s="209"/>
      <c r="J13132" s="124"/>
    </row>
    <row r="13133" spans="3:10" x14ac:dyDescent="0.2">
      <c r="C13133" s="209"/>
      <c r="D13133" s="209"/>
      <c r="E13133" s="209"/>
      <c r="J13133" s="124"/>
    </row>
    <row r="13134" spans="3:10" x14ac:dyDescent="0.2">
      <c r="C13134" s="209"/>
      <c r="D13134" s="209"/>
      <c r="E13134" s="209"/>
      <c r="J13134" s="124"/>
    </row>
    <row r="13135" spans="3:10" x14ac:dyDescent="0.2">
      <c r="C13135" s="209"/>
      <c r="D13135" s="209"/>
      <c r="E13135" s="209"/>
      <c r="J13135" s="124"/>
    </row>
    <row r="13136" spans="3:10" x14ac:dyDescent="0.2">
      <c r="C13136" s="209"/>
      <c r="D13136" s="209"/>
      <c r="E13136" s="209"/>
      <c r="J13136" s="124"/>
    </row>
    <row r="13137" spans="3:10" x14ac:dyDescent="0.2">
      <c r="C13137" s="209"/>
      <c r="D13137" s="209"/>
      <c r="E13137" s="209"/>
      <c r="J13137" s="124"/>
    </row>
    <row r="13138" spans="3:10" x14ac:dyDescent="0.2">
      <c r="C13138" s="209"/>
      <c r="D13138" s="209"/>
      <c r="E13138" s="209"/>
      <c r="J13138" s="124"/>
    </row>
    <row r="13139" spans="3:10" x14ac:dyDescent="0.2">
      <c r="C13139" s="209"/>
      <c r="D13139" s="209"/>
      <c r="E13139" s="209"/>
      <c r="J13139" s="124"/>
    </row>
    <row r="13140" spans="3:10" x14ac:dyDescent="0.2">
      <c r="C13140" s="209"/>
      <c r="D13140" s="209"/>
      <c r="E13140" s="209"/>
      <c r="J13140" s="124"/>
    </row>
    <row r="13141" spans="3:10" x14ac:dyDescent="0.2">
      <c r="C13141" s="209"/>
      <c r="D13141" s="209"/>
      <c r="E13141" s="209"/>
      <c r="J13141" s="124"/>
    </row>
    <row r="13142" spans="3:10" x14ac:dyDescent="0.2">
      <c r="C13142" s="209"/>
      <c r="D13142" s="209"/>
      <c r="E13142" s="209"/>
      <c r="J13142" s="124"/>
    </row>
    <row r="13143" spans="3:10" x14ac:dyDescent="0.2">
      <c r="C13143" s="209"/>
      <c r="D13143" s="209"/>
      <c r="E13143" s="209"/>
      <c r="J13143" s="124"/>
    </row>
    <row r="13144" spans="3:10" x14ac:dyDescent="0.2">
      <c r="C13144" s="209"/>
      <c r="D13144" s="209"/>
      <c r="E13144" s="209"/>
      <c r="J13144" s="124"/>
    </row>
    <row r="13145" spans="3:10" x14ac:dyDescent="0.2">
      <c r="C13145" s="209"/>
      <c r="D13145" s="209"/>
      <c r="E13145" s="209"/>
      <c r="J13145" s="124"/>
    </row>
    <row r="13146" spans="3:10" x14ac:dyDescent="0.2">
      <c r="C13146" s="209"/>
      <c r="D13146" s="209"/>
      <c r="E13146" s="209"/>
      <c r="J13146" s="124"/>
    </row>
    <row r="13147" spans="3:10" x14ac:dyDescent="0.2">
      <c r="C13147" s="209"/>
      <c r="D13147" s="209"/>
      <c r="E13147" s="209"/>
      <c r="J13147" s="124"/>
    </row>
    <row r="13148" spans="3:10" x14ac:dyDescent="0.2">
      <c r="C13148" s="209"/>
      <c r="D13148" s="209"/>
      <c r="E13148" s="209"/>
      <c r="J13148" s="124"/>
    </row>
    <row r="13149" spans="3:10" x14ac:dyDescent="0.2">
      <c r="C13149" s="209"/>
      <c r="D13149" s="209"/>
      <c r="E13149" s="209"/>
      <c r="J13149" s="124"/>
    </row>
    <row r="13150" spans="3:10" x14ac:dyDescent="0.2">
      <c r="C13150" s="209"/>
      <c r="D13150" s="209"/>
      <c r="E13150" s="209"/>
      <c r="J13150" s="124"/>
    </row>
    <row r="13151" spans="3:10" x14ac:dyDescent="0.2">
      <c r="C13151" s="209"/>
      <c r="D13151" s="209"/>
      <c r="E13151" s="209"/>
      <c r="J13151" s="124"/>
    </row>
    <row r="13152" spans="3:10" x14ac:dyDescent="0.2">
      <c r="C13152" s="209"/>
      <c r="D13152" s="209"/>
      <c r="E13152" s="209"/>
      <c r="J13152" s="124"/>
    </row>
    <row r="13153" spans="3:10" x14ac:dyDescent="0.2">
      <c r="C13153" s="209"/>
      <c r="D13153" s="209"/>
      <c r="E13153" s="209"/>
      <c r="J13153" s="124"/>
    </row>
    <row r="13154" spans="3:10" x14ac:dyDescent="0.2">
      <c r="C13154" s="209"/>
      <c r="D13154" s="209"/>
      <c r="E13154" s="209"/>
      <c r="J13154" s="124"/>
    </row>
    <row r="13155" spans="3:10" x14ac:dyDescent="0.2">
      <c r="C13155" s="209"/>
      <c r="D13155" s="209"/>
      <c r="E13155" s="209"/>
      <c r="J13155" s="124"/>
    </row>
    <row r="13156" spans="3:10" x14ac:dyDescent="0.2">
      <c r="C13156" s="209"/>
      <c r="D13156" s="209"/>
      <c r="E13156" s="209"/>
      <c r="J13156" s="124"/>
    </row>
    <row r="13157" spans="3:10" x14ac:dyDescent="0.2">
      <c r="C13157" s="209"/>
      <c r="D13157" s="209"/>
      <c r="E13157" s="209"/>
      <c r="J13157" s="124"/>
    </row>
    <row r="13158" spans="3:10" x14ac:dyDescent="0.2">
      <c r="C13158" s="209"/>
      <c r="D13158" s="209"/>
      <c r="E13158" s="209"/>
      <c r="J13158" s="124"/>
    </row>
    <row r="13159" spans="3:10" x14ac:dyDescent="0.2">
      <c r="C13159" s="209"/>
      <c r="D13159" s="209"/>
      <c r="E13159" s="209"/>
      <c r="J13159" s="124"/>
    </row>
    <row r="13160" spans="3:10" x14ac:dyDescent="0.2">
      <c r="C13160" s="209"/>
      <c r="D13160" s="209"/>
      <c r="E13160" s="209"/>
      <c r="J13160" s="124"/>
    </row>
    <row r="13161" spans="3:10" x14ac:dyDescent="0.2">
      <c r="C13161" s="209"/>
      <c r="D13161" s="209"/>
      <c r="E13161" s="209"/>
      <c r="J13161" s="124"/>
    </row>
    <row r="13162" spans="3:10" x14ac:dyDescent="0.2">
      <c r="C13162" s="209"/>
      <c r="D13162" s="209"/>
      <c r="E13162" s="209"/>
      <c r="J13162" s="124"/>
    </row>
    <row r="13163" spans="3:10" x14ac:dyDescent="0.2">
      <c r="C13163" s="209"/>
      <c r="D13163" s="209"/>
      <c r="E13163" s="209"/>
      <c r="J13163" s="124"/>
    </row>
    <row r="13164" spans="3:10" x14ac:dyDescent="0.2">
      <c r="C13164" s="209"/>
      <c r="D13164" s="209"/>
      <c r="E13164" s="209"/>
      <c r="J13164" s="124"/>
    </row>
    <row r="13165" spans="3:10" x14ac:dyDescent="0.2">
      <c r="C13165" s="209"/>
      <c r="D13165" s="209"/>
      <c r="E13165" s="209"/>
      <c r="J13165" s="124"/>
    </row>
    <row r="13166" spans="3:10" x14ac:dyDescent="0.2">
      <c r="C13166" s="209"/>
      <c r="D13166" s="209"/>
      <c r="E13166" s="209"/>
      <c r="J13166" s="124"/>
    </row>
    <row r="13167" spans="3:10" x14ac:dyDescent="0.2">
      <c r="C13167" s="209"/>
      <c r="D13167" s="209"/>
      <c r="E13167" s="209"/>
      <c r="J13167" s="124"/>
    </row>
    <row r="13168" spans="3:10" x14ac:dyDescent="0.2">
      <c r="C13168" s="209"/>
      <c r="D13168" s="209"/>
      <c r="E13168" s="209"/>
      <c r="J13168" s="124"/>
    </row>
    <row r="13169" spans="3:10" x14ac:dyDescent="0.2">
      <c r="C13169" s="209"/>
      <c r="D13169" s="209"/>
      <c r="E13169" s="209"/>
      <c r="J13169" s="124"/>
    </row>
    <row r="13170" spans="3:10" x14ac:dyDescent="0.2">
      <c r="C13170" s="209"/>
      <c r="D13170" s="209"/>
      <c r="E13170" s="209"/>
      <c r="J13170" s="124"/>
    </row>
    <row r="13171" spans="3:10" x14ac:dyDescent="0.2">
      <c r="C13171" s="209"/>
      <c r="D13171" s="209"/>
      <c r="E13171" s="209"/>
      <c r="J13171" s="124"/>
    </row>
    <row r="13172" spans="3:10" x14ac:dyDescent="0.2">
      <c r="C13172" s="209"/>
      <c r="D13172" s="209"/>
      <c r="E13172" s="209"/>
      <c r="J13172" s="124"/>
    </row>
    <row r="13173" spans="3:10" x14ac:dyDescent="0.2">
      <c r="C13173" s="209"/>
      <c r="D13173" s="209"/>
      <c r="E13173" s="209"/>
      <c r="J13173" s="124"/>
    </row>
    <row r="13174" spans="3:10" x14ac:dyDescent="0.2">
      <c r="C13174" s="209"/>
      <c r="D13174" s="209"/>
      <c r="E13174" s="209"/>
      <c r="J13174" s="124"/>
    </row>
    <row r="13175" spans="3:10" x14ac:dyDescent="0.2">
      <c r="C13175" s="209"/>
      <c r="D13175" s="209"/>
      <c r="E13175" s="209"/>
      <c r="J13175" s="124"/>
    </row>
    <row r="13176" spans="3:10" x14ac:dyDescent="0.2">
      <c r="C13176" s="209"/>
      <c r="D13176" s="209"/>
      <c r="E13176" s="209"/>
      <c r="J13176" s="124"/>
    </row>
    <row r="13177" spans="3:10" x14ac:dyDescent="0.2">
      <c r="C13177" s="209"/>
      <c r="D13177" s="209"/>
      <c r="E13177" s="209"/>
      <c r="J13177" s="124"/>
    </row>
    <row r="13178" spans="3:10" x14ac:dyDescent="0.2">
      <c r="C13178" s="209"/>
      <c r="D13178" s="209"/>
      <c r="E13178" s="209"/>
      <c r="J13178" s="124"/>
    </row>
    <row r="13179" spans="3:10" x14ac:dyDescent="0.2">
      <c r="C13179" s="209"/>
      <c r="D13179" s="209"/>
      <c r="E13179" s="209"/>
      <c r="J13179" s="124"/>
    </row>
    <row r="13180" spans="3:10" x14ac:dyDescent="0.2">
      <c r="C13180" s="209"/>
      <c r="D13180" s="209"/>
      <c r="E13180" s="209"/>
      <c r="J13180" s="124"/>
    </row>
    <row r="13181" spans="3:10" x14ac:dyDescent="0.2">
      <c r="C13181" s="209"/>
      <c r="D13181" s="209"/>
      <c r="E13181" s="209"/>
      <c r="J13181" s="124"/>
    </row>
    <row r="13182" spans="3:10" x14ac:dyDescent="0.2">
      <c r="C13182" s="209"/>
      <c r="D13182" s="209"/>
      <c r="E13182" s="209"/>
      <c r="J13182" s="124"/>
    </row>
    <row r="13183" spans="3:10" x14ac:dyDescent="0.2">
      <c r="C13183" s="209"/>
      <c r="D13183" s="209"/>
      <c r="E13183" s="209"/>
      <c r="J13183" s="124"/>
    </row>
    <row r="13184" spans="3:10" x14ac:dyDescent="0.2">
      <c r="C13184" s="209"/>
      <c r="D13184" s="209"/>
      <c r="E13184" s="209"/>
      <c r="J13184" s="124"/>
    </row>
    <row r="13185" spans="3:10" x14ac:dyDescent="0.2">
      <c r="C13185" s="209"/>
      <c r="D13185" s="209"/>
      <c r="E13185" s="209"/>
      <c r="J13185" s="124"/>
    </row>
    <row r="13186" spans="3:10" x14ac:dyDescent="0.2">
      <c r="C13186" s="209"/>
      <c r="D13186" s="209"/>
      <c r="E13186" s="209"/>
      <c r="J13186" s="124"/>
    </row>
    <row r="13187" spans="3:10" x14ac:dyDescent="0.2">
      <c r="C13187" s="209"/>
      <c r="D13187" s="209"/>
      <c r="E13187" s="209"/>
      <c r="J13187" s="124"/>
    </row>
    <row r="13188" spans="3:10" x14ac:dyDescent="0.2">
      <c r="C13188" s="209"/>
      <c r="D13188" s="209"/>
      <c r="E13188" s="209"/>
      <c r="J13188" s="124"/>
    </row>
    <row r="13189" spans="3:10" x14ac:dyDescent="0.2">
      <c r="C13189" s="209"/>
      <c r="D13189" s="209"/>
      <c r="E13189" s="209"/>
      <c r="J13189" s="124"/>
    </row>
    <row r="13190" spans="3:10" x14ac:dyDescent="0.2">
      <c r="C13190" s="209"/>
      <c r="D13190" s="209"/>
      <c r="E13190" s="209"/>
      <c r="J13190" s="124"/>
    </row>
    <row r="13191" spans="3:10" x14ac:dyDescent="0.2">
      <c r="C13191" s="209"/>
      <c r="D13191" s="209"/>
      <c r="E13191" s="209"/>
      <c r="J13191" s="124"/>
    </row>
    <row r="13192" spans="3:10" x14ac:dyDescent="0.2">
      <c r="C13192" s="209"/>
      <c r="D13192" s="209"/>
      <c r="E13192" s="209"/>
      <c r="J13192" s="124"/>
    </row>
    <row r="13193" spans="3:10" x14ac:dyDescent="0.2">
      <c r="C13193" s="209"/>
      <c r="D13193" s="209"/>
      <c r="E13193" s="209"/>
      <c r="J13193" s="124"/>
    </row>
    <row r="13194" spans="3:10" x14ac:dyDescent="0.2">
      <c r="C13194" s="209"/>
      <c r="D13194" s="209"/>
      <c r="E13194" s="209"/>
      <c r="J13194" s="124"/>
    </row>
    <row r="13195" spans="3:10" x14ac:dyDescent="0.2">
      <c r="C13195" s="209"/>
      <c r="D13195" s="209"/>
      <c r="E13195" s="209"/>
      <c r="J13195" s="124"/>
    </row>
    <row r="13196" spans="3:10" x14ac:dyDescent="0.2">
      <c r="C13196" s="209"/>
      <c r="D13196" s="209"/>
      <c r="E13196" s="209"/>
      <c r="J13196" s="124"/>
    </row>
    <row r="13197" spans="3:10" x14ac:dyDescent="0.2">
      <c r="C13197" s="209"/>
      <c r="D13197" s="209"/>
      <c r="E13197" s="209"/>
      <c r="J13197" s="124"/>
    </row>
    <row r="13198" spans="3:10" x14ac:dyDescent="0.2">
      <c r="C13198" s="209"/>
      <c r="D13198" s="209"/>
      <c r="E13198" s="209"/>
      <c r="J13198" s="124"/>
    </row>
    <row r="13199" spans="3:10" x14ac:dyDescent="0.2">
      <c r="C13199" s="209"/>
      <c r="D13199" s="209"/>
      <c r="E13199" s="209"/>
      <c r="J13199" s="124"/>
    </row>
    <row r="13200" spans="3:10" x14ac:dyDescent="0.2">
      <c r="C13200" s="209"/>
      <c r="D13200" s="209"/>
      <c r="E13200" s="209"/>
      <c r="J13200" s="124"/>
    </row>
    <row r="13201" spans="3:10" x14ac:dyDescent="0.2">
      <c r="C13201" s="209"/>
      <c r="D13201" s="209"/>
      <c r="E13201" s="209"/>
      <c r="J13201" s="124"/>
    </row>
    <row r="13202" spans="3:10" x14ac:dyDescent="0.2">
      <c r="C13202" s="209"/>
      <c r="D13202" s="209"/>
      <c r="E13202" s="209"/>
      <c r="J13202" s="124"/>
    </row>
    <row r="13203" spans="3:10" x14ac:dyDescent="0.2">
      <c r="C13203" s="209"/>
      <c r="D13203" s="209"/>
      <c r="E13203" s="209"/>
      <c r="J13203" s="124"/>
    </row>
    <row r="13204" spans="3:10" x14ac:dyDescent="0.2">
      <c r="C13204" s="209"/>
      <c r="D13204" s="209"/>
      <c r="E13204" s="209"/>
      <c r="J13204" s="124"/>
    </row>
    <row r="13205" spans="3:10" x14ac:dyDescent="0.2">
      <c r="C13205" s="209"/>
      <c r="D13205" s="209"/>
      <c r="E13205" s="209"/>
      <c r="J13205" s="124"/>
    </row>
    <row r="13206" spans="3:10" x14ac:dyDescent="0.2">
      <c r="C13206" s="209"/>
      <c r="D13206" s="209"/>
      <c r="E13206" s="209"/>
      <c r="J13206" s="124"/>
    </row>
    <row r="13207" spans="3:10" x14ac:dyDescent="0.2">
      <c r="C13207" s="209"/>
      <c r="D13207" s="209"/>
      <c r="E13207" s="209"/>
      <c r="J13207" s="124"/>
    </row>
    <row r="13208" spans="3:10" x14ac:dyDescent="0.2">
      <c r="C13208" s="209"/>
      <c r="D13208" s="209"/>
      <c r="E13208" s="209"/>
      <c r="J13208" s="124"/>
    </row>
    <row r="13209" spans="3:10" x14ac:dyDescent="0.2">
      <c r="C13209" s="209"/>
      <c r="D13209" s="209"/>
      <c r="E13209" s="209"/>
      <c r="J13209" s="124"/>
    </row>
    <row r="13210" spans="3:10" x14ac:dyDescent="0.2">
      <c r="C13210" s="209"/>
      <c r="D13210" s="209"/>
      <c r="E13210" s="209"/>
      <c r="J13210" s="124"/>
    </row>
    <row r="13211" spans="3:10" x14ac:dyDescent="0.2">
      <c r="C13211" s="209"/>
      <c r="D13211" s="209"/>
      <c r="E13211" s="209"/>
      <c r="J13211" s="124"/>
    </row>
    <row r="13212" spans="3:10" x14ac:dyDescent="0.2">
      <c r="C13212" s="209"/>
      <c r="D13212" s="209"/>
      <c r="E13212" s="209"/>
      <c r="J13212" s="124"/>
    </row>
    <row r="13213" spans="3:10" x14ac:dyDescent="0.2">
      <c r="C13213" s="209"/>
      <c r="D13213" s="209"/>
      <c r="E13213" s="209"/>
      <c r="J13213" s="124"/>
    </row>
    <row r="13214" spans="3:10" x14ac:dyDescent="0.2">
      <c r="C13214" s="209"/>
      <c r="D13214" s="209"/>
      <c r="E13214" s="209"/>
      <c r="J13214" s="124"/>
    </row>
    <row r="13215" spans="3:10" x14ac:dyDescent="0.2">
      <c r="C13215" s="209"/>
      <c r="D13215" s="209"/>
      <c r="E13215" s="209"/>
      <c r="J13215" s="124"/>
    </row>
    <row r="13216" spans="3:10" x14ac:dyDescent="0.2">
      <c r="C13216" s="209"/>
      <c r="D13216" s="209"/>
      <c r="E13216" s="209"/>
      <c r="J13216" s="124"/>
    </row>
    <row r="13217" spans="3:10" x14ac:dyDescent="0.2">
      <c r="C13217" s="209"/>
      <c r="D13217" s="209"/>
      <c r="E13217" s="209"/>
      <c r="J13217" s="124"/>
    </row>
    <row r="13218" spans="3:10" x14ac:dyDescent="0.2">
      <c r="C13218" s="209"/>
      <c r="D13218" s="209"/>
      <c r="E13218" s="209"/>
      <c r="J13218" s="124"/>
    </row>
    <row r="13219" spans="3:10" x14ac:dyDescent="0.2">
      <c r="C13219" s="209"/>
      <c r="D13219" s="209"/>
      <c r="E13219" s="209"/>
      <c r="J13219" s="124"/>
    </row>
    <row r="13220" spans="3:10" x14ac:dyDescent="0.2">
      <c r="C13220" s="209"/>
      <c r="D13220" s="209"/>
      <c r="E13220" s="209"/>
      <c r="J13220" s="124"/>
    </row>
    <row r="13221" spans="3:10" x14ac:dyDescent="0.2">
      <c r="C13221" s="209"/>
      <c r="D13221" s="209"/>
      <c r="E13221" s="209"/>
      <c r="J13221" s="124"/>
    </row>
    <row r="13222" spans="3:10" x14ac:dyDescent="0.2">
      <c r="C13222" s="209"/>
      <c r="D13222" s="209"/>
      <c r="E13222" s="209"/>
      <c r="J13222" s="124"/>
    </row>
    <row r="13223" spans="3:10" x14ac:dyDescent="0.2">
      <c r="C13223" s="209"/>
      <c r="D13223" s="209"/>
      <c r="E13223" s="209"/>
      <c r="J13223" s="124"/>
    </row>
    <row r="13224" spans="3:10" x14ac:dyDescent="0.2">
      <c r="C13224" s="209"/>
      <c r="D13224" s="209"/>
      <c r="E13224" s="209"/>
      <c r="J13224" s="124"/>
    </row>
    <row r="13225" spans="3:10" x14ac:dyDescent="0.2">
      <c r="C13225" s="209"/>
      <c r="D13225" s="209"/>
      <c r="E13225" s="209"/>
      <c r="J13225" s="124"/>
    </row>
    <row r="13226" spans="3:10" x14ac:dyDescent="0.2">
      <c r="C13226" s="209"/>
      <c r="D13226" s="209"/>
      <c r="E13226" s="209"/>
      <c r="J13226" s="124"/>
    </row>
    <row r="13227" spans="3:10" x14ac:dyDescent="0.2">
      <c r="C13227" s="209"/>
      <c r="D13227" s="209"/>
      <c r="E13227" s="209"/>
      <c r="J13227" s="124"/>
    </row>
    <row r="13228" spans="3:10" x14ac:dyDescent="0.2">
      <c r="C13228" s="209"/>
      <c r="D13228" s="209"/>
      <c r="E13228" s="209"/>
      <c r="J13228" s="124"/>
    </row>
    <row r="13229" spans="3:10" x14ac:dyDescent="0.2">
      <c r="C13229" s="209"/>
      <c r="D13229" s="209"/>
      <c r="E13229" s="209"/>
      <c r="J13229" s="124"/>
    </row>
    <row r="13230" spans="3:10" x14ac:dyDescent="0.2">
      <c r="C13230" s="209"/>
      <c r="D13230" s="209"/>
      <c r="E13230" s="209"/>
      <c r="J13230" s="124"/>
    </row>
    <row r="13231" spans="3:10" x14ac:dyDescent="0.2">
      <c r="C13231" s="209"/>
      <c r="D13231" s="209"/>
      <c r="E13231" s="209"/>
      <c r="J13231" s="124"/>
    </row>
    <row r="13232" spans="3:10" x14ac:dyDescent="0.2">
      <c r="C13232" s="209"/>
      <c r="D13232" s="209"/>
      <c r="E13232" s="209"/>
      <c r="J13232" s="124"/>
    </row>
    <row r="13233" spans="3:10" x14ac:dyDescent="0.2">
      <c r="C13233" s="209"/>
      <c r="D13233" s="209"/>
      <c r="E13233" s="209"/>
      <c r="J13233" s="124"/>
    </row>
    <row r="13234" spans="3:10" x14ac:dyDescent="0.2">
      <c r="C13234" s="209"/>
      <c r="D13234" s="209"/>
      <c r="E13234" s="209"/>
      <c r="J13234" s="124"/>
    </row>
    <row r="13235" spans="3:10" x14ac:dyDescent="0.2">
      <c r="C13235" s="209"/>
      <c r="D13235" s="209"/>
      <c r="E13235" s="209"/>
      <c r="J13235" s="124"/>
    </row>
    <row r="13236" spans="3:10" x14ac:dyDescent="0.2">
      <c r="C13236" s="209"/>
      <c r="D13236" s="209"/>
      <c r="E13236" s="209"/>
      <c r="J13236" s="124"/>
    </row>
    <row r="13237" spans="3:10" x14ac:dyDescent="0.2">
      <c r="C13237" s="209"/>
      <c r="D13237" s="209"/>
      <c r="E13237" s="209"/>
      <c r="J13237" s="124"/>
    </row>
    <row r="13238" spans="3:10" x14ac:dyDescent="0.2">
      <c r="C13238" s="209"/>
      <c r="D13238" s="209"/>
      <c r="E13238" s="209"/>
      <c r="J13238" s="124"/>
    </row>
    <row r="13239" spans="3:10" x14ac:dyDescent="0.2">
      <c r="C13239" s="209"/>
      <c r="D13239" s="209"/>
      <c r="E13239" s="209"/>
      <c r="J13239" s="124"/>
    </row>
    <row r="13240" spans="3:10" x14ac:dyDescent="0.2">
      <c r="C13240" s="209"/>
      <c r="D13240" s="209"/>
      <c r="E13240" s="209"/>
      <c r="J13240" s="124"/>
    </row>
    <row r="13241" spans="3:10" x14ac:dyDescent="0.2">
      <c r="C13241" s="209"/>
      <c r="D13241" s="209"/>
      <c r="E13241" s="209"/>
      <c r="J13241" s="124"/>
    </row>
    <row r="13242" spans="3:10" x14ac:dyDescent="0.2">
      <c r="C13242" s="209"/>
      <c r="D13242" s="209"/>
      <c r="E13242" s="209"/>
      <c r="J13242" s="124"/>
    </row>
    <row r="13243" spans="3:10" x14ac:dyDescent="0.2">
      <c r="C13243" s="209"/>
      <c r="D13243" s="209"/>
      <c r="E13243" s="209"/>
      <c r="J13243" s="124"/>
    </row>
    <row r="13244" spans="3:10" x14ac:dyDescent="0.2">
      <c r="C13244" s="209"/>
      <c r="D13244" s="209"/>
      <c r="E13244" s="209"/>
      <c r="J13244" s="124"/>
    </row>
    <row r="13245" spans="3:10" x14ac:dyDescent="0.2">
      <c r="C13245" s="209"/>
      <c r="D13245" s="209"/>
      <c r="E13245" s="209"/>
      <c r="J13245" s="124"/>
    </row>
    <row r="13246" spans="3:10" x14ac:dyDescent="0.2">
      <c r="C13246" s="209"/>
      <c r="D13246" s="209"/>
      <c r="E13246" s="209"/>
      <c r="J13246" s="124"/>
    </row>
    <row r="13247" spans="3:10" x14ac:dyDescent="0.2">
      <c r="C13247" s="209"/>
      <c r="D13247" s="209"/>
      <c r="E13247" s="209"/>
      <c r="J13247" s="124"/>
    </row>
    <row r="13248" spans="3:10" x14ac:dyDescent="0.2">
      <c r="C13248" s="209"/>
      <c r="D13248" s="209"/>
      <c r="E13248" s="209"/>
      <c r="J13248" s="124"/>
    </row>
    <row r="13249" spans="3:10" x14ac:dyDescent="0.2">
      <c r="C13249" s="209"/>
      <c r="D13249" s="209"/>
      <c r="E13249" s="209"/>
      <c r="J13249" s="124"/>
    </row>
    <row r="13250" spans="3:10" x14ac:dyDescent="0.2">
      <c r="C13250" s="209"/>
      <c r="D13250" s="209"/>
      <c r="E13250" s="209"/>
      <c r="J13250" s="124"/>
    </row>
    <row r="13251" spans="3:10" x14ac:dyDescent="0.2">
      <c r="C13251" s="209"/>
      <c r="D13251" s="209"/>
      <c r="E13251" s="209"/>
      <c r="J13251" s="124"/>
    </row>
    <row r="13252" spans="3:10" x14ac:dyDescent="0.2">
      <c r="C13252" s="209"/>
      <c r="D13252" s="209"/>
      <c r="E13252" s="209"/>
      <c r="J13252" s="124"/>
    </row>
    <row r="13253" spans="3:10" x14ac:dyDescent="0.2">
      <c r="C13253" s="209"/>
      <c r="D13253" s="209"/>
      <c r="E13253" s="209"/>
      <c r="J13253" s="124"/>
    </row>
    <row r="13254" spans="3:10" x14ac:dyDescent="0.2">
      <c r="C13254" s="209"/>
      <c r="D13254" s="209"/>
      <c r="E13254" s="209"/>
      <c r="J13254" s="124"/>
    </row>
    <row r="13255" spans="3:10" x14ac:dyDescent="0.2">
      <c r="C13255" s="209"/>
      <c r="D13255" s="209"/>
      <c r="E13255" s="209"/>
      <c r="J13255" s="124"/>
    </row>
    <row r="13256" spans="3:10" x14ac:dyDescent="0.2">
      <c r="C13256" s="209"/>
      <c r="D13256" s="209"/>
      <c r="E13256" s="209"/>
      <c r="J13256" s="124"/>
    </row>
    <row r="13257" spans="3:10" x14ac:dyDescent="0.2">
      <c r="C13257" s="209"/>
      <c r="D13257" s="209"/>
      <c r="E13257" s="209"/>
      <c r="J13257" s="124"/>
    </row>
    <row r="13258" spans="3:10" x14ac:dyDescent="0.2">
      <c r="C13258" s="209"/>
      <c r="D13258" s="209"/>
      <c r="E13258" s="209"/>
      <c r="J13258" s="124"/>
    </row>
    <row r="13259" spans="3:10" x14ac:dyDescent="0.2">
      <c r="C13259" s="209"/>
      <c r="D13259" s="209"/>
      <c r="E13259" s="209"/>
      <c r="J13259" s="124"/>
    </row>
    <row r="13260" spans="3:10" x14ac:dyDescent="0.2">
      <c r="C13260" s="209"/>
      <c r="D13260" s="209"/>
      <c r="E13260" s="209"/>
      <c r="J13260" s="124"/>
    </row>
    <row r="13261" spans="3:10" x14ac:dyDescent="0.2">
      <c r="C13261" s="209"/>
      <c r="D13261" s="209"/>
      <c r="E13261" s="209"/>
      <c r="J13261" s="124"/>
    </row>
    <row r="13262" spans="3:10" x14ac:dyDescent="0.2">
      <c r="C13262" s="209"/>
      <c r="D13262" s="209"/>
      <c r="E13262" s="209"/>
      <c r="J13262" s="124"/>
    </row>
    <row r="13263" spans="3:10" x14ac:dyDescent="0.2">
      <c r="C13263" s="209"/>
      <c r="D13263" s="209"/>
      <c r="E13263" s="209"/>
      <c r="J13263" s="124"/>
    </row>
    <row r="13264" spans="3:10" x14ac:dyDescent="0.2">
      <c r="C13264" s="209"/>
      <c r="D13264" s="209"/>
      <c r="E13264" s="209"/>
      <c r="J13264" s="124"/>
    </row>
    <row r="13265" spans="3:10" x14ac:dyDescent="0.2">
      <c r="C13265" s="209"/>
      <c r="D13265" s="209"/>
      <c r="E13265" s="209"/>
      <c r="J13265" s="124"/>
    </row>
    <row r="13266" spans="3:10" x14ac:dyDescent="0.2">
      <c r="C13266" s="209"/>
      <c r="D13266" s="209"/>
      <c r="E13266" s="209"/>
      <c r="J13266" s="124"/>
    </row>
    <row r="13267" spans="3:10" x14ac:dyDescent="0.2">
      <c r="C13267" s="209"/>
      <c r="D13267" s="209"/>
      <c r="E13267" s="209"/>
      <c r="J13267" s="124"/>
    </row>
    <row r="13268" spans="3:10" x14ac:dyDescent="0.2">
      <c r="C13268" s="209"/>
      <c r="D13268" s="209"/>
      <c r="E13268" s="209"/>
      <c r="J13268" s="124"/>
    </row>
    <row r="13269" spans="3:10" x14ac:dyDescent="0.2">
      <c r="C13269" s="209"/>
      <c r="D13269" s="209"/>
      <c r="E13269" s="209"/>
      <c r="J13269" s="124"/>
    </row>
    <row r="13270" spans="3:10" x14ac:dyDescent="0.2">
      <c r="C13270" s="209"/>
      <c r="D13270" s="209"/>
      <c r="E13270" s="209"/>
      <c r="J13270" s="124"/>
    </row>
    <row r="13271" spans="3:10" x14ac:dyDescent="0.2">
      <c r="C13271" s="209"/>
      <c r="D13271" s="209"/>
      <c r="E13271" s="209"/>
      <c r="J13271" s="124"/>
    </row>
    <row r="13272" spans="3:10" x14ac:dyDescent="0.2">
      <c r="C13272" s="209"/>
      <c r="D13272" s="209"/>
      <c r="E13272" s="209"/>
      <c r="J13272" s="124"/>
    </row>
    <row r="13273" spans="3:10" x14ac:dyDescent="0.2">
      <c r="C13273" s="209"/>
      <c r="D13273" s="209"/>
      <c r="E13273" s="209"/>
      <c r="J13273" s="124"/>
    </row>
    <row r="13274" spans="3:10" x14ac:dyDescent="0.2">
      <c r="C13274" s="209"/>
      <c r="D13274" s="209"/>
      <c r="E13274" s="209"/>
      <c r="J13274" s="124"/>
    </row>
    <row r="13275" spans="3:10" x14ac:dyDescent="0.2">
      <c r="C13275" s="209"/>
      <c r="D13275" s="209"/>
      <c r="E13275" s="209"/>
      <c r="J13275" s="124"/>
    </row>
    <row r="13276" spans="3:10" x14ac:dyDescent="0.2">
      <c r="C13276" s="209"/>
      <c r="D13276" s="209"/>
      <c r="E13276" s="209"/>
      <c r="J13276" s="124"/>
    </row>
    <row r="13277" spans="3:10" x14ac:dyDescent="0.2">
      <c r="C13277" s="209"/>
      <c r="D13277" s="209"/>
      <c r="E13277" s="209"/>
      <c r="J13277" s="124"/>
    </row>
    <row r="13278" spans="3:10" x14ac:dyDescent="0.2">
      <c r="C13278" s="209"/>
      <c r="D13278" s="209"/>
      <c r="E13278" s="209"/>
      <c r="J13278" s="124"/>
    </row>
    <row r="13279" spans="3:10" x14ac:dyDescent="0.2">
      <c r="C13279" s="209"/>
      <c r="D13279" s="209"/>
      <c r="E13279" s="209"/>
      <c r="J13279" s="124"/>
    </row>
    <row r="13280" spans="3:10" x14ac:dyDescent="0.2">
      <c r="C13280" s="209"/>
      <c r="D13280" s="209"/>
      <c r="E13280" s="209"/>
      <c r="J13280" s="124"/>
    </row>
    <row r="13281" spans="3:10" x14ac:dyDescent="0.2">
      <c r="C13281" s="209"/>
      <c r="D13281" s="209"/>
      <c r="E13281" s="209"/>
      <c r="J13281" s="124"/>
    </row>
    <row r="13282" spans="3:10" x14ac:dyDescent="0.2">
      <c r="C13282" s="209"/>
      <c r="D13282" s="209"/>
      <c r="E13282" s="209"/>
      <c r="J13282" s="124"/>
    </row>
    <row r="13283" spans="3:10" x14ac:dyDescent="0.2">
      <c r="C13283" s="209"/>
      <c r="D13283" s="209"/>
      <c r="E13283" s="209"/>
      <c r="J13283" s="124"/>
    </row>
    <row r="13284" spans="3:10" x14ac:dyDescent="0.2">
      <c r="C13284" s="209"/>
      <c r="D13284" s="209"/>
      <c r="E13284" s="209"/>
      <c r="J13284" s="124"/>
    </row>
    <row r="13285" spans="3:10" x14ac:dyDescent="0.2">
      <c r="C13285" s="209"/>
      <c r="D13285" s="209"/>
      <c r="E13285" s="209"/>
      <c r="J13285" s="124"/>
    </row>
    <row r="13286" spans="3:10" x14ac:dyDescent="0.2">
      <c r="C13286" s="209"/>
      <c r="D13286" s="209"/>
      <c r="E13286" s="209"/>
      <c r="J13286" s="124"/>
    </row>
    <row r="13287" spans="3:10" x14ac:dyDescent="0.2">
      <c r="C13287" s="209"/>
      <c r="D13287" s="209"/>
      <c r="E13287" s="209"/>
      <c r="J13287" s="124"/>
    </row>
    <row r="13288" spans="3:10" x14ac:dyDescent="0.2">
      <c r="C13288" s="209"/>
      <c r="D13288" s="209"/>
      <c r="E13288" s="209"/>
      <c r="J13288" s="124"/>
    </row>
    <row r="13289" spans="3:10" x14ac:dyDescent="0.2">
      <c r="C13289" s="209"/>
      <c r="D13289" s="209"/>
      <c r="E13289" s="209"/>
      <c r="J13289" s="124"/>
    </row>
    <row r="13290" spans="3:10" x14ac:dyDescent="0.2">
      <c r="C13290" s="209"/>
      <c r="D13290" s="209"/>
      <c r="E13290" s="209"/>
      <c r="J13290" s="124"/>
    </row>
    <row r="13291" spans="3:10" x14ac:dyDescent="0.2">
      <c r="C13291" s="209"/>
      <c r="D13291" s="209"/>
      <c r="E13291" s="209"/>
      <c r="J13291" s="124"/>
    </row>
    <row r="13292" spans="3:10" x14ac:dyDescent="0.2">
      <c r="C13292" s="209"/>
      <c r="D13292" s="209"/>
      <c r="E13292" s="209"/>
      <c r="J13292" s="124"/>
    </row>
    <row r="13293" spans="3:10" x14ac:dyDescent="0.2">
      <c r="C13293" s="209"/>
      <c r="D13293" s="209"/>
      <c r="E13293" s="209"/>
      <c r="J13293" s="124"/>
    </row>
    <row r="13294" spans="3:10" x14ac:dyDescent="0.2">
      <c r="C13294" s="209"/>
      <c r="D13294" s="209"/>
      <c r="E13294" s="209"/>
      <c r="J13294" s="124"/>
    </row>
    <row r="13295" spans="3:10" x14ac:dyDescent="0.2">
      <c r="C13295" s="209"/>
      <c r="D13295" s="209"/>
      <c r="E13295" s="209"/>
      <c r="J13295" s="124"/>
    </row>
    <row r="13296" spans="3:10" x14ac:dyDescent="0.2">
      <c r="C13296" s="209"/>
      <c r="D13296" s="209"/>
      <c r="E13296" s="209"/>
      <c r="J13296" s="124"/>
    </row>
    <row r="13297" spans="3:10" x14ac:dyDescent="0.2">
      <c r="C13297" s="209"/>
      <c r="D13297" s="209"/>
      <c r="E13297" s="209"/>
      <c r="J13297" s="124"/>
    </row>
    <row r="13298" spans="3:10" x14ac:dyDescent="0.2">
      <c r="C13298" s="209"/>
      <c r="D13298" s="209"/>
      <c r="E13298" s="209"/>
      <c r="J13298" s="124"/>
    </row>
    <row r="13299" spans="3:10" x14ac:dyDescent="0.2">
      <c r="C13299" s="209"/>
      <c r="D13299" s="209"/>
      <c r="E13299" s="209"/>
      <c r="J13299" s="124"/>
    </row>
    <row r="13300" spans="3:10" x14ac:dyDescent="0.2">
      <c r="C13300" s="209"/>
      <c r="D13300" s="209"/>
      <c r="E13300" s="209"/>
      <c r="J13300" s="124"/>
    </row>
    <row r="13301" spans="3:10" x14ac:dyDescent="0.2">
      <c r="C13301" s="209"/>
      <c r="D13301" s="209"/>
      <c r="E13301" s="209"/>
      <c r="J13301" s="124"/>
    </row>
    <row r="13302" spans="3:10" x14ac:dyDescent="0.2">
      <c r="C13302" s="209"/>
      <c r="D13302" s="209"/>
      <c r="E13302" s="209"/>
      <c r="J13302" s="124"/>
    </row>
    <row r="13303" spans="3:10" x14ac:dyDescent="0.2">
      <c r="C13303" s="209"/>
      <c r="D13303" s="209"/>
      <c r="E13303" s="209"/>
      <c r="J13303" s="124"/>
    </row>
    <row r="13304" spans="3:10" x14ac:dyDescent="0.2">
      <c r="C13304" s="209"/>
      <c r="D13304" s="209"/>
      <c r="E13304" s="209"/>
      <c r="J13304" s="124"/>
    </row>
    <row r="13305" spans="3:10" x14ac:dyDescent="0.2">
      <c r="C13305" s="209"/>
      <c r="D13305" s="209"/>
      <c r="E13305" s="209"/>
      <c r="J13305" s="124"/>
    </row>
    <row r="13306" spans="3:10" x14ac:dyDescent="0.2">
      <c r="C13306" s="209"/>
      <c r="D13306" s="209"/>
      <c r="E13306" s="209"/>
      <c r="J13306" s="124"/>
    </row>
    <row r="13307" spans="3:10" x14ac:dyDescent="0.2">
      <c r="C13307" s="209"/>
      <c r="D13307" s="209"/>
      <c r="E13307" s="209"/>
      <c r="J13307" s="124"/>
    </row>
    <row r="13308" spans="3:10" x14ac:dyDescent="0.2">
      <c r="C13308" s="209"/>
      <c r="D13308" s="209"/>
      <c r="E13308" s="209"/>
      <c r="J13308" s="124"/>
    </row>
    <row r="13309" spans="3:10" x14ac:dyDescent="0.2">
      <c r="C13309" s="209"/>
      <c r="D13309" s="209"/>
      <c r="E13309" s="209"/>
      <c r="J13309" s="124"/>
    </row>
    <row r="13310" spans="3:10" x14ac:dyDescent="0.2">
      <c r="C13310" s="209"/>
      <c r="D13310" s="209"/>
      <c r="E13310" s="209"/>
      <c r="J13310" s="124"/>
    </row>
    <row r="13311" spans="3:10" x14ac:dyDescent="0.2">
      <c r="C13311" s="209"/>
      <c r="D13311" s="209"/>
      <c r="E13311" s="209"/>
      <c r="J13311" s="124"/>
    </row>
    <row r="13312" spans="3:10" x14ac:dyDescent="0.2">
      <c r="C13312" s="209"/>
      <c r="D13312" s="209"/>
      <c r="E13312" s="209"/>
      <c r="J13312" s="124"/>
    </row>
    <row r="13313" spans="3:10" x14ac:dyDescent="0.2">
      <c r="C13313" s="209"/>
      <c r="D13313" s="209"/>
      <c r="E13313" s="209"/>
      <c r="J13313" s="124"/>
    </row>
    <row r="13314" spans="3:10" x14ac:dyDescent="0.2">
      <c r="C13314" s="209"/>
      <c r="D13314" s="209"/>
      <c r="E13314" s="209"/>
      <c r="J13314" s="124"/>
    </row>
    <row r="13315" spans="3:10" x14ac:dyDescent="0.2">
      <c r="C13315" s="209"/>
      <c r="D13315" s="209"/>
      <c r="E13315" s="209"/>
      <c r="J13315" s="124"/>
    </row>
    <row r="13316" spans="3:10" x14ac:dyDescent="0.2">
      <c r="C13316" s="209"/>
      <c r="D13316" s="209"/>
      <c r="E13316" s="209"/>
      <c r="J13316" s="124"/>
    </row>
    <row r="13317" spans="3:10" x14ac:dyDescent="0.2">
      <c r="C13317" s="209"/>
      <c r="D13317" s="209"/>
      <c r="E13317" s="209"/>
      <c r="J13317" s="124"/>
    </row>
    <row r="13318" spans="3:10" x14ac:dyDescent="0.2">
      <c r="C13318" s="209"/>
      <c r="D13318" s="209"/>
      <c r="E13318" s="209"/>
      <c r="J13318" s="124"/>
    </row>
    <row r="13319" spans="3:10" x14ac:dyDescent="0.2">
      <c r="C13319" s="209"/>
      <c r="D13319" s="209"/>
      <c r="E13319" s="209"/>
      <c r="J13319" s="124"/>
    </row>
    <row r="13320" spans="3:10" x14ac:dyDescent="0.2">
      <c r="C13320" s="209"/>
      <c r="D13320" s="209"/>
      <c r="E13320" s="209"/>
      <c r="J13320" s="124"/>
    </row>
    <row r="13321" spans="3:10" x14ac:dyDescent="0.2">
      <c r="C13321" s="209"/>
      <c r="D13321" s="209"/>
      <c r="E13321" s="209"/>
      <c r="J13321" s="124"/>
    </row>
    <row r="13322" spans="3:10" x14ac:dyDescent="0.2">
      <c r="C13322" s="209"/>
      <c r="D13322" s="209"/>
      <c r="E13322" s="209"/>
      <c r="J13322" s="124"/>
    </row>
    <row r="13323" spans="3:10" x14ac:dyDescent="0.2">
      <c r="C13323" s="209"/>
      <c r="D13323" s="209"/>
      <c r="E13323" s="209"/>
      <c r="J13323" s="124"/>
    </row>
    <row r="13324" spans="3:10" x14ac:dyDescent="0.2">
      <c r="C13324" s="209"/>
      <c r="D13324" s="209"/>
      <c r="E13324" s="209"/>
      <c r="J13324" s="124"/>
    </row>
    <row r="13325" spans="3:10" x14ac:dyDescent="0.2">
      <c r="C13325" s="209"/>
      <c r="D13325" s="209"/>
      <c r="E13325" s="209"/>
      <c r="J13325" s="124"/>
    </row>
    <row r="13326" spans="3:10" x14ac:dyDescent="0.2">
      <c r="C13326" s="209"/>
      <c r="D13326" s="209"/>
      <c r="E13326" s="209"/>
      <c r="J13326" s="124"/>
    </row>
    <row r="13327" spans="3:10" x14ac:dyDescent="0.2">
      <c r="C13327" s="209"/>
      <c r="D13327" s="209"/>
      <c r="E13327" s="209"/>
      <c r="J13327" s="124"/>
    </row>
    <row r="13328" spans="3:10" x14ac:dyDescent="0.2">
      <c r="C13328" s="209"/>
      <c r="D13328" s="209"/>
      <c r="E13328" s="209"/>
      <c r="J13328" s="124"/>
    </row>
    <row r="13329" spans="3:10" x14ac:dyDescent="0.2">
      <c r="C13329" s="209"/>
      <c r="D13329" s="209"/>
      <c r="E13329" s="209"/>
      <c r="J13329" s="124"/>
    </row>
    <row r="13330" spans="3:10" x14ac:dyDescent="0.2">
      <c r="C13330" s="209"/>
      <c r="D13330" s="209"/>
      <c r="E13330" s="209"/>
      <c r="J13330" s="124"/>
    </row>
    <row r="13331" spans="3:10" x14ac:dyDescent="0.2">
      <c r="C13331" s="209"/>
      <c r="D13331" s="209"/>
      <c r="E13331" s="209"/>
      <c r="J13331" s="124"/>
    </row>
    <row r="13332" spans="3:10" x14ac:dyDescent="0.2">
      <c r="C13332" s="209"/>
      <c r="D13332" s="209"/>
      <c r="E13332" s="209"/>
      <c r="J13332" s="124"/>
    </row>
    <row r="13333" spans="3:10" x14ac:dyDescent="0.2">
      <c r="C13333" s="209"/>
      <c r="D13333" s="209"/>
      <c r="E13333" s="209"/>
      <c r="J13333" s="124"/>
    </row>
    <row r="13334" spans="3:10" x14ac:dyDescent="0.2">
      <c r="C13334" s="209"/>
      <c r="D13334" s="209"/>
      <c r="E13334" s="209"/>
      <c r="J13334" s="124"/>
    </row>
    <row r="13335" spans="3:10" x14ac:dyDescent="0.2">
      <c r="C13335" s="209"/>
      <c r="D13335" s="209"/>
      <c r="E13335" s="209"/>
      <c r="J13335" s="124"/>
    </row>
    <row r="13336" spans="3:10" x14ac:dyDescent="0.2">
      <c r="C13336" s="209"/>
      <c r="D13336" s="209"/>
      <c r="E13336" s="209"/>
      <c r="J13336" s="124"/>
    </row>
    <row r="13337" spans="3:10" x14ac:dyDescent="0.2">
      <c r="C13337" s="209"/>
      <c r="D13337" s="209"/>
      <c r="E13337" s="209"/>
      <c r="J13337" s="124"/>
    </row>
    <row r="13338" spans="3:10" x14ac:dyDescent="0.2">
      <c r="C13338" s="209"/>
      <c r="D13338" s="209"/>
      <c r="E13338" s="209"/>
      <c r="J13338" s="124"/>
    </row>
    <row r="13339" spans="3:10" x14ac:dyDescent="0.2">
      <c r="C13339" s="209"/>
      <c r="D13339" s="209"/>
      <c r="E13339" s="209"/>
      <c r="J13339" s="124"/>
    </row>
    <row r="13340" spans="3:10" x14ac:dyDescent="0.2">
      <c r="C13340" s="209"/>
      <c r="D13340" s="209"/>
      <c r="E13340" s="209"/>
      <c r="J13340" s="124"/>
    </row>
    <row r="13341" spans="3:10" x14ac:dyDescent="0.2">
      <c r="C13341" s="209"/>
      <c r="D13341" s="209"/>
      <c r="E13341" s="209"/>
      <c r="J13341" s="124"/>
    </row>
    <row r="13342" spans="3:10" x14ac:dyDescent="0.2">
      <c r="C13342" s="209"/>
      <c r="D13342" s="209"/>
      <c r="E13342" s="209"/>
      <c r="J13342" s="124"/>
    </row>
    <row r="13343" spans="3:10" x14ac:dyDescent="0.2">
      <c r="C13343" s="209"/>
      <c r="D13343" s="209"/>
      <c r="E13343" s="209"/>
      <c r="J13343" s="124"/>
    </row>
    <row r="13344" spans="3:10" x14ac:dyDescent="0.2">
      <c r="C13344" s="209"/>
      <c r="D13344" s="209"/>
      <c r="E13344" s="209"/>
      <c r="J13344" s="124"/>
    </row>
    <row r="13345" spans="3:10" x14ac:dyDescent="0.2">
      <c r="C13345" s="209"/>
      <c r="D13345" s="209"/>
      <c r="E13345" s="209"/>
      <c r="J13345" s="124"/>
    </row>
    <row r="13346" spans="3:10" x14ac:dyDescent="0.2">
      <c r="C13346" s="209"/>
      <c r="D13346" s="209"/>
      <c r="E13346" s="209"/>
      <c r="J13346" s="124"/>
    </row>
    <row r="13347" spans="3:10" x14ac:dyDescent="0.2">
      <c r="C13347" s="209"/>
      <c r="D13347" s="209"/>
      <c r="E13347" s="209"/>
      <c r="J13347" s="124"/>
    </row>
    <row r="13348" spans="3:10" x14ac:dyDescent="0.2">
      <c r="C13348" s="209"/>
      <c r="D13348" s="209"/>
      <c r="E13348" s="209"/>
      <c r="J13348" s="124"/>
    </row>
    <row r="13349" spans="3:10" x14ac:dyDescent="0.2">
      <c r="C13349" s="209"/>
      <c r="D13349" s="209"/>
      <c r="E13349" s="209"/>
      <c r="J13349" s="124"/>
    </row>
    <row r="13350" spans="3:10" x14ac:dyDescent="0.2">
      <c r="C13350" s="209"/>
      <c r="D13350" s="209"/>
      <c r="E13350" s="209"/>
      <c r="J13350" s="124"/>
    </row>
    <row r="13351" spans="3:10" x14ac:dyDescent="0.2">
      <c r="C13351" s="209"/>
      <c r="D13351" s="209"/>
      <c r="E13351" s="209"/>
      <c r="J13351" s="124"/>
    </row>
    <row r="13352" spans="3:10" x14ac:dyDescent="0.2">
      <c r="C13352" s="209"/>
      <c r="D13352" s="209"/>
      <c r="E13352" s="209"/>
      <c r="J13352" s="124"/>
    </row>
    <row r="13353" spans="3:10" x14ac:dyDescent="0.2">
      <c r="C13353" s="209"/>
      <c r="D13353" s="209"/>
      <c r="E13353" s="209"/>
      <c r="J13353" s="124"/>
    </row>
    <row r="13354" spans="3:10" x14ac:dyDescent="0.2">
      <c r="C13354" s="209"/>
      <c r="D13354" s="209"/>
      <c r="E13354" s="209"/>
      <c r="J13354" s="124"/>
    </row>
    <row r="13355" spans="3:10" x14ac:dyDescent="0.2">
      <c r="C13355" s="209"/>
      <c r="D13355" s="209"/>
      <c r="E13355" s="209"/>
      <c r="J13355" s="124"/>
    </row>
    <row r="13356" spans="3:10" x14ac:dyDescent="0.2">
      <c r="C13356" s="209"/>
      <c r="D13356" s="209"/>
      <c r="E13356" s="209"/>
      <c r="J13356" s="124"/>
    </row>
    <row r="13357" spans="3:10" x14ac:dyDescent="0.2">
      <c r="C13357" s="209"/>
      <c r="D13357" s="209"/>
      <c r="E13357" s="209"/>
      <c r="J13357" s="124"/>
    </row>
    <row r="13358" spans="3:10" x14ac:dyDescent="0.2">
      <c r="C13358" s="209"/>
      <c r="D13358" s="209"/>
      <c r="E13358" s="209"/>
      <c r="J13358" s="124"/>
    </row>
    <row r="13359" spans="3:10" x14ac:dyDescent="0.2">
      <c r="C13359" s="209"/>
      <c r="D13359" s="209"/>
      <c r="E13359" s="209"/>
      <c r="J13359" s="124"/>
    </row>
    <row r="13360" spans="3:10" x14ac:dyDescent="0.2">
      <c r="C13360" s="209"/>
      <c r="D13360" s="209"/>
      <c r="E13360" s="209"/>
      <c r="J13360" s="124"/>
    </row>
    <row r="13361" spans="3:10" x14ac:dyDescent="0.2">
      <c r="C13361" s="209"/>
      <c r="D13361" s="209"/>
      <c r="E13361" s="209"/>
      <c r="J13361" s="124"/>
    </row>
    <row r="13362" spans="3:10" x14ac:dyDescent="0.2">
      <c r="C13362" s="209"/>
      <c r="D13362" s="209"/>
      <c r="E13362" s="209"/>
      <c r="J13362" s="124"/>
    </row>
    <row r="13363" spans="3:10" x14ac:dyDescent="0.2">
      <c r="C13363" s="209"/>
      <c r="D13363" s="209"/>
      <c r="E13363" s="209"/>
      <c r="J13363" s="124"/>
    </row>
    <row r="13364" spans="3:10" x14ac:dyDescent="0.2">
      <c r="C13364" s="209"/>
      <c r="D13364" s="209"/>
      <c r="E13364" s="209"/>
      <c r="J13364" s="124"/>
    </row>
    <row r="13365" spans="3:10" x14ac:dyDescent="0.2">
      <c r="C13365" s="209"/>
      <c r="D13365" s="209"/>
      <c r="E13365" s="209"/>
      <c r="J13365" s="124"/>
    </row>
    <row r="13366" spans="3:10" x14ac:dyDescent="0.2">
      <c r="C13366" s="209"/>
      <c r="D13366" s="209"/>
      <c r="E13366" s="209"/>
      <c r="J13366" s="124"/>
    </row>
    <row r="13367" spans="3:10" x14ac:dyDescent="0.2">
      <c r="C13367" s="209"/>
      <c r="D13367" s="209"/>
      <c r="E13367" s="209"/>
      <c r="J13367" s="124"/>
    </row>
    <row r="13368" spans="3:10" x14ac:dyDescent="0.2">
      <c r="C13368" s="209"/>
      <c r="D13368" s="209"/>
      <c r="E13368" s="209"/>
      <c r="J13368" s="124"/>
    </row>
    <row r="13369" spans="3:10" x14ac:dyDescent="0.2">
      <c r="C13369" s="209"/>
      <c r="D13369" s="209"/>
      <c r="E13369" s="209"/>
      <c r="J13369" s="124"/>
    </row>
    <row r="13370" spans="3:10" x14ac:dyDescent="0.2">
      <c r="C13370" s="209"/>
      <c r="D13370" s="209"/>
      <c r="E13370" s="209"/>
      <c r="J13370" s="124"/>
    </row>
    <row r="13371" spans="3:10" x14ac:dyDescent="0.2">
      <c r="C13371" s="209"/>
      <c r="D13371" s="209"/>
      <c r="E13371" s="209"/>
      <c r="J13371" s="124"/>
    </row>
    <row r="13372" spans="3:10" x14ac:dyDescent="0.2">
      <c r="C13372" s="209"/>
      <c r="D13372" s="209"/>
      <c r="E13372" s="209"/>
      <c r="J13372" s="124"/>
    </row>
    <row r="13373" spans="3:10" x14ac:dyDescent="0.2">
      <c r="C13373" s="209"/>
      <c r="D13373" s="209"/>
      <c r="E13373" s="209"/>
      <c r="J13373" s="124"/>
    </row>
    <row r="13374" spans="3:10" x14ac:dyDescent="0.2">
      <c r="C13374" s="209"/>
      <c r="D13374" s="209"/>
      <c r="E13374" s="209"/>
      <c r="J13374" s="124"/>
    </row>
    <row r="13375" spans="3:10" x14ac:dyDescent="0.2">
      <c r="C13375" s="209"/>
      <c r="D13375" s="209"/>
      <c r="E13375" s="209"/>
      <c r="J13375" s="124"/>
    </row>
    <row r="13376" spans="3:10" x14ac:dyDescent="0.2">
      <c r="C13376" s="209"/>
      <c r="D13376" s="209"/>
      <c r="E13376" s="209"/>
      <c r="J13376" s="124"/>
    </row>
    <row r="13377" spans="3:10" x14ac:dyDescent="0.2">
      <c r="C13377" s="209"/>
      <c r="D13377" s="209"/>
      <c r="E13377" s="209"/>
      <c r="J13377" s="124"/>
    </row>
    <row r="13378" spans="3:10" x14ac:dyDescent="0.2">
      <c r="C13378" s="209"/>
      <c r="D13378" s="209"/>
      <c r="E13378" s="209"/>
      <c r="J13378" s="124"/>
    </row>
    <row r="13379" spans="3:10" x14ac:dyDescent="0.2">
      <c r="C13379" s="209"/>
      <c r="D13379" s="209"/>
      <c r="E13379" s="209"/>
      <c r="J13379" s="124"/>
    </row>
    <row r="13380" spans="3:10" x14ac:dyDescent="0.2">
      <c r="C13380" s="209"/>
      <c r="D13380" s="209"/>
      <c r="E13380" s="209"/>
      <c r="J13380" s="124"/>
    </row>
    <row r="13381" spans="3:10" x14ac:dyDescent="0.2">
      <c r="C13381" s="209"/>
      <c r="D13381" s="209"/>
      <c r="E13381" s="209"/>
      <c r="J13381" s="124"/>
    </row>
    <row r="13382" spans="3:10" x14ac:dyDescent="0.2">
      <c r="C13382" s="209"/>
      <c r="D13382" s="209"/>
      <c r="E13382" s="209"/>
      <c r="J13382" s="124"/>
    </row>
    <row r="13383" spans="3:10" x14ac:dyDescent="0.2">
      <c r="C13383" s="209"/>
      <c r="D13383" s="209"/>
      <c r="E13383" s="209"/>
      <c r="J13383" s="124"/>
    </row>
    <row r="13384" spans="3:10" x14ac:dyDescent="0.2">
      <c r="C13384" s="209"/>
      <c r="D13384" s="209"/>
      <c r="E13384" s="209"/>
      <c r="J13384" s="124"/>
    </row>
    <row r="13385" spans="3:10" x14ac:dyDescent="0.2">
      <c r="C13385" s="209"/>
      <c r="D13385" s="209"/>
      <c r="E13385" s="209"/>
      <c r="J13385" s="124"/>
    </row>
    <row r="13386" spans="3:10" x14ac:dyDescent="0.2">
      <c r="C13386" s="209"/>
      <c r="D13386" s="209"/>
      <c r="E13386" s="209"/>
      <c r="J13386" s="124"/>
    </row>
    <row r="13387" spans="3:10" x14ac:dyDescent="0.2">
      <c r="C13387" s="209"/>
      <c r="D13387" s="209"/>
      <c r="E13387" s="209"/>
      <c r="J13387" s="124"/>
    </row>
    <row r="13388" spans="3:10" x14ac:dyDescent="0.2">
      <c r="C13388" s="209"/>
      <c r="D13388" s="209"/>
      <c r="E13388" s="209"/>
      <c r="J13388" s="124"/>
    </row>
    <row r="13389" spans="3:10" x14ac:dyDescent="0.2">
      <c r="C13389" s="209"/>
      <c r="D13389" s="209"/>
      <c r="E13389" s="209"/>
      <c r="J13389" s="124"/>
    </row>
    <row r="13390" spans="3:10" x14ac:dyDescent="0.2">
      <c r="C13390" s="209"/>
      <c r="D13390" s="209"/>
      <c r="E13390" s="209"/>
      <c r="J13390" s="124"/>
    </row>
    <row r="13391" spans="3:10" x14ac:dyDescent="0.2">
      <c r="C13391" s="209"/>
      <c r="D13391" s="209"/>
      <c r="E13391" s="209"/>
      <c r="J13391" s="124"/>
    </row>
    <row r="13392" spans="3:10" x14ac:dyDescent="0.2">
      <c r="C13392" s="209"/>
      <c r="D13392" s="209"/>
      <c r="E13392" s="209"/>
      <c r="J13392" s="124"/>
    </row>
    <row r="13393" spans="3:10" x14ac:dyDescent="0.2">
      <c r="C13393" s="209"/>
      <c r="D13393" s="209"/>
      <c r="E13393" s="209"/>
      <c r="J13393" s="124"/>
    </row>
    <row r="13394" spans="3:10" x14ac:dyDescent="0.2">
      <c r="C13394" s="209"/>
      <c r="D13394" s="209"/>
      <c r="E13394" s="209"/>
      <c r="J13394" s="124"/>
    </row>
    <row r="13395" spans="3:10" x14ac:dyDescent="0.2">
      <c r="C13395" s="209"/>
      <c r="D13395" s="209"/>
      <c r="E13395" s="209"/>
      <c r="J13395" s="124"/>
    </row>
    <row r="13396" spans="3:10" x14ac:dyDescent="0.2">
      <c r="C13396" s="209"/>
      <c r="D13396" s="209"/>
      <c r="E13396" s="209"/>
      <c r="J13396" s="124"/>
    </row>
    <row r="13397" spans="3:10" x14ac:dyDescent="0.2">
      <c r="C13397" s="209"/>
      <c r="D13397" s="209"/>
      <c r="E13397" s="209"/>
      <c r="J13397" s="124"/>
    </row>
    <row r="13398" spans="3:10" x14ac:dyDescent="0.2">
      <c r="C13398" s="209"/>
      <c r="D13398" s="209"/>
      <c r="E13398" s="209"/>
      <c r="J13398" s="124"/>
    </row>
    <row r="13399" spans="3:10" x14ac:dyDescent="0.2">
      <c r="C13399" s="209"/>
      <c r="D13399" s="209"/>
      <c r="E13399" s="209"/>
      <c r="J13399" s="124"/>
    </row>
    <row r="13400" spans="3:10" x14ac:dyDescent="0.2">
      <c r="C13400" s="209"/>
      <c r="D13400" s="209"/>
      <c r="E13400" s="209"/>
      <c r="J13400" s="124"/>
    </row>
    <row r="13401" spans="3:10" x14ac:dyDescent="0.2">
      <c r="C13401" s="209"/>
      <c r="D13401" s="209"/>
      <c r="E13401" s="209"/>
      <c r="J13401" s="124"/>
    </row>
    <row r="13402" spans="3:10" x14ac:dyDescent="0.2">
      <c r="C13402" s="209"/>
      <c r="D13402" s="209"/>
      <c r="E13402" s="209"/>
      <c r="J13402" s="124"/>
    </row>
    <row r="13403" spans="3:10" x14ac:dyDescent="0.2">
      <c r="C13403" s="209"/>
      <c r="D13403" s="209"/>
      <c r="E13403" s="209"/>
      <c r="J13403" s="124"/>
    </row>
    <row r="13404" spans="3:10" x14ac:dyDescent="0.2">
      <c r="C13404" s="209"/>
      <c r="D13404" s="209"/>
      <c r="E13404" s="209"/>
      <c r="J13404" s="124"/>
    </row>
    <row r="13405" spans="3:10" x14ac:dyDescent="0.2">
      <c r="C13405" s="209"/>
      <c r="D13405" s="209"/>
      <c r="E13405" s="209"/>
      <c r="J13405" s="124"/>
    </row>
    <row r="13406" spans="3:10" x14ac:dyDescent="0.2">
      <c r="C13406" s="209"/>
      <c r="D13406" s="209"/>
      <c r="E13406" s="209"/>
      <c r="J13406" s="124"/>
    </row>
    <row r="13407" spans="3:10" x14ac:dyDescent="0.2">
      <c r="C13407" s="209"/>
      <c r="D13407" s="209"/>
      <c r="E13407" s="209"/>
      <c r="J13407" s="124"/>
    </row>
    <row r="13408" spans="3:10" x14ac:dyDescent="0.2">
      <c r="C13408" s="209"/>
      <c r="D13408" s="209"/>
      <c r="E13408" s="209"/>
      <c r="J13408" s="124"/>
    </row>
    <row r="13409" spans="3:10" x14ac:dyDescent="0.2">
      <c r="C13409" s="209"/>
      <c r="D13409" s="209"/>
      <c r="E13409" s="209"/>
      <c r="J13409" s="124"/>
    </row>
    <row r="13410" spans="3:10" x14ac:dyDescent="0.2">
      <c r="C13410" s="209"/>
      <c r="D13410" s="209"/>
      <c r="E13410" s="209"/>
      <c r="J13410" s="124"/>
    </row>
    <row r="13411" spans="3:10" x14ac:dyDescent="0.2">
      <c r="C13411" s="209"/>
      <c r="D13411" s="209"/>
      <c r="E13411" s="209"/>
      <c r="J13411" s="124"/>
    </row>
    <row r="13412" spans="3:10" x14ac:dyDescent="0.2">
      <c r="C13412" s="209"/>
      <c r="D13412" s="209"/>
      <c r="E13412" s="209"/>
      <c r="J13412" s="124"/>
    </row>
    <row r="13413" spans="3:10" x14ac:dyDescent="0.2">
      <c r="C13413" s="209"/>
      <c r="D13413" s="209"/>
      <c r="E13413" s="209"/>
      <c r="J13413" s="124"/>
    </row>
    <row r="13414" spans="3:10" x14ac:dyDescent="0.2">
      <c r="C13414" s="209"/>
      <c r="D13414" s="209"/>
      <c r="E13414" s="209"/>
      <c r="J13414" s="124"/>
    </row>
    <row r="13415" spans="3:10" x14ac:dyDescent="0.2">
      <c r="C13415" s="209"/>
      <c r="D13415" s="209"/>
      <c r="E13415" s="209"/>
      <c r="J13415" s="124"/>
    </row>
    <row r="13416" spans="3:10" x14ac:dyDescent="0.2">
      <c r="C13416" s="209"/>
      <c r="D13416" s="209"/>
      <c r="E13416" s="209"/>
      <c r="J13416" s="124"/>
    </row>
    <row r="13417" spans="3:10" x14ac:dyDescent="0.2">
      <c r="C13417" s="209"/>
      <c r="D13417" s="209"/>
      <c r="E13417" s="209"/>
      <c r="J13417" s="124"/>
    </row>
    <row r="13418" spans="3:10" x14ac:dyDescent="0.2">
      <c r="C13418" s="209"/>
      <c r="D13418" s="209"/>
      <c r="E13418" s="209"/>
      <c r="J13418" s="124"/>
    </row>
    <row r="13419" spans="3:10" x14ac:dyDescent="0.2">
      <c r="C13419" s="209"/>
      <c r="D13419" s="209"/>
      <c r="E13419" s="209"/>
      <c r="J13419" s="124"/>
    </row>
    <row r="13420" spans="3:10" x14ac:dyDescent="0.2">
      <c r="C13420" s="209"/>
      <c r="D13420" s="209"/>
      <c r="E13420" s="209"/>
      <c r="J13420" s="124"/>
    </row>
    <row r="13421" spans="3:10" x14ac:dyDescent="0.2">
      <c r="C13421" s="209"/>
      <c r="D13421" s="209"/>
      <c r="E13421" s="209"/>
      <c r="J13421" s="124"/>
    </row>
    <row r="13422" spans="3:10" x14ac:dyDescent="0.2">
      <c r="C13422" s="209"/>
      <c r="D13422" s="209"/>
      <c r="E13422" s="209"/>
      <c r="J13422" s="124"/>
    </row>
    <row r="13423" spans="3:10" x14ac:dyDescent="0.2">
      <c r="C13423" s="209"/>
      <c r="D13423" s="209"/>
      <c r="E13423" s="209"/>
      <c r="J13423" s="124"/>
    </row>
    <row r="13424" spans="3:10" x14ac:dyDescent="0.2">
      <c r="C13424" s="209"/>
      <c r="D13424" s="209"/>
      <c r="E13424" s="209"/>
      <c r="J13424" s="124"/>
    </row>
    <row r="13425" spans="3:10" x14ac:dyDescent="0.2">
      <c r="C13425" s="209"/>
      <c r="D13425" s="209"/>
      <c r="E13425" s="209"/>
      <c r="J13425" s="124"/>
    </row>
    <row r="13426" spans="3:10" x14ac:dyDescent="0.2">
      <c r="C13426" s="209"/>
      <c r="D13426" s="209"/>
      <c r="E13426" s="209"/>
      <c r="J13426" s="124"/>
    </row>
    <row r="13427" spans="3:10" x14ac:dyDescent="0.2">
      <c r="C13427" s="209"/>
      <c r="D13427" s="209"/>
      <c r="E13427" s="209"/>
      <c r="J13427" s="124"/>
    </row>
    <row r="13428" spans="3:10" x14ac:dyDescent="0.2">
      <c r="C13428" s="209"/>
      <c r="D13428" s="209"/>
      <c r="E13428" s="209"/>
      <c r="J13428" s="124"/>
    </row>
    <row r="13429" spans="3:10" x14ac:dyDescent="0.2">
      <c r="C13429" s="209"/>
      <c r="D13429" s="209"/>
      <c r="E13429" s="209"/>
      <c r="J13429" s="124"/>
    </row>
    <row r="13430" spans="3:10" x14ac:dyDescent="0.2">
      <c r="C13430" s="209"/>
      <c r="D13430" s="209"/>
      <c r="E13430" s="209"/>
      <c r="J13430" s="124"/>
    </row>
    <row r="13431" spans="3:10" x14ac:dyDescent="0.2">
      <c r="C13431" s="209"/>
      <c r="D13431" s="209"/>
      <c r="E13431" s="209"/>
      <c r="J13431" s="124"/>
    </row>
    <row r="13432" spans="3:10" x14ac:dyDescent="0.2">
      <c r="C13432" s="209"/>
      <c r="D13432" s="209"/>
      <c r="E13432" s="209"/>
      <c r="J13432" s="124"/>
    </row>
    <row r="13433" spans="3:10" x14ac:dyDescent="0.2">
      <c r="C13433" s="209"/>
      <c r="D13433" s="209"/>
      <c r="E13433" s="209"/>
      <c r="J13433" s="124"/>
    </row>
    <row r="13434" spans="3:10" x14ac:dyDescent="0.2">
      <c r="C13434" s="209"/>
      <c r="D13434" s="209"/>
      <c r="E13434" s="209"/>
      <c r="J13434" s="124"/>
    </row>
    <row r="13435" spans="3:10" x14ac:dyDescent="0.2">
      <c r="C13435" s="209"/>
      <c r="D13435" s="209"/>
      <c r="E13435" s="209"/>
      <c r="J13435" s="124"/>
    </row>
    <row r="13436" spans="3:10" x14ac:dyDescent="0.2">
      <c r="C13436" s="209"/>
      <c r="D13436" s="209"/>
      <c r="E13436" s="209"/>
      <c r="J13436" s="124"/>
    </row>
    <row r="13437" spans="3:10" x14ac:dyDescent="0.2">
      <c r="C13437" s="209"/>
      <c r="D13437" s="209"/>
      <c r="E13437" s="209"/>
      <c r="J13437" s="124"/>
    </row>
    <row r="13438" spans="3:10" x14ac:dyDescent="0.2">
      <c r="C13438" s="209"/>
      <c r="D13438" s="209"/>
      <c r="E13438" s="209"/>
      <c r="J13438" s="124"/>
    </row>
    <row r="13439" spans="3:10" x14ac:dyDescent="0.2">
      <c r="C13439" s="209"/>
      <c r="D13439" s="209"/>
      <c r="E13439" s="209"/>
      <c r="J13439" s="124"/>
    </row>
    <row r="13440" spans="3:10" x14ac:dyDescent="0.2">
      <c r="C13440" s="209"/>
      <c r="D13440" s="209"/>
      <c r="E13440" s="209"/>
      <c r="J13440" s="124"/>
    </row>
    <row r="13441" spans="3:10" x14ac:dyDescent="0.2">
      <c r="C13441" s="209"/>
      <c r="D13441" s="209"/>
      <c r="E13441" s="209"/>
      <c r="J13441" s="124"/>
    </row>
    <row r="13442" spans="3:10" x14ac:dyDescent="0.2">
      <c r="C13442" s="209"/>
      <c r="D13442" s="209"/>
      <c r="E13442" s="209"/>
      <c r="J13442" s="124"/>
    </row>
    <row r="13443" spans="3:10" x14ac:dyDescent="0.2">
      <c r="C13443" s="209"/>
      <c r="D13443" s="209"/>
      <c r="E13443" s="209"/>
      <c r="J13443" s="124"/>
    </row>
    <row r="13444" spans="3:10" x14ac:dyDescent="0.2">
      <c r="C13444" s="209"/>
      <c r="D13444" s="209"/>
      <c r="E13444" s="209"/>
      <c r="J13444" s="124"/>
    </row>
    <row r="13445" spans="3:10" x14ac:dyDescent="0.2">
      <c r="C13445" s="209"/>
      <c r="D13445" s="209"/>
      <c r="E13445" s="209"/>
      <c r="J13445" s="124"/>
    </row>
    <row r="13446" spans="3:10" x14ac:dyDescent="0.2">
      <c r="C13446" s="209"/>
      <c r="D13446" s="209"/>
      <c r="E13446" s="209"/>
      <c r="J13446" s="124"/>
    </row>
    <row r="13447" spans="3:10" x14ac:dyDescent="0.2">
      <c r="C13447" s="209"/>
      <c r="D13447" s="209"/>
      <c r="E13447" s="209"/>
      <c r="J13447" s="124"/>
    </row>
    <row r="13448" spans="3:10" x14ac:dyDescent="0.2">
      <c r="C13448" s="209"/>
      <c r="D13448" s="209"/>
      <c r="E13448" s="209"/>
      <c r="J13448" s="124"/>
    </row>
    <row r="13449" spans="3:10" x14ac:dyDescent="0.2">
      <c r="C13449" s="209"/>
      <c r="D13449" s="209"/>
      <c r="E13449" s="209"/>
      <c r="J13449" s="124"/>
    </row>
    <row r="13450" spans="3:10" x14ac:dyDescent="0.2">
      <c r="C13450" s="209"/>
      <c r="D13450" s="209"/>
      <c r="E13450" s="209"/>
      <c r="J13450" s="124"/>
    </row>
    <row r="13451" spans="3:10" x14ac:dyDescent="0.2">
      <c r="C13451" s="209"/>
      <c r="D13451" s="209"/>
      <c r="E13451" s="209"/>
      <c r="J13451" s="124"/>
    </row>
    <row r="13452" spans="3:10" x14ac:dyDescent="0.2">
      <c r="C13452" s="209"/>
      <c r="D13452" s="209"/>
      <c r="E13452" s="209"/>
      <c r="J13452" s="124"/>
    </row>
    <row r="13453" spans="3:10" x14ac:dyDescent="0.2">
      <c r="C13453" s="209"/>
      <c r="D13453" s="209"/>
      <c r="E13453" s="209"/>
      <c r="J13453" s="124"/>
    </row>
    <row r="13454" spans="3:10" x14ac:dyDescent="0.2">
      <c r="C13454" s="209"/>
      <c r="D13454" s="209"/>
      <c r="E13454" s="209"/>
      <c r="J13454" s="124"/>
    </row>
    <row r="13455" spans="3:10" x14ac:dyDescent="0.2">
      <c r="C13455" s="209"/>
      <c r="D13455" s="209"/>
      <c r="E13455" s="209"/>
      <c r="J13455" s="124"/>
    </row>
    <row r="13456" spans="3:10" x14ac:dyDescent="0.2">
      <c r="C13456" s="209"/>
      <c r="D13456" s="209"/>
      <c r="E13456" s="209"/>
      <c r="J13456" s="124"/>
    </row>
    <row r="13457" spans="3:10" x14ac:dyDescent="0.2">
      <c r="C13457" s="209"/>
      <c r="D13457" s="209"/>
      <c r="E13457" s="209"/>
      <c r="J13457" s="124"/>
    </row>
    <row r="13458" spans="3:10" x14ac:dyDescent="0.2">
      <c r="C13458" s="209"/>
      <c r="D13458" s="209"/>
      <c r="E13458" s="209"/>
      <c r="J13458" s="124"/>
    </row>
    <row r="13459" spans="3:10" x14ac:dyDescent="0.2">
      <c r="C13459" s="209"/>
      <c r="D13459" s="209"/>
      <c r="E13459" s="209"/>
      <c r="J13459" s="124"/>
    </row>
    <row r="13460" spans="3:10" x14ac:dyDescent="0.2">
      <c r="C13460" s="209"/>
      <c r="D13460" s="209"/>
      <c r="E13460" s="209"/>
      <c r="J13460" s="124"/>
    </row>
    <row r="13461" spans="3:10" x14ac:dyDescent="0.2">
      <c r="C13461" s="209"/>
      <c r="D13461" s="209"/>
      <c r="E13461" s="209"/>
      <c r="J13461" s="124"/>
    </row>
    <row r="13462" spans="3:10" x14ac:dyDescent="0.2">
      <c r="C13462" s="209"/>
      <c r="D13462" s="209"/>
      <c r="E13462" s="209"/>
      <c r="J13462" s="124"/>
    </row>
    <row r="13463" spans="3:10" x14ac:dyDescent="0.2">
      <c r="C13463" s="209"/>
      <c r="D13463" s="209"/>
      <c r="E13463" s="209"/>
      <c r="J13463" s="124"/>
    </row>
    <row r="13464" spans="3:10" x14ac:dyDescent="0.2">
      <c r="C13464" s="209"/>
      <c r="D13464" s="209"/>
      <c r="E13464" s="209"/>
      <c r="J13464" s="124"/>
    </row>
    <row r="13465" spans="3:10" x14ac:dyDescent="0.2">
      <c r="C13465" s="209"/>
      <c r="D13465" s="209"/>
      <c r="E13465" s="209"/>
      <c r="J13465" s="124"/>
    </row>
    <row r="13466" spans="3:10" x14ac:dyDescent="0.2">
      <c r="C13466" s="209"/>
      <c r="D13466" s="209"/>
      <c r="E13466" s="209"/>
      <c r="J13466" s="124"/>
    </row>
    <row r="13467" spans="3:10" x14ac:dyDescent="0.2">
      <c r="C13467" s="209"/>
      <c r="D13467" s="209"/>
      <c r="E13467" s="209"/>
      <c r="J13467" s="124"/>
    </row>
    <row r="13468" spans="3:10" x14ac:dyDescent="0.2">
      <c r="C13468" s="209"/>
      <c r="D13468" s="209"/>
      <c r="E13468" s="209"/>
      <c r="J13468" s="124"/>
    </row>
    <row r="13469" spans="3:10" x14ac:dyDescent="0.2">
      <c r="C13469" s="209"/>
      <c r="D13469" s="209"/>
      <c r="E13469" s="209"/>
      <c r="J13469" s="124"/>
    </row>
    <row r="13470" spans="3:10" x14ac:dyDescent="0.2">
      <c r="C13470" s="209"/>
      <c r="D13470" s="209"/>
      <c r="E13470" s="209"/>
      <c r="J13470" s="124"/>
    </row>
    <row r="13471" spans="3:10" x14ac:dyDescent="0.2">
      <c r="C13471" s="209"/>
      <c r="D13471" s="209"/>
      <c r="E13471" s="209"/>
      <c r="J13471" s="124"/>
    </row>
    <row r="13472" spans="3:10" x14ac:dyDescent="0.2">
      <c r="C13472" s="209"/>
      <c r="D13472" s="209"/>
      <c r="E13472" s="209"/>
      <c r="J13472" s="124"/>
    </row>
    <row r="13473" spans="3:10" x14ac:dyDescent="0.2">
      <c r="C13473" s="209"/>
      <c r="D13473" s="209"/>
      <c r="E13473" s="209"/>
      <c r="J13473" s="124"/>
    </row>
    <row r="13474" spans="3:10" x14ac:dyDescent="0.2">
      <c r="C13474" s="209"/>
      <c r="D13474" s="209"/>
      <c r="E13474" s="209"/>
      <c r="J13474" s="124"/>
    </row>
    <row r="13475" spans="3:10" x14ac:dyDescent="0.2">
      <c r="C13475" s="209"/>
      <c r="D13475" s="209"/>
      <c r="E13475" s="209"/>
      <c r="J13475" s="124"/>
    </row>
    <row r="13476" spans="3:10" x14ac:dyDescent="0.2">
      <c r="C13476" s="209"/>
      <c r="D13476" s="209"/>
      <c r="E13476" s="209"/>
      <c r="J13476" s="124"/>
    </row>
    <row r="13477" spans="3:10" x14ac:dyDescent="0.2">
      <c r="C13477" s="209"/>
      <c r="D13477" s="209"/>
      <c r="E13477" s="209"/>
      <c r="J13477" s="124"/>
    </row>
    <row r="13478" spans="3:10" x14ac:dyDescent="0.2">
      <c r="C13478" s="209"/>
      <c r="D13478" s="209"/>
      <c r="E13478" s="209"/>
      <c r="J13478" s="124"/>
    </row>
    <row r="13479" spans="3:10" x14ac:dyDescent="0.2">
      <c r="C13479" s="209"/>
      <c r="D13479" s="209"/>
      <c r="E13479" s="209"/>
      <c r="J13479" s="124"/>
    </row>
    <row r="13480" spans="3:10" x14ac:dyDescent="0.2">
      <c r="C13480" s="209"/>
      <c r="D13480" s="209"/>
      <c r="E13480" s="209"/>
      <c r="J13480" s="124"/>
    </row>
    <row r="13481" spans="3:10" x14ac:dyDescent="0.2">
      <c r="C13481" s="209"/>
      <c r="D13481" s="209"/>
      <c r="E13481" s="209"/>
      <c r="J13481" s="124"/>
    </row>
    <row r="13482" spans="3:10" x14ac:dyDescent="0.2">
      <c r="C13482" s="209"/>
      <c r="D13482" s="209"/>
      <c r="E13482" s="209"/>
      <c r="J13482" s="124"/>
    </row>
    <row r="13483" spans="3:10" x14ac:dyDescent="0.2">
      <c r="C13483" s="209"/>
      <c r="D13483" s="209"/>
      <c r="E13483" s="209"/>
      <c r="J13483" s="124"/>
    </row>
    <row r="13484" spans="3:10" x14ac:dyDescent="0.2">
      <c r="C13484" s="209"/>
      <c r="D13484" s="209"/>
      <c r="E13484" s="209"/>
      <c r="J13484" s="124"/>
    </row>
    <row r="13485" spans="3:10" x14ac:dyDescent="0.2">
      <c r="C13485" s="209"/>
      <c r="D13485" s="209"/>
      <c r="E13485" s="209"/>
      <c r="J13485" s="124"/>
    </row>
    <row r="13486" spans="3:10" x14ac:dyDescent="0.2">
      <c r="C13486" s="209"/>
      <c r="D13486" s="209"/>
      <c r="E13486" s="209"/>
      <c r="J13486" s="124"/>
    </row>
    <row r="13487" spans="3:10" x14ac:dyDescent="0.2">
      <c r="C13487" s="209"/>
      <c r="D13487" s="209"/>
      <c r="E13487" s="209"/>
      <c r="J13487" s="124"/>
    </row>
    <row r="13488" spans="3:10" x14ac:dyDescent="0.2">
      <c r="C13488" s="209"/>
      <c r="D13488" s="209"/>
      <c r="E13488" s="209"/>
      <c r="J13488" s="124"/>
    </row>
    <row r="13489" spans="3:10" x14ac:dyDescent="0.2">
      <c r="C13489" s="209"/>
      <c r="D13489" s="209"/>
      <c r="E13489" s="209"/>
      <c r="J13489" s="124"/>
    </row>
    <row r="13490" spans="3:10" x14ac:dyDescent="0.2">
      <c r="C13490" s="209"/>
      <c r="D13490" s="209"/>
      <c r="E13490" s="209"/>
      <c r="J13490" s="124"/>
    </row>
    <row r="13491" spans="3:10" x14ac:dyDescent="0.2">
      <c r="C13491" s="209"/>
      <c r="D13491" s="209"/>
      <c r="E13491" s="209"/>
      <c r="J13491" s="124"/>
    </row>
    <row r="13492" spans="3:10" x14ac:dyDescent="0.2">
      <c r="C13492" s="209"/>
      <c r="D13492" s="209"/>
      <c r="E13492" s="209"/>
      <c r="J13492" s="124"/>
    </row>
    <row r="13493" spans="3:10" x14ac:dyDescent="0.2">
      <c r="C13493" s="209"/>
      <c r="D13493" s="209"/>
      <c r="E13493" s="209"/>
      <c r="J13493" s="124"/>
    </row>
    <row r="13494" spans="3:10" x14ac:dyDescent="0.2">
      <c r="C13494" s="209"/>
      <c r="D13494" s="209"/>
      <c r="E13494" s="209"/>
      <c r="J13494" s="124"/>
    </row>
    <row r="13495" spans="3:10" x14ac:dyDescent="0.2">
      <c r="C13495" s="209"/>
      <c r="D13495" s="209"/>
      <c r="E13495" s="209"/>
      <c r="J13495" s="124"/>
    </row>
    <row r="13496" spans="3:10" x14ac:dyDescent="0.2">
      <c r="C13496" s="209"/>
      <c r="D13496" s="209"/>
      <c r="E13496" s="209"/>
      <c r="J13496" s="124"/>
    </row>
    <row r="13497" spans="3:10" x14ac:dyDescent="0.2">
      <c r="C13497" s="209"/>
      <c r="D13497" s="209"/>
      <c r="E13497" s="209"/>
      <c r="J13497" s="124"/>
    </row>
    <row r="13498" spans="3:10" x14ac:dyDescent="0.2">
      <c r="C13498" s="209"/>
      <c r="D13498" s="209"/>
      <c r="E13498" s="209"/>
      <c r="J13498" s="124"/>
    </row>
    <row r="13499" spans="3:10" x14ac:dyDescent="0.2">
      <c r="C13499" s="209"/>
      <c r="D13499" s="209"/>
      <c r="E13499" s="209"/>
      <c r="J13499" s="124"/>
    </row>
    <row r="13500" spans="3:10" x14ac:dyDescent="0.2">
      <c r="C13500" s="209"/>
      <c r="D13500" s="209"/>
      <c r="E13500" s="209"/>
      <c r="J13500" s="124"/>
    </row>
    <row r="13501" spans="3:10" x14ac:dyDescent="0.2">
      <c r="C13501" s="209"/>
      <c r="D13501" s="209"/>
      <c r="E13501" s="209"/>
      <c r="J13501" s="124"/>
    </row>
    <row r="13502" spans="3:10" x14ac:dyDescent="0.2">
      <c r="C13502" s="209"/>
      <c r="D13502" s="209"/>
      <c r="E13502" s="209"/>
      <c r="J13502" s="124"/>
    </row>
    <row r="13503" spans="3:10" x14ac:dyDescent="0.2">
      <c r="C13503" s="209"/>
      <c r="D13503" s="209"/>
      <c r="E13503" s="209"/>
      <c r="J13503" s="124"/>
    </row>
    <row r="13504" spans="3:10" x14ac:dyDescent="0.2">
      <c r="C13504" s="209"/>
      <c r="D13504" s="209"/>
      <c r="E13504" s="209"/>
      <c r="J13504" s="124"/>
    </row>
    <row r="13505" spans="3:10" x14ac:dyDescent="0.2">
      <c r="C13505" s="209"/>
      <c r="D13505" s="209"/>
      <c r="E13505" s="209"/>
      <c r="J13505" s="124"/>
    </row>
    <row r="13506" spans="3:10" x14ac:dyDescent="0.2">
      <c r="C13506" s="209"/>
      <c r="D13506" s="209"/>
      <c r="E13506" s="209"/>
      <c r="J13506" s="124"/>
    </row>
    <row r="13507" spans="3:10" x14ac:dyDescent="0.2">
      <c r="C13507" s="209"/>
      <c r="D13507" s="209"/>
      <c r="E13507" s="209"/>
      <c r="J13507" s="124"/>
    </row>
    <row r="13508" spans="3:10" x14ac:dyDescent="0.2">
      <c r="C13508" s="209"/>
      <c r="D13508" s="209"/>
      <c r="E13508" s="209"/>
      <c r="J13508" s="124"/>
    </row>
    <row r="13509" spans="3:10" x14ac:dyDescent="0.2">
      <c r="C13509" s="209"/>
      <c r="D13509" s="209"/>
      <c r="E13509" s="209"/>
      <c r="J13509" s="124"/>
    </row>
    <row r="13510" spans="3:10" x14ac:dyDescent="0.2">
      <c r="C13510" s="209"/>
      <c r="D13510" s="209"/>
      <c r="E13510" s="209"/>
      <c r="J13510" s="124"/>
    </row>
    <row r="13511" spans="3:10" x14ac:dyDescent="0.2">
      <c r="C13511" s="209"/>
      <c r="D13511" s="209"/>
      <c r="E13511" s="209"/>
      <c r="J13511" s="124"/>
    </row>
    <row r="13512" spans="3:10" x14ac:dyDescent="0.2">
      <c r="C13512" s="209"/>
      <c r="D13512" s="209"/>
      <c r="E13512" s="209"/>
      <c r="J13512" s="124"/>
    </row>
    <row r="13513" spans="3:10" x14ac:dyDescent="0.2">
      <c r="C13513" s="209"/>
      <c r="D13513" s="209"/>
      <c r="E13513" s="209"/>
      <c r="J13513" s="124"/>
    </row>
    <row r="13514" spans="3:10" x14ac:dyDescent="0.2">
      <c r="C13514" s="209"/>
      <c r="D13514" s="209"/>
      <c r="E13514" s="209"/>
      <c r="J13514" s="124"/>
    </row>
    <row r="13515" spans="3:10" x14ac:dyDescent="0.2">
      <c r="C13515" s="209"/>
      <c r="D13515" s="209"/>
      <c r="E13515" s="209"/>
      <c r="J13515" s="124"/>
    </row>
    <row r="13516" spans="3:10" x14ac:dyDescent="0.2">
      <c r="C13516" s="209"/>
      <c r="D13516" s="209"/>
      <c r="E13516" s="209"/>
      <c r="J13516" s="124"/>
    </row>
    <row r="13517" spans="3:10" x14ac:dyDescent="0.2">
      <c r="C13517" s="209"/>
      <c r="D13517" s="209"/>
      <c r="E13517" s="209"/>
      <c r="J13517" s="124"/>
    </row>
    <row r="13518" spans="3:10" x14ac:dyDescent="0.2">
      <c r="C13518" s="209"/>
      <c r="D13518" s="209"/>
      <c r="E13518" s="209"/>
      <c r="J13518" s="124"/>
    </row>
    <row r="13519" spans="3:10" x14ac:dyDescent="0.2">
      <c r="C13519" s="209"/>
      <c r="D13519" s="209"/>
      <c r="E13519" s="209"/>
      <c r="J13519" s="124"/>
    </row>
    <row r="13520" spans="3:10" x14ac:dyDescent="0.2">
      <c r="C13520" s="209"/>
      <c r="D13520" s="209"/>
      <c r="E13520" s="209"/>
      <c r="J13520" s="124"/>
    </row>
    <row r="13521" spans="3:10" x14ac:dyDescent="0.2">
      <c r="C13521" s="209"/>
      <c r="D13521" s="209"/>
      <c r="E13521" s="209"/>
      <c r="J13521" s="124"/>
    </row>
    <row r="13522" spans="3:10" x14ac:dyDescent="0.2">
      <c r="C13522" s="209"/>
      <c r="D13522" s="209"/>
      <c r="E13522" s="209"/>
      <c r="J13522" s="124"/>
    </row>
    <row r="13523" spans="3:10" x14ac:dyDescent="0.2">
      <c r="C13523" s="209"/>
      <c r="D13523" s="209"/>
      <c r="E13523" s="209"/>
      <c r="J13523" s="124"/>
    </row>
    <row r="13524" spans="3:10" x14ac:dyDescent="0.2">
      <c r="C13524" s="209"/>
      <c r="D13524" s="209"/>
      <c r="E13524" s="209"/>
      <c r="J13524" s="124"/>
    </row>
    <row r="13525" spans="3:10" x14ac:dyDescent="0.2">
      <c r="C13525" s="209"/>
      <c r="D13525" s="209"/>
      <c r="E13525" s="209"/>
      <c r="J13525" s="124"/>
    </row>
    <row r="13526" spans="3:10" x14ac:dyDescent="0.2">
      <c r="C13526" s="209"/>
      <c r="D13526" s="209"/>
      <c r="E13526" s="209"/>
      <c r="J13526" s="124"/>
    </row>
    <row r="13527" spans="3:10" x14ac:dyDescent="0.2">
      <c r="C13527" s="209"/>
      <c r="D13527" s="209"/>
      <c r="E13527" s="209"/>
      <c r="J13527" s="124"/>
    </row>
    <row r="13528" spans="3:10" x14ac:dyDescent="0.2">
      <c r="C13528" s="209"/>
      <c r="D13528" s="209"/>
      <c r="E13528" s="209"/>
      <c r="J13528" s="124"/>
    </row>
    <row r="13529" spans="3:10" x14ac:dyDescent="0.2">
      <c r="C13529" s="209"/>
      <c r="D13529" s="209"/>
      <c r="E13529" s="209"/>
      <c r="J13529" s="124"/>
    </row>
    <row r="13530" spans="3:10" x14ac:dyDescent="0.2">
      <c r="C13530" s="209"/>
      <c r="D13530" s="209"/>
      <c r="E13530" s="209"/>
      <c r="J13530" s="124"/>
    </row>
    <row r="13531" spans="3:10" x14ac:dyDescent="0.2">
      <c r="C13531" s="209"/>
      <c r="D13531" s="209"/>
      <c r="E13531" s="209"/>
      <c r="J13531" s="124"/>
    </row>
    <row r="13532" spans="3:10" x14ac:dyDescent="0.2">
      <c r="C13532" s="209"/>
      <c r="D13532" s="209"/>
      <c r="E13532" s="209"/>
      <c r="J13532" s="124"/>
    </row>
    <row r="13533" spans="3:10" x14ac:dyDescent="0.2">
      <c r="C13533" s="209"/>
      <c r="D13533" s="209"/>
      <c r="E13533" s="209"/>
      <c r="J13533" s="124"/>
    </row>
    <row r="13534" spans="3:10" x14ac:dyDescent="0.2">
      <c r="C13534" s="209"/>
      <c r="D13534" s="209"/>
      <c r="E13534" s="209"/>
      <c r="J13534" s="124"/>
    </row>
    <row r="13535" spans="3:10" x14ac:dyDescent="0.2">
      <c r="C13535" s="209"/>
      <c r="D13535" s="209"/>
      <c r="E13535" s="209"/>
      <c r="J13535" s="124"/>
    </row>
    <row r="13536" spans="3:10" x14ac:dyDescent="0.2">
      <c r="C13536" s="209"/>
      <c r="D13536" s="209"/>
      <c r="E13536" s="209"/>
      <c r="J13536" s="124"/>
    </row>
    <row r="13537" spans="3:10" x14ac:dyDescent="0.2">
      <c r="C13537" s="209"/>
      <c r="D13537" s="209"/>
      <c r="E13537" s="209"/>
      <c r="J13537" s="124"/>
    </row>
    <row r="13538" spans="3:10" x14ac:dyDescent="0.2">
      <c r="C13538" s="209"/>
      <c r="D13538" s="209"/>
      <c r="E13538" s="209"/>
      <c r="J13538" s="124"/>
    </row>
    <row r="13539" spans="3:10" x14ac:dyDescent="0.2">
      <c r="C13539" s="209"/>
      <c r="D13539" s="209"/>
      <c r="E13539" s="209"/>
      <c r="J13539" s="124"/>
    </row>
    <row r="13540" spans="3:10" x14ac:dyDescent="0.2">
      <c r="C13540" s="209"/>
      <c r="D13540" s="209"/>
      <c r="E13540" s="209"/>
      <c r="J13540" s="124"/>
    </row>
    <row r="13541" spans="3:10" x14ac:dyDescent="0.2">
      <c r="C13541" s="209"/>
      <c r="D13541" s="209"/>
      <c r="E13541" s="209"/>
      <c r="J13541" s="124"/>
    </row>
    <row r="13542" spans="3:10" x14ac:dyDescent="0.2">
      <c r="C13542" s="209"/>
      <c r="D13542" s="209"/>
      <c r="E13542" s="209"/>
      <c r="J13542" s="124"/>
    </row>
    <row r="13543" spans="3:10" x14ac:dyDescent="0.2">
      <c r="C13543" s="209"/>
      <c r="D13543" s="209"/>
      <c r="E13543" s="209"/>
      <c r="J13543" s="124"/>
    </row>
    <row r="13544" spans="3:10" x14ac:dyDescent="0.2">
      <c r="C13544" s="209"/>
      <c r="D13544" s="209"/>
      <c r="E13544" s="209"/>
      <c r="J13544" s="124"/>
    </row>
    <row r="13545" spans="3:10" x14ac:dyDescent="0.2">
      <c r="C13545" s="209"/>
      <c r="D13545" s="209"/>
      <c r="E13545" s="209"/>
      <c r="J13545" s="124"/>
    </row>
    <row r="13546" spans="3:10" x14ac:dyDescent="0.2">
      <c r="C13546" s="209"/>
      <c r="D13546" s="209"/>
      <c r="E13546" s="209"/>
      <c r="J13546" s="124"/>
    </row>
    <row r="13547" spans="3:10" x14ac:dyDescent="0.2">
      <c r="C13547" s="209"/>
      <c r="D13547" s="209"/>
      <c r="E13547" s="209"/>
      <c r="J13547" s="124"/>
    </row>
    <row r="13548" spans="3:10" x14ac:dyDescent="0.2">
      <c r="C13548" s="209"/>
      <c r="D13548" s="209"/>
      <c r="E13548" s="209"/>
      <c r="J13548" s="124"/>
    </row>
    <row r="13549" spans="3:10" x14ac:dyDescent="0.2">
      <c r="C13549" s="209"/>
      <c r="D13549" s="209"/>
      <c r="E13549" s="209"/>
      <c r="J13549" s="124"/>
    </row>
    <row r="13550" spans="3:10" x14ac:dyDescent="0.2">
      <c r="C13550" s="209"/>
      <c r="D13550" s="209"/>
      <c r="E13550" s="209"/>
      <c r="J13550" s="124"/>
    </row>
    <row r="13551" spans="3:10" x14ac:dyDescent="0.2">
      <c r="C13551" s="209"/>
      <c r="D13551" s="209"/>
      <c r="E13551" s="209"/>
      <c r="J13551" s="124"/>
    </row>
    <row r="13552" spans="3:10" x14ac:dyDescent="0.2">
      <c r="C13552" s="209"/>
      <c r="D13552" s="209"/>
      <c r="E13552" s="209"/>
      <c r="J13552" s="124"/>
    </row>
    <row r="13553" spans="3:10" x14ac:dyDescent="0.2">
      <c r="C13553" s="209"/>
      <c r="D13553" s="209"/>
      <c r="E13553" s="209"/>
      <c r="J13553" s="124"/>
    </row>
    <row r="13554" spans="3:10" x14ac:dyDescent="0.2">
      <c r="C13554" s="209"/>
      <c r="D13554" s="209"/>
      <c r="E13554" s="209"/>
      <c r="J13554" s="124"/>
    </row>
    <row r="13555" spans="3:10" x14ac:dyDescent="0.2">
      <c r="C13555" s="209"/>
      <c r="D13555" s="209"/>
      <c r="E13555" s="209"/>
      <c r="J13555" s="124"/>
    </row>
    <row r="13556" spans="3:10" x14ac:dyDescent="0.2">
      <c r="C13556" s="209"/>
      <c r="D13556" s="209"/>
      <c r="E13556" s="209"/>
      <c r="J13556" s="124"/>
    </row>
    <row r="13557" spans="3:10" x14ac:dyDescent="0.2">
      <c r="C13557" s="209"/>
      <c r="D13557" s="209"/>
      <c r="E13557" s="209"/>
      <c r="J13557" s="124"/>
    </row>
    <row r="13558" spans="3:10" x14ac:dyDescent="0.2">
      <c r="C13558" s="209"/>
      <c r="D13558" s="209"/>
      <c r="E13558" s="209"/>
      <c r="J13558" s="124"/>
    </row>
    <row r="13559" spans="3:10" x14ac:dyDescent="0.2">
      <c r="C13559" s="209"/>
      <c r="D13559" s="209"/>
      <c r="E13559" s="209"/>
      <c r="J13559" s="124"/>
    </row>
    <row r="13560" spans="3:10" x14ac:dyDescent="0.2">
      <c r="C13560" s="209"/>
      <c r="D13560" s="209"/>
      <c r="E13560" s="209"/>
      <c r="J13560" s="124"/>
    </row>
    <row r="13561" spans="3:10" x14ac:dyDescent="0.2">
      <c r="C13561" s="209"/>
      <c r="D13561" s="209"/>
      <c r="E13561" s="209"/>
      <c r="J13561" s="124"/>
    </row>
    <row r="13562" spans="3:10" x14ac:dyDescent="0.2">
      <c r="C13562" s="209"/>
      <c r="D13562" s="209"/>
      <c r="E13562" s="209"/>
      <c r="J13562" s="124"/>
    </row>
    <row r="13563" spans="3:10" x14ac:dyDescent="0.2">
      <c r="C13563" s="209"/>
      <c r="D13563" s="209"/>
      <c r="E13563" s="209"/>
      <c r="J13563" s="124"/>
    </row>
    <row r="13564" spans="3:10" x14ac:dyDescent="0.2">
      <c r="C13564" s="209"/>
      <c r="D13564" s="209"/>
      <c r="E13564" s="209"/>
      <c r="J13564" s="124"/>
    </row>
    <row r="13565" spans="3:10" x14ac:dyDescent="0.2">
      <c r="C13565" s="209"/>
      <c r="D13565" s="209"/>
      <c r="E13565" s="209"/>
      <c r="J13565" s="124"/>
    </row>
    <row r="13566" spans="3:10" x14ac:dyDescent="0.2">
      <c r="C13566" s="209"/>
      <c r="D13566" s="209"/>
      <c r="E13566" s="209"/>
      <c r="J13566" s="124"/>
    </row>
    <row r="13567" spans="3:10" x14ac:dyDescent="0.2">
      <c r="C13567" s="209"/>
      <c r="D13567" s="209"/>
      <c r="E13567" s="209"/>
      <c r="J13567" s="124"/>
    </row>
    <row r="13568" spans="3:10" x14ac:dyDescent="0.2">
      <c r="C13568" s="209"/>
      <c r="D13568" s="209"/>
      <c r="E13568" s="209"/>
      <c r="J13568" s="124"/>
    </row>
    <row r="13569" spans="3:10" x14ac:dyDescent="0.2">
      <c r="C13569" s="209"/>
      <c r="D13569" s="209"/>
      <c r="E13569" s="209"/>
      <c r="J13569" s="124"/>
    </row>
    <row r="13570" spans="3:10" x14ac:dyDescent="0.2">
      <c r="C13570" s="209"/>
      <c r="D13570" s="209"/>
      <c r="E13570" s="209"/>
      <c r="J13570" s="124"/>
    </row>
    <row r="13571" spans="3:10" x14ac:dyDescent="0.2">
      <c r="C13571" s="209"/>
      <c r="D13571" s="209"/>
      <c r="E13571" s="209"/>
      <c r="J13571" s="124"/>
    </row>
    <row r="13572" spans="3:10" x14ac:dyDescent="0.2">
      <c r="C13572" s="209"/>
      <c r="D13572" s="209"/>
      <c r="E13572" s="209"/>
      <c r="J13572" s="124"/>
    </row>
    <row r="13573" spans="3:10" x14ac:dyDescent="0.2">
      <c r="C13573" s="209"/>
      <c r="D13573" s="209"/>
      <c r="E13573" s="209"/>
      <c r="J13573" s="124"/>
    </row>
    <row r="13574" spans="3:10" x14ac:dyDescent="0.2">
      <c r="C13574" s="209"/>
      <c r="D13574" s="209"/>
      <c r="E13574" s="209"/>
      <c r="J13574" s="124"/>
    </row>
    <row r="13575" spans="3:10" x14ac:dyDescent="0.2">
      <c r="C13575" s="209"/>
      <c r="D13575" s="209"/>
      <c r="E13575" s="209"/>
      <c r="J13575" s="124"/>
    </row>
    <row r="13576" spans="3:10" x14ac:dyDescent="0.2">
      <c r="C13576" s="209"/>
      <c r="D13576" s="209"/>
      <c r="E13576" s="209"/>
      <c r="J13576" s="124"/>
    </row>
    <row r="13577" spans="3:10" x14ac:dyDescent="0.2">
      <c r="C13577" s="209"/>
      <c r="D13577" s="209"/>
      <c r="E13577" s="209"/>
      <c r="J13577" s="124"/>
    </row>
    <row r="13578" spans="3:10" x14ac:dyDescent="0.2">
      <c r="C13578" s="209"/>
      <c r="D13578" s="209"/>
      <c r="E13578" s="209"/>
      <c r="J13578" s="124"/>
    </row>
    <row r="13579" spans="3:10" x14ac:dyDescent="0.2">
      <c r="C13579" s="209"/>
      <c r="D13579" s="209"/>
      <c r="E13579" s="209"/>
      <c r="J13579" s="124"/>
    </row>
    <row r="13580" spans="3:10" x14ac:dyDescent="0.2">
      <c r="C13580" s="209"/>
      <c r="D13580" s="209"/>
      <c r="E13580" s="209"/>
      <c r="J13580" s="124"/>
    </row>
    <row r="13581" spans="3:10" x14ac:dyDescent="0.2">
      <c r="C13581" s="209"/>
      <c r="D13581" s="209"/>
      <c r="E13581" s="209"/>
      <c r="J13581" s="124"/>
    </row>
    <row r="13582" spans="3:10" x14ac:dyDescent="0.2">
      <c r="C13582" s="209"/>
      <c r="D13582" s="209"/>
      <c r="E13582" s="209"/>
      <c r="J13582" s="124"/>
    </row>
    <row r="13583" spans="3:10" x14ac:dyDescent="0.2">
      <c r="C13583" s="209"/>
      <c r="D13583" s="209"/>
      <c r="E13583" s="209"/>
      <c r="J13583" s="124"/>
    </row>
    <row r="13584" spans="3:10" x14ac:dyDescent="0.2">
      <c r="C13584" s="209"/>
      <c r="D13584" s="209"/>
      <c r="E13584" s="209"/>
      <c r="J13584" s="124"/>
    </row>
    <row r="13585" spans="3:10" x14ac:dyDescent="0.2">
      <c r="C13585" s="209"/>
      <c r="D13585" s="209"/>
      <c r="E13585" s="209"/>
      <c r="J13585" s="124"/>
    </row>
    <row r="13586" spans="3:10" x14ac:dyDescent="0.2">
      <c r="C13586" s="209"/>
      <c r="D13586" s="209"/>
      <c r="E13586" s="209"/>
      <c r="J13586" s="124"/>
    </row>
    <row r="13587" spans="3:10" x14ac:dyDescent="0.2">
      <c r="C13587" s="209"/>
      <c r="D13587" s="209"/>
      <c r="E13587" s="209"/>
      <c r="J13587" s="124"/>
    </row>
    <row r="13588" spans="3:10" x14ac:dyDescent="0.2">
      <c r="C13588" s="209"/>
      <c r="D13588" s="209"/>
      <c r="E13588" s="209"/>
      <c r="J13588" s="124"/>
    </row>
    <row r="13589" spans="3:10" x14ac:dyDescent="0.2">
      <c r="C13589" s="209"/>
      <c r="D13589" s="209"/>
      <c r="E13589" s="209"/>
      <c r="J13589" s="124"/>
    </row>
    <row r="13590" spans="3:10" x14ac:dyDescent="0.2">
      <c r="C13590" s="209"/>
      <c r="D13590" s="209"/>
      <c r="E13590" s="209"/>
      <c r="J13590" s="124"/>
    </row>
    <row r="13591" spans="3:10" x14ac:dyDescent="0.2">
      <c r="C13591" s="209"/>
      <c r="D13591" s="209"/>
      <c r="E13591" s="209"/>
      <c r="J13591" s="124"/>
    </row>
    <row r="13592" spans="3:10" x14ac:dyDescent="0.2">
      <c r="C13592" s="209"/>
      <c r="D13592" s="209"/>
      <c r="E13592" s="209"/>
      <c r="J13592" s="124"/>
    </row>
    <row r="13593" spans="3:10" x14ac:dyDescent="0.2">
      <c r="C13593" s="209"/>
      <c r="D13593" s="209"/>
      <c r="E13593" s="209"/>
      <c r="J13593" s="124"/>
    </row>
    <row r="13594" spans="3:10" x14ac:dyDescent="0.2">
      <c r="C13594" s="209"/>
      <c r="D13594" s="209"/>
      <c r="E13594" s="209"/>
      <c r="J13594" s="124"/>
    </row>
    <row r="13595" spans="3:10" x14ac:dyDescent="0.2">
      <c r="C13595" s="209"/>
      <c r="D13595" s="209"/>
      <c r="E13595" s="209"/>
      <c r="J13595" s="124"/>
    </row>
    <row r="13596" spans="3:10" x14ac:dyDescent="0.2">
      <c r="C13596" s="209"/>
      <c r="D13596" s="209"/>
      <c r="E13596" s="209"/>
      <c r="J13596" s="124"/>
    </row>
    <row r="13597" spans="3:10" x14ac:dyDescent="0.2">
      <c r="C13597" s="209"/>
      <c r="D13597" s="209"/>
      <c r="E13597" s="209"/>
      <c r="J13597" s="124"/>
    </row>
    <row r="13598" spans="3:10" x14ac:dyDescent="0.2">
      <c r="C13598" s="209"/>
      <c r="D13598" s="209"/>
      <c r="E13598" s="209"/>
      <c r="J13598" s="124"/>
    </row>
    <row r="13599" spans="3:10" x14ac:dyDescent="0.2">
      <c r="C13599" s="209"/>
      <c r="D13599" s="209"/>
      <c r="E13599" s="209"/>
      <c r="J13599" s="124"/>
    </row>
    <row r="13600" spans="3:10" x14ac:dyDescent="0.2">
      <c r="C13600" s="209"/>
      <c r="D13600" s="209"/>
      <c r="E13600" s="209"/>
      <c r="J13600" s="124"/>
    </row>
    <row r="13601" spans="3:10" x14ac:dyDescent="0.2">
      <c r="C13601" s="209"/>
      <c r="D13601" s="209"/>
      <c r="E13601" s="209"/>
      <c r="J13601" s="124"/>
    </row>
    <row r="13602" spans="3:10" x14ac:dyDescent="0.2">
      <c r="C13602" s="209"/>
      <c r="D13602" s="209"/>
      <c r="E13602" s="209"/>
      <c r="J13602" s="124"/>
    </row>
    <row r="13603" spans="3:10" x14ac:dyDescent="0.2">
      <c r="C13603" s="209"/>
      <c r="D13603" s="209"/>
      <c r="E13603" s="209"/>
      <c r="J13603" s="124"/>
    </row>
    <row r="13604" spans="3:10" x14ac:dyDescent="0.2">
      <c r="C13604" s="209"/>
      <c r="D13604" s="209"/>
      <c r="E13604" s="209"/>
      <c r="J13604" s="124"/>
    </row>
    <row r="13605" spans="3:10" x14ac:dyDescent="0.2">
      <c r="C13605" s="209"/>
      <c r="D13605" s="209"/>
      <c r="E13605" s="209"/>
      <c r="J13605" s="124"/>
    </row>
    <row r="13606" spans="3:10" x14ac:dyDescent="0.2">
      <c r="C13606" s="209"/>
      <c r="D13606" s="209"/>
      <c r="E13606" s="209"/>
      <c r="J13606" s="124"/>
    </row>
    <row r="13607" spans="3:10" x14ac:dyDescent="0.2">
      <c r="C13607" s="209"/>
      <c r="D13607" s="209"/>
      <c r="E13607" s="209"/>
      <c r="J13607" s="124"/>
    </row>
    <row r="13608" spans="3:10" x14ac:dyDescent="0.2">
      <c r="C13608" s="209"/>
      <c r="D13608" s="209"/>
      <c r="E13608" s="209"/>
      <c r="J13608" s="124"/>
    </row>
    <row r="13609" spans="3:10" x14ac:dyDescent="0.2">
      <c r="C13609" s="209"/>
      <c r="D13609" s="209"/>
      <c r="E13609" s="209"/>
      <c r="J13609" s="124"/>
    </row>
    <row r="13610" spans="3:10" x14ac:dyDescent="0.2">
      <c r="C13610" s="209"/>
      <c r="D13610" s="209"/>
      <c r="E13610" s="209"/>
      <c r="J13610" s="124"/>
    </row>
    <row r="13611" spans="3:10" x14ac:dyDescent="0.2">
      <c r="C13611" s="209"/>
      <c r="D13611" s="209"/>
      <c r="E13611" s="209"/>
      <c r="J13611" s="124"/>
    </row>
    <row r="13612" spans="3:10" x14ac:dyDescent="0.2">
      <c r="C13612" s="209"/>
      <c r="D13612" s="209"/>
      <c r="E13612" s="209"/>
      <c r="J13612" s="124"/>
    </row>
    <row r="13613" spans="3:10" x14ac:dyDescent="0.2">
      <c r="C13613" s="209"/>
      <c r="D13613" s="209"/>
      <c r="E13613" s="209"/>
      <c r="J13613" s="124"/>
    </row>
    <row r="13614" spans="3:10" x14ac:dyDescent="0.2">
      <c r="C13614" s="209"/>
      <c r="D13614" s="209"/>
      <c r="E13614" s="209"/>
      <c r="J13614" s="124"/>
    </row>
    <row r="13615" spans="3:10" x14ac:dyDescent="0.2">
      <c r="C13615" s="209"/>
      <c r="D13615" s="209"/>
      <c r="E13615" s="209"/>
      <c r="J13615" s="124"/>
    </row>
    <row r="13616" spans="3:10" x14ac:dyDescent="0.2">
      <c r="C13616" s="209"/>
      <c r="D13616" s="209"/>
      <c r="E13616" s="209"/>
      <c r="J13616" s="124"/>
    </row>
    <row r="13617" spans="3:10" x14ac:dyDescent="0.2">
      <c r="C13617" s="209"/>
      <c r="D13617" s="209"/>
      <c r="E13617" s="209"/>
      <c r="J13617" s="124"/>
    </row>
    <row r="13618" spans="3:10" x14ac:dyDescent="0.2">
      <c r="C13618" s="209"/>
      <c r="D13618" s="209"/>
      <c r="E13618" s="209"/>
      <c r="J13618" s="124"/>
    </row>
    <row r="13619" spans="3:10" x14ac:dyDescent="0.2">
      <c r="C13619" s="209"/>
      <c r="D13619" s="209"/>
      <c r="E13619" s="209"/>
      <c r="J13619" s="124"/>
    </row>
    <row r="13620" spans="3:10" x14ac:dyDescent="0.2">
      <c r="C13620" s="209"/>
      <c r="D13620" s="209"/>
      <c r="E13620" s="209"/>
      <c r="J13620" s="124"/>
    </row>
    <row r="13621" spans="3:10" x14ac:dyDescent="0.2">
      <c r="C13621" s="209"/>
      <c r="D13621" s="209"/>
      <c r="E13621" s="209"/>
      <c r="J13621" s="124"/>
    </row>
    <row r="13622" spans="3:10" x14ac:dyDescent="0.2">
      <c r="C13622" s="209"/>
      <c r="D13622" s="209"/>
      <c r="E13622" s="209"/>
      <c r="J13622" s="124"/>
    </row>
    <row r="13623" spans="3:10" x14ac:dyDescent="0.2">
      <c r="C13623" s="209"/>
      <c r="D13623" s="209"/>
      <c r="E13623" s="209"/>
      <c r="J13623" s="124"/>
    </row>
    <row r="13624" spans="3:10" x14ac:dyDescent="0.2">
      <c r="C13624" s="209"/>
      <c r="D13624" s="209"/>
      <c r="E13624" s="209"/>
      <c r="J13624" s="124"/>
    </row>
    <row r="13625" spans="3:10" x14ac:dyDescent="0.2">
      <c r="C13625" s="209"/>
      <c r="D13625" s="209"/>
      <c r="E13625" s="209"/>
      <c r="J13625" s="124"/>
    </row>
    <row r="13626" spans="3:10" x14ac:dyDescent="0.2">
      <c r="C13626" s="209"/>
      <c r="D13626" s="209"/>
      <c r="E13626" s="209"/>
      <c r="J13626" s="124"/>
    </row>
    <row r="13627" spans="3:10" x14ac:dyDescent="0.2">
      <c r="C13627" s="209"/>
      <c r="D13627" s="209"/>
      <c r="E13627" s="209"/>
      <c r="J13627" s="124"/>
    </row>
    <row r="13628" spans="3:10" x14ac:dyDescent="0.2">
      <c r="C13628" s="209"/>
      <c r="D13628" s="209"/>
      <c r="E13628" s="209"/>
      <c r="J13628" s="124"/>
    </row>
    <row r="13629" spans="3:10" x14ac:dyDescent="0.2">
      <c r="C13629" s="209"/>
      <c r="D13629" s="209"/>
      <c r="E13629" s="209"/>
      <c r="J13629" s="124"/>
    </row>
    <row r="13630" spans="3:10" x14ac:dyDescent="0.2">
      <c r="C13630" s="209"/>
      <c r="D13630" s="209"/>
      <c r="E13630" s="209"/>
      <c r="J13630" s="124"/>
    </row>
    <row r="13631" spans="3:10" x14ac:dyDescent="0.2">
      <c r="C13631" s="209"/>
      <c r="D13631" s="209"/>
      <c r="E13631" s="209"/>
      <c r="J13631" s="124"/>
    </row>
    <row r="13632" spans="3:10" x14ac:dyDescent="0.2">
      <c r="C13632" s="209"/>
      <c r="D13632" s="209"/>
      <c r="E13632" s="209"/>
      <c r="J13632" s="124"/>
    </row>
    <row r="13633" spans="3:10" x14ac:dyDescent="0.2">
      <c r="C13633" s="209"/>
      <c r="D13633" s="209"/>
      <c r="E13633" s="209"/>
      <c r="J13633" s="124"/>
    </row>
    <row r="13634" spans="3:10" x14ac:dyDescent="0.2">
      <c r="C13634" s="209"/>
      <c r="D13634" s="209"/>
      <c r="E13634" s="209"/>
      <c r="J13634" s="124"/>
    </row>
    <row r="13635" spans="3:10" x14ac:dyDescent="0.2">
      <c r="C13635" s="209"/>
      <c r="D13635" s="209"/>
      <c r="E13635" s="209"/>
      <c r="J13635" s="124"/>
    </row>
    <row r="13636" spans="3:10" x14ac:dyDescent="0.2">
      <c r="C13636" s="209"/>
      <c r="D13636" s="209"/>
      <c r="E13636" s="209"/>
      <c r="J13636" s="124"/>
    </row>
    <row r="13637" spans="3:10" x14ac:dyDescent="0.2">
      <c r="C13637" s="209"/>
      <c r="D13637" s="209"/>
      <c r="E13637" s="209"/>
      <c r="J13637" s="124"/>
    </row>
    <row r="13638" spans="3:10" x14ac:dyDescent="0.2">
      <c r="C13638" s="209"/>
      <c r="D13638" s="209"/>
      <c r="E13638" s="209"/>
      <c r="J13638" s="124"/>
    </row>
    <row r="13639" spans="3:10" x14ac:dyDescent="0.2">
      <c r="C13639" s="209"/>
      <c r="D13639" s="209"/>
      <c r="E13639" s="209"/>
      <c r="J13639" s="124"/>
    </row>
    <row r="13640" spans="3:10" x14ac:dyDescent="0.2">
      <c r="C13640" s="209"/>
      <c r="D13640" s="209"/>
      <c r="E13640" s="209"/>
      <c r="J13640" s="124"/>
    </row>
    <row r="13641" spans="3:10" x14ac:dyDescent="0.2">
      <c r="C13641" s="209"/>
      <c r="D13641" s="209"/>
      <c r="E13641" s="209"/>
      <c r="J13641" s="124"/>
    </row>
    <row r="13642" spans="3:10" x14ac:dyDescent="0.2">
      <c r="C13642" s="209"/>
      <c r="D13642" s="209"/>
      <c r="E13642" s="209"/>
      <c r="J13642" s="124"/>
    </row>
    <row r="13643" spans="3:10" x14ac:dyDescent="0.2">
      <c r="C13643" s="209"/>
      <c r="D13643" s="209"/>
      <c r="E13643" s="209"/>
      <c r="J13643" s="124"/>
    </row>
    <row r="13644" spans="3:10" x14ac:dyDescent="0.2">
      <c r="C13644" s="209"/>
      <c r="D13644" s="209"/>
      <c r="E13644" s="209"/>
      <c r="J13644" s="124"/>
    </row>
    <row r="13645" spans="3:10" x14ac:dyDescent="0.2">
      <c r="C13645" s="209"/>
      <c r="D13645" s="209"/>
      <c r="E13645" s="209"/>
      <c r="J13645" s="124"/>
    </row>
    <row r="13646" spans="3:10" x14ac:dyDescent="0.2">
      <c r="C13646" s="209"/>
      <c r="D13646" s="209"/>
      <c r="E13646" s="209"/>
      <c r="J13646" s="124"/>
    </row>
    <row r="13647" spans="3:10" x14ac:dyDescent="0.2">
      <c r="C13647" s="209"/>
      <c r="D13647" s="209"/>
      <c r="E13647" s="209"/>
      <c r="J13647" s="124"/>
    </row>
    <row r="13648" spans="3:10" x14ac:dyDescent="0.2">
      <c r="C13648" s="209"/>
      <c r="D13648" s="209"/>
      <c r="E13648" s="209"/>
      <c r="J13648" s="124"/>
    </row>
    <row r="13649" spans="3:10" x14ac:dyDescent="0.2">
      <c r="C13649" s="209"/>
      <c r="D13649" s="209"/>
      <c r="E13649" s="209"/>
      <c r="J13649" s="124"/>
    </row>
    <row r="13650" spans="3:10" x14ac:dyDescent="0.2">
      <c r="C13650" s="209"/>
      <c r="D13650" s="209"/>
      <c r="E13650" s="209"/>
      <c r="J13650" s="124"/>
    </row>
    <row r="13651" spans="3:10" x14ac:dyDescent="0.2">
      <c r="C13651" s="209"/>
      <c r="D13651" s="209"/>
      <c r="E13651" s="209"/>
      <c r="J13651" s="124"/>
    </row>
    <row r="13652" spans="3:10" x14ac:dyDescent="0.2">
      <c r="C13652" s="209"/>
      <c r="D13652" s="209"/>
      <c r="E13652" s="209"/>
      <c r="J13652" s="124"/>
    </row>
    <row r="13653" spans="3:10" x14ac:dyDescent="0.2">
      <c r="C13653" s="209"/>
      <c r="D13653" s="209"/>
      <c r="E13653" s="209"/>
      <c r="J13653" s="124"/>
    </row>
    <row r="13654" spans="3:10" x14ac:dyDescent="0.2">
      <c r="C13654" s="209"/>
      <c r="D13654" s="209"/>
      <c r="E13654" s="209"/>
      <c r="J13654" s="124"/>
    </row>
    <row r="13655" spans="3:10" x14ac:dyDescent="0.2">
      <c r="C13655" s="209"/>
      <c r="D13655" s="209"/>
      <c r="E13655" s="209"/>
      <c r="J13655" s="124"/>
    </row>
    <row r="13656" spans="3:10" x14ac:dyDescent="0.2">
      <c r="C13656" s="209"/>
      <c r="D13656" s="209"/>
      <c r="E13656" s="209"/>
      <c r="J13656" s="124"/>
    </row>
    <row r="13657" spans="3:10" x14ac:dyDescent="0.2">
      <c r="C13657" s="209"/>
      <c r="D13657" s="209"/>
      <c r="E13657" s="209"/>
      <c r="J13657" s="124"/>
    </row>
    <row r="13658" spans="3:10" x14ac:dyDescent="0.2">
      <c r="C13658" s="209"/>
      <c r="D13658" s="209"/>
      <c r="E13658" s="209"/>
      <c r="J13658" s="124"/>
    </row>
    <row r="13659" spans="3:10" x14ac:dyDescent="0.2">
      <c r="C13659" s="209"/>
      <c r="D13659" s="209"/>
      <c r="E13659" s="209"/>
      <c r="J13659" s="124"/>
    </row>
    <row r="13660" spans="3:10" x14ac:dyDescent="0.2">
      <c r="C13660" s="209"/>
      <c r="D13660" s="209"/>
      <c r="E13660" s="209"/>
      <c r="J13660" s="124"/>
    </row>
    <row r="13661" spans="3:10" x14ac:dyDescent="0.2">
      <c r="C13661" s="209"/>
      <c r="D13661" s="209"/>
      <c r="E13661" s="209"/>
      <c r="J13661" s="124"/>
    </row>
    <row r="13662" spans="3:10" x14ac:dyDescent="0.2">
      <c r="C13662" s="209"/>
      <c r="D13662" s="209"/>
      <c r="E13662" s="209"/>
      <c r="J13662" s="124"/>
    </row>
    <row r="13663" spans="3:10" x14ac:dyDescent="0.2">
      <c r="C13663" s="209"/>
      <c r="D13663" s="209"/>
      <c r="E13663" s="209"/>
      <c r="J13663" s="124"/>
    </row>
    <row r="13664" spans="3:10" x14ac:dyDescent="0.2">
      <c r="C13664" s="209"/>
      <c r="D13664" s="209"/>
      <c r="E13664" s="209"/>
      <c r="J13664" s="124"/>
    </row>
    <row r="13665" spans="3:10" x14ac:dyDescent="0.2">
      <c r="C13665" s="209"/>
      <c r="D13665" s="209"/>
      <c r="E13665" s="209"/>
      <c r="J13665" s="124"/>
    </row>
    <row r="13666" spans="3:10" x14ac:dyDescent="0.2">
      <c r="C13666" s="209"/>
      <c r="D13666" s="209"/>
      <c r="E13666" s="209"/>
      <c r="J13666" s="124"/>
    </row>
    <row r="13667" spans="3:10" x14ac:dyDescent="0.2">
      <c r="C13667" s="209"/>
      <c r="D13667" s="209"/>
      <c r="E13667" s="209"/>
      <c r="J13667" s="124"/>
    </row>
    <row r="13668" spans="3:10" x14ac:dyDescent="0.2">
      <c r="C13668" s="209"/>
      <c r="D13668" s="209"/>
      <c r="E13668" s="209"/>
      <c r="J13668" s="124"/>
    </row>
    <row r="13669" spans="3:10" x14ac:dyDescent="0.2">
      <c r="C13669" s="209"/>
      <c r="D13669" s="209"/>
      <c r="E13669" s="209"/>
      <c r="J13669" s="124"/>
    </row>
    <row r="13670" spans="3:10" x14ac:dyDescent="0.2">
      <c r="C13670" s="209"/>
      <c r="D13670" s="209"/>
      <c r="E13670" s="209"/>
      <c r="J13670" s="124"/>
    </row>
    <row r="13671" spans="3:10" x14ac:dyDescent="0.2">
      <c r="C13671" s="209"/>
      <c r="D13671" s="209"/>
      <c r="E13671" s="209"/>
      <c r="J13671" s="124"/>
    </row>
    <row r="13672" spans="3:10" x14ac:dyDescent="0.2">
      <c r="C13672" s="209"/>
      <c r="D13672" s="209"/>
      <c r="E13672" s="209"/>
      <c r="J13672" s="124"/>
    </row>
    <row r="13673" spans="3:10" x14ac:dyDescent="0.2">
      <c r="C13673" s="209"/>
      <c r="D13673" s="209"/>
      <c r="E13673" s="209"/>
      <c r="J13673" s="124"/>
    </row>
    <row r="13674" spans="3:10" x14ac:dyDescent="0.2">
      <c r="C13674" s="209"/>
      <c r="D13674" s="209"/>
      <c r="E13674" s="209"/>
      <c r="J13674" s="124"/>
    </row>
    <row r="13675" spans="3:10" x14ac:dyDescent="0.2">
      <c r="C13675" s="209"/>
      <c r="D13675" s="209"/>
      <c r="E13675" s="209"/>
      <c r="J13675" s="124"/>
    </row>
    <row r="13676" spans="3:10" x14ac:dyDescent="0.2">
      <c r="C13676" s="209"/>
      <c r="D13676" s="209"/>
      <c r="E13676" s="209"/>
      <c r="J13676" s="124"/>
    </row>
    <row r="13677" spans="3:10" x14ac:dyDescent="0.2">
      <c r="C13677" s="209"/>
      <c r="D13677" s="209"/>
      <c r="E13677" s="209"/>
      <c r="J13677" s="124"/>
    </row>
    <row r="13678" spans="3:10" x14ac:dyDescent="0.2">
      <c r="C13678" s="209"/>
      <c r="D13678" s="209"/>
      <c r="E13678" s="209"/>
      <c r="J13678" s="124"/>
    </row>
    <row r="13679" spans="3:10" x14ac:dyDescent="0.2">
      <c r="C13679" s="209"/>
      <c r="D13679" s="209"/>
      <c r="E13679" s="209"/>
      <c r="J13679" s="124"/>
    </row>
    <row r="13680" spans="3:10" x14ac:dyDescent="0.2">
      <c r="C13680" s="209"/>
      <c r="D13680" s="209"/>
      <c r="E13680" s="209"/>
      <c r="J13680" s="124"/>
    </row>
    <row r="13681" spans="3:10" x14ac:dyDescent="0.2">
      <c r="C13681" s="209"/>
      <c r="D13681" s="209"/>
      <c r="E13681" s="209"/>
      <c r="J13681" s="124"/>
    </row>
    <row r="13682" spans="3:10" x14ac:dyDescent="0.2">
      <c r="C13682" s="209"/>
      <c r="D13682" s="209"/>
      <c r="E13682" s="209"/>
      <c r="J13682" s="124"/>
    </row>
    <row r="13683" spans="3:10" x14ac:dyDescent="0.2">
      <c r="C13683" s="209"/>
      <c r="D13683" s="209"/>
      <c r="E13683" s="209"/>
      <c r="J13683" s="124"/>
    </row>
    <row r="13684" spans="3:10" x14ac:dyDescent="0.2">
      <c r="C13684" s="209"/>
      <c r="D13684" s="209"/>
      <c r="E13684" s="209"/>
      <c r="J13684" s="124"/>
    </row>
    <row r="13685" spans="3:10" x14ac:dyDescent="0.2">
      <c r="C13685" s="209"/>
      <c r="D13685" s="209"/>
      <c r="E13685" s="209"/>
      <c r="J13685" s="124"/>
    </row>
    <row r="13686" spans="3:10" x14ac:dyDescent="0.2">
      <c r="C13686" s="209"/>
      <c r="D13686" s="209"/>
      <c r="E13686" s="209"/>
      <c r="J13686" s="124"/>
    </row>
    <row r="13687" spans="3:10" x14ac:dyDescent="0.2">
      <c r="C13687" s="209"/>
      <c r="D13687" s="209"/>
      <c r="E13687" s="209"/>
      <c r="J13687" s="124"/>
    </row>
    <row r="13688" spans="3:10" x14ac:dyDescent="0.2">
      <c r="C13688" s="209"/>
      <c r="D13688" s="209"/>
      <c r="E13688" s="209"/>
      <c r="J13688" s="124"/>
    </row>
    <row r="13689" spans="3:10" x14ac:dyDescent="0.2">
      <c r="C13689" s="209"/>
      <c r="D13689" s="209"/>
      <c r="E13689" s="209"/>
      <c r="J13689" s="124"/>
    </row>
    <row r="13690" spans="3:10" x14ac:dyDescent="0.2">
      <c r="C13690" s="209"/>
      <c r="D13690" s="209"/>
      <c r="E13690" s="209"/>
      <c r="J13690" s="124"/>
    </row>
    <row r="13691" spans="3:10" x14ac:dyDescent="0.2">
      <c r="C13691" s="209"/>
      <c r="D13691" s="209"/>
      <c r="E13691" s="209"/>
      <c r="J13691" s="124"/>
    </row>
    <row r="13692" spans="3:10" x14ac:dyDescent="0.2">
      <c r="C13692" s="209"/>
      <c r="D13692" s="209"/>
      <c r="E13692" s="209"/>
      <c r="J13692" s="124"/>
    </row>
    <row r="13693" spans="3:10" x14ac:dyDescent="0.2">
      <c r="C13693" s="209"/>
      <c r="D13693" s="209"/>
      <c r="E13693" s="209"/>
      <c r="J13693" s="124"/>
    </row>
    <row r="13694" spans="3:10" x14ac:dyDescent="0.2">
      <c r="C13694" s="209"/>
      <c r="D13694" s="209"/>
      <c r="E13694" s="209"/>
      <c r="J13694" s="124"/>
    </row>
    <row r="13695" spans="3:10" x14ac:dyDescent="0.2">
      <c r="C13695" s="209"/>
      <c r="D13695" s="209"/>
      <c r="E13695" s="209"/>
      <c r="J13695" s="124"/>
    </row>
    <row r="13696" spans="3:10" x14ac:dyDescent="0.2">
      <c r="C13696" s="209"/>
      <c r="D13696" s="209"/>
      <c r="E13696" s="209"/>
      <c r="J13696" s="124"/>
    </row>
    <row r="13697" spans="3:10" x14ac:dyDescent="0.2">
      <c r="C13697" s="209"/>
      <c r="D13697" s="209"/>
      <c r="E13697" s="209"/>
      <c r="J13697" s="124"/>
    </row>
    <row r="13698" spans="3:10" x14ac:dyDescent="0.2">
      <c r="C13698" s="209"/>
      <c r="D13698" s="209"/>
      <c r="E13698" s="209"/>
      <c r="J13698" s="124"/>
    </row>
    <row r="13699" spans="3:10" x14ac:dyDescent="0.2">
      <c r="C13699" s="209"/>
      <c r="D13699" s="209"/>
      <c r="E13699" s="209"/>
      <c r="J13699" s="124"/>
    </row>
    <row r="13700" spans="3:10" x14ac:dyDescent="0.2">
      <c r="C13700" s="209"/>
      <c r="D13700" s="209"/>
      <c r="E13700" s="209"/>
      <c r="J13700" s="124"/>
    </row>
    <row r="13701" spans="3:10" x14ac:dyDescent="0.2">
      <c r="C13701" s="209"/>
      <c r="D13701" s="209"/>
      <c r="E13701" s="209"/>
      <c r="J13701" s="124"/>
    </row>
    <row r="13702" spans="3:10" x14ac:dyDescent="0.2">
      <c r="C13702" s="209"/>
      <c r="D13702" s="209"/>
      <c r="E13702" s="209"/>
      <c r="J13702" s="124"/>
    </row>
    <row r="13703" spans="3:10" x14ac:dyDescent="0.2">
      <c r="C13703" s="209"/>
      <c r="D13703" s="209"/>
      <c r="E13703" s="209"/>
      <c r="J13703" s="124"/>
    </row>
    <row r="13704" spans="3:10" x14ac:dyDescent="0.2">
      <c r="C13704" s="209"/>
      <c r="D13704" s="209"/>
      <c r="E13704" s="209"/>
      <c r="J13704" s="124"/>
    </row>
    <row r="13705" spans="3:10" x14ac:dyDescent="0.2">
      <c r="C13705" s="209"/>
      <c r="D13705" s="209"/>
      <c r="E13705" s="209"/>
      <c r="J13705" s="124"/>
    </row>
    <row r="13706" spans="3:10" x14ac:dyDescent="0.2">
      <c r="C13706" s="209"/>
      <c r="D13706" s="209"/>
      <c r="E13706" s="209"/>
      <c r="J13706" s="124"/>
    </row>
    <row r="13707" spans="3:10" x14ac:dyDescent="0.2">
      <c r="C13707" s="209"/>
      <c r="D13707" s="209"/>
      <c r="E13707" s="209"/>
      <c r="J13707" s="124"/>
    </row>
    <row r="13708" spans="3:10" x14ac:dyDescent="0.2">
      <c r="C13708" s="209"/>
      <c r="D13708" s="209"/>
      <c r="E13708" s="209"/>
      <c r="J13708" s="124"/>
    </row>
    <row r="13709" spans="3:10" x14ac:dyDescent="0.2">
      <c r="C13709" s="209"/>
      <c r="D13709" s="209"/>
      <c r="E13709" s="209"/>
      <c r="J13709" s="124"/>
    </row>
    <row r="13710" spans="3:10" x14ac:dyDescent="0.2">
      <c r="C13710" s="209"/>
      <c r="D13710" s="209"/>
      <c r="E13710" s="209"/>
      <c r="J13710" s="124"/>
    </row>
    <row r="13711" spans="3:10" x14ac:dyDescent="0.2">
      <c r="C13711" s="209"/>
      <c r="D13711" s="209"/>
      <c r="E13711" s="209"/>
      <c r="J13711" s="124"/>
    </row>
    <row r="13712" spans="3:10" x14ac:dyDescent="0.2">
      <c r="C13712" s="209"/>
      <c r="D13712" s="209"/>
      <c r="E13712" s="209"/>
      <c r="J13712" s="124"/>
    </row>
    <row r="13713" spans="3:10" x14ac:dyDescent="0.2">
      <c r="C13713" s="209"/>
      <c r="D13713" s="209"/>
      <c r="E13713" s="209"/>
      <c r="J13713" s="124"/>
    </row>
    <row r="13714" spans="3:10" x14ac:dyDescent="0.2">
      <c r="C13714" s="209"/>
      <c r="D13714" s="209"/>
      <c r="E13714" s="209"/>
      <c r="J13714" s="124"/>
    </row>
    <row r="13715" spans="3:10" x14ac:dyDescent="0.2">
      <c r="C13715" s="209"/>
      <c r="D13715" s="209"/>
      <c r="E13715" s="209"/>
      <c r="J13715" s="124"/>
    </row>
    <row r="13716" spans="3:10" x14ac:dyDescent="0.2">
      <c r="C13716" s="209"/>
      <c r="D13716" s="209"/>
      <c r="E13716" s="209"/>
      <c r="J13716" s="124"/>
    </row>
    <row r="13717" spans="3:10" x14ac:dyDescent="0.2">
      <c r="C13717" s="209"/>
      <c r="D13717" s="209"/>
      <c r="E13717" s="209"/>
      <c r="J13717" s="124"/>
    </row>
    <row r="13718" spans="3:10" x14ac:dyDescent="0.2">
      <c r="C13718" s="209"/>
      <c r="D13718" s="209"/>
      <c r="E13718" s="209"/>
      <c r="J13718" s="124"/>
    </row>
    <row r="13719" spans="3:10" x14ac:dyDescent="0.2">
      <c r="C13719" s="209"/>
      <c r="D13719" s="209"/>
      <c r="E13719" s="209"/>
      <c r="J13719" s="124"/>
    </row>
    <row r="13720" spans="3:10" x14ac:dyDescent="0.2">
      <c r="C13720" s="209"/>
      <c r="D13720" s="209"/>
      <c r="E13720" s="209"/>
      <c r="J13720" s="124"/>
    </row>
    <row r="13721" spans="3:10" x14ac:dyDescent="0.2">
      <c r="C13721" s="209"/>
      <c r="D13721" s="209"/>
      <c r="E13721" s="209"/>
      <c r="J13721" s="124"/>
    </row>
    <row r="13722" spans="3:10" x14ac:dyDescent="0.2">
      <c r="C13722" s="209"/>
      <c r="D13722" s="209"/>
      <c r="E13722" s="209"/>
      <c r="J13722" s="124"/>
    </row>
    <row r="13723" spans="3:10" x14ac:dyDescent="0.2">
      <c r="C13723" s="209"/>
      <c r="D13723" s="209"/>
      <c r="E13723" s="209"/>
      <c r="J13723" s="124"/>
    </row>
    <row r="13724" spans="3:10" x14ac:dyDescent="0.2">
      <c r="C13724" s="209"/>
      <c r="D13724" s="209"/>
      <c r="E13724" s="209"/>
      <c r="J13724" s="124"/>
    </row>
    <row r="13725" spans="3:10" x14ac:dyDescent="0.2">
      <c r="C13725" s="209"/>
      <c r="D13725" s="209"/>
      <c r="E13725" s="209"/>
      <c r="J13725" s="124"/>
    </row>
    <row r="13726" spans="3:10" x14ac:dyDescent="0.2">
      <c r="C13726" s="209"/>
      <c r="D13726" s="209"/>
      <c r="E13726" s="209"/>
      <c r="J13726" s="124"/>
    </row>
    <row r="13727" spans="3:10" x14ac:dyDescent="0.2">
      <c r="C13727" s="209"/>
      <c r="D13727" s="209"/>
      <c r="E13727" s="209"/>
      <c r="J13727" s="124"/>
    </row>
    <row r="13728" spans="3:10" x14ac:dyDescent="0.2">
      <c r="C13728" s="209"/>
      <c r="D13728" s="209"/>
      <c r="E13728" s="209"/>
      <c r="J13728" s="124"/>
    </row>
    <row r="13729" spans="3:10" x14ac:dyDescent="0.2">
      <c r="C13729" s="209"/>
      <c r="D13729" s="209"/>
      <c r="E13729" s="209"/>
      <c r="J13729" s="124"/>
    </row>
    <row r="13730" spans="3:10" x14ac:dyDescent="0.2">
      <c r="C13730" s="209"/>
      <c r="D13730" s="209"/>
      <c r="E13730" s="209"/>
      <c r="J13730" s="124"/>
    </row>
    <row r="13731" spans="3:10" x14ac:dyDescent="0.2">
      <c r="C13731" s="209"/>
      <c r="D13731" s="209"/>
      <c r="E13731" s="209"/>
      <c r="J13731" s="124"/>
    </row>
    <row r="13732" spans="3:10" x14ac:dyDescent="0.2">
      <c r="C13732" s="209"/>
      <c r="D13732" s="209"/>
      <c r="E13732" s="209"/>
      <c r="J13732" s="124"/>
    </row>
    <row r="13733" spans="3:10" x14ac:dyDescent="0.2">
      <c r="C13733" s="209"/>
      <c r="D13733" s="209"/>
      <c r="E13733" s="209"/>
      <c r="J13733" s="124"/>
    </row>
    <row r="13734" spans="3:10" x14ac:dyDescent="0.2">
      <c r="C13734" s="209"/>
      <c r="D13734" s="209"/>
      <c r="E13734" s="209"/>
      <c r="J13734" s="124"/>
    </row>
    <row r="13735" spans="3:10" x14ac:dyDescent="0.2">
      <c r="C13735" s="209"/>
      <c r="D13735" s="209"/>
      <c r="E13735" s="209"/>
      <c r="J13735" s="124"/>
    </row>
    <row r="13736" spans="3:10" x14ac:dyDescent="0.2">
      <c r="C13736" s="209"/>
      <c r="D13736" s="209"/>
      <c r="E13736" s="209"/>
      <c r="J13736" s="124"/>
    </row>
    <row r="13737" spans="3:10" x14ac:dyDescent="0.2">
      <c r="C13737" s="209"/>
      <c r="D13737" s="209"/>
      <c r="E13737" s="209"/>
      <c r="J13737" s="124"/>
    </row>
    <row r="13738" spans="3:10" x14ac:dyDescent="0.2">
      <c r="C13738" s="209"/>
      <c r="D13738" s="209"/>
      <c r="E13738" s="209"/>
      <c r="J13738" s="124"/>
    </row>
    <row r="13739" spans="3:10" x14ac:dyDescent="0.2">
      <c r="C13739" s="209"/>
      <c r="D13739" s="209"/>
      <c r="E13739" s="209"/>
      <c r="J13739" s="124"/>
    </row>
    <row r="13740" spans="3:10" x14ac:dyDescent="0.2">
      <c r="C13740" s="209"/>
      <c r="D13740" s="209"/>
      <c r="E13740" s="209"/>
      <c r="J13740" s="124"/>
    </row>
    <row r="13741" spans="3:10" x14ac:dyDescent="0.2">
      <c r="C13741" s="209"/>
      <c r="D13741" s="209"/>
      <c r="E13741" s="209"/>
      <c r="J13741" s="124"/>
    </row>
    <row r="13742" spans="3:10" x14ac:dyDescent="0.2">
      <c r="C13742" s="209"/>
      <c r="D13742" s="209"/>
      <c r="E13742" s="209"/>
      <c r="J13742" s="124"/>
    </row>
    <row r="13743" spans="3:10" x14ac:dyDescent="0.2">
      <c r="C13743" s="209"/>
      <c r="D13743" s="209"/>
      <c r="E13743" s="209"/>
      <c r="J13743" s="124"/>
    </row>
    <row r="13744" spans="3:10" x14ac:dyDescent="0.2">
      <c r="C13744" s="209"/>
      <c r="D13744" s="209"/>
      <c r="E13744" s="209"/>
      <c r="J13744" s="124"/>
    </row>
    <row r="13745" spans="3:10" x14ac:dyDescent="0.2">
      <c r="C13745" s="209"/>
      <c r="D13745" s="209"/>
      <c r="E13745" s="209"/>
      <c r="J13745" s="124"/>
    </row>
    <row r="13746" spans="3:10" x14ac:dyDescent="0.2">
      <c r="C13746" s="209"/>
      <c r="D13746" s="209"/>
      <c r="E13746" s="209"/>
      <c r="J13746" s="124"/>
    </row>
    <row r="13747" spans="3:10" x14ac:dyDescent="0.2">
      <c r="C13747" s="209"/>
      <c r="D13747" s="209"/>
      <c r="E13747" s="209"/>
      <c r="J13747" s="124"/>
    </row>
    <row r="13748" spans="3:10" x14ac:dyDescent="0.2">
      <c r="C13748" s="209"/>
      <c r="D13748" s="209"/>
      <c r="E13748" s="209"/>
      <c r="J13748" s="124"/>
    </row>
    <row r="13749" spans="3:10" x14ac:dyDescent="0.2">
      <c r="C13749" s="209"/>
      <c r="D13749" s="209"/>
      <c r="E13749" s="209"/>
      <c r="J13749" s="124"/>
    </row>
    <row r="13750" spans="3:10" x14ac:dyDescent="0.2">
      <c r="C13750" s="209"/>
      <c r="D13750" s="209"/>
      <c r="E13750" s="209"/>
      <c r="J13750" s="124"/>
    </row>
    <row r="13751" spans="3:10" x14ac:dyDescent="0.2">
      <c r="C13751" s="209"/>
      <c r="D13751" s="209"/>
      <c r="E13751" s="209"/>
      <c r="J13751" s="124"/>
    </row>
    <row r="13752" spans="3:10" x14ac:dyDescent="0.2">
      <c r="C13752" s="209"/>
      <c r="D13752" s="209"/>
      <c r="E13752" s="209"/>
      <c r="J13752" s="124"/>
    </row>
    <row r="13753" spans="3:10" x14ac:dyDescent="0.2">
      <c r="C13753" s="209"/>
      <c r="D13753" s="209"/>
      <c r="E13753" s="209"/>
      <c r="J13753" s="124"/>
    </row>
    <row r="13754" spans="3:10" x14ac:dyDescent="0.2">
      <c r="C13754" s="209"/>
      <c r="D13754" s="209"/>
      <c r="E13754" s="209"/>
      <c r="J13754" s="124"/>
    </row>
    <row r="13755" spans="3:10" x14ac:dyDescent="0.2">
      <c r="C13755" s="209"/>
      <c r="D13755" s="209"/>
      <c r="E13755" s="209"/>
      <c r="J13755" s="124"/>
    </row>
    <row r="13756" spans="3:10" x14ac:dyDescent="0.2">
      <c r="C13756" s="209"/>
      <c r="D13756" s="209"/>
      <c r="E13756" s="209"/>
      <c r="J13756" s="124"/>
    </row>
    <row r="13757" spans="3:10" x14ac:dyDescent="0.2">
      <c r="C13757" s="209"/>
      <c r="D13757" s="209"/>
      <c r="E13757" s="209"/>
      <c r="J13757" s="124"/>
    </row>
    <row r="13758" spans="3:10" x14ac:dyDescent="0.2">
      <c r="C13758" s="209"/>
      <c r="D13758" s="209"/>
      <c r="E13758" s="209"/>
      <c r="J13758" s="124"/>
    </row>
    <row r="13759" spans="3:10" x14ac:dyDescent="0.2">
      <c r="C13759" s="209"/>
      <c r="D13759" s="209"/>
      <c r="E13759" s="209"/>
      <c r="J13759" s="124"/>
    </row>
    <row r="13760" spans="3:10" x14ac:dyDescent="0.2">
      <c r="C13760" s="209"/>
      <c r="D13760" s="209"/>
      <c r="E13760" s="209"/>
      <c r="J13760" s="124"/>
    </row>
    <row r="13761" spans="3:10" x14ac:dyDescent="0.2">
      <c r="C13761" s="209"/>
      <c r="D13761" s="209"/>
      <c r="E13761" s="209"/>
      <c r="J13761" s="124"/>
    </row>
    <row r="13762" spans="3:10" x14ac:dyDescent="0.2">
      <c r="C13762" s="209"/>
      <c r="D13762" s="209"/>
      <c r="E13762" s="209"/>
      <c r="J13762" s="124"/>
    </row>
    <row r="13763" spans="3:10" x14ac:dyDescent="0.2">
      <c r="C13763" s="209"/>
      <c r="D13763" s="209"/>
      <c r="E13763" s="209"/>
      <c r="J13763" s="124"/>
    </row>
    <row r="13764" spans="3:10" x14ac:dyDescent="0.2">
      <c r="C13764" s="209"/>
      <c r="D13764" s="209"/>
      <c r="E13764" s="209"/>
      <c r="J13764" s="124"/>
    </row>
    <row r="13765" spans="3:10" x14ac:dyDescent="0.2">
      <c r="C13765" s="209"/>
      <c r="D13765" s="209"/>
      <c r="E13765" s="209"/>
      <c r="J13765" s="124"/>
    </row>
    <row r="13766" spans="3:10" x14ac:dyDescent="0.2">
      <c r="C13766" s="209"/>
      <c r="D13766" s="209"/>
      <c r="E13766" s="209"/>
      <c r="J13766" s="124"/>
    </row>
    <row r="13767" spans="3:10" x14ac:dyDescent="0.2">
      <c r="C13767" s="209"/>
      <c r="D13767" s="209"/>
      <c r="E13767" s="209"/>
      <c r="J13767" s="124"/>
    </row>
    <row r="13768" spans="3:10" x14ac:dyDescent="0.2">
      <c r="C13768" s="209"/>
      <c r="D13768" s="209"/>
      <c r="E13768" s="209"/>
      <c r="J13768" s="124"/>
    </row>
    <row r="13769" spans="3:10" x14ac:dyDescent="0.2">
      <c r="C13769" s="209"/>
      <c r="D13769" s="209"/>
      <c r="E13769" s="209"/>
      <c r="J13769" s="124"/>
    </row>
    <row r="13770" spans="3:10" x14ac:dyDescent="0.2">
      <c r="C13770" s="209"/>
      <c r="D13770" s="209"/>
      <c r="E13770" s="209"/>
      <c r="J13770" s="124"/>
    </row>
    <row r="13771" spans="3:10" x14ac:dyDescent="0.2">
      <c r="C13771" s="209"/>
      <c r="D13771" s="209"/>
      <c r="E13771" s="209"/>
      <c r="J13771" s="124"/>
    </row>
    <row r="13772" spans="3:10" x14ac:dyDescent="0.2">
      <c r="C13772" s="209"/>
      <c r="D13772" s="209"/>
      <c r="E13772" s="209"/>
      <c r="J13772" s="124"/>
    </row>
    <row r="13773" spans="3:10" x14ac:dyDescent="0.2">
      <c r="C13773" s="209"/>
      <c r="D13773" s="209"/>
      <c r="E13773" s="209"/>
      <c r="J13773" s="124"/>
    </row>
    <row r="13774" spans="3:10" x14ac:dyDescent="0.2">
      <c r="C13774" s="209"/>
      <c r="D13774" s="209"/>
      <c r="E13774" s="209"/>
      <c r="J13774" s="124"/>
    </row>
    <row r="13775" spans="3:10" x14ac:dyDescent="0.2">
      <c r="C13775" s="209"/>
      <c r="D13775" s="209"/>
      <c r="E13775" s="209"/>
      <c r="J13775" s="124"/>
    </row>
    <row r="13776" spans="3:10" x14ac:dyDescent="0.2">
      <c r="C13776" s="209"/>
      <c r="D13776" s="209"/>
      <c r="E13776" s="209"/>
      <c r="J13776" s="124"/>
    </row>
    <row r="13777" spans="3:10" x14ac:dyDescent="0.2">
      <c r="C13777" s="209"/>
      <c r="D13777" s="209"/>
      <c r="E13777" s="209"/>
      <c r="J13777" s="124"/>
    </row>
    <row r="13778" spans="3:10" x14ac:dyDescent="0.2">
      <c r="C13778" s="209"/>
      <c r="D13778" s="209"/>
      <c r="E13778" s="209"/>
      <c r="J13778" s="124"/>
    </row>
    <row r="13779" spans="3:10" x14ac:dyDescent="0.2">
      <c r="C13779" s="209"/>
      <c r="D13779" s="209"/>
      <c r="E13779" s="209"/>
      <c r="J13779" s="124"/>
    </row>
    <row r="13780" spans="3:10" x14ac:dyDescent="0.2">
      <c r="C13780" s="209"/>
      <c r="D13780" s="209"/>
      <c r="E13780" s="209"/>
      <c r="J13780" s="124"/>
    </row>
    <row r="13781" spans="3:10" x14ac:dyDescent="0.2">
      <c r="C13781" s="209"/>
      <c r="D13781" s="209"/>
      <c r="E13781" s="209"/>
      <c r="J13781" s="124"/>
    </row>
    <row r="13782" spans="3:10" x14ac:dyDescent="0.2">
      <c r="C13782" s="209"/>
      <c r="D13782" s="209"/>
      <c r="E13782" s="209"/>
      <c r="J13782" s="124"/>
    </row>
    <row r="13783" spans="3:10" x14ac:dyDescent="0.2">
      <c r="C13783" s="209"/>
      <c r="D13783" s="209"/>
      <c r="E13783" s="209"/>
      <c r="J13783" s="124"/>
    </row>
    <row r="13784" spans="3:10" x14ac:dyDescent="0.2">
      <c r="C13784" s="209"/>
      <c r="D13784" s="209"/>
      <c r="E13784" s="209"/>
      <c r="J13784" s="124"/>
    </row>
    <row r="13785" spans="3:10" x14ac:dyDescent="0.2">
      <c r="C13785" s="209"/>
      <c r="D13785" s="209"/>
      <c r="E13785" s="209"/>
      <c r="J13785" s="124"/>
    </row>
    <row r="13786" spans="3:10" x14ac:dyDescent="0.2">
      <c r="C13786" s="209"/>
      <c r="D13786" s="209"/>
      <c r="E13786" s="209"/>
      <c r="J13786" s="124"/>
    </row>
    <row r="13787" spans="3:10" x14ac:dyDescent="0.2">
      <c r="C13787" s="209"/>
      <c r="D13787" s="209"/>
      <c r="E13787" s="209"/>
      <c r="J13787" s="124"/>
    </row>
    <row r="13788" spans="3:10" x14ac:dyDescent="0.2">
      <c r="C13788" s="209"/>
      <c r="D13788" s="209"/>
      <c r="E13788" s="209"/>
      <c r="J13788" s="124"/>
    </row>
    <row r="13789" spans="3:10" x14ac:dyDescent="0.2">
      <c r="C13789" s="209"/>
      <c r="D13789" s="209"/>
      <c r="E13789" s="209"/>
      <c r="J13789" s="124"/>
    </row>
    <row r="13790" spans="3:10" x14ac:dyDescent="0.2">
      <c r="C13790" s="209"/>
      <c r="D13790" s="209"/>
      <c r="E13790" s="209"/>
      <c r="J13790" s="124"/>
    </row>
    <row r="13791" spans="3:10" x14ac:dyDescent="0.2">
      <c r="C13791" s="209"/>
      <c r="D13791" s="209"/>
      <c r="E13791" s="209"/>
      <c r="J13791" s="124"/>
    </row>
    <row r="13792" spans="3:10" x14ac:dyDescent="0.2">
      <c r="C13792" s="209"/>
      <c r="D13792" s="209"/>
      <c r="E13792" s="209"/>
      <c r="J13792" s="124"/>
    </row>
    <row r="13793" spans="3:10" x14ac:dyDescent="0.2">
      <c r="C13793" s="209"/>
      <c r="D13793" s="209"/>
      <c r="E13793" s="209"/>
      <c r="J13793" s="124"/>
    </row>
    <row r="13794" spans="3:10" x14ac:dyDescent="0.2">
      <c r="C13794" s="209"/>
      <c r="D13794" s="209"/>
      <c r="E13794" s="209"/>
      <c r="J13794" s="124"/>
    </row>
    <row r="13795" spans="3:10" x14ac:dyDescent="0.2">
      <c r="C13795" s="209"/>
      <c r="D13795" s="209"/>
      <c r="E13795" s="209"/>
      <c r="J13795" s="124"/>
    </row>
    <row r="13796" spans="3:10" x14ac:dyDescent="0.2">
      <c r="C13796" s="209"/>
      <c r="D13796" s="209"/>
      <c r="E13796" s="209"/>
      <c r="J13796" s="124"/>
    </row>
    <row r="13797" spans="3:10" x14ac:dyDescent="0.2">
      <c r="C13797" s="209"/>
      <c r="D13797" s="209"/>
      <c r="E13797" s="209"/>
      <c r="J13797" s="124"/>
    </row>
    <row r="13798" spans="3:10" x14ac:dyDescent="0.2">
      <c r="C13798" s="209"/>
      <c r="D13798" s="209"/>
      <c r="E13798" s="209"/>
      <c r="J13798" s="124"/>
    </row>
    <row r="13799" spans="3:10" x14ac:dyDescent="0.2">
      <c r="C13799" s="209"/>
      <c r="D13799" s="209"/>
      <c r="E13799" s="209"/>
      <c r="J13799" s="124"/>
    </row>
    <row r="13800" spans="3:10" x14ac:dyDescent="0.2">
      <c r="C13800" s="209"/>
      <c r="D13800" s="209"/>
      <c r="E13800" s="209"/>
      <c r="J13800" s="124"/>
    </row>
    <row r="13801" spans="3:10" x14ac:dyDescent="0.2">
      <c r="C13801" s="209"/>
      <c r="D13801" s="209"/>
      <c r="E13801" s="209"/>
      <c r="J13801" s="124"/>
    </row>
    <row r="13802" spans="3:10" x14ac:dyDescent="0.2">
      <c r="C13802" s="209"/>
      <c r="D13802" s="209"/>
      <c r="E13802" s="209"/>
      <c r="J13802" s="124"/>
    </row>
    <row r="13803" spans="3:10" x14ac:dyDescent="0.2">
      <c r="C13803" s="209"/>
      <c r="D13803" s="209"/>
      <c r="E13803" s="209"/>
      <c r="J13803" s="124"/>
    </row>
    <row r="13804" spans="3:10" x14ac:dyDescent="0.2">
      <c r="C13804" s="209"/>
      <c r="D13804" s="209"/>
      <c r="E13804" s="209"/>
      <c r="J13804" s="124"/>
    </row>
    <row r="13805" spans="3:10" x14ac:dyDescent="0.2">
      <c r="C13805" s="209"/>
      <c r="D13805" s="209"/>
      <c r="E13805" s="209"/>
      <c r="J13805" s="124"/>
    </row>
    <row r="13806" spans="3:10" x14ac:dyDescent="0.2">
      <c r="C13806" s="209"/>
      <c r="D13806" s="209"/>
      <c r="E13806" s="209"/>
      <c r="J13806" s="124"/>
    </row>
    <row r="13807" spans="3:10" x14ac:dyDescent="0.2">
      <c r="C13807" s="209"/>
      <c r="D13807" s="209"/>
      <c r="E13807" s="209"/>
      <c r="J13807" s="124"/>
    </row>
    <row r="13808" spans="3:10" x14ac:dyDescent="0.2">
      <c r="C13808" s="209"/>
      <c r="D13808" s="209"/>
      <c r="E13808" s="209"/>
      <c r="J13808" s="124"/>
    </row>
    <row r="13809" spans="3:10" x14ac:dyDescent="0.2">
      <c r="C13809" s="209"/>
      <c r="D13809" s="209"/>
      <c r="E13809" s="209"/>
      <c r="J13809" s="124"/>
    </row>
    <row r="13810" spans="3:10" x14ac:dyDescent="0.2">
      <c r="C13810" s="209"/>
      <c r="D13810" s="209"/>
      <c r="E13810" s="209"/>
      <c r="J13810" s="124"/>
    </row>
    <row r="13811" spans="3:10" x14ac:dyDescent="0.2">
      <c r="C13811" s="209"/>
      <c r="D13811" s="209"/>
      <c r="E13811" s="209"/>
      <c r="J13811" s="124"/>
    </row>
    <row r="13812" spans="3:10" x14ac:dyDescent="0.2">
      <c r="C13812" s="209"/>
      <c r="D13812" s="209"/>
      <c r="E13812" s="209"/>
      <c r="J13812" s="124"/>
    </row>
    <row r="13813" spans="3:10" x14ac:dyDescent="0.2">
      <c r="C13813" s="209"/>
      <c r="D13813" s="209"/>
      <c r="E13813" s="209"/>
      <c r="J13813" s="124"/>
    </row>
    <row r="13814" spans="3:10" x14ac:dyDescent="0.2">
      <c r="C13814" s="209"/>
      <c r="D13814" s="209"/>
      <c r="E13814" s="209"/>
      <c r="J13814" s="124"/>
    </row>
    <row r="13815" spans="3:10" x14ac:dyDescent="0.2">
      <c r="C13815" s="209"/>
      <c r="D13815" s="209"/>
      <c r="E13815" s="209"/>
      <c r="J13815" s="124"/>
    </row>
    <row r="13816" spans="3:10" x14ac:dyDescent="0.2">
      <c r="C13816" s="209"/>
      <c r="D13816" s="209"/>
      <c r="E13816" s="209"/>
      <c r="J13816" s="124"/>
    </row>
    <row r="13817" spans="3:10" x14ac:dyDescent="0.2">
      <c r="C13817" s="209"/>
      <c r="D13817" s="209"/>
      <c r="E13817" s="209"/>
      <c r="J13817" s="124"/>
    </row>
    <row r="13818" spans="3:10" x14ac:dyDescent="0.2">
      <c r="C13818" s="209"/>
      <c r="D13818" s="209"/>
      <c r="E13818" s="209"/>
      <c r="J13818" s="124"/>
    </row>
    <row r="13819" spans="3:10" x14ac:dyDescent="0.2">
      <c r="C13819" s="209"/>
      <c r="D13819" s="209"/>
      <c r="E13819" s="209"/>
      <c r="J13819" s="124"/>
    </row>
    <row r="13820" spans="3:10" x14ac:dyDescent="0.2">
      <c r="C13820" s="209"/>
      <c r="D13820" s="209"/>
      <c r="E13820" s="209"/>
      <c r="J13820" s="124"/>
    </row>
    <row r="13821" spans="3:10" x14ac:dyDescent="0.2">
      <c r="C13821" s="209"/>
      <c r="D13821" s="209"/>
      <c r="E13821" s="209"/>
      <c r="J13821" s="124"/>
    </row>
    <row r="13822" spans="3:10" x14ac:dyDescent="0.2">
      <c r="C13822" s="209"/>
      <c r="D13822" s="209"/>
      <c r="E13822" s="209"/>
      <c r="J13822" s="124"/>
    </row>
    <row r="13823" spans="3:10" x14ac:dyDescent="0.2">
      <c r="C13823" s="209"/>
      <c r="D13823" s="209"/>
      <c r="E13823" s="209"/>
      <c r="J13823" s="124"/>
    </row>
    <row r="13824" spans="3:10" x14ac:dyDescent="0.2">
      <c r="C13824" s="209"/>
      <c r="D13824" s="209"/>
      <c r="E13824" s="209"/>
      <c r="J13824" s="124"/>
    </row>
    <row r="13825" spans="3:10" x14ac:dyDescent="0.2">
      <c r="C13825" s="209"/>
      <c r="D13825" s="209"/>
      <c r="E13825" s="209"/>
      <c r="J13825" s="124"/>
    </row>
    <row r="13826" spans="3:10" x14ac:dyDescent="0.2">
      <c r="C13826" s="209"/>
      <c r="D13826" s="209"/>
      <c r="E13826" s="209"/>
      <c r="J13826" s="124"/>
    </row>
    <row r="13827" spans="3:10" x14ac:dyDescent="0.2">
      <c r="C13827" s="209"/>
      <c r="D13827" s="209"/>
      <c r="E13827" s="209"/>
      <c r="J13827" s="124"/>
    </row>
    <row r="13828" spans="3:10" x14ac:dyDescent="0.2">
      <c r="C13828" s="209"/>
      <c r="D13828" s="209"/>
      <c r="E13828" s="209"/>
      <c r="J13828" s="124"/>
    </row>
    <row r="13829" spans="3:10" x14ac:dyDescent="0.2">
      <c r="C13829" s="209"/>
      <c r="D13829" s="209"/>
      <c r="E13829" s="209"/>
      <c r="J13829" s="124"/>
    </row>
    <row r="13830" spans="3:10" x14ac:dyDescent="0.2">
      <c r="C13830" s="209"/>
      <c r="D13830" s="209"/>
      <c r="E13830" s="209"/>
      <c r="J13830" s="124"/>
    </row>
    <row r="13831" spans="3:10" x14ac:dyDescent="0.2">
      <c r="C13831" s="209"/>
      <c r="D13831" s="209"/>
      <c r="E13831" s="209"/>
      <c r="J13831" s="124"/>
    </row>
    <row r="13832" spans="3:10" x14ac:dyDescent="0.2">
      <c r="C13832" s="209"/>
      <c r="D13832" s="209"/>
      <c r="E13832" s="209"/>
      <c r="J13832" s="124"/>
    </row>
    <row r="13833" spans="3:10" x14ac:dyDescent="0.2">
      <c r="C13833" s="209"/>
      <c r="D13833" s="209"/>
      <c r="E13833" s="209"/>
      <c r="J13833" s="124"/>
    </row>
    <row r="13834" spans="3:10" x14ac:dyDescent="0.2">
      <c r="C13834" s="209"/>
      <c r="D13834" s="209"/>
      <c r="E13834" s="209"/>
      <c r="J13834" s="124"/>
    </row>
    <row r="13835" spans="3:10" x14ac:dyDescent="0.2">
      <c r="C13835" s="209"/>
      <c r="D13835" s="209"/>
      <c r="E13835" s="209"/>
      <c r="J13835" s="124"/>
    </row>
    <row r="13836" spans="3:10" x14ac:dyDescent="0.2">
      <c r="C13836" s="209"/>
      <c r="D13836" s="209"/>
      <c r="E13836" s="209"/>
      <c r="J13836" s="124"/>
    </row>
    <row r="13837" spans="3:10" x14ac:dyDescent="0.2">
      <c r="C13837" s="209"/>
      <c r="D13837" s="209"/>
      <c r="E13837" s="209"/>
      <c r="J13837" s="124"/>
    </row>
    <row r="13838" spans="3:10" x14ac:dyDescent="0.2">
      <c r="C13838" s="209"/>
      <c r="D13838" s="209"/>
      <c r="E13838" s="209"/>
      <c r="J13838" s="124"/>
    </row>
    <row r="13839" spans="3:10" x14ac:dyDescent="0.2">
      <c r="C13839" s="209"/>
      <c r="D13839" s="209"/>
      <c r="E13839" s="209"/>
      <c r="J13839" s="124"/>
    </row>
    <row r="13840" spans="3:10" x14ac:dyDescent="0.2">
      <c r="C13840" s="209"/>
      <c r="D13840" s="209"/>
      <c r="E13840" s="209"/>
      <c r="J13840" s="124"/>
    </row>
    <row r="13841" spans="3:10" x14ac:dyDescent="0.2">
      <c r="C13841" s="209"/>
      <c r="D13841" s="209"/>
      <c r="E13841" s="209"/>
      <c r="J13841" s="124"/>
    </row>
    <row r="13842" spans="3:10" x14ac:dyDescent="0.2">
      <c r="C13842" s="209"/>
      <c r="D13842" s="209"/>
      <c r="E13842" s="209"/>
      <c r="J13842" s="124"/>
    </row>
    <row r="13843" spans="3:10" x14ac:dyDescent="0.2">
      <c r="C13843" s="209"/>
      <c r="D13843" s="209"/>
      <c r="E13843" s="209"/>
      <c r="J13843" s="124"/>
    </row>
    <row r="13844" spans="3:10" x14ac:dyDescent="0.2">
      <c r="C13844" s="209"/>
      <c r="D13844" s="209"/>
      <c r="E13844" s="209"/>
      <c r="J13844" s="124"/>
    </row>
    <row r="13845" spans="3:10" x14ac:dyDescent="0.2">
      <c r="C13845" s="209"/>
      <c r="D13845" s="209"/>
      <c r="E13845" s="209"/>
      <c r="J13845" s="124"/>
    </row>
    <row r="13846" spans="3:10" x14ac:dyDescent="0.2">
      <c r="C13846" s="209"/>
      <c r="D13846" s="209"/>
      <c r="E13846" s="209"/>
      <c r="J13846" s="124"/>
    </row>
    <row r="13847" spans="3:10" x14ac:dyDescent="0.2">
      <c r="C13847" s="209"/>
      <c r="D13847" s="209"/>
      <c r="E13847" s="209"/>
      <c r="J13847" s="124"/>
    </row>
    <row r="13848" spans="3:10" x14ac:dyDescent="0.2">
      <c r="C13848" s="209"/>
      <c r="D13848" s="209"/>
      <c r="E13848" s="209"/>
      <c r="J13848" s="124"/>
    </row>
    <row r="13849" spans="3:10" x14ac:dyDescent="0.2">
      <c r="C13849" s="209"/>
      <c r="D13849" s="209"/>
      <c r="E13849" s="209"/>
      <c r="J13849" s="124"/>
    </row>
    <row r="13850" spans="3:10" x14ac:dyDescent="0.2">
      <c r="C13850" s="209"/>
      <c r="D13850" s="209"/>
      <c r="E13850" s="209"/>
      <c r="J13850" s="124"/>
    </row>
    <row r="13851" spans="3:10" x14ac:dyDescent="0.2">
      <c r="C13851" s="209"/>
      <c r="D13851" s="209"/>
      <c r="E13851" s="209"/>
      <c r="J13851" s="124"/>
    </row>
    <row r="13852" spans="3:10" x14ac:dyDescent="0.2">
      <c r="C13852" s="209"/>
      <c r="D13852" s="209"/>
      <c r="E13852" s="209"/>
      <c r="J13852" s="124"/>
    </row>
    <row r="13853" spans="3:10" x14ac:dyDescent="0.2">
      <c r="C13853" s="209"/>
      <c r="D13853" s="209"/>
      <c r="E13853" s="209"/>
      <c r="J13853" s="124"/>
    </row>
    <row r="13854" spans="3:10" x14ac:dyDescent="0.2">
      <c r="C13854" s="209"/>
      <c r="D13854" s="209"/>
      <c r="E13854" s="209"/>
      <c r="J13854" s="124"/>
    </row>
    <row r="13855" spans="3:10" x14ac:dyDescent="0.2">
      <c r="C13855" s="209"/>
      <c r="D13855" s="209"/>
      <c r="E13855" s="209"/>
      <c r="J13855" s="124"/>
    </row>
    <row r="13856" spans="3:10" x14ac:dyDescent="0.2">
      <c r="C13856" s="209"/>
      <c r="D13856" s="209"/>
      <c r="E13856" s="209"/>
      <c r="J13856" s="124"/>
    </row>
    <row r="13857" spans="3:10" x14ac:dyDescent="0.2">
      <c r="C13857" s="209"/>
      <c r="D13857" s="209"/>
      <c r="E13857" s="209"/>
      <c r="J13857" s="124"/>
    </row>
    <row r="13858" spans="3:10" x14ac:dyDescent="0.2">
      <c r="C13858" s="209"/>
      <c r="D13858" s="209"/>
      <c r="E13858" s="209"/>
      <c r="J13858" s="124"/>
    </row>
    <row r="13859" spans="3:10" x14ac:dyDescent="0.2">
      <c r="C13859" s="209"/>
      <c r="D13859" s="209"/>
      <c r="E13859" s="209"/>
      <c r="J13859" s="124"/>
    </row>
    <row r="13860" spans="3:10" x14ac:dyDescent="0.2">
      <c r="C13860" s="209"/>
      <c r="D13860" s="209"/>
      <c r="E13860" s="209"/>
      <c r="J13860" s="124"/>
    </row>
    <row r="13861" spans="3:10" x14ac:dyDescent="0.2">
      <c r="C13861" s="209"/>
      <c r="D13861" s="209"/>
      <c r="E13861" s="209"/>
      <c r="J13861" s="124"/>
    </row>
    <row r="13862" spans="3:10" x14ac:dyDescent="0.2">
      <c r="C13862" s="209"/>
      <c r="D13862" s="209"/>
      <c r="E13862" s="209"/>
      <c r="J13862" s="124"/>
    </row>
    <row r="13863" spans="3:10" x14ac:dyDescent="0.2">
      <c r="C13863" s="209"/>
      <c r="D13863" s="209"/>
      <c r="E13863" s="209"/>
      <c r="J13863" s="124"/>
    </row>
    <row r="13864" spans="3:10" x14ac:dyDescent="0.2">
      <c r="C13864" s="209"/>
      <c r="D13864" s="209"/>
      <c r="E13864" s="209"/>
      <c r="J13864" s="124"/>
    </row>
    <row r="13865" spans="3:10" x14ac:dyDescent="0.2">
      <c r="C13865" s="209"/>
      <c r="D13865" s="209"/>
      <c r="E13865" s="209"/>
      <c r="J13865" s="124"/>
    </row>
    <row r="13866" spans="3:10" x14ac:dyDescent="0.2">
      <c r="C13866" s="209"/>
      <c r="D13866" s="209"/>
      <c r="E13866" s="209"/>
      <c r="J13866" s="124"/>
    </row>
    <row r="13867" spans="3:10" x14ac:dyDescent="0.2">
      <c r="C13867" s="209"/>
      <c r="D13867" s="209"/>
      <c r="E13867" s="209"/>
      <c r="J13867" s="124"/>
    </row>
    <row r="13868" spans="3:10" x14ac:dyDescent="0.2">
      <c r="C13868" s="209"/>
      <c r="D13868" s="209"/>
      <c r="E13868" s="209"/>
      <c r="J13868" s="124"/>
    </row>
    <row r="13869" spans="3:10" x14ac:dyDescent="0.2">
      <c r="C13869" s="209"/>
      <c r="D13869" s="209"/>
      <c r="E13869" s="209"/>
      <c r="J13869" s="124"/>
    </row>
    <row r="13870" spans="3:10" x14ac:dyDescent="0.2">
      <c r="C13870" s="209"/>
      <c r="D13870" s="209"/>
      <c r="E13870" s="209"/>
      <c r="J13870" s="124"/>
    </row>
    <row r="13871" spans="3:10" x14ac:dyDescent="0.2">
      <c r="C13871" s="209"/>
      <c r="D13871" s="209"/>
      <c r="E13871" s="209"/>
      <c r="J13871" s="124"/>
    </row>
    <row r="13872" spans="3:10" x14ac:dyDescent="0.2">
      <c r="C13872" s="209"/>
      <c r="D13872" s="209"/>
      <c r="E13872" s="209"/>
      <c r="J13872" s="124"/>
    </row>
    <row r="13873" spans="3:10" x14ac:dyDescent="0.2">
      <c r="C13873" s="209"/>
      <c r="D13873" s="209"/>
      <c r="E13873" s="209"/>
      <c r="J13873" s="124"/>
    </row>
    <row r="13874" spans="3:10" x14ac:dyDescent="0.2">
      <c r="C13874" s="209"/>
      <c r="D13874" s="209"/>
      <c r="E13874" s="209"/>
      <c r="J13874" s="124"/>
    </row>
    <row r="13875" spans="3:10" x14ac:dyDescent="0.2">
      <c r="C13875" s="209"/>
      <c r="D13875" s="209"/>
      <c r="E13875" s="209"/>
      <c r="J13875" s="124"/>
    </row>
    <row r="13876" spans="3:10" x14ac:dyDescent="0.2">
      <c r="C13876" s="209"/>
      <c r="D13876" s="209"/>
      <c r="E13876" s="209"/>
      <c r="J13876" s="124"/>
    </row>
    <row r="13877" spans="3:10" x14ac:dyDescent="0.2">
      <c r="C13877" s="209"/>
      <c r="D13877" s="209"/>
      <c r="E13877" s="209"/>
      <c r="J13877" s="124"/>
    </row>
    <row r="13878" spans="3:10" x14ac:dyDescent="0.2">
      <c r="C13878" s="209"/>
      <c r="D13878" s="209"/>
      <c r="E13878" s="209"/>
      <c r="J13878" s="124"/>
    </row>
    <row r="13879" spans="3:10" x14ac:dyDescent="0.2">
      <c r="C13879" s="209"/>
      <c r="D13879" s="209"/>
      <c r="E13879" s="209"/>
      <c r="J13879" s="124"/>
    </row>
    <row r="13880" spans="3:10" x14ac:dyDescent="0.2">
      <c r="C13880" s="209"/>
      <c r="D13880" s="209"/>
      <c r="E13880" s="209"/>
      <c r="J13880" s="124"/>
    </row>
    <row r="13881" spans="3:10" x14ac:dyDescent="0.2">
      <c r="C13881" s="209"/>
      <c r="D13881" s="209"/>
      <c r="E13881" s="209"/>
      <c r="J13881" s="124"/>
    </row>
    <row r="13882" spans="3:10" x14ac:dyDescent="0.2">
      <c r="C13882" s="209"/>
      <c r="D13882" s="209"/>
      <c r="E13882" s="209"/>
      <c r="J13882" s="124"/>
    </row>
    <row r="13883" spans="3:10" x14ac:dyDescent="0.2">
      <c r="C13883" s="209"/>
      <c r="D13883" s="209"/>
      <c r="E13883" s="209"/>
      <c r="J13883" s="124"/>
    </row>
    <row r="13884" spans="3:10" x14ac:dyDescent="0.2">
      <c r="C13884" s="209"/>
      <c r="D13884" s="209"/>
      <c r="E13884" s="209"/>
      <c r="J13884" s="124"/>
    </row>
    <row r="13885" spans="3:10" x14ac:dyDescent="0.2">
      <c r="C13885" s="209"/>
      <c r="D13885" s="209"/>
      <c r="E13885" s="209"/>
      <c r="J13885" s="124"/>
    </row>
    <row r="13886" spans="3:10" x14ac:dyDescent="0.2">
      <c r="C13886" s="209"/>
      <c r="D13886" s="209"/>
      <c r="E13886" s="209"/>
      <c r="J13886" s="124"/>
    </row>
    <row r="13887" spans="3:10" x14ac:dyDescent="0.2">
      <c r="C13887" s="209"/>
      <c r="D13887" s="209"/>
      <c r="E13887" s="209"/>
      <c r="J13887" s="124"/>
    </row>
    <row r="13888" spans="3:10" x14ac:dyDescent="0.2">
      <c r="C13888" s="209"/>
      <c r="D13888" s="209"/>
      <c r="E13888" s="209"/>
      <c r="J13888" s="124"/>
    </row>
    <row r="13889" spans="3:10" x14ac:dyDescent="0.2">
      <c r="C13889" s="209"/>
      <c r="D13889" s="209"/>
      <c r="E13889" s="209"/>
      <c r="J13889" s="124"/>
    </row>
    <row r="13890" spans="3:10" x14ac:dyDescent="0.2">
      <c r="C13890" s="209"/>
      <c r="D13890" s="209"/>
      <c r="E13890" s="209"/>
      <c r="J13890" s="124"/>
    </row>
    <row r="13891" spans="3:10" x14ac:dyDescent="0.2">
      <c r="C13891" s="209"/>
      <c r="D13891" s="209"/>
      <c r="E13891" s="209"/>
      <c r="J13891" s="124"/>
    </row>
    <row r="13892" spans="3:10" x14ac:dyDescent="0.2">
      <c r="C13892" s="209"/>
      <c r="D13892" s="209"/>
      <c r="E13892" s="209"/>
      <c r="J13892" s="124"/>
    </row>
    <row r="13893" spans="3:10" x14ac:dyDescent="0.2">
      <c r="C13893" s="209"/>
      <c r="D13893" s="209"/>
      <c r="E13893" s="209"/>
      <c r="J13893" s="124"/>
    </row>
    <row r="13894" spans="3:10" x14ac:dyDescent="0.2">
      <c r="C13894" s="209"/>
      <c r="D13894" s="209"/>
      <c r="E13894" s="209"/>
      <c r="J13894" s="124"/>
    </row>
    <row r="13895" spans="3:10" x14ac:dyDescent="0.2">
      <c r="C13895" s="209"/>
      <c r="D13895" s="209"/>
      <c r="E13895" s="209"/>
      <c r="J13895" s="124"/>
    </row>
    <row r="13896" spans="3:10" x14ac:dyDescent="0.2">
      <c r="C13896" s="209"/>
      <c r="D13896" s="209"/>
      <c r="E13896" s="209"/>
      <c r="J13896" s="124"/>
    </row>
    <row r="13897" spans="3:10" x14ac:dyDescent="0.2">
      <c r="C13897" s="209"/>
      <c r="D13897" s="209"/>
      <c r="E13897" s="209"/>
      <c r="J13897" s="124"/>
    </row>
    <row r="13898" spans="3:10" x14ac:dyDescent="0.2">
      <c r="C13898" s="209"/>
      <c r="D13898" s="209"/>
      <c r="E13898" s="209"/>
      <c r="J13898" s="124"/>
    </row>
    <row r="13899" spans="3:10" x14ac:dyDescent="0.2">
      <c r="C13899" s="209"/>
      <c r="D13899" s="209"/>
      <c r="E13899" s="209"/>
      <c r="J13899" s="124"/>
    </row>
    <row r="13900" spans="3:10" x14ac:dyDescent="0.2">
      <c r="C13900" s="209"/>
      <c r="D13900" s="209"/>
      <c r="E13900" s="209"/>
      <c r="J13900" s="124"/>
    </row>
    <row r="13901" spans="3:10" x14ac:dyDescent="0.2">
      <c r="C13901" s="209"/>
      <c r="D13901" s="209"/>
      <c r="E13901" s="209"/>
      <c r="J13901" s="124"/>
    </row>
    <row r="13902" spans="3:10" x14ac:dyDescent="0.2">
      <c r="C13902" s="209"/>
      <c r="D13902" s="209"/>
      <c r="E13902" s="209"/>
      <c r="J13902" s="124"/>
    </row>
    <row r="13903" spans="3:10" x14ac:dyDescent="0.2">
      <c r="C13903" s="209"/>
      <c r="D13903" s="209"/>
      <c r="E13903" s="209"/>
      <c r="J13903" s="124"/>
    </row>
    <row r="13904" spans="3:10" x14ac:dyDescent="0.2">
      <c r="C13904" s="209"/>
      <c r="D13904" s="209"/>
      <c r="E13904" s="209"/>
      <c r="J13904" s="124"/>
    </row>
    <row r="13905" spans="3:10" x14ac:dyDescent="0.2">
      <c r="C13905" s="209"/>
      <c r="D13905" s="209"/>
      <c r="E13905" s="209"/>
      <c r="J13905" s="124"/>
    </row>
    <row r="13906" spans="3:10" x14ac:dyDescent="0.2">
      <c r="C13906" s="209"/>
      <c r="D13906" s="209"/>
      <c r="E13906" s="209"/>
      <c r="J13906" s="124"/>
    </row>
    <row r="13907" spans="3:10" x14ac:dyDescent="0.2">
      <c r="C13907" s="209"/>
      <c r="D13907" s="209"/>
      <c r="E13907" s="209"/>
      <c r="J13907" s="124"/>
    </row>
    <row r="13908" spans="3:10" x14ac:dyDescent="0.2">
      <c r="C13908" s="209"/>
      <c r="D13908" s="209"/>
      <c r="E13908" s="209"/>
      <c r="J13908" s="124"/>
    </row>
    <row r="13909" spans="3:10" x14ac:dyDescent="0.2">
      <c r="C13909" s="209"/>
      <c r="D13909" s="209"/>
      <c r="E13909" s="209"/>
      <c r="J13909" s="124"/>
    </row>
    <row r="13910" spans="3:10" x14ac:dyDescent="0.2">
      <c r="C13910" s="209"/>
      <c r="D13910" s="209"/>
      <c r="E13910" s="209"/>
      <c r="J13910" s="124"/>
    </row>
    <row r="13911" spans="3:10" x14ac:dyDescent="0.2">
      <c r="C13911" s="209"/>
      <c r="D13911" s="209"/>
      <c r="E13911" s="209"/>
      <c r="J13911" s="124"/>
    </row>
    <row r="13912" spans="3:10" x14ac:dyDescent="0.2">
      <c r="C13912" s="209"/>
      <c r="D13912" s="209"/>
      <c r="E13912" s="209"/>
      <c r="J13912" s="124"/>
    </row>
    <row r="13913" spans="3:10" x14ac:dyDescent="0.2">
      <c r="C13913" s="209"/>
      <c r="D13913" s="209"/>
      <c r="E13913" s="209"/>
      <c r="J13913" s="124"/>
    </row>
    <row r="13914" spans="3:10" x14ac:dyDescent="0.2">
      <c r="C13914" s="209"/>
      <c r="D13914" s="209"/>
      <c r="E13914" s="209"/>
      <c r="J13914" s="124"/>
    </row>
    <row r="13915" spans="3:10" x14ac:dyDescent="0.2">
      <c r="C13915" s="209"/>
      <c r="D13915" s="209"/>
      <c r="E13915" s="209"/>
      <c r="J13915" s="124"/>
    </row>
    <row r="13916" spans="3:10" x14ac:dyDescent="0.2">
      <c r="C13916" s="209"/>
      <c r="D13916" s="209"/>
      <c r="E13916" s="209"/>
      <c r="J13916" s="124"/>
    </row>
    <row r="13917" spans="3:10" x14ac:dyDescent="0.2">
      <c r="C13917" s="209"/>
      <c r="D13917" s="209"/>
      <c r="E13917" s="209"/>
      <c r="J13917" s="124"/>
    </row>
    <row r="13918" spans="3:10" x14ac:dyDescent="0.2">
      <c r="C13918" s="209"/>
      <c r="D13918" s="209"/>
      <c r="E13918" s="209"/>
      <c r="J13918" s="124"/>
    </row>
    <row r="13919" spans="3:10" x14ac:dyDescent="0.2">
      <c r="C13919" s="209"/>
      <c r="D13919" s="209"/>
      <c r="E13919" s="209"/>
      <c r="J13919" s="124"/>
    </row>
    <row r="13920" spans="3:10" x14ac:dyDescent="0.2">
      <c r="C13920" s="209"/>
      <c r="D13920" s="209"/>
      <c r="E13920" s="209"/>
      <c r="J13920" s="124"/>
    </row>
    <row r="13921" spans="3:10" x14ac:dyDescent="0.2">
      <c r="C13921" s="209"/>
      <c r="D13921" s="209"/>
      <c r="E13921" s="209"/>
      <c r="J13921" s="124"/>
    </row>
    <row r="13922" spans="3:10" x14ac:dyDescent="0.2">
      <c r="C13922" s="209"/>
      <c r="D13922" s="209"/>
      <c r="E13922" s="209"/>
      <c r="J13922" s="124"/>
    </row>
    <row r="13923" spans="3:10" x14ac:dyDescent="0.2">
      <c r="C13923" s="209"/>
      <c r="D13923" s="209"/>
      <c r="E13923" s="209"/>
      <c r="J13923" s="124"/>
    </row>
    <row r="13924" spans="3:10" x14ac:dyDescent="0.2">
      <c r="C13924" s="209"/>
      <c r="D13924" s="209"/>
      <c r="E13924" s="209"/>
      <c r="J13924" s="124"/>
    </row>
    <row r="13925" spans="3:10" x14ac:dyDescent="0.2">
      <c r="C13925" s="209"/>
      <c r="D13925" s="209"/>
      <c r="E13925" s="209"/>
      <c r="J13925" s="124"/>
    </row>
    <row r="13926" spans="3:10" x14ac:dyDescent="0.2">
      <c r="C13926" s="209"/>
      <c r="D13926" s="209"/>
      <c r="E13926" s="209"/>
      <c r="J13926" s="124"/>
    </row>
    <row r="13927" spans="3:10" x14ac:dyDescent="0.2">
      <c r="C13927" s="209"/>
      <c r="D13927" s="209"/>
      <c r="E13927" s="209"/>
      <c r="J13927" s="124"/>
    </row>
    <row r="13928" spans="3:10" x14ac:dyDescent="0.2">
      <c r="C13928" s="209"/>
      <c r="D13928" s="209"/>
      <c r="E13928" s="209"/>
      <c r="J13928" s="124"/>
    </row>
    <row r="13929" spans="3:10" x14ac:dyDescent="0.2">
      <c r="C13929" s="209"/>
      <c r="D13929" s="209"/>
      <c r="E13929" s="209"/>
      <c r="J13929" s="124"/>
    </row>
    <row r="13930" spans="3:10" x14ac:dyDescent="0.2">
      <c r="C13930" s="209"/>
      <c r="D13930" s="209"/>
      <c r="E13930" s="209"/>
      <c r="J13930" s="124"/>
    </row>
    <row r="13931" spans="3:10" x14ac:dyDescent="0.2">
      <c r="C13931" s="209"/>
      <c r="D13931" s="209"/>
      <c r="E13931" s="209"/>
      <c r="J13931" s="124"/>
    </row>
    <row r="13932" spans="3:10" x14ac:dyDescent="0.2">
      <c r="C13932" s="209"/>
      <c r="D13932" s="209"/>
      <c r="E13932" s="209"/>
      <c r="J13932" s="124"/>
    </row>
    <row r="13933" spans="3:10" x14ac:dyDescent="0.2">
      <c r="C13933" s="209"/>
      <c r="D13933" s="209"/>
      <c r="E13933" s="209"/>
      <c r="J13933" s="124"/>
    </row>
    <row r="13934" spans="3:10" x14ac:dyDescent="0.2">
      <c r="C13934" s="209"/>
      <c r="D13934" s="209"/>
      <c r="E13934" s="209"/>
      <c r="J13934" s="124"/>
    </row>
    <row r="13935" spans="3:10" x14ac:dyDescent="0.2">
      <c r="C13935" s="209"/>
      <c r="D13935" s="209"/>
      <c r="E13935" s="209"/>
      <c r="J13935" s="124"/>
    </row>
    <row r="13936" spans="3:10" x14ac:dyDescent="0.2">
      <c r="C13936" s="209"/>
      <c r="D13936" s="209"/>
      <c r="E13936" s="209"/>
      <c r="J13936" s="124"/>
    </row>
    <row r="13937" spans="3:10" x14ac:dyDescent="0.2">
      <c r="C13937" s="209"/>
      <c r="D13937" s="209"/>
      <c r="E13937" s="209"/>
      <c r="J13937" s="124"/>
    </row>
    <row r="13938" spans="3:10" x14ac:dyDescent="0.2">
      <c r="C13938" s="209"/>
      <c r="D13938" s="209"/>
      <c r="E13938" s="209"/>
      <c r="J13938" s="124"/>
    </row>
    <row r="13939" spans="3:10" x14ac:dyDescent="0.2">
      <c r="C13939" s="209"/>
      <c r="D13939" s="209"/>
      <c r="E13939" s="209"/>
      <c r="J13939" s="124"/>
    </row>
    <row r="13940" spans="3:10" x14ac:dyDescent="0.2">
      <c r="C13940" s="209"/>
      <c r="D13940" s="209"/>
      <c r="E13940" s="209"/>
      <c r="J13940" s="124"/>
    </row>
    <row r="13941" spans="3:10" x14ac:dyDescent="0.2">
      <c r="C13941" s="209"/>
      <c r="D13941" s="209"/>
      <c r="E13941" s="209"/>
      <c r="J13941" s="124"/>
    </row>
    <row r="13942" spans="3:10" x14ac:dyDescent="0.2">
      <c r="C13942" s="209"/>
      <c r="D13942" s="209"/>
      <c r="E13942" s="209"/>
      <c r="J13942" s="124"/>
    </row>
    <row r="13943" spans="3:10" x14ac:dyDescent="0.2">
      <c r="C13943" s="209"/>
      <c r="D13943" s="209"/>
      <c r="E13943" s="209"/>
      <c r="J13943" s="124"/>
    </row>
    <row r="13944" spans="3:10" x14ac:dyDescent="0.2">
      <c r="C13944" s="209"/>
      <c r="D13944" s="209"/>
      <c r="E13944" s="209"/>
      <c r="J13944" s="124"/>
    </row>
    <row r="13945" spans="3:10" x14ac:dyDescent="0.2">
      <c r="C13945" s="209"/>
      <c r="D13945" s="209"/>
      <c r="E13945" s="209"/>
      <c r="J13945" s="124"/>
    </row>
    <row r="13946" spans="3:10" x14ac:dyDescent="0.2">
      <c r="C13946" s="209"/>
      <c r="D13946" s="209"/>
      <c r="E13946" s="209"/>
      <c r="J13946" s="124"/>
    </row>
    <row r="13947" spans="3:10" x14ac:dyDescent="0.2">
      <c r="C13947" s="209"/>
      <c r="D13947" s="209"/>
      <c r="E13947" s="209"/>
      <c r="J13947" s="124"/>
    </row>
    <row r="13948" spans="3:10" x14ac:dyDescent="0.2">
      <c r="C13948" s="209"/>
      <c r="D13948" s="209"/>
      <c r="E13948" s="209"/>
      <c r="J13948" s="124"/>
    </row>
    <row r="13949" spans="3:10" x14ac:dyDescent="0.2">
      <c r="C13949" s="209"/>
      <c r="D13949" s="209"/>
      <c r="E13949" s="209"/>
      <c r="J13949" s="124"/>
    </row>
    <row r="13950" spans="3:10" x14ac:dyDescent="0.2">
      <c r="C13950" s="209"/>
      <c r="D13950" s="209"/>
      <c r="E13950" s="209"/>
      <c r="J13950" s="124"/>
    </row>
    <row r="13951" spans="3:10" x14ac:dyDescent="0.2">
      <c r="C13951" s="209"/>
      <c r="D13951" s="209"/>
      <c r="E13951" s="209"/>
      <c r="J13951" s="124"/>
    </row>
    <row r="13952" spans="3:10" x14ac:dyDescent="0.2">
      <c r="C13952" s="209"/>
      <c r="D13952" s="209"/>
      <c r="E13952" s="209"/>
      <c r="J13952" s="124"/>
    </row>
    <row r="13953" spans="3:10" x14ac:dyDescent="0.2">
      <c r="C13953" s="209"/>
      <c r="D13953" s="209"/>
      <c r="E13953" s="209"/>
      <c r="J13953" s="124"/>
    </row>
    <row r="13954" spans="3:10" x14ac:dyDescent="0.2">
      <c r="C13954" s="209"/>
      <c r="D13954" s="209"/>
      <c r="E13954" s="209"/>
      <c r="J13954" s="124"/>
    </row>
    <row r="13955" spans="3:10" x14ac:dyDescent="0.2">
      <c r="C13955" s="209"/>
      <c r="D13955" s="209"/>
      <c r="E13955" s="209"/>
      <c r="J13955" s="124"/>
    </row>
    <row r="13956" spans="3:10" x14ac:dyDescent="0.2">
      <c r="C13956" s="209"/>
      <c r="D13956" s="209"/>
      <c r="E13956" s="209"/>
      <c r="J13956" s="124"/>
    </row>
    <row r="13957" spans="3:10" x14ac:dyDescent="0.2">
      <c r="C13957" s="209"/>
      <c r="D13957" s="209"/>
      <c r="E13957" s="209"/>
      <c r="J13957" s="124"/>
    </row>
    <row r="13958" spans="3:10" x14ac:dyDescent="0.2">
      <c r="C13958" s="209"/>
      <c r="D13958" s="209"/>
      <c r="E13958" s="209"/>
      <c r="J13958" s="124"/>
    </row>
    <row r="13959" spans="3:10" x14ac:dyDescent="0.2">
      <c r="C13959" s="209"/>
      <c r="D13959" s="209"/>
      <c r="E13959" s="209"/>
      <c r="J13959" s="124"/>
    </row>
    <row r="13960" spans="3:10" x14ac:dyDescent="0.2">
      <c r="C13960" s="209"/>
      <c r="D13960" s="209"/>
      <c r="E13960" s="209"/>
      <c r="J13960" s="124"/>
    </row>
    <row r="13961" spans="3:10" x14ac:dyDescent="0.2">
      <c r="C13961" s="209"/>
      <c r="D13961" s="209"/>
      <c r="E13961" s="209"/>
      <c r="J13961" s="124"/>
    </row>
    <row r="13962" spans="3:10" x14ac:dyDescent="0.2">
      <c r="C13962" s="209"/>
      <c r="D13962" s="209"/>
      <c r="E13962" s="209"/>
      <c r="J13962" s="124"/>
    </row>
    <row r="13963" spans="3:10" x14ac:dyDescent="0.2">
      <c r="C13963" s="209"/>
      <c r="D13963" s="209"/>
      <c r="E13963" s="209"/>
      <c r="J13963" s="124"/>
    </row>
    <row r="13964" spans="3:10" x14ac:dyDescent="0.2">
      <c r="C13964" s="209"/>
      <c r="D13964" s="209"/>
      <c r="E13964" s="209"/>
      <c r="J13964" s="124"/>
    </row>
    <row r="13965" spans="3:10" x14ac:dyDescent="0.2">
      <c r="C13965" s="209"/>
      <c r="D13965" s="209"/>
      <c r="E13965" s="209"/>
      <c r="J13965" s="124"/>
    </row>
    <row r="13966" spans="3:10" x14ac:dyDescent="0.2">
      <c r="C13966" s="209"/>
      <c r="D13966" s="209"/>
      <c r="E13966" s="209"/>
      <c r="J13966" s="124"/>
    </row>
    <row r="13967" spans="3:10" x14ac:dyDescent="0.2">
      <c r="C13967" s="209"/>
      <c r="D13967" s="209"/>
      <c r="E13967" s="209"/>
      <c r="J13967" s="124"/>
    </row>
    <row r="13968" spans="3:10" x14ac:dyDescent="0.2">
      <c r="C13968" s="209"/>
      <c r="D13968" s="209"/>
      <c r="E13968" s="209"/>
      <c r="J13968" s="124"/>
    </row>
    <row r="13969" spans="3:10" x14ac:dyDescent="0.2">
      <c r="C13969" s="209"/>
      <c r="D13969" s="209"/>
      <c r="E13969" s="209"/>
      <c r="J13969" s="124"/>
    </row>
    <row r="13970" spans="3:10" x14ac:dyDescent="0.2">
      <c r="C13970" s="209"/>
      <c r="D13970" s="209"/>
      <c r="E13970" s="209"/>
      <c r="J13970" s="124"/>
    </row>
    <row r="13971" spans="3:10" x14ac:dyDescent="0.2">
      <c r="C13971" s="209"/>
      <c r="D13971" s="209"/>
      <c r="E13971" s="209"/>
      <c r="J13971" s="124"/>
    </row>
    <row r="13972" spans="3:10" x14ac:dyDescent="0.2">
      <c r="C13972" s="209"/>
      <c r="D13972" s="209"/>
      <c r="E13972" s="209"/>
      <c r="J13972" s="124"/>
    </row>
    <row r="13973" spans="3:10" x14ac:dyDescent="0.2">
      <c r="C13973" s="209"/>
      <c r="D13973" s="209"/>
      <c r="E13973" s="209"/>
      <c r="J13973" s="124"/>
    </row>
    <row r="13974" spans="3:10" x14ac:dyDescent="0.2">
      <c r="C13974" s="209"/>
      <c r="D13974" s="209"/>
      <c r="E13974" s="209"/>
      <c r="J13974" s="124"/>
    </row>
    <row r="13975" spans="3:10" x14ac:dyDescent="0.2">
      <c r="C13975" s="209"/>
      <c r="D13975" s="209"/>
      <c r="E13975" s="209"/>
      <c r="J13975" s="124"/>
    </row>
    <row r="13976" spans="3:10" x14ac:dyDescent="0.2">
      <c r="C13976" s="209"/>
      <c r="D13976" s="209"/>
      <c r="E13976" s="209"/>
      <c r="J13976" s="124"/>
    </row>
    <row r="13977" spans="3:10" x14ac:dyDescent="0.2">
      <c r="C13977" s="209"/>
      <c r="D13977" s="209"/>
      <c r="E13977" s="209"/>
      <c r="J13977" s="124"/>
    </row>
    <row r="13978" spans="3:10" x14ac:dyDescent="0.2">
      <c r="C13978" s="209"/>
      <c r="D13978" s="209"/>
      <c r="E13978" s="209"/>
      <c r="J13978" s="124"/>
    </row>
    <row r="13979" spans="3:10" x14ac:dyDescent="0.2">
      <c r="C13979" s="209"/>
      <c r="D13979" s="209"/>
      <c r="E13979" s="209"/>
      <c r="J13979" s="124"/>
    </row>
    <row r="13980" spans="3:10" x14ac:dyDescent="0.2">
      <c r="C13980" s="209"/>
      <c r="D13980" s="209"/>
      <c r="E13980" s="209"/>
      <c r="J13980" s="124"/>
    </row>
    <row r="13981" spans="3:10" x14ac:dyDescent="0.2">
      <c r="C13981" s="209"/>
      <c r="D13981" s="209"/>
      <c r="E13981" s="209"/>
      <c r="J13981" s="124"/>
    </row>
    <row r="13982" spans="3:10" x14ac:dyDescent="0.2">
      <c r="C13982" s="209"/>
      <c r="D13982" s="209"/>
      <c r="E13982" s="209"/>
      <c r="J13982" s="124"/>
    </row>
    <row r="13983" spans="3:10" x14ac:dyDescent="0.2">
      <c r="C13983" s="209"/>
      <c r="D13983" s="209"/>
      <c r="E13983" s="209"/>
      <c r="J13983" s="124"/>
    </row>
    <row r="13984" spans="3:10" x14ac:dyDescent="0.2">
      <c r="C13984" s="209"/>
      <c r="D13984" s="209"/>
      <c r="E13984" s="209"/>
      <c r="J13984" s="124"/>
    </row>
    <row r="13985" spans="3:10" x14ac:dyDescent="0.2">
      <c r="C13985" s="209"/>
      <c r="D13985" s="209"/>
      <c r="E13985" s="209"/>
      <c r="J13985" s="124"/>
    </row>
    <row r="13986" spans="3:10" x14ac:dyDescent="0.2">
      <c r="C13986" s="209"/>
      <c r="D13986" s="209"/>
      <c r="E13986" s="209"/>
      <c r="J13986" s="124"/>
    </row>
    <row r="13987" spans="3:10" x14ac:dyDescent="0.2">
      <c r="C13987" s="209"/>
      <c r="D13987" s="209"/>
      <c r="E13987" s="209"/>
      <c r="J13987" s="124"/>
    </row>
    <row r="13988" spans="3:10" x14ac:dyDescent="0.2">
      <c r="C13988" s="209"/>
      <c r="D13988" s="209"/>
      <c r="E13988" s="209"/>
      <c r="J13988" s="124"/>
    </row>
    <row r="13989" spans="3:10" x14ac:dyDescent="0.2">
      <c r="C13989" s="209"/>
      <c r="D13989" s="209"/>
      <c r="E13989" s="209"/>
      <c r="J13989" s="124"/>
    </row>
    <row r="13990" spans="3:10" x14ac:dyDescent="0.2">
      <c r="C13990" s="209"/>
      <c r="D13990" s="209"/>
      <c r="E13990" s="209"/>
      <c r="J13990" s="124"/>
    </row>
    <row r="13991" spans="3:10" x14ac:dyDescent="0.2">
      <c r="C13991" s="209"/>
      <c r="D13991" s="209"/>
      <c r="E13991" s="209"/>
      <c r="J13991" s="124"/>
    </row>
    <row r="13992" spans="3:10" x14ac:dyDescent="0.2">
      <c r="C13992" s="209"/>
      <c r="D13992" s="209"/>
      <c r="E13992" s="209"/>
      <c r="J13992" s="124"/>
    </row>
    <row r="13993" spans="3:10" x14ac:dyDescent="0.2">
      <c r="C13993" s="209"/>
      <c r="D13993" s="209"/>
      <c r="E13993" s="209"/>
      <c r="J13993" s="124"/>
    </row>
    <row r="13994" spans="3:10" x14ac:dyDescent="0.2">
      <c r="C13994" s="209"/>
      <c r="D13994" s="209"/>
      <c r="E13994" s="209"/>
      <c r="J13994" s="124"/>
    </row>
    <row r="13995" spans="3:10" x14ac:dyDescent="0.2">
      <c r="C13995" s="209"/>
      <c r="D13995" s="209"/>
      <c r="E13995" s="209"/>
      <c r="J13995" s="124"/>
    </row>
    <row r="13996" spans="3:10" x14ac:dyDescent="0.2">
      <c r="C13996" s="209"/>
      <c r="D13996" s="209"/>
      <c r="E13996" s="209"/>
      <c r="J13996" s="124"/>
    </row>
    <row r="13997" spans="3:10" x14ac:dyDescent="0.2">
      <c r="C13997" s="209"/>
      <c r="D13997" s="209"/>
      <c r="E13997" s="209"/>
      <c r="J13997" s="124"/>
    </row>
    <row r="13998" spans="3:10" x14ac:dyDescent="0.2">
      <c r="C13998" s="209"/>
      <c r="D13998" s="209"/>
      <c r="E13998" s="209"/>
      <c r="J13998" s="124"/>
    </row>
    <row r="13999" spans="3:10" x14ac:dyDescent="0.2">
      <c r="C13999" s="209"/>
      <c r="D13999" s="209"/>
      <c r="E13999" s="209"/>
      <c r="J13999" s="124"/>
    </row>
    <row r="14000" spans="3:10" x14ac:dyDescent="0.2">
      <c r="C14000" s="209"/>
      <c r="D14000" s="209"/>
      <c r="E14000" s="209"/>
      <c r="J14000" s="124"/>
    </row>
    <row r="14001" spans="3:10" x14ac:dyDescent="0.2">
      <c r="C14001" s="209"/>
      <c r="D14001" s="209"/>
      <c r="E14001" s="209"/>
      <c r="J14001" s="124"/>
    </row>
    <row r="14002" spans="3:10" x14ac:dyDescent="0.2">
      <c r="C14002" s="209"/>
      <c r="D14002" s="209"/>
      <c r="E14002" s="209"/>
      <c r="J14002" s="124"/>
    </row>
    <row r="14003" spans="3:10" x14ac:dyDescent="0.2">
      <c r="C14003" s="209"/>
      <c r="D14003" s="209"/>
      <c r="E14003" s="209"/>
      <c r="J14003" s="124"/>
    </row>
    <row r="14004" spans="3:10" x14ac:dyDescent="0.2">
      <c r="C14004" s="209"/>
      <c r="D14004" s="209"/>
      <c r="E14004" s="209"/>
      <c r="J14004" s="124"/>
    </row>
    <row r="14005" spans="3:10" x14ac:dyDescent="0.2">
      <c r="C14005" s="209"/>
      <c r="D14005" s="209"/>
      <c r="E14005" s="209"/>
      <c r="J14005" s="124"/>
    </row>
    <row r="14006" spans="3:10" x14ac:dyDescent="0.2">
      <c r="C14006" s="209"/>
      <c r="D14006" s="209"/>
      <c r="E14006" s="209"/>
      <c r="J14006" s="124"/>
    </row>
    <row r="14007" spans="3:10" x14ac:dyDescent="0.2">
      <c r="C14007" s="209"/>
      <c r="D14007" s="209"/>
      <c r="E14007" s="209"/>
      <c r="J14007" s="124"/>
    </row>
    <row r="14008" spans="3:10" x14ac:dyDescent="0.2">
      <c r="C14008" s="209"/>
      <c r="D14008" s="209"/>
      <c r="E14008" s="209"/>
      <c r="J14008" s="124"/>
    </row>
    <row r="14009" spans="3:10" x14ac:dyDescent="0.2">
      <c r="C14009" s="209"/>
      <c r="D14009" s="209"/>
      <c r="E14009" s="209"/>
      <c r="J14009" s="124"/>
    </row>
    <row r="14010" spans="3:10" x14ac:dyDescent="0.2">
      <c r="C14010" s="209"/>
      <c r="D14010" s="209"/>
      <c r="E14010" s="209"/>
      <c r="J14010" s="124"/>
    </row>
    <row r="14011" spans="3:10" x14ac:dyDescent="0.2">
      <c r="C14011" s="209"/>
      <c r="D14011" s="209"/>
      <c r="E14011" s="209"/>
      <c r="J14011" s="124"/>
    </row>
    <row r="14012" spans="3:10" x14ac:dyDescent="0.2">
      <c r="C14012" s="209"/>
      <c r="D14012" s="209"/>
      <c r="E14012" s="209"/>
      <c r="J14012" s="124"/>
    </row>
    <row r="14013" spans="3:10" x14ac:dyDescent="0.2">
      <c r="C14013" s="209"/>
      <c r="D14013" s="209"/>
      <c r="E14013" s="209"/>
      <c r="J14013" s="124"/>
    </row>
    <row r="14014" spans="3:10" x14ac:dyDescent="0.2">
      <c r="C14014" s="209"/>
      <c r="D14014" s="209"/>
      <c r="E14014" s="209"/>
      <c r="J14014" s="124"/>
    </row>
    <row r="14015" spans="3:10" x14ac:dyDescent="0.2">
      <c r="C14015" s="209"/>
      <c r="D14015" s="209"/>
      <c r="E14015" s="209"/>
      <c r="J14015" s="124"/>
    </row>
    <row r="14016" spans="3:10" x14ac:dyDescent="0.2">
      <c r="C14016" s="209"/>
      <c r="D14016" s="209"/>
      <c r="E14016" s="209"/>
      <c r="J14016" s="124"/>
    </row>
    <row r="14017" spans="3:10" x14ac:dyDescent="0.2">
      <c r="C14017" s="209"/>
      <c r="D14017" s="209"/>
      <c r="E14017" s="209"/>
      <c r="J14017" s="124"/>
    </row>
    <row r="14018" spans="3:10" x14ac:dyDescent="0.2">
      <c r="C14018" s="209"/>
      <c r="D14018" s="209"/>
      <c r="E14018" s="209"/>
      <c r="J14018" s="124"/>
    </row>
    <row r="14019" spans="3:10" x14ac:dyDescent="0.2">
      <c r="C14019" s="209"/>
      <c r="D14019" s="209"/>
      <c r="E14019" s="209"/>
      <c r="J14019" s="124"/>
    </row>
    <row r="14020" spans="3:10" x14ac:dyDescent="0.2">
      <c r="C14020" s="209"/>
      <c r="D14020" s="209"/>
      <c r="E14020" s="209"/>
      <c r="J14020" s="124"/>
    </row>
    <row r="14021" spans="3:10" x14ac:dyDescent="0.2">
      <c r="C14021" s="209"/>
      <c r="D14021" s="209"/>
      <c r="E14021" s="209"/>
      <c r="J14021" s="124"/>
    </row>
    <row r="14022" spans="3:10" x14ac:dyDescent="0.2">
      <c r="C14022" s="209"/>
      <c r="D14022" s="209"/>
      <c r="E14022" s="209"/>
      <c r="J14022" s="124"/>
    </row>
    <row r="14023" spans="3:10" x14ac:dyDescent="0.2">
      <c r="C14023" s="209"/>
      <c r="D14023" s="209"/>
      <c r="E14023" s="209"/>
      <c r="J14023" s="124"/>
    </row>
    <row r="14024" spans="3:10" x14ac:dyDescent="0.2">
      <c r="C14024" s="209"/>
      <c r="D14024" s="209"/>
      <c r="E14024" s="209"/>
      <c r="J14024" s="124"/>
    </row>
    <row r="14025" spans="3:10" x14ac:dyDescent="0.2">
      <c r="C14025" s="209"/>
      <c r="D14025" s="209"/>
      <c r="E14025" s="209"/>
      <c r="J14025" s="124"/>
    </row>
    <row r="14026" spans="3:10" x14ac:dyDescent="0.2">
      <c r="C14026" s="209"/>
      <c r="D14026" s="209"/>
      <c r="E14026" s="209"/>
      <c r="J14026" s="124"/>
    </row>
    <row r="14027" spans="3:10" x14ac:dyDescent="0.2">
      <c r="C14027" s="209"/>
      <c r="D14027" s="209"/>
      <c r="E14027" s="209"/>
      <c r="J14027" s="124"/>
    </row>
    <row r="14028" spans="3:10" x14ac:dyDescent="0.2">
      <c r="C14028" s="209"/>
      <c r="D14028" s="209"/>
      <c r="E14028" s="209"/>
      <c r="J14028" s="124"/>
    </row>
    <row r="14029" spans="3:10" x14ac:dyDescent="0.2">
      <c r="C14029" s="209"/>
      <c r="D14029" s="209"/>
      <c r="E14029" s="209"/>
      <c r="J14029" s="124"/>
    </row>
    <row r="14030" spans="3:10" x14ac:dyDescent="0.2">
      <c r="C14030" s="209"/>
      <c r="D14030" s="209"/>
      <c r="E14030" s="209"/>
      <c r="J14030" s="124"/>
    </row>
    <row r="14031" spans="3:10" x14ac:dyDescent="0.2">
      <c r="C14031" s="209"/>
      <c r="D14031" s="209"/>
      <c r="E14031" s="209"/>
      <c r="J14031" s="124"/>
    </row>
    <row r="14032" spans="3:10" x14ac:dyDescent="0.2">
      <c r="C14032" s="209"/>
      <c r="D14032" s="209"/>
      <c r="E14032" s="209"/>
      <c r="J14032" s="124"/>
    </row>
    <row r="14033" spans="3:10" x14ac:dyDescent="0.2">
      <c r="C14033" s="209"/>
      <c r="D14033" s="209"/>
      <c r="E14033" s="209"/>
      <c r="J14033" s="124"/>
    </row>
    <row r="14034" spans="3:10" x14ac:dyDescent="0.2">
      <c r="C14034" s="209"/>
      <c r="D14034" s="209"/>
      <c r="E14034" s="209"/>
      <c r="J14034" s="124"/>
    </row>
    <row r="14035" spans="3:10" x14ac:dyDescent="0.2">
      <c r="C14035" s="209"/>
      <c r="D14035" s="209"/>
      <c r="E14035" s="209"/>
      <c r="J14035" s="124"/>
    </row>
    <row r="14036" spans="3:10" x14ac:dyDescent="0.2">
      <c r="C14036" s="209"/>
      <c r="D14036" s="209"/>
      <c r="E14036" s="209"/>
      <c r="J14036" s="124"/>
    </row>
    <row r="14037" spans="3:10" x14ac:dyDescent="0.2">
      <c r="C14037" s="209"/>
      <c r="D14037" s="209"/>
      <c r="E14037" s="209"/>
      <c r="J14037" s="124"/>
    </row>
    <row r="14038" spans="3:10" x14ac:dyDescent="0.2">
      <c r="C14038" s="209"/>
      <c r="D14038" s="209"/>
      <c r="E14038" s="209"/>
      <c r="J14038" s="124"/>
    </row>
    <row r="14039" spans="3:10" x14ac:dyDescent="0.2">
      <c r="C14039" s="209"/>
      <c r="D14039" s="209"/>
      <c r="E14039" s="209"/>
      <c r="J14039" s="124"/>
    </row>
    <row r="14040" spans="3:10" x14ac:dyDescent="0.2">
      <c r="C14040" s="209"/>
      <c r="D14040" s="209"/>
      <c r="E14040" s="209"/>
      <c r="J14040" s="124"/>
    </row>
    <row r="14041" spans="3:10" x14ac:dyDescent="0.2">
      <c r="C14041" s="209"/>
      <c r="D14041" s="209"/>
      <c r="E14041" s="209"/>
      <c r="J14041" s="124"/>
    </row>
    <row r="14042" spans="3:10" x14ac:dyDescent="0.2">
      <c r="C14042" s="209"/>
      <c r="D14042" s="209"/>
      <c r="E14042" s="209"/>
      <c r="J14042" s="124"/>
    </row>
    <row r="14043" spans="3:10" x14ac:dyDescent="0.2">
      <c r="C14043" s="209"/>
      <c r="D14043" s="209"/>
      <c r="E14043" s="209"/>
      <c r="J14043" s="124"/>
    </row>
    <row r="14044" spans="3:10" x14ac:dyDescent="0.2">
      <c r="C14044" s="209"/>
      <c r="D14044" s="209"/>
      <c r="E14044" s="209"/>
      <c r="J14044" s="124"/>
    </row>
    <row r="14045" spans="3:10" x14ac:dyDescent="0.2">
      <c r="C14045" s="209"/>
      <c r="D14045" s="209"/>
      <c r="E14045" s="209"/>
      <c r="J14045" s="124"/>
    </row>
    <row r="14046" spans="3:10" x14ac:dyDescent="0.2">
      <c r="C14046" s="209"/>
      <c r="D14046" s="209"/>
      <c r="E14046" s="209"/>
      <c r="J14046" s="124"/>
    </row>
    <row r="14047" spans="3:10" x14ac:dyDescent="0.2">
      <c r="C14047" s="209"/>
      <c r="D14047" s="209"/>
      <c r="E14047" s="209"/>
      <c r="J14047" s="124"/>
    </row>
    <row r="14048" spans="3:10" x14ac:dyDescent="0.2">
      <c r="C14048" s="209"/>
      <c r="D14048" s="209"/>
      <c r="E14048" s="209"/>
      <c r="J14048" s="124"/>
    </row>
    <row r="14049" spans="3:10" x14ac:dyDescent="0.2">
      <c r="C14049" s="209"/>
      <c r="D14049" s="209"/>
      <c r="E14049" s="209"/>
      <c r="J14049" s="124"/>
    </row>
    <row r="14050" spans="3:10" x14ac:dyDescent="0.2">
      <c r="C14050" s="209"/>
      <c r="D14050" s="209"/>
      <c r="E14050" s="209"/>
      <c r="J14050" s="124"/>
    </row>
    <row r="14051" spans="3:10" x14ac:dyDescent="0.2">
      <c r="C14051" s="209"/>
      <c r="D14051" s="209"/>
      <c r="E14051" s="209"/>
      <c r="J14051" s="124"/>
    </row>
    <row r="14052" spans="3:10" x14ac:dyDescent="0.2">
      <c r="C14052" s="209"/>
      <c r="D14052" s="209"/>
      <c r="E14052" s="209"/>
      <c r="J14052" s="124"/>
    </row>
    <row r="14053" spans="3:10" x14ac:dyDescent="0.2">
      <c r="C14053" s="209"/>
      <c r="D14053" s="209"/>
      <c r="E14053" s="209"/>
      <c r="J14053" s="124"/>
    </row>
    <row r="14054" spans="3:10" x14ac:dyDescent="0.2">
      <c r="C14054" s="209"/>
      <c r="D14054" s="209"/>
      <c r="E14054" s="209"/>
      <c r="J14054" s="124"/>
    </row>
    <row r="14055" spans="3:10" x14ac:dyDescent="0.2">
      <c r="C14055" s="209"/>
      <c r="D14055" s="209"/>
      <c r="E14055" s="209"/>
      <c r="J14055" s="124"/>
    </row>
    <row r="14056" spans="3:10" x14ac:dyDescent="0.2">
      <c r="C14056" s="209"/>
      <c r="D14056" s="209"/>
      <c r="E14056" s="209"/>
      <c r="J14056" s="124"/>
    </row>
    <row r="14057" spans="3:10" x14ac:dyDescent="0.2">
      <c r="C14057" s="209"/>
      <c r="D14057" s="209"/>
      <c r="E14057" s="209"/>
      <c r="J14057" s="124"/>
    </row>
    <row r="14058" spans="3:10" x14ac:dyDescent="0.2">
      <c r="C14058" s="209"/>
      <c r="D14058" s="209"/>
      <c r="E14058" s="209"/>
      <c r="J14058" s="124"/>
    </row>
    <row r="14059" spans="3:10" x14ac:dyDescent="0.2">
      <c r="C14059" s="209"/>
      <c r="D14059" s="209"/>
      <c r="E14059" s="209"/>
      <c r="J14059" s="124"/>
    </row>
    <row r="14060" spans="3:10" x14ac:dyDescent="0.2">
      <c r="C14060" s="209"/>
      <c r="D14060" s="209"/>
      <c r="E14060" s="209"/>
      <c r="J14060" s="124"/>
    </row>
    <row r="14061" spans="3:10" x14ac:dyDescent="0.2">
      <c r="C14061" s="209"/>
      <c r="D14061" s="209"/>
      <c r="E14061" s="209"/>
      <c r="J14061" s="124"/>
    </row>
    <row r="14062" spans="3:10" x14ac:dyDescent="0.2">
      <c r="C14062" s="209"/>
      <c r="D14062" s="209"/>
      <c r="E14062" s="209"/>
      <c r="J14062" s="124"/>
    </row>
    <row r="14063" spans="3:10" x14ac:dyDescent="0.2">
      <c r="C14063" s="209"/>
      <c r="D14063" s="209"/>
      <c r="E14063" s="209"/>
      <c r="J14063" s="124"/>
    </row>
    <row r="14064" spans="3:10" x14ac:dyDescent="0.2">
      <c r="C14064" s="209"/>
      <c r="D14064" s="209"/>
      <c r="E14064" s="209"/>
      <c r="J14064" s="124"/>
    </row>
    <row r="14065" spans="3:10" x14ac:dyDescent="0.2">
      <c r="C14065" s="209"/>
      <c r="D14065" s="209"/>
      <c r="E14065" s="209"/>
      <c r="J14065" s="124"/>
    </row>
    <row r="14066" spans="3:10" x14ac:dyDescent="0.2">
      <c r="C14066" s="209"/>
      <c r="D14066" s="209"/>
      <c r="E14066" s="209"/>
      <c r="J14066" s="124"/>
    </row>
    <row r="14067" spans="3:10" x14ac:dyDescent="0.2">
      <c r="C14067" s="209"/>
      <c r="D14067" s="209"/>
      <c r="E14067" s="209"/>
      <c r="J14067" s="124"/>
    </row>
    <row r="14068" spans="3:10" x14ac:dyDescent="0.2">
      <c r="C14068" s="209"/>
      <c r="D14068" s="209"/>
      <c r="E14068" s="209"/>
      <c r="J14068" s="124"/>
    </row>
    <row r="14069" spans="3:10" x14ac:dyDescent="0.2">
      <c r="C14069" s="209"/>
      <c r="D14069" s="209"/>
      <c r="E14069" s="209"/>
      <c r="J14069" s="124"/>
    </row>
    <row r="14070" spans="3:10" x14ac:dyDescent="0.2">
      <c r="C14070" s="209"/>
      <c r="D14070" s="209"/>
      <c r="E14070" s="209"/>
      <c r="J14070" s="124"/>
    </row>
    <row r="14071" spans="3:10" x14ac:dyDescent="0.2">
      <c r="C14071" s="209"/>
      <c r="D14071" s="209"/>
      <c r="E14071" s="209"/>
      <c r="J14071" s="124"/>
    </row>
    <row r="14072" spans="3:10" x14ac:dyDescent="0.2">
      <c r="C14072" s="209"/>
      <c r="D14072" s="209"/>
      <c r="E14072" s="209"/>
      <c r="J14072" s="124"/>
    </row>
    <row r="14073" spans="3:10" x14ac:dyDescent="0.2">
      <c r="C14073" s="209"/>
      <c r="D14073" s="209"/>
      <c r="E14073" s="209"/>
      <c r="J14073" s="124"/>
    </row>
    <row r="14074" spans="3:10" x14ac:dyDescent="0.2">
      <c r="C14074" s="209"/>
      <c r="D14074" s="209"/>
      <c r="E14074" s="209"/>
      <c r="J14074" s="124"/>
    </row>
    <row r="14075" spans="3:10" x14ac:dyDescent="0.2">
      <c r="C14075" s="209"/>
      <c r="D14075" s="209"/>
      <c r="E14075" s="209"/>
      <c r="J14075" s="124"/>
    </row>
    <row r="14076" spans="3:10" x14ac:dyDescent="0.2">
      <c r="C14076" s="209"/>
      <c r="D14076" s="209"/>
      <c r="E14076" s="209"/>
      <c r="J14076" s="124"/>
    </row>
    <row r="14077" spans="3:10" x14ac:dyDescent="0.2">
      <c r="C14077" s="209"/>
      <c r="D14077" s="209"/>
      <c r="E14077" s="209"/>
      <c r="J14077" s="124"/>
    </row>
    <row r="14078" spans="3:10" x14ac:dyDescent="0.2">
      <c r="C14078" s="209"/>
      <c r="D14078" s="209"/>
      <c r="E14078" s="209"/>
      <c r="J14078" s="124"/>
    </row>
    <row r="14079" spans="3:10" x14ac:dyDescent="0.2">
      <c r="C14079" s="209"/>
      <c r="D14079" s="209"/>
      <c r="E14079" s="209"/>
      <c r="J14079" s="124"/>
    </row>
    <row r="14080" spans="3:10" x14ac:dyDescent="0.2">
      <c r="C14080" s="209"/>
      <c r="D14080" s="209"/>
      <c r="E14080" s="209"/>
      <c r="J14080" s="124"/>
    </row>
    <row r="14081" spans="3:10" x14ac:dyDescent="0.2">
      <c r="C14081" s="209"/>
      <c r="D14081" s="209"/>
      <c r="E14081" s="209"/>
      <c r="J14081" s="124"/>
    </row>
    <row r="14082" spans="3:10" x14ac:dyDescent="0.2">
      <c r="C14082" s="209"/>
      <c r="D14082" s="209"/>
      <c r="E14082" s="209"/>
      <c r="J14082" s="124"/>
    </row>
    <row r="14083" spans="3:10" x14ac:dyDescent="0.2">
      <c r="C14083" s="209"/>
      <c r="D14083" s="209"/>
      <c r="E14083" s="209"/>
      <c r="J14083" s="124"/>
    </row>
    <row r="14084" spans="3:10" x14ac:dyDescent="0.2">
      <c r="C14084" s="209"/>
      <c r="D14084" s="209"/>
      <c r="E14084" s="209"/>
      <c r="J14084" s="124"/>
    </row>
    <row r="14085" spans="3:10" x14ac:dyDescent="0.2">
      <c r="C14085" s="209"/>
      <c r="D14085" s="209"/>
      <c r="E14085" s="209"/>
      <c r="J14085" s="124"/>
    </row>
    <row r="14086" spans="3:10" x14ac:dyDescent="0.2">
      <c r="C14086" s="209"/>
      <c r="D14086" s="209"/>
      <c r="E14086" s="209"/>
      <c r="J14086" s="124"/>
    </row>
    <row r="14087" spans="3:10" x14ac:dyDescent="0.2">
      <c r="C14087" s="209"/>
      <c r="D14087" s="209"/>
      <c r="E14087" s="209"/>
      <c r="J14087" s="124"/>
    </row>
    <row r="14088" spans="3:10" x14ac:dyDescent="0.2">
      <c r="C14088" s="209"/>
      <c r="D14088" s="209"/>
      <c r="E14088" s="209"/>
      <c r="J14088" s="124"/>
    </row>
    <row r="14089" spans="3:10" x14ac:dyDescent="0.2">
      <c r="C14089" s="209"/>
      <c r="D14089" s="209"/>
      <c r="E14089" s="209"/>
      <c r="J14089" s="124"/>
    </row>
    <row r="14090" spans="3:10" x14ac:dyDescent="0.2">
      <c r="C14090" s="209"/>
      <c r="D14090" s="209"/>
      <c r="E14090" s="209"/>
      <c r="J14090" s="124"/>
    </row>
    <row r="14091" spans="3:10" x14ac:dyDescent="0.2">
      <c r="C14091" s="209"/>
      <c r="D14091" s="209"/>
      <c r="E14091" s="209"/>
      <c r="J14091" s="124"/>
    </row>
    <row r="14092" spans="3:10" x14ac:dyDescent="0.2">
      <c r="C14092" s="209"/>
      <c r="D14092" s="209"/>
      <c r="E14092" s="209"/>
      <c r="J14092" s="124"/>
    </row>
    <row r="14093" spans="3:10" x14ac:dyDescent="0.2">
      <c r="C14093" s="209"/>
      <c r="D14093" s="209"/>
      <c r="E14093" s="209"/>
      <c r="J14093" s="124"/>
    </row>
    <row r="14094" spans="3:10" x14ac:dyDescent="0.2">
      <c r="C14094" s="209"/>
      <c r="D14094" s="209"/>
      <c r="E14094" s="209"/>
      <c r="J14094" s="124"/>
    </row>
    <row r="14095" spans="3:10" x14ac:dyDescent="0.2">
      <c r="C14095" s="209"/>
      <c r="D14095" s="209"/>
      <c r="E14095" s="209"/>
      <c r="J14095" s="124"/>
    </row>
    <row r="14096" spans="3:10" x14ac:dyDescent="0.2">
      <c r="C14096" s="209"/>
      <c r="D14096" s="209"/>
      <c r="E14096" s="209"/>
      <c r="J14096" s="124"/>
    </row>
    <row r="14097" spans="3:10" x14ac:dyDescent="0.2">
      <c r="C14097" s="209"/>
      <c r="D14097" s="209"/>
      <c r="E14097" s="209"/>
      <c r="J14097" s="124"/>
    </row>
    <row r="14098" spans="3:10" x14ac:dyDescent="0.2">
      <c r="C14098" s="209"/>
      <c r="D14098" s="209"/>
      <c r="E14098" s="209"/>
      <c r="J14098" s="124"/>
    </row>
    <row r="14099" spans="3:10" x14ac:dyDescent="0.2">
      <c r="C14099" s="209"/>
      <c r="D14099" s="209"/>
      <c r="E14099" s="209"/>
      <c r="J14099" s="124"/>
    </row>
    <row r="14100" spans="3:10" x14ac:dyDescent="0.2">
      <c r="C14100" s="209"/>
      <c r="D14100" s="209"/>
      <c r="E14100" s="209"/>
      <c r="J14100" s="124"/>
    </row>
    <row r="14101" spans="3:10" x14ac:dyDescent="0.2">
      <c r="C14101" s="209"/>
      <c r="D14101" s="209"/>
      <c r="E14101" s="209"/>
      <c r="J14101" s="124"/>
    </row>
    <row r="14102" spans="3:10" x14ac:dyDescent="0.2">
      <c r="C14102" s="209"/>
      <c r="D14102" s="209"/>
      <c r="E14102" s="209"/>
      <c r="J14102" s="124"/>
    </row>
    <row r="14103" spans="3:10" x14ac:dyDescent="0.2">
      <c r="C14103" s="209"/>
      <c r="D14103" s="209"/>
      <c r="E14103" s="209"/>
      <c r="J14103" s="124"/>
    </row>
    <row r="14104" spans="3:10" x14ac:dyDescent="0.2">
      <c r="C14104" s="209"/>
      <c r="D14104" s="209"/>
      <c r="E14104" s="209"/>
      <c r="J14104" s="124"/>
    </row>
    <row r="14105" spans="3:10" x14ac:dyDescent="0.2">
      <c r="C14105" s="209"/>
      <c r="D14105" s="209"/>
      <c r="E14105" s="209"/>
      <c r="J14105" s="124"/>
    </row>
    <row r="14106" spans="3:10" x14ac:dyDescent="0.2">
      <c r="C14106" s="209"/>
      <c r="D14106" s="209"/>
      <c r="E14106" s="209"/>
      <c r="J14106" s="124"/>
    </row>
    <row r="14107" spans="3:10" x14ac:dyDescent="0.2">
      <c r="C14107" s="209"/>
      <c r="D14107" s="209"/>
      <c r="E14107" s="209"/>
      <c r="J14107" s="124"/>
    </row>
    <row r="14108" spans="3:10" x14ac:dyDescent="0.2">
      <c r="C14108" s="209"/>
      <c r="D14108" s="209"/>
      <c r="E14108" s="209"/>
      <c r="J14108" s="124"/>
    </row>
    <row r="14109" spans="3:10" x14ac:dyDescent="0.2">
      <c r="C14109" s="209"/>
      <c r="D14109" s="209"/>
      <c r="E14109" s="209"/>
      <c r="J14109" s="124"/>
    </row>
    <row r="14110" spans="3:10" x14ac:dyDescent="0.2">
      <c r="C14110" s="209"/>
      <c r="D14110" s="209"/>
      <c r="E14110" s="209"/>
      <c r="J14110" s="124"/>
    </row>
    <row r="14111" spans="3:10" x14ac:dyDescent="0.2">
      <c r="C14111" s="209"/>
      <c r="D14111" s="209"/>
      <c r="E14111" s="209"/>
      <c r="J14111" s="124"/>
    </row>
    <row r="14112" spans="3:10" x14ac:dyDescent="0.2">
      <c r="C14112" s="209"/>
      <c r="D14112" s="209"/>
      <c r="E14112" s="209"/>
      <c r="J14112" s="124"/>
    </row>
    <row r="14113" spans="3:10" x14ac:dyDescent="0.2">
      <c r="C14113" s="209"/>
      <c r="D14113" s="209"/>
      <c r="E14113" s="209"/>
      <c r="J14113" s="124"/>
    </row>
    <row r="14114" spans="3:10" x14ac:dyDescent="0.2">
      <c r="C14114" s="209"/>
      <c r="D14114" s="209"/>
      <c r="E14114" s="209"/>
      <c r="J14114" s="124"/>
    </row>
    <row r="14115" spans="3:10" x14ac:dyDescent="0.2">
      <c r="C14115" s="209"/>
      <c r="D14115" s="209"/>
      <c r="E14115" s="209"/>
      <c r="J14115" s="124"/>
    </row>
    <row r="14116" spans="3:10" x14ac:dyDescent="0.2">
      <c r="C14116" s="209"/>
      <c r="D14116" s="209"/>
      <c r="E14116" s="209"/>
      <c r="J14116" s="124"/>
    </row>
    <row r="14117" spans="3:10" x14ac:dyDescent="0.2">
      <c r="C14117" s="209"/>
      <c r="D14117" s="209"/>
      <c r="E14117" s="209"/>
      <c r="J14117" s="124"/>
    </row>
    <row r="14118" spans="3:10" x14ac:dyDescent="0.2">
      <c r="C14118" s="209"/>
      <c r="D14118" s="209"/>
      <c r="E14118" s="209"/>
      <c r="J14118" s="124"/>
    </row>
    <row r="14119" spans="3:10" x14ac:dyDescent="0.2">
      <c r="C14119" s="209"/>
      <c r="D14119" s="209"/>
      <c r="E14119" s="209"/>
      <c r="J14119" s="124"/>
    </row>
    <row r="14120" spans="3:10" x14ac:dyDescent="0.2">
      <c r="C14120" s="209"/>
      <c r="D14120" s="209"/>
      <c r="E14120" s="209"/>
      <c r="J14120" s="124"/>
    </row>
    <row r="14121" spans="3:10" x14ac:dyDescent="0.2">
      <c r="C14121" s="209"/>
      <c r="D14121" s="209"/>
      <c r="E14121" s="209"/>
      <c r="J14121" s="124"/>
    </row>
    <row r="14122" spans="3:10" x14ac:dyDescent="0.2">
      <c r="C14122" s="209"/>
      <c r="D14122" s="209"/>
      <c r="E14122" s="209"/>
      <c r="J14122" s="124"/>
    </row>
    <row r="14123" spans="3:10" x14ac:dyDescent="0.2">
      <c r="C14123" s="209"/>
      <c r="D14123" s="209"/>
      <c r="E14123" s="209"/>
      <c r="J14123" s="124"/>
    </row>
    <row r="14124" spans="3:10" x14ac:dyDescent="0.2">
      <c r="C14124" s="209"/>
      <c r="D14124" s="209"/>
      <c r="E14124" s="209"/>
      <c r="J14124" s="124"/>
    </row>
    <row r="14125" spans="3:10" x14ac:dyDescent="0.2">
      <c r="C14125" s="209"/>
      <c r="D14125" s="209"/>
      <c r="E14125" s="209"/>
      <c r="J14125" s="124"/>
    </row>
    <row r="14126" spans="3:10" x14ac:dyDescent="0.2">
      <c r="C14126" s="209"/>
      <c r="D14126" s="209"/>
      <c r="E14126" s="209"/>
      <c r="J14126" s="124"/>
    </row>
    <row r="14127" spans="3:10" x14ac:dyDescent="0.2">
      <c r="C14127" s="209"/>
      <c r="D14127" s="209"/>
      <c r="E14127" s="209"/>
      <c r="J14127" s="124"/>
    </row>
    <row r="14128" spans="3:10" x14ac:dyDescent="0.2">
      <c r="C14128" s="209"/>
      <c r="D14128" s="209"/>
      <c r="E14128" s="209"/>
      <c r="J14128" s="124"/>
    </row>
    <row r="14129" spans="3:10" x14ac:dyDescent="0.2">
      <c r="C14129" s="209"/>
      <c r="D14129" s="209"/>
      <c r="E14129" s="209"/>
      <c r="J14129" s="124"/>
    </row>
    <row r="14130" spans="3:10" x14ac:dyDescent="0.2">
      <c r="C14130" s="209"/>
      <c r="D14130" s="209"/>
      <c r="E14130" s="209"/>
      <c r="J14130" s="124"/>
    </row>
    <row r="14131" spans="3:10" x14ac:dyDescent="0.2">
      <c r="C14131" s="209"/>
      <c r="D14131" s="209"/>
      <c r="E14131" s="209"/>
      <c r="J14131" s="124"/>
    </row>
    <row r="14132" spans="3:10" x14ac:dyDescent="0.2">
      <c r="C14132" s="209"/>
      <c r="D14132" s="209"/>
      <c r="E14132" s="209"/>
      <c r="J14132" s="124"/>
    </row>
    <row r="14133" spans="3:10" x14ac:dyDescent="0.2">
      <c r="C14133" s="209"/>
      <c r="D14133" s="209"/>
      <c r="E14133" s="209"/>
      <c r="J14133" s="124"/>
    </row>
    <row r="14134" spans="3:10" x14ac:dyDescent="0.2">
      <c r="C14134" s="209"/>
      <c r="D14134" s="209"/>
      <c r="E14134" s="209"/>
      <c r="J14134" s="124"/>
    </row>
    <row r="14135" spans="3:10" x14ac:dyDescent="0.2">
      <c r="C14135" s="209"/>
      <c r="D14135" s="209"/>
      <c r="E14135" s="209"/>
      <c r="J14135" s="124"/>
    </row>
    <row r="14136" spans="3:10" x14ac:dyDescent="0.2">
      <c r="C14136" s="209"/>
      <c r="D14136" s="209"/>
      <c r="E14136" s="209"/>
      <c r="J14136" s="124"/>
    </row>
    <row r="14137" spans="3:10" x14ac:dyDescent="0.2">
      <c r="C14137" s="209"/>
      <c r="D14137" s="209"/>
      <c r="E14137" s="209"/>
      <c r="J14137" s="124"/>
    </row>
    <row r="14138" spans="3:10" x14ac:dyDescent="0.2">
      <c r="C14138" s="209"/>
      <c r="D14138" s="209"/>
      <c r="E14138" s="209"/>
      <c r="J14138" s="124"/>
    </row>
    <row r="14139" spans="3:10" x14ac:dyDescent="0.2">
      <c r="C14139" s="209"/>
      <c r="D14139" s="209"/>
      <c r="E14139" s="209"/>
      <c r="J14139" s="124"/>
    </row>
    <row r="14140" spans="3:10" x14ac:dyDescent="0.2">
      <c r="C14140" s="209"/>
      <c r="D14140" s="209"/>
      <c r="E14140" s="209"/>
      <c r="J14140" s="124"/>
    </row>
    <row r="14141" spans="3:10" x14ac:dyDescent="0.2">
      <c r="C14141" s="209"/>
      <c r="D14141" s="209"/>
      <c r="E14141" s="209"/>
      <c r="J14141" s="124"/>
    </row>
    <row r="14142" spans="3:10" x14ac:dyDescent="0.2">
      <c r="C14142" s="209"/>
      <c r="D14142" s="209"/>
      <c r="E14142" s="209"/>
      <c r="J14142" s="124"/>
    </row>
    <row r="14143" spans="3:10" x14ac:dyDescent="0.2">
      <c r="C14143" s="209"/>
      <c r="D14143" s="209"/>
      <c r="E14143" s="209"/>
      <c r="J14143" s="124"/>
    </row>
    <row r="14144" spans="3:10" x14ac:dyDescent="0.2">
      <c r="C14144" s="209"/>
      <c r="D14144" s="209"/>
      <c r="E14144" s="209"/>
      <c r="J14144" s="124"/>
    </row>
    <row r="14145" spans="3:10" x14ac:dyDescent="0.2">
      <c r="C14145" s="209"/>
      <c r="D14145" s="209"/>
      <c r="E14145" s="209"/>
      <c r="J14145" s="124"/>
    </row>
    <row r="14146" spans="3:10" x14ac:dyDescent="0.2">
      <c r="C14146" s="209"/>
      <c r="D14146" s="209"/>
      <c r="E14146" s="209"/>
      <c r="J14146" s="124"/>
    </row>
    <row r="14147" spans="3:10" x14ac:dyDescent="0.2">
      <c r="C14147" s="209"/>
      <c r="D14147" s="209"/>
      <c r="E14147" s="209"/>
      <c r="J14147" s="124"/>
    </row>
    <row r="14148" spans="3:10" x14ac:dyDescent="0.2">
      <c r="C14148" s="209"/>
      <c r="D14148" s="209"/>
      <c r="E14148" s="209"/>
      <c r="J14148" s="124"/>
    </row>
    <row r="14149" spans="3:10" x14ac:dyDescent="0.2">
      <c r="C14149" s="209"/>
      <c r="D14149" s="209"/>
      <c r="E14149" s="209"/>
      <c r="J14149" s="124"/>
    </row>
    <row r="14150" spans="3:10" x14ac:dyDescent="0.2">
      <c r="C14150" s="209"/>
      <c r="D14150" s="209"/>
      <c r="E14150" s="209"/>
      <c r="J14150" s="124"/>
    </row>
    <row r="14151" spans="3:10" x14ac:dyDescent="0.2">
      <c r="C14151" s="209"/>
      <c r="D14151" s="209"/>
      <c r="E14151" s="209"/>
      <c r="J14151" s="124"/>
    </row>
    <row r="14152" spans="3:10" x14ac:dyDescent="0.2">
      <c r="C14152" s="209"/>
      <c r="D14152" s="209"/>
      <c r="E14152" s="209"/>
      <c r="J14152" s="124"/>
    </row>
    <row r="14153" spans="3:10" x14ac:dyDescent="0.2">
      <c r="C14153" s="209"/>
      <c r="D14153" s="209"/>
      <c r="E14153" s="209"/>
      <c r="J14153" s="124"/>
    </row>
    <row r="14154" spans="3:10" x14ac:dyDescent="0.2">
      <c r="C14154" s="209"/>
      <c r="D14154" s="209"/>
      <c r="E14154" s="209"/>
      <c r="J14154" s="124"/>
    </row>
    <row r="14155" spans="3:10" x14ac:dyDescent="0.2">
      <c r="C14155" s="209"/>
      <c r="D14155" s="209"/>
      <c r="E14155" s="209"/>
      <c r="J14155" s="124"/>
    </row>
    <row r="14156" spans="3:10" x14ac:dyDescent="0.2">
      <c r="C14156" s="209"/>
      <c r="D14156" s="209"/>
      <c r="E14156" s="209"/>
      <c r="J14156" s="124"/>
    </row>
    <row r="14157" spans="3:10" x14ac:dyDescent="0.2">
      <c r="C14157" s="209"/>
      <c r="D14157" s="209"/>
      <c r="E14157" s="209"/>
      <c r="J14157" s="124"/>
    </row>
    <row r="14158" spans="3:10" x14ac:dyDescent="0.2">
      <c r="C14158" s="209"/>
      <c r="D14158" s="209"/>
      <c r="E14158" s="209"/>
      <c r="J14158" s="124"/>
    </row>
    <row r="14159" spans="3:10" x14ac:dyDescent="0.2">
      <c r="C14159" s="209"/>
      <c r="D14159" s="209"/>
      <c r="E14159" s="209"/>
      <c r="J14159" s="124"/>
    </row>
    <row r="14160" spans="3:10" x14ac:dyDescent="0.2">
      <c r="C14160" s="209"/>
      <c r="D14160" s="209"/>
      <c r="E14160" s="209"/>
      <c r="J14160" s="124"/>
    </row>
    <row r="14161" spans="3:10" x14ac:dyDescent="0.2">
      <c r="C14161" s="209"/>
      <c r="D14161" s="209"/>
      <c r="E14161" s="209"/>
      <c r="J14161" s="124"/>
    </row>
    <row r="14162" spans="3:10" x14ac:dyDescent="0.2">
      <c r="C14162" s="209"/>
      <c r="D14162" s="209"/>
      <c r="E14162" s="209"/>
      <c r="J14162" s="124"/>
    </row>
    <row r="14163" spans="3:10" x14ac:dyDescent="0.2">
      <c r="C14163" s="209"/>
      <c r="D14163" s="209"/>
      <c r="E14163" s="209"/>
      <c r="J14163" s="124"/>
    </row>
    <row r="14164" spans="3:10" x14ac:dyDescent="0.2">
      <c r="C14164" s="209"/>
      <c r="D14164" s="209"/>
      <c r="E14164" s="209"/>
      <c r="J14164" s="124"/>
    </row>
    <row r="14165" spans="3:10" x14ac:dyDescent="0.2">
      <c r="C14165" s="209"/>
      <c r="D14165" s="209"/>
      <c r="E14165" s="209"/>
      <c r="J14165" s="124"/>
    </row>
    <row r="14166" spans="3:10" x14ac:dyDescent="0.2">
      <c r="C14166" s="209"/>
      <c r="D14166" s="209"/>
      <c r="E14166" s="209"/>
      <c r="J14166" s="124"/>
    </row>
    <row r="14167" spans="3:10" x14ac:dyDescent="0.2">
      <c r="C14167" s="209"/>
      <c r="D14167" s="209"/>
      <c r="E14167" s="209"/>
      <c r="J14167" s="124"/>
    </row>
    <row r="14168" spans="3:10" x14ac:dyDescent="0.2">
      <c r="C14168" s="209"/>
      <c r="D14168" s="209"/>
      <c r="E14168" s="209"/>
      <c r="J14168" s="124"/>
    </row>
    <row r="14169" spans="3:10" x14ac:dyDescent="0.2">
      <c r="C14169" s="209"/>
      <c r="D14169" s="209"/>
      <c r="E14169" s="209"/>
      <c r="J14169" s="124"/>
    </row>
    <row r="14170" spans="3:10" x14ac:dyDescent="0.2">
      <c r="C14170" s="209"/>
      <c r="D14170" s="209"/>
      <c r="E14170" s="209"/>
      <c r="J14170" s="124"/>
    </row>
    <row r="14171" spans="3:10" x14ac:dyDescent="0.2">
      <c r="C14171" s="209"/>
      <c r="D14171" s="209"/>
      <c r="E14171" s="209"/>
      <c r="J14171" s="124"/>
    </row>
    <row r="14172" spans="3:10" x14ac:dyDescent="0.2">
      <c r="C14172" s="209"/>
      <c r="D14172" s="209"/>
      <c r="E14172" s="209"/>
      <c r="J14172" s="124"/>
    </row>
    <row r="14173" spans="3:10" x14ac:dyDescent="0.2">
      <c r="C14173" s="209"/>
      <c r="D14173" s="209"/>
      <c r="E14173" s="209"/>
      <c r="J14173" s="124"/>
    </row>
    <row r="14174" spans="3:10" x14ac:dyDescent="0.2">
      <c r="C14174" s="209"/>
      <c r="D14174" s="209"/>
      <c r="E14174" s="209"/>
      <c r="J14174" s="124"/>
    </row>
    <row r="14175" spans="3:10" x14ac:dyDescent="0.2">
      <c r="C14175" s="209"/>
      <c r="D14175" s="209"/>
      <c r="E14175" s="209"/>
      <c r="J14175" s="124"/>
    </row>
    <row r="14176" spans="3:10" x14ac:dyDescent="0.2">
      <c r="C14176" s="209"/>
      <c r="D14176" s="209"/>
      <c r="E14176" s="209"/>
      <c r="J14176" s="124"/>
    </row>
    <row r="14177" spans="3:10" x14ac:dyDescent="0.2">
      <c r="C14177" s="209"/>
      <c r="D14177" s="209"/>
      <c r="E14177" s="209"/>
      <c r="J14177" s="124"/>
    </row>
    <row r="14178" spans="3:10" x14ac:dyDescent="0.2">
      <c r="C14178" s="209"/>
      <c r="D14178" s="209"/>
      <c r="E14178" s="209"/>
      <c r="J14178" s="124"/>
    </row>
    <row r="14179" spans="3:10" x14ac:dyDescent="0.2">
      <c r="C14179" s="209"/>
      <c r="D14179" s="209"/>
      <c r="E14179" s="209"/>
      <c r="J14179" s="124"/>
    </row>
    <row r="14180" spans="3:10" x14ac:dyDescent="0.2">
      <c r="C14180" s="209"/>
      <c r="D14180" s="209"/>
      <c r="E14180" s="209"/>
      <c r="J14180" s="124"/>
    </row>
    <row r="14181" spans="3:10" x14ac:dyDescent="0.2">
      <c r="C14181" s="209"/>
      <c r="D14181" s="209"/>
      <c r="E14181" s="209"/>
      <c r="J14181" s="124"/>
    </row>
    <row r="14182" spans="3:10" x14ac:dyDescent="0.2">
      <c r="C14182" s="209"/>
      <c r="D14182" s="209"/>
      <c r="E14182" s="209"/>
      <c r="J14182" s="124"/>
    </row>
    <row r="14183" spans="3:10" x14ac:dyDescent="0.2">
      <c r="C14183" s="209"/>
      <c r="D14183" s="209"/>
      <c r="E14183" s="209"/>
      <c r="J14183" s="124"/>
    </row>
    <row r="14184" spans="3:10" x14ac:dyDescent="0.2">
      <c r="C14184" s="209"/>
      <c r="D14184" s="209"/>
      <c r="E14184" s="209"/>
      <c r="J14184" s="124"/>
    </row>
    <row r="14185" spans="3:10" x14ac:dyDescent="0.2">
      <c r="C14185" s="209"/>
      <c r="D14185" s="209"/>
      <c r="E14185" s="209"/>
      <c r="J14185" s="124"/>
    </row>
    <row r="14186" spans="3:10" x14ac:dyDescent="0.2">
      <c r="C14186" s="209"/>
      <c r="D14186" s="209"/>
      <c r="E14186" s="209"/>
      <c r="J14186" s="124"/>
    </row>
    <row r="14187" spans="3:10" x14ac:dyDescent="0.2">
      <c r="C14187" s="209"/>
      <c r="D14187" s="209"/>
      <c r="E14187" s="209"/>
      <c r="J14187" s="124"/>
    </row>
    <row r="14188" spans="3:10" x14ac:dyDescent="0.2">
      <c r="C14188" s="209"/>
      <c r="D14188" s="209"/>
      <c r="E14188" s="209"/>
      <c r="J14188" s="124"/>
    </row>
    <row r="14189" spans="3:10" x14ac:dyDescent="0.2">
      <c r="C14189" s="209"/>
      <c r="D14189" s="209"/>
      <c r="E14189" s="209"/>
      <c r="J14189" s="124"/>
    </row>
    <row r="14190" spans="3:10" x14ac:dyDescent="0.2">
      <c r="C14190" s="209"/>
      <c r="D14190" s="209"/>
      <c r="E14190" s="209"/>
      <c r="J14190" s="124"/>
    </row>
    <row r="14191" spans="3:10" x14ac:dyDescent="0.2">
      <c r="C14191" s="209"/>
      <c r="D14191" s="209"/>
      <c r="E14191" s="209"/>
      <c r="J14191" s="124"/>
    </row>
    <row r="14192" spans="3:10" x14ac:dyDescent="0.2">
      <c r="C14192" s="209"/>
      <c r="D14192" s="209"/>
      <c r="E14192" s="209"/>
      <c r="J14192" s="124"/>
    </row>
    <row r="14193" spans="3:10" x14ac:dyDescent="0.2">
      <c r="C14193" s="209"/>
      <c r="D14193" s="209"/>
      <c r="E14193" s="209"/>
      <c r="J14193" s="124"/>
    </row>
    <row r="14194" spans="3:10" x14ac:dyDescent="0.2">
      <c r="C14194" s="209"/>
      <c r="D14194" s="209"/>
      <c r="E14194" s="209"/>
      <c r="J14194" s="124"/>
    </row>
    <row r="14195" spans="3:10" x14ac:dyDescent="0.2">
      <c r="C14195" s="209"/>
      <c r="D14195" s="209"/>
      <c r="E14195" s="209"/>
      <c r="J14195" s="124"/>
    </row>
    <row r="14196" spans="3:10" x14ac:dyDescent="0.2">
      <c r="C14196" s="209"/>
      <c r="D14196" s="209"/>
      <c r="E14196" s="209"/>
      <c r="J14196" s="124"/>
    </row>
    <row r="14197" spans="3:10" x14ac:dyDescent="0.2">
      <c r="C14197" s="209"/>
      <c r="D14197" s="209"/>
      <c r="E14197" s="209"/>
      <c r="J14197" s="124"/>
    </row>
    <row r="14198" spans="3:10" x14ac:dyDescent="0.2">
      <c r="C14198" s="209"/>
      <c r="D14198" s="209"/>
      <c r="E14198" s="209"/>
      <c r="J14198" s="124"/>
    </row>
    <row r="14199" spans="3:10" x14ac:dyDescent="0.2">
      <c r="C14199" s="209"/>
      <c r="D14199" s="209"/>
      <c r="E14199" s="209"/>
      <c r="J14199" s="124"/>
    </row>
    <row r="14200" spans="3:10" x14ac:dyDescent="0.2">
      <c r="C14200" s="209"/>
      <c r="D14200" s="209"/>
      <c r="E14200" s="209"/>
      <c r="J14200" s="124"/>
    </row>
    <row r="14201" spans="3:10" x14ac:dyDescent="0.2">
      <c r="C14201" s="209"/>
      <c r="D14201" s="209"/>
      <c r="E14201" s="209"/>
      <c r="J14201" s="124"/>
    </row>
    <row r="14202" spans="3:10" x14ac:dyDescent="0.2">
      <c r="C14202" s="209"/>
      <c r="D14202" s="209"/>
      <c r="E14202" s="209"/>
      <c r="J14202" s="124"/>
    </row>
    <row r="14203" spans="3:10" x14ac:dyDescent="0.2">
      <c r="C14203" s="209"/>
      <c r="D14203" s="209"/>
      <c r="E14203" s="209"/>
      <c r="J14203" s="124"/>
    </row>
    <row r="14204" spans="3:10" x14ac:dyDescent="0.2">
      <c r="C14204" s="209"/>
      <c r="D14204" s="209"/>
      <c r="E14204" s="209"/>
      <c r="J14204" s="124"/>
    </row>
    <row r="14205" spans="3:10" x14ac:dyDescent="0.2">
      <c r="C14205" s="209"/>
      <c r="D14205" s="209"/>
      <c r="E14205" s="209"/>
      <c r="J14205" s="124"/>
    </row>
    <row r="14206" spans="3:10" x14ac:dyDescent="0.2">
      <c r="C14206" s="209"/>
      <c r="D14206" s="209"/>
      <c r="E14206" s="209"/>
      <c r="J14206" s="124"/>
    </row>
    <row r="14207" spans="3:10" x14ac:dyDescent="0.2">
      <c r="C14207" s="209"/>
      <c r="D14207" s="209"/>
      <c r="E14207" s="209"/>
      <c r="J14207" s="124"/>
    </row>
    <row r="14208" spans="3:10" x14ac:dyDescent="0.2">
      <c r="C14208" s="209"/>
      <c r="D14208" s="209"/>
      <c r="E14208" s="209"/>
      <c r="J14208" s="124"/>
    </row>
    <row r="14209" spans="3:10" x14ac:dyDescent="0.2">
      <c r="C14209" s="209"/>
      <c r="D14209" s="209"/>
      <c r="E14209" s="209"/>
      <c r="J14209" s="124"/>
    </row>
    <row r="14210" spans="3:10" x14ac:dyDescent="0.2">
      <c r="C14210" s="209"/>
      <c r="D14210" s="209"/>
      <c r="E14210" s="209"/>
      <c r="J14210" s="124"/>
    </row>
    <row r="14211" spans="3:10" x14ac:dyDescent="0.2">
      <c r="C14211" s="209"/>
      <c r="D14211" s="209"/>
      <c r="E14211" s="209"/>
      <c r="J14211" s="124"/>
    </row>
    <row r="14212" spans="3:10" x14ac:dyDescent="0.2">
      <c r="C14212" s="209"/>
      <c r="D14212" s="209"/>
      <c r="E14212" s="209"/>
      <c r="J14212" s="124"/>
    </row>
    <row r="14213" spans="3:10" x14ac:dyDescent="0.2">
      <c r="C14213" s="209"/>
      <c r="D14213" s="209"/>
      <c r="E14213" s="209"/>
      <c r="J14213" s="124"/>
    </row>
    <row r="14214" spans="3:10" x14ac:dyDescent="0.2">
      <c r="C14214" s="209"/>
      <c r="D14214" s="209"/>
      <c r="E14214" s="209"/>
      <c r="J14214" s="124"/>
    </row>
    <row r="14215" spans="3:10" x14ac:dyDescent="0.2">
      <c r="C14215" s="209"/>
      <c r="D14215" s="209"/>
      <c r="E14215" s="209"/>
      <c r="J14215" s="124"/>
    </row>
    <row r="14216" spans="3:10" x14ac:dyDescent="0.2">
      <c r="C14216" s="209"/>
      <c r="D14216" s="209"/>
      <c r="E14216" s="209"/>
      <c r="J14216" s="124"/>
    </row>
    <row r="14217" spans="3:10" x14ac:dyDescent="0.2">
      <c r="C14217" s="209"/>
      <c r="D14217" s="209"/>
      <c r="E14217" s="209"/>
      <c r="J14217" s="124"/>
    </row>
    <row r="14218" spans="3:10" x14ac:dyDescent="0.2">
      <c r="C14218" s="209"/>
      <c r="D14218" s="209"/>
      <c r="E14218" s="209"/>
      <c r="J14218" s="124"/>
    </row>
    <row r="14219" spans="3:10" x14ac:dyDescent="0.2">
      <c r="C14219" s="209"/>
      <c r="D14219" s="209"/>
      <c r="E14219" s="209"/>
      <c r="J14219" s="124"/>
    </row>
    <row r="14220" spans="3:10" x14ac:dyDescent="0.2">
      <c r="C14220" s="209"/>
      <c r="D14220" s="209"/>
      <c r="E14220" s="209"/>
      <c r="J14220" s="124"/>
    </row>
    <row r="14221" spans="3:10" x14ac:dyDescent="0.2">
      <c r="C14221" s="209"/>
      <c r="D14221" s="209"/>
      <c r="E14221" s="209"/>
      <c r="J14221" s="124"/>
    </row>
    <row r="14222" spans="3:10" x14ac:dyDescent="0.2">
      <c r="C14222" s="209"/>
      <c r="D14222" s="209"/>
      <c r="E14222" s="209"/>
      <c r="J14222" s="124"/>
    </row>
    <row r="14223" spans="3:10" x14ac:dyDescent="0.2">
      <c r="C14223" s="209"/>
      <c r="D14223" s="209"/>
      <c r="E14223" s="209"/>
      <c r="J14223" s="124"/>
    </row>
    <row r="14224" spans="3:10" x14ac:dyDescent="0.2">
      <c r="C14224" s="209"/>
      <c r="D14224" s="209"/>
      <c r="E14224" s="209"/>
      <c r="J14224" s="124"/>
    </row>
    <row r="14225" spans="3:10" x14ac:dyDescent="0.2">
      <c r="C14225" s="209"/>
      <c r="D14225" s="209"/>
      <c r="E14225" s="209"/>
      <c r="J14225" s="124"/>
    </row>
    <row r="14226" spans="3:10" x14ac:dyDescent="0.2">
      <c r="C14226" s="209"/>
      <c r="D14226" s="209"/>
      <c r="E14226" s="209"/>
      <c r="J14226" s="124"/>
    </row>
    <row r="14227" spans="3:10" x14ac:dyDescent="0.2">
      <c r="C14227" s="209"/>
      <c r="D14227" s="209"/>
      <c r="E14227" s="209"/>
      <c r="J14227" s="124"/>
    </row>
    <row r="14228" spans="3:10" x14ac:dyDescent="0.2">
      <c r="C14228" s="209"/>
      <c r="D14228" s="209"/>
      <c r="E14228" s="209"/>
      <c r="J14228" s="124"/>
    </row>
    <row r="14229" spans="3:10" x14ac:dyDescent="0.2">
      <c r="C14229" s="209"/>
      <c r="D14229" s="209"/>
      <c r="E14229" s="209"/>
      <c r="J14229" s="124"/>
    </row>
    <row r="14230" spans="3:10" x14ac:dyDescent="0.2">
      <c r="C14230" s="209"/>
      <c r="D14230" s="209"/>
      <c r="E14230" s="209"/>
      <c r="J14230" s="124"/>
    </row>
    <row r="14231" spans="3:10" x14ac:dyDescent="0.2">
      <c r="C14231" s="209"/>
      <c r="D14231" s="209"/>
      <c r="E14231" s="209"/>
      <c r="J14231" s="124"/>
    </row>
    <row r="14232" spans="3:10" x14ac:dyDescent="0.2">
      <c r="C14232" s="209"/>
      <c r="D14232" s="209"/>
      <c r="E14232" s="209"/>
      <c r="J14232" s="124"/>
    </row>
    <row r="14233" spans="3:10" x14ac:dyDescent="0.2">
      <c r="C14233" s="209"/>
      <c r="D14233" s="209"/>
      <c r="E14233" s="209"/>
      <c r="J14233" s="124"/>
    </row>
    <row r="14234" spans="3:10" x14ac:dyDescent="0.2">
      <c r="C14234" s="209"/>
      <c r="D14234" s="209"/>
      <c r="E14234" s="209"/>
      <c r="J14234" s="124"/>
    </row>
    <row r="14235" spans="3:10" x14ac:dyDescent="0.2">
      <c r="C14235" s="209"/>
      <c r="D14235" s="209"/>
      <c r="E14235" s="209"/>
      <c r="J14235" s="124"/>
    </row>
    <row r="14236" spans="3:10" x14ac:dyDescent="0.2">
      <c r="C14236" s="209"/>
      <c r="D14236" s="209"/>
      <c r="E14236" s="209"/>
      <c r="J14236" s="124"/>
    </row>
    <row r="14237" spans="3:10" x14ac:dyDescent="0.2">
      <c r="C14237" s="209"/>
      <c r="D14237" s="209"/>
      <c r="E14237" s="209"/>
      <c r="J14237" s="124"/>
    </row>
    <row r="14238" spans="3:10" x14ac:dyDescent="0.2">
      <c r="C14238" s="209"/>
      <c r="D14238" s="209"/>
      <c r="E14238" s="209"/>
      <c r="J14238" s="124"/>
    </row>
    <row r="14239" spans="3:10" x14ac:dyDescent="0.2">
      <c r="C14239" s="209"/>
      <c r="D14239" s="209"/>
      <c r="E14239" s="209"/>
      <c r="J14239" s="124"/>
    </row>
    <row r="14240" spans="3:10" x14ac:dyDescent="0.2">
      <c r="C14240" s="209"/>
      <c r="D14240" s="209"/>
      <c r="E14240" s="209"/>
      <c r="J14240" s="124"/>
    </row>
    <row r="14241" spans="3:10" x14ac:dyDescent="0.2">
      <c r="C14241" s="209"/>
      <c r="D14241" s="209"/>
      <c r="E14241" s="209"/>
      <c r="J14241" s="124"/>
    </row>
    <row r="14242" spans="3:10" x14ac:dyDescent="0.2">
      <c r="C14242" s="209"/>
      <c r="D14242" s="209"/>
      <c r="E14242" s="209"/>
      <c r="J14242" s="124"/>
    </row>
    <row r="14243" spans="3:10" x14ac:dyDescent="0.2">
      <c r="C14243" s="209"/>
      <c r="D14243" s="209"/>
      <c r="E14243" s="209"/>
      <c r="J14243" s="124"/>
    </row>
    <row r="14244" spans="3:10" x14ac:dyDescent="0.2">
      <c r="C14244" s="209"/>
      <c r="D14244" s="209"/>
      <c r="E14244" s="209"/>
      <c r="J14244" s="124"/>
    </row>
    <row r="14245" spans="3:10" x14ac:dyDescent="0.2">
      <c r="C14245" s="209"/>
      <c r="D14245" s="209"/>
      <c r="E14245" s="209"/>
      <c r="J14245" s="124"/>
    </row>
    <row r="14246" spans="3:10" x14ac:dyDescent="0.2">
      <c r="C14246" s="209"/>
      <c r="D14246" s="209"/>
      <c r="E14246" s="209"/>
      <c r="J14246" s="124"/>
    </row>
    <row r="14247" spans="3:10" x14ac:dyDescent="0.2">
      <c r="C14247" s="209"/>
      <c r="D14247" s="209"/>
      <c r="E14247" s="209"/>
      <c r="J14247" s="124"/>
    </row>
    <row r="14248" spans="3:10" x14ac:dyDescent="0.2">
      <c r="C14248" s="209"/>
      <c r="D14248" s="209"/>
      <c r="E14248" s="209"/>
      <c r="J14248" s="124"/>
    </row>
    <row r="14249" spans="3:10" x14ac:dyDescent="0.2">
      <c r="C14249" s="209"/>
      <c r="D14249" s="209"/>
      <c r="E14249" s="209"/>
      <c r="J14249" s="124"/>
    </row>
    <row r="14250" spans="3:10" x14ac:dyDescent="0.2">
      <c r="C14250" s="209"/>
      <c r="D14250" s="209"/>
      <c r="E14250" s="209"/>
      <c r="J14250" s="124"/>
    </row>
    <row r="14251" spans="3:10" x14ac:dyDescent="0.2">
      <c r="C14251" s="209"/>
      <c r="D14251" s="209"/>
      <c r="E14251" s="209"/>
      <c r="J14251" s="124"/>
    </row>
    <row r="14252" spans="3:10" x14ac:dyDescent="0.2">
      <c r="C14252" s="209"/>
      <c r="D14252" s="209"/>
      <c r="E14252" s="209"/>
      <c r="J14252" s="124"/>
    </row>
    <row r="14253" spans="3:10" x14ac:dyDescent="0.2">
      <c r="C14253" s="209"/>
      <c r="D14253" s="209"/>
      <c r="E14253" s="209"/>
      <c r="J14253" s="124"/>
    </row>
    <row r="14254" spans="3:10" x14ac:dyDescent="0.2">
      <c r="C14254" s="209"/>
      <c r="D14254" s="209"/>
      <c r="E14254" s="209"/>
      <c r="J14254" s="124"/>
    </row>
    <row r="14255" spans="3:10" x14ac:dyDescent="0.2">
      <c r="C14255" s="209"/>
      <c r="D14255" s="209"/>
      <c r="E14255" s="209"/>
      <c r="J14255" s="124"/>
    </row>
    <row r="14256" spans="3:10" x14ac:dyDescent="0.2">
      <c r="C14256" s="209"/>
      <c r="D14256" s="209"/>
      <c r="E14256" s="209"/>
      <c r="J14256" s="124"/>
    </row>
    <row r="14257" spans="3:10" x14ac:dyDescent="0.2">
      <c r="C14257" s="209"/>
      <c r="D14257" s="209"/>
      <c r="E14257" s="209"/>
      <c r="J14257" s="124"/>
    </row>
    <row r="14258" spans="3:10" x14ac:dyDescent="0.2">
      <c r="C14258" s="209"/>
      <c r="D14258" s="209"/>
      <c r="E14258" s="209"/>
      <c r="J14258" s="124"/>
    </row>
    <row r="14259" spans="3:10" x14ac:dyDescent="0.2">
      <c r="C14259" s="209"/>
      <c r="D14259" s="209"/>
      <c r="E14259" s="209"/>
      <c r="J14259" s="124"/>
    </row>
    <row r="14260" spans="3:10" x14ac:dyDescent="0.2">
      <c r="C14260" s="209"/>
      <c r="D14260" s="209"/>
      <c r="E14260" s="209"/>
      <c r="J14260" s="124"/>
    </row>
    <row r="14261" spans="3:10" x14ac:dyDescent="0.2">
      <c r="C14261" s="209"/>
      <c r="D14261" s="209"/>
      <c r="E14261" s="209"/>
      <c r="J14261" s="124"/>
    </row>
    <row r="14262" spans="3:10" x14ac:dyDescent="0.2">
      <c r="C14262" s="209"/>
      <c r="D14262" s="209"/>
      <c r="E14262" s="209"/>
      <c r="J14262" s="124"/>
    </row>
    <row r="14263" spans="3:10" x14ac:dyDescent="0.2">
      <c r="C14263" s="209"/>
      <c r="D14263" s="209"/>
      <c r="E14263" s="209"/>
      <c r="J14263" s="124"/>
    </row>
    <row r="14264" spans="3:10" x14ac:dyDescent="0.2">
      <c r="C14264" s="209"/>
      <c r="D14264" s="209"/>
      <c r="E14264" s="209"/>
      <c r="J14264" s="124"/>
    </row>
    <row r="14265" spans="3:10" x14ac:dyDescent="0.2">
      <c r="C14265" s="209"/>
      <c r="D14265" s="209"/>
      <c r="E14265" s="209"/>
      <c r="J14265" s="124"/>
    </row>
    <row r="14266" spans="3:10" x14ac:dyDescent="0.2">
      <c r="C14266" s="209"/>
      <c r="D14266" s="209"/>
      <c r="E14266" s="209"/>
      <c r="J14266" s="124"/>
    </row>
    <row r="14267" spans="3:10" x14ac:dyDescent="0.2">
      <c r="C14267" s="209"/>
      <c r="D14267" s="209"/>
      <c r="E14267" s="209"/>
      <c r="J14267" s="124"/>
    </row>
    <row r="14268" spans="3:10" x14ac:dyDescent="0.2">
      <c r="C14268" s="209"/>
      <c r="D14268" s="209"/>
      <c r="E14268" s="209"/>
      <c r="J14268" s="124"/>
    </row>
    <row r="14269" spans="3:10" x14ac:dyDescent="0.2">
      <c r="C14269" s="209"/>
      <c r="D14269" s="209"/>
      <c r="E14269" s="209"/>
      <c r="J14269" s="124"/>
    </row>
    <row r="14270" spans="3:10" x14ac:dyDescent="0.2">
      <c r="C14270" s="209"/>
      <c r="D14270" s="209"/>
      <c r="E14270" s="209"/>
      <c r="J14270" s="124"/>
    </row>
    <row r="14271" spans="3:10" x14ac:dyDescent="0.2">
      <c r="C14271" s="209"/>
      <c r="D14271" s="209"/>
      <c r="E14271" s="209"/>
      <c r="J14271" s="124"/>
    </row>
    <row r="14272" spans="3:10" x14ac:dyDescent="0.2">
      <c r="C14272" s="209"/>
      <c r="D14272" s="209"/>
      <c r="E14272" s="209"/>
      <c r="J14272" s="124"/>
    </row>
    <row r="14273" spans="3:10" x14ac:dyDescent="0.2">
      <c r="C14273" s="209"/>
      <c r="D14273" s="209"/>
      <c r="E14273" s="209"/>
      <c r="J14273" s="124"/>
    </row>
    <row r="14274" spans="3:10" x14ac:dyDescent="0.2">
      <c r="C14274" s="209"/>
      <c r="D14274" s="209"/>
      <c r="E14274" s="209"/>
      <c r="J14274" s="124"/>
    </row>
    <row r="14275" spans="3:10" x14ac:dyDescent="0.2">
      <c r="C14275" s="209"/>
      <c r="D14275" s="209"/>
      <c r="E14275" s="209"/>
      <c r="J14275" s="124"/>
    </row>
    <row r="14276" spans="3:10" x14ac:dyDescent="0.2">
      <c r="C14276" s="209"/>
      <c r="D14276" s="209"/>
      <c r="E14276" s="209"/>
      <c r="J14276" s="124"/>
    </row>
    <row r="14277" spans="3:10" x14ac:dyDescent="0.2">
      <c r="C14277" s="209"/>
      <c r="D14277" s="209"/>
      <c r="E14277" s="209"/>
      <c r="J14277" s="124"/>
    </row>
    <row r="14278" spans="3:10" x14ac:dyDescent="0.2">
      <c r="C14278" s="209"/>
      <c r="D14278" s="209"/>
      <c r="E14278" s="209"/>
      <c r="J14278" s="124"/>
    </row>
    <row r="14279" spans="3:10" x14ac:dyDescent="0.2">
      <c r="C14279" s="209"/>
      <c r="D14279" s="209"/>
      <c r="E14279" s="209"/>
      <c r="J14279" s="124"/>
    </row>
    <row r="14280" spans="3:10" x14ac:dyDescent="0.2">
      <c r="C14280" s="209"/>
      <c r="D14280" s="209"/>
      <c r="E14280" s="209"/>
      <c r="J14280" s="124"/>
    </row>
    <row r="14281" spans="3:10" x14ac:dyDescent="0.2">
      <c r="C14281" s="209"/>
      <c r="D14281" s="209"/>
      <c r="E14281" s="209"/>
      <c r="J14281" s="124"/>
    </row>
    <row r="14282" spans="3:10" x14ac:dyDescent="0.2">
      <c r="C14282" s="209"/>
      <c r="D14282" s="209"/>
      <c r="E14282" s="209"/>
      <c r="J14282" s="124"/>
    </row>
    <row r="14283" spans="3:10" x14ac:dyDescent="0.2">
      <c r="C14283" s="209"/>
      <c r="D14283" s="209"/>
      <c r="E14283" s="209"/>
      <c r="J14283" s="124"/>
    </row>
    <row r="14284" spans="3:10" x14ac:dyDescent="0.2">
      <c r="C14284" s="209"/>
      <c r="D14284" s="209"/>
      <c r="E14284" s="209"/>
      <c r="J14284" s="124"/>
    </row>
    <row r="14285" spans="3:10" x14ac:dyDescent="0.2">
      <c r="C14285" s="209"/>
      <c r="D14285" s="209"/>
      <c r="E14285" s="209"/>
      <c r="J14285" s="124"/>
    </row>
    <row r="14286" spans="3:10" x14ac:dyDescent="0.2">
      <c r="C14286" s="209"/>
      <c r="D14286" s="209"/>
      <c r="E14286" s="209"/>
      <c r="J14286" s="124"/>
    </row>
    <row r="14287" spans="3:10" x14ac:dyDescent="0.2">
      <c r="C14287" s="209"/>
      <c r="D14287" s="209"/>
      <c r="E14287" s="209"/>
      <c r="J14287" s="124"/>
    </row>
    <row r="14288" spans="3:10" x14ac:dyDescent="0.2">
      <c r="C14288" s="209"/>
      <c r="D14288" s="209"/>
      <c r="E14288" s="209"/>
      <c r="J14288" s="124"/>
    </row>
    <row r="14289" spans="3:10" x14ac:dyDescent="0.2">
      <c r="C14289" s="209"/>
      <c r="D14289" s="209"/>
      <c r="E14289" s="209"/>
      <c r="J14289" s="124"/>
    </row>
    <row r="14290" spans="3:10" x14ac:dyDescent="0.2">
      <c r="C14290" s="209"/>
      <c r="D14290" s="209"/>
      <c r="E14290" s="209"/>
      <c r="J14290" s="124"/>
    </row>
    <row r="14291" spans="3:10" x14ac:dyDescent="0.2">
      <c r="C14291" s="209"/>
      <c r="D14291" s="209"/>
      <c r="E14291" s="209"/>
      <c r="J14291" s="124"/>
    </row>
    <row r="14292" spans="3:10" x14ac:dyDescent="0.2">
      <c r="C14292" s="209"/>
      <c r="D14292" s="209"/>
      <c r="E14292" s="209"/>
      <c r="J14292" s="124"/>
    </row>
    <row r="14293" spans="3:10" x14ac:dyDescent="0.2">
      <c r="C14293" s="209"/>
      <c r="D14293" s="209"/>
      <c r="E14293" s="209"/>
      <c r="J14293" s="124"/>
    </row>
    <row r="14294" spans="3:10" x14ac:dyDescent="0.2">
      <c r="C14294" s="209"/>
      <c r="D14294" s="209"/>
      <c r="E14294" s="209"/>
      <c r="J14294" s="124"/>
    </row>
    <row r="14295" spans="3:10" x14ac:dyDescent="0.2">
      <c r="C14295" s="209"/>
      <c r="D14295" s="209"/>
      <c r="E14295" s="209"/>
      <c r="J14295" s="124"/>
    </row>
    <row r="14296" spans="3:10" x14ac:dyDescent="0.2">
      <c r="C14296" s="209"/>
      <c r="D14296" s="209"/>
      <c r="E14296" s="209"/>
      <c r="J14296" s="124"/>
    </row>
    <row r="14297" spans="3:10" x14ac:dyDescent="0.2">
      <c r="C14297" s="209"/>
      <c r="D14297" s="209"/>
      <c r="E14297" s="209"/>
      <c r="J14297" s="124"/>
    </row>
    <row r="14298" spans="3:10" x14ac:dyDescent="0.2">
      <c r="C14298" s="209"/>
      <c r="D14298" s="209"/>
      <c r="E14298" s="209"/>
      <c r="J14298" s="124"/>
    </row>
    <row r="14299" spans="3:10" x14ac:dyDescent="0.2">
      <c r="C14299" s="209"/>
      <c r="D14299" s="209"/>
      <c r="E14299" s="209"/>
      <c r="J14299" s="124"/>
    </row>
    <row r="14300" spans="3:10" x14ac:dyDescent="0.2">
      <c r="C14300" s="209"/>
      <c r="D14300" s="209"/>
      <c r="E14300" s="209"/>
      <c r="J14300" s="124"/>
    </row>
    <row r="14301" spans="3:10" x14ac:dyDescent="0.2">
      <c r="C14301" s="209"/>
      <c r="D14301" s="209"/>
      <c r="E14301" s="209"/>
      <c r="J14301" s="124"/>
    </row>
    <row r="14302" spans="3:10" x14ac:dyDescent="0.2">
      <c r="C14302" s="209"/>
      <c r="D14302" s="209"/>
      <c r="E14302" s="209"/>
      <c r="J14302" s="124"/>
    </row>
    <row r="14303" spans="3:10" x14ac:dyDescent="0.2">
      <c r="C14303" s="209"/>
      <c r="D14303" s="209"/>
      <c r="E14303" s="209"/>
      <c r="J14303" s="124"/>
    </row>
    <row r="14304" spans="3:10" x14ac:dyDescent="0.2">
      <c r="C14304" s="209"/>
      <c r="D14304" s="209"/>
      <c r="E14304" s="209"/>
      <c r="J14304" s="124"/>
    </row>
    <row r="14305" spans="3:10" x14ac:dyDescent="0.2">
      <c r="C14305" s="209"/>
      <c r="D14305" s="209"/>
      <c r="E14305" s="209"/>
      <c r="J14305" s="124"/>
    </row>
    <row r="14306" spans="3:10" x14ac:dyDescent="0.2">
      <c r="C14306" s="209"/>
      <c r="D14306" s="209"/>
      <c r="E14306" s="209"/>
      <c r="J14306" s="124"/>
    </row>
    <row r="14307" spans="3:10" x14ac:dyDescent="0.2">
      <c r="C14307" s="209"/>
      <c r="D14307" s="209"/>
      <c r="E14307" s="209"/>
      <c r="J14307" s="124"/>
    </row>
    <row r="14308" spans="3:10" x14ac:dyDescent="0.2">
      <c r="C14308" s="209"/>
      <c r="D14308" s="209"/>
      <c r="E14308" s="209"/>
      <c r="J14308" s="124"/>
    </row>
    <row r="14309" spans="3:10" x14ac:dyDescent="0.2">
      <c r="C14309" s="209"/>
      <c r="D14309" s="209"/>
      <c r="E14309" s="209"/>
      <c r="J14309" s="124"/>
    </row>
    <row r="14310" spans="3:10" x14ac:dyDescent="0.2">
      <c r="C14310" s="209"/>
      <c r="D14310" s="209"/>
      <c r="E14310" s="209"/>
      <c r="J14310" s="124"/>
    </row>
    <row r="14311" spans="3:10" x14ac:dyDescent="0.2">
      <c r="C14311" s="209"/>
      <c r="D14311" s="209"/>
      <c r="E14311" s="209"/>
      <c r="J14311" s="124"/>
    </row>
    <row r="14312" spans="3:10" x14ac:dyDescent="0.2">
      <c r="C14312" s="209"/>
      <c r="D14312" s="209"/>
      <c r="E14312" s="209"/>
      <c r="J14312" s="124"/>
    </row>
    <row r="14313" spans="3:10" x14ac:dyDescent="0.2">
      <c r="C14313" s="209"/>
      <c r="D14313" s="209"/>
      <c r="E14313" s="209"/>
      <c r="J14313" s="124"/>
    </row>
    <row r="14314" spans="3:10" x14ac:dyDescent="0.2">
      <c r="C14314" s="209"/>
      <c r="D14314" s="209"/>
      <c r="E14314" s="209"/>
      <c r="J14314" s="124"/>
    </row>
    <row r="14315" spans="3:10" x14ac:dyDescent="0.2">
      <c r="C14315" s="209"/>
      <c r="D14315" s="209"/>
      <c r="E14315" s="209"/>
      <c r="J14315" s="124"/>
    </row>
    <row r="14316" spans="3:10" x14ac:dyDescent="0.2">
      <c r="C14316" s="209"/>
      <c r="D14316" s="209"/>
      <c r="E14316" s="209"/>
      <c r="J14316" s="124"/>
    </row>
    <row r="14317" spans="3:10" x14ac:dyDescent="0.2">
      <c r="C14317" s="209"/>
      <c r="D14317" s="209"/>
      <c r="E14317" s="209"/>
      <c r="J14317" s="124"/>
    </row>
    <row r="14318" spans="3:10" x14ac:dyDescent="0.2">
      <c r="C14318" s="209"/>
      <c r="D14318" s="209"/>
      <c r="E14318" s="209"/>
      <c r="J14318" s="124"/>
    </row>
    <row r="14319" spans="3:10" x14ac:dyDescent="0.2">
      <c r="C14319" s="209"/>
      <c r="D14319" s="209"/>
      <c r="E14319" s="209"/>
      <c r="J14319" s="124"/>
    </row>
    <row r="14320" spans="3:10" x14ac:dyDescent="0.2">
      <c r="C14320" s="209"/>
      <c r="D14320" s="209"/>
      <c r="E14320" s="209"/>
      <c r="J14320" s="124"/>
    </row>
    <row r="14321" spans="3:10" x14ac:dyDescent="0.2">
      <c r="C14321" s="209"/>
      <c r="D14321" s="209"/>
      <c r="E14321" s="209"/>
      <c r="J14321" s="124"/>
    </row>
    <row r="14322" spans="3:10" x14ac:dyDescent="0.2">
      <c r="C14322" s="209"/>
      <c r="D14322" s="209"/>
      <c r="E14322" s="209"/>
      <c r="J14322" s="124"/>
    </row>
    <row r="14323" spans="3:10" x14ac:dyDescent="0.2">
      <c r="C14323" s="209"/>
      <c r="D14323" s="209"/>
      <c r="E14323" s="209"/>
      <c r="J14323" s="124"/>
    </row>
    <row r="14324" spans="3:10" x14ac:dyDescent="0.2">
      <c r="C14324" s="209"/>
      <c r="D14324" s="209"/>
      <c r="E14324" s="209"/>
      <c r="J14324" s="124"/>
    </row>
    <row r="14325" spans="3:10" x14ac:dyDescent="0.2">
      <c r="C14325" s="209"/>
      <c r="D14325" s="209"/>
      <c r="E14325" s="209"/>
      <c r="J14325" s="124"/>
    </row>
    <row r="14326" spans="3:10" x14ac:dyDescent="0.2">
      <c r="C14326" s="209"/>
      <c r="D14326" s="209"/>
      <c r="E14326" s="209"/>
      <c r="J14326" s="124"/>
    </row>
    <row r="14327" spans="3:10" x14ac:dyDescent="0.2">
      <c r="C14327" s="209"/>
      <c r="D14327" s="209"/>
      <c r="E14327" s="209"/>
      <c r="J14327" s="124"/>
    </row>
    <row r="14328" spans="3:10" x14ac:dyDescent="0.2">
      <c r="C14328" s="209"/>
      <c r="D14328" s="209"/>
      <c r="E14328" s="209"/>
      <c r="J14328" s="124"/>
    </row>
    <row r="14329" spans="3:10" x14ac:dyDescent="0.2">
      <c r="C14329" s="209"/>
      <c r="D14329" s="209"/>
      <c r="E14329" s="209"/>
      <c r="J14329" s="124"/>
    </row>
    <row r="14330" spans="3:10" x14ac:dyDescent="0.2">
      <c r="C14330" s="209"/>
      <c r="D14330" s="209"/>
      <c r="E14330" s="209"/>
      <c r="J14330" s="124"/>
    </row>
    <row r="14331" spans="3:10" x14ac:dyDescent="0.2">
      <c r="C14331" s="209"/>
      <c r="D14331" s="209"/>
      <c r="E14331" s="209"/>
      <c r="J14331" s="124"/>
    </row>
    <row r="14332" spans="3:10" x14ac:dyDescent="0.2">
      <c r="C14332" s="209"/>
      <c r="D14332" s="209"/>
      <c r="E14332" s="209"/>
      <c r="J14332" s="124"/>
    </row>
    <row r="14333" spans="3:10" x14ac:dyDescent="0.2">
      <c r="C14333" s="209"/>
      <c r="D14333" s="209"/>
      <c r="E14333" s="209"/>
      <c r="J14333" s="124"/>
    </row>
    <row r="14334" spans="3:10" x14ac:dyDescent="0.2">
      <c r="C14334" s="209"/>
      <c r="D14334" s="209"/>
      <c r="E14334" s="209"/>
      <c r="J14334" s="124"/>
    </row>
    <row r="14335" spans="3:10" x14ac:dyDescent="0.2">
      <c r="C14335" s="209"/>
      <c r="D14335" s="209"/>
      <c r="E14335" s="209"/>
      <c r="J14335" s="124"/>
    </row>
    <row r="14336" spans="3:10" x14ac:dyDescent="0.2">
      <c r="C14336" s="209"/>
      <c r="D14336" s="209"/>
      <c r="E14336" s="209"/>
      <c r="J14336" s="124"/>
    </row>
    <row r="14337" spans="3:10" x14ac:dyDescent="0.2">
      <c r="C14337" s="209"/>
      <c r="D14337" s="209"/>
      <c r="E14337" s="209"/>
      <c r="J14337" s="124"/>
    </row>
    <row r="14338" spans="3:10" x14ac:dyDescent="0.2">
      <c r="C14338" s="209"/>
      <c r="D14338" s="209"/>
      <c r="E14338" s="209"/>
      <c r="J14338" s="124"/>
    </row>
    <row r="14339" spans="3:10" x14ac:dyDescent="0.2">
      <c r="C14339" s="209"/>
      <c r="D14339" s="209"/>
      <c r="E14339" s="209"/>
      <c r="J14339" s="124"/>
    </row>
    <row r="14340" spans="3:10" x14ac:dyDescent="0.2">
      <c r="C14340" s="209"/>
      <c r="D14340" s="209"/>
      <c r="E14340" s="209"/>
      <c r="J14340" s="124"/>
    </row>
    <row r="14341" spans="3:10" x14ac:dyDescent="0.2">
      <c r="C14341" s="209"/>
      <c r="D14341" s="209"/>
      <c r="E14341" s="209"/>
      <c r="J14341" s="124"/>
    </row>
    <row r="14342" spans="3:10" x14ac:dyDescent="0.2">
      <c r="C14342" s="209"/>
      <c r="D14342" s="209"/>
      <c r="E14342" s="209"/>
      <c r="J14342" s="124"/>
    </row>
    <row r="14343" spans="3:10" x14ac:dyDescent="0.2">
      <c r="C14343" s="209"/>
      <c r="D14343" s="209"/>
      <c r="E14343" s="209"/>
      <c r="J14343" s="124"/>
    </row>
    <row r="14344" spans="3:10" x14ac:dyDescent="0.2">
      <c r="C14344" s="209"/>
      <c r="D14344" s="209"/>
      <c r="E14344" s="209"/>
      <c r="J14344" s="124"/>
    </row>
    <row r="14345" spans="3:10" x14ac:dyDescent="0.2">
      <c r="C14345" s="209"/>
      <c r="D14345" s="209"/>
      <c r="E14345" s="209"/>
      <c r="J14345" s="124"/>
    </row>
    <row r="14346" spans="3:10" x14ac:dyDescent="0.2">
      <c r="C14346" s="209"/>
      <c r="D14346" s="209"/>
      <c r="E14346" s="209"/>
      <c r="J14346" s="124"/>
    </row>
    <row r="14347" spans="3:10" x14ac:dyDescent="0.2">
      <c r="C14347" s="209"/>
      <c r="D14347" s="209"/>
      <c r="E14347" s="209"/>
      <c r="J14347" s="124"/>
    </row>
    <row r="14348" spans="3:10" x14ac:dyDescent="0.2">
      <c r="C14348" s="209"/>
      <c r="D14348" s="209"/>
      <c r="E14348" s="209"/>
      <c r="J14348" s="124"/>
    </row>
    <row r="14349" spans="3:10" x14ac:dyDescent="0.2">
      <c r="C14349" s="209"/>
      <c r="D14349" s="209"/>
      <c r="E14349" s="209"/>
      <c r="J14349" s="124"/>
    </row>
    <row r="14350" spans="3:10" x14ac:dyDescent="0.2">
      <c r="C14350" s="209"/>
      <c r="D14350" s="209"/>
      <c r="E14350" s="209"/>
      <c r="J14350" s="124"/>
    </row>
    <row r="14351" spans="3:10" x14ac:dyDescent="0.2">
      <c r="C14351" s="209"/>
      <c r="D14351" s="209"/>
      <c r="E14351" s="209"/>
      <c r="J14351" s="124"/>
    </row>
    <row r="14352" spans="3:10" x14ac:dyDescent="0.2">
      <c r="C14352" s="209"/>
      <c r="D14352" s="209"/>
      <c r="E14352" s="209"/>
      <c r="J14352" s="124"/>
    </row>
    <row r="14353" spans="3:10" x14ac:dyDescent="0.2">
      <c r="C14353" s="209"/>
      <c r="D14353" s="209"/>
      <c r="E14353" s="209"/>
      <c r="J14353" s="124"/>
    </row>
    <row r="14354" spans="3:10" x14ac:dyDescent="0.2">
      <c r="C14354" s="209"/>
      <c r="D14354" s="209"/>
      <c r="E14354" s="209"/>
      <c r="J14354" s="124"/>
    </row>
    <row r="14355" spans="3:10" x14ac:dyDescent="0.2">
      <c r="C14355" s="209"/>
      <c r="D14355" s="209"/>
      <c r="E14355" s="209"/>
      <c r="J14355" s="124"/>
    </row>
    <row r="14356" spans="3:10" x14ac:dyDescent="0.2">
      <c r="C14356" s="209"/>
      <c r="D14356" s="209"/>
      <c r="E14356" s="209"/>
      <c r="J14356" s="124"/>
    </row>
    <row r="14357" spans="3:10" x14ac:dyDescent="0.2">
      <c r="C14357" s="209"/>
      <c r="D14357" s="209"/>
      <c r="E14357" s="209"/>
      <c r="J14357" s="124"/>
    </row>
    <row r="14358" spans="3:10" x14ac:dyDescent="0.2">
      <c r="C14358" s="209"/>
      <c r="D14358" s="209"/>
      <c r="E14358" s="209"/>
      <c r="J14358" s="124"/>
    </row>
    <row r="14359" spans="3:10" x14ac:dyDescent="0.2">
      <c r="C14359" s="209"/>
      <c r="D14359" s="209"/>
      <c r="E14359" s="209"/>
      <c r="J14359" s="124"/>
    </row>
    <row r="14360" spans="3:10" x14ac:dyDescent="0.2">
      <c r="C14360" s="209"/>
      <c r="D14360" s="209"/>
      <c r="E14360" s="209"/>
      <c r="J14360" s="124"/>
    </row>
    <row r="14361" spans="3:10" x14ac:dyDescent="0.2">
      <c r="C14361" s="209"/>
      <c r="D14361" s="209"/>
      <c r="E14361" s="209"/>
      <c r="J14361" s="124"/>
    </row>
    <row r="14362" spans="3:10" x14ac:dyDescent="0.2">
      <c r="C14362" s="209"/>
      <c r="D14362" s="209"/>
      <c r="E14362" s="209"/>
      <c r="J14362" s="124"/>
    </row>
    <row r="14363" spans="3:10" x14ac:dyDescent="0.2">
      <c r="C14363" s="209"/>
      <c r="D14363" s="209"/>
      <c r="E14363" s="209"/>
      <c r="J14363" s="124"/>
    </row>
    <row r="14364" spans="3:10" x14ac:dyDescent="0.2">
      <c r="C14364" s="209"/>
      <c r="D14364" s="209"/>
      <c r="E14364" s="209"/>
      <c r="J14364" s="124"/>
    </row>
    <row r="14365" spans="3:10" x14ac:dyDescent="0.2">
      <c r="C14365" s="209"/>
      <c r="D14365" s="209"/>
      <c r="E14365" s="209"/>
      <c r="J14365" s="124"/>
    </row>
    <row r="14366" spans="3:10" x14ac:dyDescent="0.2">
      <c r="C14366" s="209"/>
      <c r="D14366" s="209"/>
      <c r="E14366" s="209"/>
      <c r="J14366" s="124"/>
    </row>
    <row r="14367" spans="3:10" x14ac:dyDescent="0.2">
      <c r="C14367" s="209"/>
      <c r="D14367" s="209"/>
      <c r="E14367" s="209"/>
      <c r="J14367" s="124"/>
    </row>
    <row r="14368" spans="3:10" x14ac:dyDescent="0.2">
      <c r="C14368" s="209"/>
      <c r="D14368" s="209"/>
      <c r="E14368" s="209"/>
      <c r="J14368" s="124"/>
    </row>
    <row r="14369" spans="3:10" x14ac:dyDescent="0.2">
      <c r="C14369" s="209"/>
      <c r="D14369" s="209"/>
      <c r="E14369" s="209"/>
      <c r="J14369" s="124"/>
    </row>
    <row r="14370" spans="3:10" x14ac:dyDescent="0.2">
      <c r="C14370" s="209"/>
      <c r="D14370" s="209"/>
      <c r="E14370" s="209"/>
      <c r="J14370" s="124"/>
    </row>
    <row r="14371" spans="3:10" x14ac:dyDescent="0.2">
      <c r="C14371" s="209"/>
      <c r="D14371" s="209"/>
      <c r="E14371" s="209"/>
      <c r="J14371" s="124"/>
    </row>
    <row r="14372" spans="3:10" x14ac:dyDescent="0.2">
      <c r="C14372" s="209"/>
      <c r="D14372" s="209"/>
      <c r="E14372" s="209"/>
      <c r="J14372" s="124"/>
    </row>
    <row r="14373" spans="3:10" x14ac:dyDescent="0.2">
      <c r="C14373" s="209"/>
      <c r="D14373" s="209"/>
      <c r="E14373" s="209"/>
      <c r="J14373" s="124"/>
    </row>
    <row r="14374" spans="3:10" x14ac:dyDescent="0.2">
      <c r="C14374" s="209"/>
      <c r="D14374" s="209"/>
      <c r="E14374" s="209"/>
      <c r="J14374" s="124"/>
    </row>
    <row r="14375" spans="3:10" x14ac:dyDescent="0.2">
      <c r="C14375" s="209"/>
      <c r="D14375" s="209"/>
      <c r="E14375" s="209"/>
      <c r="J14375" s="124"/>
    </row>
    <row r="14376" spans="3:10" x14ac:dyDescent="0.2">
      <c r="C14376" s="209"/>
      <c r="D14376" s="209"/>
      <c r="E14376" s="209"/>
      <c r="J14376" s="124"/>
    </row>
    <row r="14377" spans="3:10" x14ac:dyDescent="0.2">
      <c r="C14377" s="209"/>
      <c r="D14377" s="209"/>
      <c r="E14377" s="209"/>
      <c r="J14377" s="124"/>
    </row>
    <row r="14378" spans="3:10" x14ac:dyDescent="0.2">
      <c r="C14378" s="209"/>
      <c r="D14378" s="209"/>
      <c r="E14378" s="209"/>
      <c r="J14378" s="124"/>
    </row>
    <row r="14379" spans="3:10" x14ac:dyDescent="0.2">
      <c r="C14379" s="209"/>
      <c r="D14379" s="209"/>
      <c r="E14379" s="209"/>
      <c r="J14379" s="124"/>
    </row>
    <row r="14380" spans="3:10" x14ac:dyDescent="0.2">
      <c r="C14380" s="209"/>
      <c r="D14380" s="209"/>
      <c r="E14380" s="209"/>
      <c r="J14380" s="124"/>
    </row>
    <row r="14381" spans="3:10" x14ac:dyDescent="0.2">
      <c r="C14381" s="209"/>
      <c r="D14381" s="209"/>
      <c r="E14381" s="209"/>
      <c r="J14381" s="124"/>
    </row>
    <row r="14382" spans="3:10" x14ac:dyDescent="0.2">
      <c r="C14382" s="209"/>
      <c r="D14382" s="209"/>
      <c r="E14382" s="209"/>
      <c r="J14382" s="124"/>
    </row>
    <row r="14383" spans="3:10" x14ac:dyDescent="0.2">
      <c r="C14383" s="209"/>
      <c r="D14383" s="209"/>
      <c r="E14383" s="209"/>
      <c r="J14383" s="124"/>
    </row>
    <row r="14384" spans="3:10" x14ac:dyDescent="0.2">
      <c r="C14384" s="209"/>
      <c r="D14384" s="209"/>
      <c r="E14384" s="209"/>
      <c r="J14384" s="124"/>
    </row>
    <row r="14385" spans="3:10" x14ac:dyDescent="0.2">
      <c r="C14385" s="209"/>
      <c r="D14385" s="209"/>
      <c r="E14385" s="209"/>
      <c r="J14385" s="124"/>
    </row>
    <row r="14386" spans="3:10" x14ac:dyDescent="0.2">
      <c r="C14386" s="209"/>
      <c r="D14386" s="209"/>
      <c r="E14386" s="209"/>
      <c r="J14386" s="124"/>
    </row>
    <row r="14387" spans="3:10" x14ac:dyDescent="0.2">
      <c r="C14387" s="209"/>
      <c r="D14387" s="209"/>
      <c r="E14387" s="209"/>
      <c r="J14387" s="124"/>
    </row>
    <row r="14388" spans="3:10" x14ac:dyDescent="0.2">
      <c r="C14388" s="209"/>
      <c r="D14388" s="209"/>
      <c r="E14388" s="209"/>
      <c r="J14388" s="124"/>
    </row>
    <row r="14389" spans="3:10" x14ac:dyDescent="0.2">
      <c r="C14389" s="209"/>
      <c r="D14389" s="209"/>
      <c r="E14389" s="209"/>
      <c r="J14389" s="124"/>
    </row>
    <row r="14390" spans="3:10" x14ac:dyDescent="0.2">
      <c r="C14390" s="209"/>
      <c r="D14390" s="209"/>
      <c r="E14390" s="209"/>
      <c r="J14390" s="124"/>
    </row>
    <row r="14391" spans="3:10" x14ac:dyDescent="0.2">
      <c r="C14391" s="209"/>
      <c r="D14391" s="209"/>
      <c r="E14391" s="209"/>
      <c r="J14391" s="124"/>
    </row>
    <row r="14392" spans="3:10" x14ac:dyDescent="0.2">
      <c r="C14392" s="209"/>
      <c r="D14392" s="209"/>
      <c r="E14392" s="209"/>
      <c r="J14392" s="124"/>
    </row>
    <row r="14393" spans="3:10" x14ac:dyDescent="0.2">
      <c r="C14393" s="209"/>
      <c r="D14393" s="209"/>
      <c r="E14393" s="209"/>
      <c r="J14393" s="124"/>
    </row>
    <row r="14394" spans="3:10" x14ac:dyDescent="0.2">
      <c r="C14394" s="209"/>
      <c r="D14394" s="209"/>
      <c r="E14394" s="209"/>
      <c r="J14394" s="124"/>
    </row>
    <row r="14395" spans="3:10" x14ac:dyDescent="0.2">
      <c r="C14395" s="209"/>
      <c r="D14395" s="209"/>
      <c r="E14395" s="209"/>
      <c r="J14395" s="124"/>
    </row>
    <row r="14396" spans="3:10" x14ac:dyDescent="0.2">
      <c r="C14396" s="209"/>
      <c r="D14396" s="209"/>
      <c r="E14396" s="209"/>
      <c r="J14396" s="124"/>
    </row>
    <row r="14397" spans="3:10" x14ac:dyDescent="0.2">
      <c r="C14397" s="209"/>
      <c r="D14397" s="209"/>
      <c r="E14397" s="209"/>
      <c r="J14397" s="124"/>
    </row>
    <row r="14398" spans="3:10" x14ac:dyDescent="0.2">
      <c r="C14398" s="209"/>
      <c r="D14398" s="209"/>
      <c r="E14398" s="209"/>
      <c r="J14398" s="124"/>
    </row>
    <row r="14399" spans="3:10" x14ac:dyDescent="0.2">
      <c r="C14399" s="209"/>
      <c r="D14399" s="209"/>
      <c r="E14399" s="209"/>
      <c r="J14399" s="124"/>
    </row>
    <row r="14400" spans="3:10" x14ac:dyDescent="0.2">
      <c r="C14400" s="209"/>
      <c r="D14400" s="209"/>
      <c r="E14400" s="209"/>
      <c r="J14400" s="124"/>
    </row>
    <row r="14401" spans="3:10" x14ac:dyDescent="0.2">
      <c r="C14401" s="209"/>
      <c r="D14401" s="209"/>
      <c r="E14401" s="209"/>
      <c r="J14401" s="124"/>
    </row>
    <row r="14402" spans="3:10" x14ac:dyDescent="0.2">
      <c r="C14402" s="209"/>
      <c r="D14402" s="209"/>
      <c r="E14402" s="209"/>
      <c r="J14402" s="124"/>
    </row>
    <row r="14403" spans="3:10" x14ac:dyDescent="0.2">
      <c r="C14403" s="209"/>
      <c r="D14403" s="209"/>
      <c r="E14403" s="209"/>
      <c r="J14403" s="124"/>
    </row>
    <row r="14404" spans="3:10" x14ac:dyDescent="0.2">
      <c r="C14404" s="209"/>
      <c r="D14404" s="209"/>
      <c r="E14404" s="209"/>
      <c r="J14404" s="124"/>
    </row>
    <row r="14405" spans="3:10" x14ac:dyDescent="0.2">
      <c r="C14405" s="209"/>
      <c r="D14405" s="209"/>
      <c r="E14405" s="209"/>
      <c r="J14405" s="124"/>
    </row>
    <row r="14406" spans="3:10" x14ac:dyDescent="0.2">
      <c r="C14406" s="209"/>
      <c r="D14406" s="209"/>
      <c r="E14406" s="209"/>
      <c r="J14406" s="124"/>
    </row>
    <row r="14407" spans="3:10" x14ac:dyDescent="0.2">
      <c r="C14407" s="209"/>
      <c r="D14407" s="209"/>
      <c r="E14407" s="209"/>
      <c r="J14407" s="124"/>
    </row>
    <row r="14408" spans="3:10" x14ac:dyDescent="0.2">
      <c r="C14408" s="209"/>
      <c r="D14408" s="209"/>
      <c r="E14408" s="209"/>
      <c r="J14408" s="124"/>
    </row>
    <row r="14409" spans="3:10" x14ac:dyDescent="0.2">
      <c r="C14409" s="209"/>
      <c r="D14409" s="209"/>
      <c r="E14409" s="209"/>
      <c r="J14409" s="124"/>
    </row>
    <row r="14410" spans="3:10" x14ac:dyDescent="0.2">
      <c r="C14410" s="209"/>
      <c r="D14410" s="209"/>
      <c r="E14410" s="209"/>
      <c r="J14410" s="124"/>
    </row>
    <row r="14411" spans="3:10" x14ac:dyDescent="0.2">
      <c r="C14411" s="209"/>
      <c r="D14411" s="209"/>
      <c r="E14411" s="209"/>
      <c r="J14411" s="124"/>
    </row>
    <row r="14412" spans="3:10" x14ac:dyDescent="0.2">
      <c r="C14412" s="209"/>
      <c r="D14412" s="209"/>
      <c r="E14412" s="209"/>
      <c r="J14412" s="124"/>
    </row>
    <row r="14413" spans="3:10" x14ac:dyDescent="0.2">
      <c r="C14413" s="209"/>
      <c r="D14413" s="209"/>
      <c r="E14413" s="209"/>
      <c r="J14413" s="124"/>
    </row>
    <row r="14414" spans="3:10" x14ac:dyDescent="0.2">
      <c r="C14414" s="209"/>
      <c r="D14414" s="209"/>
      <c r="E14414" s="209"/>
      <c r="J14414" s="124"/>
    </row>
    <row r="14415" spans="3:10" x14ac:dyDescent="0.2">
      <c r="C14415" s="209"/>
      <c r="D14415" s="209"/>
      <c r="E14415" s="209"/>
      <c r="J14415" s="124"/>
    </row>
    <row r="14416" spans="3:10" x14ac:dyDescent="0.2">
      <c r="C14416" s="209"/>
      <c r="D14416" s="209"/>
      <c r="E14416" s="209"/>
      <c r="J14416" s="124"/>
    </row>
    <row r="14417" spans="3:10" x14ac:dyDescent="0.2">
      <c r="C14417" s="209"/>
      <c r="D14417" s="209"/>
      <c r="E14417" s="209"/>
      <c r="J14417" s="124"/>
    </row>
    <row r="14418" spans="3:10" x14ac:dyDescent="0.2">
      <c r="C14418" s="209"/>
      <c r="D14418" s="209"/>
      <c r="E14418" s="209"/>
      <c r="J14418" s="124"/>
    </row>
    <row r="14419" spans="3:10" x14ac:dyDescent="0.2">
      <c r="C14419" s="209"/>
      <c r="D14419" s="209"/>
      <c r="E14419" s="209"/>
      <c r="J14419" s="124"/>
    </row>
    <row r="14420" spans="3:10" x14ac:dyDescent="0.2">
      <c r="C14420" s="209"/>
      <c r="D14420" s="209"/>
      <c r="E14420" s="209"/>
      <c r="J14420" s="124"/>
    </row>
    <row r="14421" spans="3:10" x14ac:dyDescent="0.2">
      <c r="C14421" s="209"/>
      <c r="D14421" s="209"/>
      <c r="E14421" s="209"/>
      <c r="J14421" s="124"/>
    </row>
    <row r="14422" spans="3:10" x14ac:dyDescent="0.2">
      <c r="C14422" s="209"/>
      <c r="D14422" s="209"/>
      <c r="E14422" s="209"/>
      <c r="J14422" s="124"/>
    </row>
    <row r="14423" spans="3:10" x14ac:dyDescent="0.2">
      <c r="C14423" s="209"/>
      <c r="D14423" s="209"/>
      <c r="E14423" s="209"/>
      <c r="J14423" s="124"/>
    </row>
    <row r="14424" spans="3:10" x14ac:dyDescent="0.2">
      <c r="C14424" s="209"/>
      <c r="D14424" s="209"/>
      <c r="E14424" s="209"/>
      <c r="J14424" s="124"/>
    </row>
    <row r="14425" spans="3:10" x14ac:dyDescent="0.2">
      <c r="C14425" s="209"/>
      <c r="D14425" s="209"/>
      <c r="E14425" s="209"/>
      <c r="J14425" s="124"/>
    </row>
    <row r="14426" spans="3:10" x14ac:dyDescent="0.2">
      <c r="C14426" s="209"/>
      <c r="D14426" s="209"/>
      <c r="E14426" s="209"/>
      <c r="J14426" s="124"/>
    </row>
    <row r="14427" spans="3:10" x14ac:dyDescent="0.2">
      <c r="C14427" s="209"/>
      <c r="D14427" s="209"/>
      <c r="E14427" s="209"/>
      <c r="J14427" s="124"/>
    </row>
    <row r="14428" spans="3:10" x14ac:dyDescent="0.2">
      <c r="C14428" s="209"/>
      <c r="D14428" s="209"/>
      <c r="E14428" s="209"/>
      <c r="J14428" s="124"/>
    </row>
    <row r="14429" spans="3:10" x14ac:dyDescent="0.2">
      <c r="C14429" s="209"/>
      <c r="D14429" s="209"/>
      <c r="E14429" s="209"/>
      <c r="J14429" s="124"/>
    </row>
    <row r="14430" spans="3:10" x14ac:dyDescent="0.2">
      <c r="C14430" s="209"/>
      <c r="D14430" s="209"/>
      <c r="E14430" s="209"/>
      <c r="J14430" s="124"/>
    </row>
    <row r="14431" spans="3:10" x14ac:dyDescent="0.2">
      <c r="C14431" s="209"/>
      <c r="D14431" s="209"/>
      <c r="E14431" s="209"/>
      <c r="J14431" s="124"/>
    </row>
    <row r="14432" spans="3:10" x14ac:dyDescent="0.2">
      <c r="C14432" s="209"/>
      <c r="D14432" s="209"/>
      <c r="E14432" s="209"/>
      <c r="J14432" s="124"/>
    </row>
    <row r="14433" spans="3:10" x14ac:dyDescent="0.2">
      <c r="C14433" s="209"/>
      <c r="D14433" s="209"/>
      <c r="E14433" s="209"/>
      <c r="J14433" s="124"/>
    </row>
    <row r="14434" spans="3:10" x14ac:dyDescent="0.2">
      <c r="C14434" s="209"/>
      <c r="D14434" s="209"/>
      <c r="E14434" s="209"/>
      <c r="J14434" s="124"/>
    </row>
    <row r="14435" spans="3:10" x14ac:dyDescent="0.2">
      <c r="C14435" s="209"/>
      <c r="D14435" s="209"/>
      <c r="E14435" s="209"/>
      <c r="J14435" s="124"/>
    </row>
    <row r="14436" spans="3:10" x14ac:dyDescent="0.2">
      <c r="C14436" s="209"/>
      <c r="D14436" s="209"/>
      <c r="E14436" s="209"/>
      <c r="J14436" s="124"/>
    </row>
    <row r="14437" spans="3:10" x14ac:dyDescent="0.2">
      <c r="C14437" s="209"/>
      <c r="D14437" s="209"/>
      <c r="E14437" s="209"/>
      <c r="J14437" s="124"/>
    </row>
    <row r="14438" spans="3:10" x14ac:dyDescent="0.2">
      <c r="C14438" s="209"/>
      <c r="D14438" s="209"/>
      <c r="E14438" s="209"/>
      <c r="J14438" s="124"/>
    </row>
    <row r="14439" spans="3:10" x14ac:dyDescent="0.2">
      <c r="C14439" s="209"/>
      <c r="D14439" s="209"/>
      <c r="E14439" s="209"/>
      <c r="J14439" s="124"/>
    </row>
    <row r="14440" spans="3:10" x14ac:dyDescent="0.2">
      <c r="C14440" s="209"/>
      <c r="D14440" s="209"/>
      <c r="E14440" s="209"/>
      <c r="J14440" s="124"/>
    </row>
    <row r="14441" spans="3:10" x14ac:dyDescent="0.2">
      <c r="C14441" s="209"/>
      <c r="D14441" s="209"/>
      <c r="E14441" s="209"/>
      <c r="J14441" s="124"/>
    </row>
    <row r="14442" spans="3:10" x14ac:dyDescent="0.2">
      <c r="C14442" s="209"/>
      <c r="D14442" s="209"/>
      <c r="E14442" s="209"/>
      <c r="J14442" s="124"/>
    </row>
    <row r="14443" spans="3:10" x14ac:dyDescent="0.2">
      <c r="C14443" s="209"/>
      <c r="D14443" s="209"/>
      <c r="E14443" s="209"/>
      <c r="J14443" s="124"/>
    </row>
    <row r="14444" spans="3:10" x14ac:dyDescent="0.2">
      <c r="C14444" s="209"/>
      <c r="D14444" s="209"/>
      <c r="E14444" s="209"/>
      <c r="J14444" s="124"/>
    </row>
    <row r="14445" spans="3:10" x14ac:dyDescent="0.2">
      <c r="C14445" s="209"/>
      <c r="D14445" s="209"/>
      <c r="E14445" s="209"/>
      <c r="J14445" s="124"/>
    </row>
    <row r="14446" spans="3:10" x14ac:dyDescent="0.2">
      <c r="C14446" s="209"/>
      <c r="D14446" s="209"/>
      <c r="E14446" s="209"/>
      <c r="J14446" s="124"/>
    </row>
    <row r="14447" spans="3:10" x14ac:dyDescent="0.2">
      <c r="C14447" s="209"/>
      <c r="D14447" s="209"/>
      <c r="E14447" s="209"/>
      <c r="J14447" s="124"/>
    </row>
    <row r="14448" spans="3:10" x14ac:dyDescent="0.2">
      <c r="C14448" s="209"/>
      <c r="D14448" s="209"/>
      <c r="E14448" s="209"/>
      <c r="J14448" s="124"/>
    </row>
    <row r="14449" spans="3:10" x14ac:dyDescent="0.2">
      <c r="C14449" s="209"/>
      <c r="D14449" s="209"/>
      <c r="E14449" s="209"/>
      <c r="J14449" s="124"/>
    </row>
    <row r="14450" spans="3:10" x14ac:dyDescent="0.2">
      <c r="C14450" s="209"/>
      <c r="D14450" s="209"/>
      <c r="E14450" s="209"/>
      <c r="J14450" s="124"/>
    </row>
    <row r="14451" spans="3:10" x14ac:dyDescent="0.2">
      <c r="C14451" s="209"/>
      <c r="D14451" s="209"/>
      <c r="E14451" s="209"/>
      <c r="J14451" s="124"/>
    </row>
    <row r="14452" spans="3:10" x14ac:dyDescent="0.2">
      <c r="C14452" s="209"/>
      <c r="D14452" s="209"/>
      <c r="E14452" s="209"/>
      <c r="J14452" s="124"/>
    </row>
    <row r="14453" spans="3:10" x14ac:dyDescent="0.2">
      <c r="C14453" s="209"/>
      <c r="D14453" s="209"/>
      <c r="E14453" s="209"/>
      <c r="J14453" s="124"/>
    </row>
    <row r="14454" spans="3:10" x14ac:dyDescent="0.2">
      <c r="C14454" s="209"/>
      <c r="D14454" s="209"/>
      <c r="E14454" s="209"/>
      <c r="J14454" s="124"/>
    </row>
    <row r="14455" spans="3:10" x14ac:dyDescent="0.2">
      <c r="C14455" s="209"/>
      <c r="D14455" s="209"/>
      <c r="E14455" s="209"/>
      <c r="J14455" s="124"/>
    </row>
    <row r="14456" spans="3:10" x14ac:dyDescent="0.2">
      <c r="C14456" s="209"/>
      <c r="D14456" s="209"/>
      <c r="E14456" s="209"/>
      <c r="J14456" s="124"/>
    </row>
    <row r="14457" spans="3:10" x14ac:dyDescent="0.2">
      <c r="C14457" s="209"/>
      <c r="D14457" s="209"/>
      <c r="E14457" s="209"/>
      <c r="J14457" s="124"/>
    </row>
    <row r="14458" spans="3:10" x14ac:dyDescent="0.2">
      <c r="C14458" s="209"/>
      <c r="D14458" s="209"/>
      <c r="E14458" s="209"/>
      <c r="J14458" s="124"/>
    </row>
    <row r="14459" spans="3:10" x14ac:dyDescent="0.2">
      <c r="C14459" s="209"/>
      <c r="D14459" s="209"/>
      <c r="E14459" s="209"/>
      <c r="J14459" s="124"/>
    </row>
    <row r="14460" spans="3:10" x14ac:dyDescent="0.2">
      <c r="C14460" s="209"/>
      <c r="D14460" s="209"/>
      <c r="E14460" s="209"/>
      <c r="J14460" s="124"/>
    </row>
    <row r="14461" spans="3:10" x14ac:dyDescent="0.2">
      <c r="C14461" s="209"/>
      <c r="D14461" s="209"/>
      <c r="E14461" s="209"/>
      <c r="J14461" s="124"/>
    </row>
    <row r="14462" spans="3:10" x14ac:dyDescent="0.2">
      <c r="C14462" s="209"/>
      <c r="D14462" s="209"/>
      <c r="E14462" s="209"/>
      <c r="J14462" s="124"/>
    </row>
    <row r="14463" spans="3:10" x14ac:dyDescent="0.2">
      <c r="C14463" s="209"/>
      <c r="D14463" s="209"/>
      <c r="E14463" s="209"/>
      <c r="J14463" s="124"/>
    </row>
    <row r="14464" spans="3:10" x14ac:dyDescent="0.2">
      <c r="C14464" s="209"/>
      <c r="D14464" s="209"/>
      <c r="E14464" s="209"/>
      <c r="J14464" s="124"/>
    </row>
    <row r="14465" spans="3:10" x14ac:dyDescent="0.2">
      <c r="C14465" s="209"/>
      <c r="D14465" s="209"/>
      <c r="E14465" s="209"/>
      <c r="J14465" s="124"/>
    </row>
    <row r="14466" spans="3:10" x14ac:dyDescent="0.2">
      <c r="C14466" s="209"/>
      <c r="D14466" s="209"/>
      <c r="E14466" s="209"/>
      <c r="J14466" s="124"/>
    </row>
    <row r="14467" spans="3:10" x14ac:dyDescent="0.2">
      <c r="C14467" s="209"/>
      <c r="D14467" s="209"/>
      <c r="E14467" s="209"/>
      <c r="J14467" s="124"/>
    </row>
    <row r="14468" spans="3:10" x14ac:dyDescent="0.2">
      <c r="C14468" s="209"/>
      <c r="D14468" s="209"/>
      <c r="E14468" s="209"/>
      <c r="J14468" s="124"/>
    </row>
    <row r="14469" spans="3:10" x14ac:dyDescent="0.2">
      <c r="C14469" s="209"/>
      <c r="D14469" s="209"/>
      <c r="E14469" s="209"/>
      <c r="J14469" s="124"/>
    </row>
    <row r="14470" spans="3:10" x14ac:dyDescent="0.2">
      <c r="C14470" s="209"/>
      <c r="D14470" s="209"/>
      <c r="E14470" s="209"/>
      <c r="J14470" s="124"/>
    </row>
    <row r="14471" spans="3:10" x14ac:dyDescent="0.2">
      <c r="C14471" s="209"/>
      <c r="D14471" s="209"/>
      <c r="E14471" s="209"/>
      <c r="J14471" s="124"/>
    </row>
    <row r="14472" spans="3:10" x14ac:dyDescent="0.2">
      <c r="C14472" s="209"/>
      <c r="D14472" s="209"/>
      <c r="E14472" s="209"/>
      <c r="J14472" s="124"/>
    </row>
    <row r="14473" spans="3:10" x14ac:dyDescent="0.2">
      <c r="C14473" s="209"/>
      <c r="D14473" s="209"/>
      <c r="E14473" s="209"/>
      <c r="J14473" s="124"/>
    </row>
    <row r="14474" spans="3:10" x14ac:dyDescent="0.2">
      <c r="C14474" s="209"/>
      <c r="D14474" s="209"/>
      <c r="E14474" s="209"/>
      <c r="J14474" s="124"/>
    </row>
    <row r="14475" spans="3:10" x14ac:dyDescent="0.2">
      <c r="C14475" s="209"/>
      <c r="D14475" s="209"/>
      <c r="E14475" s="209"/>
      <c r="J14475" s="124"/>
    </row>
    <row r="14476" spans="3:10" x14ac:dyDescent="0.2">
      <c r="C14476" s="209"/>
      <c r="D14476" s="209"/>
      <c r="E14476" s="209"/>
      <c r="J14476" s="124"/>
    </row>
    <row r="14477" spans="3:10" x14ac:dyDescent="0.2">
      <c r="C14477" s="209"/>
      <c r="D14477" s="209"/>
      <c r="E14477" s="209"/>
      <c r="J14477" s="124"/>
    </row>
    <row r="14478" spans="3:10" x14ac:dyDescent="0.2">
      <c r="C14478" s="209"/>
      <c r="D14478" s="209"/>
      <c r="E14478" s="209"/>
      <c r="J14478" s="124"/>
    </row>
    <row r="14479" spans="3:10" x14ac:dyDescent="0.2">
      <c r="C14479" s="209"/>
      <c r="D14479" s="209"/>
      <c r="E14479" s="209"/>
      <c r="J14479" s="124"/>
    </row>
    <row r="14480" spans="3:10" x14ac:dyDescent="0.2">
      <c r="C14480" s="209"/>
      <c r="D14480" s="209"/>
      <c r="E14480" s="209"/>
      <c r="J14480" s="124"/>
    </row>
    <row r="14481" spans="3:10" x14ac:dyDescent="0.2">
      <c r="C14481" s="209"/>
      <c r="D14481" s="209"/>
      <c r="E14481" s="209"/>
      <c r="J14481" s="124"/>
    </row>
    <row r="14482" spans="3:10" x14ac:dyDescent="0.2">
      <c r="C14482" s="209"/>
      <c r="D14482" s="209"/>
      <c r="E14482" s="209"/>
      <c r="J14482" s="124"/>
    </row>
    <row r="14483" spans="3:10" x14ac:dyDescent="0.2">
      <c r="C14483" s="209"/>
      <c r="D14483" s="209"/>
      <c r="E14483" s="209"/>
      <c r="J14483" s="124"/>
    </row>
    <row r="14484" spans="3:10" x14ac:dyDescent="0.2">
      <c r="C14484" s="209"/>
      <c r="D14484" s="209"/>
      <c r="E14484" s="209"/>
      <c r="J14484" s="124"/>
    </row>
    <row r="14485" spans="3:10" x14ac:dyDescent="0.2">
      <c r="C14485" s="209"/>
      <c r="D14485" s="209"/>
      <c r="E14485" s="209"/>
      <c r="J14485" s="124"/>
    </row>
    <row r="14486" spans="3:10" x14ac:dyDescent="0.2">
      <c r="C14486" s="209"/>
      <c r="D14486" s="209"/>
      <c r="E14486" s="209"/>
      <c r="J14486" s="124"/>
    </row>
    <row r="14487" spans="3:10" x14ac:dyDescent="0.2">
      <c r="C14487" s="209"/>
      <c r="D14487" s="209"/>
      <c r="E14487" s="209"/>
      <c r="J14487" s="124"/>
    </row>
    <row r="14488" spans="3:10" x14ac:dyDescent="0.2">
      <c r="C14488" s="209"/>
      <c r="D14488" s="209"/>
      <c r="E14488" s="209"/>
      <c r="J14488" s="124"/>
    </row>
    <row r="14489" spans="3:10" x14ac:dyDescent="0.2">
      <c r="C14489" s="209"/>
      <c r="D14489" s="209"/>
      <c r="E14489" s="209"/>
      <c r="J14489" s="124"/>
    </row>
    <row r="14490" spans="3:10" x14ac:dyDescent="0.2">
      <c r="C14490" s="209"/>
      <c r="D14490" s="209"/>
      <c r="E14490" s="209"/>
      <c r="J14490" s="124"/>
    </row>
    <row r="14491" spans="3:10" x14ac:dyDescent="0.2">
      <c r="C14491" s="209"/>
      <c r="D14491" s="209"/>
      <c r="E14491" s="209"/>
      <c r="J14491" s="124"/>
    </row>
    <row r="14492" spans="3:10" x14ac:dyDescent="0.2">
      <c r="C14492" s="209"/>
      <c r="D14492" s="209"/>
      <c r="E14492" s="209"/>
      <c r="J14492" s="124"/>
    </row>
    <row r="14493" spans="3:10" x14ac:dyDescent="0.2">
      <c r="C14493" s="209"/>
      <c r="D14493" s="209"/>
      <c r="E14493" s="209"/>
      <c r="J14493" s="124"/>
    </row>
    <row r="14494" spans="3:10" x14ac:dyDescent="0.2">
      <c r="C14494" s="209"/>
      <c r="D14494" s="209"/>
      <c r="E14494" s="209"/>
      <c r="J14494" s="124"/>
    </row>
    <row r="14495" spans="3:10" x14ac:dyDescent="0.2">
      <c r="C14495" s="209"/>
      <c r="D14495" s="209"/>
      <c r="E14495" s="209"/>
      <c r="J14495" s="124"/>
    </row>
    <row r="14496" spans="3:10" x14ac:dyDescent="0.2">
      <c r="C14496" s="209"/>
      <c r="D14496" s="209"/>
      <c r="E14496" s="209"/>
      <c r="J14496" s="124"/>
    </row>
    <row r="14497" spans="3:10" x14ac:dyDescent="0.2">
      <c r="C14497" s="209"/>
      <c r="D14497" s="209"/>
      <c r="E14497" s="209"/>
      <c r="J14497" s="124"/>
    </row>
    <row r="14498" spans="3:10" x14ac:dyDescent="0.2">
      <c r="C14498" s="209"/>
      <c r="D14498" s="209"/>
      <c r="E14498" s="209"/>
      <c r="J14498" s="124"/>
    </row>
    <row r="14499" spans="3:10" x14ac:dyDescent="0.2">
      <c r="C14499" s="209"/>
      <c r="D14499" s="209"/>
      <c r="E14499" s="209"/>
      <c r="J14499" s="124"/>
    </row>
    <row r="14500" spans="3:10" x14ac:dyDescent="0.2">
      <c r="C14500" s="209"/>
      <c r="D14500" s="209"/>
      <c r="E14500" s="209"/>
      <c r="J14500" s="124"/>
    </row>
    <row r="14501" spans="3:10" x14ac:dyDescent="0.2">
      <c r="C14501" s="209"/>
      <c r="D14501" s="209"/>
      <c r="E14501" s="209"/>
      <c r="J14501" s="124"/>
    </row>
    <row r="14502" spans="3:10" x14ac:dyDescent="0.2">
      <c r="C14502" s="209"/>
      <c r="D14502" s="209"/>
      <c r="E14502" s="209"/>
      <c r="J14502" s="124"/>
    </row>
    <row r="14503" spans="3:10" x14ac:dyDescent="0.2">
      <c r="C14503" s="209"/>
      <c r="D14503" s="209"/>
      <c r="E14503" s="209"/>
      <c r="J14503" s="124"/>
    </row>
    <row r="14504" spans="3:10" x14ac:dyDescent="0.2">
      <c r="C14504" s="209"/>
      <c r="D14504" s="209"/>
      <c r="E14504" s="209"/>
      <c r="J14504" s="124"/>
    </row>
    <row r="14505" spans="3:10" x14ac:dyDescent="0.2">
      <c r="C14505" s="209"/>
      <c r="D14505" s="209"/>
      <c r="E14505" s="209"/>
      <c r="J14505" s="124"/>
    </row>
    <row r="14506" spans="3:10" x14ac:dyDescent="0.2">
      <c r="C14506" s="209"/>
      <c r="D14506" s="209"/>
      <c r="E14506" s="209"/>
      <c r="J14506" s="124"/>
    </row>
    <row r="14507" spans="3:10" x14ac:dyDescent="0.2">
      <c r="C14507" s="209"/>
      <c r="D14507" s="209"/>
      <c r="E14507" s="209"/>
      <c r="J14507" s="124"/>
    </row>
    <row r="14508" spans="3:10" x14ac:dyDescent="0.2">
      <c r="C14508" s="209"/>
      <c r="D14508" s="209"/>
      <c r="E14508" s="209"/>
      <c r="J14508" s="124"/>
    </row>
    <row r="14509" spans="3:10" x14ac:dyDescent="0.2">
      <c r="C14509" s="209"/>
      <c r="D14509" s="209"/>
      <c r="E14509" s="209"/>
      <c r="J14509" s="124"/>
    </row>
    <row r="14510" spans="3:10" x14ac:dyDescent="0.2">
      <c r="C14510" s="209"/>
      <c r="D14510" s="209"/>
      <c r="E14510" s="209"/>
      <c r="J14510" s="124"/>
    </row>
    <row r="14511" spans="3:10" x14ac:dyDescent="0.2">
      <c r="C14511" s="209"/>
      <c r="D14511" s="209"/>
      <c r="E14511" s="209"/>
      <c r="J14511" s="124"/>
    </row>
    <row r="14512" spans="3:10" x14ac:dyDescent="0.2">
      <c r="C14512" s="209"/>
      <c r="D14512" s="209"/>
      <c r="E14512" s="209"/>
      <c r="J14512" s="124"/>
    </row>
    <row r="14513" spans="3:10" x14ac:dyDescent="0.2">
      <c r="C14513" s="209"/>
      <c r="D14513" s="209"/>
      <c r="E14513" s="209"/>
      <c r="J14513" s="124"/>
    </row>
    <row r="14514" spans="3:10" x14ac:dyDescent="0.2">
      <c r="C14514" s="209"/>
      <c r="D14514" s="209"/>
      <c r="E14514" s="209"/>
      <c r="J14514" s="124"/>
    </row>
    <row r="14515" spans="3:10" x14ac:dyDescent="0.2">
      <c r="C14515" s="209"/>
      <c r="D14515" s="209"/>
      <c r="E14515" s="209"/>
      <c r="J14515" s="124"/>
    </row>
    <row r="14516" spans="3:10" x14ac:dyDescent="0.2">
      <c r="C14516" s="209"/>
      <c r="D14516" s="209"/>
      <c r="E14516" s="209"/>
      <c r="J14516" s="124"/>
    </row>
    <row r="14517" spans="3:10" x14ac:dyDescent="0.2">
      <c r="C14517" s="209"/>
      <c r="D14517" s="209"/>
      <c r="E14517" s="209"/>
      <c r="J14517" s="124"/>
    </row>
    <row r="14518" spans="3:10" x14ac:dyDescent="0.2">
      <c r="C14518" s="209"/>
      <c r="D14518" s="209"/>
      <c r="E14518" s="209"/>
      <c r="J14518" s="124"/>
    </row>
    <row r="14519" spans="3:10" x14ac:dyDescent="0.2">
      <c r="C14519" s="209"/>
      <c r="D14519" s="209"/>
      <c r="E14519" s="209"/>
      <c r="J14519" s="124"/>
    </row>
    <row r="14520" spans="3:10" x14ac:dyDescent="0.2">
      <c r="C14520" s="209"/>
      <c r="D14520" s="209"/>
      <c r="E14520" s="209"/>
      <c r="J14520" s="124"/>
    </row>
    <row r="14521" spans="3:10" x14ac:dyDescent="0.2">
      <c r="C14521" s="209"/>
      <c r="D14521" s="209"/>
      <c r="E14521" s="209"/>
      <c r="J14521" s="124"/>
    </row>
    <row r="14522" spans="3:10" x14ac:dyDescent="0.2">
      <c r="C14522" s="209"/>
      <c r="D14522" s="209"/>
      <c r="E14522" s="209"/>
      <c r="J14522" s="124"/>
    </row>
    <row r="14523" spans="3:10" x14ac:dyDescent="0.2">
      <c r="C14523" s="209"/>
      <c r="D14523" s="209"/>
      <c r="E14523" s="209"/>
      <c r="J14523" s="124"/>
    </row>
    <row r="14524" spans="3:10" x14ac:dyDescent="0.2">
      <c r="C14524" s="209"/>
      <c r="D14524" s="209"/>
      <c r="E14524" s="209"/>
      <c r="J14524" s="124"/>
    </row>
    <row r="14525" spans="3:10" x14ac:dyDescent="0.2">
      <c r="C14525" s="209"/>
      <c r="D14525" s="209"/>
      <c r="E14525" s="209"/>
      <c r="J14525" s="124"/>
    </row>
    <row r="14526" spans="3:10" x14ac:dyDescent="0.2">
      <c r="C14526" s="209"/>
      <c r="D14526" s="209"/>
      <c r="E14526" s="209"/>
      <c r="J14526" s="124"/>
    </row>
    <row r="14527" spans="3:10" x14ac:dyDescent="0.2">
      <c r="C14527" s="209"/>
      <c r="D14527" s="209"/>
      <c r="E14527" s="209"/>
      <c r="J14527" s="124"/>
    </row>
    <row r="14528" spans="3:10" x14ac:dyDescent="0.2">
      <c r="C14528" s="209"/>
      <c r="D14528" s="209"/>
      <c r="E14528" s="209"/>
      <c r="J14528" s="124"/>
    </row>
    <row r="14529" spans="3:10" x14ac:dyDescent="0.2">
      <c r="C14529" s="209"/>
      <c r="D14529" s="209"/>
      <c r="E14529" s="209"/>
      <c r="J14529" s="124"/>
    </row>
    <row r="14530" spans="3:10" x14ac:dyDescent="0.2">
      <c r="C14530" s="209"/>
      <c r="D14530" s="209"/>
      <c r="E14530" s="209"/>
      <c r="J14530" s="124"/>
    </row>
    <row r="14531" spans="3:10" x14ac:dyDescent="0.2">
      <c r="C14531" s="209"/>
      <c r="D14531" s="209"/>
      <c r="E14531" s="209"/>
      <c r="J14531" s="124"/>
    </row>
    <row r="14532" spans="3:10" x14ac:dyDescent="0.2">
      <c r="C14532" s="209"/>
      <c r="D14532" s="209"/>
      <c r="E14532" s="209"/>
      <c r="J14532" s="124"/>
    </row>
    <row r="14533" spans="3:10" x14ac:dyDescent="0.2">
      <c r="C14533" s="209"/>
      <c r="D14533" s="209"/>
      <c r="E14533" s="209"/>
      <c r="J14533" s="124"/>
    </row>
    <row r="14534" spans="3:10" x14ac:dyDescent="0.2">
      <c r="C14534" s="209"/>
      <c r="D14534" s="209"/>
      <c r="E14534" s="209"/>
      <c r="J14534" s="124"/>
    </row>
    <row r="14535" spans="3:10" x14ac:dyDescent="0.2">
      <c r="C14535" s="209"/>
      <c r="D14535" s="209"/>
      <c r="E14535" s="209"/>
      <c r="J14535" s="124"/>
    </row>
    <row r="14536" spans="3:10" x14ac:dyDescent="0.2">
      <c r="C14536" s="209"/>
      <c r="D14536" s="209"/>
      <c r="E14536" s="209"/>
      <c r="J14536" s="124"/>
    </row>
    <row r="14537" spans="3:10" x14ac:dyDescent="0.2">
      <c r="C14537" s="209"/>
      <c r="D14537" s="209"/>
      <c r="E14537" s="209"/>
      <c r="J14537" s="124"/>
    </row>
    <row r="14538" spans="3:10" x14ac:dyDescent="0.2">
      <c r="C14538" s="209"/>
      <c r="D14538" s="209"/>
      <c r="E14538" s="209"/>
      <c r="J14538" s="124"/>
    </row>
    <row r="14539" spans="3:10" x14ac:dyDescent="0.2">
      <c r="C14539" s="209"/>
      <c r="D14539" s="209"/>
      <c r="E14539" s="209"/>
      <c r="J14539" s="124"/>
    </row>
    <row r="14540" spans="3:10" x14ac:dyDescent="0.2">
      <c r="C14540" s="209"/>
      <c r="D14540" s="209"/>
      <c r="E14540" s="209"/>
      <c r="J14540" s="124"/>
    </row>
    <row r="14541" spans="3:10" x14ac:dyDescent="0.2">
      <c r="C14541" s="209"/>
      <c r="D14541" s="209"/>
      <c r="E14541" s="209"/>
      <c r="J14541" s="124"/>
    </row>
    <row r="14542" spans="3:10" x14ac:dyDescent="0.2">
      <c r="C14542" s="209"/>
      <c r="D14542" s="209"/>
      <c r="E14542" s="209"/>
      <c r="J14542" s="124"/>
    </row>
    <row r="14543" spans="3:10" x14ac:dyDescent="0.2">
      <c r="C14543" s="209"/>
      <c r="D14543" s="209"/>
      <c r="E14543" s="209"/>
      <c r="J14543" s="124"/>
    </row>
    <row r="14544" spans="3:10" x14ac:dyDescent="0.2">
      <c r="C14544" s="209"/>
      <c r="D14544" s="209"/>
      <c r="E14544" s="209"/>
      <c r="J14544" s="124"/>
    </row>
    <row r="14545" spans="3:10" x14ac:dyDescent="0.2">
      <c r="C14545" s="209"/>
      <c r="D14545" s="209"/>
      <c r="E14545" s="209"/>
      <c r="J14545" s="124"/>
    </row>
    <row r="14546" spans="3:10" x14ac:dyDescent="0.2">
      <c r="C14546" s="209"/>
      <c r="D14546" s="209"/>
      <c r="E14546" s="209"/>
      <c r="J14546" s="124"/>
    </row>
    <row r="14547" spans="3:10" x14ac:dyDescent="0.2">
      <c r="C14547" s="209"/>
      <c r="D14547" s="209"/>
      <c r="E14547" s="209"/>
      <c r="J14547" s="124"/>
    </row>
    <row r="14548" spans="3:10" x14ac:dyDescent="0.2">
      <c r="C14548" s="209"/>
      <c r="D14548" s="209"/>
      <c r="E14548" s="209"/>
      <c r="J14548" s="124"/>
    </row>
    <row r="14549" spans="3:10" x14ac:dyDescent="0.2">
      <c r="C14549" s="209"/>
      <c r="D14549" s="209"/>
      <c r="E14549" s="209"/>
      <c r="J14549" s="124"/>
    </row>
    <row r="14550" spans="3:10" x14ac:dyDescent="0.2">
      <c r="C14550" s="209"/>
      <c r="D14550" s="209"/>
      <c r="E14550" s="209"/>
      <c r="J14550" s="124"/>
    </row>
    <row r="14551" spans="3:10" x14ac:dyDescent="0.2">
      <c r="C14551" s="209"/>
      <c r="D14551" s="209"/>
      <c r="E14551" s="209"/>
      <c r="J14551" s="124"/>
    </row>
    <row r="14552" spans="3:10" x14ac:dyDescent="0.2">
      <c r="C14552" s="209"/>
      <c r="D14552" s="209"/>
      <c r="E14552" s="209"/>
      <c r="J14552" s="124"/>
    </row>
    <row r="14553" spans="3:10" x14ac:dyDescent="0.2">
      <c r="C14553" s="209"/>
      <c r="D14553" s="209"/>
      <c r="E14553" s="209"/>
      <c r="J14553" s="124"/>
    </row>
    <row r="14554" spans="3:10" x14ac:dyDescent="0.2">
      <c r="C14554" s="209"/>
      <c r="D14554" s="209"/>
      <c r="E14554" s="209"/>
      <c r="J14554" s="124"/>
    </row>
    <row r="14555" spans="3:10" x14ac:dyDescent="0.2">
      <c r="C14555" s="209"/>
      <c r="D14555" s="209"/>
      <c r="E14555" s="209"/>
      <c r="J14555" s="124"/>
    </row>
    <row r="14556" spans="3:10" x14ac:dyDescent="0.2">
      <c r="C14556" s="209"/>
      <c r="D14556" s="209"/>
      <c r="E14556" s="209"/>
      <c r="J14556" s="124"/>
    </row>
    <row r="14557" spans="3:10" x14ac:dyDescent="0.2">
      <c r="C14557" s="209"/>
      <c r="D14557" s="209"/>
      <c r="E14557" s="209"/>
      <c r="J14557" s="124"/>
    </row>
    <row r="14558" spans="3:10" x14ac:dyDescent="0.2">
      <c r="C14558" s="209"/>
      <c r="D14558" s="209"/>
      <c r="E14558" s="209"/>
      <c r="J14558" s="124"/>
    </row>
    <row r="14559" spans="3:10" x14ac:dyDescent="0.2">
      <c r="C14559" s="209"/>
      <c r="D14559" s="209"/>
      <c r="E14559" s="209"/>
      <c r="J14559" s="124"/>
    </row>
    <row r="14560" spans="3:10" x14ac:dyDescent="0.2">
      <c r="C14560" s="209"/>
      <c r="D14560" s="209"/>
      <c r="E14560" s="209"/>
      <c r="J14560" s="124"/>
    </row>
    <row r="14561" spans="3:10" x14ac:dyDescent="0.2">
      <c r="C14561" s="209"/>
      <c r="D14561" s="209"/>
      <c r="E14561" s="209"/>
      <c r="J14561" s="124"/>
    </row>
    <row r="14562" spans="3:10" x14ac:dyDescent="0.2">
      <c r="C14562" s="209"/>
      <c r="D14562" s="209"/>
      <c r="E14562" s="209"/>
      <c r="J14562" s="124"/>
    </row>
    <row r="14563" spans="3:10" x14ac:dyDescent="0.2">
      <c r="C14563" s="209"/>
      <c r="D14563" s="209"/>
      <c r="E14563" s="209"/>
      <c r="J14563" s="124"/>
    </row>
    <row r="14564" spans="3:10" x14ac:dyDescent="0.2">
      <c r="C14564" s="209"/>
      <c r="D14564" s="209"/>
      <c r="E14564" s="209"/>
      <c r="J14564" s="124"/>
    </row>
    <row r="14565" spans="3:10" x14ac:dyDescent="0.2">
      <c r="C14565" s="209"/>
      <c r="D14565" s="209"/>
      <c r="E14565" s="209"/>
      <c r="J14565" s="124"/>
    </row>
    <row r="14566" spans="3:10" x14ac:dyDescent="0.2">
      <c r="C14566" s="209"/>
      <c r="D14566" s="209"/>
      <c r="E14566" s="209"/>
      <c r="J14566" s="124"/>
    </row>
    <row r="14567" spans="3:10" x14ac:dyDescent="0.2">
      <c r="C14567" s="209"/>
      <c r="D14567" s="209"/>
      <c r="E14567" s="209"/>
      <c r="J14567" s="124"/>
    </row>
    <row r="14568" spans="3:10" x14ac:dyDescent="0.2">
      <c r="C14568" s="209"/>
      <c r="D14568" s="209"/>
      <c r="E14568" s="209"/>
      <c r="J14568" s="124"/>
    </row>
    <row r="14569" spans="3:10" x14ac:dyDescent="0.2">
      <c r="C14569" s="209"/>
      <c r="D14569" s="209"/>
      <c r="E14569" s="209"/>
      <c r="J14569" s="124"/>
    </row>
    <row r="14570" spans="3:10" x14ac:dyDescent="0.2">
      <c r="C14570" s="209"/>
      <c r="D14570" s="209"/>
      <c r="E14570" s="209"/>
      <c r="J14570" s="124"/>
    </row>
    <row r="14571" spans="3:10" x14ac:dyDescent="0.2">
      <c r="C14571" s="209"/>
      <c r="D14571" s="209"/>
      <c r="E14571" s="209"/>
      <c r="J14571" s="124"/>
    </row>
    <row r="14572" spans="3:10" x14ac:dyDescent="0.2">
      <c r="C14572" s="209"/>
      <c r="D14572" s="209"/>
      <c r="E14572" s="209"/>
      <c r="J14572" s="124"/>
    </row>
    <row r="14573" spans="3:10" x14ac:dyDescent="0.2">
      <c r="C14573" s="209"/>
      <c r="D14573" s="209"/>
      <c r="E14573" s="209"/>
      <c r="J14573" s="124"/>
    </row>
    <row r="14574" spans="3:10" x14ac:dyDescent="0.2">
      <c r="C14574" s="209"/>
      <c r="D14574" s="209"/>
      <c r="E14574" s="209"/>
      <c r="J14574" s="124"/>
    </row>
    <row r="14575" spans="3:10" x14ac:dyDescent="0.2">
      <c r="C14575" s="209"/>
      <c r="D14575" s="209"/>
      <c r="E14575" s="209"/>
      <c r="J14575" s="124"/>
    </row>
    <row r="14576" spans="3:10" x14ac:dyDescent="0.2">
      <c r="C14576" s="209"/>
      <c r="D14576" s="209"/>
      <c r="E14576" s="209"/>
      <c r="J14576" s="124"/>
    </row>
    <row r="14577" spans="3:10" x14ac:dyDescent="0.2">
      <c r="C14577" s="209"/>
      <c r="D14577" s="209"/>
      <c r="E14577" s="209"/>
      <c r="J14577" s="124"/>
    </row>
    <row r="14578" spans="3:10" x14ac:dyDescent="0.2">
      <c r="C14578" s="209"/>
      <c r="D14578" s="209"/>
      <c r="E14578" s="209"/>
      <c r="J14578" s="124"/>
    </row>
    <row r="14579" spans="3:10" x14ac:dyDescent="0.2">
      <c r="C14579" s="209"/>
      <c r="D14579" s="209"/>
      <c r="E14579" s="209"/>
      <c r="J14579" s="124"/>
    </row>
    <row r="14580" spans="3:10" x14ac:dyDescent="0.2">
      <c r="C14580" s="209"/>
      <c r="D14580" s="209"/>
      <c r="E14580" s="209"/>
      <c r="J14580" s="124"/>
    </row>
    <row r="14581" spans="3:10" x14ac:dyDescent="0.2">
      <c r="C14581" s="209"/>
      <c r="D14581" s="209"/>
      <c r="E14581" s="209"/>
      <c r="J14581" s="124"/>
    </row>
    <row r="14582" spans="3:10" x14ac:dyDescent="0.2">
      <c r="C14582" s="209"/>
      <c r="D14582" s="209"/>
      <c r="E14582" s="209"/>
      <c r="J14582" s="124"/>
    </row>
    <row r="14583" spans="3:10" x14ac:dyDescent="0.2">
      <c r="C14583" s="209"/>
      <c r="D14583" s="209"/>
      <c r="E14583" s="209"/>
      <c r="J14583" s="124"/>
    </row>
    <row r="14584" spans="3:10" x14ac:dyDescent="0.2">
      <c r="C14584" s="209"/>
      <c r="D14584" s="209"/>
      <c r="E14584" s="209"/>
      <c r="J14584" s="124"/>
    </row>
    <row r="14585" spans="3:10" x14ac:dyDescent="0.2">
      <c r="C14585" s="209"/>
      <c r="D14585" s="209"/>
      <c r="E14585" s="209"/>
      <c r="J14585" s="124"/>
    </row>
    <row r="14586" spans="3:10" x14ac:dyDescent="0.2">
      <c r="C14586" s="209"/>
      <c r="D14586" s="209"/>
      <c r="E14586" s="209"/>
      <c r="J14586" s="124"/>
    </row>
    <row r="14587" spans="3:10" x14ac:dyDescent="0.2">
      <c r="C14587" s="209"/>
      <c r="D14587" s="209"/>
      <c r="E14587" s="209"/>
      <c r="J14587" s="124"/>
    </row>
    <row r="14588" spans="3:10" x14ac:dyDescent="0.2">
      <c r="C14588" s="209"/>
      <c r="D14588" s="209"/>
      <c r="E14588" s="209"/>
      <c r="J14588" s="124"/>
    </row>
    <row r="14589" spans="3:10" x14ac:dyDescent="0.2">
      <c r="C14589" s="209"/>
      <c r="D14589" s="209"/>
      <c r="E14589" s="209"/>
      <c r="J14589" s="124"/>
    </row>
    <row r="14590" spans="3:10" x14ac:dyDescent="0.2">
      <c r="C14590" s="209"/>
      <c r="D14590" s="209"/>
      <c r="E14590" s="209"/>
      <c r="J14590" s="124"/>
    </row>
    <row r="14591" spans="3:10" x14ac:dyDescent="0.2">
      <c r="C14591" s="209"/>
      <c r="D14591" s="209"/>
      <c r="E14591" s="209"/>
      <c r="J14591" s="124"/>
    </row>
    <row r="14592" spans="3:10" x14ac:dyDescent="0.2">
      <c r="C14592" s="209"/>
      <c r="D14592" s="209"/>
      <c r="E14592" s="209"/>
      <c r="J14592" s="124"/>
    </row>
    <row r="14593" spans="3:10" x14ac:dyDescent="0.2">
      <c r="C14593" s="209"/>
      <c r="D14593" s="209"/>
      <c r="E14593" s="209"/>
      <c r="J14593" s="124"/>
    </row>
    <row r="14594" spans="3:10" x14ac:dyDescent="0.2">
      <c r="C14594" s="209"/>
      <c r="D14594" s="209"/>
      <c r="E14594" s="209"/>
      <c r="J14594" s="124"/>
    </row>
    <row r="14595" spans="3:10" x14ac:dyDescent="0.2">
      <c r="C14595" s="209"/>
      <c r="D14595" s="209"/>
      <c r="E14595" s="209"/>
      <c r="J14595" s="124"/>
    </row>
    <row r="14596" spans="3:10" x14ac:dyDescent="0.2">
      <c r="C14596" s="209"/>
      <c r="D14596" s="209"/>
      <c r="E14596" s="209"/>
      <c r="J14596" s="124"/>
    </row>
    <row r="14597" spans="3:10" x14ac:dyDescent="0.2">
      <c r="C14597" s="209"/>
      <c r="D14597" s="209"/>
      <c r="E14597" s="209"/>
      <c r="J14597" s="124"/>
    </row>
    <row r="14598" spans="3:10" x14ac:dyDescent="0.2">
      <c r="C14598" s="209"/>
      <c r="D14598" s="209"/>
      <c r="E14598" s="209"/>
      <c r="J14598" s="124"/>
    </row>
    <row r="14599" spans="3:10" x14ac:dyDescent="0.2">
      <c r="C14599" s="209"/>
      <c r="D14599" s="209"/>
      <c r="E14599" s="209"/>
      <c r="J14599" s="124"/>
    </row>
    <row r="14600" spans="3:10" x14ac:dyDescent="0.2">
      <c r="C14600" s="209"/>
      <c r="D14600" s="209"/>
      <c r="E14600" s="209"/>
      <c r="J14600" s="124"/>
    </row>
    <row r="14601" spans="3:10" x14ac:dyDescent="0.2">
      <c r="C14601" s="209"/>
      <c r="D14601" s="209"/>
      <c r="E14601" s="209"/>
      <c r="J14601" s="124"/>
    </row>
    <row r="14602" spans="3:10" x14ac:dyDescent="0.2">
      <c r="C14602" s="209"/>
      <c r="D14602" s="209"/>
      <c r="E14602" s="209"/>
      <c r="J14602" s="124"/>
    </row>
    <row r="14603" spans="3:10" x14ac:dyDescent="0.2">
      <c r="C14603" s="209"/>
      <c r="D14603" s="209"/>
      <c r="E14603" s="209"/>
      <c r="J14603" s="124"/>
    </row>
    <row r="14604" spans="3:10" x14ac:dyDescent="0.2">
      <c r="C14604" s="209"/>
      <c r="D14604" s="209"/>
      <c r="E14604" s="209"/>
      <c r="J14604" s="124"/>
    </row>
    <row r="14605" spans="3:10" x14ac:dyDescent="0.2">
      <c r="C14605" s="209"/>
      <c r="D14605" s="209"/>
      <c r="E14605" s="209"/>
      <c r="J14605" s="124"/>
    </row>
    <row r="14606" spans="3:10" x14ac:dyDescent="0.2">
      <c r="C14606" s="209"/>
      <c r="D14606" s="209"/>
      <c r="E14606" s="209"/>
      <c r="J14606" s="124"/>
    </row>
    <row r="14607" spans="3:10" x14ac:dyDescent="0.2">
      <c r="C14607" s="209"/>
      <c r="D14607" s="209"/>
      <c r="E14607" s="209"/>
      <c r="J14607" s="124"/>
    </row>
    <row r="14608" spans="3:10" x14ac:dyDescent="0.2">
      <c r="C14608" s="209"/>
      <c r="D14608" s="209"/>
      <c r="E14608" s="209"/>
      <c r="J14608" s="124"/>
    </row>
    <row r="14609" spans="3:10" x14ac:dyDescent="0.2">
      <c r="C14609" s="209"/>
      <c r="D14609" s="209"/>
      <c r="E14609" s="209"/>
      <c r="J14609" s="124"/>
    </row>
    <row r="14610" spans="3:10" x14ac:dyDescent="0.2">
      <c r="C14610" s="209"/>
      <c r="D14610" s="209"/>
      <c r="E14610" s="209"/>
      <c r="J14610" s="124"/>
    </row>
    <row r="14611" spans="3:10" x14ac:dyDescent="0.2">
      <c r="C14611" s="209"/>
      <c r="D14611" s="209"/>
      <c r="E14611" s="209"/>
      <c r="J14611" s="124"/>
    </row>
    <row r="14612" spans="3:10" x14ac:dyDescent="0.2">
      <c r="C14612" s="209"/>
      <c r="D14612" s="209"/>
      <c r="E14612" s="209"/>
      <c r="J14612" s="124"/>
    </row>
    <row r="14613" spans="3:10" x14ac:dyDescent="0.2">
      <c r="C14613" s="209"/>
      <c r="D14613" s="209"/>
      <c r="E14613" s="209"/>
      <c r="J14613" s="124"/>
    </row>
    <row r="14614" spans="3:10" x14ac:dyDescent="0.2">
      <c r="C14614" s="209"/>
      <c r="D14614" s="209"/>
      <c r="E14614" s="209"/>
      <c r="J14614" s="124"/>
    </row>
    <row r="14615" spans="3:10" x14ac:dyDescent="0.2">
      <c r="C14615" s="209"/>
      <c r="D14615" s="209"/>
      <c r="E14615" s="209"/>
      <c r="J14615" s="124"/>
    </row>
    <row r="14616" spans="3:10" x14ac:dyDescent="0.2">
      <c r="C14616" s="209"/>
      <c r="D14616" s="209"/>
      <c r="E14616" s="209"/>
      <c r="J14616" s="124"/>
    </row>
    <row r="14617" spans="3:10" x14ac:dyDescent="0.2">
      <c r="C14617" s="209"/>
      <c r="D14617" s="209"/>
      <c r="E14617" s="209"/>
      <c r="J14617" s="124"/>
    </row>
    <row r="14618" spans="3:10" x14ac:dyDescent="0.2">
      <c r="C14618" s="209"/>
      <c r="D14618" s="209"/>
      <c r="E14618" s="209"/>
      <c r="J14618" s="124"/>
    </row>
    <row r="14619" spans="3:10" x14ac:dyDescent="0.2">
      <c r="C14619" s="209"/>
      <c r="D14619" s="209"/>
      <c r="E14619" s="209"/>
      <c r="J14619" s="124"/>
    </row>
    <row r="14620" spans="3:10" x14ac:dyDescent="0.2">
      <c r="C14620" s="209"/>
      <c r="D14620" s="209"/>
      <c r="E14620" s="209"/>
      <c r="J14620" s="124"/>
    </row>
    <row r="14621" spans="3:10" x14ac:dyDescent="0.2">
      <c r="C14621" s="209"/>
      <c r="D14621" s="209"/>
      <c r="E14621" s="209"/>
      <c r="J14621" s="124"/>
    </row>
    <row r="14622" spans="3:10" x14ac:dyDescent="0.2">
      <c r="C14622" s="209"/>
      <c r="D14622" s="209"/>
      <c r="E14622" s="209"/>
      <c r="J14622" s="124"/>
    </row>
    <row r="14623" spans="3:10" x14ac:dyDescent="0.2">
      <c r="C14623" s="209"/>
      <c r="D14623" s="209"/>
      <c r="E14623" s="209"/>
      <c r="J14623" s="124"/>
    </row>
    <row r="14624" spans="3:10" x14ac:dyDescent="0.2">
      <c r="C14624" s="209"/>
      <c r="D14624" s="209"/>
      <c r="E14624" s="209"/>
      <c r="J14624" s="124"/>
    </row>
    <row r="14625" spans="3:10" x14ac:dyDescent="0.2">
      <c r="C14625" s="209"/>
      <c r="D14625" s="209"/>
      <c r="E14625" s="209"/>
      <c r="J14625" s="124"/>
    </row>
    <row r="14626" spans="3:10" x14ac:dyDescent="0.2">
      <c r="C14626" s="209"/>
      <c r="D14626" s="209"/>
      <c r="E14626" s="209"/>
      <c r="J14626" s="124"/>
    </row>
    <row r="14627" spans="3:10" x14ac:dyDescent="0.2">
      <c r="C14627" s="209"/>
      <c r="D14627" s="209"/>
      <c r="E14627" s="209"/>
      <c r="J14627" s="124"/>
    </row>
    <row r="14628" spans="3:10" x14ac:dyDescent="0.2">
      <c r="C14628" s="209"/>
      <c r="D14628" s="209"/>
      <c r="E14628" s="209"/>
      <c r="J14628" s="124"/>
    </row>
    <row r="14629" spans="3:10" x14ac:dyDescent="0.2">
      <c r="C14629" s="209"/>
      <c r="D14629" s="209"/>
      <c r="E14629" s="209"/>
      <c r="J14629" s="124"/>
    </row>
    <row r="14630" spans="3:10" x14ac:dyDescent="0.2">
      <c r="C14630" s="209"/>
      <c r="D14630" s="209"/>
      <c r="E14630" s="209"/>
      <c r="J14630" s="124"/>
    </row>
    <row r="14631" spans="3:10" x14ac:dyDescent="0.2">
      <c r="C14631" s="209"/>
      <c r="D14631" s="209"/>
      <c r="E14631" s="209"/>
      <c r="J14631" s="124"/>
    </row>
    <row r="14632" spans="3:10" x14ac:dyDescent="0.2">
      <c r="C14632" s="209"/>
      <c r="D14632" s="209"/>
      <c r="E14632" s="209"/>
      <c r="J14632" s="124"/>
    </row>
    <row r="14633" spans="3:10" x14ac:dyDescent="0.2">
      <c r="C14633" s="209"/>
      <c r="D14633" s="209"/>
      <c r="E14633" s="209"/>
      <c r="J14633" s="124"/>
    </row>
    <row r="14634" spans="3:10" x14ac:dyDescent="0.2">
      <c r="C14634" s="209"/>
      <c r="D14634" s="209"/>
      <c r="E14634" s="209"/>
      <c r="J14634" s="124"/>
    </row>
    <row r="14635" spans="3:10" x14ac:dyDescent="0.2">
      <c r="C14635" s="209"/>
      <c r="D14635" s="209"/>
      <c r="E14635" s="209"/>
      <c r="J14635" s="124"/>
    </row>
    <row r="14636" spans="3:10" x14ac:dyDescent="0.2">
      <c r="C14636" s="209"/>
      <c r="D14636" s="209"/>
      <c r="E14636" s="209"/>
      <c r="J14636" s="124"/>
    </row>
    <row r="14637" spans="3:10" x14ac:dyDescent="0.2">
      <c r="C14637" s="209"/>
      <c r="D14637" s="209"/>
      <c r="E14637" s="209"/>
      <c r="J14637" s="124"/>
    </row>
    <row r="14638" spans="3:10" x14ac:dyDescent="0.2">
      <c r="C14638" s="209"/>
      <c r="D14638" s="209"/>
      <c r="E14638" s="209"/>
      <c r="J14638" s="124"/>
    </row>
    <row r="14639" spans="3:10" x14ac:dyDescent="0.2">
      <c r="C14639" s="209"/>
      <c r="D14639" s="209"/>
      <c r="E14639" s="209"/>
      <c r="J14639" s="124"/>
    </row>
    <row r="14640" spans="3:10" x14ac:dyDescent="0.2">
      <c r="C14640" s="209"/>
      <c r="D14640" s="209"/>
      <c r="E14640" s="209"/>
      <c r="J14640" s="124"/>
    </row>
    <row r="14641" spans="3:10" x14ac:dyDescent="0.2">
      <c r="C14641" s="209"/>
      <c r="D14641" s="209"/>
      <c r="E14641" s="209"/>
      <c r="J14641" s="124"/>
    </row>
    <row r="14642" spans="3:10" x14ac:dyDescent="0.2">
      <c r="C14642" s="209"/>
      <c r="D14642" s="209"/>
      <c r="E14642" s="209"/>
      <c r="J14642" s="124"/>
    </row>
    <row r="14643" spans="3:10" x14ac:dyDescent="0.2">
      <c r="C14643" s="209"/>
      <c r="D14643" s="209"/>
      <c r="E14643" s="209"/>
      <c r="J14643" s="124"/>
    </row>
    <row r="14644" spans="3:10" x14ac:dyDescent="0.2">
      <c r="C14644" s="209"/>
      <c r="D14644" s="209"/>
      <c r="E14644" s="209"/>
      <c r="J14644" s="124"/>
    </row>
    <row r="14645" spans="3:10" x14ac:dyDescent="0.2">
      <c r="C14645" s="209"/>
      <c r="D14645" s="209"/>
      <c r="E14645" s="209"/>
      <c r="J14645" s="124"/>
    </row>
    <row r="14646" spans="3:10" x14ac:dyDescent="0.2">
      <c r="C14646" s="209"/>
      <c r="D14646" s="209"/>
      <c r="E14646" s="209"/>
      <c r="J14646" s="124"/>
    </row>
    <row r="14647" spans="3:10" x14ac:dyDescent="0.2">
      <c r="C14647" s="209"/>
      <c r="D14647" s="209"/>
      <c r="E14647" s="209"/>
      <c r="J14647" s="124"/>
    </row>
    <row r="14648" spans="3:10" x14ac:dyDescent="0.2">
      <c r="C14648" s="209"/>
      <c r="D14648" s="209"/>
      <c r="E14648" s="209"/>
      <c r="J14648" s="124"/>
    </row>
    <row r="14649" spans="3:10" x14ac:dyDescent="0.2">
      <c r="C14649" s="209"/>
      <c r="D14649" s="209"/>
      <c r="E14649" s="209"/>
      <c r="J14649" s="124"/>
    </row>
    <row r="14650" spans="3:10" x14ac:dyDescent="0.2">
      <c r="C14650" s="209"/>
      <c r="D14650" s="209"/>
      <c r="E14650" s="209"/>
      <c r="J14650" s="124"/>
    </row>
    <row r="14651" spans="3:10" x14ac:dyDescent="0.2">
      <c r="C14651" s="209"/>
      <c r="D14651" s="209"/>
      <c r="E14651" s="209"/>
      <c r="J14651" s="124"/>
    </row>
    <row r="14652" spans="3:10" x14ac:dyDescent="0.2">
      <c r="C14652" s="209"/>
      <c r="D14652" s="209"/>
      <c r="E14652" s="209"/>
      <c r="J14652" s="124"/>
    </row>
    <row r="14653" spans="3:10" x14ac:dyDescent="0.2">
      <c r="C14653" s="209"/>
      <c r="D14653" s="209"/>
      <c r="E14653" s="209"/>
      <c r="J14653" s="124"/>
    </row>
    <row r="14654" spans="3:10" x14ac:dyDescent="0.2">
      <c r="C14654" s="209"/>
      <c r="D14654" s="209"/>
      <c r="E14654" s="209"/>
      <c r="J14654" s="124"/>
    </row>
    <row r="14655" spans="3:10" x14ac:dyDescent="0.2">
      <c r="C14655" s="209"/>
      <c r="D14655" s="209"/>
      <c r="E14655" s="209"/>
      <c r="J14655" s="124"/>
    </row>
    <row r="14656" spans="3:10" x14ac:dyDescent="0.2">
      <c r="C14656" s="209"/>
      <c r="D14656" s="209"/>
      <c r="E14656" s="209"/>
      <c r="J14656" s="124"/>
    </row>
    <row r="14657" spans="3:10" x14ac:dyDescent="0.2">
      <c r="C14657" s="209"/>
      <c r="D14657" s="209"/>
      <c r="E14657" s="209"/>
      <c r="J14657" s="124"/>
    </row>
    <row r="14658" spans="3:10" x14ac:dyDescent="0.2">
      <c r="C14658" s="209"/>
      <c r="D14658" s="209"/>
      <c r="E14658" s="209"/>
      <c r="J14658" s="124"/>
    </row>
    <row r="14659" spans="3:10" x14ac:dyDescent="0.2">
      <c r="C14659" s="209"/>
      <c r="D14659" s="209"/>
      <c r="E14659" s="209"/>
      <c r="J14659" s="124"/>
    </row>
    <row r="14660" spans="3:10" x14ac:dyDescent="0.2">
      <c r="C14660" s="209"/>
      <c r="D14660" s="209"/>
      <c r="E14660" s="209"/>
      <c r="J14660" s="124"/>
    </row>
    <row r="14661" spans="3:10" x14ac:dyDescent="0.2">
      <c r="C14661" s="209"/>
      <c r="D14661" s="209"/>
      <c r="E14661" s="209"/>
      <c r="J14661" s="124"/>
    </row>
    <row r="14662" spans="3:10" x14ac:dyDescent="0.2">
      <c r="C14662" s="209"/>
      <c r="D14662" s="209"/>
      <c r="E14662" s="209"/>
      <c r="J14662" s="124"/>
    </row>
    <row r="14663" spans="3:10" x14ac:dyDescent="0.2">
      <c r="C14663" s="209"/>
      <c r="D14663" s="209"/>
      <c r="E14663" s="209"/>
      <c r="J14663" s="124"/>
    </row>
    <row r="14664" spans="3:10" x14ac:dyDescent="0.2">
      <c r="C14664" s="209"/>
      <c r="D14664" s="209"/>
      <c r="E14664" s="209"/>
      <c r="J14664" s="124"/>
    </row>
    <row r="14665" spans="3:10" x14ac:dyDescent="0.2">
      <c r="C14665" s="209"/>
      <c r="D14665" s="209"/>
      <c r="E14665" s="209"/>
      <c r="J14665" s="124"/>
    </row>
    <row r="14666" spans="3:10" x14ac:dyDescent="0.2">
      <c r="C14666" s="209"/>
      <c r="D14666" s="209"/>
      <c r="E14666" s="209"/>
      <c r="J14666" s="124"/>
    </row>
    <row r="14667" spans="3:10" x14ac:dyDescent="0.2">
      <c r="C14667" s="209"/>
      <c r="D14667" s="209"/>
      <c r="E14667" s="209"/>
      <c r="J14667" s="124"/>
    </row>
    <row r="14668" spans="3:10" x14ac:dyDescent="0.2">
      <c r="C14668" s="209"/>
      <c r="D14668" s="209"/>
      <c r="E14668" s="209"/>
      <c r="J14668" s="124"/>
    </row>
    <row r="14669" spans="3:10" x14ac:dyDescent="0.2">
      <c r="C14669" s="209"/>
      <c r="D14669" s="209"/>
      <c r="E14669" s="209"/>
      <c r="J14669" s="124"/>
    </row>
    <row r="14670" spans="3:10" x14ac:dyDescent="0.2">
      <c r="C14670" s="209"/>
      <c r="D14670" s="209"/>
      <c r="E14670" s="209"/>
      <c r="J14670" s="124"/>
    </row>
    <row r="14671" spans="3:10" x14ac:dyDescent="0.2">
      <c r="C14671" s="209"/>
      <c r="D14671" s="209"/>
      <c r="E14671" s="209"/>
      <c r="J14671" s="124"/>
    </row>
    <row r="14672" spans="3:10" x14ac:dyDescent="0.2">
      <c r="C14672" s="209"/>
      <c r="D14672" s="209"/>
      <c r="E14672" s="209"/>
      <c r="J14672" s="124"/>
    </row>
    <row r="14673" spans="3:10" x14ac:dyDescent="0.2">
      <c r="C14673" s="209"/>
      <c r="D14673" s="209"/>
      <c r="E14673" s="209"/>
      <c r="J14673" s="124"/>
    </row>
    <row r="14674" spans="3:10" x14ac:dyDescent="0.2">
      <c r="C14674" s="209"/>
      <c r="D14674" s="209"/>
      <c r="E14674" s="209"/>
      <c r="J14674" s="124"/>
    </row>
    <row r="14675" spans="3:10" x14ac:dyDescent="0.2">
      <c r="C14675" s="209"/>
      <c r="D14675" s="209"/>
      <c r="E14675" s="209"/>
      <c r="J14675" s="124"/>
    </row>
    <row r="14676" spans="3:10" x14ac:dyDescent="0.2">
      <c r="C14676" s="209"/>
      <c r="D14676" s="209"/>
      <c r="E14676" s="209"/>
      <c r="J14676" s="124"/>
    </row>
    <row r="14677" spans="3:10" x14ac:dyDescent="0.2">
      <c r="C14677" s="209"/>
      <c r="D14677" s="209"/>
      <c r="E14677" s="209"/>
      <c r="J14677" s="124"/>
    </row>
    <row r="14678" spans="3:10" x14ac:dyDescent="0.2">
      <c r="C14678" s="209"/>
      <c r="D14678" s="209"/>
      <c r="E14678" s="209"/>
      <c r="J14678" s="124"/>
    </row>
    <row r="14679" spans="3:10" x14ac:dyDescent="0.2">
      <c r="C14679" s="209"/>
      <c r="D14679" s="209"/>
      <c r="E14679" s="209"/>
      <c r="J14679" s="124"/>
    </row>
    <row r="14680" spans="3:10" x14ac:dyDescent="0.2">
      <c r="C14680" s="209"/>
      <c r="D14680" s="209"/>
      <c r="E14680" s="209"/>
      <c r="J14680" s="124"/>
    </row>
    <row r="14681" spans="3:10" x14ac:dyDescent="0.2">
      <c r="C14681" s="209"/>
      <c r="D14681" s="209"/>
      <c r="E14681" s="209"/>
      <c r="J14681" s="124"/>
    </row>
    <row r="14682" spans="3:10" x14ac:dyDescent="0.2">
      <c r="C14682" s="209"/>
      <c r="D14682" s="209"/>
      <c r="E14682" s="209"/>
      <c r="J14682" s="124"/>
    </row>
    <row r="14683" spans="3:10" x14ac:dyDescent="0.2">
      <c r="C14683" s="209"/>
      <c r="D14683" s="209"/>
      <c r="E14683" s="209"/>
      <c r="J14683" s="124"/>
    </row>
    <row r="14684" spans="3:10" x14ac:dyDescent="0.2">
      <c r="C14684" s="209"/>
      <c r="D14684" s="209"/>
      <c r="E14684" s="209"/>
      <c r="J14684" s="124"/>
    </row>
    <row r="14685" spans="3:10" x14ac:dyDescent="0.2">
      <c r="C14685" s="209"/>
      <c r="D14685" s="209"/>
      <c r="E14685" s="209"/>
      <c r="J14685" s="124"/>
    </row>
    <row r="14686" spans="3:10" x14ac:dyDescent="0.2">
      <c r="C14686" s="209"/>
      <c r="D14686" s="209"/>
      <c r="E14686" s="209"/>
      <c r="J14686" s="124"/>
    </row>
    <row r="14687" spans="3:10" x14ac:dyDescent="0.2">
      <c r="C14687" s="209"/>
      <c r="D14687" s="209"/>
      <c r="E14687" s="209"/>
      <c r="J14687" s="124"/>
    </row>
    <row r="14688" spans="3:10" x14ac:dyDescent="0.2">
      <c r="C14688" s="209"/>
      <c r="D14688" s="209"/>
      <c r="E14688" s="209"/>
      <c r="J14688" s="124"/>
    </row>
    <row r="14689" spans="3:10" x14ac:dyDescent="0.2">
      <c r="C14689" s="209"/>
      <c r="D14689" s="209"/>
      <c r="E14689" s="209"/>
      <c r="J14689" s="124"/>
    </row>
    <row r="14690" spans="3:10" x14ac:dyDescent="0.2">
      <c r="C14690" s="209"/>
      <c r="D14690" s="209"/>
      <c r="E14690" s="209"/>
      <c r="J14690" s="124"/>
    </row>
    <row r="14691" spans="3:10" x14ac:dyDescent="0.2">
      <c r="C14691" s="209"/>
      <c r="D14691" s="209"/>
      <c r="E14691" s="209"/>
      <c r="J14691" s="124"/>
    </row>
    <row r="14692" spans="3:10" x14ac:dyDescent="0.2">
      <c r="C14692" s="209"/>
      <c r="D14692" s="209"/>
      <c r="E14692" s="209"/>
      <c r="J14692" s="124"/>
    </row>
    <row r="14693" spans="3:10" x14ac:dyDescent="0.2">
      <c r="C14693" s="209"/>
      <c r="D14693" s="209"/>
      <c r="E14693" s="209"/>
      <c r="J14693" s="124"/>
    </row>
    <row r="14694" spans="3:10" x14ac:dyDescent="0.2">
      <c r="C14694" s="209"/>
      <c r="D14694" s="209"/>
      <c r="E14694" s="209"/>
      <c r="J14694" s="124"/>
    </row>
    <row r="14695" spans="3:10" x14ac:dyDescent="0.2">
      <c r="C14695" s="209"/>
      <c r="D14695" s="209"/>
      <c r="E14695" s="209"/>
      <c r="J14695" s="124"/>
    </row>
    <row r="14696" spans="3:10" x14ac:dyDescent="0.2">
      <c r="C14696" s="209"/>
      <c r="D14696" s="209"/>
      <c r="E14696" s="209"/>
      <c r="J14696" s="124"/>
    </row>
    <row r="14697" spans="3:10" x14ac:dyDescent="0.2">
      <c r="C14697" s="209"/>
      <c r="D14697" s="209"/>
      <c r="E14697" s="209"/>
      <c r="J14697" s="124"/>
    </row>
    <row r="14698" spans="3:10" x14ac:dyDescent="0.2">
      <c r="C14698" s="209"/>
      <c r="D14698" s="209"/>
      <c r="E14698" s="209"/>
      <c r="J14698" s="124"/>
    </row>
    <row r="14699" spans="3:10" x14ac:dyDescent="0.2">
      <c r="C14699" s="209"/>
      <c r="D14699" s="209"/>
      <c r="E14699" s="209"/>
      <c r="J14699" s="124"/>
    </row>
    <row r="14700" spans="3:10" x14ac:dyDescent="0.2">
      <c r="C14700" s="209"/>
      <c r="D14700" s="209"/>
      <c r="E14700" s="209"/>
      <c r="J14700" s="124"/>
    </row>
    <row r="14701" spans="3:10" x14ac:dyDescent="0.2">
      <c r="C14701" s="209"/>
      <c r="D14701" s="209"/>
      <c r="E14701" s="209"/>
      <c r="J14701" s="124"/>
    </row>
    <row r="14702" spans="3:10" x14ac:dyDescent="0.2">
      <c r="C14702" s="209"/>
      <c r="D14702" s="209"/>
      <c r="E14702" s="209"/>
      <c r="J14702" s="124"/>
    </row>
    <row r="14703" spans="3:10" x14ac:dyDescent="0.2">
      <c r="C14703" s="209"/>
      <c r="D14703" s="209"/>
      <c r="E14703" s="209"/>
      <c r="J14703" s="124"/>
    </row>
    <row r="14704" spans="3:10" x14ac:dyDescent="0.2">
      <c r="C14704" s="209"/>
      <c r="D14704" s="209"/>
      <c r="E14704" s="209"/>
      <c r="J14704" s="124"/>
    </row>
    <row r="14705" spans="3:10" x14ac:dyDescent="0.2">
      <c r="C14705" s="209"/>
      <c r="D14705" s="209"/>
      <c r="E14705" s="209"/>
      <c r="J14705" s="124"/>
    </row>
    <row r="14706" spans="3:10" x14ac:dyDescent="0.2">
      <c r="C14706" s="209"/>
      <c r="D14706" s="209"/>
      <c r="E14706" s="209"/>
      <c r="J14706" s="124"/>
    </row>
    <row r="14707" spans="3:10" x14ac:dyDescent="0.2">
      <c r="C14707" s="209"/>
      <c r="D14707" s="209"/>
      <c r="E14707" s="209"/>
      <c r="J14707" s="124"/>
    </row>
    <row r="14708" spans="3:10" x14ac:dyDescent="0.2">
      <c r="C14708" s="209"/>
      <c r="D14708" s="209"/>
      <c r="E14708" s="209"/>
      <c r="J14708" s="124"/>
    </row>
    <row r="14709" spans="3:10" x14ac:dyDescent="0.2">
      <c r="C14709" s="209"/>
      <c r="D14709" s="209"/>
      <c r="E14709" s="209"/>
      <c r="J14709" s="124"/>
    </row>
    <row r="14710" spans="3:10" x14ac:dyDescent="0.2">
      <c r="C14710" s="209"/>
      <c r="D14710" s="209"/>
      <c r="E14710" s="209"/>
      <c r="J14710" s="124"/>
    </row>
    <row r="14711" spans="3:10" x14ac:dyDescent="0.2">
      <c r="C14711" s="209"/>
      <c r="D14711" s="209"/>
      <c r="E14711" s="209"/>
      <c r="J14711" s="124"/>
    </row>
    <row r="14712" spans="3:10" x14ac:dyDescent="0.2">
      <c r="C14712" s="209"/>
      <c r="D14712" s="209"/>
      <c r="E14712" s="209"/>
      <c r="J14712" s="124"/>
    </row>
    <row r="14713" spans="3:10" x14ac:dyDescent="0.2">
      <c r="C14713" s="209"/>
      <c r="D14713" s="209"/>
      <c r="E14713" s="209"/>
      <c r="J14713" s="124"/>
    </row>
    <row r="14714" spans="3:10" x14ac:dyDescent="0.2">
      <c r="C14714" s="209"/>
      <c r="D14714" s="209"/>
      <c r="E14714" s="209"/>
      <c r="J14714" s="124"/>
    </row>
    <row r="14715" spans="3:10" x14ac:dyDescent="0.2">
      <c r="C14715" s="209"/>
      <c r="D14715" s="209"/>
      <c r="E14715" s="209"/>
      <c r="J14715" s="124"/>
    </row>
    <row r="14716" spans="3:10" x14ac:dyDescent="0.2">
      <c r="C14716" s="209"/>
      <c r="D14716" s="209"/>
      <c r="E14716" s="209"/>
      <c r="J14716" s="124"/>
    </row>
    <row r="14717" spans="3:10" x14ac:dyDescent="0.2">
      <c r="C14717" s="209"/>
      <c r="D14717" s="209"/>
      <c r="E14717" s="209"/>
      <c r="J14717" s="124"/>
    </row>
    <row r="14718" spans="3:10" x14ac:dyDescent="0.2">
      <c r="C14718" s="209"/>
      <c r="D14718" s="209"/>
      <c r="E14718" s="209"/>
      <c r="J14718" s="124"/>
    </row>
    <row r="14719" spans="3:10" x14ac:dyDescent="0.2">
      <c r="C14719" s="209"/>
      <c r="D14719" s="209"/>
      <c r="E14719" s="209"/>
      <c r="J14719" s="124"/>
    </row>
    <row r="14720" spans="3:10" x14ac:dyDescent="0.2">
      <c r="C14720" s="209"/>
      <c r="D14720" s="209"/>
      <c r="E14720" s="209"/>
      <c r="J14720" s="124"/>
    </row>
    <row r="14721" spans="3:10" x14ac:dyDescent="0.2">
      <c r="C14721" s="209"/>
      <c r="D14721" s="209"/>
      <c r="E14721" s="209"/>
      <c r="J14721" s="124"/>
    </row>
    <row r="14722" spans="3:10" x14ac:dyDescent="0.2">
      <c r="C14722" s="209"/>
      <c r="D14722" s="209"/>
      <c r="E14722" s="209"/>
      <c r="J14722" s="124"/>
    </row>
    <row r="14723" spans="3:10" x14ac:dyDescent="0.2">
      <c r="C14723" s="209"/>
      <c r="D14723" s="209"/>
      <c r="E14723" s="209"/>
      <c r="J14723" s="124"/>
    </row>
    <row r="14724" spans="3:10" x14ac:dyDescent="0.2">
      <c r="C14724" s="209"/>
      <c r="D14724" s="209"/>
      <c r="E14724" s="209"/>
      <c r="J14724" s="124"/>
    </row>
    <row r="14725" spans="3:10" x14ac:dyDescent="0.2">
      <c r="C14725" s="209"/>
      <c r="D14725" s="209"/>
      <c r="E14725" s="209"/>
      <c r="J14725" s="124"/>
    </row>
    <row r="14726" spans="3:10" x14ac:dyDescent="0.2">
      <c r="C14726" s="209"/>
      <c r="D14726" s="209"/>
      <c r="E14726" s="209"/>
      <c r="J14726" s="124"/>
    </row>
    <row r="14727" spans="3:10" x14ac:dyDescent="0.2">
      <c r="C14727" s="209"/>
      <c r="D14727" s="209"/>
      <c r="E14727" s="209"/>
      <c r="J14727" s="124"/>
    </row>
    <row r="14728" spans="3:10" x14ac:dyDescent="0.2">
      <c r="C14728" s="209"/>
      <c r="D14728" s="209"/>
      <c r="E14728" s="209"/>
      <c r="J14728" s="124"/>
    </row>
    <row r="14729" spans="3:10" x14ac:dyDescent="0.2">
      <c r="C14729" s="209"/>
      <c r="D14729" s="209"/>
      <c r="E14729" s="209"/>
      <c r="J14729" s="124"/>
    </row>
    <row r="14730" spans="3:10" x14ac:dyDescent="0.2">
      <c r="C14730" s="209"/>
      <c r="D14730" s="209"/>
      <c r="E14730" s="209"/>
      <c r="J14730" s="124"/>
    </row>
    <row r="14731" spans="3:10" x14ac:dyDescent="0.2">
      <c r="C14731" s="209"/>
      <c r="D14731" s="209"/>
      <c r="E14731" s="209"/>
      <c r="J14731" s="124"/>
    </row>
    <row r="14732" spans="3:10" x14ac:dyDescent="0.2">
      <c r="C14732" s="209"/>
      <c r="D14732" s="209"/>
      <c r="E14732" s="209"/>
      <c r="J14732" s="124"/>
    </row>
    <row r="14733" spans="3:10" x14ac:dyDescent="0.2">
      <c r="C14733" s="209"/>
      <c r="D14733" s="209"/>
      <c r="E14733" s="209"/>
      <c r="J14733" s="124"/>
    </row>
    <row r="14734" spans="3:10" x14ac:dyDescent="0.2">
      <c r="C14734" s="209"/>
      <c r="D14734" s="209"/>
      <c r="E14734" s="209"/>
      <c r="J14734" s="124"/>
    </row>
    <row r="14735" spans="3:10" x14ac:dyDescent="0.2">
      <c r="C14735" s="209"/>
      <c r="D14735" s="209"/>
      <c r="E14735" s="209"/>
      <c r="J14735" s="124"/>
    </row>
    <row r="14736" spans="3:10" x14ac:dyDescent="0.2">
      <c r="C14736" s="209"/>
      <c r="D14736" s="209"/>
      <c r="E14736" s="209"/>
      <c r="J14736" s="124"/>
    </row>
    <row r="14737" spans="3:10" x14ac:dyDescent="0.2">
      <c r="C14737" s="209"/>
      <c r="D14737" s="209"/>
      <c r="E14737" s="209"/>
      <c r="J14737" s="124"/>
    </row>
    <row r="14738" spans="3:10" x14ac:dyDescent="0.2">
      <c r="C14738" s="209"/>
      <c r="D14738" s="209"/>
      <c r="E14738" s="209"/>
      <c r="J14738" s="124"/>
    </row>
    <row r="14739" spans="3:10" x14ac:dyDescent="0.2">
      <c r="C14739" s="209"/>
      <c r="D14739" s="209"/>
      <c r="E14739" s="209"/>
      <c r="J14739" s="124"/>
    </row>
    <row r="14740" spans="3:10" x14ac:dyDescent="0.2">
      <c r="C14740" s="209"/>
      <c r="D14740" s="209"/>
      <c r="E14740" s="209"/>
      <c r="J14740" s="124"/>
    </row>
    <row r="14741" spans="3:10" x14ac:dyDescent="0.2">
      <c r="C14741" s="209"/>
      <c r="D14741" s="209"/>
      <c r="E14741" s="209"/>
      <c r="J14741" s="124"/>
    </row>
    <row r="14742" spans="3:10" x14ac:dyDescent="0.2">
      <c r="C14742" s="209"/>
      <c r="D14742" s="209"/>
      <c r="E14742" s="209"/>
      <c r="J14742" s="124"/>
    </row>
    <row r="14743" spans="3:10" x14ac:dyDescent="0.2">
      <c r="C14743" s="209"/>
      <c r="D14743" s="209"/>
      <c r="E14743" s="209"/>
      <c r="J14743" s="124"/>
    </row>
    <row r="14744" spans="3:10" x14ac:dyDescent="0.2">
      <c r="C14744" s="209"/>
      <c r="D14744" s="209"/>
      <c r="E14744" s="209"/>
      <c r="J14744" s="124"/>
    </row>
    <row r="14745" spans="3:10" x14ac:dyDescent="0.2">
      <c r="C14745" s="209"/>
      <c r="D14745" s="209"/>
      <c r="E14745" s="209"/>
      <c r="J14745" s="124"/>
    </row>
    <row r="14746" spans="3:10" x14ac:dyDescent="0.2">
      <c r="C14746" s="209"/>
      <c r="D14746" s="209"/>
      <c r="E14746" s="209"/>
      <c r="J14746" s="124"/>
    </row>
    <row r="14747" spans="3:10" x14ac:dyDescent="0.2">
      <c r="C14747" s="209"/>
      <c r="D14747" s="209"/>
      <c r="E14747" s="209"/>
      <c r="J14747" s="124"/>
    </row>
    <row r="14748" spans="3:10" x14ac:dyDescent="0.2">
      <c r="C14748" s="209"/>
      <c r="D14748" s="209"/>
      <c r="E14748" s="209"/>
      <c r="J14748" s="124"/>
    </row>
    <row r="14749" spans="3:10" x14ac:dyDescent="0.2">
      <c r="C14749" s="209"/>
      <c r="D14749" s="209"/>
      <c r="E14749" s="209"/>
      <c r="J14749" s="124"/>
    </row>
    <row r="14750" spans="3:10" x14ac:dyDescent="0.2">
      <c r="C14750" s="209"/>
      <c r="D14750" s="209"/>
      <c r="E14750" s="209"/>
      <c r="J14750" s="124"/>
    </row>
    <row r="14751" spans="3:10" x14ac:dyDescent="0.2">
      <c r="C14751" s="209"/>
      <c r="D14751" s="209"/>
      <c r="E14751" s="209"/>
      <c r="J14751" s="124"/>
    </row>
    <row r="14752" spans="3:10" x14ac:dyDescent="0.2">
      <c r="C14752" s="209"/>
      <c r="D14752" s="209"/>
      <c r="E14752" s="209"/>
      <c r="J14752" s="124"/>
    </row>
    <row r="14753" spans="3:10" x14ac:dyDescent="0.2">
      <c r="C14753" s="209"/>
      <c r="D14753" s="209"/>
      <c r="E14753" s="209"/>
      <c r="J14753" s="124"/>
    </row>
    <row r="14754" spans="3:10" x14ac:dyDescent="0.2">
      <c r="C14754" s="209"/>
      <c r="D14754" s="209"/>
      <c r="E14754" s="209"/>
      <c r="J14754" s="124"/>
    </row>
    <row r="14755" spans="3:10" x14ac:dyDescent="0.2">
      <c r="C14755" s="209"/>
      <c r="D14755" s="209"/>
      <c r="E14755" s="209"/>
      <c r="J14755" s="124"/>
    </row>
    <row r="14756" spans="3:10" x14ac:dyDescent="0.2">
      <c r="C14756" s="209"/>
      <c r="D14756" s="209"/>
      <c r="E14756" s="209"/>
      <c r="J14756" s="124"/>
    </row>
    <row r="14757" spans="3:10" x14ac:dyDescent="0.2">
      <c r="C14757" s="209"/>
      <c r="D14757" s="209"/>
      <c r="E14757" s="209"/>
      <c r="J14757" s="124"/>
    </row>
    <row r="14758" spans="3:10" x14ac:dyDescent="0.2">
      <c r="C14758" s="209"/>
      <c r="D14758" s="209"/>
      <c r="E14758" s="209"/>
      <c r="J14758" s="124"/>
    </row>
    <row r="14759" spans="3:10" x14ac:dyDescent="0.2">
      <c r="C14759" s="209"/>
      <c r="D14759" s="209"/>
      <c r="E14759" s="209"/>
      <c r="J14759" s="124"/>
    </row>
    <row r="14760" spans="3:10" x14ac:dyDescent="0.2">
      <c r="C14760" s="209"/>
      <c r="D14760" s="209"/>
      <c r="E14760" s="209"/>
      <c r="J14760" s="124"/>
    </row>
    <row r="14761" spans="3:10" x14ac:dyDescent="0.2">
      <c r="C14761" s="209"/>
      <c r="D14761" s="209"/>
      <c r="E14761" s="209"/>
      <c r="J14761" s="124"/>
    </row>
    <row r="14762" spans="3:10" x14ac:dyDescent="0.2">
      <c r="C14762" s="209"/>
      <c r="D14762" s="209"/>
      <c r="E14762" s="209"/>
      <c r="J14762" s="124"/>
    </row>
    <row r="14763" spans="3:10" x14ac:dyDescent="0.2">
      <c r="C14763" s="209"/>
      <c r="D14763" s="209"/>
      <c r="E14763" s="209"/>
      <c r="J14763" s="124"/>
    </row>
    <row r="14764" spans="3:10" x14ac:dyDescent="0.2">
      <c r="C14764" s="209"/>
      <c r="D14764" s="209"/>
      <c r="E14764" s="209"/>
      <c r="J14764" s="124"/>
    </row>
    <row r="14765" spans="3:10" x14ac:dyDescent="0.2">
      <c r="C14765" s="209"/>
      <c r="D14765" s="209"/>
      <c r="E14765" s="209"/>
      <c r="J14765" s="124"/>
    </row>
    <row r="14766" spans="3:10" x14ac:dyDescent="0.2">
      <c r="C14766" s="209"/>
      <c r="D14766" s="209"/>
      <c r="E14766" s="209"/>
      <c r="J14766" s="124"/>
    </row>
    <row r="14767" spans="3:10" x14ac:dyDescent="0.2">
      <c r="C14767" s="209"/>
      <c r="D14767" s="209"/>
      <c r="E14767" s="209"/>
      <c r="J14767" s="124"/>
    </row>
    <row r="14768" spans="3:10" x14ac:dyDescent="0.2">
      <c r="C14768" s="209"/>
      <c r="D14768" s="209"/>
      <c r="E14768" s="209"/>
      <c r="J14768" s="124"/>
    </row>
    <row r="14769" spans="3:10" x14ac:dyDescent="0.2">
      <c r="C14769" s="209"/>
      <c r="D14769" s="209"/>
      <c r="E14769" s="209"/>
      <c r="J14769" s="124"/>
    </row>
    <row r="14770" spans="3:10" x14ac:dyDescent="0.2">
      <c r="C14770" s="209"/>
      <c r="D14770" s="209"/>
      <c r="E14770" s="209"/>
      <c r="J14770" s="124"/>
    </row>
    <row r="14771" spans="3:10" x14ac:dyDescent="0.2">
      <c r="C14771" s="209"/>
      <c r="D14771" s="209"/>
      <c r="E14771" s="209"/>
      <c r="J14771" s="124"/>
    </row>
    <row r="14772" spans="3:10" x14ac:dyDescent="0.2">
      <c r="C14772" s="209"/>
      <c r="D14772" s="209"/>
      <c r="E14772" s="209"/>
      <c r="J14772" s="124"/>
    </row>
    <row r="14773" spans="3:10" x14ac:dyDescent="0.2">
      <c r="C14773" s="209"/>
      <c r="D14773" s="209"/>
      <c r="E14773" s="209"/>
      <c r="J14773" s="124"/>
    </row>
    <row r="14774" spans="3:10" x14ac:dyDescent="0.2">
      <c r="C14774" s="209"/>
      <c r="D14774" s="209"/>
      <c r="E14774" s="209"/>
      <c r="J14774" s="124"/>
    </row>
    <row r="14775" spans="3:10" x14ac:dyDescent="0.2">
      <c r="C14775" s="209"/>
      <c r="D14775" s="209"/>
      <c r="E14775" s="209"/>
      <c r="J14775" s="124"/>
    </row>
    <row r="14776" spans="3:10" x14ac:dyDescent="0.2">
      <c r="C14776" s="209"/>
      <c r="D14776" s="209"/>
      <c r="E14776" s="209"/>
      <c r="J14776" s="124"/>
    </row>
    <row r="14777" spans="3:10" x14ac:dyDescent="0.2">
      <c r="C14777" s="209"/>
      <c r="D14777" s="209"/>
      <c r="E14777" s="209"/>
      <c r="J14777" s="124"/>
    </row>
    <row r="14778" spans="3:10" x14ac:dyDescent="0.2">
      <c r="C14778" s="209"/>
      <c r="D14778" s="209"/>
      <c r="E14778" s="209"/>
      <c r="J14778" s="124"/>
    </row>
    <row r="14779" spans="3:10" x14ac:dyDescent="0.2">
      <c r="C14779" s="209"/>
      <c r="D14779" s="209"/>
      <c r="E14779" s="209"/>
      <c r="J14779" s="124"/>
    </row>
    <row r="14780" spans="3:10" x14ac:dyDescent="0.2">
      <c r="C14780" s="209"/>
      <c r="D14780" s="209"/>
      <c r="E14780" s="209"/>
      <c r="J14780" s="124"/>
    </row>
    <row r="14781" spans="3:10" x14ac:dyDescent="0.2">
      <c r="C14781" s="209"/>
      <c r="D14781" s="209"/>
      <c r="E14781" s="209"/>
      <c r="J14781" s="124"/>
    </row>
    <row r="14782" spans="3:10" x14ac:dyDescent="0.2">
      <c r="C14782" s="209"/>
      <c r="D14782" s="209"/>
      <c r="E14782" s="209"/>
      <c r="J14782" s="124"/>
    </row>
    <row r="14783" spans="3:10" x14ac:dyDescent="0.2">
      <c r="C14783" s="209"/>
      <c r="D14783" s="209"/>
      <c r="E14783" s="209"/>
      <c r="J14783" s="124"/>
    </row>
    <row r="14784" spans="3:10" x14ac:dyDescent="0.2">
      <c r="C14784" s="209"/>
      <c r="D14784" s="209"/>
      <c r="E14784" s="209"/>
      <c r="J14784" s="124"/>
    </row>
    <row r="14785" spans="3:10" x14ac:dyDescent="0.2">
      <c r="C14785" s="209"/>
      <c r="D14785" s="209"/>
      <c r="E14785" s="209"/>
      <c r="J14785" s="124"/>
    </row>
    <row r="14786" spans="3:10" x14ac:dyDescent="0.2">
      <c r="C14786" s="209"/>
      <c r="D14786" s="209"/>
      <c r="E14786" s="209"/>
      <c r="J14786" s="124"/>
    </row>
    <row r="14787" spans="3:10" x14ac:dyDescent="0.2">
      <c r="C14787" s="209"/>
      <c r="D14787" s="209"/>
      <c r="E14787" s="209"/>
      <c r="J14787" s="124"/>
    </row>
    <row r="14788" spans="3:10" x14ac:dyDescent="0.2">
      <c r="C14788" s="209"/>
      <c r="D14788" s="209"/>
      <c r="E14788" s="209"/>
      <c r="J14788" s="124"/>
    </row>
    <row r="14789" spans="3:10" x14ac:dyDescent="0.2">
      <c r="C14789" s="209"/>
      <c r="D14789" s="209"/>
      <c r="E14789" s="209"/>
      <c r="J14789" s="124"/>
    </row>
    <row r="14790" spans="3:10" x14ac:dyDescent="0.2">
      <c r="C14790" s="209"/>
      <c r="D14790" s="209"/>
      <c r="E14790" s="209"/>
      <c r="J14790" s="124"/>
    </row>
    <row r="14791" spans="3:10" x14ac:dyDescent="0.2">
      <c r="C14791" s="209"/>
      <c r="D14791" s="209"/>
      <c r="E14791" s="209"/>
      <c r="J14791" s="124"/>
    </row>
    <row r="14792" spans="3:10" x14ac:dyDescent="0.2">
      <c r="C14792" s="209"/>
      <c r="D14792" s="209"/>
      <c r="E14792" s="209"/>
      <c r="J14792" s="124"/>
    </row>
    <row r="14793" spans="3:10" x14ac:dyDescent="0.2">
      <c r="C14793" s="209"/>
      <c r="D14793" s="209"/>
      <c r="E14793" s="209"/>
      <c r="J14793" s="124"/>
    </row>
    <row r="14794" spans="3:10" x14ac:dyDescent="0.2">
      <c r="C14794" s="209"/>
      <c r="D14794" s="209"/>
      <c r="E14794" s="209"/>
      <c r="J14794" s="124"/>
    </row>
    <row r="14795" spans="3:10" x14ac:dyDescent="0.2">
      <c r="C14795" s="209"/>
      <c r="D14795" s="209"/>
      <c r="E14795" s="209"/>
      <c r="J14795" s="124"/>
    </row>
    <row r="14796" spans="3:10" x14ac:dyDescent="0.2">
      <c r="C14796" s="209"/>
      <c r="D14796" s="209"/>
      <c r="E14796" s="209"/>
      <c r="J14796" s="124"/>
    </row>
    <row r="14797" spans="3:10" x14ac:dyDescent="0.2">
      <c r="C14797" s="209"/>
      <c r="D14797" s="209"/>
      <c r="E14797" s="209"/>
      <c r="J14797" s="124"/>
    </row>
    <row r="14798" spans="3:10" x14ac:dyDescent="0.2">
      <c r="C14798" s="209"/>
      <c r="D14798" s="209"/>
      <c r="E14798" s="209"/>
      <c r="J14798" s="124"/>
    </row>
    <row r="14799" spans="3:10" x14ac:dyDescent="0.2">
      <c r="C14799" s="209"/>
      <c r="D14799" s="209"/>
      <c r="E14799" s="209"/>
      <c r="J14799" s="124"/>
    </row>
    <row r="14800" spans="3:10" x14ac:dyDescent="0.2">
      <c r="C14800" s="209"/>
      <c r="D14800" s="209"/>
      <c r="E14800" s="209"/>
      <c r="J14800" s="124"/>
    </row>
    <row r="14801" spans="3:10" x14ac:dyDescent="0.2">
      <c r="C14801" s="209"/>
      <c r="D14801" s="209"/>
      <c r="E14801" s="209"/>
      <c r="J14801" s="124"/>
    </row>
    <row r="14802" spans="3:10" x14ac:dyDescent="0.2">
      <c r="C14802" s="209"/>
      <c r="D14802" s="209"/>
      <c r="E14802" s="209"/>
      <c r="J14802" s="124"/>
    </row>
    <row r="14803" spans="3:10" x14ac:dyDescent="0.2">
      <c r="C14803" s="209"/>
      <c r="D14803" s="209"/>
      <c r="E14803" s="209"/>
      <c r="J14803" s="124"/>
    </row>
    <row r="14804" spans="3:10" x14ac:dyDescent="0.2">
      <c r="C14804" s="209"/>
      <c r="D14804" s="209"/>
      <c r="E14804" s="209"/>
      <c r="J14804" s="124"/>
    </row>
    <row r="14805" spans="3:10" x14ac:dyDescent="0.2">
      <c r="C14805" s="209"/>
      <c r="D14805" s="209"/>
      <c r="E14805" s="209"/>
      <c r="J14805" s="124"/>
    </row>
    <row r="14806" spans="3:10" x14ac:dyDescent="0.2">
      <c r="C14806" s="209"/>
      <c r="D14806" s="209"/>
      <c r="E14806" s="209"/>
      <c r="J14806" s="124"/>
    </row>
    <row r="14807" spans="3:10" x14ac:dyDescent="0.2">
      <c r="C14807" s="209"/>
      <c r="D14807" s="209"/>
      <c r="E14807" s="209"/>
      <c r="J14807" s="124"/>
    </row>
    <row r="14808" spans="3:10" x14ac:dyDescent="0.2">
      <c r="C14808" s="209"/>
      <c r="D14808" s="209"/>
      <c r="E14808" s="209"/>
      <c r="J14808" s="124"/>
    </row>
    <row r="14809" spans="3:10" x14ac:dyDescent="0.2">
      <c r="C14809" s="209"/>
      <c r="D14809" s="209"/>
      <c r="E14809" s="209"/>
      <c r="J14809" s="124"/>
    </row>
    <row r="14810" spans="3:10" x14ac:dyDescent="0.2">
      <c r="C14810" s="209"/>
      <c r="D14810" s="209"/>
      <c r="E14810" s="209"/>
      <c r="J14810" s="124"/>
    </row>
    <row r="14811" spans="3:10" x14ac:dyDescent="0.2">
      <c r="C14811" s="209"/>
      <c r="D14811" s="209"/>
      <c r="E14811" s="209"/>
      <c r="J14811" s="124"/>
    </row>
    <row r="14812" spans="3:10" x14ac:dyDescent="0.2">
      <c r="C14812" s="209"/>
      <c r="D14812" s="209"/>
      <c r="E14812" s="209"/>
      <c r="J14812" s="124"/>
    </row>
    <row r="14813" spans="3:10" x14ac:dyDescent="0.2">
      <c r="C14813" s="209"/>
      <c r="D14813" s="209"/>
      <c r="E14813" s="209"/>
      <c r="J14813" s="124"/>
    </row>
    <row r="14814" spans="3:10" x14ac:dyDescent="0.2">
      <c r="C14814" s="209"/>
      <c r="D14814" s="209"/>
      <c r="E14814" s="209"/>
      <c r="J14814" s="124"/>
    </row>
    <row r="14815" spans="3:10" x14ac:dyDescent="0.2">
      <c r="C14815" s="209"/>
      <c r="D14815" s="209"/>
      <c r="E14815" s="209"/>
      <c r="J14815" s="124"/>
    </row>
    <row r="14816" spans="3:10" x14ac:dyDescent="0.2">
      <c r="C14816" s="209"/>
      <c r="D14816" s="209"/>
      <c r="E14816" s="209"/>
      <c r="J14816" s="124"/>
    </row>
    <row r="14817" spans="3:10" x14ac:dyDescent="0.2">
      <c r="C14817" s="209"/>
      <c r="D14817" s="209"/>
      <c r="E14817" s="209"/>
      <c r="J14817" s="124"/>
    </row>
    <row r="14818" spans="3:10" x14ac:dyDescent="0.2">
      <c r="C14818" s="209"/>
      <c r="D14818" s="209"/>
      <c r="E14818" s="209"/>
      <c r="J14818" s="124"/>
    </row>
    <row r="14819" spans="3:10" x14ac:dyDescent="0.2">
      <c r="C14819" s="209"/>
      <c r="D14819" s="209"/>
      <c r="E14819" s="209"/>
      <c r="J14819" s="124"/>
    </row>
    <row r="14820" spans="3:10" x14ac:dyDescent="0.2">
      <c r="C14820" s="209"/>
      <c r="D14820" s="209"/>
      <c r="E14820" s="209"/>
      <c r="J14820" s="124"/>
    </row>
    <row r="14821" spans="3:10" x14ac:dyDescent="0.2">
      <c r="C14821" s="209"/>
      <c r="D14821" s="209"/>
      <c r="E14821" s="209"/>
      <c r="J14821" s="124"/>
    </row>
    <row r="14822" spans="3:10" x14ac:dyDescent="0.2">
      <c r="C14822" s="209"/>
      <c r="D14822" s="209"/>
      <c r="E14822" s="209"/>
      <c r="J14822" s="124"/>
    </row>
    <row r="14823" spans="3:10" x14ac:dyDescent="0.2">
      <c r="C14823" s="209"/>
      <c r="D14823" s="209"/>
      <c r="E14823" s="209"/>
      <c r="J14823" s="124"/>
    </row>
    <row r="14824" spans="3:10" x14ac:dyDescent="0.2">
      <c r="C14824" s="209"/>
      <c r="D14824" s="209"/>
      <c r="E14824" s="209"/>
      <c r="J14824" s="124"/>
    </row>
    <row r="14825" spans="3:10" x14ac:dyDescent="0.2">
      <c r="C14825" s="209"/>
      <c r="D14825" s="209"/>
      <c r="E14825" s="209"/>
      <c r="J14825" s="124"/>
    </row>
    <row r="14826" spans="3:10" x14ac:dyDescent="0.2">
      <c r="C14826" s="209"/>
      <c r="D14826" s="209"/>
      <c r="E14826" s="209"/>
      <c r="J14826" s="124"/>
    </row>
    <row r="14827" spans="3:10" x14ac:dyDescent="0.2">
      <c r="C14827" s="209"/>
      <c r="D14827" s="209"/>
      <c r="E14827" s="209"/>
      <c r="J14827" s="124"/>
    </row>
    <row r="14828" spans="3:10" x14ac:dyDescent="0.2">
      <c r="C14828" s="209"/>
      <c r="D14828" s="209"/>
      <c r="E14828" s="209"/>
      <c r="J14828" s="124"/>
    </row>
    <row r="14829" spans="3:10" x14ac:dyDescent="0.2">
      <c r="C14829" s="209"/>
      <c r="D14829" s="209"/>
      <c r="E14829" s="209"/>
      <c r="J14829" s="124"/>
    </row>
    <row r="14830" spans="3:10" x14ac:dyDescent="0.2">
      <c r="C14830" s="209"/>
      <c r="D14830" s="209"/>
      <c r="E14830" s="209"/>
      <c r="J14830" s="124"/>
    </row>
    <row r="14831" spans="3:10" x14ac:dyDescent="0.2">
      <c r="C14831" s="209"/>
      <c r="D14831" s="209"/>
      <c r="E14831" s="209"/>
      <c r="J14831" s="124"/>
    </row>
    <row r="14832" spans="3:10" x14ac:dyDescent="0.2">
      <c r="C14832" s="209"/>
      <c r="D14832" s="209"/>
      <c r="E14832" s="209"/>
      <c r="J14832" s="124"/>
    </row>
    <row r="14833" spans="3:10" x14ac:dyDescent="0.2">
      <c r="C14833" s="209"/>
      <c r="D14833" s="209"/>
      <c r="E14833" s="209"/>
      <c r="J14833" s="124"/>
    </row>
    <row r="14834" spans="3:10" x14ac:dyDescent="0.2">
      <c r="C14834" s="209"/>
      <c r="D14834" s="209"/>
      <c r="E14834" s="209"/>
      <c r="J14834" s="124"/>
    </row>
    <row r="14835" spans="3:10" x14ac:dyDescent="0.2">
      <c r="C14835" s="209"/>
      <c r="D14835" s="209"/>
      <c r="E14835" s="209"/>
      <c r="J14835" s="124"/>
    </row>
    <row r="14836" spans="3:10" x14ac:dyDescent="0.2">
      <c r="C14836" s="209"/>
      <c r="D14836" s="209"/>
      <c r="E14836" s="209"/>
      <c r="J14836" s="124"/>
    </row>
    <row r="14837" spans="3:10" x14ac:dyDescent="0.2">
      <c r="C14837" s="209"/>
      <c r="D14837" s="209"/>
      <c r="E14837" s="209"/>
      <c r="J14837" s="124"/>
    </row>
    <row r="14838" spans="3:10" x14ac:dyDescent="0.2">
      <c r="C14838" s="209"/>
      <c r="D14838" s="209"/>
      <c r="E14838" s="209"/>
      <c r="J14838" s="124"/>
    </row>
    <row r="14839" spans="3:10" x14ac:dyDescent="0.2">
      <c r="C14839" s="209"/>
      <c r="D14839" s="209"/>
      <c r="E14839" s="209"/>
      <c r="J14839" s="124"/>
    </row>
    <row r="14840" spans="3:10" x14ac:dyDescent="0.2">
      <c r="C14840" s="209"/>
      <c r="D14840" s="209"/>
      <c r="E14840" s="209"/>
      <c r="J14840" s="124"/>
    </row>
    <row r="14841" spans="3:10" x14ac:dyDescent="0.2">
      <c r="C14841" s="209"/>
      <c r="D14841" s="209"/>
      <c r="E14841" s="209"/>
      <c r="J14841" s="124"/>
    </row>
    <row r="14842" spans="3:10" x14ac:dyDescent="0.2">
      <c r="C14842" s="209"/>
      <c r="D14842" s="209"/>
      <c r="E14842" s="209"/>
      <c r="J14842" s="124"/>
    </row>
    <row r="14843" spans="3:10" x14ac:dyDescent="0.2">
      <c r="C14843" s="209"/>
      <c r="D14843" s="209"/>
      <c r="E14843" s="209"/>
      <c r="J14843" s="124"/>
    </row>
    <row r="14844" spans="3:10" x14ac:dyDescent="0.2">
      <c r="C14844" s="209"/>
      <c r="D14844" s="209"/>
      <c r="E14844" s="209"/>
      <c r="J14844" s="124"/>
    </row>
    <row r="14845" spans="3:10" x14ac:dyDescent="0.2">
      <c r="C14845" s="209"/>
      <c r="D14845" s="209"/>
      <c r="E14845" s="209"/>
      <c r="J14845" s="124"/>
    </row>
    <row r="14846" spans="3:10" x14ac:dyDescent="0.2">
      <c r="C14846" s="209"/>
      <c r="D14846" s="209"/>
      <c r="E14846" s="209"/>
      <c r="J14846" s="124"/>
    </row>
    <row r="14847" spans="3:10" x14ac:dyDescent="0.2">
      <c r="C14847" s="209"/>
      <c r="D14847" s="209"/>
      <c r="E14847" s="209"/>
      <c r="J14847" s="124"/>
    </row>
    <row r="14848" spans="3:10" x14ac:dyDescent="0.2">
      <c r="C14848" s="209"/>
      <c r="D14848" s="209"/>
      <c r="E14848" s="209"/>
      <c r="J14848" s="124"/>
    </row>
    <row r="14849" spans="3:10" x14ac:dyDescent="0.2">
      <c r="C14849" s="209"/>
      <c r="D14849" s="209"/>
      <c r="E14849" s="209"/>
      <c r="J14849" s="124"/>
    </row>
    <row r="14850" spans="3:10" x14ac:dyDescent="0.2">
      <c r="C14850" s="209"/>
      <c r="D14850" s="209"/>
      <c r="E14850" s="209"/>
      <c r="J14850" s="124"/>
    </row>
    <row r="14851" spans="3:10" x14ac:dyDescent="0.2">
      <c r="C14851" s="209"/>
      <c r="D14851" s="209"/>
      <c r="E14851" s="209"/>
      <c r="J14851" s="124"/>
    </row>
    <row r="14852" spans="3:10" x14ac:dyDescent="0.2">
      <c r="C14852" s="209"/>
      <c r="D14852" s="209"/>
      <c r="E14852" s="209"/>
      <c r="J14852" s="124"/>
    </row>
    <row r="14853" spans="3:10" x14ac:dyDescent="0.2">
      <c r="C14853" s="209"/>
      <c r="D14853" s="209"/>
      <c r="E14853" s="209"/>
      <c r="J14853" s="124"/>
    </row>
    <row r="14854" spans="3:10" x14ac:dyDescent="0.2">
      <c r="C14854" s="209"/>
      <c r="D14854" s="209"/>
      <c r="E14854" s="209"/>
      <c r="J14854" s="124"/>
    </row>
    <row r="14855" spans="3:10" x14ac:dyDescent="0.2">
      <c r="C14855" s="209"/>
      <c r="D14855" s="209"/>
      <c r="E14855" s="209"/>
      <c r="J14855" s="124"/>
    </row>
    <row r="14856" spans="3:10" x14ac:dyDescent="0.2">
      <c r="C14856" s="209"/>
      <c r="D14856" s="209"/>
      <c r="E14856" s="209"/>
      <c r="J14856" s="124"/>
    </row>
    <row r="14857" spans="3:10" x14ac:dyDescent="0.2">
      <c r="C14857" s="209"/>
      <c r="D14857" s="209"/>
      <c r="E14857" s="209"/>
      <c r="J14857" s="124"/>
    </row>
    <row r="14858" spans="3:10" x14ac:dyDescent="0.2">
      <c r="C14858" s="209"/>
      <c r="D14858" s="209"/>
      <c r="E14858" s="209"/>
      <c r="J14858" s="124"/>
    </row>
    <row r="14859" spans="3:10" x14ac:dyDescent="0.2">
      <c r="C14859" s="209"/>
      <c r="D14859" s="209"/>
      <c r="E14859" s="209"/>
      <c r="J14859" s="124"/>
    </row>
    <row r="14860" spans="3:10" x14ac:dyDescent="0.2">
      <c r="C14860" s="209"/>
      <c r="D14860" s="209"/>
      <c r="E14860" s="209"/>
      <c r="J14860" s="124"/>
    </row>
    <row r="14861" spans="3:10" x14ac:dyDescent="0.2">
      <c r="C14861" s="209"/>
      <c r="D14861" s="209"/>
      <c r="E14861" s="209"/>
      <c r="J14861" s="124"/>
    </row>
    <row r="14862" spans="3:10" x14ac:dyDescent="0.2">
      <c r="C14862" s="209"/>
      <c r="D14862" s="209"/>
      <c r="E14862" s="209"/>
      <c r="J14862" s="124"/>
    </row>
    <row r="14863" spans="3:10" x14ac:dyDescent="0.2">
      <c r="C14863" s="209"/>
      <c r="D14863" s="209"/>
      <c r="E14863" s="209"/>
      <c r="J14863" s="124"/>
    </row>
    <row r="14864" spans="3:10" x14ac:dyDescent="0.2">
      <c r="C14864" s="209"/>
      <c r="D14864" s="209"/>
      <c r="E14864" s="209"/>
      <c r="J14864" s="124"/>
    </row>
    <row r="14865" spans="3:10" x14ac:dyDescent="0.2">
      <c r="C14865" s="209"/>
      <c r="D14865" s="209"/>
      <c r="E14865" s="209"/>
      <c r="J14865" s="124"/>
    </row>
    <row r="14866" spans="3:10" x14ac:dyDescent="0.2">
      <c r="C14866" s="209"/>
      <c r="D14866" s="209"/>
      <c r="E14866" s="209"/>
      <c r="J14866" s="124"/>
    </row>
    <row r="14867" spans="3:10" x14ac:dyDescent="0.2">
      <c r="C14867" s="209"/>
      <c r="D14867" s="209"/>
      <c r="E14867" s="209"/>
      <c r="J14867" s="124"/>
    </row>
    <row r="14868" spans="3:10" x14ac:dyDescent="0.2">
      <c r="C14868" s="209"/>
      <c r="D14868" s="209"/>
      <c r="E14868" s="209"/>
      <c r="J14868" s="124"/>
    </row>
    <row r="14869" spans="3:10" x14ac:dyDescent="0.2">
      <c r="C14869" s="209"/>
      <c r="D14869" s="209"/>
      <c r="E14869" s="209"/>
      <c r="J14869" s="124"/>
    </row>
    <row r="14870" spans="3:10" x14ac:dyDescent="0.2">
      <c r="C14870" s="209"/>
      <c r="D14870" s="209"/>
      <c r="E14870" s="209"/>
      <c r="J14870" s="124"/>
    </row>
    <row r="14871" spans="3:10" x14ac:dyDescent="0.2">
      <c r="C14871" s="209"/>
      <c r="D14871" s="209"/>
      <c r="E14871" s="209"/>
      <c r="J14871" s="124"/>
    </row>
    <row r="14872" spans="3:10" x14ac:dyDescent="0.2">
      <c r="C14872" s="209"/>
      <c r="D14872" s="209"/>
      <c r="E14872" s="209"/>
      <c r="J14872" s="124"/>
    </row>
    <row r="14873" spans="3:10" x14ac:dyDescent="0.2">
      <c r="C14873" s="209"/>
      <c r="D14873" s="209"/>
      <c r="E14873" s="209"/>
      <c r="J14873" s="124"/>
    </row>
    <row r="14874" spans="3:10" x14ac:dyDescent="0.2">
      <c r="C14874" s="209"/>
      <c r="D14874" s="209"/>
      <c r="E14874" s="209"/>
      <c r="J14874" s="124"/>
    </row>
    <row r="14875" spans="3:10" x14ac:dyDescent="0.2">
      <c r="C14875" s="209"/>
      <c r="D14875" s="209"/>
      <c r="E14875" s="209"/>
      <c r="J14875" s="124"/>
    </row>
    <row r="14876" spans="3:10" x14ac:dyDescent="0.2">
      <c r="C14876" s="209"/>
      <c r="D14876" s="209"/>
      <c r="E14876" s="209"/>
      <c r="J14876" s="124"/>
    </row>
    <row r="14877" spans="3:10" x14ac:dyDescent="0.2">
      <c r="C14877" s="209"/>
      <c r="D14877" s="209"/>
      <c r="E14877" s="209"/>
      <c r="J14877" s="124"/>
    </row>
    <row r="14878" spans="3:10" x14ac:dyDescent="0.2">
      <c r="C14878" s="209"/>
      <c r="D14878" s="209"/>
      <c r="E14878" s="209"/>
      <c r="J14878" s="124"/>
    </row>
    <row r="14879" spans="3:10" x14ac:dyDescent="0.2">
      <c r="C14879" s="209"/>
      <c r="D14879" s="209"/>
      <c r="E14879" s="209"/>
      <c r="J14879" s="124"/>
    </row>
    <row r="14880" spans="3:10" x14ac:dyDescent="0.2">
      <c r="C14880" s="209"/>
      <c r="D14880" s="209"/>
      <c r="E14880" s="209"/>
      <c r="J14880" s="124"/>
    </row>
    <row r="14881" spans="3:10" x14ac:dyDescent="0.2">
      <c r="C14881" s="209"/>
      <c r="D14881" s="209"/>
      <c r="E14881" s="209"/>
      <c r="J14881" s="124"/>
    </row>
    <row r="14882" spans="3:10" x14ac:dyDescent="0.2">
      <c r="C14882" s="209"/>
      <c r="D14882" s="209"/>
      <c r="E14882" s="209"/>
      <c r="J14882" s="124"/>
    </row>
    <row r="14883" spans="3:10" x14ac:dyDescent="0.2">
      <c r="C14883" s="209"/>
      <c r="D14883" s="209"/>
      <c r="E14883" s="209"/>
      <c r="J14883" s="124"/>
    </row>
    <row r="14884" spans="3:10" x14ac:dyDescent="0.2">
      <c r="C14884" s="209"/>
      <c r="D14884" s="209"/>
      <c r="E14884" s="209"/>
      <c r="J14884" s="124"/>
    </row>
    <row r="14885" spans="3:10" x14ac:dyDescent="0.2">
      <c r="C14885" s="209"/>
      <c r="D14885" s="209"/>
      <c r="E14885" s="209"/>
      <c r="J14885" s="124"/>
    </row>
    <row r="14886" spans="3:10" x14ac:dyDescent="0.2">
      <c r="C14886" s="209"/>
      <c r="D14886" s="209"/>
      <c r="E14886" s="209"/>
      <c r="J14886" s="124"/>
    </row>
    <row r="14887" spans="3:10" x14ac:dyDescent="0.2">
      <c r="C14887" s="209"/>
      <c r="D14887" s="209"/>
      <c r="E14887" s="209"/>
      <c r="J14887" s="124"/>
    </row>
    <row r="14888" spans="3:10" x14ac:dyDescent="0.2">
      <c r="C14888" s="209"/>
      <c r="D14888" s="209"/>
      <c r="E14888" s="209"/>
      <c r="J14888" s="124"/>
    </row>
    <row r="14889" spans="3:10" x14ac:dyDescent="0.2">
      <c r="C14889" s="209"/>
      <c r="D14889" s="209"/>
      <c r="E14889" s="209"/>
      <c r="J14889" s="124"/>
    </row>
    <row r="14890" spans="3:10" x14ac:dyDescent="0.2">
      <c r="C14890" s="209"/>
      <c r="D14890" s="209"/>
      <c r="E14890" s="209"/>
      <c r="J14890" s="124"/>
    </row>
    <row r="14891" spans="3:10" x14ac:dyDescent="0.2">
      <c r="C14891" s="209"/>
      <c r="D14891" s="209"/>
      <c r="E14891" s="209"/>
      <c r="J14891" s="124"/>
    </row>
    <row r="14892" spans="3:10" x14ac:dyDescent="0.2">
      <c r="C14892" s="209"/>
      <c r="D14892" s="209"/>
      <c r="E14892" s="209"/>
      <c r="J14892" s="124"/>
    </row>
    <row r="14893" spans="3:10" x14ac:dyDescent="0.2">
      <c r="C14893" s="209"/>
      <c r="D14893" s="209"/>
      <c r="E14893" s="209"/>
      <c r="J14893" s="124"/>
    </row>
    <row r="14894" spans="3:10" x14ac:dyDescent="0.2">
      <c r="C14894" s="209"/>
      <c r="D14894" s="209"/>
      <c r="E14894" s="209"/>
      <c r="J14894" s="124"/>
    </row>
    <row r="14895" spans="3:10" x14ac:dyDescent="0.2">
      <c r="C14895" s="209"/>
      <c r="D14895" s="209"/>
      <c r="E14895" s="209"/>
      <c r="J14895" s="124"/>
    </row>
    <row r="14896" spans="3:10" x14ac:dyDescent="0.2">
      <c r="C14896" s="209"/>
      <c r="D14896" s="209"/>
      <c r="E14896" s="209"/>
      <c r="J14896" s="124"/>
    </row>
    <row r="14897" spans="3:10" x14ac:dyDescent="0.2">
      <c r="C14897" s="209"/>
      <c r="D14897" s="209"/>
      <c r="E14897" s="209"/>
      <c r="J14897" s="124"/>
    </row>
    <row r="14898" spans="3:10" x14ac:dyDescent="0.2">
      <c r="C14898" s="209"/>
      <c r="D14898" s="209"/>
      <c r="E14898" s="209"/>
      <c r="J14898" s="124"/>
    </row>
    <row r="14899" spans="3:10" x14ac:dyDescent="0.2">
      <c r="C14899" s="209"/>
      <c r="D14899" s="209"/>
      <c r="E14899" s="209"/>
      <c r="J14899" s="124"/>
    </row>
    <row r="14900" spans="3:10" x14ac:dyDescent="0.2">
      <c r="C14900" s="209"/>
      <c r="D14900" s="209"/>
      <c r="E14900" s="209"/>
      <c r="J14900" s="124"/>
    </row>
    <row r="14901" spans="3:10" x14ac:dyDescent="0.2">
      <c r="C14901" s="209"/>
      <c r="D14901" s="209"/>
      <c r="E14901" s="209"/>
      <c r="J14901" s="124"/>
    </row>
    <row r="14902" spans="3:10" x14ac:dyDescent="0.2">
      <c r="C14902" s="209"/>
      <c r="D14902" s="209"/>
      <c r="E14902" s="209"/>
      <c r="J14902" s="124"/>
    </row>
    <row r="14903" spans="3:10" x14ac:dyDescent="0.2">
      <c r="C14903" s="209"/>
      <c r="D14903" s="209"/>
      <c r="E14903" s="209"/>
      <c r="J14903" s="124"/>
    </row>
    <row r="14904" spans="3:10" x14ac:dyDescent="0.2">
      <c r="C14904" s="209"/>
      <c r="D14904" s="209"/>
      <c r="E14904" s="209"/>
      <c r="J14904" s="124"/>
    </row>
    <row r="14905" spans="3:10" x14ac:dyDescent="0.2">
      <c r="C14905" s="209"/>
      <c r="D14905" s="209"/>
      <c r="E14905" s="209"/>
      <c r="J14905" s="124"/>
    </row>
    <row r="14906" spans="3:10" x14ac:dyDescent="0.2">
      <c r="C14906" s="209"/>
      <c r="D14906" s="209"/>
      <c r="E14906" s="209"/>
      <c r="J14906" s="124"/>
    </row>
    <row r="14907" spans="3:10" x14ac:dyDescent="0.2">
      <c r="C14907" s="209"/>
      <c r="D14907" s="209"/>
      <c r="E14907" s="209"/>
      <c r="J14907" s="124"/>
    </row>
    <row r="14908" spans="3:10" x14ac:dyDescent="0.2">
      <c r="C14908" s="209"/>
      <c r="D14908" s="209"/>
      <c r="E14908" s="209"/>
      <c r="J14908" s="124"/>
    </row>
    <row r="14909" spans="3:10" x14ac:dyDescent="0.2">
      <c r="C14909" s="209"/>
      <c r="D14909" s="209"/>
      <c r="E14909" s="209"/>
      <c r="J14909" s="124"/>
    </row>
    <row r="14910" spans="3:10" x14ac:dyDescent="0.2">
      <c r="C14910" s="209"/>
      <c r="D14910" s="209"/>
      <c r="E14910" s="209"/>
      <c r="J14910" s="124"/>
    </row>
    <row r="14911" spans="3:10" x14ac:dyDescent="0.2">
      <c r="C14911" s="209"/>
      <c r="D14911" s="209"/>
      <c r="E14911" s="209"/>
      <c r="J14911" s="124"/>
    </row>
    <row r="14912" spans="3:10" x14ac:dyDescent="0.2">
      <c r="C14912" s="209"/>
      <c r="D14912" s="209"/>
      <c r="E14912" s="209"/>
      <c r="J14912" s="124"/>
    </row>
    <row r="14913" spans="3:10" x14ac:dyDescent="0.2">
      <c r="C14913" s="209"/>
      <c r="D14913" s="209"/>
      <c r="E14913" s="209"/>
      <c r="J14913" s="124"/>
    </row>
    <row r="14914" spans="3:10" x14ac:dyDescent="0.2">
      <c r="C14914" s="209"/>
      <c r="D14914" s="209"/>
      <c r="E14914" s="209"/>
      <c r="J14914" s="124"/>
    </row>
    <row r="14915" spans="3:10" x14ac:dyDescent="0.2">
      <c r="C14915" s="209"/>
      <c r="D14915" s="209"/>
      <c r="E14915" s="209"/>
      <c r="J14915" s="124"/>
    </row>
    <row r="14916" spans="3:10" x14ac:dyDescent="0.2">
      <c r="C14916" s="209"/>
      <c r="D14916" s="209"/>
      <c r="E14916" s="209"/>
      <c r="J14916" s="124"/>
    </row>
    <row r="14917" spans="3:10" x14ac:dyDescent="0.2">
      <c r="C14917" s="209"/>
      <c r="D14917" s="209"/>
      <c r="E14917" s="209"/>
      <c r="J14917" s="124"/>
    </row>
    <row r="14918" spans="3:10" x14ac:dyDescent="0.2">
      <c r="C14918" s="209"/>
      <c r="D14918" s="209"/>
      <c r="E14918" s="209"/>
      <c r="J14918" s="124"/>
    </row>
    <row r="14919" spans="3:10" x14ac:dyDescent="0.2">
      <c r="C14919" s="209"/>
      <c r="D14919" s="209"/>
      <c r="E14919" s="209"/>
      <c r="J14919" s="124"/>
    </row>
    <row r="14920" spans="3:10" x14ac:dyDescent="0.2">
      <c r="C14920" s="209"/>
      <c r="D14920" s="209"/>
      <c r="E14920" s="209"/>
      <c r="J14920" s="124"/>
    </row>
    <row r="14921" spans="3:10" x14ac:dyDescent="0.2">
      <c r="C14921" s="209"/>
      <c r="D14921" s="209"/>
      <c r="E14921" s="209"/>
      <c r="J14921" s="124"/>
    </row>
    <row r="14922" spans="3:10" x14ac:dyDescent="0.2">
      <c r="C14922" s="209"/>
      <c r="D14922" s="209"/>
      <c r="E14922" s="209"/>
      <c r="J14922" s="124"/>
    </row>
    <row r="14923" spans="3:10" x14ac:dyDescent="0.2">
      <c r="C14923" s="209"/>
      <c r="D14923" s="209"/>
      <c r="E14923" s="209"/>
      <c r="J14923" s="124"/>
    </row>
    <row r="14924" spans="3:10" x14ac:dyDescent="0.2">
      <c r="C14924" s="209"/>
      <c r="D14924" s="209"/>
      <c r="E14924" s="209"/>
      <c r="J14924" s="124"/>
    </row>
    <row r="14925" spans="3:10" x14ac:dyDescent="0.2">
      <c r="C14925" s="209"/>
      <c r="D14925" s="209"/>
      <c r="E14925" s="209"/>
      <c r="J14925" s="124"/>
    </row>
    <row r="14926" spans="3:10" x14ac:dyDescent="0.2">
      <c r="C14926" s="209"/>
      <c r="D14926" s="209"/>
      <c r="E14926" s="209"/>
      <c r="J14926" s="124"/>
    </row>
    <row r="14927" spans="3:10" x14ac:dyDescent="0.2">
      <c r="C14927" s="209"/>
      <c r="D14927" s="209"/>
      <c r="E14927" s="209"/>
      <c r="J14927" s="124"/>
    </row>
    <row r="14928" spans="3:10" x14ac:dyDescent="0.2">
      <c r="C14928" s="209"/>
      <c r="D14928" s="209"/>
      <c r="E14928" s="209"/>
      <c r="J14928" s="124"/>
    </row>
    <row r="14929" spans="3:10" x14ac:dyDescent="0.2">
      <c r="C14929" s="209"/>
      <c r="D14929" s="209"/>
      <c r="E14929" s="209"/>
      <c r="J14929" s="124"/>
    </row>
    <row r="14930" spans="3:10" x14ac:dyDescent="0.2">
      <c r="C14930" s="209"/>
      <c r="D14930" s="209"/>
      <c r="E14930" s="209"/>
      <c r="J14930" s="124"/>
    </row>
    <row r="14931" spans="3:10" x14ac:dyDescent="0.2">
      <c r="C14931" s="209"/>
      <c r="D14931" s="209"/>
      <c r="E14931" s="209"/>
      <c r="J14931" s="124"/>
    </row>
    <row r="14932" spans="3:10" x14ac:dyDescent="0.2">
      <c r="C14932" s="209"/>
      <c r="D14932" s="209"/>
      <c r="E14932" s="209"/>
      <c r="J14932" s="124"/>
    </row>
    <row r="14933" spans="3:10" x14ac:dyDescent="0.2">
      <c r="C14933" s="209"/>
      <c r="D14933" s="209"/>
      <c r="E14933" s="209"/>
      <c r="J14933" s="124"/>
    </row>
    <row r="14934" spans="3:10" x14ac:dyDescent="0.2">
      <c r="C14934" s="209"/>
      <c r="D14934" s="209"/>
      <c r="E14934" s="209"/>
      <c r="J14934" s="124"/>
    </row>
    <row r="14935" spans="3:10" x14ac:dyDescent="0.2">
      <c r="C14935" s="209"/>
      <c r="D14935" s="209"/>
      <c r="E14935" s="209"/>
      <c r="J14935" s="124"/>
    </row>
    <row r="14936" spans="3:10" x14ac:dyDescent="0.2">
      <c r="C14936" s="209"/>
      <c r="D14936" s="209"/>
      <c r="E14936" s="209"/>
      <c r="J14936" s="124"/>
    </row>
    <row r="14937" spans="3:10" x14ac:dyDescent="0.2">
      <c r="C14937" s="209"/>
      <c r="D14937" s="209"/>
      <c r="E14937" s="209"/>
      <c r="J14937" s="124"/>
    </row>
    <row r="14938" spans="3:10" x14ac:dyDescent="0.2">
      <c r="C14938" s="209"/>
      <c r="D14938" s="209"/>
      <c r="E14938" s="209"/>
      <c r="J14938" s="124"/>
    </row>
    <row r="14939" spans="3:10" x14ac:dyDescent="0.2">
      <c r="C14939" s="209"/>
      <c r="D14939" s="209"/>
      <c r="E14939" s="209"/>
      <c r="J14939" s="124"/>
    </row>
    <row r="14940" spans="3:10" x14ac:dyDescent="0.2">
      <c r="C14940" s="209"/>
      <c r="D14940" s="209"/>
      <c r="E14940" s="209"/>
      <c r="J14940" s="124"/>
    </row>
    <row r="14941" spans="3:10" x14ac:dyDescent="0.2">
      <c r="C14941" s="209"/>
      <c r="D14941" s="209"/>
      <c r="E14941" s="209"/>
      <c r="J14941" s="124"/>
    </row>
    <row r="14942" spans="3:10" x14ac:dyDescent="0.2">
      <c r="C14942" s="209"/>
      <c r="D14942" s="209"/>
      <c r="E14942" s="209"/>
      <c r="J14942" s="124"/>
    </row>
    <row r="14943" spans="3:10" x14ac:dyDescent="0.2">
      <c r="C14943" s="209"/>
      <c r="D14943" s="209"/>
      <c r="E14943" s="209"/>
      <c r="J14943" s="124"/>
    </row>
    <row r="14944" spans="3:10" x14ac:dyDescent="0.2">
      <c r="C14944" s="209"/>
      <c r="D14944" s="209"/>
      <c r="E14944" s="209"/>
      <c r="J14944" s="124"/>
    </row>
    <row r="14945" spans="3:10" x14ac:dyDescent="0.2">
      <c r="C14945" s="209"/>
      <c r="D14945" s="209"/>
      <c r="E14945" s="209"/>
      <c r="J14945" s="124"/>
    </row>
    <row r="14946" spans="3:10" x14ac:dyDescent="0.2">
      <c r="C14946" s="209"/>
      <c r="D14946" s="209"/>
      <c r="E14946" s="209"/>
      <c r="J14946" s="124"/>
    </row>
    <row r="14947" spans="3:10" x14ac:dyDescent="0.2">
      <c r="C14947" s="209"/>
      <c r="D14947" s="209"/>
      <c r="E14947" s="209"/>
      <c r="J14947" s="124"/>
    </row>
    <row r="14948" spans="3:10" x14ac:dyDescent="0.2">
      <c r="C14948" s="209"/>
      <c r="D14948" s="209"/>
      <c r="E14948" s="209"/>
      <c r="J14948" s="124"/>
    </row>
    <row r="14949" spans="3:10" x14ac:dyDescent="0.2">
      <c r="C14949" s="209"/>
      <c r="D14949" s="209"/>
      <c r="E14949" s="209"/>
      <c r="J14949" s="124"/>
    </row>
    <row r="14950" spans="3:10" x14ac:dyDescent="0.2">
      <c r="C14950" s="209"/>
      <c r="D14950" s="209"/>
      <c r="E14950" s="209"/>
      <c r="J14950" s="124"/>
    </row>
    <row r="14951" spans="3:10" x14ac:dyDescent="0.2">
      <c r="C14951" s="209"/>
      <c r="D14951" s="209"/>
      <c r="E14951" s="209"/>
      <c r="J14951" s="124"/>
    </row>
    <row r="14952" spans="3:10" x14ac:dyDescent="0.2">
      <c r="C14952" s="209"/>
      <c r="D14952" s="209"/>
      <c r="E14952" s="209"/>
      <c r="J14952" s="124"/>
    </row>
    <row r="14953" spans="3:10" x14ac:dyDescent="0.2">
      <c r="C14953" s="209"/>
      <c r="D14953" s="209"/>
      <c r="E14953" s="209"/>
      <c r="J14953" s="124"/>
    </row>
    <row r="14954" spans="3:10" x14ac:dyDescent="0.2">
      <c r="C14954" s="209"/>
      <c r="D14954" s="209"/>
      <c r="E14954" s="209"/>
      <c r="J14954" s="124"/>
    </row>
    <row r="14955" spans="3:10" x14ac:dyDescent="0.2">
      <c r="C14955" s="209"/>
      <c r="D14955" s="209"/>
      <c r="E14955" s="209"/>
      <c r="J14955" s="124"/>
    </row>
    <row r="14956" spans="3:10" x14ac:dyDescent="0.2">
      <c r="C14956" s="209"/>
      <c r="D14956" s="209"/>
      <c r="E14956" s="209"/>
      <c r="J14956" s="124"/>
    </row>
    <row r="14957" spans="3:10" x14ac:dyDescent="0.2">
      <c r="C14957" s="209"/>
      <c r="D14957" s="209"/>
      <c r="E14957" s="209"/>
      <c r="J14957" s="124"/>
    </row>
    <row r="14958" spans="3:10" x14ac:dyDescent="0.2">
      <c r="C14958" s="209"/>
      <c r="D14958" s="209"/>
      <c r="E14958" s="209"/>
      <c r="J14958" s="124"/>
    </row>
    <row r="14959" spans="3:10" x14ac:dyDescent="0.2">
      <c r="C14959" s="209"/>
      <c r="D14959" s="209"/>
      <c r="E14959" s="209"/>
      <c r="J14959" s="124"/>
    </row>
    <row r="14960" spans="3:10" x14ac:dyDescent="0.2">
      <c r="C14960" s="209"/>
      <c r="D14960" s="209"/>
      <c r="E14960" s="209"/>
      <c r="J14960" s="124"/>
    </row>
    <row r="14961" spans="3:10" x14ac:dyDescent="0.2">
      <c r="C14961" s="209"/>
      <c r="D14961" s="209"/>
      <c r="E14961" s="209"/>
      <c r="J14961" s="124"/>
    </row>
    <row r="14962" spans="3:10" x14ac:dyDescent="0.2">
      <c r="C14962" s="209"/>
      <c r="D14962" s="209"/>
      <c r="E14962" s="209"/>
      <c r="J14962" s="124"/>
    </row>
    <row r="14963" spans="3:10" x14ac:dyDescent="0.2">
      <c r="C14963" s="209"/>
      <c r="D14963" s="209"/>
      <c r="E14963" s="209"/>
      <c r="J14963" s="124"/>
    </row>
    <row r="14964" spans="3:10" x14ac:dyDescent="0.2">
      <c r="C14964" s="209"/>
      <c r="D14964" s="209"/>
      <c r="E14964" s="209"/>
      <c r="J14964" s="124"/>
    </row>
    <row r="14965" spans="3:10" x14ac:dyDescent="0.2">
      <c r="C14965" s="209"/>
      <c r="D14965" s="209"/>
      <c r="E14965" s="209"/>
      <c r="J14965" s="124"/>
    </row>
    <row r="14966" spans="3:10" x14ac:dyDescent="0.2">
      <c r="C14966" s="209"/>
      <c r="D14966" s="209"/>
      <c r="E14966" s="209"/>
      <c r="J14966" s="124"/>
    </row>
    <row r="14967" spans="3:10" x14ac:dyDescent="0.2">
      <c r="C14967" s="209"/>
      <c r="D14967" s="209"/>
      <c r="E14967" s="209"/>
      <c r="J14967" s="124"/>
    </row>
    <row r="14968" spans="3:10" x14ac:dyDescent="0.2">
      <c r="C14968" s="209"/>
      <c r="D14968" s="209"/>
      <c r="E14968" s="209"/>
      <c r="J14968" s="124"/>
    </row>
    <row r="14969" spans="3:10" x14ac:dyDescent="0.2">
      <c r="C14969" s="209"/>
      <c r="D14969" s="209"/>
      <c r="E14969" s="209"/>
      <c r="J14969" s="124"/>
    </row>
    <row r="14970" spans="3:10" x14ac:dyDescent="0.2">
      <c r="C14970" s="209"/>
      <c r="D14970" s="209"/>
      <c r="E14970" s="209"/>
      <c r="J14970" s="124"/>
    </row>
    <row r="14971" spans="3:10" x14ac:dyDescent="0.2">
      <c r="C14971" s="209"/>
      <c r="D14971" s="209"/>
      <c r="E14971" s="209"/>
      <c r="J14971" s="124"/>
    </row>
    <row r="14972" spans="3:10" x14ac:dyDescent="0.2">
      <c r="C14972" s="209"/>
      <c r="D14972" s="209"/>
      <c r="E14972" s="209"/>
      <c r="J14972" s="124"/>
    </row>
    <row r="14973" spans="3:10" x14ac:dyDescent="0.2">
      <c r="C14973" s="209"/>
      <c r="D14973" s="209"/>
      <c r="E14973" s="209"/>
      <c r="J14973" s="124"/>
    </row>
    <row r="14974" spans="3:10" x14ac:dyDescent="0.2">
      <c r="C14974" s="209"/>
      <c r="D14974" s="209"/>
      <c r="E14974" s="209"/>
      <c r="J14974" s="124"/>
    </row>
    <row r="14975" spans="3:10" x14ac:dyDescent="0.2">
      <c r="C14975" s="209"/>
      <c r="D14975" s="209"/>
      <c r="E14975" s="209"/>
      <c r="J14975" s="124"/>
    </row>
    <row r="14976" spans="3:10" x14ac:dyDescent="0.2">
      <c r="C14976" s="209"/>
      <c r="D14976" s="209"/>
      <c r="E14976" s="209"/>
      <c r="J14976" s="124"/>
    </row>
    <row r="14977" spans="3:10" x14ac:dyDescent="0.2">
      <c r="C14977" s="209"/>
      <c r="D14977" s="209"/>
      <c r="E14977" s="209"/>
      <c r="J14977" s="124"/>
    </row>
    <row r="14978" spans="3:10" x14ac:dyDescent="0.2">
      <c r="C14978" s="209"/>
      <c r="D14978" s="209"/>
      <c r="E14978" s="209"/>
      <c r="J14978" s="124"/>
    </row>
    <row r="14979" spans="3:10" x14ac:dyDescent="0.2">
      <c r="C14979" s="209"/>
      <c r="D14979" s="209"/>
      <c r="E14979" s="209"/>
      <c r="J14979" s="124"/>
    </row>
    <row r="14980" spans="3:10" x14ac:dyDescent="0.2">
      <c r="C14980" s="209"/>
      <c r="D14980" s="209"/>
      <c r="E14980" s="209"/>
      <c r="J14980" s="124"/>
    </row>
    <row r="14981" spans="3:10" x14ac:dyDescent="0.2">
      <c r="C14981" s="209"/>
      <c r="D14981" s="209"/>
      <c r="E14981" s="209"/>
      <c r="J14981" s="124"/>
    </row>
    <row r="14982" spans="3:10" x14ac:dyDescent="0.2">
      <c r="C14982" s="209"/>
      <c r="D14982" s="209"/>
      <c r="E14982" s="209"/>
      <c r="J14982" s="124"/>
    </row>
    <row r="14983" spans="3:10" x14ac:dyDescent="0.2">
      <c r="C14983" s="209"/>
      <c r="D14983" s="209"/>
      <c r="E14983" s="209"/>
      <c r="J14983" s="124"/>
    </row>
    <row r="14984" spans="3:10" x14ac:dyDescent="0.2">
      <c r="C14984" s="209"/>
      <c r="D14984" s="209"/>
      <c r="E14984" s="209"/>
      <c r="J14984" s="124"/>
    </row>
    <row r="14985" spans="3:10" x14ac:dyDescent="0.2">
      <c r="C14985" s="209"/>
      <c r="D14985" s="209"/>
      <c r="E14985" s="209"/>
      <c r="J14985" s="124"/>
    </row>
    <row r="14986" spans="3:10" x14ac:dyDescent="0.2">
      <c r="C14986" s="209"/>
      <c r="D14986" s="209"/>
      <c r="E14986" s="209"/>
      <c r="J14986" s="124"/>
    </row>
    <row r="14987" spans="3:10" x14ac:dyDescent="0.2">
      <c r="C14987" s="209"/>
      <c r="D14987" s="209"/>
      <c r="E14987" s="209"/>
      <c r="J14987" s="124"/>
    </row>
    <row r="14988" spans="3:10" x14ac:dyDescent="0.2">
      <c r="C14988" s="209"/>
      <c r="D14988" s="209"/>
      <c r="E14988" s="209"/>
      <c r="J14988" s="124"/>
    </row>
    <row r="14989" spans="3:10" x14ac:dyDescent="0.2">
      <c r="C14989" s="209"/>
      <c r="D14989" s="209"/>
      <c r="E14989" s="209"/>
      <c r="J14989" s="124"/>
    </row>
    <row r="14990" spans="3:10" x14ac:dyDescent="0.2">
      <c r="C14990" s="209"/>
      <c r="D14990" s="209"/>
      <c r="E14990" s="209"/>
      <c r="J14990" s="124"/>
    </row>
    <row r="14991" spans="3:10" x14ac:dyDescent="0.2">
      <c r="C14991" s="209"/>
      <c r="D14991" s="209"/>
      <c r="E14991" s="209"/>
      <c r="J14991" s="124"/>
    </row>
    <row r="14992" spans="3:10" x14ac:dyDescent="0.2">
      <c r="C14992" s="209"/>
      <c r="D14992" s="209"/>
      <c r="E14992" s="209"/>
      <c r="J14992" s="124"/>
    </row>
    <row r="14993" spans="3:10" x14ac:dyDescent="0.2">
      <c r="C14993" s="209"/>
      <c r="D14993" s="209"/>
      <c r="E14993" s="209"/>
      <c r="J14993" s="124"/>
    </row>
    <row r="14994" spans="3:10" x14ac:dyDescent="0.2">
      <c r="C14994" s="209"/>
      <c r="D14994" s="209"/>
      <c r="E14994" s="209"/>
      <c r="J14994" s="124"/>
    </row>
    <row r="14995" spans="3:10" x14ac:dyDescent="0.2">
      <c r="C14995" s="209"/>
      <c r="D14995" s="209"/>
      <c r="E14995" s="209"/>
      <c r="J14995" s="124"/>
    </row>
    <row r="14996" spans="3:10" x14ac:dyDescent="0.2">
      <c r="C14996" s="209"/>
      <c r="D14996" s="209"/>
      <c r="E14996" s="209"/>
      <c r="J14996" s="124"/>
    </row>
    <row r="14997" spans="3:10" x14ac:dyDescent="0.2">
      <c r="C14997" s="209"/>
      <c r="D14997" s="209"/>
      <c r="E14997" s="209"/>
      <c r="J14997" s="124"/>
    </row>
    <row r="14998" spans="3:10" x14ac:dyDescent="0.2">
      <c r="C14998" s="209"/>
      <c r="D14998" s="209"/>
      <c r="E14998" s="209"/>
      <c r="J14998" s="124"/>
    </row>
    <row r="14999" spans="3:10" x14ac:dyDescent="0.2">
      <c r="C14999" s="209"/>
      <c r="D14999" s="209"/>
      <c r="E14999" s="209"/>
      <c r="J14999" s="124"/>
    </row>
    <row r="15000" spans="3:10" x14ac:dyDescent="0.2">
      <c r="C15000" s="209"/>
      <c r="D15000" s="209"/>
      <c r="E15000" s="209"/>
      <c r="J15000" s="124"/>
    </row>
    <row r="15001" spans="3:10" x14ac:dyDescent="0.2">
      <c r="C15001" s="209"/>
      <c r="D15001" s="209"/>
      <c r="E15001" s="209"/>
      <c r="J15001" s="124"/>
    </row>
    <row r="15002" spans="3:10" x14ac:dyDescent="0.2">
      <c r="C15002" s="209"/>
      <c r="D15002" s="209"/>
      <c r="E15002" s="209"/>
      <c r="J15002" s="124"/>
    </row>
    <row r="15003" spans="3:10" x14ac:dyDescent="0.2">
      <c r="C15003" s="209"/>
      <c r="D15003" s="209"/>
      <c r="E15003" s="209"/>
      <c r="J15003" s="124"/>
    </row>
    <row r="15004" spans="3:10" x14ac:dyDescent="0.2">
      <c r="C15004" s="209"/>
      <c r="D15004" s="209"/>
      <c r="E15004" s="209"/>
      <c r="J15004" s="124"/>
    </row>
    <row r="15005" spans="3:10" x14ac:dyDescent="0.2">
      <c r="C15005" s="209"/>
      <c r="D15005" s="209"/>
      <c r="E15005" s="209"/>
      <c r="J15005" s="124"/>
    </row>
    <row r="15006" spans="3:10" x14ac:dyDescent="0.2">
      <c r="C15006" s="209"/>
      <c r="D15006" s="209"/>
      <c r="E15006" s="209"/>
      <c r="J15006" s="124"/>
    </row>
    <row r="15007" spans="3:10" x14ac:dyDescent="0.2">
      <c r="C15007" s="209"/>
      <c r="D15007" s="209"/>
      <c r="E15007" s="209"/>
      <c r="J15007" s="124"/>
    </row>
    <row r="15008" spans="3:10" x14ac:dyDescent="0.2">
      <c r="C15008" s="209"/>
      <c r="D15008" s="209"/>
      <c r="E15008" s="209"/>
      <c r="J15008" s="124"/>
    </row>
    <row r="15009" spans="3:10" x14ac:dyDescent="0.2">
      <c r="C15009" s="209"/>
      <c r="D15009" s="209"/>
      <c r="E15009" s="209"/>
      <c r="J15009" s="124"/>
    </row>
    <row r="15010" spans="3:10" x14ac:dyDescent="0.2">
      <c r="C15010" s="209"/>
      <c r="D15010" s="209"/>
      <c r="E15010" s="209"/>
      <c r="J15010" s="124"/>
    </row>
    <row r="15011" spans="3:10" x14ac:dyDescent="0.2">
      <c r="C15011" s="209"/>
      <c r="D15011" s="209"/>
      <c r="E15011" s="209"/>
      <c r="J15011" s="124"/>
    </row>
    <row r="15012" spans="3:10" x14ac:dyDescent="0.2">
      <c r="C15012" s="209"/>
      <c r="D15012" s="209"/>
      <c r="E15012" s="209"/>
      <c r="J15012" s="124"/>
    </row>
    <row r="15013" spans="3:10" x14ac:dyDescent="0.2">
      <c r="C15013" s="209"/>
      <c r="D15013" s="209"/>
      <c r="E15013" s="209"/>
      <c r="J15013" s="124"/>
    </row>
    <row r="15014" spans="3:10" x14ac:dyDescent="0.2">
      <c r="C15014" s="209"/>
      <c r="D15014" s="209"/>
      <c r="E15014" s="209"/>
      <c r="J15014" s="124"/>
    </row>
    <row r="15015" spans="3:10" x14ac:dyDescent="0.2">
      <c r="C15015" s="209"/>
      <c r="D15015" s="209"/>
      <c r="E15015" s="209"/>
      <c r="J15015" s="124"/>
    </row>
    <row r="15016" spans="3:10" x14ac:dyDescent="0.2">
      <c r="C15016" s="209"/>
      <c r="D15016" s="209"/>
      <c r="E15016" s="209"/>
      <c r="J15016" s="124"/>
    </row>
    <row r="15017" spans="3:10" x14ac:dyDescent="0.2">
      <c r="C15017" s="209"/>
      <c r="D15017" s="209"/>
      <c r="E15017" s="209"/>
      <c r="J15017" s="124"/>
    </row>
    <row r="15018" spans="3:10" x14ac:dyDescent="0.2">
      <c r="C15018" s="209"/>
      <c r="D15018" s="209"/>
      <c r="E15018" s="209"/>
      <c r="J15018" s="124"/>
    </row>
    <row r="15019" spans="3:10" x14ac:dyDescent="0.2">
      <c r="C15019" s="209"/>
      <c r="D15019" s="209"/>
      <c r="E15019" s="209"/>
      <c r="J15019" s="124"/>
    </row>
    <row r="15020" spans="3:10" x14ac:dyDescent="0.2">
      <c r="C15020" s="209"/>
      <c r="D15020" s="209"/>
      <c r="E15020" s="209"/>
      <c r="J15020" s="124"/>
    </row>
    <row r="15021" spans="3:10" x14ac:dyDescent="0.2">
      <c r="C15021" s="209"/>
      <c r="D15021" s="209"/>
      <c r="E15021" s="209"/>
      <c r="J15021" s="124"/>
    </row>
    <row r="15022" spans="3:10" x14ac:dyDescent="0.2">
      <c r="C15022" s="209"/>
      <c r="D15022" s="209"/>
      <c r="E15022" s="209"/>
      <c r="J15022" s="124"/>
    </row>
    <row r="15023" spans="3:10" x14ac:dyDescent="0.2">
      <c r="C15023" s="209"/>
      <c r="D15023" s="209"/>
      <c r="E15023" s="209"/>
      <c r="J15023" s="124"/>
    </row>
    <row r="15024" spans="3:10" x14ac:dyDescent="0.2">
      <c r="C15024" s="209"/>
      <c r="D15024" s="209"/>
      <c r="E15024" s="209"/>
      <c r="J15024" s="124"/>
    </row>
    <row r="15025" spans="3:10" x14ac:dyDescent="0.2">
      <c r="C15025" s="209"/>
      <c r="D15025" s="209"/>
      <c r="E15025" s="209"/>
      <c r="J15025" s="124"/>
    </row>
    <row r="15026" spans="3:10" x14ac:dyDescent="0.2">
      <c r="C15026" s="209"/>
      <c r="D15026" s="209"/>
      <c r="E15026" s="209"/>
      <c r="J15026" s="124"/>
    </row>
    <row r="15027" spans="3:10" x14ac:dyDescent="0.2">
      <c r="C15027" s="209"/>
      <c r="D15027" s="209"/>
      <c r="E15027" s="209"/>
      <c r="J15027" s="124"/>
    </row>
    <row r="15028" spans="3:10" x14ac:dyDescent="0.2">
      <c r="C15028" s="209"/>
      <c r="D15028" s="209"/>
      <c r="E15028" s="209"/>
      <c r="J15028" s="124"/>
    </row>
    <row r="15029" spans="3:10" x14ac:dyDescent="0.2">
      <c r="C15029" s="209"/>
      <c r="D15029" s="209"/>
      <c r="E15029" s="209"/>
      <c r="J15029" s="124"/>
    </row>
    <row r="15030" spans="3:10" x14ac:dyDescent="0.2">
      <c r="C15030" s="209"/>
      <c r="D15030" s="209"/>
      <c r="E15030" s="209"/>
      <c r="J15030" s="124"/>
    </row>
    <row r="15031" spans="3:10" x14ac:dyDescent="0.2">
      <c r="C15031" s="209"/>
      <c r="D15031" s="209"/>
      <c r="E15031" s="209"/>
      <c r="J15031" s="124"/>
    </row>
    <row r="15032" spans="3:10" x14ac:dyDescent="0.2">
      <c r="C15032" s="209"/>
      <c r="D15032" s="209"/>
      <c r="E15032" s="209"/>
      <c r="J15032" s="124"/>
    </row>
    <row r="15033" spans="3:10" x14ac:dyDescent="0.2">
      <c r="C15033" s="209"/>
      <c r="D15033" s="209"/>
      <c r="E15033" s="209"/>
      <c r="J15033" s="124"/>
    </row>
    <row r="15034" spans="3:10" x14ac:dyDescent="0.2">
      <c r="C15034" s="209"/>
      <c r="D15034" s="209"/>
      <c r="E15034" s="209"/>
      <c r="J15034" s="124"/>
    </row>
    <row r="15035" spans="3:10" x14ac:dyDescent="0.2">
      <c r="C15035" s="209"/>
      <c r="D15035" s="209"/>
      <c r="E15035" s="209"/>
      <c r="J15035" s="124"/>
    </row>
    <row r="15036" spans="3:10" x14ac:dyDescent="0.2">
      <c r="C15036" s="209"/>
      <c r="D15036" s="209"/>
      <c r="E15036" s="209"/>
      <c r="J15036" s="124"/>
    </row>
    <row r="15037" spans="3:10" x14ac:dyDescent="0.2">
      <c r="C15037" s="209"/>
      <c r="D15037" s="209"/>
      <c r="E15037" s="209"/>
      <c r="J15037" s="124"/>
    </row>
    <row r="15038" spans="3:10" x14ac:dyDescent="0.2">
      <c r="C15038" s="209"/>
      <c r="D15038" s="209"/>
      <c r="E15038" s="209"/>
      <c r="J15038" s="124"/>
    </row>
    <row r="15039" spans="3:10" x14ac:dyDescent="0.2">
      <c r="C15039" s="209"/>
      <c r="D15039" s="209"/>
      <c r="E15039" s="209"/>
      <c r="J15039" s="124"/>
    </row>
    <row r="15040" spans="3:10" x14ac:dyDescent="0.2">
      <c r="C15040" s="209"/>
      <c r="D15040" s="209"/>
      <c r="E15040" s="209"/>
      <c r="J15040" s="124"/>
    </row>
    <row r="15041" spans="3:10" x14ac:dyDescent="0.2">
      <c r="C15041" s="209"/>
      <c r="D15041" s="209"/>
      <c r="E15041" s="209"/>
      <c r="J15041" s="124"/>
    </row>
    <row r="15042" spans="3:10" x14ac:dyDescent="0.2">
      <c r="C15042" s="209"/>
      <c r="D15042" s="209"/>
      <c r="E15042" s="209"/>
      <c r="J15042" s="124"/>
    </row>
    <row r="15043" spans="3:10" x14ac:dyDescent="0.2">
      <c r="C15043" s="209"/>
      <c r="D15043" s="209"/>
      <c r="E15043" s="209"/>
      <c r="J15043" s="124"/>
    </row>
    <row r="15044" spans="3:10" x14ac:dyDescent="0.2">
      <c r="C15044" s="209"/>
      <c r="D15044" s="209"/>
      <c r="E15044" s="209"/>
      <c r="J15044" s="124"/>
    </row>
    <row r="15045" spans="3:10" x14ac:dyDescent="0.2">
      <c r="C15045" s="209"/>
      <c r="D15045" s="209"/>
      <c r="E15045" s="209"/>
      <c r="J15045" s="124"/>
    </row>
    <row r="15046" spans="3:10" x14ac:dyDescent="0.2">
      <c r="C15046" s="209"/>
      <c r="D15046" s="209"/>
      <c r="E15046" s="209"/>
      <c r="J15046" s="124"/>
    </row>
    <row r="15047" spans="3:10" x14ac:dyDescent="0.2">
      <c r="C15047" s="209"/>
      <c r="D15047" s="209"/>
      <c r="E15047" s="209"/>
      <c r="J15047" s="124"/>
    </row>
    <row r="15048" spans="3:10" x14ac:dyDescent="0.2">
      <c r="C15048" s="209"/>
      <c r="D15048" s="209"/>
      <c r="E15048" s="209"/>
      <c r="J15048" s="124"/>
    </row>
    <row r="15049" spans="3:10" x14ac:dyDescent="0.2">
      <c r="C15049" s="209"/>
      <c r="D15049" s="209"/>
      <c r="E15049" s="209"/>
      <c r="J15049" s="124"/>
    </row>
    <row r="15050" spans="3:10" x14ac:dyDescent="0.2">
      <c r="C15050" s="209"/>
      <c r="D15050" s="209"/>
      <c r="E15050" s="209"/>
      <c r="J15050" s="124"/>
    </row>
    <row r="15051" spans="3:10" x14ac:dyDescent="0.2">
      <c r="C15051" s="209"/>
      <c r="D15051" s="209"/>
      <c r="E15051" s="209"/>
      <c r="J15051" s="124"/>
    </row>
    <row r="15052" spans="3:10" x14ac:dyDescent="0.2">
      <c r="C15052" s="209"/>
      <c r="D15052" s="209"/>
      <c r="E15052" s="209"/>
      <c r="J15052" s="124"/>
    </row>
    <row r="15053" spans="3:10" x14ac:dyDescent="0.2">
      <c r="C15053" s="209"/>
      <c r="D15053" s="209"/>
      <c r="E15053" s="209"/>
      <c r="J15053" s="124"/>
    </row>
    <row r="15054" spans="3:10" x14ac:dyDescent="0.2">
      <c r="C15054" s="209"/>
      <c r="D15054" s="209"/>
      <c r="E15054" s="209"/>
      <c r="J15054" s="124"/>
    </row>
    <row r="15055" spans="3:10" x14ac:dyDescent="0.2">
      <c r="C15055" s="209"/>
      <c r="D15055" s="209"/>
      <c r="E15055" s="209"/>
      <c r="J15055" s="124"/>
    </row>
    <row r="15056" spans="3:10" x14ac:dyDescent="0.2">
      <c r="C15056" s="209"/>
      <c r="D15056" s="209"/>
      <c r="E15056" s="209"/>
      <c r="J15056" s="124"/>
    </row>
    <row r="15057" spans="3:10" x14ac:dyDescent="0.2">
      <c r="C15057" s="209"/>
      <c r="D15057" s="209"/>
      <c r="E15057" s="209"/>
      <c r="J15057" s="124"/>
    </row>
    <row r="15058" spans="3:10" x14ac:dyDescent="0.2">
      <c r="C15058" s="209"/>
      <c r="D15058" s="209"/>
      <c r="E15058" s="209"/>
      <c r="J15058" s="124"/>
    </row>
    <row r="15059" spans="3:10" x14ac:dyDescent="0.2">
      <c r="C15059" s="209"/>
      <c r="D15059" s="209"/>
      <c r="E15059" s="209"/>
      <c r="J15059" s="124"/>
    </row>
    <row r="15060" spans="3:10" x14ac:dyDescent="0.2">
      <c r="C15060" s="209"/>
      <c r="D15060" s="209"/>
      <c r="E15060" s="209"/>
      <c r="J15060" s="124"/>
    </row>
    <row r="15061" spans="3:10" x14ac:dyDescent="0.2">
      <c r="C15061" s="209"/>
      <c r="D15061" s="209"/>
      <c r="E15061" s="209"/>
      <c r="J15061" s="124"/>
    </row>
    <row r="15062" spans="3:10" x14ac:dyDescent="0.2">
      <c r="C15062" s="209"/>
      <c r="D15062" s="209"/>
      <c r="E15062" s="209"/>
      <c r="J15062" s="124"/>
    </row>
    <row r="15063" spans="3:10" x14ac:dyDescent="0.2">
      <c r="C15063" s="209"/>
      <c r="D15063" s="209"/>
      <c r="E15063" s="209"/>
      <c r="J15063" s="124"/>
    </row>
    <row r="15064" spans="3:10" x14ac:dyDescent="0.2">
      <c r="C15064" s="209"/>
      <c r="D15064" s="209"/>
      <c r="E15064" s="209"/>
      <c r="J15064" s="124"/>
    </row>
    <row r="15065" spans="3:10" x14ac:dyDescent="0.2">
      <c r="C15065" s="209"/>
      <c r="D15065" s="209"/>
      <c r="E15065" s="209"/>
      <c r="J15065" s="124"/>
    </row>
    <row r="15066" spans="3:10" x14ac:dyDescent="0.2">
      <c r="C15066" s="209"/>
      <c r="D15066" s="209"/>
      <c r="E15066" s="209"/>
      <c r="J15066" s="124"/>
    </row>
    <row r="15067" spans="3:10" x14ac:dyDescent="0.2">
      <c r="C15067" s="209"/>
      <c r="D15067" s="209"/>
      <c r="E15067" s="209"/>
      <c r="J15067" s="124"/>
    </row>
    <row r="15068" spans="3:10" x14ac:dyDescent="0.2">
      <c r="C15068" s="209"/>
      <c r="D15068" s="209"/>
      <c r="E15068" s="209"/>
      <c r="J15068" s="124"/>
    </row>
    <row r="15069" spans="3:10" x14ac:dyDescent="0.2">
      <c r="C15069" s="209"/>
      <c r="D15069" s="209"/>
      <c r="E15069" s="209"/>
      <c r="J15069" s="124"/>
    </row>
    <row r="15070" spans="3:10" x14ac:dyDescent="0.2">
      <c r="C15070" s="209"/>
      <c r="D15070" s="209"/>
      <c r="E15070" s="209"/>
      <c r="J15070" s="124"/>
    </row>
    <row r="15071" spans="3:10" x14ac:dyDescent="0.2">
      <c r="C15071" s="209"/>
      <c r="D15071" s="209"/>
      <c r="E15071" s="209"/>
      <c r="J15071" s="124"/>
    </row>
    <row r="15072" spans="3:10" x14ac:dyDescent="0.2">
      <c r="C15072" s="209"/>
      <c r="D15072" s="209"/>
      <c r="E15072" s="209"/>
      <c r="J15072" s="124"/>
    </row>
    <row r="15073" spans="3:10" x14ac:dyDescent="0.2">
      <c r="C15073" s="209"/>
      <c r="D15073" s="209"/>
      <c r="E15073" s="209"/>
      <c r="J15073" s="124"/>
    </row>
    <row r="15074" spans="3:10" x14ac:dyDescent="0.2">
      <c r="C15074" s="209"/>
      <c r="D15074" s="209"/>
      <c r="E15074" s="209"/>
      <c r="J15074" s="124"/>
    </row>
    <row r="15075" spans="3:10" x14ac:dyDescent="0.2">
      <c r="C15075" s="209"/>
      <c r="D15075" s="209"/>
      <c r="E15075" s="209"/>
      <c r="J15075" s="124"/>
    </row>
    <row r="15076" spans="3:10" x14ac:dyDescent="0.2">
      <c r="C15076" s="209"/>
      <c r="D15076" s="209"/>
      <c r="E15076" s="209"/>
      <c r="J15076" s="124"/>
    </row>
    <row r="15077" spans="3:10" x14ac:dyDescent="0.2">
      <c r="C15077" s="209"/>
      <c r="D15077" s="209"/>
      <c r="E15077" s="209"/>
      <c r="J15077" s="124"/>
    </row>
    <row r="15078" spans="3:10" x14ac:dyDescent="0.2">
      <c r="C15078" s="209"/>
      <c r="D15078" s="209"/>
      <c r="E15078" s="209"/>
      <c r="J15078" s="124"/>
    </row>
    <row r="15079" spans="3:10" x14ac:dyDescent="0.2">
      <c r="C15079" s="209"/>
      <c r="D15079" s="209"/>
      <c r="E15079" s="209"/>
      <c r="J15079" s="124"/>
    </row>
    <row r="15080" spans="3:10" x14ac:dyDescent="0.2">
      <c r="C15080" s="209"/>
      <c r="D15080" s="209"/>
      <c r="E15080" s="209"/>
      <c r="J15080" s="124"/>
    </row>
    <row r="15081" spans="3:10" x14ac:dyDescent="0.2">
      <c r="C15081" s="209"/>
      <c r="D15081" s="209"/>
      <c r="E15081" s="209"/>
      <c r="J15081" s="124"/>
    </row>
    <row r="15082" spans="3:10" x14ac:dyDescent="0.2">
      <c r="C15082" s="209"/>
      <c r="D15082" s="209"/>
      <c r="E15082" s="209"/>
      <c r="J15082" s="124"/>
    </row>
    <row r="15083" spans="3:10" x14ac:dyDescent="0.2">
      <c r="C15083" s="209"/>
      <c r="D15083" s="209"/>
      <c r="E15083" s="209"/>
      <c r="J15083" s="124"/>
    </row>
    <row r="15084" spans="3:10" x14ac:dyDescent="0.2">
      <c r="C15084" s="209"/>
      <c r="D15084" s="209"/>
      <c r="E15084" s="209"/>
      <c r="J15084" s="124"/>
    </row>
    <row r="15085" spans="3:10" x14ac:dyDescent="0.2">
      <c r="C15085" s="209"/>
      <c r="D15085" s="209"/>
      <c r="E15085" s="209"/>
      <c r="J15085" s="124"/>
    </row>
    <row r="15086" spans="3:10" x14ac:dyDescent="0.2">
      <c r="C15086" s="209"/>
      <c r="D15086" s="209"/>
      <c r="E15086" s="209"/>
      <c r="J15086" s="124"/>
    </row>
    <row r="15087" spans="3:10" x14ac:dyDescent="0.2">
      <c r="C15087" s="209"/>
      <c r="D15087" s="209"/>
      <c r="E15087" s="209"/>
      <c r="J15087" s="124"/>
    </row>
    <row r="15088" spans="3:10" x14ac:dyDescent="0.2">
      <c r="C15088" s="209"/>
      <c r="D15088" s="209"/>
      <c r="E15088" s="209"/>
      <c r="J15088" s="124"/>
    </row>
    <row r="15089" spans="3:10" x14ac:dyDescent="0.2">
      <c r="C15089" s="209"/>
      <c r="D15089" s="209"/>
      <c r="E15089" s="209"/>
      <c r="J15089" s="124"/>
    </row>
    <row r="15090" spans="3:10" x14ac:dyDescent="0.2">
      <c r="C15090" s="209"/>
      <c r="D15090" s="209"/>
      <c r="E15090" s="209"/>
      <c r="J15090" s="124"/>
    </row>
    <row r="15091" spans="3:10" x14ac:dyDescent="0.2">
      <c r="C15091" s="209"/>
      <c r="D15091" s="209"/>
      <c r="E15091" s="209"/>
      <c r="J15091" s="124"/>
    </row>
    <row r="15092" spans="3:10" x14ac:dyDescent="0.2">
      <c r="C15092" s="209"/>
      <c r="D15092" s="209"/>
      <c r="E15092" s="209"/>
      <c r="J15092" s="124"/>
    </row>
    <row r="15093" spans="3:10" x14ac:dyDescent="0.2">
      <c r="C15093" s="209"/>
      <c r="D15093" s="209"/>
      <c r="E15093" s="209"/>
      <c r="J15093" s="124"/>
    </row>
    <row r="15094" spans="3:10" x14ac:dyDescent="0.2">
      <c r="C15094" s="209"/>
      <c r="D15094" s="209"/>
      <c r="E15094" s="209"/>
      <c r="J15094" s="124"/>
    </row>
    <row r="15095" spans="3:10" x14ac:dyDescent="0.2">
      <c r="C15095" s="209"/>
      <c r="D15095" s="209"/>
      <c r="E15095" s="209"/>
      <c r="J15095" s="124"/>
    </row>
    <row r="15096" spans="3:10" x14ac:dyDescent="0.2">
      <c r="C15096" s="209"/>
      <c r="D15096" s="209"/>
      <c r="E15096" s="209"/>
      <c r="J15096" s="124"/>
    </row>
    <row r="15097" spans="3:10" x14ac:dyDescent="0.2">
      <c r="C15097" s="209"/>
      <c r="D15097" s="209"/>
      <c r="E15097" s="209"/>
      <c r="J15097" s="124"/>
    </row>
    <row r="15098" spans="3:10" x14ac:dyDescent="0.2">
      <c r="C15098" s="209"/>
      <c r="D15098" s="209"/>
      <c r="E15098" s="209"/>
      <c r="J15098" s="124"/>
    </row>
    <row r="15099" spans="3:10" x14ac:dyDescent="0.2">
      <c r="C15099" s="209"/>
      <c r="D15099" s="209"/>
      <c r="E15099" s="209"/>
      <c r="J15099" s="124"/>
    </row>
    <row r="15100" spans="3:10" x14ac:dyDescent="0.2">
      <c r="C15100" s="209"/>
      <c r="D15100" s="209"/>
      <c r="E15100" s="209"/>
      <c r="J15100" s="124"/>
    </row>
    <row r="15101" spans="3:10" x14ac:dyDescent="0.2">
      <c r="C15101" s="209"/>
      <c r="D15101" s="209"/>
      <c r="E15101" s="209"/>
      <c r="J15101" s="124"/>
    </row>
    <row r="15102" spans="3:10" x14ac:dyDescent="0.2">
      <c r="C15102" s="209"/>
      <c r="D15102" s="209"/>
      <c r="E15102" s="209"/>
      <c r="J15102" s="124"/>
    </row>
    <row r="15103" spans="3:10" x14ac:dyDescent="0.2">
      <c r="C15103" s="209"/>
      <c r="D15103" s="209"/>
      <c r="E15103" s="209"/>
      <c r="J15103" s="124"/>
    </row>
    <row r="15104" spans="3:10" x14ac:dyDescent="0.2">
      <c r="C15104" s="209"/>
      <c r="D15104" s="209"/>
      <c r="E15104" s="209"/>
      <c r="J15104" s="124"/>
    </row>
    <row r="15105" spans="3:10" x14ac:dyDescent="0.2">
      <c r="C15105" s="209"/>
      <c r="D15105" s="209"/>
      <c r="E15105" s="209"/>
      <c r="J15105" s="124"/>
    </row>
    <row r="15106" spans="3:10" x14ac:dyDescent="0.2">
      <c r="C15106" s="209"/>
      <c r="D15106" s="209"/>
      <c r="E15106" s="209"/>
      <c r="J15106" s="124"/>
    </row>
    <row r="15107" spans="3:10" x14ac:dyDescent="0.2">
      <c r="C15107" s="209"/>
      <c r="D15107" s="209"/>
      <c r="E15107" s="209"/>
      <c r="J15107" s="124"/>
    </row>
    <row r="15108" spans="3:10" x14ac:dyDescent="0.2">
      <c r="C15108" s="209"/>
      <c r="D15108" s="209"/>
      <c r="E15108" s="209"/>
      <c r="J15108" s="124"/>
    </row>
    <row r="15109" spans="3:10" x14ac:dyDescent="0.2">
      <c r="C15109" s="209"/>
      <c r="D15109" s="209"/>
      <c r="E15109" s="209"/>
      <c r="J15109" s="124"/>
    </row>
    <row r="15110" spans="3:10" x14ac:dyDescent="0.2">
      <c r="C15110" s="209"/>
      <c r="D15110" s="209"/>
      <c r="E15110" s="209"/>
      <c r="J15110" s="124"/>
    </row>
    <row r="15111" spans="3:10" x14ac:dyDescent="0.2">
      <c r="C15111" s="209"/>
      <c r="D15111" s="209"/>
      <c r="E15111" s="209"/>
      <c r="J15111" s="124"/>
    </row>
    <row r="15112" spans="3:10" x14ac:dyDescent="0.2">
      <c r="C15112" s="209"/>
      <c r="D15112" s="209"/>
      <c r="E15112" s="209"/>
      <c r="J15112" s="124"/>
    </row>
    <row r="15113" spans="3:10" x14ac:dyDescent="0.2">
      <c r="C15113" s="209"/>
      <c r="D15113" s="209"/>
      <c r="E15113" s="209"/>
      <c r="J15113" s="124"/>
    </row>
    <row r="15114" spans="3:10" x14ac:dyDescent="0.2">
      <c r="C15114" s="209"/>
      <c r="D15114" s="209"/>
      <c r="E15114" s="209"/>
      <c r="J15114" s="124"/>
    </row>
    <row r="15115" spans="3:10" x14ac:dyDescent="0.2">
      <c r="C15115" s="209"/>
      <c r="D15115" s="209"/>
      <c r="E15115" s="209"/>
      <c r="J15115" s="124"/>
    </row>
    <row r="15116" spans="3:10" x14ac:dyDescent="0.2">
      <c r="C15116" s="209"/>
      <c r="D15116" s="209"/>
      <c r="E15116" s="209"/>
      <c r="J15116" s="124"/>
    </row>
    <row r="15117" spans="3:10" x14ac:dyDescent="0.2">
      <c r="C15117" s="209"/>
      <c r="D15117" s="209"/>
      <c r="E15117" s="209"/>
      <c r="J15117" s="124"/>
    </row>
    <row r="15118" spans="3:10" x14ac:dyDescent="0.2">
      <c r="C15118" s="209"/>
      <c r="D15118" s="209"/>
      <c r="E15118" s="209"/>
      <c r="J15118" s="124"/>
    </row>
    <row r="15119" spans="3:10" x14ac:dyDescent="0.2">
      <c r="C15119" s="209"/>
      <c r="D15119" s="209"/>
      <c r="E15119" s="209"/>
      <c r="J15119" s="124"/>
    </row>
    <row r="15120" spans="3:10" x14ac:dyDescent="0.2">
      <c r="C15120" s="209"/>
      <c r="D15120" s="209"/>
      <c r="E15120" s="209"/>
      <c r="J15120" s="124"/>
    </row>
    <row r="15121" spans="3:10" x14ac:dyDescent="0.2">
      <c r="C15121" s="209"/>
      <c r="D15121" s="209"/>
      <c r="E15121" s="209"/>
      <c r="J15121" s="124"/>
    </row>
    <row r="15122" spans="3:10" x14ac:dyDescent="0.2">
      <c r="C15122" s="209"/>
      <c r="D15122" s="209"/>
      <c r="E15122" s="209"/>
      <c r="J15122" s="124"/>
    </row>
    <row r="15123" spans="3:10" x14ac:dyDescent="0.2">
      <c r="C15123" s="209"/>
      <c r="D15123" s="209"/>
      <c r="E15123" s="209"/>
      <c r="J15123" s="124"/>
    </row>
    <row r="15124" spans="3:10" x14ac:dyDescent="0.2">
      <c r="C15124" s="209"/>
      <c r="D15124" s="209"/>
      <c r="E15124" s="209"/>
      <c r="J15124" s="124"/>
    </row>
    <row r="15125" spans="3:10" x14ac:dyDescent="0.2">
      <c r="C15125" s="209"/>
      <c r="D15125" s="209"/>
      <c r="E15125" s="209"/>
      <c r="J15125" s="124"/>
    </row>
    <row r="15126" spans="3:10" x14ac:dyDescent="0.2">
      <c r="C15126" s="209"/>
      <c r="D15126" s="209"/>
      <c r="E15126" s="209"/>
      <c r="J15126" s="124"/>
    </row>
    <row r="15127" spans="3:10" x14ac:dyDescent="0.2">
      <c r="C15127" s="209"/>
      <c r="D15127" s="209"/>
      <c r="E15127" s="209"/>
      <c r="J15127" s="124"/>
    </row>
    <row r="15128" spans="3:10" x14ac:dyDescent="0.2">
      <c r="C15128" s="209"/>
      <c r="D15128" s="209"/>
      <c r="E15128" s="209"/>
      <c r="J15128" s="124"/>
    </row>
    <row r="15129" spans="3:10" x14ac:dyDescent="0.2">
      <c r="C15129" s="209"/>
      <c r="D15129" s="209"/>
      <c r="E15129" s="209"/>
      <c r="J15129" s="124"/>
    </row>
    <row r="15130" spans="3:10" x14ac:dyDescent="0.2">
      <c r="C15130" s="209"/>
      <c r="D15130" s="209"/>
      <c r="E15130" s="209"/>
      <c r="J15130" s="124"/>
    </row>
    <row r="15131" spans="3:10" x14ac:dyDescent="0.2">
      <c r="C15131" s="209"/>
      <c r="D15131" s="209"/>
      <c r="E15131" s="209"/>
      <c r="J15131" s="124"/>
    </row>
    <row r="15132" spans="3:10" x14ac:dyDescent="0.2">
      <c r="C15132" s="209"/>
      <c r="D15132" s="209"/>
      <c r="E15132" s="209"/>
      <c r="J15132" s="124"/>
    </row>
    <row r="15133" spans="3:10" x14ac:dyDescent="0.2">
      <c r="C15133" s="209"/>
      <c r="D15133" s="209"/>
      <c r="E15133" s="209"/>
      <c r="J15133" s="124"/>
    </row>
    <row r="15134" spans="3:10" x14ac:dyDescent="0.2">
      <c r="C15134" s="209"/>
      <c r="D15134" s="209"/>
      <c r="E15134" s="209"/>
      <c r="J15134" s="124"/>
    </row>
    <row r="15135" spans="3:10" x14ac:dyDescent="0.2">
      <c r="C15135" s="209"/>
      <c r="D15135" s="209"/>
      <c r="E15135" s="209"/>
      <c r="J15135" s="124"/>
    </row>
    <row r="15136" spans="3:10" x14ac:dyDescent="0.2">
      <c r="C15136" s="209"/>
      <c r="D15136" s="209"/>
      <c r="E15136" s="209"/>
      <c r="J15136" s="124"/>
    </row>
    <row r="15137" spans="3:10" x14ac:dyDescent="0.2">
      <c r="C15137" s="209"/>
      <c r="D15137" s="209"/>
      <c r="E15137" s="209"/>
      <c r="J15137" s="124"/>
    </row>
    <row r="15138" spans="3:10" x14ac:dyDescent="0.2">
      <c r="C15138" s="209"/>
      <c r="D15138" s="209"/>
      <c r="E15138" s="209"/>
      <c r="J15138" s="124"/>
    </row>
    <row r="15139" spans="3:10" x14ac:dyDescent="0.2">
      <c r="C15139" s="209"/>
      <c r="D15139" s="209"/>
      <c r="E15139" s="209"/>
      <c r="J15139" s="124"/>
    </row>
    <row r="15140" spans="3:10" x14ac:dyDescent="0.2">
      <c r="C15140" s="209"/>
      <c r="D15140" s="209"/>
      <c r="E15140" s="209"/>
      <c r="J15140" s="124"/>
    </row>
    <row r="15141" spans="3:10" x14ac:dyDescent="0.2">
      <c r="C15141" s="209"/>
      <c r="D15141" s="209"/>
      <c r="E15141" s="209"/>
      <c r="J15141" s="124"/>
    </row>
    <row r="15142" spans="3:10" x14ac:dyDescent="0.2">
      <c r="C15142" s="209"/>
      <c r="D15142" s="209"/>
      <c r="E15142" s="209"/>
      <c r="J15142" s="124"/>
    </row>
    <row r="15143" spans="3:10" x14ac:dyDescent="0.2">
      <c r="C15143" s="209"/>
      <c r="D15143" s="209"/>
      <c r="E15143" s="209"/>
      <c r="J15143" s="124"/>
    </row>
    <row r="15144" spans="3:10" x14ac:dyDescent="0.2">
      <c r="C15144" s="209"/>
      <c r="D15144" s="209"/>
      <c r="E15144" s="209"/>
      <c r="J15144" s="124"/>
    </row>
    <row r="15145" spans="3:10" x14ac:dyDescent="0.2">
      <c r="C15145" s="209"/>
      <c r="D15145" s="209"/>
      <c r="E15145" s="209"/>
      <c r="J15145" s="124"/>
    </row>
    <row r="15146" spans="3:10" x14ac:dyDescent="0.2">
      <c r="C15146" s="209"/>
      <c r="D15146" s="209"/>
      <c r="E15146" s="209"/>
      <c r="J15146" s="124"/>
    </row>
    <row r="15147" spans="3:10" x14ac:dyDescent="0.2">
      <c r="C15147" s="209"/>
      <c r="D15147" s="209"/>
      <c r="E15147" s="209"/>
      <c r="J15147" s="124"/>
    </row>
    <row r="15148" spans="3:10" x14ac:dyDescent="0.2">
      <c r="C15148" s="209"/>
      <c r="D15148" s="209"/>
      <c r="E15148" s="209"/>
      <c r="J15148" s="124"/>
    </row>
    <row r="15149" spans="3:10" x14ac:dyDescent="0.2">
      <c r="C15149" s="209"/>
      <c r="D15149" s="209"/>
      <c r="E15149" s="209"/>
      <c r="J15149" s="124"/>
    </row>
    <row r="15150" spans="3:10" x14ac:dyDescent="0.2">
      <c r="C15150" s="209"/>
      <c r="D15150" s="209"/>
      <c r="E15150" s="209"/>
      <c r="J15150" s="124"/>
    </row>
    <row r="15151" spans="3:10" x14ac:dyDescent="0.2">
      <c r="C15151" s="209"/>
      <c r="D15151" s="209"/>
      <c r="E15151" s="209"/>
      <c r="J15151" s="124"/>
    </row>
    <row r="15152" spans="3:10" x14ac:dyDescent="0.2">
      <c r="C15152" s="209"/>
      <c r="D15152" s="209"/>
      <c r="E15152" s="209"/>
      <c r="J15152" s="124"/>
    </row>
    <row r="15153" spans="3:10" x14ac:dyDescent="0.2">
      <c r="C15153" s="209"/>
      <c r="D15153" s="209"/>
      <c r="E15153" s="209"/>
      <c r="J15153" s="124"/>
    </row>
    <row r="15154" spans="3:10" x14ac:dyDescent="0.2">
      <c r="C15154" s="209"/>
      <c r="D15154" s="209"/>
      <c r="E15154" s="209"/>
      <c r="J15154" s="124"/>
    </row>
    <row r="15155" spans="3:10" x14ac:dyDescent="0.2">
      <c r="C15155" s="209"/>
      <c r="D15155" s="209"/>
      <c r="E15155" s="209"/>
      <c r="J15155" s="124"/>
    </row>
    <row r="15156" spans="3:10" x14ac:dyDescent="0.2">
      <c r="C15156" s="209"/>
      <c r="D15156" s="209"/>
      <c r="E15156" s="209"/>
      <c r="J15156" s="124"/>
    </row>
    <row r="15157" spans="3:10" x14ac:dyDescent="0.2">
      <c r="C15157" s="209"/>
      <c r="D15157" s="209"/>
      <c r="E15157" s="209"/>
      <c r="J15157" s="124"/>
    </row>
    <row r="15158" spans="3:10" x14ac:dyDescent="0.2">
      <c r="C15158" s="209"/>
      <c r="D15158" s="209"/>
      <c r="E15158" s="209"/>
      <c r="J15158" s="124"/>
    </row>
    <row r="15159" spans="3:10" x14ac:dyDescent="0.2">
      <c r="C15159" s="209"/>
      <c r="D15159" s="209"/>
      <c r="E15159" s="209"/>
      <c r="J15159" s="124"/>
    </row>
    <row r="15160" spans="3:10" x14ac:dyDescent="0.2">
      <c r="C15160" s="209"/>
      <c r="D15160" s="209"/>
      <c r="E15160" s="209"/>
      <c r="J15160" s="124"/>
    </row>
    <row r="15161" spans="3:10" x14ac:dyDescent="0.2">
      <c r="C15161" s="209"/>
      <c r="D15161" s="209"/>
      <c r="E15161" s="209"/>
      <c r="J15161" s="124"/>
    </row>
    <row r="15162" spans="3:10" x14ac:dyDescent="0.2">
      <c r="C15162" s="209"/>
      <c r="D15162" s="209"/>
      <c r="E15162" s="209"/>
      <c r="J15162" s="124"/>
    </row>
    <row r="15163" spans="3:10" x14ac:dyDescent="0.2">
      <c r="C15163" s="209"/>
      <c r="D15163" s="209"/>
      <c r="E15163" s="209"/>
      <c r="J15163" s="124"/>
    </row>
    <row r="15164" spans="3:10" x14ac:dyDescent="0.2">
      <c r="C15164" s="209"/>
      <c r="D15164" s="209"/>
      <c r="E15164" s="209"/>
      <c r="J15164" s="124"/>
    </row>
    <row r="15165" spans="3:10" x14ac:dyDescent="0.2">
      <c r="C15165" s="209"/>
      <c r="D15165" s="209"/>
      <c r="E15165" s="209"/>
      <c r="J15165" s="124"/>
    </row>
    <row r="15166" spans="3:10" x14ac:dyDescent="0.2">
      <c r="C15166" s="209"/>
      <c r="D15166" s="209"/>
      <c r="E15166" s="209"/>
      <c r="J15166" s="124"/>
    </row>
    <row r="15167" spans="3:10" x14ac:dyDescent="0.2">
      <c r="C15167" s="209"/>
      <c r="D15167" s="209"/>
      <c r="E15167" s="209"/>
      <c r="J15167" s="124"/>
    </row>
    <row r="15168" spans="3:10" x14ac:dyDescent="0.2">
      <c r="C15168" s="209"/>
      <c r="D15168" s="209"/>
      <c r="E15168" s="209"/>
      <c r="J15168" s="124"/>
    </row>
    <row r="15169" spans="3:10" x14ac:dyDescent="0.2">
      <c r="C15169" s="209"/>
      <c r="D15169" s="209"/>
      <c r="E15169" s="209"/>
      <c r="J15169" s="124"/>
    </row>
    <row r="15170" spans="3:10" x14ac:dyDescent="0.2">
      <c r="C15170" s="209"/>
      <c r="D15170" s="209"/>
      <c r="E15170" s="209"/>
      <c r="J15170" s="124"/>
    </row>
    <row r="15171" spans="3:10" x14ac:dyDescent="0.2">
      <c r="C15171" s="209"/>
      <c r="D15171" s="209"/>
      <c r="E15171" s="209"/>
      <c r="J15171" s="124"/>
    </row>
    <row r="15172" spans="3:10" x14ac:dyDescent="0.2">
      <c r="C15172" s="209"/>
      <c r="D15172" s="209"/>
      <c r="E15172" s="209"/>
      <c r="J15172" s="124"/>
    </row>
    <row r="15173" spans="3:10" x14ac:dyDescent="0.2">
      <c r="C15173" s="209"/>
      <c r="D15173" s="209"/>
      <c r="E15173" s="209"/>
      <c r="J15173" s="124"/>
    </row>
    <row r="15174" spans="3:10" x14ac:dyDescent="0.2">
      <c r="C15174" s="209"/>
      <c r="D15174" s="209"/>
      <c r="E15174" s="209"/>
      <c r="J15174" s="124"/>
    </row>
    <row r="15175" spans="3:10" x14ac:dyDescent="0.2">
      <c r="C15175" s="209"/>
      <c r="D15175" s="209"/>
      <c r="E15175" s="209"/>
      <c r="J15175" s="124"/>
    </row>
    <row r="15176" spans="3:10" x14ac:dyDescent="0.2">
      <c r="C15176" s="209"/>
      <c r="D15176" s="209"/>
      <c r="E15176" s="209"/>
      <c r="J15176" s="124"/>
    </row>
    <row r="15177" spans="3:10" x14ac:dyDescent="0.2">
      <c r="C15177" s="209"/>
      <c r="D15177" s="209"/>
      <c r="E15177" s="209"/>
      <c r="J15177" s="124"/>
    </row>
    <row r="15178" spans="3:10" x14ac:dyDescent="0.2">
      <c r="C15178" s="209"/>
      <c r="D15178" s="209"/>
      <c r="E15178" s="209"/>
      <c r="J15178" s="124"/>
    </row>
    <row r="15179" spans="3:10" x14ac:dyDescent="0.2">
      <c r="C15179" s="209"/>
      <c r="D15179" s="209"/>
      <c r="E15179" s="209"/>
      <c r="J15179" s="124"/>
    </row>
    <row r="15180" spans="3:10" x14ac:dyDescent="0.2">
      <c r="C15180" s="209"/>
      <c r="D15180" s="209"/>
      <c r="E15180" s="209"/>
      <c r="J15180" s="124"/>
    </row>
    <row r="15181" spans="3:10" x14ac:dyDescent="0.2">
      <c r="C15181" s="209"/>
      <c r="D15181" s="209"/>
      <c r="E15181" s="209"/>
      <c r="J15181" s="124"/>
    </row>
    <row r="15182" spans="3:10" x14ac:dyDescent="0.2">
      <c r="C15182" s="209"/>
      <c r="D15182" s="209"/>
      <c r="E15182" s="209"/>
      <c r="J15182" s="124"/>
    </row>
    <row r="15183" spans="3:10" x14ac:dyDescent="0.2">
      <c r="C15183" s="209"/>
      <c r="D15183" s="209"/>
      <c r="E15183" s="209"/>
      <c r="J15183" s="124"/>
    </row>
    <row r="15184" spans="3:10" x14ac:dyDescent="0.2">
      <c r="C15184" s="209"/>
      <c r="D15184" s="209"/>
      <c r="E15184" s="209"/>
      <c r="J15184" s="124"/>
    </row>
    <row r="15185" spans="3:10" x14ac:dyDescent="0.2">
      <c r="C15185" s="209"/>
      <c r="D15185" s="209"/>
      <c r="E15185" s="209"/>
      <c r="J15185" s="124"/>
    </row>
    <row r="15186" spans="3:10" x14ac:dyDescent="0.2">
      <c r="C15186" s="209"/>
      <c r="D15186" s="209"/>
      <c r="E15186" s="209"/>
      <c r="J15186" s="124"/>
    </row>
    <row r="15187" spans="3:10" x14ac:dyDescent="0.2">
      <c r="C15187" s="209"/>
      <c r="D15187" s="209"/>
      <c r="E15187" s="209"/>
      <c r="J15187" s="124"/>
    </row>
    <row r="15188" spans="3:10" x14ac:dyDescent="0.2">
      <c r="C15188" s="209"/>
      <c r="D15188" s="209"/>
      <c r="E15188" s="209"/>
      <c r="J15188" s="124"/>
    </row>
    <row r="15189" spans="3:10" x14ac:dyDescent="0.2">
      <c r="C15189" s="209"/>
      <c r="D15189" s="209"/>
      <c r="E15189" s="209"/>
      <c r="J15189" s="124"/>
    </row>
    <row r="15190" spans="3:10" x14ac:dyDescent="0.2">
      <c r="C15190" s="209"/>
      <c r="D15190" s="209"/>
      <c r="E15190" s="209"/>
      <c r="J15190" s="124"/>
    </row>
    <row r="15191" spans="3:10" x14ac:dyDescent="0.2">
      <c r="C15191" s="209"/>
      <c r="D15191" s="209"/>
      <c r="E15191" s="209"/>
      <c r="J15191" s="124"/>
    </row>
    <row r="15192" spans="3:10" x14ac:dyDescent="0.2">
      <c r="C15192" s="209"/>
      <c r="D15192" s="209"/>
      <c r="E15192" s="209"/>
      <c r="J15192" s="124"/>
    </row>
    <row r="15193" spans="3:10" x14ac:dyDescent="0.2">
      <c r="C15193" s="209"/>
      <c r="D15193" s="209"/>
      <c r="E15193" s="209"/>
      <c r="J15193" s="124"/>
    </row>
    <row r="15194" spans="3:10" x14ac:dyDescent="0.2">
      <c r="C15194" s="209"/>
      <c r="D15194" s="209"/>
      <c r="E15194" s="209"/>
      <c r="J15194" s="124"/>
    </row>
    <row r="15195" spans="3:10" x14ac:dyDescent="0.2">
      <c r="C15195" s="209"/>
      <c r="D15195" s="209"/>
      <c r="E15195" s="209"/>
      <c r="J15195" s="124"/>
    </row>
    <row r="15196" spans="3:10" x14ac:dyDescent="0.2">
      <c r="C15196" s="209"/>
      <c r="D15196" s="209"/>
      <c r="E15196" s="209"/>
      <c r="J15196" s="124"/>
    </row>
    <row r="15197" spans="3:10" x14ac:dyDescent="0.2">
      <c r="C15197" s="209"/>
      <c r="D15197" s="209"/>
      <c r="E15197" s="209"/>
      <c r="J15197" s="124"/>
    </row>
    <row r="15198" spans="3:10" x14ac:dyDescent="0.2">
      <c r="C15198" s="209"/>
      <c r="D15198" s="209"/>
      <c r="E15198" s="209"/>
      <c r="J15198" s="124"/>
    </row>
    <row r="15199" spans="3:10" x14ac:dyDescent="0.2">
      <c r="C15199" s="209"/>
      <c r="D15199" s="209"/>
      <c r="E15199" s="209"/>
      <c r="J15199" s="124"/>
    </row>
    <row r="15200" spans="3:10" x14ac:dyDescent="0.2">
      <c r="C15200" s="209"/>
      <c r="D15200" s="209"/>
      <c r="E15200" s="209"/>
      <c r="J15200" s="124"/>
    </row>
    <row r="15201" spans="3:10" x14ac:dyDescent="0.2">
      <c r="C15201" s="209"/>
      <c r="D15201" s="209"/>
      <c r="E15201" s="209"/>
      <c r="J15201" s="124"/>
    </row>
    <row r="15202" spans="3:10" x14ac:dyDescent="0.2">
      <c r="C15202" s="209"/>
      <c r="D15202" s="209"/>
      <c r="E15202" s="209"/>
      <c r="J15202" s="124"/>
    </row>
    <row r="15203" spans="3:10" x14ac:dyDescent="0.2">
      <c r="C15203" s="209"/>
      <c r="D15203" s="209"/>
      <c r="E15203" s="209"/>
      <c r="J15203" s="124"/>
    </row>
    <row r="15204" spans="3:10" x14ac:dyDescent="0.2">
      <c r="C15204" s="209"/>
      <c r="D15204" s="209"/>
      <c r="E15204" s="209"/>
      <c r="J15204" s="124"/>
    </row>
    <row r="15205" spans="3:10" x14ac:dyDescent="0.2">
      <c r="C15205" s="209"/>
      <c r="D15205" s="209"/>
      <c r="E15205" s="209"/>
      <c r="J15205" s="124"/>
    </row>
    <row r="15206" spans="3:10" x14ac:dyDescent="0.2">
      <c r="C15206" s="209"/>
      <c r="D15206" s="209"/>
      <c r="E15206" s="209"/>
      <c r="J15206" s="124"/>
    </row>
    <row r="15207" spans="3:10" x14ac:dyDescent="0.2">
      <c r="C15207" s="209"/>
      <c r="D15207" s="209"/>
      <c r="E15207" s="209"/>
      <c r="J15207" s="124"/>
    </row>
    <row r="15208" spans="3:10" x14ac:dyDescent="0.2">
      <c r="C15208" s="209"/>
      <c r="D15208" s="209"/>
      <c r="E15208" s="209"/>
      <c r="J15208" s="124"/>
    </row>
    <row r="15209" spans="3:10" x14ac:dyDescent="0.2">
      <c r="C15209" s="209"/>
      <c r="D15209" s="209"/>
      <c r="E15209" s="209"/>
      <c r="J15209" s="124"/>
    </row>
    <row r="15210" spans="3:10" x14ac:dyDescent="0.2">
      <c r="C15210" s="209"/>
      <c r="D15210" s="209"/>
      <c r="E15210" s="209"/>
      <c r="J15210" s="124"/>
    </row>
    <row r="15211" spans="3:10" x14ac:dyDescent="0.2">
      <c r="C15211" s="209"/>
      <c r="D15211" s="209"/>
      <c r="E15211" s="209"/>
      <c r="J15211" s="124"/>
    </row>
    <row r="15212" spans="3:10" x14ac:dyDescent="0.2">
      <c r="C15212" s="209"/>
      <c r="D15212" s="209"/>
      <c r="E15212" s="209"/>
      <c r="J15212" s="124"/>
    </row>
    <row r="15213" spans="3:10" x14ac:dyDescent="0.2">
      <c r="C15213" s="209"/>
      <c r="D15213" s="209"/>
      <c r="E15213" s="209"/>
      <c r="J15213" s="124"/>
    </row>
    <row r="15214" spans="3:10" x14ac:dyDescent="0.2">
      <c r="C15214" s="209"/>
      <c r="D15214" s="209"/>
      <c r="E15214" s="209"/>
      <c r="J15214" s="124"/>
    </row>
    <row r="15215" spans="3:10" x14ac:dyDescent="0.2">
      <c r="C15215" s="209"/>
      <c r="D15215" s="209"/>
      <c r="E15215" s="209"/>
      <c r="J15215" s="124"/>
    </row>
    <row r="15216" spans="3:10" x14ac:dyDescent="0.2">
      <c r="C15216" s="209"/>
      <c r="D15216" s="209"/>
      <c r="E15216" s="209"/>
      <c r="J15216" s="124"/>
    </row>
    <row r="15217" spans="3:10" x14ac:dyDescent="0.2">
      <c r="C15217" s="209"/>
      <c r="D15217" s="209"/>
      <c r="E15217" s="209"/>
      <c r="J15217" s="124"/>
    </row>
    <row r="15218" spans="3:10" x14ac:dyDescent="0.2">
      <c r="C15218" s="209"/>
      <c r="D15218" s="209"/>
      <c r="E15218" s="209"/>
      <c r="J15218" s="124"/>
    </row>
    <row r="15219" spans="3:10" x14ac:dyDescent="0.2">
      <c r="C15219" s="209"/>
      <c r="D15219" s="209"/>
      <c r="E15219" s="209"/>
      <c r="J15219" s="124"/>
    </row>
    <row r="15220" spans="3:10" x14ac:dyDescent="0.2">
      <c r="C15220" s="209"/>
      <c r="D15220" s="209"/>
      <c r="E15220" s="209"/>
      <c r="J15220" s="124"/>
    </row>
    <row r="15221" spans="3:10" x14ac:dyDescent="0.2">
      <c r="C15221" s="209"/>
      <c r="D15221" s="209"/>
      <c r="E15221" s="209"/>
      <c r="J15221" s="124"/>
    </row>
    <row r="15222" spans="3:10" x14ac:dyDescent="0.2">
      <c r="C15222" s="209"/>
      <c r="D15222" s="209"/>
      <c r="E15222" s="209"/>
      <c r="J15222" s="124"/>
    </row>
    <row r="15223" spans="3:10" x14ac:dyDescent="0.2">
      <c r="C15223" s="209"/>
      <c r="D15223" s="209"/>
      <c r="E15223" s="209"/>
      <c r="J15223" s="124"/>
    </row>
    <row r="15224" spans="3:10" x14ac:dyDescent="0.2">
      <c r="C15224" s="209"/>
      <c r="D15224" s="209"/>
      <c r="E15224" s="209"/>
      <c r="J15224" s="124"/>
    </row>
    <row r="15225" spans="3:10" x14ac:dyDescent="0.2">
      <c r="C15225" s="209"/>
      <c r="D15225" s="209"/>
      <c r="E15225" s="209"/>
      <c r="J15225" s="124"/>
    </row>
    <row r="15226" spans="3:10" x14ac:dyDescent="0.2">
      <c r="C15226" s="209"/>
      <c r="D15226" s="209"/>
      <c r="E15226" s="209"/>
      <c r="J15226" s="124"/>
    </row>
    <row r="15227" spans="3:10" x14ac:dyDescent="0.2">
      <c r="C15227" s="209"/>
      <c r="D15227" s="209"/>
      <c r="E15227" s="209"/>
      <c r="J15227" s="124"/>
    </row>
    <row r="15228" spans="3:10" x14ac:dyDescent="0.2">
      <c r="C15228" s="209"/>
      <c r="D15228" s="209"/>
      <c r="E15228" s="209"/>
      <c r="J15228" s="124"/>
    </row>
    <row r="15229" spans="3:10" x14ac:dyDescent="0.2">
      <c r="C15229" s="209"/>
      <c r="D15229" s="209"/>
      <c r="E15229" s="209"/>
      <c r="J15229" s="124"/>
    </row>
    <row r="15230" spans="3:10" x14ac:dyDescent="0.2">
      <c r="C15230" s="209"/>
      <c r="D15230" s="209"/>
      <c r="E15230" s="209"/>
      <c r="J15230" s="124"/>
    </row>
    <row r="15231" spans="3:10" x14ac:dyDescent="0.2">
      <c r="C15231" s="209"/>
      <c r="D15231" s="209"/>
      <c r="E15231" s="209"/>
      <c r="J15231" s="124"/>
    </row>
    <row r="15232" spans="3:10" x14ac:dyDescent="0.2">
      <c r="C15232" s="209"/>
      <c r="D15232" s="209"/>
      <c r="E15232" s="209"/>
      <c r="J15232" s="124"/>
    </row>
    <row r="15233" spans="3:10" x14ac:dyDescent="0.2">
      <c r="C15233" s="209"/>
      <c r="D15233" s="209"/>
      <c r="E15233" s="209"/>
      <c r="J15233" s="124"/>
    </row>
    <row r="15234" spans="3:10" x14ac:dyDescent="0.2">
      <c r="C15234" s="209"/>
      <c r="D15234" s="209"/>
      <c r="E15234" s="209"/>
      <c r="J15234" s="124"/>
    </row>
    <row r="15235" spans="3:10" x14ac:dyDescent="0.2">
      <c r="C15235" s="209"/>
      <c r="D15235" s="209"/>
      <c r="E15235" s="209"/>
      <c r="J15235" s="124"/>
    </row>
    <row r="15236" spans="3:10" x14ac:dyDescent="0.2">
      <c r="C15236" s="209"/>
      <c r="D15236" s="209"/>
      <c r="E15236" s="209"/>
      <c r="J15236" s="124"/>
    </row>
    <row r="15237" spans="3:10" x14ac:dyDescent="0.2">
      <c r="C15237" s="209"/>
      <c r="D15237" s="209"/>
      <c r="E15237" s="209"/>
      <c r="J15237" s="124"/>
    </row>
    <row r="15238" spans="3:10" x14ac:dyDescent="0.2">
      <c r="C15238" s="209"/>
      <c r="D15238" s="209"/>
      <c r="E15238" s="209"/>
      <c r="J15238" s="124"/>
    </row>
    <row r="15239" spans="3:10" x14ac:dyDescent="0.2">
      <c r="C15239" s="209"/>
      <c r="D15239" s="209"/>
      <c r="E15239" s="209"/>
      <c r="J15239" s="124"/>
    </row>
    <row r="15240" spans="3:10" x14ac:dyDescent="0.2">
      <c r="C15240" s="209"/>
      <c r="D15240" s="209"/>
      <c r="E15240" s="209"/>
      <c r="J15240" s="124"/>
    </row>
    <row r="15241" spans="3:10" x14ac:dyDescent="0.2">
      <c r="C15241" s="209"/>
      <c r="D15241" s="209"/>
      <c r="E15241" s="209"/>
      <c r="J15241" s="124"/>
    </row>
    <row r="15242" spans="3:10" x14ac:dyDescent="0.2">
      <c r="C15242" s="209"/>
      <c r="D15242" s="209"/>
      <c r="E15242" s="209"/>
      <c r="J15242" s="124"/>
    </row>
    <row r="15243" spans="3:10" x14ac:dyDescent="0.2">
      <c r="C15243" s="209"/>
      <c r="D15243" s="209"/>
      <c r="E15243" s="209"/>
      <c r="J15243" s="124"/>
    </row>
    <row r="15244" spans="3:10" x14ac:dyDescent="0.2">
      <c r="C15244" s="209"/>
      <c r="D15244" s="209"/>
      <c r="E15244" s="209"/>
      <c r="J15244" s="124"/>
    </row>
    <row r="15245" spans="3:10" x14ac:dyDescent="0.2">
      <c r="C15245" s="209"/>
      <c r="D15245" s="209"/>
      <c r="E15245" s="209"/>
      <c r="J15245" s="124"/>
    </row>
    <row r="15246" spans="3:10" x14ac:dyDescent="0.2">
      <c r="C15246" s="209"/>
      <c r="D15246" s="209"/>
      <c r="E15246" s="209"/>
      <c r="J15246" s="124"/>
    </row>
    <row r="15247" spans="3:10" x14ac:dyDescent="0.2">
      <c r="C15247" s="209"/>
      <c r="D15247" s="209"/>
      <c r="E15247" s="209"/>
      <c r="J15247" s="124"/>
    </row>
    <row r="15248" spans="3:10" x14ac:dyDescent="0.2">
      <c r="C15248" s="209"/>
      <c r="D15248" s="209"/>
      <c r="E15248" s="209"/>
      <c r="J15248" s="124"/>
    </row>
    <row r="15249" spans="3:10" x14ac:dyDescent="0.2">
      <c r="C15249" s="209"/>
      <c r="D15249" s="209"/>
      <c r="E15249" s="209"/>
      <c r="J15249" s="124"/>
    </row>
    <row r="15250" spans="3:10" x14ac:dyDescent="0.2">
      <c r="C15250" s="209"/>
      <c r="D15250" s="209"/>
      <c r="E15250" s="209"/>
      <c r="J15250" s="124"/>
    </row>
    <row r="15251" spans="3:10" x14ac:dyDescent="0.2">
      <c r="C15251" s="209"/>
      <c r="D15251" s="209"/>
      <c r="E15251" s="209"/>
      <c r="J15251" s="124"/>
    </row>
    <row r="15252" spans="3:10" x14ac:dyDescent="0.2">
      <c r="C15252" s="209"/>
      <c r="D15252" s="209"/>
      <c r="E15252" s="209"/>
      <c r="J15252" s="124"/>
    </row>
    <row r="15253" spans="3:10" x14ac:dyDescent="0.2">
      <c r="C15253" s="209"/>
      <c r="D15253" s="209"/>
      <c r="E15253" s="209"/>
      <c r="J15253" s="124"/>
    </row>
    <row r="15254" spans="3:10" x14ac:dyDescent="0.2">
      <c r="C15254" s="209"/>
      <c r="D15254" s="209"/>
      <c r="E15254" s="209"/>
      <c r="J15254" s="124"/>
    </row>
    <row r="15255" spans="3:10" x14ac:dyDescent="0.2">
      <c r="C15255" s="209"/>
      <c r="D15255" s="209"/>
      <c r="E15255" s="209"/>
      <c r="J15255" s="124"/>
    </row>
    <row r="15256" spans="3:10" x14ac:dyDescent="0.2">
      <c r="C15256" s="209"/>
      <c r="D15256" s="209"/>
      <c r="E15256" s="209"/>
      <c r="J15256" s="124"/>
    </row>
    <row r="15257" spans="3:10" x14ac:dyDescent="0.2">
      <c r="C15257" s="209"/>
      <c r="D15257" s="209"/>
      <c r="E15257" s="209"/>
      <c r="J15257" s="124"/>
    </row>
    <row r="15258" spans="3:10" x14ac:dyDescent="0.2">
      <c r="C15258" s="209"/>
      <c r="D15258" s="209"/>
      <c r="E15258" s="209"/>
      <c r="J15258" s="124"/>
    </row>
    <row r="15259" spans="3:10" x14ac:dyDescent="0.2">
      <c r="C15259" s="209"/>
      <c r="D15259" s="209"/>
      <c r="E15259" s="209"/>
      <c r="J15259" s="124"/>
    </row>
    <row r="15260" spans="3:10" x14ac:dyDescent="0.2">
      <c r="C15260" s="209"/>
      <c r="D15260" s="209"/>
      <c r="E15260" s="209"/>
      <c r="J15260" s="124"/>
    </row>
    <row r="15261" spans="3:10" x14ac:dyDescent="0.2">
      <c r="C15261" s="209"/>
      <c r="D15261" s="209"/>
      <c r="E15261" s="209"/>
      <c r="J15261" s="124"/>
    </row>
    <row r="15262" spans="3:10" x14ac:dyDescent="0.2">
      <c r="C15262" s="209"/>
      <c r="D15262" s="209"/>
      <c r="E15262" s="209"/>
      <c r="J15262" s="124"/>
    </row>
    <row r="15263" spans="3:10" x14ac:dyDescent="0.2">
      <c r="C15263" s="209"/>
      <c r="D15263" s="209"/>
      <c r="E15263" s="209"/>
      <c r="J15263" s="124"/>
    </row>
    <row r="15264" spans="3:10" x14ac:dyDescent="0.2">
      <c r="C15264" s="209"/>
      <c r="D15264" s="209"/>
      <c r="E15264" s="209"/>
      <c r="J15264" s="124"/>
    </row>
    <row r="15265" spans="3:10" x14ac:dyDescent="0.2">
      <c r="C15265" s="209"/>
      <c r="D15265" s="209"/>
      <c r="E15265" s="209"/>
      <c r="J15265" s="124"/>
    </row>
    <row r="15266" spans="3:10" x14ac:dyDescent="0.2">
      <c r="C15266" s="209"/>
      <c r="D15266" s="209"/>
      <c r="E15266" s="209"/>
      <c r="J15266" s="124"/>
    </row>
    <row r="15267" spans="3:10" x14ac:dyDescent="0.2">
      <c r="C15267" s="209"/>
      <c r="D15267" s="209"/>
      <c r="E15267" s="209"/>
      <c r="J15267" s="124"/>
    </row>
    <row r="15268" spans="3:10" x14ac:dyDescent="0.2">
      <c r="C15268" s="209"/>
      <c r="D15268" s="209"/>
      <c r="E15268" s="209"/>
      <c r="J15268" s="124"/>
    </row>
    <row r="15269" spans="3:10" x14ac:dyDescent="0.2">
      <c r="C15269" s="209"/>
      <c r="D15269" s="209"/>
      <c r="E15269" s="209"/>
      <c r="J15269" s="124"/>
    </row>
    <row r="15270" spans="3:10" x14ac:dyDescent="0.2">
      <c r="C15270" s="209"/>
      <c r="D15270" s="209"/>
      <c r="E15270" s="209"/>
      <c r="J15270" s="124"/>
    </row>
    <row r="15271" spans="3:10" x14ac:dyDescent="0.2">
      <c r="C15271" s="209"/>
      <c r="D15271" s="209"/>
      <c r="E15271" s="209"/>
      <c r="J15271" s="124"/>
    </row>
    <row r="15272" spans="3:10" x14ac:dyDescent="0.2">
      <c r="C15272" s="209"/>
      <c r="D15272" s="209"/>
      <c r="E15272" s="209"/>
      <c r="J15272" s="124"/>
    </row>
    <row r="15273" spans="3:10" x14ac:dyDescent="0.2">
      <c r="C15273" s="209"/>
      <c r="D15273" s="209"/>
      <c r="E15273" s="209"/>
      <c r="J15273" s="124"/>
    </row>
    <row r="15274" spans="3:10" x14ac:dyDescent="0.2">
      <c r="C15274" s="209"/>
      <c r="D15274" s="209"/>
      <c r="E15274" s="209"/>
      <c r="J15274" s="124"/>
    </row>
    <row r="15275" spans="3:10" x14ac:dyDescent="0.2">
      <c r="C15275" s="209"/>
      <c r="D15275" s="209"/>
      <c r="E15275" s="209"/>
      <c r="J15275" s="124"/>
    </row>
    <row r="15276" spans="3:10" x14ac:dyDescent="0.2">
      <c r="C15276" s="209"/>
      <c r="D15276" s="209"/>
      <c r="E15276" s="209"/>
      <c r="J15276" s="124"/>
    </row>
    <row r="15277" spans="3:10" x14ac:dyDescent="0.2">
      <c r="C15277" s="209"/>
      <c r="D15277" s="209"/>
      <c r="E15277" s="209"/>
      <c r="J15277" s="124"/>
    </row>
    <row r="15278" spans="3:10" x14ac:dyDescent="0.2">
      <c r="C15278" s="209"/>
      <c r="D15278" s="209"/>
      <c r="E15278" s="209"/>
      <c r="J15278" s="124"/>
    </row>
    <row r="15279" spans="3:10" x14ac:dyDescent="0.2">
      <c r="C15279" s="209"/>
      <c r="D15279" s="209"/>
      <c r="E15279" s="209"/>
      <c r="J15279" s="124"/>
    </row>
    <row r="15280" spans="3:10" x14ac:dyDescent="0.2">
      <c r="C15280" s="209"/>
      <c r="D15280" s="209"/>
      <c r="E15280" s="209"/>
      <c r="J15280" s="124"/>
    </row>
    <row r="15281" spans="3:10" x14ac:dyDescent="0.2">
      <c r="C15281" s="209"/>
      <c r="D15281" s="209"/>
      <c r="E15281" s="209"/>
      <c r="J15281" s="124"/>
    </row>
    <row r="15282" spans="3:10" x14ac:dyDescent="0.2">
      <c r="C15282" s="209"/>
      <c r="D15282" s="209"/>
      <c r="E15282" s="209"/>
      <c r="J15282" s="124"/>
    </row>
    <row r="15283" spans="3:10" x14ac:dyDescent="0.2">
      <c r="C15283" s="209"/>
      <c r="D15283" s="209"/>
      <c r="E15283" s="209"/>
      <c r="J15283" s="124"/>
    </row>
    <row r="15284" spans="3:10" x14ac:dyDescent="0.2">
      <c r="C15284" s="209"/>
      <c r="D15284" s="209"/>
      <c r="E15284" s="209"/>
      <c r="J15284" s="124"/>
    </row>
    <row r="15285" spans="3:10" x14ac:dyDescent="0.2">
      <c r="C15285" s="209"/>
      <c r="D15285" s="209"/>
      <c r="E15285" s="209"/>
      <c r="J15285" s="124"/>
    </row>
    <row r="15286" spans="3:10" x14ac:dyDescent="0.2">
      <c r="C15286" s="209"/>
      <c r="D15286" s="209"/>
      <c r="E15286" s="209"/>
      <c r="J15286" s="124"/>
    </row>
    <row r="15287" spans="3:10" x14ac:dyDescent="0.2">
      <c r="C15287" s="209"/>
      <c r="D15287" s="209"/>
      <c r="E15287" s="209"/>
      <c r="J15287" s="124"/>
    </row>
    <row r="15288" spans="3:10" x14ac:dyDescent="0.2">
      <c r="C15288" s="209"/>
      <c r="D15288" s="209"/>
      <c r="E15288" s="209"/>
      <c r="J15288" s="124"/>
    </row>
    <row r="15289" spans="3:10" x14ac:dyDescent="0.2">
      <c r="C15289" s="209"/>
      <c r="D15289" s="209"/>
      <c r="E15289" s="209"/>
      <c r="J15289" s="124"/>
    </row>
    <row r="15290" spans="3:10" x14ac:dyDescent="0.2">
      <c r="C15290" s="209"/>
      <c r="D15290" s="209"/>
      <c r="E15290" s="209"/>
      <c r="J15290" s="124"/>
    </row>
    <row r="15291" spans="3:10" x14ac:dyDescent="0.2">
      <c r="C15291" s="209"/>
      <c r="D15291" s="209"/>
      <c r="E15291" s="209"/>
      <c r="J15291" s="124"/>
    </row>
    <row r="15292" spans="3:10" x14ac:dyDescent="0.2">
      <c r="C15292" s="209"/>
      <c r="D15292" s="209"/>
      <c r="E15292" s="209"/>
      <c r="J15292" s="124"/>
    </row>
    <row r="15293" spans="3:10" x14ac:dyDescent="0.2">
      <c r="C15293" s="209"/>
      <c r="D15293" s="209"/>
      <c r="E15293" s="209"/>
      <c r="J15293" s="124"/>
    </row>
    <row r="15294" spans="3:10" x14ac:dyDescent="0.2">
      <c r="C15294" s="209"/>
      <c r="D15294" s="209"/>
      <c r="E15294" s="209"/>
      <c r="J15294" s="124"/>
    </row>
    <row r="15295" spans="3:10" x14ac:dyDescent="0.2">
      <c r="C15295" s="209"/>
      <c r="D15295" s="209"/>
      <c r="E15295" s="209"/>
      <c r="J15295" s="124"/>
    </row>
    <row r="15296" spans="3:10" x14ac:dyDescent="0.2">
      <c r="C15296" s="209"/>
      <c r="D15296" s="209"/>
      <c r="E15296" s="209"/>
      <c r="J15296" s="124"/>
    </row>
    <row r="15297" spans="3:10" x14ac:dyDescent="0.2">
      <c r="C15297" s="209"/>
      <c r="D15297" s="209"/>
      <c r="E15297" s="209"/>
      <c r="J15297" s="124"/>
    </row>
    <row r="15298" spans="3:10" x14ac:dyDescent="0.2">
      <c r="C15298" s="209"/>
      <c r="D15298" s="209"/>
      <c r="E15298" s="209"/>
      <c r="J15298" s="124"/>
    </row>
    <row r="15299" spans="3:10" x14ac:dyDescent="0.2">
      <c r="C15299" s="209"/>
      <c r="D15299" s="209"/>
      <c r="E15299" s="209"/>
      <c r="J15299" s="124"/>
    </row>
    <row r="15300" spans="3:10" x14ac:dyDescent="0.2">
      <c r="C15300" s="209"/>
      <c r="D15300" s="209"/>
      <c r="E15300" s="209"/>
      <c r="J15300" s="124"/>
    </row>
    <row r="15301" spans="3:10" x14ac:dyDescent="0.2">
      <c r="C15301" s="209"/>
      <c r="D15301" s="209"/>
      <c r="E15301" s="209"/>
      <c r="J15301" s="124"/>
    </row>
    <row r="15302" spans="3:10" x14ac:dyDescent="0.2">
      <c r="C15302" s="209"/>
      <c r="D15302" s="209"/>
      <c r="E15302" s="209"/>
      <c r="J15302" s="124"/>
    </row>
    <row r="15303" spans="3:10" x14ac:dyDescent="0.2">
      <c r="C15303" s="209"/>
      <c r="D15303" s="209"/>
      <c r="E15303" s="209"/>
      <c r="J15303" s="124"/>
    </row>
    <row r="15304" spans="3:10" x14ac:dyDescent="0.2">
      <c r="C15304" s="209"/>
      <c r="D15304" s="209"/>
      <c r="E15304" s="209"/>
      <c r="J15304" s="124"/>
    </row>
    <row r="15305" spans="3:10" x14ac:dyDescent="0.2">
      <c r="C15305" s="209"/>
      <c r="D15305" s="209"/>
      <c r="E15305" s="209"/>
      <c r="J15305" s="124"/>
    </row>
    <row r="15306" spans="3:10" x14ac:dyDescent="0.2">
      <c r="C15306" s="209"/>
      <c r="D15306" s="209"/>
      <c r="E15306" s="209"/>
      <c r="J15306" s="124"/>
    </row>
    <row r="15307" spans="3:10" x14ac:dyDescent="0.2">
      <c r="C15307" s="209"/>
      <c r="D15307" s="209"/>
      <c r="E15307" s="209"/>
      <c r="J15307" s="124"/>
    </row>
    <row r="15308" spans="3:10" x14ac:dyDescent="0.2">
      <c r="C15308" s="209"/>
      <c r="D15308" s="209"/>
      <c r="E15308" s="209"/>
      <c r="J15308" s="124"/>
    </row>
    <row r="15309" spans="3:10" x14ac:dyDescent="0.2">
      <c r="C15309" s="209"/>
      <c r="D15309" s="209"/>
      <c r="E15309" s="209"/>
      <c r="J15309" s="124"/>
    </row>
    <row r="15310" spans="3:10" x14ac:dyDescent="0.2">
      <c r="C15310" s="209"/>
      <c r="D15310" s="209"/>
      <c r="E15310" s="209"/>
      <c r="J15310" s="124"/>
    </row>
    <row r="15311" spans="3:10" x14ac:dyDescent="0.2">
      <c r="C15311" s="209"/>
      <c r="D15311" s="209"/>
      <c r="E15311" s="209"/>
      <c r="J15311" s="124"/>
    </row>
    <row r="15312" spans="3:10" x14ac:dyDescent="0.2">
      <c r="C15312" s="209"/>
      <c r="D15312" s="209"/>
      <c r="E15312" s="209"/>
      <c r="J15312" s="124"/>
    </row>
    <row r="15313" spans="3:10" x14ac:dyDescent="0.2">
      <c r="C15313" s="209"/>
      <c r="D15313" s="209"/>
      <c r="E15313" s="209"/>
      <c r="J15313" s="124"/>
    </row>
    <row r="15314" spans="3:10" x14ac:dyDescent="0.2">
      <c r="C15314" s="209"/>
      <c r="D15314" s="209"/>
      <c r="E15314" s="209"/>
      <c r="J15314" s="124"/>
    </row>
    <row r="15315" spans="3:10" x14ac:dyDescent="0.2">
      <c r="C15315" s="209"/>
      <c r="D15315" s="209"/>
      <c r="E15315" s="209"/>
      <c r="J15315" s="124"/>
    </row>
    <row r="15316" spans="3:10" x14ac:dyDescent="0.2">
      <c r="C15316" s="209"/>
      <c r="D15316" s="209"/>
      <c r="E15316" s="209"/>
      <c r="J15316" s="124"/>
    </row>
    <row r="15317" spans="3:10" x14ac:dyDescent="0.2">
      <c r="C15317" s="209"/>
      <c r="D15317" s="209"/>
      <c r="E15317" s="209"/>
      <c r="J15317" s="124"/>
    </row>
    <row r="15318" spans="3:10" x14ac:dyDescent="0.2">
      <c r="C15318" s="209"/>
      <c r="D15318" s="209"/>
      <c r="E15318" s="209"/>
      <c r="J15318" s="124"/>
    </row>
    <row r="15319" spans="3:10" x14ac:dyDescent="0.2">
      <c r="C15319" s="209"/>
      <c r="D15319" s="209"/>
      <c r="E15319" s="209"/>
      <c r="J15319" s="124"/>
    </row>
    <row r="15320" spans="3:10" x14ac:dyDescent="0.2">
      <c r="C15320" s="209"/>
      <c r="D15320" s="209"/>
      <c r="E15320" s="209"/>
      <c r="J15320" s="124"/>
    </row>
    <row r="15321" spans="3:10" x14ac:dyDescent="0.2">
      <c r="C15321" s="209"/>
      <c r="D15321" s="209"/>
      <c r="E15321" s="209"/>
      <c r="J15321" s="124"/>
    </row>
    <row r="15322" spans="3:10" x14ac:dyDescent="0.2">
      <c r="C15322" s="209"/>
      <c r="D15322" s="209"/>
      <c r="E15322" s="209"/>
      <c r="J15322" s="124"/>
    </row>
    <row r="15323" spans="3:10" x14ac:dyDescent="0.2">
      <c r="C15323" s="209"/>
      <c r="D15323" s="209"/>
      <c r="E15323" s="209"/>
      <c r="J15323" s="124"/>
    </row>
    <row r="15324" spans="3:10" x14ac:dyDescent="0.2">
      <c r="C15324" s="209"/>
      <c r="D15324" s="209"/>
      <c r="E15324" s="209"/>
      <c r="J15324" s="124"/>
    </row>
    <row r="15325" spans="3:10" x14ac:dyDescent="0.2">
      <c r="C15325" s="209"/>
      <c r="D15325" s="209"/>
      <c r="E15325" s="209"/>
      <c r="J15325" s="124"/>
    </row>
    <row r="15326" spans="3:10" x14ac:dyDescent="0.2">
      <c r="C15326" s="209"/>
      <c r="D15326" s="209"/>
      <c r="E15326" s="209"/>
      <c r="J15326" s="124"/>
    </row>
    <row r="15327" spans="3:10" x14ac:dyDescent="0.2">
      <c r="C15327" s="209"/>
      <c r="D15327" s="209"/>
      <c r="E15327" s="209"/>
      <c r="J15327" s="124"/>
    </row>
    <row r="15328" spans="3:10" x14ac:dyDescent="0.2">
      <c r="C15328" s="209"/>
      <c r="D15328" s="209"/>
      <c r="E15328" s="209"/>
      <c r="J15328" s="124"/>
    </row>
    <row r="15329" spans="3:10" x14ac:dyDescent="0.2">
      <c r="C15329" s="209"/>
      <c r="D15329" s="209"/>
      <c r="E15329" s="209"/>
      <c r="J15329" s="124"/>
    </row>
    <row r="15330" spans="3:10" x14ac:dyDescent="0.2">
      <c r="C15330" s="209"/>
      <c r="D15330" s="209"/>
      <c r="E15330" s="209"/>
      <c r="J15330" s="124"/>
    </row>
    <row r="15331" spans="3:10" x14ac:dyDescent="0.2">
      <c r="C15331" s="209"/>
      <c r="D15331" s="209"/>
      <c r="E15331" s="209"/>
      <c r="J15331" s="124"/>
    </row>
    <row r="15332" spans="3:10" x14ac:dyDescent="0.2">
      <c r="C15332" s="209"/>
      <c r="D15332" s="209"/>
      <c r="E15332" s="209"/>
      <c r="J15332" s="124"/>
    </row>
    <row r="15333" spans="3:10" x14ac:dyDescent="0.2">
      <c r="C15333" s="209"/>
      <c r="D15333" s="209"/>
      <c r="E15333" s="209"/>
      <c r="J15333" s="124"/>
    </row>
    <row r="15334" spans="3:10" x14ac:dyDescent="0.2">
      <c r="C15334" s="209"/>
      <c r="D15334" s="209"/>
      <c r="E15334" s="209"/>
      <c r="J15334" s="124"/>
    </row>
    <row r="15335" spans="3:10" x14ac:dyDescent="0.2">
      <c r="C15335" s="209"/>
      <c r="D15335" s="209"/>
      <c r="E15335" s="209"/>
      <c r="J15335" s="124"/>
    </row>
    <row r="15336" spans="3:10" x14ac:dyDescent="0.2">
      <c r="C15336" s="209"/>
      <c r="D15336" s="209"/>
      <c r="E15336" s="209"/>
      <c r="J15336" s="124"/>
    </row>
    <row r="15337" spans="3:10" x14ac:dyDescent="0.2">
      <c r="C15337" s="209"/>
      <c r="D15337" s="209"/>
      <c r="E15337" s="209"/>
      <c r="J15337" s="124"/>
    </row>
    <row r="15338" spans="3:10" x14ac:dyDescent="0.2">
      <c r="C15338" s="209"/>
      <c r="D15338" s="209"/>
      <c r="E15338" s="209"/>
      <c r="J15338" s="124"/>
    </row>
    <row r="15339" spans="3:10" x14ac:dyDescent="0.2">
      <c r="C15339" s="209"/>
      <c r="D15339" s="209"/>
      <c r="E15339" s="209"/>
      <c r="J15339" s="124"/>
    </row>
    <row r="15340" spans="3:10" x14ac:dyDescent="0.2">
      <c r="C15340" s="209"/>
      <c r="D15340" s="209"/>
      <c r="E15340" s="209"/>
      <c r="J15340" s="124"/>
    </row>
    <row r="15341" spans="3:10" x14ac:dyDescent="0.2">
      <c r="C15341" s="209"/>
      <c r="D15341" s="209"/>
      <c r="E15341" s="209"/>
      <c r="J15341" s="124"/>
    </row>
    <row r="15342" spans="3:10" x14ac:dyDescent="0.2">
      <c r="C15342" s="209"/>
      <c r="D15342" s="209"/>
      <c r="E15342" s="209"/>
      <c r="J15342" s="124"/>
    </row>
    <row r="15343" spans="3:10" x14ac:dyDescent="0.2">
      <c r="C15343" s="209"/>
      <c r="D15343" s="209"/>
      <c r="E15343" s="209"/>
      <c r="J15343" s="124"/>
    </row>
    <row r="15344" spans="3:10" x14ac:dyDescent="0.2">
      <c r="C15344" s="209"/>
      <c r="D15344" s="209"/>
      <c r="E15344" s="209"/>
      <c r="J15344" s="124"/>
    </row>
    <row r="15345" spans="3:10" x14ac:dyDescent="0.2">
      <c r="C15345" s="209"/>
      <c r="D15345" s="209"/>
      <c r="E15345" s="209"/>
      <c r="J15345" s="124"/>
    </row>
    <row r="15346" spans="3:10" x14ac:dyDescent="0.2">
      <c r="C15346" s="209"/>
      <c r="D15346" s="209"/>
      <c r="E15346" s="209"/>
      <c r="J15346" s="124"/>
    </row>
    <row r="15347" spans="3:10" x14ac:dyDescent="0.2">
      <c r="C15347" s="209"/>
      <c r="D15347" s="209"/>
      <c r="E15347" s="209"/>
      <c r="J15347" s="124"/>
    </row>
    <row r="15348" spans="3:10" x14ac:dyDescent="0.2">
      <c r="C15348" s="209"/>
      <c r="D15348" s="209"/>
      <c r="E15348" s="209"/>
      <c r="J15348" s="124"/>
    </row>
    <row r="15349" spans="3:10" x14ac:dyDescent="0.2">
      <c r="C15349" s="209"/>
      <c r="D15349" s="209"/>
      <c r="E15349" s="209"/>
      <c r="J15349" s="124"/>
    </row>
    <row r="15350" spans="3:10" x14ac:dyDescent="0.2">
      <c r="C15350" s="209"/>
      <c r="D15350" s="209"/>
      <c r="E15350" s="209"/>
      <c r="J15350" s="124"/>
    </row>
    <row r="15351" spans="3:10" x14ac:dyDescent="0.2">
      <c r="C15351" s="209"/>
      <c r="D15351" s="209"/>
      <c r="E15351" s="209"/>
      <c r="J15351" s="124"/>
    </row>
    <row r="15352" spans="3:10" x14ac:dyDescent="0.2">
      <c r="C15352" s="209"/>
      <c r="D15352" s="209"/>
      <c r="E15352" s="209"/>
      <c r="J15352" s="124"/>
    </row>
    <row r="15353" spans="3:10" x14ac:dyDescent="0.2">
      <c r="C15353" s="209"/>
      <c r="D15353" s="209"/>
      <c r="E15353" s="209"/>
      <c r="J15353" s="124"/>
    </row>
    <row r="15354" spans="3:10" x14ac:dyDescent="0.2">
      <c r="C15354" s="209"/>
      <c r="D15354" s="209"/>
      <c r="E15354" s="209"/>
      <c r="J15354" s="124"/>
    </row>
    <row r="15355" spans="3:10" x14ac:dyDescent="0.2">
      <c r="C15355" s="209"/>
      <c r="D15355" s="209"/>
      <c r="E15355" s="209"/>
      <c r="J15355" s="124"/>
    </row>
    <row r="15356" spans="3:10" x14ac:dyDescent="0.2">
      <c r="C15356" s="209"/>
      <c r="D15356" s="209"/>
      <c r="E15356" s="209"/>
      <c r="J15356" s="124"/>
    </row>
    <row r="15357" spans="3:10" x14ac:dyDescent="0.2">
      <c r="C15357" s="209"/>
      <c r="D15357" s="209"/>
      <c r="E15357" s="209"/>
      <c r="J15357" s="124"/>
    </row>
    <row r="15358" spans="3:10" x14ac:dyDescent="0.2">
      <c r="C15358" s="209"/>
      <c r="D15358" s="209"/>
      <c r="E15358" s="209"/>
      <c r="J15358" s="124"/>
    </row>
    <row r="15359" spans="3:10" x14ac:dyDescent="0.2">
      <c r="C15359" s="209"/>
      <c r="D15359" s="209"/>
      <c r="E15359" s="209"/>
      <c r="J15359" s="124"/>
    </row>
    <row r="15360" spans="3:10" x14ac:dyDescent="0.2">
      <c r="C15360" s="209"/>
      <c r="D15360" s="209"/>
      <c r="E15360" s="209"/>
      <c r="J15360" s="124"/>
    </row>
    <row r="15361" spans="3:10" x14ac:dyDescent="0.2">
      <c r="C15361" s="209"/>
      <c r="D15361" s="209"/>
      <c r="E15361" s="209"/>
      <c r="J15361" s="124"/>
    </row>
    <row r="15362" spans="3:10" x14ac:dyDescent="0.2">
      <c r="C15362" s="209"/>
      <c r="D15362" s="209"/>
      <c r="E15362" s="209"/>
      <c r="J15362" s="124"/>
    </row>
    <row r="15363" spans="3:10" x14ac:dyDescent="0.2">
      <c r="C15363" s="209"/>
      <c r="D15363" s="209"/>
      <c r="E15363" s="209"/>
      <c r="J15363" s="124"/>
    </row>
    <row r="15364" spans="3:10" x14ac:dyDescent="0.2">
      <c r="C15364" s="209"/>
      <c r="D15364" s="209"/>
      <c r="E15364" s="209"/>
      <c r="J15364" s="124"/>
    </row>
    <row r="15365" spans="3:10" x14ac:dyDescent="0.2">
      <c r="C15365" s="209"/>
      <c r="D15365" s="209"/>
      <c r="E15365" s="209"/>
      <c r="J15365" s="124"/>
    </row>
    <row r="15366" spans="3:10" x14ac:dyDescent="0.2">
      <c r="C15366" s="209"/>
      <c r="D15366" s="209"/>
      <c r="E15366" s="209"/>
      <c r="J15366" s="124"/>
    </row>
    <row r="15367" spans="3:10" x14ac:dyDescent="0.2">
      <c r="C15367" s="209"/>
      <c r="D15367" s="209"/>
      <c r="E15367" s="209"/>
      <c r="J15367" s="124"/>
    </row>
    <row r="15368" spans="3:10" x14ac:dyDescent="0.2">
      <c r="C15368" s="209"/>
      <c r="D15368" s="209"/>
      <c r="E15368" s="209"/>
      <c r="J15368" s="124"/>
    </row>
    <row r="15369" spans="3:10" x14ac:dyDescent="0.2">
      <c r="C15369" s="209"/>
      <c r="D15369" s="209"/>
      <c r="E15369" s="209"/>
      <c r="J15369" s="124"/>
    </row>
    <row r="15370" spans="3:10" x14ac:dyDescent="0.2">
      <c r="C15370" s="209"/>
      <c r="D15370" s="209"/>
      <c r="E15370" s="209"/>
      <c r="J15370" s="124"/>
    </row>
    <row r="15371" spans="3:10" x14ac:dyDescent="0.2">
      <c r="C15371" s="209"/>
      <c r="D15371" s="209"/>
      <c r="E15371" s="209"/>
      <c r="J15371" s="124"/>
    </row>
    <row r="15372" spans="3:10" x14ac:dyDescent="0.2">
      <c r="C15372" s="209"/>
      <c r="D15372" s="209"/>
      <c r="E15372" s="209"/>
      <c r="J15372" s="124"/>
    </row>
    <row r="15373" spans="3:10" x14ac:dyDescent="0.2">
      <c r="C15373" s="209"/>
      <c r="D15373" s="209"/>
      <c r="E15373" s="209"/>
      <c r="J15373" s="124"/>
    </row>
    <row r="15374" spans="3:10" x14ac:dyDescent="0.2">
      <c r="C15374" s="209"/>
      <c r="D15374" s="209"/>
      <c r="E15374" s="209"/>
      <c r="J15374" s="124"/>
    </row>
    <row r="15375" spans="3:10" x14ac:dyDescent="0.2">
      <c r="C15375" s="209"/>
      <c r="D15375" s="209"/>
      <c r="E15375" s="209"/>
      <c r="J15375" s="124"/>
    </row>
    <row r="15376" spans="3:10" x14ac:dyDescent="0.2">
      <c r="C15376" s="209"/>
      <c r="D15376" s="209"/>
      <c r="E15376" s="209"/>
      <c r="J15376" s="124"/>
    </row>
    <row r="15377" spans="3:10" x14ac:dyDescent="0.2">
      <c r="C15377" s="209"/>
      <c r="D15377" s="209"/>
      <c r="E15377" s="209"/>
      <c r="J15377" s="124"/>
    </row>
    <row r="15378" spans="3:10" x14ac:dyDescent="0.2">
      <c r="C15378" s="209"/>
      <c r="D15378" s="209"/>
      <c r="E15378" s="209"/>
      <c r="J15378" s="124"/>
    </row>
    <row r="15379" spans="3:10" x14ac:dyDescent="0.2">
      <c r="C15379" s="209"/>
      <c r="D15379" s="209"/>
      <c r="E15379" s="209"/>
      <c r="J15379" s="124"/>
    </row>
    <row r="15380" spans="3:10" x14ac:dyDescent="0.2">
      <c r="C15380" s="209"/>
      <c r="D15380" s="209"/>
      <c r="E15380" s="209"/>
      <c r="J15380" s="124"/>
    </row>
    <row r="15381" spans="3:10" x14ac:dyDescent="0.2">
      <c r="C15381" s="209"/>
      <c r="D15381" s="209"/>
      <c r="E15381" s="209"/>
      <c r="J15381" s="124"/>
    </row>
    <row r="15382" spans="3:10" x14ac:dyDescent="0.2">
      <c r="C15382" s="209"/>
      <c r="D15382" s="209"/>
      <c r="E15382" s="209"/>
      <c r="J15382" s="124"/>
    </row>
    <row r="15383" spans="3:10" x14ac:dyDescent="0.2">
      <c r="C15383" s="209"/>
      <c r="D15383" s="209"/>
      <c r="E15383" s="209"/>
      <c r="J15383" s="124"/>
    </row>
    <row r="15384" spans="3:10" x14ac:dyDescent="0.2">
      <c r="C15384" s="209"/>
      <c r="D15384" s="209"/>
      <c r="E15384" s="209"/>
      <c r="J15384" s="124"/>
    </row>
    <row r="15385" spans="3:10" x14ac:dyDescent="0.2">
      <c r="C15385" s="209"/>
      <c r="D15385" s="209"/>
      <c r="E15385" s="209"/>
      <c r="J15385" s="124"/>
    </row>
    <row r="15386" spans="3:10" x14ac:dyDescent="0.2">
      <c r="C15386" s="209"/>
      <c r="D15386" s="209"/>
      <c r="E15386" s="209"/>
      <c r="J15386" s="124"/>
    </row>
    <row r="15387" spans="3:10" x14ac:dyDescent="0.2">
      <c r="C15387" s="209"/>
      <c r="D15387" s="209"/>
      <c r="E15387" s="209"/>
      <c r="J15387" s="124"/>
    </row>
    <row r="15388" spans="3:10" x14ac:dyDescent="0.2">
      <c r="C15388" s="209"/>
      <c r="D15388" s="209"/>
      <c r="E15388" s="209"/>
      <c r="J15388" s="124"/>
    </row>
    <row r="15389" spans="3:10" x14ac:dyDescent="0.2">
      <c r="C15389" s="209"/>
      <c r="D15389" s="209"/>
      <c r="E15389" s="209"/>
      <c r="J15389" s="124"/>
    </row>
    <row r="15390" spans="3:10" x14ac:dyDescent="0.2">
      <c r="C15390" s="209"/>
      <c r="D15390" s="209"/>
      <c r="E15390" s="209"/>
      <c r="J15390" s="124"/>
    </row>
    <row r="15391" spans="3:10" x14ac:dyDescent="0.2">
      <c r="C15391" s="209"/>
      <c r="D15391" s="209"/>
      <c r="E15391" s="209"/>
      <c r="J15391" s="124"/>
    </row>
    <row r="15392" spans="3:10" x14ac:dyDescent="0.2">
      <c r="C15392" s="209"/>
      <c r="D15392" s="209"/>
      <c r="E15392" s="209"/>
      <c r="J15392" s="124"/>
    </row>
    <row r="15393" spans="3:10" x14ac:dyDescent="0.2">
      <c r="C15393" s="209"/>
      <c r="D15393" s="209"/>
      <c r="E15393" s="209"/>
      <c r="J15393" s="124"/>
    </row>
    <row r="15394" spans="3:10" x14ac:dyDescent="0.2">
      <c r="C15394" s="209"/>
      <c r="D15394" s="209"/>
      <c r="E15394" s="209"/>
      <c r="J15394" s="124"/>
    </row>
    <row r="15395" spans="3:10" x14ac:dyDescent="0.2">
      <c r="C15395" s="209"/>
      <c r="D15395" s="209"/>
      <c r="E15395" s="209"/>
      <c r="J15395" s="124"/>
    </row>
    <row r="15396" spans="3:10" x14ac:dyDescent="0.2">
      <c r="C15396" s="209"/>
      <c r="D15396" s="209"/>
      <c r="E15396" s="209"/>
      <c r="J15396" s="124"/>
    </row>
    <row r="15397" spans="3:10" x14ac:dyDescent="0.2">
      <c r="C15397" s="209"/>
      <c r="D15397" s="209"/>
      <c r="E15397" s="209"/>
      <c r="J15397" s="124"/>
    </row>
    <row r="15398" spans="3:10" x14ac:dyDescent="0.2">
      <c r="C15398" s="209"/>
      <c r="D15398" s="209"/>
      <c r="E15398" s="209"/>
      <c r="J15398" s="124"/>
    </row>
    <row r="15399" spans="3:10" x14ac:dyDescent="0.2">
      <c r="C15399" s="209"/>
      <c r="D15399" s="209"/>
      <c r="E15399" s="209"/>
      <c r="J15399" s="124"/>
    </row>
    <row r="15400" spans="3:10" x14ac:dyDescent="0.2">
      <c r="C15400" s="209"/>
      <c r="D15400" s="209"/>
      <c r="E15400" s="209"/>
      <c r="J15400" s="124"/>
    </row>
    <row r="15401" spans="3:10" x14ac:dyDescent="0.2">
      <c r="C15401" s="209"/>
      <c r="D15401" s="209"/>
      <c r="E15401" s="209"/>
      <c r="J15401" s="124"/>
    </row>
    <row r="15402" spans="3:10" x14ac:dyDescent="0.2">
      <c r="C15402" s="209"/>
      <c r="D15402" s="209"/>
      <c r="E15402" s="209"/>
      <c r="J15402" s="124"/>
    </row>
    <row r="15403" spans="3:10" x14ac:dyDescent="0.2">
      <c r="C15403" s="209"/>
      <c r="D15403" s="209"/>
      <c r="E15403" s="209"/>
      <c r="J15403" s="124"/>
    </row>
    <row r="15404" spans="3:10" x14ac:dyDescent="0.2">
      <c r="C15404" s="209"/>
      <c r="D15404" s="209"/>
      <c r="E15404" s="209"/>
      <c r="J15404" s="124"/>
    </row>
    <row r="15405" spans="3:10" x14ac:dyDescent="0.2">
      <c r="C15405" s="209"/>
      <c r="D15405" s="209"/>
      <c r="E15405" s="209"/>
      <c r="J15405" s="124"/>
    </row>
    <row r="15406" spans="3:10" x14ac:dyDescent="0.2">
      <c r="C15406" s="209"/>
      <c r="D15406" s="209"/>
      <c r="E15406" s="209"/>
      <c r="J15406" s="124"/>
    </row>
    <row r="15407" spans="3:10" x14ac:dyDescent="0.2">
      <c r="C15407" s="209"/>
      <c r="D15407" s="209"/>
      <c r="E15407" s="209"/>
      <c r="J15407" s="124"/>
    </row>
    <row r="15408" spans="3:10" x14ac:dyDescent="0.2">
      <c r="C15408" s="209"/>
      <c r="D15408" s="209"/>
      <c r="E15408" s="209"/>
      <c r="J15408" s="124"/>
    </row>
    <row r="15409" spans="3:10" x14ac:dyDescent="0.2">
      <c r="C15409" s="209"/>
      <c r="D15409" s="209"/>
      <c r="E15409" s="209"/>
      <c r="J15409" s="124"/>
    </row>
    <row r="15410" spans="3:10" x14ac:dyDescent="0.2">
      <c r="C15410" s="209"/>
      <c r="D15410" s="209"/>
      <c r="E15410" s="209"/>
      <c r="J15410" s="124"/>
    </row>
    <row r="15411" spans="3:10" x14ac:dyDescent="0.2">
      <c r="C15411" s="209"/>
      <c r="D15411" s="209"/>
      <c r="E15411" s="209"/>
      <c r="J15411" s="124"/>
    </row>
    <row r="15412" spans="3:10" x14ac:dyDescent="0.2">
      <c r="C15412" s="209"/>
      <c r="D15412" s="209"/>
      <c r="E15412" s="209"/>
      <c r="J15412" s="124"/>
    </row>
    <row r="15413" spans="3:10" x14ac:dyDescent="0.2">
      <c r="C15413" s="209"/>
      <c r="D15413" s="209"/>
      <c r="E15413" s="209"/>
      <c r="J15413" s="124"/>
    </row>
    <row r="15414" spans="3:10" x14ac:dyDescent="0.2">
      <c r="C15414" s="209"/>
      <c r="D15414" s="209"/>
      <c r="E15414" s="209"/>
      <c r="J15414" s="124"/>
    </row>
    <row r="15415" spans="3:10" x14ac:dyDescent="0.2">
      <c r="C15415" s="209"/>
      <c r="D15415" s="209"/>
      <c r="E15415" s="209"/>
      <c r="J15415" s="124"/>
    </row>
    <row r="15416" spans="3:10" x14ac:dyDescent="0.2">
      <c r="C15416" s="209"/>
      <c r="D15416" s="209"/>
      <c r="E15416" s="209"/>
      <c r="J15416" s="124"/>
    </row>
    <row r="15417" spans="3:10" x14ac:dyDescent="0.2">
      <c r="C15417" s="209"/>
      <c r="D15417" s="209"/>
      <c r="E15417" s="209"/>
      <c r="J15417" s="124"/>
    </row>
    <row r="15418" spans="3:10" x14ac:dyDescent="0.2">
      <c r="C15418" s="209"/>
      <c r="D15418" s="209"/>
      <c r="E15418" s="209"/>
      <c r="J15418" s="124"/>
    </row>
    <row r="15419" spans="3:10" x14ac:dyDescent="0.2">
      <c r="C15419" s="209"/>
      <c r="D15419" s="209"/>
      <c r="E15419" s="209"/>
      <c r="J15419" s="124"/>
    </row>
    <row r="15420" spans="3:10" x14ac:dyDescent="0.2">
      <c r="C15420" s="209"/>
      <c r="D15420" s="209"/>
      <c r="E15420" s="209"/>
      <c r="J15420" s="124"/>
    </row>
    <row r="15421" spans="3:10" x14ac:dyDescent="0.2">
      <c r="C15421" s="209"/>
      <c r="D15421" s="209"/>
      <c r="E15421" s="209"/>
      <c r="J15421" s="124"/>
    </row>
    <row r="15422" spans="3:10" x14ac:dyDescent="0.2">
      <c r="C15422" s="209"/>
      <c r="D15422" s="209"/>
      <c r="E15422" s="209"/>
      <c r="J15422" s="124"/>
    </row>
    <row r="15423" spans="3:10" x14ac:dyDescent="0.2">
      <c r="C15423" s="209"/>
      <c r="D15423" s="209"/>
      <c r="E15423" s="209"/>
      <c r="J15423" s="124"/>
    </row>
    <row r="15424" spans="3:10" x14ac:dyDescent="0.2">
      <c r="C15424" s="209"/>
      <c r="D15424" s="209"/>
      <c r="E15424" s="209"/>
      <c r="J15424" s="124"/>
    </row>
    <row r="15425" spans="3:10" x14ac:dyDescent="0.2">
      <c r="C15425" s="209"/>
      <c r="D15425" s="209"/>
      <c r="E15425" s="209"/>
      <c r="J15425" s="124"/>
    </row>
    <row r="15426" spans="3:10" x14ac:dyDescent="0.2">
      <c r="C15426" s="209"/>
      <c r="D15426" s="209"/>
      <c r="E15426" s="209"/>
      <c r="J15426" s="124"/>
    </row>
    <row r="15427" spans="3:10" x14ac:dyDescent="0.2">
      <c r="C15427" s="209"/>
      <c r="D15427" s="209"/>
      <c r="E15427" s="209"/>
      <c r="J15427" s="124"/>
    </row>
    <row r="15428" spans="3:10" x14ac:dyDescent="0.2">
      <c r="C15428" s="209"/>
      <c r="D15428" s="209"/>
      <c r="E15428" s="209"/>
      <c r="J15428" s="124"/>
    </row>
    <row r="15429" spans="3:10" x14ac:dyDescent="0.2">
      <c r="C15429" s="209"/>
      <c r="D15429" s="209"/>
      <c r="E15429" s="209"/>
      <c r="J15429" s="124"/>
    </row>
    <row r="15430" spans="3:10" x14ac:dyDescent="0.2">
      <c r="C15430" s="209"/>
      <c r="D15430" s="209"/>
      <c r="E15430" s="209"/>
      <c r="J15430" s="124"/>
    </row>
    <row r="15431" spans="3:10" x14ac:dyDescent="0.2">
      <c r="C15431" s="209"/>
      <c r="D15431" s="209"/>
      <c r="E15431" s="209"/>
      <c r="J15431" s="124"/>
    </row>
    <row r="15432" spans="3:10" x14ac:dyDescent="0.2">
      <c r="C15432" s="209"/>
      <c r="D15432" s="209"/>
      <c r="E15432" s="209"/>
      <c r="J15432" s="124"/>
    </row>
    <row r="15433" spans="3:10" x14ac:dyDescent="0.2">
      <c r="C15433" s="209"/>
      <c r="D15433" s="209"/>
      <c r="E15433" s="209"/>
      <c r="J15433" s="124"/>
    </row>
    <row r="15434" spans="3:10" x14ac:dyDescent="0.2">
      <c r="C15434" s="209"/>
      <c r="D15434" s="209"/>
      <c r="E15434" s="209"/>
      <c r="J15434" s="124"/>
    </row>
    <row r="15435" spans="3:10" x14ac:dyDescent="0.2">
      <c r="C15435" s="209"/>
      <c r="D15435" s="209"/>
      <c r="E15435" s="209"/>
      <c r="J15435" s="124"/>
    </row>
    <row r="15436" spans="3:10" x14ac:dyDescent="0.2">
      <c r="C15436" s="209"/>
      <c r="D15436" s="209"/>
      <c r="E15436" s="209"/>
      <c r="J15436" s="124"/>
    </row>
    <row r="15437" spans="3:10" x14ac:dyDescent="0.2">
      <c r="C15437" s="209"/>
      <c r="D15437" s="209"/>
      <c r="E15437" s="209"/>
      <c r="J15437" s="124"/>
    </row>
    <row r="15438" spans="3:10" x14ac:dyDescent="0.2">
      <c r="C15438" s="209"/>
      <c r="D15438" s="209"/>
      <c r="E15438" s="209"/>
      <c r="J15438" s="124"/>
    </row>
    <row r="15439" spans="3:10" x14ac:dyDescent="0.2">
      <c r="C15439" s="209"/>
      <c r="D15439" s="209"/>
      <c r="E15439" s="209"/>
      <c r="J15439" s="124"/>
    </row>
    <row r="15440" spans="3:10" x14ac:dyDescent="0.2">
      <c r="C15440" s="209"/>
      <c r="D15440" s="209"/>
      <c r="E15440" s="209"/>
      <c r="J15440" s="124"/>
    </row>
    <row r="15441" spans="3:10" x14ac:dyDescent="0.2">
      <c r="C15441" s="209"/>
      <c r="D15441" s="209"/>
      <c r="E15441" s="209"/>
      <c r="J15441" s="124"/>
    </row>
    <row r="15442" spans="3:10" x14ac:dyDescent="0.2">
      <c r="C15442" s="209"/>
      <c r="D15442" s="209"/>
      <c r="E15442" s="209"/>
      <c r="J15442" s="124"/>
    </row>
    <row r="15443" spans="3:10" x14ac:dyDescent="0.2">
      <c r="C15443" s="209"/>
      <c r="D15443" s="209"/>
      <c r="E15443" s="209"/>
      <c r="J15443" s="124"/>
    </row>
    <row r="15444" spans="3:10" x14ac:dyDescent="0.2">
      <c r="C15444" s="209"/>
      <c r="D15444" s="209"/>
      <c r="E15444" s="209"/>
      <c r="J15444" s="124"/>
    </row>
    <row r="15445" spans="3:10" x14ac:dyDescent="0.2">
      <c r="C15445" s="209"/>
      <c r="D15445" s="209"/>
      <c r="E15445" s="209"/>
      <c r="J15445" s="124"/>
    </row>
    <row r="15446" spans="3:10" x14ac:dyDescent="0.2">
      <c r="C15446" s="209"/>
      <c r="D15446" s="209"/>
      <c r="E15446" s="209"/>
      <c r="J15446" s="124"/>
    </row>
    <row r="15447" spans="3:10" x14ac:dyDescent="0.2">
      <c r="C15447" s="209"/>
      <c r="D15447" s="209"/>
      <c r="E15447" s="209"/>
      <c r="J15447" s="124"/>
    </row>
    <row r="15448" spans="3:10" x14ac:dyDescent="0.2">
      <c r="C15448" s="209"/>
      <c r="D15448" s="209"/>
      <c r="E15448" s="209"/>
      <c r="J15448" s="124"/>
    </row>
    <row r="15449" spans="3:10" x14ac:dyDescent="0.2">
      <c r="C15449" s="209"/>
      <c r="D15449" s="209"/>
      <c r="E15449" s="209"/>
      <c r="J15449" s="124"/>
    </row>
    <row r="15450" spans="3:10" x14ac:dyDescent="0.2">
      <c r="C15450" s="209"/>
      <c r="D15450" s="209"/>
      <c r="E15450" s="209"/>
      <c r="J15450" s="124"/>
    </row>
    <row r="15451" spans="3:10" x14ac:dyDescent="0.2">
      <c r="C15451" s="209"/>
      <c r="D15451" s="209"/>
      <c r="E15451" s="209"/>
      <c r="J15451" s="124"/>
    </row>
    <row r="15452" spans="3:10" x14ac:dyDescent="0.2">
      <c r="C15452" s="209"/>
      <c r="D15452" s="209"/>
      <c r="E15452" s="209"/>
      <c r="J15452" s="124"/>
    </row>
    <row r="15453" spans="3:10" x14ac:dyDescent="0.2">
      <c r="C15453" s="209"/>
      <c r="D15453" s="209"/>
      <c r="E15453" s="209"/>
      <c r="J15453" s="124"/>
    </row>
    <row r="15454" spans="3:10" x14ac:dyDescent="0.2">
      <c r="C15454" s="209"/>
      <c r="D15454" s="209"/>
      <c r="E15454" s="209"/>
      <c r="J15454" s="124"/>
    </row>
    <row r="15455" spans="3:10" x14ac:dyDescent="0.2">
      <c r="C15455" s="209"/>
      <c r="D15455" s="209"/>
      <c r="E15455" s="209"/>
      <c r="J15455" s="124"/>
    </row>
    <row r="15456" spans="3:10" x14ac:dyDescent="0.2">
      <c r="C15456" s="209"/>
      <c r="D15456" s="209"/>
      <c r="E15456" s="209"/>
      <c r="J15456" s="124"/>
    </row>
    <row r="15457" spans="3:10" x14ac:dyDescent="0.2">
      <c r="C15457" s="209"/>
      <c r="D15457" s="209"/>
      <c r="E15457" s="209"/>
      <c r="J15457" s="124"/>
    </row>
    <row r="15458" spans="3:10" x14ac:dyDescent="0.2">
      <c r="C15458" s="209"/>
      <c r="D15458" s="209"/>
      <c r="E15458" s="209"/>
      <c r="J15458" s="124"/>
    </row>
    <row r="15459" spans="3:10" x14ac:dyDescent="0.2">
      <c r="C15459" s="209"/>
      <c r="D15459" s="209"/>
      <c r="E15459" s="209"/>
      <c r="J15459" s="124"/>
    </row>
    <row r="15460" spans="3:10" x14ac:dyDescent="0.2">
      <c r="C15460" s="209"/>
      <c r="D15460" s="209"/>
      <c r="E15460" s="209"/>
      <c r="J15460" s="124"/>
    </row>
    <row r="15461" spans="3:10" x14ac:dyDescent="0.2">
      <c r="C15461" s="209"/>
      <c r="D15461" s="209"/>
      <c r="E15461" s="209"/>
      <c r="J15461" s="124"/>
    </row>
    <row r="15462" spans="3:10" x14ac:dyDescent="0.2">
      <c r="C15462" s="209"/>
      <c r="D15462" s="209"/>
      <c r="E15462" s="209"/>
      <c r="J15462" s="124"/>
    </row>
    <row r="15463" spans="3:10" x14ac:dyDescent="0.2">
      <c r="C15463" s="209"/>
      <c r="D15463" s="209"/>
      <c r="E15463" s="209"/>
      <c r="J15463" s="124"/>
    </row>
    <row r="15464" spans="3:10" x14ac:dyDescent="0.2">
      <c r="C15464" s="209"/>
      <c r="D15464" s="209"/>
      <c r="E15464" s="209"/>
      <c r="J15464" s="124"/>
    </row>
    <row r="15465" spans="3:10" x14ac:dyDescent="0.2">
      <c r="C15465" s="209"/>
      <c r="D15465" s="209"/>
      <c r="E15465" s="209"/>
      <c r="J15465" s="124"/>
    </row>
    <row r="15466" spans="3:10" x14ac:dyDescent="0.2">
      <c r="C15466" s="209"/>
      <c r="D15466" s="209"/>
      <c r="E15466" s="209"/>
      <c r="J15466" s="124"/>
    </row>
    <row r="15467" spans="3:10" x14ac:dyDescent="0.2">
      <c r="C15467" s="209"/>
      <c r="D15467" s="209"/>
      <c r="E15467" s="209"/>
      <c r="J15467" s="124"/>
    </row>
    <row r="15468" spans="3:10" x14ac:dyDescent="0.2">
      <c r="C15468" s="209"/>
      <c r="D15468" s="209"/>
      <c r="E15468" s="209"/>
      <c r="J15468" s="124"/>
    </row>
    <row r="15469" spans="3:10" x14ac:dyDescent="0.2">
      <c r="C15469" s="209"/>
      <c r="D15469" s="209"/>
      <c r="E15469" s="209"/>
      <c r="J15469" s="124"/>
    </row>
    <row r="15470" spans="3:10" x14ac:dyDescent="0.2">
      <c r="C15470" s="209"/>
      <c r="D15470" s="209"/>
      <c r="E15470" s="209"/>
      <c r="J15470" s="124"/>
    </row>
    <row r="15471" spans="3:10" x14ac:dyDescent="0.2">
      <c r="C15471" s="209"/>
      <c r="D15471" s="209"/>
      <c r="E15471" s="209"/>
      <c r="J15471" s="124"/>
    </row>
    <row r="15472" spans="3:10" x14ac:dyDescent="0.2">
      <c r="C15472" s="209"/>
      <c r="D15472" s="209"/>
      <c r="E15472" s="209"/>
      <c r="J15472" s="124"/>
    </row>
    <row r="15473" spans="3:10" x14ac:dyDescent="0.2">
      <c r="C15473" s="209"/>
      <c r="D15473" s="209"/>
      <c r="E15473" s="209"/>
      <c r="J15473" s="124"/>
    </row>
    <row r="15474" spans="3:10" x14ac:dyDescent="0.2">
      <c r="C15474" s="209"/>
      <c r="D15474" s="209"/>
      <c r="E15474" s="209"/>
      <c r="J15474" s="124"/>
    </row>
    <row r="15475" spans="3:10" x14ac:dyDescent="0.2">
      <c r="C15475" s="209"/>
      <c r="D15475" s="209"/>
      <c r="E15475" s="209"/>
      <c r="J15475" s="124"/>
    </row>
    <row r="15476" spans="3:10" x14ac:dyDescent="0.2">
      <c r="C15476" s="209"/>
      <c r="D15476" s="209"/>
      <c r="E15476" s="209"/>
      <c r="J15476" s="124"/>
    </row>
    <row r="15477" spans="3:10" x14ac:dyDescent="0.2">
      <c r="C15477" s="209"/>
      <c r="D15477" s="209"/>
      <c r="E15477" s="209"/>
      <c r="J15477" s="124"/>
    </row>
    <row r="15478" spans="3:10" x14ac:dyDescent="0.2">
      <c r="C15478" s="209"/>
      <c r="D15478" s="209"/>
      <c r="E15478" s="209"/>
      <c r="J15478" s="124"/>
    </row>
    <row r="15479" spans="3:10" x14ac:dyDescent="0.2">
      <c r="C15479" s="209"/>
      <c r="D15479" s="209"/>
      <c r="E15479" s="209"/>
      <c r="J15479" s="124"/>
    </row>
    <row r="15480" spans="3:10" x14ac:dyDescent="0.2">
      <c r="C15480" s="209"/>
      <c r="D15480" s="209"/>
      <c r="E15480" s="209"/>
      <c r="J15480" s="124"/>
    </row>
    <row r="15481" spans="3:10" x14ac:dyDescent="0.2">
      <c r="C15481" s="209"/>
      <c r="D15481" s="209"/>
      <c r="E15481" s="209"/>
      <c r="J15481" s="124"/>
    </row>
    <row r="15482" spans="3:10" x14ac:dyDescent="0.2">
      <c r="C15482" s="209"/>
      <c r="D15482" s="209"/>
      <c r="E15482" s="209"/>
      <c r="J15482" s="124"/>
    </row>
    <row r="15483" spans="3:10" x14ac:dyDescent="0.2">
      <c r="C15483" s="209"/>
      <c r="D15483" s="209"/>
      <c r="E15483" s="209"/>
      <c r="J15483" s="124"/>
    </row>
    <row r="15484" spans="3:10" x14ac:dyDescent="0.2">
      <c r="C15484" s="209"/>
      <c r="D15484" s="209"/>
      <c r="E15484" s="209"/>
      <c r="J15484" s="124"/>
    </row>
    <row r="15485" spans="3:10" x14ac:dyDescent="0.2">
      <c r="C15485" s="209"/>
      <c r="D15485" s="209"/>
      <c r="E15485" s="209"/>
      <c r="J15485" s="124"/>
    </row>
    <row r="15486" spans="3:10" x14ac:dyDescent="0.2">
      <c r="C15486" s="209"/>
      <c r="D15486" s="209"/>
      <c r="E15486" s="209"/>
      <c r="J15486" s="124"/>
    </row>
    <row r="15487" spans="3:10" x14ac:dyDescent="0.2">
      <c r="C15487" s="209"/>
      <c r="D15487" s="209"/>
      <c r="E15487" s="209"/>
      <c r="J15487" s="124"/>
    </row>
    <row r="15488" spans="3:10" x14ac:dyDescent="0.2">
      <c r="C15488" s="209"/>
      <c r="D15488" s="209"/>
      <c r="E15488" s="209"/>
      <c r="J15488" s="124"/>
    </row>
    <row r="15489" spans="3:10" x14ac:dyDescent="0.2">
      <c r="C15489" s="209"/>
      <c r="D15489" s="209"/>
      <c r="E15489" s="209"/>
      <c r="J15489" s="124"/>
    </row>
    <row r="15490" spans="3:10" x14ac:dyDescent="0.2">
      <c r="C15490" s="209"/>
      <c r="D15490" s="209"/>
      <c r="E15490" s="209"/>
      <c r="J15490" s="124"/>
    </row>
    <row r="15491" spans="3:10" x14ac:dyDescent="0.2">
      <c r="C15491" s="209"/>
      <c r="D15491" s="209"/>
      <c r="E15491" s="209"/>
      <c r="J15491" s="124"/>
    </row>
    <row r="15492" spans="3:10" x14ac:dyDescent="0.2">
      <c r="C15492" s="209"/>
      <c r="D15492" s="209"/>
      <c r="E15492" s="209"/>
      <c r="J15492" s="124"/>
    </row>
    <row r="15493" spans="3:10" x14ac:dyDescent="0.2">
      <c r="C15493" s="209"/>
      <c r="D15493" s="209"/>
      <c r="E15493" s="209"/>
      <c r="J15493" s="124"/>
    </row>
    <row r="15494" spans="3:10" x14ac:dyDescent="0.2">
      <c r="C15494" s="209"/>
      <c r="D15494" s="209"/>
      <c r="E15494" s="209"/>
      <c r="J15494" s="124"/>
    </row>
    <row r="15495" spans="3:10" x14ac:dyDescent="0.2">
      <c r="C15495" s="209"/>
      <c r="D15495" s="209"/>
      <c r="E15495" s="209"/>
      <c r="J15495" s="124"/>
    </row>
    <row r="15496" spans="3:10" x14ac:dyDescent="0.2">
      <c r="C15496" s="209"/>
      <c r="D15496" s="209"/>
      <c r="E15496" s="209"/>
      <c r="J15496" s="124"/>
    </row>
    <row r="15497" spans="3:10" x14ac:dyDescent="0.2">
      <c r="C15497" s="209"/>
      <c r="D15497" s="209"/>
      <c r="E15497" s="209"/>
      <c r="J15497" s="124"/>
    </row>
    <row r="15498" spans="3:10" x14ac:dyDescent="0.2">
      <c r="C15498" s="209"/>
      <c r="D15498" s="209"/>
      <c r="E15498" s="209"/>
      <c r="J15498" s="124"/>
    </row>
    <row r="15499" spans="3:10" x14ac:dyDescent="0.2">
      <c r="C15499" s="209"/>
      <c r="D15499" s="209"/>
      <c r="E15499" s="209"/>
      <c r="J15499" s="124"/>
    </row>
    <row r="15500" spans="3:10" x14ac:dyDescent="0.2">
      <c r="C15500" s="209"/>
      <c r="D15500" s="209"/>
      <c r="E15500" s="209"/>
      <c r="J15500" s="124"/>
    </row>
    <row r="15501" spans="3:10" x14ac:dyDescent="0.2">
      <c r="C15501" s="209"/>
      <c r="D15501" s="209"/>
      <c r="E15501" s="209"/>
      <c r="J15501" s="124"/>
    </row>
    <row r="15502" spans="3:10" x14ac:dyDescent="0.2">
      <c r="C15502" s="209"/>
      <c r="D15502" s="209"/>
      <c r="E15502" s="209"/>
      <c r="J15502" s="124"/>
    </row>
    <row r="15503" spans="3:10" x14ac:dyDescent="0.2">
      <c r="C15503" s="209"/>
      <c r="D15503" s="209"/>
      <c r="E15503" s="209"/>
      <c r="J15503" s="124"/>
    </row>
    <row r="15504" spans="3:10" x14ac:dyDescent="0.2">
      <c r="C15504" s="209"/>
      <c r="D15504" s="209"/>
      <c r="E15504" s="209"/>
      <c r="J15504" s="124"/>
    </row>
    <row r="15505" spans="3:10" x14ac:dyDescent="0.2">
      <c r="C15505" s="209"/>
      <c r="D15505" s="209"/>
      <c r="E15505" s="209"/>
      <c r="J15505" s="124"/>
    </row>
    <row r="15506" spans="3:10" x14ac:dyDescent="0.2">
      <c r="C15506" s="209"/>
      <c r="D15506" s="209"/>
      <c r="E15506" s="209"/>
      <c r="J15506" s="124"/>
    </row>
    <row r="15507" spans="3:10" x14ac:dyDescent="0.2">
      <c r="C15507" s="209"/>
      <c r="D15507" s="209"/>
      <c r="E15507" s="209"/>
      <c r="J15507" s="124"/>
    </row>
    <row r="15508" spans="3:10" x14ac:dyDescent="0.2">
      <c r="C15508" s="209"/>
      <c r="D15508" s="209"/>
      <c r="E15508" s="209"/>
      <c r="J15508" s="124"/>
    </row>
    <row r="15509" spans="3:10" x14ac:dyDescent="0.2">
      <c r="C15509" s="209"/>
      <c r="D15509" s="209"/>
      <c r="E15509" s="209"/>
      <c r="J15509" s="124"/>
    </row>
    <row r="15510" spans="3:10" x14ac:dyDescent="0.2">
      <c r="C15510" s="209"/>
      <c r="D15510" s="209"/>
      <c r="E15510" s="209"/>
      <c r="J15510" s="124"/>
    </row>
    <row r="15511" spans="3:10" x14ac:dyDescent="0.2">
      <c r="C15511" s="209"/>
      <c r="D15511" s="209"/>
      <c r="E15511" s="209"/>
      <c r="J15511" s="124"/>
    </row>
    <row r="15512" spans="3:10" x14ac:dyDescent="0.2">
      <c r="C15512" s="209"/>
      <c r="D15512" s="209"/>
      <c r="E15512" s="209"/>
      <c r="J15512" s="124"/>
    </row>
    <row r="15513" spans="3:10" x14ac:dyDescent="0.2">
      <c r="C15513" s="209"/>
      <c r="D15513" s="209"/>
      <c r="E15513" s="209"/>
      <c r="J15513" s="124"/>
    </row>
    <row r="15514" spans="3:10" x14ac:dyDescent="0.2">
      <c r="C15514" s="209"/>
      <c r="D15514" s="209"/>
      <c r="E15514" s="209"/>
      <c r="J15514" s="124"/>
    </row>
    <row r="15515" spans="3:10" x14ac:dyDescent="0.2">
      <c r="C15515" s="209"/>
      <c r="D15515" s="209"/>
      <c r="E15515" s="209"/>
      <c r="J15515" s="124"/>
    </row>
    <row r="15516" spans="3:10" x14ac:dyDescent="0.2">
      <c r="C15516" s="209"/>
      <c r="D15516" s="209"/>
      <c r="E15516" s="209"/>
      <c r="J15516" s="124"/>
    </row>
    <row r="15517" spans="3:10" x14ac:dyDescent="0.2">
      <c r="C15517" s="209"/>
      <c r="D15517" s="209"/>
      <c r="E15517" s="209"/>
      <c r="J15517" s="124"/>
    </row>
    <row r="15518" spans="3:10" x14ac:dyDescent="0.2">
      <c r="C15518" s="209"/>
      <c r="D15518" s="209"/>
      <c r="E15518" s="209"/>
      <c r="J15518" s="124"/>
    </row>
    <row r="15519" spans="3:10" x14ac:dyDescent="0.2">
      <c r="C15519" s="209"/>
      <c r="D15519" s="209"/>
      <c r="E15519" s="209"/>
      <c r="J15519" s="124"/>
    </row>
    <row r="15520" spans="3:10" x14ac:dyDescent="0.2">
      <c r="C15520" s="209"/>
      <c r="D15520" s="209"/>
      <c r="E15520" s="209"/>
      <c r="J15520" s="124"/>
    </row>
    <row r="15521" spans="3:10" x14ac:dyDescent="0.2">
      <c r="C15521" s="209"/>
      <c r="D15521" s="209"/>
      <c r="E15521" s="209"/>
      <c r="J15521" s="124"/>
    </row>
    <row r="15522" spans="3:10" x14ac:dyDescent="0.2">
      <c r="C15522" s="209"/>
      <c r="D15522" s="209"/>
      <c r="E15522" s="209"/>
      <c r="J15522" s="124"/>
    </row>
    <row r="15523" spans="3:10" x14ac:dyDescent="0.2">
      <c r="C15523" s="209"/>
      <c r="D15523" s="209"/>
      <c r="E15523" s="209"/>
      <c r="J15523" s="124"/>
    </row>
    <row r="15524" spans="3:10" x14ac:dyDescent="0.2">
      <c r="C15524" s="209"/>
      <c r="D15524" s="209"/>
      <c r="E15524" s="209"/>
      <c r="J15524" s="124"/>
    </row>
    <row r="15525" spans="3:10" x14ac:dyDescent="0.2">
      <c r="C15525" s="209"/>
      <c r="D15525" s="209"/>
      <c r="E15525" s="209"/>
      <c r="J15525" s="124"/>
    </row>
    <row r="15526" spans="3:10" x14ac:dyDescent="0.2">
      <c r="C15526" s="209"/>
      <c r="D15526" s="209"/>
      <c r="E15526" s="209"/>
      <c r="J15526" s="124"/>
    </row>
    <row r="15527" spans="3:10" x14ac:dyDescent="0.2">
      <c r="C15527" s="209"/>
      <c r="D15527" s="209"/>
      <c r="E15527" s="209"/>
      <c r="J15527" s="124"/>
    </row>
    <row r="15528" spans="3:10" x14ac:dyDescent="0.2">
      <c r="C15528" s="209"/>
      <c r="D15528" s="209"/>
      <c r="E15528" s="209"/>
      <c r="J15528" s="124"/>
    </row>
    <row r="15529" spans="3:10" x14ac:dyDescent="0.2">
      <c r="C15529" s="209"/>
      <c r="D15529" s="209"/>
      <c r="E15529" s="209"/>
      <c r="J15529" s="124"/>
    </row>
    <row r="15530" spans="3:10" x14ac:dyDescent="0.2">
      <c r="C15530" s="209"/>
      <c r="D15530" s="209"/>
      <c r="E15530" s="209"/>
      <c r="J15530" s="124"/>
    </row>
    <row r="15531" spans="3:10" x14ac:dyDescent="0.2">
      <c r="C15531" s="209"/>
      <c r="D15531" s="209"/>
      <c r="E15531" s="209"/>
      <c r="J15531" s="124"/>
    </row>
    <row r="15532" spans="3:10" x14ac:dyDescent="0.2">
      <c r="C15532" s="209"/>
      <c r="D15532" s="209"/>
      <c r="E15532" s="209"/>
      <c r="J15532" s="124"/>
    </row>
    <row r="15533" spans="3:10" x14ac:dyDescent="0.2">
      <c r="C15533" s="209"/>
      <c r="D15533" s="209"/>
      <c r="E15533" s="209"/>
      <c r="J15533" s="124"/>
    </row>
    <row r="15534" spans="3:10" x14ac:dyDescent="0.2">
      <c r="C15534" s="209"/>
      <c r="D15534" s="209"/>
      <c r="E15534" s="209"/>
      <c r="J15534" s="124"/>
    </row>
    <row r="15535" spans="3:10" x14ac:dyDescent="0.2">
      <c r="C15535" s="209"/>
      <c r="D15535" s="209"/>
      <c r="E15535" s="209"/>
      <c r="J15535" s="124"/>
    </row>
    <row r="15536" spans="3:10" x14ac:dyDescent="0.2">
      <c r="C15536" s="209"/>
      <c r="D15536" s="209"/>
      <c r="E15536" s="209"/>
      <c r="J15536" s="124"/>
    </row>
    <row r="15537" spans="3:10" x14ac:dyDescent="0.2">
      <c r="C15537" s="209"/>
      <c r="D15537" s="209"/>
      <c r="E15537" s="209"/>
      <c r="J15537" s="124"/>
    </row>
    <row r="15538" spans="3:10" x14ac:dyDescent="0.2">
      <c r="C15538" s="209"/>
      <c r="D15538" s="209"/>
      <c r="E15538" s="209"/>
      <c r="J15538" s="124"/>
    </row>
    <row r="15539" spans="3:10" x14ac:dyDescent="0.2">
      <c r="C15539" s="209"/>
      <c r="D15539" s="209"/>
      <c r="E15539" s="209"/>
      <c r="J15539" s="124"/>
    </row>
    <row r="15540" spans="3:10" x14ac:dyDescent="0.2">
      <c r="C15540" s="209"/>
      <c r="D15540" s="209"/>
      <c r="E15540" s="209"/>
      <c r="J15540" s="124"/>
    </row>
    <row r="15541" spans="3:10" x14ac:dyDescent="0.2">
      <c r="C15541" s="209"/>
      <c r="D15541" s="209"/>
      <c r="E15541" s="209"/>
      <c r="J15541" s="124"/>
    </row>
    <row r="15542" spans="3:10" x14ac:dyDescent="0.2">
      <c r="C15542" s="209"/>
      <c r="D15542" s="209"/>
      <c r="E15542" s="209"/>
      <c r="J15542" s="124"/>
    </row>
    <row r="15543" spans="3:10" x14ac:dyDescent="0.2">
      <c r="C15543" s="209"/>
      <c r="D15543" s="209"/>
      <c r="E15543" s="209"/>
      <c r="J15543" s="124"/>
    </row>
    <row r="15544" spans="3:10" x14ac:dyDescent="0.2">
      <c r="C15544" s="209"/>
      <c r="D15544" s="209"/>
      <c r="E15544" s="209"/>
      <c r="J15544" s="124"/>
    </row>
    <row r="15545" spans="3:10" x14ac:dyDescent="0.2">
      <c r="C15545" s="209"/>
      <c r="D15545" s="209"/>
      <c r="E15545" s="209"/>
      <c r="J15545" s="124"/>
    </row>
    <row r="15546" spans="3:10" x14ac:dyDescent="0.2">
      <c r="C15546" s="209"/>
      <c r="D15546" s="209"/>
      <c r="E15546" s="209"/>
      <c r="J15546" s="124"/>
    </row>
    <row r="15547" spans="3:10" x14ac:dyDescent="0.2">
      <c r="C15547" s="209"/>
      <c r="D15547" s="209"/>
      <c r="E15547" s="209"/>
      <c r="J15547" s="124"/>
    </row>
    <row r="15548" spans="3:10" x14ac:dyDescent="0.2">
      <c r="C15548" s="209"/>
      <c r="D15548" s="209"/>
      <c r="E15548" s="209"/>
      <c r="J15548" s="124"/>
    </row>
    <row r="15549" spans="3:10" x14ac:dyDescent="0.2">
      <c r="C15549" s="209"/>
      <c r="D15549" s="209"/>
      <c r="E15549" s="209"/>
      <c r="J15549" s="124"/>
    </row>
    <row r="15550" spans="3:10" x14ac:dyDescent="0.2">
      <c r="C15550" s="209"/>
      <c r="D15550" s="209"/>
      <c r="E15550" s="209"/>
      <c r="J15550" s="124"/>
    </row>
    <row r="15551" spans="3:10" x14ac:dyDescent="0.2">
      <c r="C15551" s="209"/>
      <c r="D15551" s="209"/>
      <c r="E15551" s="209"/>
      <c r="J15551" s="124"/>
    </row>
    <row r="15552" spans="3:10" x14ac:dyDescent="0.2">
      <c r="C15552" s="209"/>
      <c r="D15552" s="209"/>
      <c r="E15552" s="209"/>
      <c r="J15552" s="124"/>
    </row>
    <row r="15553" spans="3:10" x14ac:dyDescent="0.2">
      <c r="C15553" s="209"/>
      <c r="D15553" s="209"/>
      <c r="E15553" s="209"/>
      <c r="J15553" s="124"/>
    </row>
    <row r="15554" spans="3:10" x14ac:dyDescent="0.2">
      <c r="C15554" s="209"/>
      <c r="D15554" s="209"/>
      <c r="E15554" s="209"/>
      <c r="J15554" s="124"/>
    </row>
    <row r="15555" spans="3:10" x14ac:dyDescent="0.2">
      <c r="C15555" s="209"/>
      <c r="D15555" s="209"/>
      <c r="E15555" s="209"/>
      <c r="J15555" s="124"/>
    </row>
    <row r="15556" spans="3:10" x14ac:dyDescent="0.2">
      <c r="C15556" s="209"/>
      <c r="D15556" s="209"/>
      <c r="E15556" s="209"/>
      <c r="J15556" s="124"/>
    </row>
    <row r="15557" spans="3:10" x14ac:dyDescent="0.2">
      <c r="C15557" s="209"/>
      <c r="D15557" s="209"/>
      <c r="E15557" s="209"/>
      <c r="J15557" s="124"/>
    </row>
    <row r="15558" spans="3:10" x14ac:dyDescent="0.2">
      <c r="C15558" s="209"/>
      <c r="D15558" s="209"/>
      <c r="E15558" s="209"/>
      <c r="J15558" s="124"/>
    </row>
    <row r="15559" spans="3:10" x14ac:dyDescent="0.2">
      <c r="C15559" s="209"/>
      <c r="D15559" s="209"/>
      <c r="E15559" s="209"/>
      <c r="J15559" s="124"/>
    </row>
    <row r="15560" spans="3:10" x14ac:dyDescent="0.2">
      <c r="C15560" s="209"/>
      <c r="D15560" s="209"/>
      <c r="E15560" s="209"/>
      <c r="J15560" s="124"/>
    </row>
    <row r="15561" spans="3:10" x14ac:dyDescent="0.2">
      <c r="C15561" s="209"/>
      <c r="D15561" s="209"/>
      <c r="E15561" s="209"/>
      <c r="J15561" s="124"/>
    </row>
    <row r="15562" spans="3:10" x14ac:dyDescent="0.2">
      <c r="C15562" s="209"/>
      <c r="D15562" s="209"/>
      <c r="E15562" s="209"/>
      <c r="J15562" s="124"/>
    </row>
    <row r="15563" spans="3:10" x14ac:dyDescent="0.2">
      <c r="C15563" s="209"/>
      <c r="D15563" s="209"/>
      <c r="E15563" s="209"/>
      <c r="J15563" s="124"/>
    </row>
    <row r="15564" spans="3:10" x14ac:dyDescent="0.2">
      <c r="C15564" s="209"/>
      <c r="D15564" s="209"/>
      <c r="E15564" s="209"/>
      <c r="J15564" s="124"/>
    </row>
    <row r="15565" spans="3:10" x14ac:dyDescent="0.2">
      <c r="C15565" s="209"/>
      <c r="D15565" s="209"/>
      <c r="E15565" s="209"/>
      <c r="J15565" s="124"/>
    </row>
    <row r="15566" spans="3:10" x14ac:dyDescent="0.2">
      <c r="C15566" s="209"/>
      <c r="D15566" s="209"/>
      <c r="E15566" s="209"/>
      <c r="J15566" s="124"/>
    </row>
    <row r="15567" spans="3:10" x14ac:dyDescent="0.2">
      <c r="C15567" s="209"/>
      <c r="D15567" s="209"/>
      <c r="E15567" s="209"/>
      <c r="J15567" s="124"/>
    </row>
    <row r="15568" spans="3:10" x14ac:dyDescent="0.2">
      <c r="C15568" s="209"/>
      <c r="D15568" s="209"/>
      <c r="E15568" s="209"/>
      <c r="J15568" s="124"/>
    </row>
    <row r="15569" spans="3:10" x14ac:dyDescent="0.2">
      <c r="C15569" s="209"/>
      <c r="D15569" s="209"/>
      <c r="E15569" s="209"/>
      <c r="J15569" s="124"/>
    </row>
    <row r="15570" spans="3:10" x14ac:dyDescent="0.2">
      <c r="C15570" s="209"/>
      <c r="D15570" s="209"/>
      <c r="E15570" s="209"/>
      <c r="J15570" s="124"/>
    </row>
    <row r="15571" spans="3:10" x14ac:dyDescent="0.2">
      <c r="C15571" s="209"/>
      <c r="D15571" s="209"/>
      <c r="E15571" s="209"/>
      <c r="J15571" s="124"/>
    </row>
    <row r="15572" spans="3:10" x14ac:dyDescent="0.2">
      <c r="C15572" s="209"/>
      <c r="D15572" s="209"/>
      <c r="E15572" s="209"/>
      <c r="J15572" s="124"/>
    </row>
    <row r="15573" spans="3:10" x14ac:dyDescent="0.2">
      <c r="C15573" s="209"/>
      <c r="D15573" s="209"/>
      <c r="E15573" s="209"/>
      <c r="J15573" s="124"/>
    </row>
    <row r="15574" spans="3:10" x14ac:dyDescent="0.2">
      <c r="C15574" s="209"/>
      <c r="D15574" s="209"/>
      <c r="E15574" s="209"/>
      <c r="J15574" s="124"/>
    </row>
    <row r="15575" spans="3:10" x14ac:dyDescent="0.2">
      <c r="C15575" s="209"/>
      <c r="D15575" s="209"/>
      <c r="E15575" s="209"/>
      <c r="J15575" s="124"/>
    </row>
    <row r="15576" spans="3:10" x14ac:dyDescent="0.2">
      <c r="C15576" s="209"/>
      <c r="D15576" s="209"/>
      <c r="E15576" s="209"/>
      <c r="J15576" s="124"/>
    </row>
    <row r="15577" spans="3:10" x14ac:dyDescent="0.2">
      <c r="C15577" s="209"/>
      <c r="D15577" s="209"/>
      <c r="E15577" s="209"/>
      <c r="J15577" s="124"/>
    </row>
    <row r="15578" spans="3:10" x14ac:dyDescent="0.2">
      <c r="C15578" s="209"/>
      <c r="D15578" s="209"/>
      <c r="E15578" s="209"/>
      <c r="J15578" s="124"/>
    </row>
    <row r="15579" spans="3:10" x14ac:dyDescent="0.2">
      <c r="C15579" s="209"/>
      <c r="D15579" s="209"/>
      <c r="E15579" s="209"/>
      <c r="J15579" s="124"/>
    </row>
    <row r="15580" spans="3:10" x14ac:dyDescent="0.2">
      <c r="C15580" s="209"/>
      <c r="D15580" s="209"/>
      <c r="E15580" s="209"/>
      <c r="J15580" s="124"/>
    </row>
    <row r="15581" spans="3:10" x14ac:dyDescent="0.2">
      <c r="C15581" s="209"/>
      <c r="D15581" s="209"/>
      <c r="E15581" s="209"/>
      <c r="J15581" s="124"/>
    </row>
    <row r="15582" spans="3:10" x14ac:dyDescent="0.2">
      <c r="C15582" s="209"/>
      <c r="D15582" s="209"/>
      <c r="E15582" s="209"/>
      <c r="J15582" s="124"/>
    </row>
    <row r="15583" spans="3:10" x14ac:dyDescent="0.2">
      <c r="C15583" s="209"/>
      <c r="D15583" s="209"/>
      <c r="E15583" s="209"/>
      <c r="J15583" s="124"/>
    </row>
    <row r="15584" spans="3:10" x14ac:dyDescent="0.2">
      <c r="C15584" s="209"/>
      <c r="D15584" s="209"/>
      <c r="E15584" s="209"/>
      <c r="J15584" s="124"/>
    </row>
    <row r="15585" spans="3:10" x14ac:dyDescent="0.2">
      <c r="C15585" s="209"/>
      <c r="D15585" s="209"/>
      <c r="E15585" s="209"/>
      <c r="J15585" s="124"/>
    </row>
    <row r="15586" spans="3:10" x14ac:dyDescent="0.2">
      <c r="C15586" s="209"/>
      <c r="D15586" s="209"/>
      <c r="E15586" s="209"/>
      <c r="J15586" s="124"/>
    </row>
    <row r="15587" spans="3:10" x14ac:dyDescent="0.2">
      <c r="C15587" s="209"/>
      <c r="D15587" s="209"/>
      <c r="E15587" s="209"/>
      <c r="J15587" s="124"/>
    </row>
    <row r="15588" spans="3:10" x14ac:dyDescent="0.2">
      <c r="C15588" s="209"/>
      <c r="D15588" s="209"/>
      <c r="E15588" s="209"/>
      <c r="J15588" s="124"/>
    </row>
    <row r="15589" spans="3:10" x14ac:dyDescent="0.2">
      <c r="C15589" s="209"/>
      <c r="D15589" s="209"/>
      <c r="E15589" s="209"/>
      <c r="J15589" s="124"/>
    </row>
    <row r="15590" spans="3:10" x14ac:dyDescent="0.2">
      <c r="C15590" s="209"/>
      <c r="D15590" s="209"/>
      <c r="E15590" s="209"/>
      <c r="J15590" s="124"/>
    </row>
    <row r="15591" spans="3:10" x14ac:dyDescent="0.2">
      <c r="C15591" s="209"/>
      <c r="D15591" s="209"/>
      <c r="E15591" s="209"/>
      <c r="J15591" s="124"/>
    </row>
    <row r="15592" spans="3:10" x14ac:dyDescent="0.2">
      <c r="C15592" s="209"/>
      <c r="D15592" s="209"/>
      <c r="E15592" s="209"/>
      <c r="J15592" s="124"/>
    </row>
    <row r="15593" spans="3:10" x14ac:dyDescent="0.2">
      <c r="C15593" s="209"/>
      <c r="D15593" s="209"/>
      <c r="E15593" s="209"/>
      <c r="J15593" s="124"/>
    </row>
    <row r="15594" spans="3:10" x14ac:dyDescent="0.2">
      <c r="C15594" s="209"/>
      <c r="D15594" s="209"/>
      <c r="E15594" s="209"/>
      <c r="J15594" s="124"/>
    </row>
    <row r="15595" spans="3:10" x14ac:dyDescent="0.2">
      <c r="C15595" s="209"/>
      <c r="D15595" s="209"/>
      <c r="E15595" s="209"/>
      <c r="J15595" s="124"/>
    </row>
    <row r="15596" spans="3:10" x14ac:dyDescent="0.2">
      <c r="C15596" s="209"/>
      <c r="D15596" s="209"/>
      <c r="E15596" s="209"/>
      <c r="J15596" s="124"/>
    </row>
    <row r="15597" spans="3:10" x14ac:dyDescent="0.2">
      <c r="C15597" s="209"/>
      <c r="D15597" s="209"/>
      <c r="E15597" s="209"/>
      <c r="J15597" s="124"/>
    </row>
    <row r="15598" spans="3:10" x14ac:dyDescent="0.2">
      <c r="C15598" s="209"/>
      <c r="D15598" s="209"/>
      <c r="E15598" s="209"/>
      <c r="J15598" s="124"/>
    </row>
    <row r="15599" spans="3:10" x14ac:dyDescent="0.2">
      <c r="C15599" s="209"/>
      <c r="D15599" s="209"/>
      <c r="E15599" s="209"/>
      <c r="J15599" s="124"/>
    </row>
    <row r="15600" spans="3:10" x14ac:dyDescent="0.2">
      <c r="C15600" s="209"/>
      <c r="D15600" s="209"/>
      <c r="E15600" s="209"/>
      <c r="J15600" s="124"/>
    </row>
    <row r="15601" spans="3:10" x14ac:dyDescent="0.2">
      <c r="C15601" s="209"/>
      <c r="D15601" s="209"/>
      <c r="E15601" s="209"/>
      <c r="J15601" s="124"/>
    </row>
    <row r="15602" spans="3:10" x14ac:dyDescent="0.2">
      <c r="C15602" s="209"/>
      <c r="D15602" s="209"/>
      <c r="E15602" s="209"/>
      <c r="J15602" s="124"/>
    </row>
    <row r="15603" spans="3:10" x14ac:dyDescent="0.2">
      <c r="C15603" s="209"/>
      <c r="D15603" s="209"/>
      <c r="E15603" s="209"/>
      <c r="J15603" s="124"/>
    </row>
    <row r="15604" spans="3:10" x14ac:dyDescent="0.2">
      <c r="C15604" s="209"/>
      <c r="D15604" s="209"/>
      <c r="E15604" s="209"/>
      <c r="J15604" s="124"/>
    </row>
    <row r="15605" spans="3:10" x14ac:dyDescent="0.2">
      <c r="C15605" s="209"/>
      <c r="D15605" s="209"/>
      <c r="E15605" s="209"/>
      <c r="J15605" s="124"/>
    </row>
    <row r="15606" spans="3:10" x14ac:dyDescent="0.2">
      <c r="C15606" s="209"/>
      <c r="D15606" s="209"/>
      <c r="E15606" s="209"/>
      <c r="J15606" s="124"/>
    </row>
    <row r="15607" spans="3:10" x14ac:dyDescent="0.2">
      <c r="C15607" s="209"/>
      <c r="D15607" s="209"/>
      <c r="E15607" s="209"/>
      <c r="J15607" s="124"/>
    </row>
    <row r="15608" spans="3:10" x14ac:dyDescent="0.2">
      <c r="C15608" s="209"/>
      <c r="D15608" s="209"/>
      <c r="E15608" s="209"/>
      <c r="J15608" s="124"/>
    </row>
    <row r="15609" spans="3:10" x14ac:dyDescent="0.2">
      <c r="C15609" s="209"/>
      <c r="D15609" s="209"/>
      <c r="E15609" s="209"/>
      <c r="J15609" s="124"/>
    </row>
    <row r="15610" spans="3:10" x14ac:dyDescent="0.2">
      <c r="C15610" s="209"/>
      <c r="D15610" s="209"/>
      <c r="E15610" s="209"/>
      <c r="J15610" s="124"/>
    </row>
    <row r="15611" spans="3:10" x14ac:dyDescent="0.2">
      <c r="C15611" s="209"/>
      <c r="D15611" s="209"/>
      <c r="E15611" s="209"/>
      <c r="J15611" s="124"/>
    </row>
    <row r="15612" spans="3:10" x14ac:dyDescent="0.2">
      <c r="C15612" s="209"/>
      <c r="D15612" s="209"/>
      <c r="E15612" s="209"/>
      <c r="J15612" s="124"/>
    </row>
    <row r="15613" spans="3:10" x14ac:dyDescent="0.2">
      <c r="C15613" s="209"/>
      <c r="D15613" s="209"/>
      <c r="E15613" s="209"/>
      <c r="J15613" s="124"/>
    </row>
    <row r="15614" spans="3:10" x14ac:dyDescent="0.2">
      <c r="C15614" s="209"/>
      <c r="D15614" s="209"/>
      <c r="E15614" s="209"/>
      <c r="J15614" s="124"/>
    </row>
    <row r="15615" spans="3:10" x14ac:dyDescent="0.2">
      <c r="C15615" s="209"/>
      <c r="D15615" s="209"/>
      <c r="E15615" s="209"/>
      <c r="J15615" s="124"/>
    </row>
    <row r="15616" spans="3:10" x14ac:dyDescent="0.2">
      <c r="C15616" s="209"/>
      <c r="D15616" s="209"/>
      <c r="E15616" s="209"/>
      <c r="J15616" s="124"/>
    </row>
    <row r="15617" spans="3:10" x14ac:dyDescent="0.2">
      <c r="C15617" s="209"/>
      <c r="D15617" s="209"/>
      <c r="E15617" s="209"/>
      <c r="J15617" s="124"/>
    </row>
    <row r="15618" spans="3:10" x14ac:dyDescent="0.2">
      <c r="C15618" s="209"/>
      <c r="D15618" s="209"/>
      <c r="E15618" s="209"/>
      <c r="J15618" s="124"/>
    </row>
    <row r="15619" spans="3:10" x14ac:dyDescent="0.2">
      <c r="C15619" s="209"/>
      <c r="D15619" s="209"/>
      <c r="E15619" s="209"/>
      <c r="J15619" s="124"/>
    </row>
    <row r="15620" spans="3:10" x14ac:dyDescent="0.2">
      <c r="C15620" s="209"/>
      <c r="D15620" s="209"/>
      <c r="E15620" s="209"/>
      <c r="J15620" s="124"/>
    </row>
    <row r="15621" spans="3:10" x14ac:dyDescent="0.2">
      <c r="C15621" s="209"/>
      <c r="D15621" s="209"/>
      <c r="E15621" s="209"/>
      <c r="J15621" s="124"/>
    </row>
    <row r="15622" spans="3:10" x14ac:dyDescent="0.2">
      <c r="C15622" s="209"/>
      <c r="D15622" s="209"/>
      <c r="E15622" s="209"/>
      <c r="J15622" s="124"/>
    </row>
    <row r="15623" spans="3:10" x14ac:dyDescent="0.2">
      <c r="C15623" s="209"/>
      <c r="D15623" s="209"/>
      <c r="E15623" s="209"/>
      <c r="J15623" s="124"/>
    </row>
    <row r="15624" spans="3:10" x14ac:dyDescent="0.2">
      <c r="C15624" s="209"/>
      <c r="D15624" s="209"/>
      <c r="E15624" s="209"/>
      <c r="J15624" s="124"/>
    </row>
    <row r="15625" spans="3:10" x14ac:dyDescent="0.2">
      <c r="C15625" s="209"/>
      <c r="D15625" s="209"/>
      <c r="E15625" s="209"/>
      <c r="J15625" s="124"/>
    </row>
    <row r="15626" spans="3:10" x14ac:dyDescent="0.2">
      <c r="C15626" s="209"/>
      <c r="D15626" s="209"/>
      <c r="E15626" s="209"/>
      <c r="J15626" s="124"/>
    </row>
    <row r="15627" spans="3:10" x14ac:dyDescent="0.2">
      <c r="C15627" s="209"/>
      <c r="D15627" s="209"/>
      <c r="E15627" s="209"/>
      <c r="J15627" s="124"/>
    </row>
    <row r="15628" spans="3:10" x14ac:dyDescent="0.2">
      <c r="C15628" s="209"/>
      <c r="D15628" s="209"/>
      <c r="E15628" s="209"/>
      <c r="J15628" s="124"/>
    </row>
    <row r="15629" spans="3:10" x14ac:dyDescent="0.2">
      <c r="C15629" s="209"/>
      <c r="D15629" s="209"/>
      <c r="E15629" s="209"/>
      <c r="J15629" s="124"/>
    </row>
    <row r="15630" spans="3:10" x14ac:dyDescent="0.2">
      <c r="C15630" s="209"/>
      <c r="D15630" s="209"/>
      <c r="E15630" s="209"/>
      <c r="J15630" s="124"/>
    </row>
    <row r="15631" spans="3:10" x14ac:dyDescent="0.2">
      <c r="C15631" s="209"/>
      <c r="D15631" s="209"/>
      <c r="E15631" s="209"/>
      <c r="J15631" s="124"/>
    </row>
    <row r="15632" spans="3:10" x14ac:dyDescent="0.2">
      <c r="C15632" s="209"/>
      <c r="D15632" s="209"/>
      <c r="E15632" s="209"/>
      <c r="J15632" s="124"/>
    </row>
    <row r="15633" spans="3:10" x14ac:dyDescent="0.2">
      <c r="C15633" s="209"/>
      <c r="D15633" s="209"/>
      <c r="E15633" s="209"/>
      <c r="J15633" s="124"/>
    </row>
    <row r="15634" spans="3:10" x14ac:dyDescent="0.2">
      <c r="C15634" s="209"/>
      <c r="D15634" s="209"/>
      <c r="E15634" s="209"/>
      <c r="J15634" s="124"/>
    </row>
    <row r="15635" spans="3:10" x14ac:dyDescent="0.2">
      <c r="C15635" s="209"/>
      <c r="D15635" s="209"/>
      <c r="E15635" s="209"/>
      <c r="J15635" s="124"/>
    </row>
    <row r="15636" spans="3:10" x14ac:dyDescent="0.2">
      <c r="C15636" s="209"/>
      <c r="D15636" s="209"/>
      <c r="E15636" s="209"/>
      <c r="J15636" s="124"/>
    </row>
    <row r="15637" spans="3:10" x14ac:dyDescent="0.2">
      <c r="C15637" s="209"/>
      <c r="D15637" s="209"/>
      <c r="E15637" s="209"/>
      <c r="J15637" s="124"/>
    </row>
    <row r="15638" spans="3:10" x14ac:dyDescent="0.2">
      <c r="C15638" s="209"/>
      <c r="D15638" s="209"/>
      <c r="E15638" s="209"/>
      <c r="J15638" s="124"/>
    </row>
    <row r="15639" spans="3:10" x14ac:dyDescent="0.2">
      <c r="C15639" s="209"/>
      <c r="D15639" s="209"/>
      <c r="E15639" s="209"/>
      <c r="J15639" s="124"/>
    </row>
    <row r="15640" spans="3:10" x14ac:dyDescent="0.2">
      <c r="C15640" s="209"/>
      <c r="D15640" s="209"/>
      <c r="E15640" s="209"/>
      <c r="J15640" s="124"/>
    </row>
    <row r="15641" spans="3:10" x14ac:dyDescent="0.2">
      <c r="C15641" s="209"/>
      <c r="D15641" s="209"/>
      <c r="E15641" s="209"/>
      <c r="J15641" s="124"/>
    </row>
    <row r="15642" spans="3:10" x14ac:dyDescent="0.2">
      <c r="C15642" s="209"/>
      <c r="D15642" s="209"/>
      <c r="E15642" s="209"/>
      <c r="J15642" s="124"/>
    </row>
    <row r="15643" spans="3:10" x14ac:dyDescent="0.2">
      <c r="C15643" s="209"/>
      <c r="D15643" s="209"/>
      <c r="E15643" s="209"/>
      <c r="J15643" s="124"/>
    </row>
    <row r="15644" spans="3:10" x14ac:dyDescent="0.2">
      <c r="C15644" s="209"/>
      <c r="D15644" s="209"/>
      <c r="E15644" s="209"/>
      <c r="J15644" s="124"/>
    </row>
    <row r="15645" spans="3:10" x14ac:dyDescent="0.2">
      <c r="C15645" s="209"/>
      <c r="D15645" s="209"/>
      <c r="E15645" s="209"/>
      <c r="J15645" s="124"/>
    </row>
    <row r="15646" spans="3:10" x14ac:dyDescent="0.2">
      <c r="C15646" s="209"/>
      <c r="D15646" s="209"/>
      <c r="E15646" s="209"/>
      <c r="J15646" s="124"/>
    </row>
    <row r="15647" spans="3:10" x14ac:dyDescent="0.2">
      <c r="C15647" s="209"/>
      <c r="D15647" s="209"/>
      <c r="E15647" s="209"/>
      <c r="J15647" s="124"/>
    </row>
    <row r="15648" spans="3:10" x14ac:dyDescent="0.2">
      <c r="C15648" s="209"/>
      <c r="D15648" s="209"/>
      <c r="E15648" s="209"/>
      <c r="J15648" s="124"/>
    </row>
    <row r="15649" spans="3:10" x14ac:dyDescent="0.2">
      <c r="C15649" s="209"/>
      <c r="D15649" s="209"/>
      <c r="E15649" s="209"/>
      <c r="J15649" s="124"/>
    </row>
    <row r="15650" spans="3:10" x14ac:dyDescent="0.2">
      <c r="C15650" s="209"/>
      <c r="D15650" s="209"/>
      <c r="E15650" s="209"/>
      <c r="J15650" s="124"/>
    </row>
    <row r="15651" spans="3:10" x14ac:dyDescent="0.2">
      <c r="C15651" s="209"/>
      <c r="D15651" s="209"/>
      <c r="E15651" s="209"/>
      <c r="J15651" s="124"/>
    </row>
    <row r="15652" spans="3:10" x14ac:dyDescent="0.2">
      <c r="C15652" s="209"/>
      <c r="D15652" s="209"/>
      <c r="E15652" s="209"/>
      <c r="J15652" s="124"/>
    </row>
    <row r="15653" spans="3:10" x14ac:dyDescent="0.2">
      <c r="C15653" s="209"/>
      <c r="D15653" s="209"/>
      <c r="E15653" s="209"/>
      <c r="J15653" s="124"/>
    </row>
    <row r="15654" spans="3:10" x14ac:dyDescent="0.2">
      <c r="C15654" s="209"/>
      <c r="D15654" s="209"/>
      <c r="E15654" s="209"/>
      <c r="J15654" s="124"/>
    </row>
    <row r="15655" spans="3:10" x14ac:dyDescent="0.2">
      <c r="C15655" s="209"/>
      <c r="D15655" s="209"/>
      <c r="E15655" s="209"/>
      <c r="J15655" s="124"/>
    </row>
    <row r="15656" spans="3:10" x14ac:dyDescent="0.2">
      <c r="C15656" s="209"/>
      <c r="D15656" s="209"/>
      <c r="E15656" s="209"/>
      <c r="J15656" s="124"/>
    </row>
    <row r="15657" spans="3:10" x14ac:dyDescent="0.2">
      <c r="C15657" s="209"/>
      <c r="D15657" s="209"/>
      <c r="E15657" s="209"/>
      <c r="J15657" s="124"/>
    </row>
    <row r="15658" spans="3:10" x14ac:dyDescent="0.2">
      <c r="C15658" s="209"/>
      <c r="D15658" s="209"/>
      <c r="E15658" s="209"/>
      <c r="J15658" s="124"/>
    </row>
    <row r="15659" spans="3:10" x14ac:dyDescent="0.2">
      <c r="C15659" s="209"/>
      <c r="D15659" s="209"/>
      <c r="E15659" s="209"/>
      <c r="J15659" s="124"/>
    </row>
    <row r="15660" spans="3:10" x14ac:dyDescent="0.2">
      <c r="C15660" s="209"/>
      <c r="D15660" s="209"/>
      <c r="E15660" s="209"/>
      <c r="J15660" s="124"/>
    </row>
    <row r="15661" spans="3:10" x14ac:dyDescent="0.2">
      <c r="C15661" s="209"/>
      <c r="D15661" s="209"/>
      <c r="E15661" s="209"/>
      <c r="J15661" s="124"/>
    </row>
    <row r="15662" spans="3:10" x14ac:dyDescent="0.2">
      <c r="C15662" s="209"/>
      <c r="D15662" s="209"/>
      <c r="E15662" s="209"/>
      <c r="J15662" s="124"/>
    </row>
    <row r="15663" spans="3:10" x14ac:dyDescent="0.2">
      <c r="C15663" s="209"/>
      <c r="D15663" s="209"/>
      <c r="E15663" s="209"/>
      <c r="J15663" s="124"/>
    </row>
    <row r="15664" spans="3:10" x14ac:dyDescent="0.2">
      <c r="C15664" s="209"/>
      <c r="D15664" s="209"/>
      <c r="E15664" s="209"/>
      <c r="J15664" s="124"/>
    </row>
    <row r="15665" spans="3:10" x14ac:dyDescent="0.2">
      <c r="C15665" s="209"/>
      <c r="D15665" s="209"/>
      <c r="E15665" s="209"/>
      <c r="J15665" s="124"/>
    </row>
    <row r="15666" spans="3:10" x14ac:dyDescent="0.2">
      <c r="C15666" s="209"/>
      <c r="D15666" s="209"/>
      <c r="E15666" s="209"/>
      <c r="J15666" s="124"/>
    </row>
    <row r="15667" spans="3:10" x14ac:dyDescent="0.2">
      <c r="C15667" s="209"/>
      <c r="D15667" s="209"/>
      <c r="E15667" s="209"/>
      <c r="J15667" s="124"/>
    </row>
    <row r="15668" spans="3:10" x14ac:dyDescent="0.2">
      <c r="C15668" s="209"/>
      <c r="D15668" s="209"/>
      <c r="E15668" s="209"/>
      <c r="J15668" s="124"/>
    </row>
    <row r="15669" spans="3:10" x14ac:dyDescent="0.2">
      <c r="C15669" s="209"/>
      <c r="D15669" s="209"/>
      <c r="E15669" s="209"/>
      <c r="J15669" s="124"/>
    </row>
    <row r="15670" spans="3:10" x14ac:dyDescent="0.2">
      <c r="C15670" s="209"/>
      <c r="D15670" s="209"/>
      <c r="E15670" s="209"/>
      <c r="J15670" s="124"/>
    </row>
    <row r="15671" spans="3:10" x14ac:dyDescent="0.2">
      <c r="C15671" s="209"/>
      <c r="D15671" s="209"/>
      <c r="E15671" s="209"/>
      <c r="J15671" s="124"/>
    </row>
    <row r="15672" spans="3:10" x14ac:dyDescent="0.2">
      <c r="C15672" s="209"/>
      <c r="D15672" s="209"/>
      <c r="E15672" s="209"/>
      <c r="J15672" s="124"/>
    </row>
    <row r="15673" spans="3:10" x14ac:dyDescent="0.2">
      <c r="C15673" s="209"/>
      <c r="D15673" s="209"/>
      <c r="E15673" s="209"/>
      <c r="J15673" s="124"/>
    </row>
    <row r="15674" spans="3:10" x14ac:dyDescent="0.2">
      <c r="C15674" s="209"/>
      <c r="D15674" s="209"/>
      <c r="E15674" s="209"/>
      <c r="J15674" s="124"/>
    </row>
    <row r="15675" spans="3:10" x14ac:dyDescent="0.2">
      <c r="C15675" s="209"/>
      <c r="D15675" s="209"/>
      <c r="E15675" s="209"/>
      <c r="J15675" s="124"/>
    </row>
    <row r="15676" spans="3:10" x14ac:dyDescent="0.2">
      <c r="C15676" s="209"/>
      <c r="D15676" s="209"/>
      <c r="E15676" s="209"/>
      <c r="J15676" s="124"/>
    </row>
    <row r="15677" spans="3:10" x14ac:dyDescent="0.2">
      <c r="C15677" s="209"/>
      <c r="D15677" s="209"/>
      <c r="E15677" s="209"/>
      <c r="J15677" s="124"/>
    </row>
    <row r="15678" spans="3:10" x14ac:dyDescent="0.2">
      <c r="C15678" s="209"/>
      <c r="D15678" s="209"/>
      <c r="E15678" s="209"/>
      <c r="J15678" s="124"/>
    </row>
    <row r="15679" spans="3:10" x14ac:dyDescent="0.2">
      <c r="C15679" s="209"/>
      <c r="D15679" s="209"/>
      <c r="E15679" s="209"/>
      <c r="J15679" s="124"/>
    </row>
    <row r="15680" spans="3:10" x14ac:dyDescent="0.2">
      <c r="C15680" s="209"/>
      <c r="D15680" s="209"/>
      <c r="E15680" s="209"/>
      <c r="J15680" s="124"/>
    </row>
    <row r="15681" spans="3:10" x14ac:dyDescent="0.2">
      <c r="C15681" s="209"/>
      <c r="D15681" s="209"/>
      <c r="E15681" s="209"/>
      <c r="J15681" s="124"/>
    </row>
    <row r="15682" spans="3:10" x14ac:dyDescent="0.2">
      <c r="C15682" s="209"/>
      <c r="D15682" s="209"/>
      <c r="E15682" s="209"/>
      <c r="J15682" s="124"/>
    </row>
    <row r="15683" spans="3:10" x14ac:dyDescent="0.2">
      <c r="C15683" s="209"/>
      <c r="D15683" s="209"/>
      <c r="E15683" s="209"/>
      <c r="J15683" s="124"/>
    </row>
    <row r="15684" spans="3:10" x14ac:dyDescent="0.2">
      <c r="C15684" s="209"/>
      <c r="D15684" s="209"/>
      <c r="E15684" s="209"/>
      <c r="J15684" s="124"/>
    </row>
    <row r="15685" spans="3:10" x14ac:dyDescent="0.2">
      <c r="C15685" s="209"/>
      <c r="D15685" s="209"/>
      <c r="E15685" s="209"/>
      <c r="J15685" s="124"/>
    </row>
    <row r="15686" spans="3:10" x14ac:dyDescent="0.2">
      <c r="C15686" s="209"/>
      <c r="D15686" s="209"/>
      <c r="E15686" s="209"/>
      <c r="J15686" s="124"/>
    </row>
    <row r="15687" spans="3:10" x14ac:dyDescent="0.2">
      <c r="C15687" s="209"/>
      <c r="D15687" s="209"/>
      <c r="E15687" s="209"/>
      <c r="J15687" s="124"/>
    </row>
    <row r="15688" spans="3:10" x14ac:dyDescent="0.2">
      <c r="C15688" s="209"/>
      <c r="D15688" s="209"/>
      <c r="E15688" s="209"/>
      <c r="J15688" s="124"/>
    </row>
    <row r="15689" spans="3:10" x14ac:dyDescent="0.2">
      <c r="C15689" s="209"/>
      <c r="D15689" s="209"/>
      <c r="E15689" s="209"/>
      <c r="J15689" s="124"/>
    </row>
    <row r="15690" spans="3:10" x14ac:dyDescent="0.2">
      <c r="C15690" s="209"/>
      <c r="D15690" s="209"/>
      <c r="E15690" s="209"/>
      <c r="J15690" s="124"/>
    </row>
    <row r="15691" spans="3:10" x14ac:dyDescent="0.2">
      <c r="C15691" s="209"/>
      <c r="D15691" s="209"/>
      <c r="E15691" s="209"/>
      <c r="J15691" s="124"/>
    </row>
    <row r="15692" spans="3:10" x14ac:dyDescent="0.2">
      <c r="C15692" s="209"/>
      <c r="D15692" s="209"/>
      <c r="E15692" s="209"/>
      <c r="J15692" s="124"/>
    </row>
    <row r="15693" spans="3:10" x14ac:dyDescent="0.2">
      <c r="C15693" s="209"/>
      <c r="D15693" s="209"/>
      <c r="E15693" s="209"/>
      <c r="J15693" s="124"/>
    </row>
    <row r="15694" spans="3:10" x14ac:dyDescent="0.2">
      <c r="C15694" s="209"/>
      <c r="D15694" s="209"/>
      <c r="E15694" s="209"/>
      <c r="J15694" s="124"/>
    </row>
    <row r="15695" spans="3:10" x14ac:dyDescent="0.2">
      <c r="C15695" s="209"/>
      <c r="D15695" s="209"/>
      <c r="E15695" s="209"/>
      <c r="J15695" s="124"/>
    </row>
    <row r="15696" spans="3:10" x14ac:dyDescent="0.2">
      <c r="C15696" s="209"/>
      <c r="D15696" s="209"/>
      <c r="E15696" s="209"/>
      <c r="J15696" s="124"/>
    </row>
    <row r="15697" spans="3:10" x14ac:dyDescent="0.2">
      <c r="C15697" s="209"/>
      <c r="D15697" s="209"/>
      <c r="E15697" s="209"/>
      <c r="J15697" s="124"/>
    </row>
    <row r="15698" spans="3:10" x14ac:dyDescent="0.2">
      <c r="C15698" s="209"/>
      <c r="D15698" s="209"/>
      <c r="E15698" s="209"/>
      <c r="J15698" s="124"/>
    </row>
    <row r="15699" spans="3:10" x14ac:dyDescent="0.2">
      <c r="C15699" s="209"/>
      <c r="D15699" s="209"/>
      <c r="E15699" s="209"/>
      <c r="J15699" s="124"/>
    </row>
    <row r="15700" spans="3:10" x14ac:dyDescent="0.2">
      <c r="C15700" s="209"/>
      <c r="D15700" s="209"/>
      <c r="E15700" s="209"/>
      <c r="J15700" s="124"/>
    </row>
    <row r="15701" spans="3:10" x14ac:dyDescent="0.2">
      <c r="C15701" s="209"/>
      <c r="D15701" s="209"/>
      <c r="E15701" s="209"/>
      <c r="J15701" s="124"/>
    </row>
    <row r="15702" spans="3:10" x14ac:dyDescent="0.2">
      <c r="C15702" s="209"/>
      <c r="D15702" s="209"/>
      <c r="E15702" s="209"/>
      <c r="J15702" s="124"/>
    </row>
    <row r="15703" spans="3:10" x14ac:dyDescent="0.2">
      <c r="C15703" s="209"/>
      <c r="D15703" s="209"/>
      <c r="E15703" s="209"/>
      <c r="J15703" s="124"/>
    </row>
    <row r="15704" spans="3:10" x14ac:dyDescent="0.2">
      <c r="C15704" s="209"/>
      <c r="D15704" s="209"/>
      <c r="E15704" s="209"/>
      <c r="J15704" s="124"/>
    </row>
    <row r="15705" spans="3:10" x14ac:dyDescent="0.2">
      <c r="C15705" s="209"/>
      <c r="D15705" s="209"/>
      <c r="E15705" s="209"/>
      <c r="J15705" s="124"/>
    </row>
    <row r="15706" spans="3:10" x14ac:dyDescent="0.2">
      <c r="C15706" s="209"/>
      <c r="D15706" s="209"/>
      <c r="E15706" s="209"/>
      <c r="J15706" s="124"/>
    </row>
    <row r="15707" spans="3:10" x14ac:dyDescent="0.2">
      <c r="C15707" s="209"/>
      <c r="D15707" s="209"/>
      <c r="E15707" s="209"/>
      <c r="J15707" s="124"/>
    </row>
    <row r="15708" spans="3:10" x14ac:dyDescent="0.2">
      <c r="C15708" s="209"/>
      <c r="D15708" s="209"/>
      <c r="E15708" s="209"/>
      <c r="J15708" s="124"/>
    </row>
    <row r="15709" spans="3:10" x14ac:dyDescent="0.2">
      <c r="C15709" s="209"/>
      <c r="D15709" s="209"/>
      <c r="E15709" s="209"/>
      <c r="J15709" s="124"/>
    </row>
    <row r="15710" spans="3:10" x14ac:dyDescent="0.2">
      <c r="C15710" s="209"/>
      <c r="D15710" s="209"/>
      <c r="E15710" s="209"/>
      <c r="J15710" s="124"/>
    </row>
    <row r="15711" spans="3:10" x14ac:dyDescent="0.2">
      <c r="C15711" s="209"/>
      <c r="D15711" s="209"/>
      <c r="E15711" s="209"/>
      <c r="J15711" s="124"/>
    </row>
    <row r="15712" spans="3:10" x14ac:dyDescent="0.2">
      <c r="C15712" s="209"/>
      <c r="D15712" s="209"/>
      <c r="E15712" s="209"/>
      <c r="J15712" s="124"/>
    </row>
    <row r="15713" spans="3:10" x14ac:dyDescent="0.2">
      <c r="C15713" s="209"/>
      <c r="D15713" s="209"/>
      <c r="E15713" s="209"/>
      <c r="J15713" s="124"/>
    </row>
    <row r="15714" spans="3:10" x14ac:dyDescent="0.2">
      <c r="C15714" s="209"/>
      <c r="D15714" s="209"/>
      <c r="E15714" s="209"/>
      <c r="J15714" s="124"/>
    </row>
    <row r="15715" spans="3:10" x14ac:dyDescent="0.2">
      <c r="C15715" s="209"/>
      <c r="D15715" s="209"/>
      <c r="E15715" s="209"/>
      <c r="J15715" s="124"/>
    </row>
    <row r="15716" spans="3:10" x14ac:dyDescent="0.2">
      <c r="C15716" s="209"/>
      <c r="D15716" s="209"/>
      <c r="E15716" s="209"/>
      <c r="J15716" s="124"/>
    </row>
    <row r="15717" spans="3:10" x14ac:dyDescent="0.2">
      <c r="C15717" s="209"/>
      <c r="D15717" s="209"/>
      <c r="E15717" s="209"/>
      <c r="J15717" s="124"/>
    </row>
    <row r="15718" spans="3:10" x14ac:dyDescent="0.2">
      <c r="C15718" s="209"/>
      <c r="D15718" s="209"/>
      <c r="E15718" s="209"/>
      <c r="J15718" s="124"/>
    </row>
    <row r="15719" spans="3:10" x14ac:dyDescent="0.2">
      <c r="C15719" s="209"/>
      <c r="D15719" s="209"/>
      <c r="E15719" s="209"/>
      <c r="J15719" s="124"/>
    </row>
    <row r="15720" spans="3:10" x14ac:dyDescent="0.2">
      <c r="C15720" s="209"/>
      <c r="D15720" s="209"/>
      <c r="E15720" s="209"/>
      <c r="J15720" s="124"/>
    </row>
    <row r="15721" spans="3:10" x14ac:dyDescent="0.2">
      <c r="C15721" s="209"/>
      <c r="D15721" s="209"/>
      <c r="E15721" s="209"/>
      <c r="J15721" s="124"/>
    </row>
    <row r="15722" spans="3:10" x14ac:dyDescent="0.2">
      <c r="C15722" s="209"/>
      <c r="D15722" s="209"/>
      <c r="E15722" s="209"/>
      <c r="J15722" s="124"/>
    </row>
    <row r="15723" spans="3:10" x14ac:dyDescent="0.2">
      <c r="C15723" s="209"/>
      <c r="D15723" s="209"/>
      <c r="E15723" s="209"/>
      <c r="J15723" s="124"/>
    </row>
    <row r="15724" spans="3:10" x14ac:dyDescent="0.2">
      <c r="C15724" s="209"/>
      <c r="D15724" s="209"/>
      <c r="E15724" s="209"/>
      <c r="J15724" s="124"/>
    </row>
    <row r="15725" spans="3:10" x14ac:dyDescent="0.2">
      <c r="C15725" s="209"/>
      <c r="D15725" s="209"/>
      <c r="E15725" s="209"/>
      <c r="J15725" s="124"/>
    </row>
    <row r="15726" spans="3:10" x14ac:dyDescent="0.2">
      <c r="C15726" s="209"/>
      <c r="D15726" s="209"/>
      <c r="E15726" s="209"/>
      <c r="J15726" s="124"/>
    </row>
    <row r="15727" spans="3:10" x14ac:dyDescent="0.2">
      <c r="C15727" s="209"/>
      <c r="D15727" s="209"/>
      <c r="E15727" s="209"/>
      <c r="J15727" s="124"/>
    </row>
    <row r="15728" spans="3:10" x14ac:dyDescent="0.2">
      <c r="C15728" s="209"/>
      <c r="D15728" s="209"/>
      <c r="E15728" s="209"/>
      <c r="J15728" s="124"/>
    </row>
    <row r="15729" spans="3:10" x14ac:dyDescent="0.2">
      <c r="C15729" s="209"/>
      <c r="D15729" s="209"/>
      <c r="E15729" s="209"/>
      <c r="J15729" s="124"/>
    </row>
    <row r="15730" spans="3:10" x14ac:dyDescent="0.2">
      <c r="C15730" s="209"/>
      <c r="D15730" s="209"/>
      <c r="E15730" s="209"/>
      <c r="J15730" s="124"/>
    </row>
    <row r="15731" spans="3:10" x14ac:dyDescent="0.2">
      <c r="C15731" s="209"/>
      <c r="D15731" s="209"/>
      <c r="E15731" s="209"/>
      <c r="J15731" s="124"/>
    </row>
    <row r="15732" spans="3:10" x14ac:dyDescent="0.2">
      <c r="C15732" s="209"/>
      <c r="D15732" s="209"/>
      <c r="E15732" s="209"/>
      <c r="J15732" s="124"/>
    </row>
    <row r="15733" spans="3:10" x14ac:dyDescent="0.2">
      <c r="C15733" s="209"/>
      <c r="D15733" s="209"/>
      <c r="E15733" s="209"/>
      <c r="J15733" s="124"/>
    </row>
    <row r="15734" spans="3:10" x14ac:dyDescent="0.2">
      <c r="C15734" s="209"/>
      <c r="D15734" s="209"/>
      <c r="E15734" s="209"/>
      <c r="J15734" s="124"/>
    </row>
    <row r="15735" spans="3:10" x14ac:dyDescent="0.2">
      <c r="C15735" s="209"/>
      <c r="D15735" s="209"/>
      <c r="E15735" s="209"/>
      <c r="J15735" s="124"/>
    </row>
    <row r="15736" spans="3:10" x14ac:dyDescent="0.2">
      <c r="C15736" s="209"/>
      <c r="D15736" s="209"/>
      <c r="E15736" s="209"/>
      <c r="J15736" s="124"/>
    </row>
    <row r="15737" spans="3:10" x14ac:dyDescent="0.2">
      <c r="C15737" s="209"/>
      <c r="D15737" s="209"/>
      <c r="E15737" s="209"/>
      <c r="J15737" s="124"/>
    </row>
    <row r="15738" spans="3:10" x14ac:dyDescent="0.2">
      <c r="C15738" s="209"/>
      <c r="D15738" s="209"/>
      <c r="E15738" s="209"/>
      <c r="J15738" s="124"/>
    </row>
    <row r="15739" spans="3:10" x14ac:dyDescent="0.2">
      <c r="C15739" s="209"/>
      <c r="D15739" s="209"/>
      <c r="E15739" s="209"/>
      <c r="J15739" s="124"/>
    </row>
    <row r="15740" spans="3:10" x14ac:dyDescent="0.2">
      <c r="C15740" s="209"/>
      <c r="D15740" s="209"/>
      <c r="E15740" s="209"/>
      <c r="J15740" s="124"/>
    </row>
    <row r="15741" spans="3:10" x14ac:dyDescent="0.2">
      <c r="C15741" s="209"/>
      <c r="D15741" s="209"/>
      <c r="E15741" s="209"/>
      <c r="J15741" s="124"/>
    </row>
    <row r="15742" spans="3:10" x14ac:dyDescent="0.2">
      <c r="C15742" s="209"/>
      <c r="D15742" s="209"/>
      <c r="E15742" s="209"/>
      <c r="J15742" s="124"/>
    </row>
    <row r="15743" spans="3:10" x14ac:dyDescent="0.2">
      <c r="C15743" s="209"/>
      <c r="D15743" s="209"/>
      <c r="E15743" s="209"/>
      <c r="J15743" s="124"/>
    </row>
    <row r="15744" spans="3:10" x14ac:dyDescent="0.2">
      <c r="C15744" s="209"/>
      <c r="D15744" s="209"/>
      <c r="E15744" s="209"/>
      <c r="J15744" s="124"/>
    </row>
    <row r="15745" spans="3:10" x14ac:dyDescent="0.2">
      <c r="C15745" s="209"/>
      <c r="D15745" s="209"/>
      <c r="E15745" s="209"/>
      <c r="J15745" s="124"/>
    </row>
    <row r="15746" spans="3:10" x14ac:dyDescent="0.2">
      <c r="C15746" s="209"/>
      <c r="D15746" s="209"/>
      <c r="E15746" s="209"/>
      <c r="J15746" s="124"/>
    </row>
    <row r="15747" spans="3:10" x14ac:dyDescent="0.2">
      <c r="C15747" s="209"/>
      <c r="D15747" s="209"/>
      <c r="E15747" s="209"/>
      <c r="J15747" s="124"/>
    </row>
    <row r="15748" spans="3:10" x14ac:dyDescent="0.2">
      <c r="C15748" s="209"/>
      <c r="D15748" s="209"/>
      <c r="E15748" s="209"/>
      <c r="J15748" s="124"/>
    </row>
    <row r="15749" spans="3:10" x14ac:dyDescent="0.2">
      <c r="C15749" s="209"/>
      <c r="D15749" s="209"/>
      <c r="E15749" s="209"/>
      <c r="J15749" s="124"/>
    </row>
    <row r="15750" spans="3:10" x14ac:dyDescent="0.2">
      <c r="C15750" s="209"/>
      <c r="D15750" s="209"/>
      <c r="E15750" s="209"/>
      <c r="J15750" s="124"/>
    </row>
    <row r="15751" spans="3:10" x14ac:dyDescent="0.2">
      <c r="C15751" s="209"/>
      <c r="D15751" s="209"/>
      <c r="E15751" s="209"/>
      <c r="J15751" s="124"/>
    </row>
    <row r="15752" spans="3:10" x14ac:dyDescent="0.2">
      <c r="C15752" s="209"/>
      <c r="D15752" s="209"/>
      <c r="E15752" s="209"/>
      <c r="J15752" s="124"/>
    </row>
    <row r="15753" spans="3:10" x14ac:dyDescent="0.2">
      <c r="C15753" s="209"/>
      <c r="D15753" s="209"/>
      <c r="E15753" s="209"/>
      <c r="J15753" s="124"/>
    </row>
    <row r="15754" spans="3:10" x14ac:dyDescent="0.2">
      <c r="C15754" s="209"/>
      <c r="D15754" s="209"/>
      <c r="E15754" s="209"/>
      <c r="J15754" s="124"/>
    </row>
    <row r="15755" spans="3:10" x14ac:dyDescent="0.2">
      <c r="C15755" s="209"/>
      <c r="D15755" s="209"/>
      <c r="E15755" s="209"/>
      <c r="J15755" s="124"/>
    </row>
    <row r="15756" spans="3:10" x14ac:dyDescent="0.2">
      <c r="C15756" s="209"/>
      <c r="D15756" s="209"/>
      <c r="E15756" s="209"/>
      <c r="J15756" s="124"/>
    </row>
    <row r="15757" spans="3:10" x14ac:dyDescent="0.2">
      <c r="C15757" s="209"/>
      <c r="D15757" s="209"/>
      <c r="E15757" s="209"/>
      <c r="J15757" s="124"/>
    </row>
    <row r="15758" spans="3:10" x14ac:dyDescent="0.2">
      <c r="C15758" s="209"/>
      <c r="D15758" s="209"/>
      <c r="E15758" s="209"/>
      <c r="J15758" s="124"/>
    </row>
    <row r="15759" spans="3:10" x14ac:dyDescent="0.2">
      <c r="C15759" s="209"/>
      <c r="D15759" s="209"/>
      <c r="E15759" s="209"/>
      <c r="J15759" s="124"/>
    </row>
    <row r="15760" spans="3:10" x14ac:dyDescent="0.2">
      <c r="C15760" s="209"/>
      <c r="D15760" s="209"/>
      <c r="E15760" s="209"/>
      <c r="J15760" s="124"/>
    </row>
    <row r="15761" spans="3:10" x14ac:dyDescent="0.2">
      <c r="C15761" s="209"/>
      <c r="D15761" s="209"/>
      <c r="E15761" s="209"/>
      <c r="J15761" s="124"/>
    </row>
    <row r="15762" spans="3:10" x14ac:dyDescent="0.2">
      <c r="C15762" s="209"/>
      <c r="D15762" s="209"/>
      <c r="E15762" s="209"/>
      <c r="J15762" s="124"/>
    </row>
    <row r="15763" spans="3:10" x14ac:dyDescent="0.2">
      <c r="C15763" s="209"/>
      <c r="D15763" s="209"/>
      <c r="E15763" s="209"/>
      <c r="J15763" s="124"/>
    </row>
    <row r="15764" spans="3:10" x14ac:dyDescent="0.2">
      <c r="C15764" s="209"/>
      <c r="D15764" s="209"/>
      <c r="E15764" s="209"/>
      <c r="J15764" s="124"/>
    </row>
    <row r="15765" spans="3:10" x14ac:dyDescent="0.2">
      <c r="C15765" s="209"/>
      <c r="D15765" s="209"/>
      <c r="E15765" s="209"/>
      <c r="J15765" s="124"/>
    </row>
    <row r="15766" spans="3:10" x14ac:dyDescent="0.2">
      <c r="C15766" s="209"/>
      <c r="D15766" s="209"/>
      <c r="E15766" s="209"/>
      <c r="J15766" s="124"/>
    </row>
    <row r="15767" spans="3:10" x14ac:dyDescent="0.2">
      <c r="C15767" s="209"/>
      <c r="D15767" s="209"/>
      <c r="E15767" s="209"/>
      <c r="J15767" s="124"/>
    </row>
    <row r="15768" spans="3:10" x14ac:dyDescent="0.2">
      <c r="C15768" s="209"/>
      <c r="D15768" s="209"/>
      <c r="E15768" s="209"/>
      <c r="J15768" s="124"/>
    </row>
    <row r="15769" spans="3:10" x14ac:dyDescent="0.2">
      <c r="C15769" s="209"/>
      <c r="D15769" s="209"/>
      <c r="E15769" s="209"/>
      <c r="J15769" s="124"/>
    </row>
    <row r="15770" spans="3:10" x14ac:dyDescent="0.2">
      <c r="C15770" s="209"/>
      <c r="D15770" s="209"/>
      <c r="E15770" s="209"/>
      <c r="J15770" s="124"/>
    </row>
    <row r="15771" spans="3:10" x14ac:dyDescent="0.2">
      <c r="C15771" s="209"/>
      <c r="D15771" s="209"/>
      <c r="E15771" s="209"/>
      <c r="J15771" s="124"/>
    </row>
    <row r="15772" spans="3:10" x14ac:dyDescent="0.2">
      <c r="C15772" s="209"/>
      <c r="D15772" s="209"/>
      <c r="E15772" s="209"/>
      <c r="J15772" s="124"/>
    </row>
    <row r="15773" spans="3:10" x14ac:dyDescent="0.2">
      <c r="C15773" s="209"/>
      <c r="D15773" s="209"/>
      <c r="E15773" s="209"/>
      <c r="J15773" s="124"/>
    </row>
    <row r="15774" spans="3:10" x14ac:dyDescent="0.2">
      <c r="C15774" s="209"/>
      <c r="D15774" s="209"/>
      <c r="E15774" s="209"/>
      <c r="J15774" s="124"/>
    </row>
    <row r="15775" spans="3:10" x14ac:dyDescent="0.2">
      <c r="C15775" s="209"/>
      <c r="D15775" s="209"/>
      <c r="E15775" s="209"/>
      <c r="J15775" s="124"/>
    </row>
    <row r="15776" spans="3:10" x14ac:dyDescent="0.2">
      <c r="C15776" s="209"/>
      <c r="D15776" s="209"/>
      <c r="E15776" s="209"/>
      <c r="J15776" s="124"/>
    </row>
    <row r="15777" spans="3:10" x14ac:dyDescent="0.2">
      <c r="C15777" s="209"/>
      <c r="D15777" s="209"/>
      <c r="E15777" s="209"/>
      <c r="J15777" s="124"/>
    </row>
    <row r="15778" spans="3:10" x14ac:dyDescent="0.2">
      <c r="C15778" s="209"/>
      <c r="D15778" s="209"/>
      <c r="E15778" s="209"/>
      <c r="J15778" s="124"/>
    </row>
    <row r="15779" spans="3:10" x14ac:dyDescent="0.2">
      <c r="C15779" s="209"/>
      <c r="D15779" s="209"/>
      <c r="E15779" s="209"/>
      <c r="J15779" s="124"/>
    </row>
    <row r="15780" spans="3:10" x14ac:dyDescent="0.2">
      <c r="C15780" s="209"/>
      <c r="D15780" s="209"/>
      <c r="E15780" s="209"/>
      <c r="J15780" s="124"/>
    </row>
    <row r="15781" spans="3:10" x14ac:dyDescent="0.2">
      <c r="C15781" s="209"/>
      <c r="D15781" s="209"/>
      <c r="E15781" s="209"/>
      <c r="J15781" s="124"/>
    </row>
    <row r="15782" spans="3:10" x14ac:dyDescent="0.2">
      <c r="C15782" s="209"/>
      <c r="D15782" s="209"/>
      <c r="E15782" s="209"/>
      <c r="J15782" s="124"/>
    </row>
    <row r="15783" spans="3:10" x14ac:dyDescent="0.2">
      <c r="C15783" s="209"/>
      <c r="D15783" s="209"/>
      <c r="E15783" s="209"/>
      <c r="J15783" s="124"/>
    </row>
    <row r="15784" spans="3:10" x14ac:dyDescent="0.2">
      <c r="C15784" s="209"/>
      <c r="D15784" s="209"/>
      <c r="E15784" s="209"/>
      <c r="J15784" s="124"/>
    </row>
    <row r="15785" spans="3:10" x14ac:dyDescent="0.2">
      <c r="C15785" s="209"/>
      <c r="D15785" s="209"/>
      <c r="E15785" s="209"/>
      <c r="J15785" s="124"/>
    </row>
    <row r="15786" spans="3:10" x14ac:dyDescent="0.2">
      <c r="C15786" s="209"/>
      <c r="D15786" s="209"/>
      <c r="E15786" s="209"/>
      <c r="J15786" s="124"/>
    </row>
    <row r="15787" spans="3:10" x14ac:dyDescent="0.2">
      <c r="C15787" s="209"/>
      <c r="D15787" s="209"/>
      <c r="E15787" s="209"/>
      <c r="J15787" s="124"/>
    </row>
    <row r="15788" spans="3:10" x14ac:dyDescent="0.2">
      <c r="C15788" s="209"/>
      <c r="D15788" s="209"/>
      <c r="E15788" s="209"/>
      <c r="J15788" s="124"/>
    </row>
    <row r="15789" spans="3:10" x14ac:dyDescent="0.2">
      <c r="C15789" s="209"/>
      <c r="D15789" s="209"/>
      <c r="E15789" s="209"/>
      <c r="J15789" s="124"/>
    </row>
    <row r="15790" spans="3:10" x14ac:dyDescent="0.2">
      <c r="C15790" s="209"/>
      <c r="D15790" s="209"/>
      <c r="E15790" s="209"/>
      <c r="J15790" s="124"/>
    </row>
    <row r="15791" spans="3:10" x14ac:dyDescent="0.2">
      <c r="C15791" s="209"/>
      <c r="D15791" s="209"/>
      <c r="E15791" s="209"/>
      <c r="J15791" s="124"/>
    </row>
    <row r="15792" spans="3:10" x14ac:dyDescent="0.2">
      <c r="C15792" s="209"/>
      <c r="D15792" s="209"/>
      <c r="E15792" s="209"/>
      <c r="J15792" s="124"/>
    </row>
    <row r="15793" spans="3:10" x14ac:dyDescent="0.2">
      <c r="C15793" s="209"/>
      <c r="D15793" s="209"/>
      <c r="E15793" s="209"/>
      <c r="J15793" s="124"/>
    </row>
    <row r="15794" spans="3:10" x14ac:dyDescent="0.2">
      <c r="C15794" s="209"/>
      <c r="D15794" s="209"/>
      <c r="E15794" s="209"/>
      <c r="J15794" s="124"/>
    </row>
    <row r="15795" spans="3:10" x14ac:dyDescent="0.2">
      <c r="C15795" s="209"/>
      <c r="D15795" s="209"/>
      <c r="E15795" s="209"/>
      <c r="J15795" s="124"/>
    </row>
    <row r="15796" spans="3:10" x14ac:dyDescent="0.2">
      <c r="C15796" s="209"/>
      <c r="D15796" s="209"/>
      <c r="E15796" s="209"/>
      <c r="J15796" s="124"/>
    </row>
    <row r="15797" spans="3:10" x14ac:dyDescent="0.2">
      <c r="C15797" s="209"/>
      <c r="D15797" s="209"/>
      <c r="E15797" s="209"/>
      <c r="J15797" s="124"/>
    </row>
    <row r="15798" spans="3:10" x14ac:dyDescent="0.2">
      <c r="C15798" s="209"/>
      <c r="D15798" s="209"/>
      <c r="E15798" s="209"/>
      <c r="J15798" s="124"/>
    </row>
    <row r="15799" spans="3:10" x14ac:dyDescent="0.2">
      <c r="C15799" s="209"/>
      <c r="D15799" s="209"/>
      <c r="E15799" s="209"/>
      <c r="J15799" s="124"/>
    </row>
    <row r="15800" spans="3:10" x14ac:dyDescent="0.2">
      <c r="C15800" s="209"/>
      <c r="D15800" s="209"/>
      <c r="E15800" s="209"/>
      <c r="J15800" s="124"/>
    </row>
    <row r="15801" spans="3:10" x14ac:dyDescent="0.2">
      <c r="C15801" s="209"/>
      <c r="D15801" s="209"/>
      <c r="E15801" s="209"/>
      <c r="J15801" s="124"/>
    </row>
    <row r="15802" spans="3:10" x14ac:dyDescent="0.2">
      <c r="C15802" s="209"/>
      <c r="D15802" s="209"/>
      <c r="E15802" s="209"/>
      <c r="J15802" s="124"/>
    </row>
    <row r="15803" spans="3:10" x14ac:dyDescent="0.2">
      <c r="C15803" s="209"/>
      <c r="D15803" s="209"/>
      <c r="E15803" s="209"/>
      <c r="J15803" s="124"/>
    </row>
    <row r="15804" spans="3:10" x14ac:dyDescent="0.2">
      <c r="C15804" s="209"/>
      <c r="D15804" s="209"/>
      <c r="E15804" s="209"/>
      <c r="J15804" s="124"/>
    </row>
    <row r="15805" spans="3:10" x14ac:dyDescent="0.2">
      <c r="C15805" s="209"/>
      <c r="D15805" s="209"/>
      <c r="E15805" s="209"/>
      <c r="J15805" s="124"/>
    </row>
    <row r="15806" spans="3:10" x14ac:dyDescent="0.2">
      <c r="C15806" s="209"/>
      <c r="D15806" s="209"/>
      <c r="E15806" s="209"/>
      <c r="J15806" s="124"/>
    </row>
    <row r="15807" spans="3:10" x14ac:dyDescent="0.2">
      <c r="C15807" s="209"/>
      <c r="D15807" s="209"/>
      <c r="E15807" s="209"/>
      <c r="J15807" s="124"/>
    </row>
    <row r="15808" spans="3:10" x14ac:dyDescent="0.2">
      <c r="C15808" s="209"/>
      <c r="D15808" s="209"/>
      <c r="E15808" s="209"/>
      <c r="J15808" s="124"/>
    </row>
    <row r="15809" spans="3:10" x14ac:dyDescent="0.2">
      <c r="C15809" s="209"/>
      <c r="D15809" s="209"/>
      <c r="E15809" s="209"/>
      <c r="J15809" s="124"/>
    </row>
    <row r="15810" spans="3:10" x14ac:dyDescent="0.2">
      <c r="C15810" s="209"/>
      <c r="D15810" s="209"/>
      <c r="E15810" s="209"/>
      <c r="J15810" s="124"/>
    </row>
    <row r="15811" spans="3:10" x14ac:dyDescent="0.2">
      <c r="C15811" s="209"/>
      <c r="D15811" s="209"/>
      <c r="E15811" s="209"/>
      <c r="J15811" s="124"/>
    </row>
    <row r="15812" spans="3:10" x14ac:dyDescent="0.2">
      <c r="C15812" s="209"/>
      <c r="D15812" s="209"/>
      <c r="E15812" s="209"/>
      <c r="J15812" s="124"/>
    </row>
    <row r="15813" spans="3:10" x14ac:dyDescent="0.2">
      <c r="C15813" s="209"/>
      <c r="D15813" s="209"/>
      <c r="E15813" s="209"/>
      <c r="J15813" s="124"/>
    </row>
    <row r="15814" spans="3:10" x14ac:dyDescent="0.2">
      <c r="C15814" s="209"/>
      <c r="D15814" s="209"/>
      <c r="E15814" s="209"/>
      <c r="J15814" s="124"/>
    </row>
    <row r="15815" spans="3:10" x14ac:dyDescent="0.2">
      <c r="C15815" s="209"/>
      <c r="D15815" s="209"/>
      <c r="E15815" s="209"/>
      <c r="J15815" s="124"/>
    </row>
    <row r="15816" spans="3:10" x14ac:dyDescent="0.2">
      <c r="C15816" s="209"/>
      <c r="D15816" s="209"/>
      <c r="E15816" s="209"/>
      <c r="J15816" s="124"/>
    </row>
    <row r="15817" spans="3:10" x14ac:dyDescent="0.2">
      <c r="C15817" s="209"/>
      <c r="D15817" s="209"/>
      <c r="E15817" s="209"/>
      <c r="J15817" s="124"/>
    </row>
    <row r="15818" spans="3:10" x14ac:dyDescent="0.2">
      <c r="C15818" s="209"/>
      <c r="D15818" s="209"/>
      <c r="E15818" s="209"/>
      <c r="J15818" s="124"/>
    </row>
    <row r="15819" spans="3:10" x14ac:dyDescent="0.2">
      <c r="C15819" s="209"/>
      <c r="D15819" s="209"/>
      <c r="E15819" s="209"/>
      <c r="J15819" s="124"/>
    </row>
    <row r="15820" spans="3:10" x14ac:dyDescent="0.2">
      <c r="C15820" s="209"/>
      <c r="D15820" s="209"/>
      <c r="E15820" s="209"/>
      <c r="J15820" s="124"/>
    </row>
    <row r="15821" spans="3:10" x14ac:dyDescent="0.2">
      <c r="C15821" s="209"/>
      <c r="D15821" s="209"/>
      <c r="E15821" s="209"/>
      <c r="J15821" s="124"/>
    </row>
    <row r="15822" spans="3:10" x14ac:dyDescent="0.2">
      <c r="C15822" s="209"/>
      <c r="D15822" s="209"/>
      <c r="E15822" s="209"/>
      <c r="J15822" s="124"/>
    </row>
    <row r="15823" spans="3:10" x14ac:dyDescent="0.2">
      <c r="C15823" s="209"/>
      <c r="D15823" s="209"/>
      <c r="E15823" s="209"/>
      <c r="J15823" s="124"/>
    </row>
    <row r="15824" spans="3:10" x14ac:dyDescent="0.2">
      <c r="C15824" s="209"/>
      <c r="D15824" s="209"/>
      <c r="E15824" s="209"/>
      <c r="J15824" s="124"/>
    </row>
    <row r="15825" spans="3:10" x14ac:dyDescent="0.2">
      <c r="C15825" s="209"/>
      <c r="D15825" s="209"/>
      <c r="E15825" s="209"/>
      <c r="J15825" s="124"/>
    </row>
    <row r="15826" spans="3:10" x14ac:dyDescent="0.2">
      <c r="C15826" s="209"/>
      <c r="D15826" s="209"/>
      <c r="E15826" s="209"/>
      <c r="J15826" s="124"/>
    </row>
    <row r="15827" spans="3:10" x14ac:dyDescent="0.2">
      <c r="C15827" s="209"/>
      <c r="D15827" s="209"/>
      <c r="E15827" s="209"/>
      <c r="J15827" s="124"/>
    </row>
    <row r="15828" spans="3:10" x14ac:dyDescent="0.2">
      <c r="C15828" s="209"/>
      <c r="D15828" s="209"/>
      <c r="E15828" s="209"/>
      <c r="J15828" s="124"/>
    </row>
    <row r="15829" spans="3:10" x14ac:dyDescent="0.2">
      <c r="C15829" s="209"/>
      <c r="D15829" s="209"/>
      <c r="E15829" s="209"/>
      <c r="J15829" s="124"/>
    </row>
    <row r="15830" spans="3:10" x14ac:dyDescent="0.2">
      <c r="C15830" s="209"/>
      <c r="D15830" s="209"/>
      <c r="E15830" s="209"/>
      <c r="J15830" s="124"/>
    </row>
    <row r="15831" spans="3:10" x14ac:dyDescent="0.2">
      <c r="C15831" s="209"/>
      <c r="D15831" s="209"/>
      <c r="E15831" s="209"/>
      <c r="J15831" s="124"/>
    </row>
    <row r="15832" spans="3:10" x14ac:dyDescent="0.2">
      <c r="C15832" s="209"/>
      <c r="D15832" s="209"/>
      <c r="E15832" s="209"/>
      <c r="J15832" s="124"/>
    </row>
    <row r="15833" spans="3:10" x14ac:dyDescent="0.2">
      <c r="C15833" s="209"/>
      <c r="D15833" s="209"/>
      <c r="E15833" s="209"/>
      <c r="J15833" s="124"/>
    </row>
    <row r="15834" spans="3:10" x14ac:dyDescent="0.2">
      <c r="C15834" s="209"/>
      <c r="D15834" s="209"/>
      <c r="E15834" s="209"/>
      <c r="J15834" s="124"/>
    </row>
    <row r="15835" spans="3:10" x14ac:dyDescent="0.2">
      <c r="C15835" s="209"/>
      <c r="D15835" s="209"/>
      <c r="E15835" s="209"/>
      <c r="J15835" s="124"/>
    </row>
    <row r="15836" spans="3:10" x14ac:dyDescent="0.2">
      <c r="C15836" s="209"/>
      <c r="D15836" s="209"/>
      <c r="E15836" s="209"/>
      <c r="J15836" s="124"/>
    </row>
    <row r="15837" spans="3:10" x14ac:dyDescent="0.2">
      <c r="C15837" s="209"/>
      <c r="D15837" s="209"/>
      <c r="E15837" s="209"/>
      <c r="J15837" s="124"/>
    </row>
    <row r="15838" spans="3:10" x14ac:dyDescent="0.2">
      <c r="C15838" s="209"/>
      <c r="D15838" s="209"/>
      <c r="E15838" s="209"/>
      <c r="J15838" s="124"/>
    </row>
    <row r="15839" spans="3:10" x14ac:dyDescent="0.2">
      <c r="C15839" s="209"/>
      <c r="D15839" s="209"/>
      <c r="E15839" s="209"/>
      <c r="J15839" s="124"/>
    </row>
    <row r="15840" spans="3:10" x14ac:dyDescent="0.2">
      <c r="C15840" s="209"/>
      <c r="D15840" s="209"/>
      <c r="E15840" s="209"/>
      <c r="J15840" s="124"/>
    </row>
    <row r="15841" spans="3:10" x14ac:dyDescent="0.2">
      <c r="C15841" s="209"/>
      <c r="D15841" s="209"/>
      <c r="E15841" s="209"/>
      <c r="J15841" s="124"/>
    </row>
    <row r="15842" spans="3:10" x14ac:dyDescent="0.2">
      <c r="C15842" s="209"/>
      <c r="D15842" s="209"/>
      <c r="E15842" s="209"/>
      <c r="J15842" s="124"/>
    </row>
    <row r="15843" spans="3:10" x14ac:dyDescent="0.2">
      <c r="C15843" s="209"/>
      <c r="D15843" s="209"/>
      <c r="E15843" s="209"/>
      <c r="J15843" s="124"/>
    </row>
    <row r="15844" spans="3:10" x14ac:dyDescent="0.2">
      <c r="C15844" s="209"/>
      <c r="D15844" s="209"/>
      <c r="E15844" s="209"/>
      <c r="J15844" s="124"/>
    </row>
    <row r="15845" spans="3:10" x14ac:dyDescent="0.2">
      <c r="C15845" s="209"/>
      <c r="D15845" s="209"/>
      <c r="E15845" s="209"/>
      <c r="J15845" s="124"/>
    </row>
    <row r="15846" spans="3:10" x14ac:dyDescent="0.2">
      <c r="C15846" s="209"/>
      <c r="D15846" s="209"/>
      <c r="E15846" s="209"/>
      <c r="J15846" s="124"/>
    </row>
    <row r="15847" spans="3:10" x14ac:dyDescent="0.2">
      <c r="C15847" s="209"/>
      <c r="D15847" s="209"/>
      <c r="E15847" s="209"/>
      <c r="J15847" s="124"/>
    </row>
    <row r="15848" spans="3:10" x14ac:dyDescent="0.2">
      <c r="C15848" s="209"/>
      <c r="D15848" s="209"/>
      <c r="E15848" s="209"/>
      <c r="J15848" s="124"/>
    </row>
    <row r="15849" spans="3:10" x14ac:dyDescent="0.2">
      <c r="C15849" s="209"/>
      <c r="D15849" s="209"/>
      <c r="E15849" s="209"/>
      <c r="J15849" s="124"/>
    </row>
    <row r="15850" spans="3:10" x14ac:dyDescent="0.2">
      <c r="C15850" s="209"/>
      <c r="D15850" s="209"/>
      <c r="E15850" s="209"/>
      <c r="J15850" s="124"/>
    </row>
    <row r="15851" spans="3:10" x14ac:dyDescent="0.2">
      <c r="C15851" s="209"/>
      <c r="D15851" s="209"/>
      <c r="E15851" s="209"/>
      <c r="J15851" s="124"/>
    </row>
    <row r="15852" spans="3:10" x14ac:dyDescent="0.2">
      <c r="C15852" s="209"/>
      <c r="D15852" s="209"/>
      <c r="E15852" s="209"/>
      <c r="J15852" s="124"/>
    </row>
    <row r="15853" spans="3:10" x14ac:dyDescent="0.2">
      <c r="C15853" s="209"/>
      <c r="D15853" s="209"/>
      <c r="E15853" s="209"/>
      <c r="J15853" s="124"/>
    </row>
    <row r="15854" spans="3:10" x14ac:dyDescent="0.2">
      <c r="C15854" s="209"/>
      <c r="D15854" s="209"/>
      <c r="E15854" s="209"/>
      <c r="J15854" s="124"/>
    </row>
    <row r="15855" spans="3:10" x14ac:dyDescent="0.2">
      <c r="C15855" s="209"/>
      <c r="D15855" s="209"/>
      <c r="E15855" s="209"/>
      <c r="J15855" s="124"/>
    </row>
    <row r="15856" spans="3:10" x14ac:dyDescent="0.2">
      <c r="C15856" s="209"/>
      <c r="D15856" s="209"/>
      <c r="E15856" s="209"/>
      <c r="J15856" s="124"/>
    </row>
    <row r="15857" spans="3:10" x14ac:dyDescent="0.2">
      <c r="C15857" s="209"/>
      <c r="D15857" s="209"/>
      <c r="E15857" s="209"/>
      <c r="J15857" s="124"/>
    </row>
    <row r="15858" spans="3:10" x14ac:dyDescent="0.2">
      <c r="C15858" s="209"/>
      <c r="D15858" s="209"/>
      <c r="E15858" s="209"/>
      <c r="J15858" s="124"/>
    </row>
    <row r="15859" spans="3:10" x14ac:dyDescent="0.2">
      <c r="C15859" s="209"/>
      <c r="D15859" s="209"/>
      <c r="E15859" s="209"/>
      <c r="J15859" s="124"/>
    </row>
    <row r="15860" spans="3:10" x14ac:dyDescent="0.2">
      <c r="C15860" s="209"/>
      <c r="D15860" s="209"/>
      <c r="E15860" s="209"/>
      <c r="J15860" s="124"/>
    </row>
    <row r="15861" spans="3:10" x14ac:dyDescent="0.2">
      <c r="C15861" s="209"/>
      <c r="D15861" s="209"/>
      <c r="E15861" s="209"/>
      <c r="J15861" s="124"/>
    </row>
    <row r="15862" spans="3:10" x14ac:dyDescent="0.2">
      <c r="C15862" s="209"/>
      <c r="D15862" s="209"/>
      <c r="E15862" s="209"/>
      <c r="J15862" s="124"/>
    </row>
    <row r="15863" spans="3:10" x14ac:dyDescent="0.2">
      <c r="C15863" s="209"/>
      <c r="D15863" s="209"/>
      <c r="E15863" s="209"/>
      <c r="J15863" s="124"/>
    </row>
    <row r="15864" spans="3:10" x14ac:dyDescent="0.2">
      <c r="C15864" s="209"/>
      <c r="D15864" s="209"/>
      <c r="E15864" s="209"/>
      <c r="J15864" s="124"/>
    </row>
    <row r="15865" spans="3:10" x14ac:dyDescent="0.2">
      <c r="C15865" s="209"/>
      <c r="D15865" s="209"/>
      <c r="E15865" s="209"/>
      <c r="J15865" s="124"/>
    </row>
    <row r="15866" spans="3:10" x14ac:dyDescent="0.2">
      <c r="C15866" s="209"/>
      <c r="D15866" s="209"/>
      <c r="E15866" s="209"/>
      <c r="J15866" s="124"/>
    </row>
    <row r="15867" spans="3:10" x14ac:dyDescent="0.2">
      <c r="C15867" s="209"/>
      <c r="D15867" s="209"/>
      <c r="E15867" s="209"/>
      <c r="J15867" s="124"/>
    </row>
    <row r="15868" spans="3:10" x14ac:dyDescent="0.2">
      <c r="C15868" s="209"/>
      <c r="D15868" s="209"/>
      <c r="E15868" s="209"/>
      <c r="J15868" s="124"/>
    </row>
    <row r="15869" spans="3:10" x14ac:dyDescent="0.2">
      <c r="C15869" s="209"/>
      <c r="D15869" s="209"/>
      <c r="E15869" s="209"/>
      <c r="J15869" s="124"/>
    </row>
    <row r="15870" spans="3:10" x14ac:dyDescent="0.2">
      <c r="C15870" s="209"/>
      <c r="D15870" s="209"/>
      <c r="E15870" s="209"/>
      <c r="J15870" s="124"/>
    </row>
    <row r="15871" spans="3:10" x14ac:dyDescent="0.2">
      <c r="C15871" s="209"/>
      <c r="D15871" s="209"/>
      <c r="E15871" s="209"/>
      <c r="J15871" s="124"/>
    </row>
    <row r="15872" spans="3:10" x14ac:dyDescent="0.2">
      <c r="C15872" s="209"/>
      <c r="D15872" s="209"/>
      <c r="E15872" s="209"/>
      <c r="J15872" s="124"/>
    </row>
    <row r="15873" spans="3:10" x14ac:dyDescent="0.2">
      <c r="C15873" s="209"/>
      <c r="D15873" s="209"/>
      <c r="E15873" s="209"/>
      <c r="J15873" s="124"/>
    </row>
    <row r="15874" spans="3:10" x14ac:dyDescent="0.2">
      <c r="C15874" s="209"/>
      <c r="D15874" s="209"/>
      <c r="E15874" s="209"/>
      <c r="J15874" s="124"/>
    </row>
    <row r="15875" spans="3:10" x14ac:dyDescent="0.2">
      <c r="C15875" s="209"/>
      <c r="D15875" s="209"/>
      <c r="E15875" s="209"/>
      <c r="J15875" s="124"/>
    </row>
    <row r="15876" spans="3:10" x14ac:dyDescent="0.2">
      <c r="C15876" s="209"/>
      <c r="D15876" s="209"/>
      <c r="E15876" s="209"/>
      <c r="J15876" s="124"/>
    </row>
    <row r="15877" spans="3:10" x14ac:dyDescent="0.2">
      <c r="C15877" s="209"/>
      <c r="D15877" s="209"/>
      <c r="E15877" s="209"/>
      <c r="J15877" s="124"/>
    </row>
    <row r="15878" spans="3:10" x14ac:dyDescent="0.2">
      <c r="C15878" s="209"/>
      <c r="D15878" s="209"/>
      <c r="E15878" s="209"/>
      <c r="J15878" s="124"/>
    </row>
    <row r="15879" spans="3:10" x14ac:dyDescent="0.2">
      <c r="C15879" s="209"/>
      <c r="D15879" s="209"/>
      <c r="E15879" s="209"/>
      <c r="J15879" s="124"/>
    </row>
    <row r="15880" spans="3:10" x14ac:dyDescent="0.2">
      <c r="C15880" s="209"/>
      <c r="D15880" s="209"/>
      <c r="E15880" s="209"/>
      <c r="J15880" s="124"/>
    </row>
    <row r="15881" spans="3:10" x14ac:dyDescent="0.2">
      <c r="C15881" s="209"/>
      <c r="D15881" s="209"/>
      <c r="E15881" s="209"/>
      <c r="J15881" s="124"/>
    </row>
    <row r="15882" spans="3:10" x14ac:dyDescent="0.2">
      <c r="C15882" s="209"/>
      <c r="D15882" s="209"/>
      <c r="E15882" s="209"/>
      <c r="J15882" s="124"/>
    </row>
    <row r="15883" spans="3:10" x14ac:dyDescent="0.2">
      <c r="C15883" s="209"/>
      <c r="D15883" s="209"/>
      <c r="E15883" s="209"/>
      <c r="J15883" s="124"/>
    </row>
    <row r="15884" spans="3:10" x14ac:dyDescent="0.2">
      <c r="C15884" s="209"/>
      <c r="D15884" s="209"/>
      <c r="E15884" s="209"/>
      <c r="J15884" s="124"/>
    </row>
    <row r="15885" spans="3:10" x14ac:dyDescent="0.2">
      <c r="C15885" s="209"/>
      <c r="D15885" s="209"/>
      <c r="E15885" s="209"/>
      <c r="J15885" s="124"/>
    </row>
    <row r="15886" spans="3:10" x14ac:dyDescent="0.2">
      <c r="C15886" s="209"/>
      <c r="D15886" s="209"/>
      <c r="E15886" s="209"/>
      <c r="J15886" s="124"/>
    </row>
    <row r="15887" spans="3:10" x14ac:dyDescent="0.2">
      <c r="C15887" s="209"/>
      <c r="D15887" s="209"/>
      <c r="E15887" s="209"/>
      <c r="J15887" s="124"/>
    </row>
    <row r="15888" spans="3:10" x14ac:dyDescent="0.2">
      <c r="C15888" s="209"/>
      <c r="D15888" s="209"/>
      <c r="E15888" s="209"/>
      <c r="J15888" s="124"/>
    </row>
    <row r="15889" spans="3:10" x14ac:dyDescent="0.2">
      <c r="C15889" s="209"/>
      <c r="D15889" s="209"/>
      <c r="E15889" s="209"/>
      <c r="J15889" s="124"/>
    </row>
    <row r="15890" spans="3:10" x14ac:dyDescent="0.2">
      <c r="C15890" s="209"/>
      <c r="D15890" s="209"/>
      <c r="E15890" s="209"/>
      <c r="J15890" s="124"/>
    </row>
    <row r="15891" spans="3:10" x14ac:dyDescent="0.2">
      <c r="C15891" s="209"/>
      <c r="D15891" s="209"/>
      <c r="E15891" s="209"/>
      <c r="J15891" s="124"/>
    </row>
    <row r="15892" spans="3:10" x14ac:dyDescent="0.2">
      <c r="C15892" s="209"/>
      <c r="D15892" s="209"/>
      <c r="E15892" s="209"/>
      <c r="J15892" s="124"/>
    </row>
    <row r="15893" spans="3:10" x14ac:dyDescent="0.2">
      <c r="C15893" s="209"/>
      <c r="D15893" s="209"/>
      <c r="E15893" s="209"/>
      <c r="J15893" s="124"/>
    </row>
    <row r="15894" spans="3:10" x14ac:dyDescent="0.2">
      <c r="C15894" s="209"/>
      <c r="D15894" s="209"/>
      <c r="E15894" s="209"/>
      <c r="J15894" s="124"/>
    </row>
    <row r="15895" spans="3:10" x14ac:dyDescent="0.2">
      <c r="C15895" s="209"/>
      <c r="D15895" s="209"/>
      <c r="E15895" s="209"/>
      <c r="J15895" s="124"/>
    </row>
    <row r="15896" spans="3:10" x14ac:dyDescent="0.2">
      <c r="C15896" s="209"/>
      <c r="D15896" s="209"/>
      <c r="E15896" s="209"/>
      <c r="J15896" s="124"/>
    </row>
    <row r="15897" spans="3:10" x14ac:dyDescent="0.2">
      <c r="C15897" s="209"/>
      <c r="D15897" s="209"/>
      <c r="E15897" s="209"/>
      <c r="J15897" s="124"/>
    </row>
    <row r="15898" spans="3:10" x14ac:dyDescent="0.2">
      <c r="C15898" s="209"/>
      <c r="D15898" s="209"/>
      <c r="E15898" s="209"/>
      <c r="J15898" s="124"/>
    </row>
    <row r="15899" spans="3:10" x14ac:dyDescent="0.2">
      <c r="C15899" s="209"/>
      <c r="D15899" s="209"/>
      <c r="E15899" s="209"/>
      <c r="J15899" s="124"/>
    </row>
    <row r="15900" spans="3:10" x14ac:dyDescent="0.2">
      <c r="C15900" s="209"/>
      <c r="D15900" s="209"/>
      <c r="E15900" s="209"/>
      <c r="J15900" s="124"/>
    </row>
    <row r="15901" spans="3:10" x14ac:dyDescent="0.2">
      <c r="C15901" s="209"/>
      <c r="D15901" s="209"/>
      <c r="E15901" s="209"/>
      <c r="J15901" s="124"/>
    </row>
    <row r="15902" spans="3:10" x14ac:dyDescent="0.2">
      <c r="C15902" s="209"/>
      <c r="D15902" s="209"/>
      <c r="E15902" s="209"/>
      <c r="J15902" s="124"/>
    </row>
    <row r="15903" spans="3:10" x14ac:dyDescent="0.2">
      <c r="C15903" s="209"/>
      <c r="D15903" s="209"/>
      <c r="E15903" s="209"/>
      <c r="J15903" s="124"/>
    </row>
    <row r="15904" spans="3:10" x14ac:dyDescent="0.2">
      <c r="C15904" s="209"/>
      <c r="D15904" s="209"/>
      <c r="E15904" s="209"/>
      <c r="J15904" s="124"/>
    </row>
    <row r="15905" spans="3:10" x14ac:dyDescent="0.2">
      <c r="C15905" s="209"/>
      <c r="D15905" s="209"/>
      <c r="E15905" s="209"/>
      <c r="J15905" s="124"/>
    </row>
    <row r="15906" spans="3:10" x14ac:dyDescent="0.2">
      <c r="C15906" s="209"/>
      <c r="D15906" s="209"/>
      <c r="E15906" s="209"/>
      <c r="J15906" s="124"/>
    </row>
    <row r="15907" spans="3:10" x14ac:dyDescent="0.2">
      <c r="C15907" s="209"/>
      <c r="D15907" s="209"/>
      <c r="E15907" s="209"/>
      <c r="J15907" s="124"/>
    </row>
    <row r="15908" spans="3:10" x14ac:dyDescent="0.2">
      <c r="C15908" s="209"/>
      <c r="D15908" s="209"/>
      <c r="E15908" s="209"/>
      <c r="J15908" s="124"/>
    </row>
    <row r="15909" spans="3:10" x14ac:dyDescent="0.2">
      <c r="C15909" s="209"/>
      <c r="D15909" s="209"/>
      <c r="E15909" s="209"/>
      <c r="J15909" s="124"/>
    </row>
    <row r="15910" spans="3:10" x14ac:dyDescent="0.2">
      <c r="C15910" s="209"/>
      <c r="D15910" s="209"/>
      <c r="E15910" s="209"/>
      <c r="J15910" s="124"/>
    </row>
    <row r="15911" spans="3:10" x14ac:dyDescent="0.2">
      <c r="C15911" s="209"/>
      <c r="D15911" s="209"/>
      <c r="E15911" s="209"/>
      <c r="J15911" s="124"/>
    </row>
    <row r="15912" spans="3:10" x14ac:dyDescent="0.2">
      <c r="C15912" s="209"/>
      <c r="D15912" s="209"/>
      <c r="E15912" s="209"/>
      <c r="J15912" s="124"/>
    </row>
    <row r="15913" spans="3:10" x14ac:dyDescent="0.2">
      <c r="C15913" s="209"/>
      <c r="D15913" s="209"/>
      <c r="E15913" s="209"/>
      <c r="J15913" s="124"/>
    </row>
    <row r="15914" spans="3:10" x14ac:dyDescent="0.2">
      <c r="C15914" s="209"/>
      <c r="D15914" s="209"/>
      <c r="E15914" s="209"/>
      <c r="J15914" s="124"/>
    </row>
    <row r="15915" spans="3:10" x14ac:dyDescent="0.2">
      <c r="C15915" s="209"/>
      <c r="D15915" s="209"/>
      <c r="E15915" s="209"/>
      <c r="J15915" s="124"/>
    </row>
    <row r="15916" spans="3:10" x14ac:dyDescent="0.2">
      <c r="C15916" s="209"/>
      <c r="D15916" s="209"/>
      <c r="E15916" s="209"/>
      <c r="J15916" s="124"/>
    </row>
    <row r="15917" spans="3:10" x14ac:dyDescent="0.2">
      <c r="C15917" s="209"/>
      <c r="D15917" s="209"/>
      <c r="E15917" s="209"/>
      <c r="J15917" s="124"/>
    </row>
    <row r="15918" spans="3:10" x14ac:dyDescent="0.2">
      <c r="C15918" s="209"/>
      <c r="D15918" s="209"/>
      <c r="E15918" s="209"/>
      <c r="J15918" s="124"/>
    </row>
    <row r="15919" spans="3:10" x14ac:dyDescent="0.2">
      <c r="C15919" s="209"/>
      <c r="D15919" s="209"/>
      <c r="E15919" s="209"/>
      <c r="J15919" s="124"/>
    </row>
    <row r="15920" spans="3:10" x14ac:dyDescent="0.2">
      <c r="C15920" s="209"/>
      <c r="D15920" s="209"/>
      <c r="E15920" s="209"/>
      <c r="J15920" s="124"/>
    </row>
    <row r="15921" spans="3:10" x14ac:dyDescent="0.2">
      <c r="C15921" s="209"/>
      <c r="D15921" s="209"/>
      <c r="E15921" s="209"/>
      <c r="J15921" s="124"/>
    </row>
    <row r="15922" spans="3:10" x14ac:dyDescent="0.2">
      <c r="C15922" s="209"/>
      <c r="D15922" s="209"/>
      <c r="E15922" s="209"/>
      <c r="J15922" s="124"/>
    </row>
    <row r="15923" spans="3:10" x14ac:dyDescent="0.2">
      <c r="C15923" s="209"/>
      <c r="D15923" s="209"/>
      <c r="E15923" s="209"/>
      <c r="J15923" s="124"/>
    </row>
    <row r="15924" spans="3:10" x14ac:dyDescent="0.2">
      <c r="C15924" s="209"/>
      <c r="D15924" s="209"/>
      <c r="E15924" s="209"/>
      <c r="J15924" s="124"/>
    </row>
    <row r="15925" spans="3:10" x14ac:dyDescent="0.2">
      <c r="C15925" s="209"/>
      <c r="D15925" s="209"/>
      <c r="E15925" s="209"/>
      <c r="J15925" s="124"/>
    </row>
    <row r="15926" spans="3:10" x14ac:dyDescent="0.2">
      <c r="C15926" s="209"/>
      <c r="D15926" s="209"/>
      <c r="E15926" s="209"/>
      <c r="J15926" s="124"/>
    </row>
    <row r="15927" spans="3:10" x14ac:dyDescent="0.2">
      <c r="C15927" s="209"/>
      <c r="D15927" s="209"/>
      <c r="E15927" s="209"/>
      <c r="J15927" s="124"/>
    </row>
    <row r="15928" spans="3:10" x14ac:dyDescent="0.2">
      <c r="C15928" s="209"/>
      <c r="D15928" s="209"/>
      <c r="E15928" s="209"/>
      <c r="J15928" s="124"/>
    </row>
    <row r="15929" spans="3:10" x14ac:dyDescent="0.2">
      <c r="C15929" s="209"/>
      <c r="D15929" s="209"/>
      <c r="E15929" s="209"/>
      <c r="J15929" s="124"/>
    </row>
    <row r="15930" spans="3:10" x14ac:dyDescent="0.2">
      <c r="C15930" s="209"/>
      <c r="D15930" s="209"/>
      <c r="E15930" s="209"/>
      <c r="J15930" s="124"/>
    </row>
    <row r="15931" spans="3:10" x14ac:dyDescent="0.2">
      <c r="C15931" s="209"/>
      <c r="D15931" s="209"/>
      <c r="E15931" s="209"/>
      <c r="J15931" s="124"/>
    </row>
    <row r="15932" spans="3:10" x14ac:dyDescent="0.2">
      <c r="C15932" s="209"/>
      <c r="D15932" s="209"/>
      <c r="E15932" s="209"/>
      <c r="J15932" s="124"/>
    </row>
    <row r="15933" spans="3:10" x14ac:dyDescent="0.2">
      <c r="C15933" s="209"/>
      <c r="D15933" s="209"/>
      <c r="E15933" s="209"/>
      <c r="J15933" s="124"/>
    </row>
    <row r="15934" spans="3:10" x14ac:dyDescent="0.2">
      <c r="C15934" s="209"/>
      <c r="D15934" s="209"/>
      <c r="E15934" s="209"/>
      <c r="J15934" s="124"/>
    </row>
    <row r="15935" spans="3:10" x14ac:dyDescent="0.2">
      <c r="C15935" s="209"/>
      <c r="D15935" s="209"/>
      <c r="E15935" s="209"/>
      <c r="J15935" s="124"/>
    </row>
    <row r="15936" spans="3:10" x14ac:dyDescent="0.2">
      <c r="C15936" s="209"/>
      <c r="D15936" s="209"/>
      <c r="E15936" s="209"/>
      <c r="J15936" s="124"/>
    </row>
    <row r="15937" spans="3:10" x14ac:dyDescent="0.2">
      <c r="C15937" s="209"/>
      <c r="D15937" s="209"/>
      <c r="E15937" s="209"/>
      <c r="J15937" s="124"/>
    </row>
    <row r="15938" spans="3:10" x14ac:dyDescent="0.2">
      <c r="C15938" s="209"/>
      <c r="D15938" s="209"/>
      <c r="E15938" s="209"/>
      <c r="J15938" s="124"/>
    </row>
    <row r="15939" spans="3:10" x14ac:dyDescent="0.2">
      <c r="C15939" s="209"/>
      <c r="D15939" s="209"/>
      <c r="E15939" s="209"/>
      <c r="J15939" s="124"/>
    </row>
    <row r="15940" spans="3:10" x14ac:dyDescent="0.2">
      <c r="C15940" s="209"/>
      <c r="D15940" s="209"/>
      <c r="E15940" s="209"/>
      <c r="J15940" s="124"/>
    </row>
    <row r="15941" spans="3:10" x14ac:dyDescent="0.2">
      <c r="C15941" s="209"/>
      <c r="D15941" s="209"/>
      <c r="E15941" s="209"/>
      <c r="J15941" s="124"/>
    </row>
    <row r="15942" spans="3:10" x14ac:dyDescent="0.2">
      <c r="C15942" s="209"/>
      <c r="D15942" s="209"/>
      <c r="E15942" s="209"/>
      <c r="J15942" s="124"/>
    </row>
    <row r="15943" spans="3:10" x14ac:dyDescent="0.2">
      <c r="C15943" s="209"/>
      <c r="D15943" s="209"/>
      <c r="E15943" s="209"/>
      <c r="J15943" s="124"/>
    </row>
    <row r="15944" spans="3:10" x14ac:dyDescent="0.2">
      <c r="C15944" s="209"/>
      <c r="D15944" s="209"/>
      <c r="E15944" s="209"/>
      <c r="J15944" s="124"/>
    </row>
    <row r="15945" spans="3:10" x14ac:dyDescent="0.2">
      <c r="C15945" s="209"/>
      <c r="D15945" s="209"/>
      <c r="E15945" s="209"/>
      <c r="J15945" s="124"/>
    </row>
    <row r="15946" spans="3:10" x14ac:dyDescent="0.2">
      <c r="C15946" s="209"/>
      <c r="D15946" s="209"/>
      <c r="E15946" s="209"/>
      <c r="J15946" s="124"/>
    </row>
    <row r="15947" spans="3:10" x14ac:dyDescent="0.2">
      <c r="C15947" s="209"/>
      <c r="D15947" s="209"/>
      <c r="E15947" s="209"/>
      <c r="J15947" s="124"/>
    </row>
    <row r="15948" spans="3:10" x14ac:dyDescent="0.2">
      <c r="C15948" s="209"/>
      <c r="D15948" s="209"/>
      <c r="E15948" s="209"/>
      <c r="J15948" s="124"/>
    </row>
    <row r="15949" spans="3:10" x14ac:dyDescent="0.2">
      <c r="C15949" s="209"/>
      <c r="D15949" s="209"/>
      <c r="E15949" s="209"/>
      <c r="J15949" s="124"/>
    </row>
    <row r="15950" spans="3:10" x14ac:dyDescent="0.2">
      <c r="C15950" s="209"/>
      <c r="D15950" s="209"/>
      <c r="E15950" s="209"/>
      <c r="J15950" s="124"/>
    </row>
    <row r="15951" spans="3:10" x14ac:dyDescent="0.2">
      <c r="C15951" s="209"/>
      <c r="D15951" s="209"/>
      <c r="E15951" s="209"/>
      <c r="J15951" s="124"/>
    </row>
    <row r="15952" spans="3:10" x14ac:dyDescent="0.2">
      <c r="C15952" s="209"/>
      <c r="D15952" s="209"/>
      <c r="E15952" s="209"/>
      <c r="J15952" s="124"/>
    </row>
    <row r="15953" spans="3:10" x14ac:dyDescent="0.2">
      <c r="C15953" s="209"/>
      <c r="D15953" s="209"/>
      <c r="E15953" s="209"/>
      <c r="J15953" s="124"/>
    </row>
    <row r="15954" spans="3:10" x14ac:dyDescent="0.2">
      <c r="C15954" s="209"/>
      <c r="D15954" s="209"/>
      <c r="E15954" s="209"/>
      <c r="J15954" s="124"/>
    </row>
    <row r="15955" spans="3:10" x14ac:dyDescent="0.2">
      <c r="C15955" s="209"/>
      <c r="D15955" s="209"/>
      <c r="E15955" s="209"/>
      <c r="J15955" s="124"/>
    </row>
    <row r="15956" spans="3:10" x14ac:dyDescent="0.2">
      <c r="C15956" s="209"/>
      <c r="D15956" s="209"/>
      <c r="E15956" s="209"/>
      <c r="J15956" s="124"/>
    </row>
    <row r="15957" spans="3:10" x14ac:dyDescent="0.2">
      <c r="C15957" s="209"/>
      <c r="D15957" s="209"/>
      <c r="E15957" s="209"/>
      <c r="J15957" s="124"/>
    </row>
    <row r="15958" spans="3:10" x14ac:dyDescent="0.2">
      <c r="C15958" s="209"/>
      <c r="D15958" s="209"/>
      <c r="E15958" s="209"/>
      <c r="J15958" s="124"/>
    </row>
    <row r="15959" spans="3:10" x14ac:dyDescent="0.2">
      <c r="C15959" s="209"/>
      <c r="D15959" s="209"/>
      <c r="E15959" s="209"/>
      <c r="J15959" s="124"/>
    </row>
    <row r="15960" spans="3:10" x14ac:dyDescent="0.2">
      <c r="C15960" s="209"/>
      <c r="D15960" s="209"/>
      <c r="E15960" s="209"/>
      <c r="J15960" s="124"/>
    </row>
    <row r="15961" spans="3:10" x14ac:dyDescent="0.2">
      <c r="C15961" s="209"/>
      <c r="D15961" s="209"/>
      <c r="E15961" s="209"/>
      <c r="J15961" s="124"/>
    </row>
    <row r="15962" spans="3:10" x14ac:dyDescent="0.2">
      <c r="C15962" s="209"/>
      <c r="D15962" s="209"/>
      <c r="E15962" s="209"/>
      <c r="J15962" s="124"/>
    </row>
    <row r="15963" spans="3:10" x14ac:dyDescent="0.2">
      <c r="C15963" s="209"/>
      <c r="D15963" s="209"/>
      <c r="E15963" s="209"/>
      <c r="J15963" s="124"/>
    </row>
    <row r="15964" spans="3:10" x14ac:dyDescent="0.2">
      <c r="C15964" s="209"/>
      <c r="D15964" s="209"/>
      <c r="E15964" s="209"/>
      <c r="J15964" s="124"/>
    </row>
    <row r="15965" spans="3:10" x14ac:dyDescent="0.2">
      <c r="C15965" s="209"/>
      <c r="D15965" s="209"/>
      <c r="E15965" s="209"/>
      <c r="J15965" s="124"/>
    </row>
    <row r="15966" spans="3:10" x14ac:dyDescent="0.2">
      <c r="C15966" s="209"/>
      <c r="D15966" s="209"/>
      <c r="E15966" s="209"/>
      <c r="J15966" s="124"/>
    </row>
    <row r="15967" spans="3:10" x14ac:dyDescent="0.2">
      <c r="C15967" s="209"/>
      <c r="D15967" s="209"/>
      <c r="E15967" s="209"/>
      <c r="J15967" s="124"/>
    </row>
    <row r="15968" spans="3:10" x14ac:dyDescent="0.2">
      <c r="C15968" s="209"/>
      <c r="D15968" s="209"/>
      <c r="E15968" s="209"/>
      <c r="J15968" s="124"/>
    </row>
    <row r="15969" spans="3:10" x14ac:dyDescent="0.2">
      <c r="C15969" s="209"/>
      <c r="D15969" s="209"/>
      <c r="E15969" s="209"/>
      <c r="J15969" s="124"/>
    </row>
    <row r="15970" spans="3:10" x14ac:dyDescent="0.2">
      <c r="C15970" s="209"/>
      <c r="D15970" s="209"/>
      <c r="E15970" s="209"/>
      <c r="J15970" s="124"/>
    </row>
    <row r="15971" spans="3:10" x14ac:dyDescent="0.2">
      <c r="C15971" s="209"/>
      <c r="D15971" s="209"/>
      <c r="E15971" s="209"/>
      <c r="J15971" s="124"/>
    </row>
    <row r="15972" spans="3:10" x14ac:dyDescent="0.2">
      <c r="C15972" s="209"/>
      <c r="D15972" s="209"/>
      <c r="E15972" s="209"/>
      <c r="J15972" s="124"/>
    </row>
    <row r="15973" spans="3:10" x14ac:dyDescent="0.2">
      <c r="C15973" s="209"/>
      <c r="D15973" s="209"/>
      <c r="E15973" s="209"/>
      <c r="J15973" s="124"/>
    </row>
    <row r="15974" spans="3:10" x14ac:dyDescent="0.2">
      <c r="C15974" s="209"/>
      <c r="D15974" s="209"/>
      <c r="E15974" s="209"/>
      <c r="J15974" s="124"/>
    </row>
    <row r="15975" spans="3:10" x14ac:dyDescent="0.2">
      <c r="C15975" s="209"/>
      <c r="D15975" s="209"/>
      <c r="E15975" s="209"/>
      <c r="J15975" s="124"/>
    </row>
    <row r="15976" spans="3:10" x14ac:dyDescent="0.2">
      <c r="C15976" s="209"/>
      <c r="D15976" s="209"/>
      <c r="E15976" s="209"/>
      <c r="J15976" s="124"/>
    </row>
    <row r="15977" spans="3:10" x14ac:dyDescent="0.2">
      <c r="C15977" s="209"/>
      <c r="D15977" s="209"/>
      <c r="E15977" s="209"/>
      <c r="J15977" s="124"/>
    </row>
    <row r="15978" spans="3:10" x14ac:dyDescent="0.2">
      <c r="C15978" s="209"/>
      <c r="D15978" s="209"/>
      <c r="E15978" s="209"/>
      <c r="J15978" s="124"/>
    </row>
    <row r="15979" spans="3:10" x14ac:dyDescent="0.2">
      <c r="C15979" s="209"/>
      <c r="D15979" s="209"/>
      <c r="E15979" s="209"/>
      <c r="J15979" s="124"/>
    </row>
    <row r="15980" spans="3:10" x14ac:dyDescent="0.2">
      <c r="C15980" s="209"/>
      <c r="D15980" s="209"/>
      <c r="E15980" s="209"/>
      <c r="J15980" s="124"/>
    </row>
    <row r="15981" spans="3:10" x14ac:dyDescent="0.2">
      <c r="C15981" s="209"/>
      <c r="D15981" s="209"/>
      <c r="E15981" s="209"/>
      <c r="J15981" s="124"/>
    </row>
    <row r="15982" spans="3:10" x14ac:dyDescent="0.2">
      <c r="C15982" s="209"/>
      <c r="D15982" s="209"/>
      <c r="E15982" s="209"/>
      <c r="J15982" s="124"/>
    </row>
    <row r="15983" spans="3:10" x14ac:dyDescent="0.2">
      <c r="C15983" s="209"/>
      <c r="D15983" s="209"/>
      <c r="E15983" s="209"/>
      <c r="J15983" s="124"/>
    </row>
    <row r="15984" spans="3:10" x14ac:dyDescent="0.2">
      <c r="C15984" s="209"/>
      <c r="D15984" s="209"/>
      <c r="E15984" s="209"/>
      <c r="J15984" s="124"/>
    </row>
    <row r="15985" spans="3:10" x14ac:dyDescent="0.2">
      <c r="C15985" s="209"/>
      <c r="D15985" s="209"/>
      <c r="E15985" s="209"/>
      <c r="J15985" s="124"/>
    </row>
    <row r="15986" spans="3:10" x14ac:dyDescent="0.2">
      <c r="C15986" s="209"/>
      <c r="D15986" s="209"/>
      <c r="E15986" s="209"/>
      <c r="J15986" s="124"/>
    </row>
    <row r="15987" spans="3:10" x14ac:dyDescent="0.2">
      <c r="C15987" s="209"/>
      <c r="D15987" s="209"/>
      <c r="E15987" s="209"/>
      <c r="J15987" s="124"/>
    </row>
    <row r="15988" spans="3:10" x14ac:dyDescent="0.2">
      <c r="C15988" s="209"/>
      <c r="D15988" s="209"/>
      <c r="E15988" s="209"/>
      <c r="J15988" s="124"/>
    </row>
    <row r="15989" spans="3:10" x14ac:dyDescent="0.2">
      <c r="C15989" s="209"/>
      <c r="D15989" s="209"/>
      <c r="E15989" s="209"/>
      <c r="J15989" s="124"/>
    </row>
    <row r="15990" spans="3:10" x14ac:dyDescent="0.2">
      <c r="C15990" s="209"/>
      <c r="D15990" s="209"/>
      <c r="E15990" s="209"/>
      <c r="J15990" s="124"/>
    </row>
    <row r="15991" spans="3:10" x14ac:dyDescent="0.2">
      <c r="C15991" s="209"/>
      <c r="D15991" s="209"/>
      <c r="E15991" s="209"/>
      <c r="J15991" s="124"/>
    </row>
    <row r="15992" spans="3:10" x14ac:dyDescent="0.2">
      <c r="C15992" s="209"/>
      <c r="D15992" s="209"/>
      <c r="E15992" s="209"/>
      <c r="J15992" s="124"/>
    </row>
    <row r="15993" spans="3:10" x14ac:dyDescent="0.2">
      <c r="C15993" s="209"/>
      <c r="D15993" s="209"/>
      <c r="E15993" s="209"/>
      <c r="J15993" s="124"/>
    </row>
    <row r="15994" spans="3:10" x14ac:dyDescent="0.2">
      <c r="C15994" s="209"/>
      <c r="D15994" s="209"/>
      <c r="E15994" s="209"/>
      <c r="J15994" s="124"/>
    </row>
    <row r="15995" spans="3:10" x14ac:dyDescent="0.2">
      <c r="C15995" s="209"/>
      <c r="D15995" s="209"/>
      <c r="E15995" s="209"/>
      <c r="J15995" s="124"/>
    </row>
    <row r="15996" spans="3:10" x14ac:dyDescent="0.2">
      <c r="C15996" s="209"/>
      <c r="D15996" s="209"/>
      <c r="E15996" s="209"/>
      <c r="J15996" s="124"/>
    </row>
    <row r="15997" spans="3:10" x14ac:dyDescent="0.2">
      <c r="C15997" s="209"/>
      <c r="D15997" s="209"/>
      <c r="E15997" s="209"/>
      <c r="J15997" s="124"/>
    </row>
    <row r="15998" spans="3:10" x14ac:dyDescent="0.2">
      <c r="C15998" s="209"/>
      <c r="D15998" s="209"/>
      <c r="E15998" s="209"/>
      <c r="J15998" s="124"/>
    </row>
    <row r="15999" spans="3:10" x14ac:dyDescent="0.2">
      <c r="C15999" s="209"/>
      <c r="D15999" s="209"/>
      <c r="E15999" s="209"/>
      <c r="J15999" s="124"/>
    </row>
    <row r="16000" spans="3:10" x14ac:dyDescent="0.2">
      <c r="C16000" s="209"/>
      <c r="D16000" s="209"/>
      <c r="E16000" s="209"/>
      <c r="J16000" s="124"/>
    </row>
    <row r="16001" spans="3:10" x14ac:dyDescent="0.2">
      <c r="C16001" s="209"/>
      <c r="D16001" s="209"/>
      <c r="E16001" s="209"/>
      <c r="J16001" s="124"/>
    </row>
    <row r="16002" spans="3:10" x14ac:dyDescent="0.2">
      <c r="C16002" s="209"/>
      <c r="D16002" s="209"/>
      <c r="E16002" s="209"/>
      <c r="J16002" s="124"/>
    </row>
    <row r="16003" spans="3:10" x14ac:dyDescent="0.2">
      <c r="C16003" s="209"/>
      <c r="D16003" s="209"/>
      <c r="E16003" s="209"/>
      <c r="J16003" s="124"/>
    </row>
    <row r="16004" spans="3:10" x14ac:dyDescent="0.2">
      <c r="C16004" s="209"/>
      <c r="D16004" s="209"/>
      <c r="E16004" s="209"/>
      <c r="J16004" s="124"/>
    </row>
    <row r="16005" spans="3:10" x14ac:dyDescent="0.2">
      <c r="C16005" s="209"/>
      <c r="D16005" s="209"/>
      <c r="E16005" s="209"/>
      <c r="J16005" s="124"/>
    </row>
    <row r="16006" spans="3:10" x14ac:dyDescent="0.2">
      <c r="C16006" s="209"/>
      <c r="D16006" s="209"/>
      <c r="E16006" s="209"/>
      <c r="J16006" s="124"/>
    </row>
    <row r="16007" spans="3:10" x14ac:dyDescent="0.2">
      <c r="C16007" s="209"/>
      <c r="D16007" s="209"/>
      <c r="E16007" s="209"/>
      <c r="J16007" s="124"/>
    </row>
    <row r="16008" spans="3:10" x14ac:dyDescent="0.2">
      <c r="C16008" s="209"/>
      <c r="D16008" s="209"/>
      <c r="E16008" s="209"/>
      <c r="J16008" s="124"/>
    </row>
    <row r="16009" spans="3:10" x14ac:dyDescent="0.2">
      <c r="C16009" s="209"/>
      <c r="D16009" s="209"/>
      <c r="E16009" s="209"/>
      <c r="J16009" s="124"/>
    </row>
    <row r="16010" spans="3:10" x14ac:dyDescent="0.2">
      <c r="C16010" s="209"/>
      <c r="D16010" s="209"/>
      <c r="E16010" s="209"/>
      <c r="J16010" s="124"/>
    </row>
    <row r="16011" spans="3:10" x14ac:dyDescent="0.2">
      <c r="C16011" s="209"/>
      <c r="D16011" s="209"/>
      <c r="E16011" s="209"/>
      <c r="J16011" s="124"/>
    </row>
    <row r="16012" spans="3:10" x14ac:dyDescent="0.2">
      <c r="C16012" s="209"/>
      <c r="D16012" s="209"/>
      <c r="E16012" s="209"/>
      <c r="J16012" s="124"/>
    </row>
    <row r="16013" spans="3:10" x14ac:dyDescent="0.2">
      <c r="C16013" s="209"/>
      <c r="D16013" s="209"/>
      <c r="E16013" s="209"/>
      <c r="J16013" s="124"/>
    </row>
    <row r="16014" spans="3:10" x14ac:dyDescent="0.2">
      <c r="C16014" s="209"/>
      <c r="D16014" s="209"/>
      <c r="E16014" s="209"/>
      <c r="J16014" s="124"/>
    </row>
    <row r="16015" spans="3:10" x14ac:dyDescent="0.2">
      <c r="C16015" s="209"/>
      <c r="D16015" s="209"/>
      <c r="E16015" s="209"/>
      <c r="J16015" s="124"/>
    </row>
    <row r="16016" spans="3:10" x14ac:dyDescent="0.2">
      <c r="C16016" s="209"/>
      <c r="D16016" s="209"/>
      <c r="E16016" s="209"/>
      <c r="J16016" s="124"/>
    </row>
    <row r="16017" spans="3:10" x14ac:dyDescent="0.2">
      <c r="C16017" s="209"/>
      <c r="D16017" s="209"/>
      <c r="E16017" s="209"/>
      <c r="J16017" s="124"/>
    </row>
    <row r="16018" spans="3:10" x14ac:dyDescent="0.2">
      <c r="C16018" s="209"/>
      <c r="D16018" s="209"/>
      <c r="E16018" s="209"/>
      <c r="J16018" s="124"/>
    </row>
    <row r="16019" spans="3:10" x14ac:dyDescent="0.2">
      <c r="C16019" s="209"/>
      <c r="D16019" s="209"/>
      <c r="E16019" s="209"/>
      <c r="J16019" s="124"/>
    </row>
    <row r="16020" spans="3:10" x14ac:dyDescent="0.2">
      <c r="C16020" s="209"/>
      <c r="D16020" s="209"/>
      <c r="E16020" s="209"/>
      <c r="J16020" s="124"/>
    </row>
    <row r="16021" spans="3:10" x14ac:dyDescent="0.2">
      <c r="C16021" s="209"/>
      <c r="D16021" s="209"/>
      <c r="E16021" s="209"/>
      <c r="J16021" s="124"/>
    </row>
    <row r="16022" spans="3:10" x14ac:dyDescent="0.2">
      <c r="C16022" s="209"/>
      <c r="D16022" s="209"/>
      <c r="E16022" s="209"/>
      <c r="J16022" s="124"/>
    </row>
    <row r="16023" spans="3:10" x14ac:dyDescent="0.2">
      <c r="C16023" s="209"/>
      <c r="D16023" s="209"/>
      <c r="E16023" s="209"/>
      <c r="J16023" s="124"/>
    </row>
    <row r="16024" spans="3:10" x14ac:dyDescent="0.2">
      <c r="C16024" s="209"/>
      <c r="D16024" s="209"/>
      <c r="E16024" s="209"/>
      <c r="J16024" s="124"/>
    </row>
    <row r="16025" spans="3:10" x14ac:dyDescent="0.2">
      <c r="C16025" s="209"/>
      <c r="D16025" s="209"/>
      <c r="E16025" s="209"/>
      <c r="J16025" s="124"/>
    </row>
    <row r="16026" spans="3:10" x14ac:dyDescent="0.2">
      <c r="C16026" s="209"/>
      <c r="D16026" s="209"/>
      <c r="E16026" s="209"/>
      <c r="J16026" s="124"/>
    </row>
    <row r="16027" spans="3:10" x14ac:dyDescent="0.2">
      <c r="C16027" s="209"/>
      <c r="D16027" s="209"/>
      <c r="E16027" s="209"/>
      <c r="J16027" s="124"/>
    </row>
    <row r="16028" spans="3:10" x14ac:dyDescent="0.2">
      <c r="C16028" s="209"/>
      <c r="D16028" s="209"/>
      <c r="E16028" s="209"/>
      <c r="J16028" s="124"/>
    </row>
    <row r="16029" spans="3:10" x14ac:dyDescent="0.2">
      <c r="C16029" s="209"/>
      <c r="D16029" s="209"/>
      <c r="E16029" s="209"/>
      <c r="J16029" s="124"/>
    </row>
    <row r="16030" spans="3:10" x14ac:dyDescent="0.2">
      <c r="C16030" s="209"/>
      <c r="D16030" s="209"/>
      <c r="E16030" s="209"/>
      <c r="J16030" s="124"/>
    </row>
    <row r="16031" spans="3:10" x14ac:dyDescent="0.2">
      <c r="C16031" s="209"/>
      <c r="D16031" s="209"/>
      <c r="E16031" s="209"/>
      <c r="J16031" s="124"/>
    </row>
    <row r="16032" spans="3:10" x14ac:dyDescent="0.2">
      <c r="C16032" s="209"/>
      <c r="D16032" s="209"/>
      <c r="E16032" s="209"/>
      <c r="J16032" s="124"/>
    </row>
    <row r="16033" spans="3:10" x14ac:dyDescent="0.2">
      <c r="C16033" s="209"/>
      <c r="D16033" s="209"/>
      <c r="E16033" s="209"/>
      <c r="J16033" s="124"/>
    </row>
    <row r="16034" spans="3:10" x14ac:dyDescent="0.2">
      <c r="C16034" s="209"/>
      <c r="D16034" s="209"/>
      <c r="E16034" s="209"/>
      <c r="J16034" s="124"/>
    </row>
    <row r="16035" spans="3:10" x14ac:dyDescent="0.2">
      <c r="C16035" s="209"/>
      <c r="D16035" s="209"/>
      <c r="E16035" s="209"/>
      <c r="J16035" s="124"/>
    </row>
    <row r="16036" spans="3:10" x14ac:dyDescent="0.2">
      <c r="C16036" s="209"/>
      <c r="D16036" s="209"/>
      <c r="E16036" s="209"/>
      <c r="J16036" s="124"/>
    </row>
    <row r="16037" spans="3:10" x14ac:dyDescent="0.2">
      <c r="C16037" s="209"/>
      <c r="D16037" s="209"/>
      <c r="E16037" s="209"/>
      <c r="J16037" s="124"/>
    </row>
    <row r="16038" spans="3:10" x14ac:dyDescent="0.2">
      <c r="C16038" s="209"/>
      <c r="D16038" s="209"/>
      <c r="E16038" s="209"/>
      <c r="J16038" s="124"/>
    </row>
    <row r="16039" spans="3:10" x14ac:dyDescent="0.2">
      <c r="C16039" s="209"/>
      <c r="D16039" s="209"/>
      <c r="E16039" s="209"/>
      <c r="J16039" s="124"/>
    </row>
    <row r="16040" spans="3:10" x14ac:dyDescent="0.2">
      <c r="C16040" s="209"/>
      <c r="D16040" s="209"/>
      <c r="E16040" s="209"/>
      <c r="J16040" s="124"/>
    </row>
    <row r="16041" spans="3:10" x14ac:dyDescent="0.2">
      <c r="C16041" s="209"/>
      <c r="D16041" s="209"/>
      <c r="E16041" s="209"/>
      <c r="J16041" s="124"/>
    </row>
    <row r="16042" spans="3:10" x14ac:dyDescent="0.2">
      <c r="C16042" s="209"/>
      <c r="D16042" s="209"/>
      <c r="E16042" s="209"/>
      <c r="J16042" s="124"/>
    </row>
    <row r="16043" spans="3:10" x14ac:dyDescent="0.2">
      <c r="C16043" s="209"/>
      <c r="D16043" s="209"/>
      <c r="E16043" s="209"/>
      <c r="J16043" s="124"/>
    </row>
    <row r="16044" spans="3:10" x14ac:dyDescent="0.2">
      <c r="C16044" s="209"/>
      <c r="D16044" s="209"/>
      <c r="E16044" s="209"/>
      <c r="J16044" s="124"/>
    </row>
    <row r="16045" spans="3:10" x14ac:dyDescent="0.2">
      <c r="C16045" s="209"/>
      <c r="D16045" s="209"/>
      <c r="E16045" s="209"/>
      <c r="J16045" s="124"/>
    </row>
    <row r="16046" spans="3:10" x14ac:dyDescent="0.2">
      <c r="C16046" s="209"/>
      <c r="D16046" s="209"/>
      <c r="E16046" s="209"/>
      <c r="J16046" s="124"/>
    </row>
    <row r="16047" spans="3:10" x14ac:dyDescent="0.2">
      <c r="C16047" s="209"/>
      <c r="D16047" s="209"/>
      <c r="E16047" s="209"/>
      <c r="J16047" s="124"/>
    </row>
    <row r="16048" spans="3:10" x14ac:dyDescent="0.2">
      <c r="C16048" s="209"/>
      <c r="D16048" s="209"/>
      <c r="E16048" s="209"/>
      <c r="J16048" s="124"/>
    </row>
    <row r="16049" spans="3:10" x14ac:dyDescent="0.2">
      <c r="C16049" s="209"/>
      <c r="D16049" s="209"/>
      <c r="E16049" s="209"/>
      <c r="J16049" s="124"/>
    </row>
    <row r="16050" spans="3:10" x14ac:dyDescent="0.2">
      <c r="C16050" s="209"/>
      <c r="D16050" s="209"/>
      <c r="E16050" s="209"/>
      <c r="J16050" s="124"/>
    </row>
    <row r="16051" spans="3:10" x14ac:dyDescent="0.2">
      <c r="C16051" s="209"/>
      <c r="D16051" s="209"/>
      <c r="E16051" s="209"/>
      <c r="J16051" s="124"/>
    </row>
    <row r="16052" spans="3:10" x14ac:dyDescent="0.2">
      <c r="C16052" s="209"/>
      <c r="D16052" s="209"/>
      <c r="E16052" s="209"/>
      <c r="J16052" s="124"/>
    </row>
    <row r="16053" spans="3:10" x14ac:dyDescent="0.2">
      <c r="C16053" s="209"/>
      <c r="D16053" s="209"/>
      <c r="E16053" s="209"/>
      <c r="J16053" s="124"/>
    </row>
    <row r="16054" spans="3:10" x14ac:dyDescent="0.2">
      <c r="C16054" s="209"/>
      <c r="D16054" s="209"/>
      <c r="E16054" s="209"/>
      <c r="J16054" s="124"/>
    </row>
    <row r="16055" spans="3:10" x14ac:dyDescent="0.2">
      <c r="C16055" s="209"/>
      <c r="D16055" s="209"/>
      <c r="E16055" s="209"/>
      <c r="J16055" s="124"/>
    </row>
    <row r="16056" spans="3:10" x14ac:dyDescent="0.2">
      <c r="C16056" s="209"/>
      <c r="D16056" s="209"/>
      <c r="E16056" s="209"/>
      <c r="J16056" s="124"/>
    </row>
    <row r="16057" spans="3:10" x14ac:dyDescent="0.2">
      <c r="C16057" s="209"/>
      <c r="D16057" s="209"/>
      <c r="E16057" s="209"/>
      <c r="J16057" s="124"/>
    </row>
    <row r="16058" spans="3:10" x14ac:dyDescent="0.2">
      <c r="C16058" s="209"/>
      <c r="D16058" s="209"/>
      <c r="E16058" s="209"/>
      <c r="J16058" s="124"/>
    </row>
    <row r="16059" spans="3:10" x14ac:dyDescent="0.2">
      <c r="C16059" s="209"/>
      <c r="D16059" s="209"/>
      <c r="E16059" s="209"/>
      <c r="J16059" s="124"/>
    </row>
    <row r="16060" spans="3:10" x14ac:dyDescent="0.2">
      <c r="C16060" s="209"/>
      <c r="D16060" s="209"/>
      <c r="E16060" s="209"/>
      <c r="J16060" s="124"/>
    </row>
    <row r="16061" spans="3:10" x14ac:dyDescent="0.2">
      <c r="C16061" s="209"/>
      <c r="D16061" s="209"/>
      <c r="E16061" s="209"/>
      <c r="J16061" s="124"/>
    </row>
    <row r="16062" spans="3:10" x14ac:dyDescent="0.2">
      <c r="C16062" s="209"/>
      <c r="D16062" s="209"/>
      <c r="E16062" s="209"/>
      <c r="J16062" s="124"/>
    </row>
    <row r="16063" spans="3:10" x14ac:dyDescent="0.2">
      <c r="C16063" s="209"/>
      <c r="D16063" s="209"/>
      <c r="E16063" s="209"/>
      <c r="J16063" s="124"/>
    </row>
    <row r="16064" spans="3:10" x14ac:dyDescent="0.2">
      <c r="C16064" s="209"/>
      <c r="D16064" s="209"/>
      <c r="E16064" s="209"/>
      <c r="J16064" s="124"/>
    </row>
    <row r="16065" spans="3:10" x14ac:dyDescent="0.2">
      <c r="C16065" s="209"/>
      <c r="D16065" s="209"/>
      <c r="E16065" s="209"/>
      <c r="J16065" s="124"/>
    </row>
    <row r="16066" spans="3:10" x14ac:dyDescent="0.2">
      <c r="C16066" s="209"/>
      <c r="D16066" s="209"/>
      <c r="E16066" s="209"/>
      <c r="J16066" s="124"/>
    </row>
    <row r="16067" spans="3:10" x14ac:dyDescent="0.2">
      <c r="C16067" s="209"/>
      <c r="D16067" s="209"/>
      <c r="E16067" s="209"/>
      <c r="J16067" s="124"/>
    </row>
    <row r="16068" spans="3:10" x14ac:dyDescent="0.2">
      <c r="C16068" s="209"/>
      <c r="D16068" s="209"/>
      <c r="E16068" s="209"/>
      <c r="J16068" s="124"/>
    </row>
    <row r="16069" spans="3:10" x14ac:dyDescent="0.2">
      <c r="C16069" s="209"/>
      <c r="D16069" s="209"/>
      <c r="E16069" s="209"/>
      <c r="J16069" s="124"/>
    </row>
    <row r="16070" spans="3:10" x14ac:dyDescent="0.2">
      <c r="C16070" s="209"/>
      <c r="D16070" s="209"/>
      <c r="E16070" s="209"/>
      <c r="J16070" s="124"/>
    </row>
    <row r="16071" spans="3:10" x14ac:dyDescent="0.2">
      <c r="C16071" s="209"/>
      <c r="D16071" s="209"/>
      <c r="E16071" s="209"/>
      <c r="J16071" s="124"/>
    </row>
    <row r="16072" spans="3:10" x14ac:dyDescent="0.2">
      <c r="C16072" s="209"/>
      <c r="D16072" s="209"/>
      <c r="E16072" s="209"/>
      <c r="J16072" s="124"/>
    </row>
    <row r="16073" spans="3:10" x14ac:dyDescent="0.2">
      <c r="C16073" s="209"/>
      <c r="D16073" s="209"/>
      <c r="E16073" s="209"/>
      <c r="J16073" s="124"/>
    </row>
    <row r="16074" spans="3:10" x14ac:dyDescent="0.2">
      <c r="C16074" s="209"/>
      <c r="D16074" s="209"/>
      <c r="E16074" s="209"/>
      <c r="J16074" s="124"/>
    </row>
    <row r="16075" spans="3:10" x14ac:dyDescent="0.2">
      <c r="C16075" s="209"/>
      <c r="D16075" s="209"/>
      <c r="E16075" s="209"/>
      <c r="J16075" s="124"/>
    </row>
    <row r="16076" spans="3:10" x14ac:dyDescent="0.2">
      <c r="C16076" s="209"/>
      <c r="D16076" s="209"/>
      <c r="E16076" s="209"/>
      <c r="J16076" s="124"/>
    </row>
    <row r="16077" spans="3:10" x14ac:dyDescent="0.2">
      <c r="C16077" s="209"/>
      <c r="D16077" s="209"/>
      <c r="E16077" s="209"/>
      <c r="J16077" s="124"/>
    </row>
    <row r="16078" spans="3:10" x14ac:dyDescent="0.2">
      <c r="C16078" s="209"/>
      <c r="D16078" s="209"/>
      <c r="E16078" s="209"/>
      <c r="J16078" s="124"/>
    </row>
    <row r="16079" spans="3:10" x14ac:dyDescent="0.2">
      <c r="C16079" s="209"/>
      <c r="D16079" s="209"/>
      <c r="E16079" s="209"/>
      <c r="J16079" s="124"/>
    </row>
    <row r="16080" spans="3:10" x14ac:dyDescent="0.2">
      <c r="C16080" s="209"/>
      <c r="D16080" s="209"/>
      <c r="E16080" s="209"/>
      <c r="J16080" s="124"/>
    </row>
    <row r="16081" spans="3:10" x14ac:dyDescent="0.2">
      <c r="C16081" s="209"/>
      <c r="D16081" s="209"/>
      <c r="E16081" s="209"/>
      <c r="J16081" s="124"/>
    </row>
    <row r="16082" spans="3:10" x14ac:dyDescent="0.2">
      <c r="C16082" s="209"/>
      <c r="D16082" s="209"/>
      <c r="E16082" s="209"/>
      <c r="J16082" s="124"/>
    </row>
    <row r="16083" spans="3:10" x14ac:dyDescent="0.2">
      <c r="C16083" s="209"/>
      <c r="D16083" s="209"/>
      <c r="E16083" s="209"/>
      <c r="J16083" s="124"/>
    </row>
    <row r="16084" spans="3:10" x14ac:dyDescent="0.2">
      <c r="C16084" s="209"/>
      <c r="D16084" s="209"/>
      <c r="E16084" s="209"/>
      <c r="J16084" s="124"/>
    </row>
    <row r="16085" spans="3:10" x14ac:dyDescent="0.2">
      <c r="C16085" s="209"/>
      <c r="D16085" s="209"/>
      <c r="E16085" s="209"/>
      <c r="J16085" s="124"/>
    </row>
    <row r="16086" spans="3:10" x14ac:dyDescent="0.2">
      <c r="C16086" s="209"/>
      <c r="D16086" s="209"/>
      <c r="E16086" s="209"/>
      <c r="J16086" s="124"/>
    </row>
    <row r="16087" spans="3:10" x14ac:dyDescent="0.2">
      <c r="C16087" s="209"/>
      <c r="D16087" s="209"/>
      <c r="E16087" s="209"/>
      <c r="J16087" s="124"/>
    </row>
    <row r="16088" spans="3:10" x14ac:dyDescent="0.2">
      <c r="C16088" s="209"/>
      <c r="D16088" s="209"/>
      <c r="E16088" s="209"/>
      <c r="J16088" s="124"/>
    </row>
    <row r="16089" spans="3:10" x14ac:dyDescent="0.2">
      <c r="C16089" s="209"/>
      <c r="D16089" s="209"/>
      <c r="E16089" s="209"/>
      <c r="J16089" s="124"/>
    </row>
    <row r="16090" spans="3:10" x14ac:dyDescent="0.2">
      <c r="C16090" s="209"/>
      <c r="D16090" s="209"/>
      <c r="E16090" s="209"/>
      <c r="J16090" s="124"/>
    </row>
    <row r="16091" spans="3:10" x14ac:dyDescent="0.2">
      <c r="C16091" s="209"/>
      <c r="D16091" s="209"/>
      <c r="E16091" s="209"/>
      <c r="J16091" s="124"/>
    </row>
    <row r="16092" spans="3:10" x14ac:dyDescent="0.2">
      <c r="C16092" s="209"/>
      <c r="D16092" s="209"/>
      <c r="E16092" s="209"/>
      <c r="J16092" s="124"/>
    </row>
    <row r="16093" spans="3:10" x14ac:dyDescent="0.2">
      <c r="C16093" s="209"/>
      <c r="D16093" s="209"/>
      <c r="E16093" s="209"/>
      <c r="J16093" s="124"/>
    </row>
    <row r="16094" spans="3:10" x14ac:dyDescent="0.2">
      <c r="C16094" s="209"/>
      <c r="D16094" s="209"/>
      <c r="E16094" s="209"/>
      <c r="J16094" s="124"/>
    </row>
    <row r="16095" spans="3:10" x14ac:dyDescent="0.2">
      <c r="C16095" s="209"/>
      <c r="D16095" s="209"/>
      <c r="E16095" s="209"/>
      <c r="J16095" s="124"/>
    </row>
    <row r="16096" spans="3:10" x14ac:dyDescent="0.2">
      <c r="C16096" s="209"/>
      <c r="D16096" s="209"/>
      <c r="E16096" s="209"/>
      <c r="J16096" s="124"/>
    </row>
    <row r="16097" spans="3:10" x14ac:dyDescent="0.2">
      <c r="C16097" s="209"/>
      <c r="D16097" s="209"/>
      <c r="E16097" s="209"/>
      <c r="J16097" s="124"/>
    </row>
    <row r="16098" spans="3:10" x14ac:dyDescent="0.2">
      <c r="C16098" s="209"/>
      <c r="D16098" s="209"/>
      <c r="E16098" s="209"/>
      <c r="J16098" s="124"/>
    </row>
    <row r="16099" spans="3:10" x14ac:dyDescent="0.2">
      <c r="C16099" s="209"/>
      <c r="D16099" s="209"/>
      <c r="E16099" s="209"/>
      <c r="J16099" s="124"/>
    </row>
    <row r="16100" spans="3:10" x14ac:dyDescent="0.2">
      <c r="C16100" s="209"/>
      <c r="D16100" s="209"/>
      <c r="E16100" s="209"/>
      <c r="J16100" s="124"/>
    </row>
    <row r="16101" spans="3:10" x14ac:dyDescent="0.2">
      <c r="C16101" s="209"/>
      <c r="D16101" s="209"/>
      <c r="E16101" s="209"/>
      <c r="J16101" s="124"/>
    </row>
    <row r="16102" spans="3:10" x14ac:dyDescent="0.2">
      <c r="C16102" s="209"/>
      <c r="D16102" s="209"/>
      <c r="E16102" s="209"/>
      <c r="J16102" s="124"/>
    </row>
    <row r="16103" spans="3:10" x14ac:dyDescent="0.2">
      <c r="C16103" s="209"/>
      <c r="D16103" s="209"/>
      <c r="E16103" s="209"/>
      <c r="J16103" s="124"/>
    </row>
    <row r="16104" spans="3:10" x14ac:dyDescent="0.2">
      <c r="C16104" s="209"/>
      <c r="D16104" s="209"/>
      <c r="E16104" s="209"/>
      <c r="J16104" s="124"/>
    </row>
    <row r="16105" spans="3:10" x14ac:dyDescent="0.2">
      <c r="C16105" s="209"/>
      <c r="D16105" s="209"/>
      <c r="E16105" s="209"/>
      <c r="J16105" s="124"/>
    </row>
    <row r="16106" spans="3:10" x14ac:dyDescent="0.2">
      <c r="C16106" s="209"/>
      <c r="D16106" s="209"/>
      <c r="E16106" s="209"/>
      <c r="J16106" s="124"/>
    </row>
    <row r="16107" spans="3:10" x14ac:dyDescent="0.2">
      <c r="C16107" s="209"/>
      <c r="D16107" s="209"/>
      <c r="E16107" s="209"/>
      <c r="J16107" s="124"/>
    </row>
    <row r="16108" spans="3:10" x14ac:dyDescent="0.2">
      <c r="C16108" s="209"/>
      <c r="D16108" s="209"/>
      <c r="E16108" s="209"/>
      <c r="J16108" s="124"/>
    </row>
    <row r="16109" spans="3:10" x14ac:dyDescent="0.2">
      <c r="C16109" s="209"/>
      <c r="D16109" s="209"/>
      <c r="E16109" s="209"/>
      <c r="J16109" s="124"/>
    </row>
    <row r="16110" spans="3:10" x14ac:dyDescent="0.2">
      <c r="C16110" s="209"/>
      <c r="D16110" s="209"/>
      <c r="E16110" s="209"/>
      <c r="J16110" s="124"/>
    </row>
    <row r="16111" spans="3:10" x14ac:dyDescent="0.2">
      <c r="C16111" s="209"/>
      <c r="D16111" s="209"/>
      <c r="E16111" s="209"/>
      <c r="J16111" s="124"/>
    </row>
    <row r="16112" spans="3:10" x14ac:dyDescent="0.2">
      <c r="C16112" s="209"/>
      <c r="D16112" s="209"/>
      <c r="E16112" s="209"/>
      <c r="J16112" s="124"/>
    </row>
    <row r="16113" spans="3:10" x14ac:dyDescent="0.2">
      <c r="C16113" s="209"/>
      <c r="D16113" s="209"/>
      <c r="E16113" s="209"/>
      <c r="J16113" s="124"/>
    </row>
    <row r="16114" spans="3:10" x14ac:dyDescent="0.2">
      <c r="C16114" s="209"/>
      <c r="D16114" s="209"/>
      <c r="E16114" s="209"/>
      <c r="J16114" s="124"/>
    </row>
    <row r="16115" spans="3:10" x14ac:dyDescent="0.2">
      <c r="C16115" s="209"/>
      <c r="D16115" s="209"/>
      <c r="E16115" s="209"/>
      <c r="J16115" s="124"/>
    </row>
    <row r="16116" spans="3:10" x14ac:dyDescent="0.2">
      <c r="C16116" s="209"/>
      <c r="D16116" s="209"/>
      <c r="E16116" s="209"/>
      <c r="J16116" s="124"/>
    </row>
    <row r="16117" spans="3:10" x14ac:dyDescent="0.2">
      <c r="C16117" s="209"/>
      <c r="D16117" s="209"/>
      <c r="E16117" s="209"/>
      <c r="J16117" s="124"/>
    </row>
    <row r="16118" spans="3:10" x14ac:dyDescent="0.2">
      <c r="C16118" s="209"/>
      <c r="D16118" s="209"/>
      <c r="E16118" s="209"/>
      <c r="J16118" s="124"/>
    </row>
    <row r="16119" spans="3:10" x14ac:dyDescent="0.2">
      <c r="C16119" s="209"/>
      <c r="D16119" s="209"/>
      <c r="E16119" s="209"/>
      <c r="J16119" s="124"/>
    </row>
    <row r="16120" spans="3:10" x14ac:dyDescent="0.2">
      <c r="C16120" s="209"/>
      <c r="D16120" s="209"/>
      <c r="E16120" s="209"/>
      <c r="J16120" s="124"/>
    </row>
    <row r="16121" spans="3:10" x14ac:dyDescent="0.2">
      <c r="C16121" s="209"/>
      <c r="D16121" s="209"/>
      <c r="E16121" s="209"/>
      <c r="J16121" s="124"/>
    </row>
    <row r="16122" spans="3:10" x14ac:dyDescent="0.2">
      <c r="C16122" s="209"/>
      <c r="D16122" s="209"/>
      <c r="E16122" s="209"/>
      <c r="J16122" s="124"/>
    </row>
    <row r="16123" spans="3:10" x14ac:dyDescent="0.2">
      <c r="C16123" s="209"/>
      <c r="D16123" s="209"/>
      <c r="E16123" s="209"/>
      <c r="J16123" s="124"/>
    </row>
    <row r="16124" spans="3:10" x14ac:dyDescent="0.2">
      <c r="C16124" s="209"/>
      <c r="D16124" s="209"/>
      <c r="E16124" s="209"/>
      <c r="J16124" s="124"/>
    </row>
    <row r="16125" spans="3:10" x14ac:dyDescent="0.2">
      <c r="C16125" s="209"/>
      <c r="D16125" s="209"/>
      <c r="E16125" s="209"/>
      <c r="J16125" s="124"/>
    </row>
    <row r="16126" spans="3:10" x14ac:dyDescent="0.2">
      <c r="C16126" s="209"/>
      <c r="D16126" s="209"/>
      <c r="E16126" s="209"/>
      <c r="J16126" s="124"/>
    </row>
    <row r="16127" spans="3:10" x14ac:dyDescent="0.2">
      <c r="C16127" s="209"/>
      <c r="D16127" s="209"/>
      <c r="E16127" s="209"/>
      <c r="J16127" s="124"/>
    </row>
    <row r="16128" spans="3:10" x14ac:dyDescent="0.2">
      <c r="C16128" s="209"/>
      <c r="D16128" s="209"/>
      <c r="E16128" s="209"/>
      <c r="J16128" s="124"/>
    </row>
    <row r="16129" spans="3:10" x14ac:dyDescent="0.2">
      <c r="C16129" s="209"/>
      <c r="D16129" s="209"/>
      <c r="E16129" s="209"/>
      <c r="J16129" s="124"/>
    </row>
    <row r="16130" spans="3:10" x14ac:dyDescent="0.2">
      <c r="C16130" s="209"/>
      <c r="D16130" s="209"/>
      <c r="E16130" s="209"/>
      <c r="J16130" s="124"/>
    </row>
    <row r="16131" spans="3:10" x14ac:dyDescent="0.2">
      <c r="C16131" s="209"/>
      <c r="D16131" s="209"/>
      <c r="E16131" s="209"/>
      <c r="J16131" s="124"/>
    </row>
    <row r="16132" spans="3:10" x14ac:dyDescent="0.2">
      <c r="C16132" s="209"/>
      <c r="D16132" s="209"/>
      <c r="E16132" s="209"/>
      <c r="J16132" s="124"/>
    </row>
    <row r="16133" spans="3:10" x14ac:dyDescent="0.2">
      <c r="C16133" s="209"/>
      <c r="D16133" s="209"/>
      <c r="E16133" s="209"/>
      <c r="J16133" s="124"/>
    </row>
    <row r="16134" spans="3:10" x14ac:dyDescent="0.2">
      <c r="C16134" s="209"/>
      <c r="D16134" s="209"/>
      <c r="E16134" s="209"/>
      <c r="J16134" s="124"/>
    </row>
    <row r="16135" spans="3:10" x14ac:dyDescent="0.2">
      <c r="C16135" s="209"/>
      <c r="D16135" s="209"/>
      <c r="E16135" s="209"/>
      <c r="J16135" s="124"/>
    </row>
    <row r="16136" spans="3:10" x14ac:dyDescent="0.2">
      <c r="C16136" s="209"/>
      <c r="D16136" s="209"/>
      <c r="E16136" s="209"/>
      <c r="J16136" s="124"/>
    </row>
    <row r="16137" spans="3:10" x14ac:dyDescent="0.2">
      <c r="C16137" s="209"/>
      <c r="D16137" s="209"/>
      <c r="E16137" s="209"/>
      <c r="J16137" s="124"/>
    </row>
    <row r="16138" spans="3:10" x14ac:dyDescent="0.2">
      <c r="C16138" s="209"/>
      <c r="D16138" s="209"/>
      <c r="E16138" s="209"/>
      <c r="J16138" s="124"/>
    </row>
    <row r="16139" spans="3:10" x14ac:dyDescent="0.2">
      <c r="C16139" s="209"/>
      <c r="D16139" s="209"/>
      <c r="E16139" s="209"/>
      <c r="J16139" s="124"/>
    </row>
    <row r="16140" spans="3:10" x14ac:dyDescent="0.2">
      <c r="C16140" s="209"/>
      <c r="D16140" s="209"/>
      <c r="E16140" s="209"/>
      <c r="J16140" s="124"/>
    </row>
    <row r="16141" spans="3:10" x14ac:dyDescent="0.2">
      <c r="C16141" s="209"/>
      <c r="D16141" s="209"/>
      <c r="E16141" s="209"/>
      <c r="J16141" s="124"/>
    </row>
    <row r="16142" spans="3:10" x14ac:dyDescent="0.2">
      <c r="C16142" s="209"/>
      <c r="D16142" s="209"/>
      <c r="E16142" s="209"/>
      <c r="J16142" s="124"/>
    </row>
    <row r="16143" spans="3:10" x14ac:dyDescent="0.2">
      <c r="C16143" s="209"/>
      <c r="D16143" s="209"/>
      <c r="E16143" s="209"/>
      <c r="J16143" s="124"/>
    </row>
    <row r="16144" spans="3:10" x14ac:dyDescent="0.2">
      <c r="C16144" s="209"/>
      <c r="D16144" s="209"/>
      <c r="E16144" s="209"/>
      <c r="J16144" s="124"/>
    </row>
    <row r="16145" spans="3:10" x14ac:dyDescent="0.2">
      <c r="C16145" s="209"/>
      <c r="D16145" s="209"/>
      <c r="E16145" s="209"/>
      <c r="J16145" s="124"/>
    </row>
    <row r="16146" spans="3:10" x14ac:dyDescent="0.2">
      <c r="C16146" s="209"/>
      <c r="D16146" s="209"/>
      <c r="E16146" s="209"/>
      <c r="J16146" s="124"/>
    </row>
    <row r="16147" spans="3:10" x14ac:dyDescent="0.2">
      <c r="C16147" s="209"/>
      <c r="D16147" s="209"/>
      <c r="E16147" s="209"/>
      <c r="J16147" s="124"/>
    </row>
    <row r="16148" spans="3:10" x14ac:dyDescent="0.2">
      <c r="C16148" s="209"/>
      <c r="D16148" s="209"/>
      <c r="E16148" s="209"/>
      <c r="J16148" s="124"/>
    </row>
    <row r="16149" spans="3:10" x14ac:dyDescent="0.2">
      <c r="C16149" s="209"/>
      <c r="D16149" s="209"/>
      <c r="E16149" s="209"/>
      <c r="J16149" s="124"/>
    </row>
    <row r="16150" spans="3:10" x14ac:dyDescent="0.2">
      <c r="C16150" s="209"/>
      <c r="D16150" s="209"/>
      <c r="E16150" s="209"/>
      <c r="J16150" s="124"/>
    </row>
    <row r="16151" spans="3:10" x14ac:dyDescent="0.2">
      <c r="C16151" s="209"/>
      <c r="D16151" s="209"/>
      <c r="E16151" s="209"/>
      <c r="J16151" s="124"/>
    </row>
    <row r="16152" spans="3:10" x14ac:dyDescent="0.2">
      <c r="C16152" s="209"/>
      <c r="D16152" s="209"/>
      <c r="E16152" s="209"/>
      <c r="J16152" s="124"/>
    </row>
    <row r="16153" spans="3:10" x14ac:dyDescent="0.2">
      <c r="C16153" s="209"/>
      <c r="D16153" s="209"/>
      <c r="E16153" s="209"/>
      <c r="J16153" s="124"/>
    </row>
    <row r="16154" spans="3:10" x14ac:dyDescent="0.2">
      <c r="C16154" s="209"/>
      <c r="D16154" s="209"/>
      <c r="E16154" s="209"/>
      <c r="J16154" s="124"/>
    </row>
    <row r="16155" spans="3:10" x14ac:dyDescent="0.2">
      <c r="C16155" s="209"/>
      <c r="D16155" s="209"/>
      <c r="E16155" s="209"/>
      <c r="J16155" s="124"/>
    </row>
    <row r="16156" spans="3:10" x14ac:dyDescent="0.2">
      <c r="C16156" s="209"/>
      <c r="D16156" s="209"/>
      <c r="E16156" s="209"/>
      <c r="J16156" s="124"/>
    </row>
    <row r="16157" spans="3:10" x14ac:dyDescent="0.2">
      <c r="C16157" s="209"/>
      <c r="D16157" s="209"/>
      <c r="E16157" s="209"/>
      <c r="J16157" s="124"/>
    </row>
    <row r="16158" spans="3:10" x14ac:dyDescent="0.2">
      <c r="C16158" s="209"/>
      <c r="D16158" s="209"/>
      <c r="E16158" s="209"/>
      <c r="J16158" s="124"/>
    </row>
    <row r="16159" spans="3:10" x14ac:dyDescent="0.2">
      <c r="C16159" s="209"/>
      <c r="D16159" s="209"/>
      <c r="E16159" s="209"/>
      <c r="J16159" s="124"/>
    </row>
    <row r="16160" spans="3:10" x14ac:dyDescent="0.2">
      <c r="C16160" s="209"/>
      <c r="D16160" s="209"/>
      <c r="E16160" s="209"/>
      <c r="J16160" s="124"/>
    </row>
    <row r="16161" spans="3:10" x14ac:dyDescent="0.2">
      <c r="C16161" s="209"/>
      <c r="D16161" s="209"/>
      <c r="E16161" s="209"/>
      <c r="J16161" s="124"/>
    </row>
    <row r="16162" spans="3:10" x14ac:dyDescent="0.2">
      <c r="C16162" s="209"/>
      <c r="D16162" s="209"/>
      <c r="E16162" s="209"/>
      <c r="J16162" s="124"/>
    </row>
    <row r="16163" spans="3:10" x14ac:dyDescent="0.2">
      <c r="C16163" s="209"/>
      <c r="D16163" s="209"/>
      <c r="E16163" s="209"/>
      <c r="J16163" s="124"/>
    </row>
    <row r="16164" spans="3:10" x14ac:dyDescent="0.2">
      <c r="C16164" s="209"/>
      <c r="D16164" s="209"/>
      <c r="E16164" s="209"/>
      <c r="J16164" s="124"/>
    </row>
    <row r="16165" spans="3:10" x14ac:dyDescent="0.2">
      <c r="C16165" s="209"/>
      <c r="D16165" s="209"/>
      <c r="E16165" s="209"/>
      <c r="J16165" s="124"/>
    </row>
    <row r="16166" spans="3:10" x14ac:dyDescent="0.2">
      <c r="C16166" s="209"/>
      <c r="D16166" s="209"/>
      <c r="E16166" s="209"/>
      <c r="J16166" s="124"/>
    </row>
    <row r="16167" spans="3:10" x14ac:dyDescent="0.2">
      <c r="C16167" s="209"/>
      <c r="D16167" s="209"/>
      <c r="E16167" s="209"/>
      <c r="J16167" s="124"/>
    </row>
    <row r="16168" spans="3:10" x14ac:dyDescent="0.2">
      <c r="C16168" s="209"/>
      <c r="D16168" s="209"/>
      <c r="E16168" s="209"/>
      <c r="J16168" s="124"/>
    </row>
    <row r="16169" spans="3:10" x14ac:dyDescent="0.2">
      <c r="C16169" s="209"/>
      <c r="D16169" s="209"/>
      <c r="E16169" s="209"/>
      <c r="J16169" s="124"/>
    </row>
    <row r="16170" spans="3:10" x14ac:dyDescent="0.2">
      <c r="C16170" s="209"/>
      <c r="D16170" s="209"/>
      <c r="E16170" s="209"/>
      <c r="J16170" s="124"/>
    </row>
    <row r="16171" spans="3:10" x14ac:dyDescent="0.2">
      <c r="C16171" s="209"/>
      <c r="D16171" s="209"/>
      <c r="E16171" s="209"/>
      <c r="J16171" s="124"/>
    </row>
    <row r="16172" spans="3:10" x14ac:dyDescent="0.2">
      <c r="C16172" s="209"/>
      <c r="D16172" s="209"/>
      <c r="E16172" s="209"/>
      <c r="J16172" s="124"/>
    </row>
    <row r="16173" spans="3:10" x14ac:dyDescent="0.2">
      <c r="C16173" s="209"/>
      <c r="D16173" s="209"/>
      <c r="E16173" s="209"/>
      <c r="J16173" s="124"/>
    </row>
    <row r="16174" spans="3:10" x14ac:dyDescent="0.2">
      <c r="C16174" s="209"/>
      <c r="D16174" s="209"/>
      <c r="E16174" s="209"/>
      <c r="J16174" s="124"/>
    </row>
    <row r="16175" spans="3:10" x14ac:dyDescent="0.2">
      <c r="C16175" s="209"/>
      <c r="D16175" s="209"/>
      <c r="E16175" s="209"/>
      <c r="J16175" s="124"/>
    </row>
    <row r="16176" spans="3:10" x14ac:dyDescent="0.2">
      <c r="C16176" s="209"/>
      <c r="D16176" s="209"/>
      <c r="E16176" s="209"/>
      <c r="J16176" s="124"/>
    </row>
    <row r="16177" spans="3:10" x14ac:dyDescent="0.2">
      <c r="C16177" s="209"/>
      <c r="D16177" s="209"/>
      <c r="E16177" s="209"/>
      <c r="J16177" s="124"/>
    </row>
    <row r="16178" spans="3:10" x14ac:dyDescent="0.2">
      <c r="C16178" s="209"/>
      <c r="D16178" s="209"/>
      <c r="E16178" s="209"/>
      <c r="J16178" s="124"/>
    </row>
    <row r="16179" spans="3:10" x14ac:dyDescent="0.2">
      <c r="C16179" s="209"/>
      <c r="D16179" s="209"/>
      <c r="E16179" s="209"/>
      <c r="J16179" s="124"/>
    </row>
    <row r="16180" spans="3:10" x14ac:dyDescent="0.2">
      <c r="C16180" s="209"/>
      <c r="D16180" s="209"/>
      <c r="E16180" s="209"/>
      <c r="J16180" s="124"/>
    </row>
    <row r="16181" spans="3:10" x14ac:dyDescent="0.2">
      <c r="C16181" s="209"/>
      <c r="D16181" s="209"/>
      <c r="E16181" s="209"/>
      <c r="J16181" s="124"/>
    </row>
    <row r="16182" spans="3:10" x14ac:dyDescent="0.2">
      <c r="C16182" s="209"/>
      <c r="D16182" s="209"/>
      <c r="E16182" s="209"/>
      <c r="J16182" s="124"/>
    </row>
    <row r="16183" spans="3:10" x14ac:dyDescent="0.2">
      <c r="C16183" s="209"/>
      <c r="D16183" s="209"/>
      <c r="E16183" s="209"/>
      <c r="J16183" s="124"/>
    </row>
    <row r="16184" spans="3:10" x14ac:dyDescent="0.2">
      <c r="C16184" s="209"/>
      <c r="D16184" s="209"/>
      <c r="E16184" s="209"/>
      <c r="J16184" s="124"/>
    </row>
    <row r="16185" spans="3:10" x14ac:dyDescent="0.2">
      <c r="C16185" s="209"/>
      <c r="D16185" s="209"/>
      <c r="E16185" s="209"/>
      <c r="J16185" s="124"/>
    </row>
    <row r="16186" spans="3:10" x14ac:dyDescent="0.2">
      <c r="C16186" s="209"/>
      <c r="D16186" s="209"/>
      <c r="E16186" s="209"/>
      <c r="J16186" s="124"/>
    </row>
    <row r="16187" spans="3:10" x14ac:dyDescent="0.2">
      <c r="C16187" s="209"/>
      <c r="D16187" s="209"/>
      <c r="E16187" s="209"/>
      <c r="J16187" s="124"/>
    </row>
    <row r="16188" spans="3:10" x14ac:dyDescent="0.2">
      <c r="C16188" s="209"/>
      <c r="D16188" s="209"/>
      <c r="E16188" s="209"/>
      <c r="J16188" s="124"/>
    </row>
    <row r="16189" spans="3:10" x14ac:dyDescent="0.2">
      <c r="C16189" s="209"/>
      <c r="D16189" s="209"/>
      <c r="E16189" s="209"/>
      <c r="J16189" s="124"/>
    </row>
    <row r="16190" spans="3:10" x14ac:dyDescent="0.2">
      <c r="C16190" s="209"/>
      <c r="D16190" s="209"/>
      <c r="E16190" s="209"/>
      <c r="J16190" s="124"/>
    </row>
    <row r="16191" spans="3:10" x14ac:dyDescent="0.2">
      <c r="C16191" s="209"/>
      <c r="D16191" s="209"/>
      <c r="E16191" s="209"/>
      <c r="J16191" s="124"/>
    </row>
    <row r="16192" spans="3:10" x14ac:dyDescent="0.2">
      <c r="C16192" s="209"/>
      <c r="D16192" s="209"/>
      <c r="E16192" s="209"/>
      <c r="J16192" s="124"/>
    </row>
    <row r="16193" spans="3:10" x14ac:dyDescent="0.2">
      <c r="C16193" s="209"/>
      <c r="D16193" s="209"/>
      <c r="E16193" s="209"/>
      <c r="J16193" s="124"/>
    </row>
    <row r="16194" spans="3:10" x14ac:dyDescent="0.2">
      <c r="C16194" s="209"/>
      <c r="D16194" s="209"/>
      <c r="E16194" s="209"/>
      <c r="J16194" s="124"/>
    </row>
    <row r="16195" spans="3:10" x14ac:dyDescent="0.2">
      <c r="C16195" s="209"/>
      <c r="D16195" s="209"/>
      <c r="E16195" s="209"/>
      <c r="J16195" s="124"/>
    </row>
    <row r="16196" spans="3:10" x14ac:dyDescent="0.2">
      <c r="C16196" s="209"/>
      <c r="D16196" s="209"/>
      <c r="E16196" s="209"/>
      <c r="J16196" s="124"/>
    </row>
    <row r="16197" spans="3:10" x14ac:dyDescent="0.2">
      <c r="C16197" s="209"/>
      <c r="D16197" s="209"/>
      <c r="E16197" s="209"/>
      <c r="J16197" s="124"/>
    </row>
    <row r="16198" spans="3:10" x14ac:dyDescent="0.2">
      <c r="C16198" s="209"/>
      <c r="D16198" s="209"/>
      <c r="E16198" s="209"/>
      <c r="J16198" s="124"/>
    </row>
    <row r="16199" spans="3:10" x14ac:dyDescent="0.2">
      <c r="C16199" s="209"/>
      <c r="D16199" s="209"/>
      <c r="E16199" s="209"/>
      <c r="J16199" s="124"/>
    </row>
    <row r="16200" spans="3:10" x14ac:dyDescent="0.2">
      <c r="C16200" s="209"/>
      <c r="D16200" s="209"/>
      <c r="E16200" s="209"/>
      <c r="J16200" s="124"/>
    </row>
    <row r="16201" spans="3:10" x14ac:dyDescent="0.2">
      <c r="C16201" s="209"/>
      <c r="D16201" s="209"/>
      <c r="E16201" s="209"/>
      <c r="J16201" s="124"/>
    </row>
    <row r="16202" spans="3:10" x14ac:dyDescent="0.2">
      <c r="C16202" s="209"/>
      <c r="D16202" s="209"/>
      <c r="E16202" s="209"/>
      <c r="J16202" s="124"/>
    </row>
    <row r="16203" spans="3:10" x14ac:dyDescent="0.2">
      <c r="C16203" s="209"/>
      <c r="D16203" s="209"/>
      <c r="E16203" s="209"/>
      <c r="J16203" s="124"/>
    </row>
    <row r="16204" spans="3:10" x14ac:dyDescent="0.2">
      <c r="C16204" s="209"/>
      <c r="D16204" s="209"/>
      <c r="E16204" s="209"/>
      <c r="J16204" s="124"/>
    </row>
    <row r="16205" spans="3:10" x14ac:dyDescent="0.2">
      <c r="C16205" s="209"/>
      <c r="D16205" s="209"/>
      <c r="E16205" s="209"/>
      <c r="J16205" s="124"/>
    </row>
    <row r="16206" spans="3:10" x14ac:dyDescent="0.2">
      <c r="C16206" s="209"/>
      <c r="D16206" s="209"/>
      <c r="E16206" s="209"/>
      <c r="J16206" s="124"/>
    </row>
    <row r="16207" spans="3:10" x14ac:dyDescent="0.2">
      <c r="C16207" s="209"/>
      <c r="D16207" s="209"/>
      <c r="E16207" s="209"/>
      <c r="J16207" s="124"/>
    </row>
    <row r="16208" spans="3:10" x14ac:dyDescent="0.2">
      <c r="C16208" s="209"/>
      <c r="D16208" s="209"/>
      <c r="E16208" s="209"/>
      <c r="J16208" s="124"/>
    </row>
    <row r="16209" spans="3:10" x14ac:dyDescent="0.2">
      <c r="C16209" s="209"/>
      <c r="D16209" s="209"/>
      <c r="E16209" s="209"/>
      <c r="J16209" s="124"/>
    </row>
    <row r="16210" spans="3:10" x14ac:dyDescent="0.2">
      <c r="C16210" s="209"/>
      <c r="D16210" s="209"/>
      <c r="E16210" s="209"/>
      <c r="J16210" s="124"/>
    </row>
    <row r="16211" spans="3:10" x14ac:dyDescent="0.2">
      <c r="C16211" s="209"/>
      <c r="D16211" s="209"/>
      <c r="E16211" s="209"/>
      <c r="J16211" s="124"/>
    </row>
    <row r="16212" spans="3:10" x14ac:dyDescent="0.2">
      <c r="C16212" s="209"/>
      <c r="D16212" s="209"/>
      <c r="E16212" s="209"/>
      <c r="J16212" s="124"/>
    </row>
    <row r="16213" spans="3:10" x14ac:dyDescent="0.2">
      <c r="C16213" s="209"/>
      <c r="D16213" s="209"/>
      <c r="E16213" s="209"/>
      <c r="J16213" s="124"/>
    </row>
    <row r="16214" spans="3:10" x14ac:dyDescent="0.2">
      <c r="C16214" s="209"/>
      <c r="D16214" s="209"/>
      <c r="E16214" s="209"/>
      <c r="J16214" s="124"/>
    </row>
    <row r="16215" spans="3:10" x14ac:dyDescent="0.2">
      <c r="C16215" s="209"/>
      <c r="D16215" s="209"/>
      <c r="E16215" s="209"/>
      <c r="J16215" s="124"/>
    </row>
    <row r="16216" spans="3:10" x14ac:dyDescent="0.2">
      <c r="C16216" s="209"/>
      <c r="D16216" s="209"/>
      <c r="E16216" s="209"/>
      <c r="J16216" s="124"/>
    </row>
    <row r="16217" spans="3:10" x14ac:dyDescent="0.2">
      <c r="C16217" s="209"/>
      <c r="D16217" s="209"/>
      <c r="E16217" s="209"/>
      <c r="J16217" s="124"/>
    </row>
    <row r="16218" spans="3:10" x14ac:dyDescent="0.2">
      <c r="C16218" s="209"/>
      <c r="D16218" s="209"/>
      <c r="E16218" s="209"/>
      <c r="J16218" s="124"/>
    </row>
    <row r="16219" spans="3:10" x14ac:dyDescent="0.2">
      <c r="C16219" s="209"/>
      <c r="D16219" s="209"/>
      <c r="E16219" s="209"/>
      <c r="J16219" s="124"/>
    </row>
    <row r="16220" spans="3:10" x14ac:dyDescent="0.2">
      <c r="C16220" s="209"/>
      <c r="D16220" s="209"/>
      <c r="E16220" s="209"/>
      <c r="J16220" s="124"/>
    </row>
    <row r="16221" spans="3:10" x14ac:dyDescent="0.2">
      <c r="C16221" s="209"/>
      <c r="D16221" s="209"/>
      <c r="E16221" s="209"/>
      <c r="J16221" s="124"/>
    </row>
    <row r="16222" spans="3:10" x14ac:dyDescent="0.2">
      <c r="C16222" s="209"/>
      <c r="D16222" s="209"/>
      <c r="E16222" s="209"/>
      <c r="J16222" s="124"/>
    </row>
    <row r="16223" spans="3:10" x14ac:dyDescent="0.2">
      <c r="C16223" s="209"/>
      <c r="D16223" s="209"/>
      <c r="E16223" s="209"/>
      <c r="J16223" s="124"/>
    </row>
    <row r="16224" spans="3:10" x14ac:dyDescent="0.2">
      <c r="C16224" s="209"/>
      <c r="D16224" s="209"/>
      <c r="E16224" s="209"/>
      <c r="J16224" s="124"/>
    </row>
    <row r="16225" spans="3:10" x14ac:dyDescent="0.2">
      <c r="C16225" s="209"/>
      <c r="D16225" s="209"/>
      <c r="E16225" s="209"/>
      <c r="J16225" s="124"/>
    </row>
    <row r="16226" spans="3:10" x14ac:dyDescent="0.2">
      <c r="C16226" s="209"/>
      <c r="D16226" s="209"/>
      <c r="E16226" s="209"/>
      <c r="J16226" s="124"/>
    </row>
    <row r="16227" spans="3:10" x14ac:dyDescent="0.2">
      <c r="C16227" s="209"/>
      <c r="D16227" s="209"/>
      <c r="E16227" s="209"/>
      <c r="J16227" s="124"/>
    </row>
    <row r="16228" spans="3:10" x14ac:dyDescent="0.2">
      <c r="C16228" s="209"/>
      <c r="D16228" s="209"/>
      <c r="E16228" s="209"/>
      <c r="J16228" s="124"/>
    </row>
    <row r="16229" spans="3:10" x14ac:dyDescent="0.2">
      <c r="C16229" s="209"/>
      <c r="D16229" s="209"/>
      <c r="E16229" s="209"/>
      <c r="J16229" s="124"/>
    </row>
    <row r="16230" spans="3:10" x14ac:dyDescent="0.2">
      <c r="C16230" s="209"/>
      <c r="D16230" s="209"/>
      <c r="E16230" s="209"/>
      <c r="J16230" s="124"/>
    </row>
    <row r="16231" spans="3:10" x14ac:dyDescent="0.2">
      <c r="C16231" s="209"/>
      <c r="D16231" s="209"/>
      <c r="E16231" s="209"/>
      <c r="J16231" s="124"/>
    </row>
    <row r="16232" spans="3:10" x14ac:dyDescent="0.2">
      <c r="C16232" s="209"/>
      <c r="D16232" s="209"/>
      <c r="E16232" s="209"/>
      <c r="J16232" s="124"/>
    </row>
    <row r="16233" spans="3:10" x14ac:dyDescent="0.2">
      <c r="C16233" s="209"/>
      <c r="D16233" s="209"/>
      <c r="E16233" s="209"/>
      <c r="J16233" s="124"/>
    </row>
    <row r="16234" spans="3:10" x14ac:dyDescent="0.2">
      <c r="C16234" s="209"/>
      <c r="D16234" s="209"/>
      <c r="E16234" s="209"/>
      <c r="J16234" s="124"/>
    </row>
    <row r="16235" spans="3:10" x14ac:dyDescent="0.2">
      <c r="C16235" s="209"/>
      <c r="D16235" s="209"/>
      <c r="E16235" s="209"/>
      <c r="J16235" s="124"/>
    </row>
    <row r="16236" spans="3:10" x14ac:dyDescent="0.2">
      <c r="C16236" s="209"/>
      <c r="D16236" s="209"/>
      <c r="E16236" s="209"/>
      <c r="J16236" s="124"/>
    </row>
    <row r="16237" spans="3:10" x14ac:dyDescent="0.2">
      <c r="C16237" s="209"/>
      <c r="D16237" s="209"/>
      <c r="E16237" s="209"/>
      <c r="J16237" s="124"/>
    </row>
    <row r="16238" spans="3:10" x14ac:dyDescent="0.2">
      <c r="C16238" s="209"/>
      <c r="D16238" s="209"/>
      <c r="E16238" s="209"/>
      <c r="J16238" s="124"/>
    </row>
    <row r="16239" spans="3:10" x14ac:dyDescent="0.2">
      <c r="C16239" s="209"/>
      <c r="D16239" s="209"/>
      <c r="E16239" s="209"/>
      <c r="J16239" s="124"/>
    </row>
    <row r="16240" spans="3:10" x14ac:dyDescent="0.2">
      <c r="C16240" s="209"/>
      <c r="D16240" s="209"/>
      <c r="E16240" s="209"/>
      <c r="J16240" s="124"/>
    </row>
    <row r="16241" spans="3:10" x14ac:dyDescent="0.2">
      <c r="C16241" s="209"/>
      <c r="D16241" s="209"/>
      <c r="E16241" s="209"/>
      <c r="J16241" s="124"/>
    </row>
    <row r="16242" spans="3:10" x14ac:dyDescent="0.2">
      <c r="C16242" s="209"/>
      <c r="D16242" s="209"/>
      <c r="E16242" s="209"/>
      <c r="J16242" s="124"/>
    </row>
    <row r="16243" spans="3:10" x14ac:dyDescent="0.2">
      <c r="C16243" s="209"/>
      <c r="D16243" s="209"/>
      <c r="E16243" s="209"/>
      <c r="J16243" s="124"/>
    </row>
    <row r="16244" spans="3:10" x14ac:dyDescent="0.2">
      <c r="C16244" s="209"/>
      <c r="D16244" s="209"/>
      <c r="E16244" s="209"/>
      <c r="J16244" s="124"/>
    </row>
    <row r="16245" spans="3:10" x14ac:dyDescent="0.2">
      <c r="C16245" s="209"/>
      <c r="D16245" s="209"/>
      <c r="E16245" s="209"/>
      <c r="J16245" s="124"/>
    </row>
    <row r="16246" spans="3:10" x14ac:dyDescent="0.2">
      <c r="C16246" s="209"/>
      <c r="D16246" s="209"/>
      <c r="E16246" s="209"/>
      <c r="J16246" s="124"/>
    </row>
    <row r="16247" spans="3:10" x14ac:dyDescent="0.2">
      <c r="C16247" s="209"/>
      <c r="D16247" s="209"/>
      <c r="E16247" s="209"/>
      <c r="J16247" s="124"/>
    </row>
    <row r="16248" spans="3:10" x14ac:dyDescent="0.2">
      <c r="C16248" s="209"/>
      <c r="D16248" s="209"/>
      <c r="E16248" s="209"/>
      <c r="J16248" s="124"/>
    </row>
    <row r="16249" spans="3:10" x14ac:dyDescent="0.2">
      <c r="C16249" s="209"/>
      <c r="D16249" s="209"/>
      <c r="E16249" s="209"/>
      <c r="J16249" s="124"/>
    </row>
    <row r="16250" spans="3:10" x14ac:dyDescent="0.2">
      <c r="C16250" s="209"/>
      <c r="D16250" s="209"/>
      <c r="E16250" s="209"/>
      <c r="J16250" s="124"/>
    </row>
    <row r="16251" spans="3:10" x14ac:dyDescent="0.2">
      <c r="C16251" s="209"/>
      <c r="D16251" s="209"/>
      <c r="E16251" s="209"/>
      <c r="J16251" s="124"/>
    </row>
    <row r="16252" spans="3:10" x14ac:dyDescent="0.2">
      <c r="C16252" s="209"/>
      <c r="D16252" s="209"/>
      <c r="E16252" s="209"/>
      <c r="J16252" s="124"/>
    </row>
    <row r="16253" spans="3:10" x14ac:dyDescent="0.2">
      <c r="C16253" s="209"/>
      <c r="D16253" s="209"/>
      <c r="E16253" s="209"/>
      <c r="J16253" s="124"/>
    </row>
    <row r="16254" spans="3:10" x14ac:dyDescent="0.2">
      <c r="C16254" s="209"/>
      <c r="D16254" s="209"/>
      <c r="E16254" s="209"/>
      <c r="J16254" s="124"/>
    </row>
    <row r="16255" spans="3:10" x14ac:dyDescent="0.2">
      <c r="C16255" s="209"/>
      <c r="D16255" s="209"/>
      <c r="E16255" s="209"/>
      <c r="J16255" s="124"/>
    </row>
    <row r="16256" spans="3:10" x14ac:dyDescent="0.2">
      <c r="C16256" s="209"/>
      <c r="D16256" s="209"/>
      <c r="E16256" s="209"/>
      <c r="J16256" s="124"/>
    </row>
    <row r="16257" spans="3:10" x14ac:dyDescent="0.2">
      <c r="C16257" s="209"/>
      <c r="D16257" s="209"/>
      <c r="E16257" s="209"/>
      <c r="J16257" s="124"/>
    </row>
    <row r="16258" spans="3:10" x14ac:dyDescent="0.2">
      <c r="C16258" s="209"/>
      <c r="D16258" s="209"/>
      <c r="E16258" s="209"/>
      <c r="J16258" s="124"/>
    </row>
    <row r="16259" spans="3:10" x14ac:dyDescent="0.2">
      <c r="C16259" s="209"/>
      <c r="D16259" s="209"/>
      <c r="E16259" s="209"/>
      <c r="J16259" s="124"/>
    </row>
    <row r="16260" spans="3:10" x14ac:dyDescent="0.2">
      <c r="C16260" s="209"/>
      <c r="D16260" s="209"/>
      <c r="E16260" s="209"/>
      <c r="J16260" s="124"/>
    </row>
    <row r="16261" spans="3:10" x14ac:dyDescent="0.2">
      <c r="C16261" s="209"/>
      <c r="D16261" s="209"/>
      <c r="E16261" s="209"/>
      <c r="J16261" s="124"/>
    </row>
    <row r="16262" spans="3:10" x14ac:dyDescent="0.2">
      <c r="C16262" s="209"/>
      <c r="D16262" s="209"/>
      <c r="E16262" s="209"/>
      <c r="J16262" s="124"/>
    </row>
    <row r="16263" spans="3:10" x14ac:dyDescent="0.2">
      <c r="C16263" s="209"/>
      <c r="D16263" s="209"/>
      <c r="E16263" s="209"/>
      <c r="J16263" s="124"/>
    </row>
    <row r="16264" spans="3:10" x14ac:dyDescent="0.2">
      <c r="C16264" s="209"/>
      <c r="D16264" s="209"/>
      <c r="E16264" s="209"/>
      <c r="J16264" s="124"/>
    </row>
    <row r="16265" spans="3:10" x14ac:dyDescent="0.2">
      <c r="C16265" s="209"/>
      <c r="D16265" s="209"/>
      <c r="E16265" s="209"/>
      <c r="J16265" s="124"/>
    </row>
    <row r="16266" spans="3:10" x14ac:dyDescent="0.2">
      <c r="C16266" s="209"/>
      <c r="D16266" s="209"/>
      <c r="E16266" s="209"/>
      <c r="J16266" s="124"/>
    </row>
    <row r="16267" spans="3:10" x14ac:dyDescent="0.2">
      <c r="C16267" s="209"/>
      <c r="D16267" s="209"/>
      <c r="E16267" s="209"/>
      <c r="J16267" s="124"/>
    </row>
    <row r="16268" spans="3:10" x14ac:dyDescent="0.2">
      <c r="C16268" s="209"/>
      <c r="D16268" s="209"/>
      <c r="E16268" s="209"/>
      <c r="J16268" s="124"/>
    </row>
    <row r="16269" spans="3:10" x14ac:dyDescent="0.2">
      <c r="C16269" s="209"/>
      <c r="D16269" s="209"/>
      <c r="E16269" s="209"/>
      <c r="J16269" s="124"/>
    </row>
    <row r="16270" spans="3:10" x14ac:dyDescent="0.2">
      <c r="C16270" s="209"/>
      <c r="D16270" s="209"/>
      <c r="E16270" s="209"/>
      <c r="J16270" s="124"/>
    </row>
    <row r="16271" spans="3:10" x14ac:dyDescent="0.2">
      <c r="C16271" s="209"/>
      <c r="D16271" s="209"/>
      <c r="E16271" s="209"/>
      <c r="J16271" s="124"/>
    </row>
    <row r="16272" spans="3:10" x14ac:dyDescent="0.2">
      <c r="C16272" s="209"/>
      <c r="D16272" s="209"/>
      <c r="E16272" s="209"/>
      <c r="J16272" s="124"/>
    </row>
    <row r="16273" spans="3:10" x14ac:dyDescent="0.2">
      <c r="C16273" s="209"/>
      <c r="D16273" s="209"/>
      <c r="E16273" s="209"/>
      <c r="J16273" s="124"/>
    </row>
    <row r="16274" spans="3:10" x14ac:dyDescent="0.2">
      <c r="C16274" s="209"/>
      <c r="D16274" s="209"/>
      <c r="E16274" s="209"/>
      <c r="J16274" s="124"/>
    </row>
    <row r="16275" spans="3:10" x14ac:dyDescent="0.2">
      <c r="C16275" s="209"/>
      <c r="D16275" s="209"/>
      <c r="E16275" s="209"/>
      <c r="J16275" s="124"/>
    </row>
    <row r="16276" spans="3:10" x14ac:dyDescent="0.2">
      <c r="C16276" s="209"/>
      <c r="D16276" s="209"/>
      <c r="E16276" s="209"/>
      <c r="J16276" s="124"/>
    </row>
    <row r="16277" spans="3:10" x14ac:dyDescent="0.2">
      <c r="C16277" s="209"/>
      <c r="D16277" s="209"/>
      <c r="E16277" s="209"/>
      <c r="J16277" s="124"/>
    </row>
    <row r="16278" spans="3:10" x14ac:dyDescent="0.2">
      <c r="C16278" s="209"/>
      <c r="D16278" s="209"/>
      <c r="E16278" s="209"/>
      <c r="J16278" s="124"/>
    </row>
    <row r="16279" spans="3:10" x14ac:dyDescent="0.2">
      <c r="C16279" s="209"/>
      <c r="D16279" s="209"/>
      <c r="E16279" s="209"/>
      <c r="J16279" s="124"/>
    </row>
    <row r="16280" spans="3:10" x14ac:dyDescent="0.2">
      <c r="C16280" s="209"/>
      <c r="D16280" s="209"/>
      <c r="E16280" s="209"/>
      <c r="J16280" s="124"/>
    </row>
    <row r="16281" spans="3:10" x14ac:dyDescent="0.2">
      <c r="C16281" s="209"/>
      <c r="D16281" s="209"/>
      <c r="E16281" s="209"/>
      <c r="J16281" s="124"/>
    </row>
    <row r="16282" spans="3:10" x14ac:dyDescent="0.2">
      <c r="C16282" s="209"/>
      <c r="D16282" s="209"/>
      <c r="E16282" s="209"/>
      <c r="J16282" s="124"/>
    </row>
    <row r="16283" spans="3:10" x14ac:dyDescent="0.2">
      <c r="C16283" s="209"/>
      <c r="D16283" s="209"/>
      <c r="E16283" s="209"/>
      <c r="J16283" s="124"/>
    </row>
    <row r="16284" spans="3:10" x14ac:dyDescent="0.2">
      <c r="C16284" s="209"/>
      <c r="D16284" s="209"/>
      <c r="E16284" s="209"/>
      <c r="J16284" s="124"/>
    </row>
    <row r="16285" spans="3:10" x14ac:dyDescent="0.2">
      <c r="C16285" s="209"/>
      <c r="D16285" s="209"/>
      <c r="E16285" s="209"/>
      <c r="J16285" s="124"/>
    </row>
    <row r="16286" spans="3:10" x14ac:dyDescent="0.2">
      <c r="C16286" s="209"/>
      <c r="D16286" s="209"/>
      <c r="E16286" s="209"/>
      <c r="J16286" s="124"/>
    </row>
    <row r="16287" spans="3:10" x14ac:dyDescent="0.2">
      <c r="C16287" s="209"/>
      <c r="D16287" s="209"/>
      <c r="E16287" s="209"/>
      <c r="J16287" s="124"/>
    </row>
    <row r="16288" spans="3:10" x14ac:dyDescent="0.2">
      <c r="C16288" s="209"/>
      <c r="D16288" s="209"/>
      <c r="E16288" s="209"/>
      <c r="J16288" s="124"/>
    </row>
    <row r="16289" spans="3:10" x14ac:dyDescent="0.2">
      <c r="C16289" s="209"/>
      <c r="D16289" s="209"/>
      <c r="E16289" s="209"/>
      <c r="J16289" s="124"/>
    </row>
    <row r="16290" spans="3:10" x14ac:dyDescent="0.2">
      <c r="C16290" s="209"/>
      <c r="D16290" s="209"/>
      <c r="E16290" s="209"/>
      <c r="J16290" s="124"/>
    </row>
    <row r="16291" spans="3:10" x14ac:dyDescent="0.2">
      <c r="C16291" s="209"/>
      <c r="D16291" s="209"/>
      <c r="E16291" s="209"/>
      <c r="J16291" s="124"/>
    </row>
    <row r="16292" spans="3:10" x14ac:dyDescent="0.2">
      <c r="C16292" s="209"/>
      <c r="D16292" s="209"/>
      <c r="E16292" s="209"/>
      <c r="J16292" s="124"/>
    </row>
    <row r="16293" spans="3:10" x14ac:dyDescent="0.2">
      <c r="C16293" s="209"/>
      <c r="D16293" s="209"/>
      <c r="E16293" s="209"/>
      <c r="J16293" s="124"/>
    </row>
    <row r="16294" spans="3:10" x14ac:dyDescent="0.2">
      <c r="C16294" s="209"/>
      <c r="D16294" s="209"/>
      <c r="E16294" s="209"/>
      <c r="J16294" s="124"/>
    </row>
    <row r="16295" spans="3:10" x14ac:dyDescent="0.2">
      <c r="C16295" s="209"/>
      <c r="D16295" s="209"/>
      <c r="E16295" s="209"/>
      <c r="J16295" s="124"/>
    </row>
    <row r="16296" spans="3:10" x14ac:dyDescent="0.2">
      <c r="C16296" s="209"/>
      <c r="D16296" s="209"/>
      <c r="E16296" s="209"/>
      <c r="J16296" s="124"/>
    </row>
    <row r="16297" spans="3:10" x14ac:dyDescent="0.2">
      <c r="C16297" s="209"/>
      <c r="D16297" s="209"/>
      <c r="E16297" s="209"/>
      <c r="J16297" s="124"/>
    </row>
    <row r="16298" spans="3:10" x14ac:dyDescent="0.2">
      <c r="C16298" s="209"/>
      <c r="D16298" s="209"/>
      <c r="E16298" s="209"/>
      <c r="J16298" s="124"/>
    </row>
    <row r="16299" spans="3:10" x14ac:dyDescent="0.2">
      <c r="C16299" s="209"/>
      <c r="D16299" s="209"/>
      <c r="E16299" s="209"/>
      <c r="J16299" s="124"/>
    </row>
    <row r="16300" spans="3:10" x14ac:dyDescent="0.2">
      <c r="C16300" s="209"/>
      <c r="D16300" s="209"/>
      <c r="E16300" s="209"/>
      <c r="J16300" s="124"/>
    </row>
    <row r="16301" spans="3:10" x14ac:dyDescent="0.2">
      <c r="C16301" s="209"/>
      <c r="D16301" s="209"/>
      <c r="E16301" s="209"/>
      <c r="J16301" s="124"/>
    </row>
    <row r="16302" spans="3:10" x14ac:dyDescent="0.2">
      <c r="C16302" s="209"/>
      <c r="D16302" s="209"/>
      <c r="E16302" s="209"/>
      <c r="J16302" s="124"/>
    </row>
    <row r="16303" spans="3:10" x14ac:dyDescent="0.2">
      <c r="C16303" s="209"/>
      <c r="D16303" s="209"/>
      <c r="E16303" s="209"/>
      <c r="J16303" s="124"/>
    </row>
    <row r="16304" spans="3:10" x14ac:dyDescent="0.2">
      <c r="C16304" s="209"/>
      <c r="D16304" s="209"/>
      <c r="E16304" s="209"/>
      <c r="J16304" s="124"/>
    </row>
    <row r="16305" spans="3:10" x14ac:dyDescent="0.2">
      <c r="C16305" s="209"/>
      <c r="D16305" s="209"/>
      <c r="E16305" s="209"/>
      <c r="J16305" s="124"/>
    </row>
    <row r="16306" spans="3:10" x14ac:dyDescent="0.2">
      <c r="C16306" s="209"/>
      <c r="D16306" s="209"/>
      <c r="E16306" s="209"/>
      <c r="J16306" s="124"/>
    </row>
    <row r="16307" spans="3:10" x14ac:dyDescent="0.2">
      <c r="C16307" s="209"/>
      <c r="D16307" s="209"/>
      <c r="E16307" s="209"/>
      <c r="J16307" s="124"/>
    </row>
    <row r="16308" spans="3:10" x14ac:dyDescent="0.2">
      <c r="C16308" s="209"/>
      <c r="D16308" s="209"/>
      <c r="E16308" s="209"/>
      <c r="J16308" s="124"/>
    </row>
    <row r="16309" spans="3:10" x14ac:dyDescent="0.2">
      <c r="C16309" s="209"/>
      <c r="D16309" s="209"/>
      <c r="E16309" s="209"/>
      <c r="J16309" s="124"/>
    </row>
    <row r="16310" spans="3:10" x14ac:dyDescent="0.2">
      <c r="C16310" s="209"/>
      <c r="D16310" s="209"/>
      <c r="E16310" s="209"/>
      <c r="J16310" s="124"/>
    </row>
    <row r="16311" spans="3:10" x14ac:dyDescent="0.2">
      <c r="C16311" s="209"/>
      <c r="D16311" s="209"/>
      <c r="E16311" s="209"/>
      <c r="J16311" s="124"/>
    </row>
    <row r="16312" spans="3:10" x14ac:dyDescent="0.2">
      <c r="C16312" s="209"/>
      <c r="D16312" s="209"/>
      <c r="E16312" s="209"/>
      <c r="J16312" s="124"/>
    </row>
    <row r="16313" spans="3:10" x14ac:dyDescent="0.2">
      <c r="C16313" s="209"/>
      <c r="D16313" s="209"/>
      <c r="E16313" s="209"/>
      <c r="J16313" s="124"/>
    </row>
    <row r="16314" spans="3:10" x14ac:dyDescent="0.2">
      <c r="C16314" s="209"/>
      <c r="D16314" s="209"/>
      <c r="E16314" s="209"/>
      <c r="J16314" s="124"/>
    </row>
    <row r="16315" spans="3:10" x14ac:dyDescent="0.2">
      <c r="C16315" s="209"/>
      <c r="D16315" s="209"/>
      <c r="E16315" s="209"/>
      <c r="J16315" s="124"/>
    </row>
    <row r="16316" spans="3:10" x14ac:dyDescent="0.2">
      <c r="C16316" s="209"/>
      <c r="D16316" s="209"/>
      <c r="E16316" s="209"/>
      <c r="J16316" s="124"/>
    </row>
    <row r="16317" spans="3:10" x14ac:dyDescent="0.2">
      <c r="C16317" s="209"/>
      <c r="D16317" s="209"/>
      <c r="E16317" s="209"/>
      <c r="J16317" s="124"/>
    </row>
    <row r="16318" spans="3:10" x14ac:dyDescent="0.2">
      <c r="C16318" s="209"/>
      <c r="D16318" s="209"/>
      <c r="E16318" s="209"/>
      <c r="J16318" s="124"/>
    </row>
    <row r="16319" spans="3:10" x14ac:dyDescent="0.2">
      <c r="C16319" s="209"/>
      <c r="D16319" s="209"/>
      <c r="E16319" s="209"/>
      <c r="J16319" s="124"/>
    </row>
    <row r="16320" spans="3:10" x14ac:dyDescent="0.2">
      <c r="C16320" s="209"/>
      <c r="D16320" s="209"/>
      <c r="E16320" s="209"/>
      <c r="J16320" s="124"/>
    </row>
    <row r="16321" spans="3:10" x14ac:dyDescent="0.2">
      <c r="C16321" s="209"/>
      <c r="D16321" s="209"/>
      <c r="E16321" s="209"/>
      <c r="J16321" s="124"/>
    </row>
    <row r="16322" spans="3:10" x14ac:dyDescent="0.2">
      <c r="C16322" s="209"/>
      <c r="D16322" s="209"/>
      <c r="E16322" s="209"/>
      <c r="J16322" s="124"/>
    </row>
    <row r="16323" spans="3:10" x14ac:dyDescent="0.2">
      <c r="C16323" s="209"/>
      <c r="D16323" s="209"/>
      <c r="E16323" s="209"/>
      <c r="J16323" s="124"/>
    </row>
    <row r="16324" spans="3:10" x14ac:dyDescent="0.2">
      <c r="C16324" s="209"/>
      <c r="D16324" s="209"/>
      <c r="E16324" s="209"/>
      <c r="J16324" s="124"/>
    </row>
    <row r="16325" spans="3:10" x14ac:dyDescent="0.2">
      <c r="C16325" s="209"/>
      <c r="D16325" s="209"/>
      <c r="E16325" s="209"/>
      <c r="J16325" s="124"/>
    </row>
    <row r="16326" spans="3:10" x14ac:dyDescent="0.2">
      <c r="C16326" s="209"/>
      <c r="D16326" s="209"/>
      <c r="E16326" s="209"/>
      <c r="J16326" s="124"/>
    </row>
    <row r="16327" spans="3:10" x14ac:dyDescent="0.2">
      <c r="C16327" s="209"/>
      <c r="D16327" s="209"/>
      <c r="E16327" s="209"/>
      <c r="J16327" s="124"/>
    </row>
    <row r="16328" spans="3:10" x14ac:dyDescent="0.2">
      <c r="C16328" s="209"/>
      <c r="D16328" s="209"/>
      <c r="E16328" s="209"/>
      <c r="J16328" s="124"/>
    </row>
    <row r="16329" spans="3:10" x14ac:dyDescent="0.2">
      <c r="C16329" s="209"/>
      <c r="D16329" s="209"/>
      <c r="E16329" s="209"/>
      <c r="J16329" s="124"/>
    </row>
    <row r="16330" spans="3:10" x14ac:dyDescent="0.2">
      <c r="C16330" s="209"/>
      <c r="D16330" s="209"/>
      <c r="E16330" s="209"/>
      <c r="J16330" s="124"/>
    </row>
    <row r="16331" spans="3:10" x14ac:dyDescent="0.2">
      <c r="C16331" s="209"/>
      <c r="D16331" s="209"/>
      <c r="E16331" s="209"/>
      <c r="J16331" s="124"/>
    </row>
    <row r="16332" spans="3:10" x14ac:dyDescent="0.2">
      <c r="C16332" s="209"/>
      <c r="D16332" s="209"/>
      <c r="E16332" s="209"/>
      <c r="J16332" s="124"/>
    </row>
    <row r="16333" spans="3:10" x14ac:dyDescent="0.2">
      <c r="C16333" s="209"/>
      <c r="D16333" s="209"/>
      <c r="E16333" s="209"/>
      <c r="J16333" s="124"/>
    </row>
    <row r="16334" spans="3:10" x14ac:dyDescent="0.2">
      <c r="C16334" s="209"/>
      <c r="D16334" s="209"/>
      <c r="E16334" s="209"/>
      <c r="J16334" s="124"/>
    </row>
    <row r="16335" spans="3:10" x14ac:dyDescent="0.2">
      <c r="C16335" s="209"/>
      <c r="D16335" s="209"/>
      <c r="E16335" s="209"/>
      <c r="J16335" s="124"/>
    </row>
    <row r="16336" spans="3:10" x14ac:dyDescent="0.2">
      <c r="C16336" s="209"/>
      <c r="D16336" s="209"/>
      <c r="E16336" s="209"/>
      <c r="J16336" s="124"/>
    </row>
    <row r="16337" spans="3:10" x14ac:dyDescent="0.2">
      <c r="C16337" s="209"/>
      <c r="D16337" s="209"/>
      <c r="E16337" s="209"/>
      <c r="J16337" s="124"/>
    </row>
    <row r="16338" spans="3:10" x14ac:dyDescent="0.2">
      <c r="C16338" s="209"/>
      <c r="D16338" s="209"/>
      <c r="E16338" s="209"/>
      <c r="J16338" s="124"/>
    </row>
    <row r="16339" spans="3:10" x14ac:dyDescent="0.2">
      <c r="C16339" s="209"/>
      <c r="D16339" s="209"/>
      <c r="E16339" s="209"/>
      <c r="J16339" s="124"/>
    </row>
    <row r="16340" spans="3:10" x14ac:dyDescent="0.2">
      <c r="C16340" s="209"/>
      <c r="D16340" s="209"/>
      <c r="E16340" s="209"/>
      <c r="J16340" s="124"/>
    </row>
    <row r="16341" spans="3:10" x14ac:dyDescent="0.2">
      <c r="C16341" s="209"/>
      <c r="D16341" s="209"/>
      <c r="E16341" s="209"/>
      <c r="J16341" s="124"/>
    </row>
    <row r="16342" spans="3:10" x14ac:dyDescent="0.2">
      <c r="C16342" s="209"/>
      <c r="D16342" s="209"/>
      <c r="E16342" s="209"/>
      <c r="J16342" s="124"/>
    </row>
    <row r="16343" spans="3:10" x14ac:dyDescent="0.2">
      <c r="C16343" s="209"/>
      <c r="D16343" s="209"/>
      <c r="E16343" s="209"/>
      <c r="J16343" s="124"/>
    </row>
    <row r="16344" spans="3:10" x14ac:dyDescent="0.2">
      <c r="C16344" s="209"/>
      <c r="D16344" s="209"/>
      <c r="E16344" s="209"/>
      <c r="J16344" s="124"/>
    </row>
    <row r="16345" spans="3:10" x14ac:dyDescent="0.2">
      <c r="C16345" s="209"/>
      <c r="D16345" s="209"/>
      <c r="E16345" s="209"/>
      <c r="J16345" s="124"/>
    </row>
    <row r="16346" spans="3:10" x14ac:dyDescent="0.2">
      <c r="C16346" s="209"/>
      <c r="D16346" s="209"/>
      <c r="E16346" s="209"/>
      <c r="J16346" s="124"/>
    </row>
    <row r="16347" spans="3:10" x14ac:dyDescent="0.2">
      <c r="C16347" s="209"/>
      <c r="D16347" s="209"/>
      <c r="E16347" s="209"/>
      <c r="J16347" s="124"/>
    </row>
    <row r="16348" spans="3:10" x14ac:dyDescent="0.2">
      <c r="C16348" s="209"/>
      <c r="D16348" s="209"/>
      <c r="E16348" s="209"/>
      <c r="J16348" s="124"/>
    </row>
    <row r="16349" spans="3:10" x14ac:dyDescent="0.2">
      <c r="C16349" s="209"/>
      <c r="D16349" s="209"/>
      <c r="E16349" s="209"/>
      <c r="J16349" s="124"/>
    </row>
    <row r="16350" spans="3:10" x14ac:dyDescent="0.2">
      <c r="C16350" s="209"/>
      <c r="D16350" s="209"/>
      <c r="E16350" s="209"/>
      <c r="J16350" s="124"/>
    </row>
    <row r="16351" spans="3:10" x14ac:dyDescent="0.2">
      <c r="C16351" s="209"/>
      <c r="D16351" s="209"/>
      <c r="E16351" s="209"/>
      <c r="J16351" s="124"/>
    </row>
    <row r="16352" spans="3:10" x14ac:dyDescent="0.2">
      <c r="C16352" s="209"/>
      <c r="D16352" s="209"/>
      <c r="E16352" s="209"/>
      <c r="J16352" s="124"/>
    </row>
    <row r="16353" spans="3:10" x14ac:dyDescent="0.2">
      <c r="C16353" s="209"/>
      <c r="D16353" s="209"/>
      <c r="E16353" s="209"/>
      <c r="J16353" s="124"/>
    </row>
    <row r="16354" spans="3:10" x14ac:dyDescent="0.2">
      <c r="C16354" s="209"/>
      <c r="D16354" s="209"/>
      <c r="E16354" s="209"/>
      <c r="J16354" s="124"/>
    </row>
    <row r="16355" spans="3:10" x14ac:dyDescent="0.2">
      <c r="C16355" s="209"/>
      <c r="D16355" s="209"/>
      <c r="E16355" s="209"/>
      <c r="J16355" s="124"/>
    </row>
    <row r="16356" spans="3:10" x14ac:dyDescent="0.2">
      <c r="C16356" s="209"/>
      <c r="D16356" s="209"/>
      <c r="E16356" s="209"/>
      <c r="J16356" s="124"/>
    </row>
    <row r="16357" spans="3:10" x14ac:dyDescent="0.2">
      <c r="C16357" s="209"/>
      <c r="D16357" s="209"/>
      <c r="E16357" s="209"/>
      <c r="J16357" s="124"/>
    </row>
    <row r="16358" spans="3:10" x14ac:dyDescent="0.2">
      <c r="C16358" s="209"/>
      <c r="D16358" s="209"/>
      <c r="E16358" s="209"/>
      <c r="J16358" s="124"/>
    </row>
    <row r="16359" spans="3:10" x14ac:dyDescent="0.2">
      <c r="C16359" s="209"/>
      <c r="D16359" s="209"/>
      <c r="E16359" s="209"/>
      <c r="J16359" s="124"/>
    </row>
    <row r="16360" spans="3:10" x14ac:dyDescent="0.2">
      <c r="C16360" s="209"/>
      <c r="D16360" s="209"/>
      <c r="E16360" s="209"/>
      <c r="J16360" s="124"/>
    </row>
    <row r="16361" spans="3:10" x14ac:dyDescent="0.2">
      <c r="C16361" s="209"/>
      <c r="D16361" s="209"/>
      <c r="E16361" s="209"/>
      <c r="J16361" s="124"/>
    </row>
    <row r="16362" spans="3:10" x14ac:dyDescent="0.2">
      <c r="C16362" s="209"/>
      <c r="D16362" s="209"/>
      <c r="E16362" s="209"/>
      <c r="J16362" s="124"/>
    </row>
    <row r="16363" spans="3:10" x14ac:dyDescent="0.2">
      <c r="C16363" s="209"/>
      <c r="D16363" s="209"/>
      <c r="E16363" s="209"/>
      <c r="J16363" s="124"/>
    </row>
    <row r="16364" spans="3:10" x14ac:dyDescent="0.2">
      <c r="C16364" s="209"/>
      <c r="D16364" s="209"/>
      <c r="E16364" s="209"/>
      <c r="J16364" s="124"/>
    </row>
    <row r="16365" spans="3:10" x14ac:dyDescent="0.2">
      <c r="C16365" s="209"/>
      <c r="D16365" s="209"/>
      <c r="E16365" s="209"/>
      <c r="J16365" s="124"/>
    </row>
    <row r="16366" spans="3:10" x14ac:dyDescent="0.2">
      <c r="C16366" s="209"/>
      <c r="D16366" s="209"/>
      <c r="E16366" s="209"/>
      <c r="J16366" s="124"/>
    </row>
    <row r="16367" spans="3:10" x14ac:dyDescent="0.2">
      <c r="C16367" s="209"/>
      <c r="D16367" s="209"/>
      <c r="E16367" s="209"/>
      <c r="J16367" s="124"/>
    </row>
    <row r="16368" spans="3:10" x14ac:dyDescent="0.2">
      <c r="C16368" s="209"/>
      <c r="D16368" s="209"/>
      <c r="E16368" s="209"/>
      <c r="J16368" s="124"/>
    </row>
    <row r="16369" spans="3:10" x14ac:dyDescent="0.2">
      <c r="C16369" s="209"/>
      <c r="D16369" s="209"/>
      <c r="E16369" s="209"/>
      <c r="J16369" s="124"/>
    </row>
    <row r="16370" spans="3:10" x14ac:dyDescent="0.2">
      <c r="C16370" s="209"/>
      <c r="D16370" s="209"/>
      <c r="E16370" s="209"/>
      <c r="J16370" s="124"/>
    </row>
    <row r="16371" spans="3:10" x14ac:dyDescent="0.2">
      <c r="C16371" s="209"/>
      <c r="D16371" s="209"/>
      <c r="E16371" s="209"/>
      <c r="J16371" s="124"/>
    </row>
    <row r="16372" spans="3:10" x14ac:dyDescent="0.2">
      <c r="C16372" s="209"/>
      <c r="D16372" s="209"/>
      <c r="E16372" s="209"/>
      <c r="J16372" s="124"/>
    </row>
    <row r="16373" spans="3:10" x14ac:dyDescent="0.2">
      <c r="C16373" s="209"/>
      <c r="D16373" s="209"/>
      <c r="E16373" s="209"/>
      <c r="J16373" s="124"/>
    </row>
    <row r="16374" spans="3:10" x14ac:dyDescent="0.2">
      <c r="C16374" s="209"/>
      <c r="D16374" s="209"/>
      <c r="E16374" s="209"/>
      <c r="J16374" s="124"/>
    </row>
    <row r="16375" spans="3:10" x14ac:dyDescent="0.2">
      <c r="C16375" s="209"/>
      <c r="D16375" s="209"/>
      <c r="E16375" s="209"/>
      <c r="J16375" s="124"/>
    </row>
    <row r="16376" spans="3:10" x14ac:dyDescent="0.2">
      <c r="C16376" s="209"/>
      <c r="D16376" s="209"/>
      <c r="E16376" s="209"/>
      <c r="J16376" s="124"/>
    </row>
    <row r="16377" spans="3:10" x14ac:dyDescent="0.2">
      <c r="C16377" s="209"/>
      <c r="D16377" s="209"/>
      <c r="E16377" s="209"/>
      <c r="J16377" s="124"/>
    </row>
    <row r="16378" spans="3:10" x14ac:dyDescent="0.2">
      <c r="C16378" s="209"/>
      <c r="D16378" s="209"/>
      <c r="E16378" s="209"/>
      <c r="J16378" s="124"/>
    </row>
    <row r="16379" spans="3:10" x14ac:dyDescent="0.2">
      <c r="C16379" s="209"/>
      <c r="D16379" s="209"/>
      <c r="E16379" s="209"/>
      <c r="J16379" s="124"/>
    </row>
    <row r="16380" spans="3:10" x14ac:dyDescent="0.2">
      <c r="C16380" s="209"/>
      <c r="D16380" s="209"/>
      <c r="E16380" s="209"/>
      <c r="J16380" s="124"/>
    </row>
    <row r="16381" spans="3:10" x14ac:dyDescent="0.2">
      <c r="C16381" s="209"/>
      <c r="D16381" s="209"/>
      <c r="E16381" s="209"/>
      <c r="J16381" s="124"/>
    </row>
    <row r="16382" spans="3:10" x14ac:dyDescent="0.2">
      <c r="C16382" s="209"/>
      <c r="D16382" s="209"/>
      <c r="E16382" s="209"/>
      <c r="J16382" s="124"/>
    </row>
    <row r="16383" spans="3:10" x14ac:dyDescent="0.2">
      <c r="C16383" s="209"/>
      <c r="D16383" s="209"/>
      <c r="E16383" s="209"/>
      <c r="J16383" s="124"/>
    </row>
    <row r="16384" spans="3:10" x14ac:dyDescent="0.2">
      <c r="C16384" s="209"/>
      <c r="D16384" s="209"/>
      <c r="E16384" s="209"/>
      <c r="J16384" s="124"/>
    </row>
    <row r="16385" spans="3:10" x14ac:dyDescent="0.2">
      <c r="C16385" s="209"/>
      <c r="D16385" s="209"/>
      <c r="E16385" s="209"/>
      <c r="J16385" s="124"/>
    </row>
    <row r="16386" spans="3:10" x14ac:dyDescent="0.2">
      <c r="C16386" s="209"/>
      <c r="D16386" s="209"/>
      <c r="E16386" s="209"/>
      <c r="J16386" s="124"/>
    </row>
    <row r="16387" spans="3:10" x14ac:dyDescent="0.2">
      <c r="C16387" s="209"/>
      <c r="D16387" s="209"/>
      <c r="E16387" s="209"/>
      <c r="J16387" s="124"/>
    </row>
    <row r="16388" spans="3:10" x14ac:dyDescent="0.2">
      <c r="C16388" s="209"/>
      <c r="D16388" s="209"/>
      <c r="E16388" s="209"/>
      <c r="J16388" s="124"/>
    </row>
    <row r="16389" spans="3:10" x14ac:dyDescent="0.2">
      <c r="C16389" s="209"/>
      <c r="D16389" s="209"/>
      <c r="E16389" s="209"/>
      <c r="J16389" s="124"/>
    </row>
    <row r="16390" spans="3:10" x14ac:dyDescent="0.2">
      <c r="C16390" s="209"/>
      <c r="D16390" s="209"/>
      <c r="E16390" s="209"/>
      <c r="J16390" s="124"/>
    </row>
    <row r="16391" spans="3:10" x14ac:dyDescent="0.2">
      <c r="C16391" s="209"/>
      <c r="D16391" s="209"/>
      <c r="E16391" s="209"/>
      <c r="J16391" s="124"/>
    </row>
    <row r="16392" spans="3:10" x14ac:dyDescent="0.2">
      <c r="C16392" s="209"/>
      <c r="D16392" s="209"/>
      <c r="E16392" s="209"/>
      <c r="J16392" s="124"/>
    </row>
    <row r="16393" spans="3:10" x14ac:dyDescent="0.2">
      <c r="C16393" s="209"/>
      <c r="D16393" s="209"/>
      <c r="E16393" s="209"/>
      <c r="J16393" s="124"/>
    </row>
    <row r="16394" spans="3:10" x14ac:dyDescent="0.2">
      <c r="C16394" s="209"/>
      <c r="D16394" s="209"/>
      <c r="E16394" s="209"/>
      <c r="J16394" s="124"/>
    </row>
    <row r="16395" spans="3:10" x14ac:dyDescent="0.2">
      <c r="C16395" s="209"/>
      <c r="D16395" s="209"/>
      <c r="E16395" s="209"/>
      <c r="J16395" s="124"/>
    </row>
    <row r="16396" spans="3:10" x14ac:dyDescent="0.2">
      <c r="C16396" s="209"/>
      <c r="D16396" s="209"/>
      <c r="E16396" s="209"/>
      <c r="J16396" s="124"/>
    </row>
    <row r="16397" spans="3:10" x14ac:dyDescent="0.2">
      <c r="C16397" s="209"/>
      <c r="D16397" s="209"/>
      <c r="E16397" s="209"/>
      <c r="J16397" s="124"/>
    </row>
    <row r="16398" spans="3:10" x14ac:dyDescent="0.2">
      <c r="C16398" s="209"/>
      <c r="D16398" s="209"/>
      <c r="E16398" s="209"/>
      <c r="J16398" s="124"/>
    </row>
    <row r="16399" spans="3:10" x14ac:dyDescent="0.2">
      <c r="C16399" s="209"/>
      <c r="D16399" s="209"/>
      <c r="E16399" s="209"/>
      <c r="J16399" s="124"/>
    </row>
    <row r="16400" spans="3:10" x14ac:dyDescent="0.2">
      <c r="C16400" s="209"/>
      <c r="D16400" s="209"/>
      <c r="E16400" s="209"/>
      <c r="J16400" s="124"/>
    </row>
    <row r="16401" spans="3:10" x14ac:dyDescent="0.2">
      <c r="C16401" s="209"/>
      <c r="D16401" s="209"/>
      <c r="E16401" s="209"/>
      <c r="J16401" s="124"/>
    </row>
    <row r="16402" spans="3:10" x14ac:dyDescent="0.2">
      <c r="C16402" s="209"/>
      <c r="D16402" s="209"/>
      <c r="E16402" s="209"/>
      <c r="J16402" s="124"/>
    </row>
    <row r="16403" spans="3:10" x14ac:dyDescent="0.2">
      <c r="C16403" s="209"/>
      <c r="D16403" s="209"/>
      <c r="E16403" s="209"/>
      <c r="J16403" s="124"/>
    </row>
    <row r="16404" spans="3:10" x14ac:dyDescent="0.2">
      <c r="C16404" s="209"/>
      <c r="D16404" s="209"/>
      <c r="E16404" s="209"/>
      <c r="J16404" s="124"/>
    </row>
    <row r="16405" spans="3:10" x14ac:dyDescent="0.2">
      <c r="C16405" s="209"/>
      <c r="D16405" s="209"/>
      <c r="E16405" s="209"/>
      <c r="J16405" s="124"/>
    </row>
    <row r="16406" spans="3:10" x14ac:dyDescent="0.2">
      <c r="C16406" s="209"/>
      <c r="D16406" s="209"/>
      <c r="E16406" s="209"/>
      <c r="J16406" s="124"/>
    </row>
    <row r="16407" spans="3:10" x14ac:dyDescent="0.2">
      <c r="C16407" s="209"/>
      <c r="D16407" s="209"/>
      <c r="E16407" s="209"/>
      <c r="J16407" s="124"/>
    </row>
    <row r="16408" spans="3:10" x14ac:dyDescent="0.2">
      <c r="C16408" s="209"/>
      <c r="D16408" s="209"/>
      <c r="E16408" s="209"/>
      <c r="J16408" s="124"/>
    </row>
    <row r="16409" spans="3:10" x14ac:dyDescent="0.2">
      <c r="C16409" s="209"/>
      <c r="D16409" s="209"/>
      <c r="E16409" s="209"/>
      <c r="J16409" s="124"/>
    </row>
    <row r="16410" spans="3:10" x14ac:dyDescent="0.2">
      <c r="C16410" s="209"/>
      <c r="D16410" s="209"/>
      <c r="E16410" s="209"/>
      <c r="J16410" s="124"/>
    </row>
    <row r="16411" spans="3:10" x14ac:dyDescent="0.2">
      <c r="C16411" s="209"/>
      <c r="D16411" s="209"/>
      <c r="E16411" s="209"/>
      <c r="J16411" s="124"/>
    </row>
    <row r="16412" spans="3:10" x14ac:dyDescent="0.2">
      <c r="C16412" s="209"/>
      <c r="D16412" s="209"/>
      <c r="E16412" s="209"/>
      <c r="J16412" s="124"/>
    </row>
    <row r="16413" spans="3:10" x14ac:dyDescent="0.2">
      <c r="C16413" s="209"/>
      <c r="D16413" s="209"/>
      <c r="E16413" s="209"/>
      <c r="J16413" s="124"/>
    </row>
    <row r="16414" spans="3:10" x14ac:dyDescent="0.2">
      <c r="C16414" s="209"/>
      <c r="D16414" s="209"/>
      <c r="E16414" s="209"/>
      <c r="J16414" s="124"/>
    </row>
    <row r="16415" spans="3:10" x14ac:dyDescent="0.2">
      <c r="C16415" s="209"/>
      <c r="D16415" s="209"/>
      <c r="E16415" s="209"/>
      <c r="J16415" s="124"/>
    </row>
    <row r="16416" spans="3:10" x14ac:dyDescent="0.2">
      <c r="C16416" s="209"/>
      <c r="D16416" s="209"/>
      <c r="E16416" s="209"/>
      <c r="J16416" s="124"/>
    </row>
    <row r="16417" spans="3:10" x14ac:dyDescent="0.2">
      <c r="C16417" s="209"/>
      <c r="D16417" s="209"/>
      <c r="E16417" s="209"/>
      <c r="J16417" s="124"/>
    </row>
    <row r="16418" spans="3:10" x14ac:dyDescent="0.2">
      <c r="C16418" s="209"/>
      <c r="D16418" s="209"/>
      <c r="E16418" s="209"/>
      <c r="J16418" s="124"/>
    </row>
    <row r="16419" spans="3:10" x14ac:dyDescent="0.2">
      <c r="C16419" s="209"/>
      <c r="D16419" s="209"/>
      <c r="E16419" s="209"/>
      <c r="J16419" s="124"/>
    </row>
    <row r="16420" spans="3:10" x14ac:dyDescent="0.2">
      <c r="C16420" s="209"/>
      <c r="D16420" s="209"/>
      <c r="E16420" s="209"/>
      <c r="J16420" s="124"/>
    </row>
    <row r="16421" spans="3:10" x14ac:dyDescent="0.2">
      <c r="C16421" s="209"/>
      <c r="D16421" s="209"/>
      <c r="E16421" s="209"/>
      <c r="J16421" s="124"/>
    </row>
    <row r="16422" spans="3:10" x14ac:dyDescent="0.2">
      <c r="C16422" s="209"/>
      <c r="D16422" s="209"/>
      <c r="E16422" s="209"/>
      <c r="J16422" s="124"/>
    </row>
    <row r="16423" spans="3:10" x14ac:dyDescent="0.2">
      <c r="C16423" s="209"/>
      <c r="D16423" s="209"/>
      <c r="E16423" s="209"/>
      <c r="J16423" s="124"/>
    </row>
    <row r="16424" spans="3:10" x14ac:dyDescent="0.2">
      <c r="C16424" s="209"/>
      <c r="D16424" s="209"/>
      <c r="E16424" s="209"/>
      <c r="J16424" s="124"/>
    </row>
    <row r="16425" spans="3:10" x14ac:dyDescent="0.2">
      <c r="C16425" s="209"/>
      <c r="D16425" s="209"/>
      <c r="E16425" s="209"/>
      <c r="J16425" s="124"/>
    </row>
    <row r="16426" spans="3:10" x14ac:dyDescent="0.2">
      <c r="C16426" s="209"/>
      <c r="D16426" s="209"/>
      <c r="E16426" s="209"/>
      <c r="J16426" s="124"/>
    </row>
    <row r="16427" spans="3:10" x14ac:dyDescent="0.2">
      <c r="C16427" s="209"/>
      <c r="D16427" s="209"/>
      <c r="E16427" s="209"/>
      <c r="J16427" s="124"/>
    </row>
    <row r="16428" spans="3:10" x14ac:dyDescent="0.2">
      <c r="C16428" s="209"/>
      <c r="D16428" s="209"/>
      <c r="E16428" s="209"/>
      <c r="J16428" s="124"/>
    </row>
    <row r="16429" spans="3:10" x14ac:dyDescent="0.2">
      <c r="C16429" s="209"/>
      <c r="D16429" s="209"/>
      <c r="E16429" s="209"/>
      <c r="J16429" s="124"/>
    </row>
    <row r="16430" spans="3:10" x14ac:dyDescent="0.2">
      <c r="C16430" s="209"/>
      <c r="D16430" s="209"/>
      <c r="E16430" s="209"/>
      <c r="J16430" s="124"/>
    </row>
    <row r="16431" spans="3:10" x14ac:dyDescent="0.2">
      <c r="C16431" s="209"/>
      <c r="D16431" s="209"/>
      <c r="E16431" s="209"/>
      <c r="J16431" s="124"/>
    </row>
    <row r="16432" spans="3:10" x14ac:dyDescent="0.2">
      <c r="C16432" s="209"/>
      <c r="D16432" s="209"/>
      <c r="E16432" s="209"/>
      <c r="J16432" s="124"/>
    </row>
    <row r="16433" spans="3:10" x14ac:dyDescent="0.2">
      <c r="C16433" s="209"/>
      <c r="D16433" s="209"/>
      <c r="E16433" s="209"/>
      <c r="J16433" s="124"/>
    </row>
    <row r="16434" spans="3:10" x14ac:dyDescent="0.2">
      <c r="C16434" s="209"/>
      <c r="D16434" s="209"/>
      <c r="E16434" s="209"/>
      <c r="J16434" s="124"/>
    </row>
    <row r="16435" spans="3:10" x14ac:dyDescent="0.2">
      <c r="C16435" s="209"/>
      <c r="D16435" s="209"/>
      <c r="E16435" s="209"/>
      <c r="J16435" s="124"/>
    </row>
    <row r="16436" spans="3:10" x14ac:dyDescent="0.2">
      <c r="C16436" s="209"/>
      <c r="D16436" s="209"/>
      <c r="E16436" s="209"/>
      <c r="J16436" s="124"/>
    </row>
    <row r="16437" spans="3:10" x14ac:dyDescent="0.2">
      <c r="C16437" s="209"/>
      <c r="D16437" s="209"/>
      <c r="E16437" s="209"/>
      <c r="J16437" s="124"/>
    </row>
    <row r="16438" spans="3:10" x14ac:dyDescent="0.2">
      <c r="C16438" s="209"/>
      <c r="D16438" s="209"/>
      <c r="E16438" s="209"/>
      <c r="J16438" s="124"/>
    </row>
    <row r="16439" spans="3:10" x14ac:dyDescent="0.2">
      <c r="C16439" s="209"/>
      <c r="D16439" s="209"/>
      <c r="E16439" s="209"/>
      <c r="J16439" s="124"/>
    </row>
    <row r="16440" spans="3:10" x14ac:dyDescent="0.2">
      <c r="C16440" s="209"/>
      <c r="D16440" s="209"/>
      <c r="E16440" s="209"/>
      <c r="J16440" s="124"/>
    </row>
    <row r="16441" spans="3:10" x14ac:dyDescent="0.2">
      <c r="C16441" s="209"/>
      <c r="D16441" s="209"/>
      <c r="E16441" s="209"/>
      <c r="J16441" s="124"/>
    </row>
    <row r="16442" spans="3:10" x14ac:dyDescent="0.2">
      <c r="C16442" s="209"/>
      <c r="D16442" s="209"/>
      <c r="E16442" s="209"/>
      <c r="J16442" s="124"/>
    </row>
    <row r="16443" spans="3:10" x14ac:dyDescent="0.2">
      <c r="C16443" s="209"/>
      <c r="D16443" s="209"/>
      <c r="E16443" s="209"/>
      <c r="J16443" s="124"/>
    </row>
    <row r="16444" spans="3:10" x14ac:dyDescent="0.2">
      <c r="C16444" s="209"/>
      <c r="D16444" s="209"/>
      <c r="E16444" s="209"/>
      <c r="J16444" s="124"/>
    </row>
    <row r="16445" spans="3:10" x14ac:dyDescent="0.2">
      <c r="C16445" s="209"/>
      <c r="D16445" s="209"/>
      <c r="E16445" s="209"/>
      <c r="J16445" s="124"/>
    </row>
    <row r="16446" spans="3:10" x14ac:dyDescent="0.2">
      <c r="C16446" s="209"/>
      <c r="D16446" s="209"/>
      <c r="E16446" s="209"/>
      <c r="J16446" s="124"/>
    </row>
    <row r="16447" spans="3:10" x14ac:dyDescent="0.2">
      <c r="C16447" s="209"/>
      <c r="D16447" s="209"/>
      <c r="E16447" s="209"/>
      <c r="J16447" s="124"/>
    </row>
    <row r="16448" spans="3:10" x14ac:dyDescent="0.2">
      <c r="C16448" s="209"/>
      <c r="D16448" s="209"/>
      <c r="E16448" s="209"/>
      <c r="J16448" s="124"/>
    </row>
    <row r="16449" spans="3:10" x14ac:dyDescent="0.2">
      <c r="C16449" s="209"/>
      <c r="D16449" s="209"/>
      <c r="E16449" s="209"/>
      <c r="J16449" s="124"/>
    </row>
    <row r="16450" spans="3:10" x14ac:dyDescent="0.2">
      <c r="C16450" s="209"/>
      <c r="D16450" s="209"/>
      <c r="E16450" s="209"/>
      <c r="J16450" s="124"/>
    </row>
    <row r="16451" spans="3:10" x14ac:dyDescent="0.2">
      <c r="C16451" s="209"/>
      <c r="D16451" s="209"/>
      <c r="E16451" s="209"/>
      <c r="J16451" s="124"/>
    </row>
    <row r="16452" spans="3:10" x14ac:dyDescent="0.2">
      <c r="C16452" s="209"/>
      <c r="D16452" s="209"/>
      <c r="E16452" s="209"/>
      <c r="J16452" s="124"/>
    </row>
    <row r="16453" spans="3:10" x14ac:dyDescent="0.2">
      <c r="C16453" s="209"/>
      <c r="D16453" s="209"/>
      <c r="E16453" s="209"/>
      <c r="J16453" s="124"/>
    </row>
    <row r="16454" spans="3:10" x14ac:dyDescent="0.2">
      <c r="C16454" s="209"/>
      <c r="D16454" s="209"/>
      <c r="E16454" s="209"/>
      <c r="J16454" s="124"/>
    </row>
    <row r="16455" spans="3:10" x14ac:dyDescent="0.2">
      <c r="C16455" s="209"/>
      <c r="D16455" s="209"/>
      <c r="E16455" s="209"/>
      <c r="J16455" s="124"/>
    </row>
    <row r="16456" spans="3:10" x14ac:dyDescent="0.2">
      <c r="C16456" s="209"/>
      <c r="D16456" s="209"/>
      <c r="E16456" s="209"/>
      <c r="J16456" s="124"/>
    </row>
    <row r="16457" spans="3:10" x14ac:dyDescent="0.2">
      <c r="C16457" s="209"/>
      <c r="D16457" s="209"/>
      <c r="E16457" s="209"/>
      <c r="J16457" s="124"/>
    </row>
    <row r="16458" spans="3:10" x14ac:dyDescent="0.2">
      <c r="C16458" s="209"/>
      <c r="D16458" s="209"/>
      <c r="E16458" s="209"/>
      <c r="J16458" s="124"/>
    </row>
    <row r="16459" spans="3:10" x14ac:dyDescent="0.2">
      <c r="C16459" s="209"/>
      <c r="D16459" s="209"/>
      <c r="E16459" s="209"/>
      <c r="J16459" s="124"/>
    </row>
    <row r="16460" spans="3:10" x14ac:dyDescent="0.2">
      <c r="C16460" s="209"/>
      <c r="D16460" s="209"/>
      <c r="E16460" s="209"/>
      <c r="J16460" s="124"/>
    </row>
    <row r="16461" spans="3:10" x14ac:dyDescent="0.2">
      <c r="C16461" s="209"/>
      <c r="D16461" s="209"/>
      <c r="E16461" s="209"/>
      <c r="J16461" s="124"/>
    </row>
    <row r="16462" spans="3:10" x14ac:dyDescent="0.2">
      <c r="C16462" s="209"/>
      <c r="D16462" s="209"/>
      <c r="E16462" s="209"/>
      <c r="J16462" s="124"/>
    </row>
    <row r="16463" spans="3:10" x14ac:dyDescent="0.2">
      <c r="C16463" s="209"/>
      <c r="D16463" s="209"/>
      <c r="E16463" s="209"/>
      <c r="J16463" s="124"/>
    </row>
    <row r="16464" spans="3:10" x14ac:dyDescent="0.2">
      <c r="C16464" s="209"/>
      <c r="D16464" s="209"/>
      <c r="E16464" s="209"/>
      <c r="J16464" s="124"/>
    </row>
    <row r="16465" spans="4:10" x14ac:dyDescent="0.2">
      <c r="D16465" s="209"/>
      <c r="E16465" s="209"/>
      <c r="J16465" s="124"/>
    </row>
  </sheetData>
  <autoFilter ref="B4:AD160"/>
  <mergeCells count="11">
    <mergeCell ref="AI1:AK1"/>
    <mergeCell ref="W2:X2"/>
    <mergeCell ref="AA2:AB2"/>
    <mergeCell ref="B3:P3"/>
    <mergeCell ref="Q3:AD3"/>
    <mergeCell ref="D1:E1"/>
    <mergeCell ref="F1:G1"/>
    <mergeCell ref="H1:I1"/>
    <mergeCell ref="J1:K1"/>
    <mergeCell ref="L1:M1"/>
    <mergeCell ref="AE1:AH1"/>
  </mergeCells>
  <pageMargins left="0.7" right="0.7" top="0.75" bottom="0.75" header="0.3" footer="0.3"/>
  <pageSetup paperSize="119" orientation="portrait" horizontalDpi="4294967294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AK16489"/>
  <sheetViews>
    <sheetView topLeftCell="U1" workbookViewId="0">
      <selection activeCell="Y6" sqref="Y6"/>
    </sheetView>
  </sheetViews>
  <sheetFormatPr defaultRowHeight="12" x14ac:dyDescent="0.2"/>
  <cols>
    <col min="1" max="1" width="13.140625" style="124" customWidth="1"/>
    <col min="2" max="2" width="4.42578125" style="124" customWidth="1"/>
    <col min="3" max="3" width="39" style="124" customWidth="1"/>
    <col min="4" max="4" width="16.140625" style="124" customWidth="1"/>
    <col min="5" max="5" width="6.5703125" style="124" bestFit="1" customWidth="1"/>
    <col min="6" max="6" width="11.28515625" style="124" bestFit="1" customWidth="1"/>
    <col min="7" max="7" width="11" style="124" bestFit="1" customWidth="1"/>
    <col min="8" max="8" width="17.28515625" style="124" bestFit="1" customWidth="1"/>
    <col min="9" max="9" width="15" style="124" bestFit="1" customWidth="1"/>
    <col min="10" max="10" width="15" style="125" customWidth="1"/>
    <col min="11" max="11" width="9.5703125" style="124" bestFit="1" customWidth="1"/>
    <col min="12" max="12" width="13.5703125" style="124" bestFit="1" customWidth="1"/>
    <col min="13" max="13" width="13.42578125" style="124" bestFit="1" customWidth="1"/>
    <col min="14" max="14" width="15" style="124" bestFit="1" customWidth="1"/>
    <col min="15" max="15" width="16.42578125" style="124" bestFit="1" customWidth="1"/>
    <col min="16" max="16" width="8.42578125" style="124" bestFit="1" customWidth="1"/>
    <col min="17" max="22" width="9.140625" style="124"/>
    <col min="23" max="24" width="9.140625" style="236"/>
    <col min="25" max="25" width="9.140625" style="124"/>
    <col min="26" max="26" width="10.85546875" style="124" customWidth="1"/>
    <col min="27" max="27" width="3.85546875" style="236" customWidth="1"/>
    <col min="28" max="28" width="3" style="236" customWidth="1"/>
    <col min="29" max="30" width="9.140625" style="236"/>
    <col min="31" max="31" width="12.28515625" style="236" customWidth="1"/>
    <col min="32" max="32" width="9.140625" style="236"/>
    <col min="33" max="33" width="17.28515625" style="236" customWidth="1"/>
    <col min="34" max="34" width="12.140625" style="236" customWidth="1"/>
    <col min="35" max="36" width="9.140625" style="236"/>
    <col min="37" max="37" width="22.140625" style="236" customWidth="1"/>
    <col min="38" max="16384" width="9.140625" style="124"/>
  </cols>
  <sheetData>
    <row r="1" spans="2:37" ht="15.95" customHeight="1" thickBot="1" x14ac:dyDescent="0.25">
      <c r="D1" s="627" t="s">
        <v>1060</v>
      </c>
      <c r="E1" s="628"/>
      <c r="F1" s="629" t="s">
        <v>1061</v>
      </c>
      <c r="G1" s="630"/>
      <c r="H1" s="631" t="s">
        <v>1062</v>
      </c>
      <c r="I1" s="632"/>
      <c r="J1" s="633" t="s">
        <v>1063</v>
      </c>
      <c r="K1" s="634"/>
      <c r="L1" s="635" t="s">
        <v>1064</v>
      </c>
      <c r="M1" s="636"/>
      <c r="AE1" s="616" t="s">
        <v>1052</v>
      </c>
      <c r="AF1" s="617"/>
      <c r="AG1" s="617"/>
      <c r="AH1" s="637"/>
      <c r="AI1" s="616" t="s">
        <v>1053</v>
      </c>
      <c r="AJ1" s="617"/>
      <c r="AK1" s="617"/>
    </row>
    <row r="2" spans="2:37" ht="15.95" customHeight="1" thickBot="1" x14ac:dyDescent="0.3">
      <c r="U2" s="34"/>
      <c r="W2" s="618" t="s">
        <v>1056</v>
      </c>
      <c r="X2" s="619"/>
      <c r="AA2" s="620" t="s">
        <v>1307</v>
      </c>
      <c r="AB2" s="620"/>
      <c r="AG2" s="241" t="s">
        <v>1317</v>
      </c>
      <c r="AH2" s="242" t="s">
        <v>1310</v>
      </c>
      <c r="AJ2" s="241" t="s">
        <v>1309</v>
      </c>
      <c r="AK2" s="242" t="s">
        <v>1310</v>
      </c>
    </row>
    <row r="3" spans="2:37" ht="15.95" customHeight="1" thickBot="1" x14ac:dyDescent="0.25">
      <c r="B3" s="621" t="s">
        <v>1065</v>
      </c>
      <c r="C3" s="622"/>
      <c r="D3" s="622"/>
      <c r="E3" s="622"/>
      <c r="F3" s="622"/>
      <c r="G3" s="622"/>
      <c r="H3" s="622"/>
      <c r="I3" s="622"/>
      <c r="J3" s="622"/>
      <c r="K3" s="622"/>
      <c r="L3" s="622"/>
      <c r="M3" s="622"/>
      <c r="N3" s="622"/>
      <c r="O3" s="622"/>
      <c r="P3" s="623"/>
      <c r="Q3" s="624" t="s">
        <v>1301</v>
      </c>
      <c r="R3" s="625"/>
      <c r="S3" s="625"/>
      <c r="T3" s="625"/>
      <c r="U3" s="625"/>
      <c r="V3" s="625"/>
      <c r="W3" s="625"/>
      <c r="X3" s="625"/>
      <c r="Y3" s="625"/>
      <c r="Z3" s="625"/>
      <c r="AA3" s="625"/>
      <c r="AB3" s="625"/>
      <c r="AC3" s="625"/>
      <c r="AD3" s="626"/>
      <c r="AE3" s="243" t="s">
        <v>1052</v>
      </c>
      <c r="AF3" s="236" t="s">
        <v>1312</v>
      </c>
      <c r="AG3" s="244">
        <f ca="1">DATE(2015,12,31)-TODAY()</f>
        <v>129</v>
      </c>
      <c r="AH3" s="245">
        <v>16</v>
      </c>
      <c r="AI3" s="243" t="s">
        <v>1053</v>
      </c>
      <c r="AJ3" s="244">
        <f ca="1">DATE(2015,12,31)-TODAY()</f>
        <v>129</v>
      </c>
      <c r="AK3" s="245">
        <v>16</v>
      </c>
    </row>
    <row r="4" spans="2:37" ht="15.95" customHeight="1" thickBot="1" x14ac:dyDescent="0.3">
      <c r="B4" s="126"/>
      <c r="C4" s="127" t="s">
        <v>456</v>
      </c>
      <c r="D4" s="128" t="s">
        <v>1066</v>
      </c>
      <c r="E4" s="129" t="s">
        <v>3</v>
      </c>
      <c r="F4" s="128" t="s">
        <v>840</v>
      </c>
      <c r="G4" s="128" t="s">
        <v>1067</v>
      </c>
      <c r="H4" s="128" t="s">
        <v>867</v>
      </c>
      <c r="I4" s="128" t="s">
        <v>1068</v>
      </c>
      <c r="J4" s="128" t="s">
        <v>1069</v>
      </c>
      <c r="K4" s="129" t="s">
        <v>575</v>
      </c>
      <c r="L4" s="129" t="s">
        <v>1070</v>
      </c>
      <c r="M4" s="129" t="s">
        <v>1071</v>
      </c>
      <c r="N4" s="129" t="s">
        <v>1072</v>
      </c>
      <c r="O4" s="130" t="s">
        <v>1073</v>
      </c>
      <c r="P4" s="221">
        <v>41988</v>
      </c>
      <c r="Q4" s="226" t="s">
        <v>867</v>
      </c>
      <c r="R4" s="226" t="s">
        <v>1067</v>
      </c>
      <c r="S4" s="226" t="s">
        <v>840</v>
      </c>
      <c r="T4" s="226" t="s">
        <v>1300</v>
      </c>
      <c r="U4" s="227" t="s">
        <v>1293</v>
      </c>
      <c r="V4" s="227" t="s">
        <v>1294</v>
      </c>
      <c r="W4" s="237" t="s">
        <v>1313</v>
      </c>
      <c r="X4" s="238" t="s">
        <v>1314</v>
      </c>
      <c r="Y4" s="227" t="s">
        <v>2</v>
      </c>
      <c r="Z4" s="227" t="s">
        <v>417</v>
      </c>
      <c r="AA4" s="246" t="s">
        <v>468</v>
      </c>
      <c r="AB4" s="246" t="s">
        <v>1304</v>
      </c>
      <c r="AC4" s="246" t="s">
        <v>1305</v>
      </c>
      <c r="AD4" s="246" t="s">
        <v>1306</v>
      </c>
      <c r="AE4" s="247" t="s">
        <v>1315</v>
      </c>
      <c r="AF4" s="248" t="s">
        <v>1308</v>
      </c>
      <c r="AG4" s="248" t="s">
        <v>1308</v>
      </c>
      <c r="AH4" s="248" t="s">
        <v>1319</v>
      </c>
      <c r="AI4" s="248" t="s">
        <v>1316</v>
      </c>
      <c r="AJ4" s="248" t="s">
        <v>1308</v>
      </c>
      <c r="AK4" s="248" t="s">
        <v>1319</v>
      </c>
    </row>
    <row r="5" spans="2:37" ht="15.95" customHeight="1" x14ac:dyDescent="0.25">
      <c r="B5" s="131">
        <v>61</v>
      </c>
      <c r="C5" s="233" t="s">
        <v>1147</v>
      </c>
      <c r="D5" s="234" t="s">
        <v>513</v>
      </c>
      <c r="E5" s="235" t="s">
        <v>11</v>
      </c>
      <c r="F5" s="132" t="s">
        <v>44</v>
      </c>
      <c r="G5" s="132" t="s">
        <v>1076</v>
      </c>
      <c r="H5" s="132" t="s">
        <v>1082</v>
      </c>
      <c r="I5" s="132" t="s">
        <v>1061</v>
      </c>
      <c r="J5" s="133" t="s">
        <v>1079</v>
      </c>
      <c r="K5" s="134">
        <v>41883</v>
      </c>
      <c r="L5" s="134">
        <v>41981</v>
      </c>
      <c r="M5" s="134">
        <v>41995</v>
      </c>
      <c r="N5" s="132">
        <v>98</v>
      </c>
      <c r="O5" s="135">
        <v>1200</v>
      </c>
      <c r="P5" s="135" t="s">
        <v>1080</v>
      </c>
      <c r="Q5" s="223" t="s">
        <v>14</v>
      </c>
      <c r="R5" s="223" t="s">
        <v>298</v>
      </c>
      <c r="S5" s="223" t="s">
        <v>44</v>
      </c>
      <c r="T5" s="224" t="str">
        <f t="shared" ref="T5:T36" si="0">IF(OR(F5="ZU",F5="RT"),"ZU/RT",F5)</f>
        <v>ZU/RT</v>
      </c>
      <c r="U5" s="223" t="str">
        <f t="shared" ref="U5:U36" si="1">CONCATENATE(F5,"-",Q5,"-",R5)</f>
        <v>ZU-NW-Prod</v>
      </c>
      <c r="V5" s="223" t="str">
        <f t="array" ref="V5">CONCATENATE(Q5,"-",R5)</f>
        <v>NW-Prod</v>
      </c>
      <c r="W5" s="239">
        <f>IF(ISERROR(VLOOKUP(T5,'15-16_DP_Tables'!$M$2:$V$8,MATCH(V5,INDEX('15-16_DP_Tables'!$M$2:$V$8,1,0),0),0)),0,VLOOKUP(T5,'15-16_DP_Tables'!$M$2:$V$8,MATCH(V5,INDEX('15-16_DP_Tables'!$M$2:$V$8,1,0),0),0))</f>
        <v>99.088549999999998</v>
      </c>
      <c r="X5" s="239">
        <f t="array" ref="X5">IF(ISERROR(VLOOKUP(T5,'15-16_DP_Tables'!$M$12:$V$18,MATCH(V5,INDEX('15-16_DP_Tables'!$M$12:$V$18,1,0),0),0)),0,VLOOKUP(T5,'15-16_DP_Tables'!$M$12:$V$18,MATCH(V5,INDEX('15-16_DP_Tables'!$M$12:$V$18,1,0),0),0))</f>
        <v>53.375</v>
      </c>
      <c r="Y5" s="223" t="str">
        <f>IF(OR(ISNUMBER(SEARCH("HST",C5)),ISNUMBER(SEARCH("Horizontal",C5)),ISNUMBER(SEARCH("H",C5))),"Horizontal",IF(OR(ISNUMBER(SEARCH("SLANT",C5))),"Slant","Unknown"))</f>
        <v>Horizontal</v>
      </c>
      <c r="Z5" s="223">
        <v>5</v>
      </c>
      <c r="AA5" s="249" t="e">
        <f>VLOOKUP(T5,'Planning and Target Times'!$A$74:$L$78,MATCH(E5&amp;"-"&amp;Q5&amp;"-"&amp;Y5&amp;"-"&amp;R5,INDEX('Planning and Target Times'!$A$74:$L$78,1,0),0),0)</f>
        <v>#N/A</v>
      </c>
      <c r="AB5" s="249" t="e">
        <f>VLOOKUP(T5,'Planning and Target Times'!$A$97:$L$101,MATCH(E5&amp;"-"&amp;Q5&amp;"-"&amp;Y5&amp;"-"&amp;R5,INDEX('Planning and Target Times'!$A$97:$L$101,1,0),0),0)</f>
        <v>#N/A</v>
      </c>
      <c r="AC5" s="250" t="s">
        <v>1489</v>
      </c>
      <c r="AD5" s="250">
        <f>IF(ISERROR(O5/X5),0,(O5/X5))</f>
        <v>22.482435597189696</v>
      </c>
      <c r="AE5" s="248">
        <f>SUM(W5)+Z5</f>
        <v>104.08855</v>
      </c>
      <c r="AF5" s="248">
        <f t="shared" ref="AF5:AF36" si="2">(30*365)-AE5</f>
        <v>10845.91145</v>
      </c>
      <c r="AG5" s="248">
        <f ca="1">(30*$AG$3)-AE5</f>
        <v>3765.9114500000001</v>
      </c>
      <c r="AH5" s="248">
        <f ca="1">($AH$3*$AG$3)-AE5</f>
        <v>1959.9114500000001</v>
      </c>
      <c r="AI5" s="248">
        <f>SUM(X5)+Z5</f>
        <v>58.375</v>
      </c>
      <c r="AJ5" s="248">
        <f ca="1">(30*$AJ$3)-AI5</f>
        <v>3811.625</v>
      </c>
      <c r="AK5" s="248">
        <f ca="1">($AJ$3*$AK$3)-AI5</f>
        <v>2005.625</v>
      </c>
    </row>
    <row r="6" spans="2:37" ht="15.95" customHeight="1" x14ac:dyDescent="0.25">
      <c r="B6" s="136">
        <v>69</v>
      </c>
      <c r="C6" s="166" t="s">
        <v>1155</v>
      </c>
      <c r="D6" s="182" t="s">
        <v>512</v>
      </c>
      <c r="E6" s="155" t="s">
        <v>42</v>
      </c>
      <c r="F6" s="140" t="s">
        <v>44</v>
      </c>
      <c r="G6" s="140" t="s">
        <v>1076</v>
      </c>
      <c r="H6" s="140" t="s">
        <v>1082</v>
      </c>
      <c r="I6" s="140" t="s">
        <v>1078</v>
      </c>
      <c r="J6" s="141" t="s">
        <v>1079</v>
      </c>
      <c r="K6" s="142">
        <v>41913</v>
      </c>
      <c r="L6" s="142">
        <v>42011</v>
      </c>
      <c r="M6" s="134">
        <v>42025</v>
      </c>
      <c r="N6" s="140">
        <v>98</v>
      </c>
      <c r="O6" s="143">
        <v>2200</v>
      </c>
      <c r="P6" s="135" t="s">
        <v>1080</v>
      </c>
      <c r="Q6" s="223" t="s">
        <v>14</v>
      </c>
      <c r="R6" s="223" t="s">
        <v>298</v>
      </c>
      <c r="S6" s="223" t="s">
        <v>44</v>
      </c>
      <c r="T6" s="224" t="str">
        <f t="shared" si="0"/>
        <v>ZU/RT</v>
      </c>
      <c r="U6" s="223" t="str">
        <f t="shared" si="1"/>
        <v>ZU-NW-Prod</v>
      </c>
      <c r="V6" s="223" t="str">
        <f t="array" ref="V6">CONCATENATE(Q6,"-",R6)</f>
        <v>NW-Prod</v>
      </c>
      <c r="W6" s="239">
        <f>IF(ISERROR(VLOOKUP(T6,'15-16_DP_Tables'!$M$2:$V$8,MATCH(V6,INDEX('15-16_DP_Tables'!$M$2:$V$8,1,0),0),0)),0,VLOOKUP(T6,'15-16_DP_Tables'!$M$2:$V$8,MATCH(V6,INDEX('15-16_DP_Tables'!$M$2:$V$8,1,0),0),0))</f>
        <v>99.088549999999998</v>
      </c>
      <c r="X6" s="239">
        <f t="array" ref="X6">IF(ISERROR(VLOOKUP(T6,'15-16_DP_Tables'!$M$12:$V$18,MATCH(V6,INDEX('15-16_DP_Tables'!$M$12:$V$18,1,0),0),0)),0,VLOOKUP(T6,'15-16_DP_Tables'!$M$12:$V$18,MATCH(V6,INDEX('15-16_DP_Tables'!$M$12:$V$18,1,0),0),0))</f>
        <v>53.375</v>
      </c>
      <c r="Y6" s="223" t="s">
        <v>1830</v>
      </c>
      <c r="Z6" s="223">
        <v>5</v>
      </c>
      <c r="AA6" s="249" t="e">
        <f>VLOOKUP(T6,'Planning and Target Times'!$A$74:$L$78,MATCH(E6&amp;"-"&amp;Q6&amp;"-"&amp;Y6&amp;"-"&amp;R6,INDEX('Planning and Target Times'!$A$74:$L$78,1,0),0),0)</f>
        <v>#N/A</v>
      </c>
      <c r="AB6" s="249" t="e">
        <f>VLOOKUP(T6,'Planning and Target Times'!$A$97:$L$101,MATCH(E6&amp;"-"&amp;Q6&amp;"-"&amp;Y6&amp;"-"&amp;R6,INDEX('Planning and Target Times'!$A$97:$L$101,1,0),0),0)</f>
        <v>#N/A</v>
      </c>
      <c r="AC6" s="250">
        <f>IF(ISERROR(O6/W6),0,(O6/W6))</f>
        <v>22.202363441588357</v>
      </c>
      <c r="AD6" s="250">
        <f>IF(ISERROR(O6/X6),0,(O6/X6))</f>
        <v>41.217798594847778</v>
      </c>
      <c r="AE6" s="248">
        <f>SUM(AE5,W6)+Z6</f>
        <v>208.1771</v>
      </c>
      <c r="AF6" s="248">
        <f t="shared" si="2"/>
        <v>10741.822899999999</v>
      </c>
      <c r="AG6" s="248">
        <f t="shared" ref="AG6:AG69" ca="1" si="3">(30*$AG$3)-AE6</f>
        <v>3661.8229000000001</v>
      </c>
      <c r="AH6" s="248">
        <f t="shared" ref="AH6:AH69" ca="1" si="4">($AH$3*$AG$3)-AE6</f>
        <v>1855.8229000000001</v>
      </c>
      <c r="AI6" s="248">
        <f>SUM(AI5,X6)+Z6</f>
        <v>116.75</v>
      </c>
      <c r="AJ6" s="248">
        <f ca="1">(30*$AJ$3)-AI6</f>
        <v>3753.25</v>
      </c>
      <c r="AK6" s="248">
        <f t="shared" ref="AK6:AK69" ca="1" si="5">($AJ$3*$AK$3)-AI6</f>
        <v>1947.25</v>
      </c>
    </row>
    <row r="7" spans="2:37" ht="15.95" customHeight="1" x14ac:dyDescent="0.25">
      <c r="B7" s="136">
        <v>17</v>
      </c>
      <c r="C7" s="145" t="s">
        <v>1099</v>
      </c>
      <c r="D7" s="153" t="s">
        <v>38</v>
      </c>
      <c r="E7" s="139" t="s">
        <v>11</v>
      </c>
      <c r="F7" s="140" t="s">
        <v>17</v>
      </c>
      <c r="G7" s="140" t="s">
        <v>1086</v>
      </c>
      <c r="H7" s="140" t="s">
        <v>1077</v>
      </c>
      <c r="I7" s="140" t="s">
        <v>1078</v>
      </c>
      <c r="J7" s="141" t="s">
        <v>1079</v>
      </c>
      <c r="K7" s="142">
        <v>41940</v>
      </c>
      <c r="L7" s="142">
        <v>41989</v>
      </c>
      <c r="M7" s="134">
        <v>42003</v>
      </c>
      <c r="N7" s="140">
        <v>49</v>
      </c>
      <c r="O7" s="143"/>
      <c r="P7" s="135" t="s">
        <v>1080</v>
      </c>
      <c r="Q7" s="223" t="s">
        <v>18</v>
      </c>
      <c r="R7" s="223" t="s">
        <v>34</v>
      </c>
      <c r="S7" s="223" t="s">
        <v>17</v>
      </c>
      <c r="T7" s="224" t="str">
        <f t="shared" si="0"/>
        <v>MA</v>
      </c>
      <c r="U7" s="223" t="str">
        <f t="shared" si="1"/>
        <v>MA-ST-Inj</v>
      </c>
      <c r="V7" s="223" t="str">
        <f t="array" ref="V7">CONCATENATE(Q7,"-",R7)</f>
        <v>ST-Inj</v>
      </c>
      <c r="W7" s="239">
        <f>IF(ISERROR(VLOOKUP(T7,'15-16_DP_Tables'!$M$2:$V$8,MATCH(V7,INDEX('15-16_DP_Tables'!$M$2:$V$8,1,0),0),0)),0,VLOOKUP(T7,'15-16_DP_Tables'!$M$2:$V$8,MATCH(V7,INDEX('15-16_DP_Tables'!$M$2:$V$8,1,0),0),0))</f>
        <v>35.545833099999626</v>
      </c>
      <c r="X7" s="239">
        <f t="array" ref="X7">IF(ISERROR(VLOOKUP(T7,'15-16_DP_Tables'!$M$12:$V$18,MATCH(V7,INDEX('15-16_DP_Tables'!$M$12:$V$18,1,0),0),0)),0,VLOOKUP(T7,'15-16_DP_Tables'!$M$12:$V$18,MATCH(V7,INDEX('15-16_DP_Tables'!$M$12:$V$18,1,0),0),0))</f>
        <v>26.054166533332847</v>
      </c>
      <c r="Y7" s="223" t="str">
        <f t="shared" ref="Y7:Y36" si="6">IF(OR(ISNUMBER(SEARCH("HST",C7)),ISNUMBER(SEARCH("Horizontal",C7)),ISNUMBER(SEARCH("H",C7))),"Horizontal",IF(OR(ISNUMBER(SEARCH("SLANT",C7))),"Slant","Unknown"))</f>
        <v>Unknown</v>
      </c>
      <c r="Z7" s="223">
        <v>5</v>
      </c>
      <c r="AA7" s="249" t="e">
        <f>VLOOKUP(T7,'Planning and Target Times'!$A$74:$L$78,MATCH(E7&amp;"-"&amp;Q7&amp;"-"&amp;Y7&amp;"-"&amp;R7,INDEX('Planning and Target Times'!$A$74:$L$78,1,0),0),0)</f>
        <v>#N/A</v>
      </c>
      <c r="AB7" s="249" t="e">
        <f>VLOOKUP(T7,'Planning and Target Times'!$A$97:$L$101,MATCH(E7&amp;"-"&amp;Q7&amp;"-"&amp;Y7&amp;"-"&amp;R7,INDEX('Planning and Target Times'!$A$97:$L$101,1,0),0),0)</f>
        <v>#N/A</v>
      </c>
      <c r="AC7" s="250">
        <f>IF(ISERROR(O7/W7),0,(O7/W7))</f>
        <v>0</v>
      </c>
      <c r="AD7" s="250">
        <f t="shared" ref="AD7:AD70" si="7">IF(ISERROR(O7/X7),0,(O7/X7))</f>
        <v>0</v>
      </c>
      <c r="AE7" s="248">
        <f t="shared" ref="AE7:AE70" si="8">SUM(AE6,W7)+Z7</f>
        <v>248.72293309999964</v>
      </c>
      <c r="AF7" s="248">
        <f t="shared" si="2"/>
        <v>10701.2770669</v>
      </c>
      <c r="AG7" s="248">
        <f t="shared" ca="1" si="3"/>
        <v>3621.2770669000001</v>
      </c>
      <c r="AH7" s="248">
        <f t="shared" ca="1" si="4"/>
        <v>1815.2770669000004</v>
      </c>
      <c r="AI7" s="248">
        <f t="shared" ref="AI7:AI70" si="9">SUM(AI6,X7)+Z7</f>
        <v>147.80416653333285</v>
      </c>
      <c r="AJ7" s="248">
        <f t="shared" ref="AJ7:AJ69" ca="1" si="10">(30*$AJ$3)-AI7</f>
        <v>3722.195833466667</v>
      </c>
      <c r="AK7" s="248">
        <f t="shared" ca="1" si="5"/>
        <v>1916.1958334666672</v>
      </c>
    </row>
    <row r="8" spans="2:37" ht="15.95" customHeight="1" x14ac:dyDescent="0.25">
      <c r="B8" s="136">
        <v>101</v>
      </c>
      <c r="C8" s="145" t="s">
        <v>1187</v>
      </c>
      <c r="D8" s="157" t="s">
        <v>735</v>
      </c>
      <c r="E8" s="139" t="s">
        <v>11</v>
      </c>
      <c r="F8" s="140" t="s">
        <v>29</v>
      </c>
      <c r="G8" s="132" t="s">
        <v>1076</v>
      </c>
      <c r="H8" s="132" t="s">
        <v>1082</v>
      </c>
      <c r="I8" s="132" t="s">
        <v>1078</v>
      </c>
      <c r="J8" s="133" t="s">
        <v>1079</v>
      </c>
      <c r="K8" s="142">
        <v>41949</v>
      </c>
      <c r="L8" s="134">
        <v>42019</v>
      </c>
      <c r="M8" s="134">
        <v>42033</v>
      </c>
      <c r="N8" s="132">
        <v>70</v>
      </c>
      <c r="O8" s="135">
        <v>1200</v>
      </c>
      <c r="P8" s="135" t="s">
        <v>1080</v>
      </c>
      <c r="Q8" s="223" t="s">
        <v>14</v>
      </c>
      <c r="R8" s="223" t="s">
        <v>298</v>
      </c>
      <c r="S8" s="223" t="s">
        <v>29</v>
      </c>
      <c r="T8" s="224" t="str">
        <f t="shared" si="0"/>
        <v>UB</v>
      </c>
      <c r="U8" s="223" t="str">
        <f t="shared" si="1"/>
        <v>UB-NW-Prod</v>
      </c>
      <c r="V8" s="223" t="str">
        <f t="array" ref="V8">CONCATENATE(Q8,"-",R8)</f>
        <v>NW-Prod</v>
      </c>
      <c r="W8" s="239">
        <f>IF(ISERROR(VLOOKUP(T8,'15-16_DP_Tables'!$M$2:$V$8,MATCH(V8,INDEX('15-16_DP_Tables'!$M$2:$V$8,1,0),0),0)),0,VLOOKUP(T8,'15-16_DP_Tables'!$M$2:$V$8,MATCH(V8,INDEX('15-16_DP_Tables'!$M$2:$V$8,1,0),0),0))</f>
        <v>53.604164999999995</v>
      </c>
      <c r="X8" s="239">
        <f t="array" ref="X8">IF(ISERROR(VLOOKUP(T8,'15-16_DP_Tables'!$M$12:$V$18,MATCH(V8,INDEX('15-16_DP_Tables'!$M$12:$V$18,1,0),0),0)),0,VLOOKUP(T8,'15-16_DP_Tables'!$M$12:$V$18,MATCH(V8,INDEX('15-16_DP_Tables'!$M$12:$V$18,1,0),0),0))</f>
        <v>48</v>
      </c>
      <c r="Y8" s="223" t="str">
        <f t="shared" si="6"/>
        <v>Unknown</v>
      </c>
      <c r="Z8" s="223">
        <v>5</v>
      </c>
      <c r="AA8" s="249" t="e">
        <f>VLOOKUP(T8,'Planning and Target Times'!$A$74:$L$78,MATCH(E8&amp;"-"&amp;Q8&amp;"-"&amp;Y8&amp;"-"&amp;R8,INDEX('Planning and Target Times'!$A$74:$L$78,1,0),0),0)</f>
        <v>#N/A</v>
      </c>
      <c r="AB8" s="249" t="e">
        <f>VLOOKUP(T8,'Planning and Target Times'!$A$97:$L$101,MATCH(E8&amp;"-"&amp;Q8&amp;"-"&amp;Y8&amp;"-"&amp;R8,INDEX('Planning and Target Times'!$A$97:$L$101,1,0),0),0)</f>
        <v>#N/A</v>
      </c>
      <c r="AC8" s="250">
        <f t="shared" ref="AC8:AC70" si="11">IF(ISERROR(O8/W8),0,(O8/W8))</f>
        <v>22.386320167472064</v>
      </c>
      <c r="AD8" s="250">
        <f t="shared" si="7"/>
        <v>25</v>
      </c>
      <c r="AE8" s="248">
        <f t="shared" si="8"/>
        <v>307.3270980999996</v>
      </c>
      <c r="AF8" s="248">
        <f t="shared" si="2"/>
        <v>10642.672901900001</v>
      </c>
      <c r="AG8" s="248">
        <f t="shared" ca="1" si="3"/>
        <v>3562.6729019000004</v>
      </c>
      <c r="AH8" s="248">
        <f t="shared" ca="1" si="4"/>
        <v>1756.6729019000004</v>
      </c>
      <c r="AI8" s="248">
        <f t="shared" si="9"/>
        <v>200.80416653333285</v>
      </c>
      <c r="AJ8" s="248">
        <f t="shared" ca="1" si="10"/>
        <v>3669.195833466667</v>
      </c>
      <c r="AK8" s="248">
        <f t="shared" ca="1" si="5"/>
        <v>1863.1958334666672</v>
      </c>
    </row>
    <row r="9" spans="2:37" ht="15.95" customHeight="1" x14ac:dyDescent="0.25">
      <c r="B9" s="136">
        <v>34</v>
      </c>
      <c r="C9" s="166" t="s">
        <v>1118</v>
      </c>
      <c r="D9" s="165" t="s">
        <v>1116</v>
      </c>
      <c r="E9" s="155" t="s">
        <v>11</v>
      </c>
      <c r="F9" s="140" t="s">
        <v>44</v>
      </c>
      <c r="G9" s="132" t="s">
        <v>1076</v>
      </c>
      <c r="H9" s="132" t="s">
        <v>1077</v>
      </c>
      <c r="I9" s="132" t="s">
        <v>1078</v>
      </c>
      <c r="J9" s="133" t="s">
        <v>1079</v>
      </c>
      <c r="K9" s="142">
        <v>41952</v>
      </c>
      <c r="L9" s="142">
        <v>42008</v>
      </c>
      <c r="M9" s="134">
        <v>42022</v>
      </c>
      <c r="N9" s="140">
        <v>56</v>
      </c>
      <c r="O9" s="143">
        <v>1200</v>
      </c>
      <c r="P9" s="135" t="s">
        <v>1080</v>
      </c>
      <c r="Q9" s="223" t="s">
        <v>18</v>
      </c>
      <c r="R9" s="223" t="s">
        <v>298</v>
      </c>
      <c r="S9" s="223" t="s">
        <v>44</v>
      </c>
      <c r="T9" s="224" t="str">
        <f t="shared" si="0"/>
        <v>ZU/RT</v>
      </c>
      <c r="U9" s="223" t="str">
        <f t="shared" si="1"/>
        <v>ZU-ST-Prod</v>
      </c>
      <c r="V9" s="223" t="str">
        <f t="array" ref="V9">CONCATENATE(Q9,"-",R9)</f>
        <v>ST-Prod</v>
      </c>
      <c r="W9" s="239">
        <f>IF(ISERROR(VLOOKUP(T9,'15-16_DP_Tables'!$M$2:$V$8,MATCH(V9,INDEX('15-16_DP_Tables'!$M$2:$V$8,1,0),0),0)),0,VLOOKUP(T9,'15-16_DP_Tables'!$M$2:$V$8,MATCH(V9,INDEX('15-16_DP_Tables'!$M$2:$V$8,1,0),0),0))</f>
        <v>52</v>
      </c>
      <c r="X9" s="239">
        <f t="array" ref="X9">IF(ISERROR(VLOOKUP(T9,'15-16_DP_Tables'!$M$12:$V$18,MATCH(V9,INDEX('15-16_DP_Tables'!$M$12:$V$18,1,0),0),0)),0,VLOOKUP(T9,'15-16_DP_Tables'!$M$12:$V$18,MATCH(V9,INDEX('15-16_DP_Tables'!$M$12:$V$18,1,0),0),0))</f>
        <v>52</v>
      </c>
      <c r="Y9" s="223" t="str">
        <f t="shared" si="6"/>
        <v>Unknown</v>
      </c>
      <c r="Z9" s="223">
        <v>5</v>
      </c>
      <c r="AA9" s="249" t="e">
        <f>VLOOKUP(T9,'Planning and Target Times'!$A$74:$L$78,MATCH(E9&amp;"-"&amp;Q9&amp;"-"&amp;Y9&amp;"-"&amp;R9,INDEX('Planning and Target Times'!$A$74:$L$78,1,0),0),0)</f>
        <v>#N/A</v>
      </c>
      <c r="AB9" s="249" t="e">
        <f>VLOOKUP(T9,'Planning and Target Times'!$A$97:$L$101,MATCH(E9&amp;"-"&amp;Q9&amp;"-"&amp;Y9&amp;"-"&amp;R9,INDEX('Planning and Target Times'!$A$97:$L$101,1,0),0),0)</f>
        <v>#N/A</v>
      </c>
      <c r="AC9" s="250">
        <f t="shared" si="11"/>
        <v>23.076923076923077</v>
      </c>
      <c r="AD9" s="250">
        <f t="shared" si="7"/>
        <v>23.076923076923077</v>
      </c>
      <c r="AE9" s="248">
        <f t="shared" si="8"/>
        <v>364.3270980999996</v>
      </c>
      <c r="AF9" s="248">
        <f t="shared" si="2"/>
        <v>10585.672901900001</v>
      </c>
      <c r="AG9" s="248">
        <f t="shared" ca="1" si="3"/>
        <v>3505.6729019000004</v>
      </c>
      <c r="AH9" s="248">
        <f t="shared" ca="1" si="4"/>
        <v>1699.6729019000004</v>
      </c>
      <c r="AI9" s="248">
        <f t="shared" si="9"/>
        <v>257.80416653333282</v>
      </c>
      <c r="AJ9" s="248">
        <f t="shared" ca="1" si="10"/>
        <v>3612.195833466667</v>
      </c>
      <c r="AK9" s="248">
        <f t="shared" ca="1" si="5"/>
        <v>1806.1958334666672</v>
      </c>
    </row>
    <row r="10" spans="2:37" ht="15.95" customHeight="1" x14ac:dyDescent="0.25">
      <c r="B10" s="136">
        <v>76</v>
      </c>
      <c r="C10" s="137" t="s">
        <v>1162</v>
      </c>
      <c r="D10" s="184" t="s">
        <v>511</v>
      </c>
      <c r="E10" s="139" t="s">
        <v>11</v>
      </c>
      <c r="F10" s="140" t="s">
        <v>22</v>
      </c>
      <c r="G10" s="140" t="s">
        <v>1076</v>
      </c>
      <c r="H10" s="140" t="s">
        <v>1082</v>
      </c>
      <c r="I10" s="140" t="s">
        <v>1061</v>
      </c>
      <c r="J10" s="141" t="s">
        <v>1079</v>
      </c>
      <c r="K10" s="142">
        <v>41956</v>
      </c>
      <c r="L10" s="142">
        <v>42026</v>
      </c>
      <c r="M10" s="134">
        <v>42040</v>
      </c>
      <c r="N10" s="132">
        <v>70</v>
      </c>
      <c r="O10" s="135">
        <v>1200</v>
      </c>
      <c r="P10" s="135" t="s">
        <v>1080</v>
      </c>
      <c r="Q10" s="223" t="s">
        <v>14</v>
      </c>
      <c r="R10" s="223" t="s">
        <v>298</v>
      </c>
      <c r="S10" s="223" t="s">
        <v>22</v>
      </c>
      <c r="T10" s="224" t="str">
        <f t="shared" si="0"/>
        <v>LB</v>
      </c>
      <c r="U10" s="223" t="str">
        <f t="shared" si="1"/>
        <v>LB-NW-Prod</v>
      </c>
      <c r="V10" s="223" t="str">
        <f t="array" ref="V10">CONCATENATE(Q10,"-",R10)</f>
        <v>NW-Prod</v>
      </c>
      <c r="W10" s="239">
        <f>IF(ISERROR(VLOOKUP(T10,'15-16_DP_Tables'!$M$2:$V$8,MATCH(V10,INDEX('15-16_DP_Tables'!$M$2:$V$8,1,0),0),0)),0,VLOOKUP(T10,'15-16_DP_Tables'!$M$2:$V$8,MATCH(V10,INDEX('15-16_DP_Tables'!$M$2:$V$8,1,0),0),0))</f>
        <v>55.81537142381022</v>
      </c>
      <c r="X10" s="239">
        <f t="array" ref="X10">IF(ISERROR(VLOOKUP(T10,'15-16_DP_Tables'!$M$12:$V$18,MATCH(V10,INDEX('15-16_DP_Tables'!$M$12:$V$18,1,0),0),0)),0,VLOOKUP(T10,'15-16_DP_Tables'!$M$12:$V$18,MATCH(V10,INDEX('15-16_DP_Tables'!$M$12:$V$18,1,0),0),0))</f>
        <v>45.207999999999998</v>
      </c>
      <c r="Y10" s="223" t="str">
        <f t="shared" si="6"/>
        <v>Slant</v>
      </c>
      <c r="Z10" s="223">
        <v>5</v>
      </c>
      <c r="AA10" s="249" t="e">
        <f>VLOOKUP(T10,'Planning and Target Times'!$A$74:$L$78,MATCH(E10&amp;"-"&amp;Q10&amp;"-"&amp;Y10&amp;"-"&amp;R10,INDEX('Planning and Target Times'!$A$74:$L$78,1,0),0),0)</f>
        <v>#N/A</v>
      </c>
      <c r="AB10" s="249" t="e">
        <f>VLOOKUP(T10,'Planning and Target Times'!$A$97:$L$101,MATCH(E10&amp;"-"&amp;Q10&amp;"-"&amp;Y10&amp;"-"&amp;R10,INDEX('Planning and Target Times'!$A$97:$L$101,1,0),0),0)</f>
        <v>#N/A</v>
      </c>
      <c r="AC10" s="250">
        <f t="shared" si="11"/>
        <v>21.499453813328802</v>
      </c>
      <c r="AD10" s="250">
        <f t="shared" si="7"/>
        <v>26.543974517784463</v>
      </c>
      <c r="AE10" s="248">
        <f t="shared" si="8"/>
        <v>425.14246952380984</v>
      </c>
      <c r="AF10" s="248">
        <f t="shared" si="2"/>
        <v>10524.857530476191</v>
      </c>
      <c r="AG10" s="248">
        <f t="shared" ca="1" si="3"/>
        <v>3444.8575304761903</v>
      </c>
      <c r="AH10" s="248">
        <f t="shared" ca="1" si="4"/>
        <v>1638.8575304761903</v>
      </c>
      <c r="AI10" s="248">
        <f t="shared" si="9"/>
        <v>308.01216653333279</v>
      </c>
      <c r="AJ10" s="248">
        <f t="shared" ca="1" si="10"/>
        <v>3561.9878334666673</v>
      </c>
      <c r="AK10" s="248">
        <f t="shared" ca="1" si="5"/>
        <v>1755.9878334666673</v>
      </c>
    </row>
    <row r="11" spans="2:37" ht="15.95" customHeight="1" x14ac:dyDescent="0.25">
      <c r="B11" s="136">
        <v>94</v>
      </c>
      <c r="C11" s="145" t="s">
        <v>769</v>
      </c>
      <c r="D11" s="147" t="s">
        <v>734</v>
      </c>
      <c r="E11" s="139" t="s">
        <v>11</v>
      </c>
      <c r="F11" s="140" t="s">
        <v>17</v>
      </c>
      <c r="G11" s="132" t="s">
        <v>1076</v>
      </c>
      <c r="H11" s="132" t="s">
        <v>1077</v>
      </c>
      <c r="I11" s="132" t="s">
        <v>1078</v>
      </c>
      <c r="J11" s="133" t="s">
        <v>1079</v>
      </c>
      <c r="K11" s="142">
        <v>41960</v>
      </c>
      <c r="L11" s="142">
        <v>42016</v>
      </c>
      <c r="M11" s="134">
        <v>42030</v>
      </c>
      <c r="N11" s="140">
        <v>56</v>
      </c>
      <c r="O11" s="143">
        <v>1200</v>
      </c>
      <c r="P11" s="135" t="s">
        <v>1080</v>
      </c>
      <c r="Q11" s="223" t="s">
        <v>18</v>
      </c>
      <c r="R11" s="223" t="s">
        <v>298</v>
      </c>
      <c r="S11" s="223" t="s">
        <v>17</v>
      </c>
      <c r="T11" s="224" t="str">
        <f t="shared" si="0"/>
        <v>MA</v>
      </c>
      <c r="U11" s="223" t="str">
        <f t="shared" si="1"/>
        <v>MA-ST-Prod</v>
      </c>
      <c r="V11" s="223" t="str">
        <f t="array" ref="V11">CONCATENATE(Q11,"-",R11)</f>
        <v>ST-Prod</v>
      </c>
      <c r="W11" s="239">
        <f>IF(ISERROR(VLOOKUP(T11,'15-16_DP_Tables'!$M$2:$V$8,MATCH(V11,INDEX('15-16_DP_Tables'!$M$2:$V$8,1,0),0),0)),0,VLOOKUP(T11,'15-16_DP_Tables'!$M$2:$V$8,MATCH(V11,INDEX('15-16_DP_Tables'!$M$2:$V$8,1,0),0),0))</f>
        <v>47.881547142856107</v>
      </c>
      <c r="X11" s="239">
        <f t="array" ref="X11">IF(ISERROR(VLOOKUP(T11,'15-16_DP_Tables'!$M$12:$V$18,MATCH(V11,INDEX('15-16_DP_Tables'!$M$12:$V$18,1,0),0),0)),0,VLOOKUP(T11,'15-16_DP_Tables'!$M$12:$V$18,MATCH(V11,INDEX('15-16_DP_Tables'!$M$12:$V$18,1,0),0),0))</f>
        <v>41.770833333332121</v>
      </c>
      <c r="Y11" s="223" t="str">
        <f t="shared" si="6"/>
        <v>Unknown</v>
      </c>
      <c r="Z11" s="223">
        <v>5</v>
      </c>
      <c r="AA11" s="249" t="e">
        <f>VLOOKUP(T11,'Planning and Target Times'!$A$74:$L$78,MATCH(E11&amp;"-"&amp;Q11&amp;"-"&amp;Y11&amp;"-"&amp;R11,INDEX('Planning and Target Times'!$A$74:$L$78,1,0),0),0)</f>
        <v>#N/A</v>
      </c>
      <c r="AB11" s="249" t="e">
        <f>VLOOKUP(T11,'Planning and Target Times'!$A$97:$L$101,MATCH(E11&amp;"-"&amp;Q11&amp;"-"&amp;Y11&amp;"-"&amp;R11,INDEX('Planning and Target Times'!$A$97:$L$101,1,0),0),0)</f>
        <v>#N/A</v>
      </c>
      <c r="AC11" s="250">
        <f t="shared" si="11"/>
        <v>25.061846820023632</v>
      </c>
      <c r="AD11" s="250">
        <f t="shared" si="7"/>
        <v>28.728179551123027</v>
      </c>
      <c r="AE11" s="248">
        <f t="shared" si="8"/>
        <v>478.02401666666594</v>
      </c>
      <c r="AF11" s="248">
        <f t="shared" si="2"/>
        <v>10471.975983333334</v>
      </c>
      <c r="AG11" s="248">
        <f t="shared" ca="1" si="3"/>
        <v>3391.9759833333342</v>
      </c>
      <c r="AH11" s="248">
        <f t="shared" ca="1" si="4"/>
        <v>1585.9759833333342</v>
      </c>
      <c r="AI11" s="248">
        <f t="shared" si="9"/>
        <v>354.78299986666491</v>
      </c>
      <c r="AJ11" s="248">
        <f t="shared" ca="1" si="10"/>
        <v>3515.2170001333352</v>
      </c>
      <c r="AK11" s="248">
        <f t="shared" ca="1" si="5"/>
        <v>1709.2170001333352</v>
      </c>
    </row>
    <row r="12" spans="2:37" ht="15.95" customHeight="1" x14ac:dyDescent="0.25">
      <c r="B12" s="136">
        <v>20</v>
      </c>
      <c r="C12" s="145" t="s">
        <v>1102</v>
      </c>
      <c r="D12" s="156" t="s">
        <v>12</v>
      </c>
      <c r="E12" s="139" t="s">
        <v>42</v>
      </c>
      <c r="F12" s="140" t="s">
        <v>22</v>
      </c>
      <c r="G12" s="132" t="s">
        <v>1076</v>
      </c>
      <c r="H12" s="132" t="s">
        <v>1082</v>
      </c>
      <c r="I12" s="132" t="s">
        <v>1078</v>
      </c>
      <c r="J12" s="133" t="s">
        <v>1079</v>
      </c>
      <c r="K12" s="142">
        <v>41962</v>
      </c>
      <c r="L12" s="142">
        <v>42032</v>
      </c>
      <c r="M12" s="134">
        <v>42046</v>
      </c>
      <c r="N12" s="140">
        <v>70</v>
      </c>
      <c r="O12" s="143">
        <v>1800</v>
      </c>
      <c r="P12" s="135" t="s">
        <v>1080</v>
      </c>
      <c r="Q12" s="223" t="s">
        <v>14</v>
      </c>
      <c r="R12" s="223" t="s">
        <v>298</v>
      </c>
      <c r="S12" s="223" t="s">
        <v>22</v>
      </c>
      <c r="T12" s="224" t="str">
        <f t="shared" si="0"/>
        <v>LB</v>
      </c>
      <c r="U12" s="223" t="str">
        <f t="shared" si="1"/>
        <v>LB-NW-Prod</v>
      </c>
      <c r="V12" s="223" t="str">
        <f t="array" ref="V12">CONCATENATE(Q12,"-",R12)</f>
        <v>NW-Prod</v>
      </c>
      <c r="W12" s="239">
        <f>IF(ISERROR(VLOOKUP(T12,'15-16_DP_Tables'!$M$2:$V$8,MATCH(V12,INDEX('15-16_DP_Tables'!$M$2:$V$8,1,0),0),0)),0,VLOOKUP(T12,'15-16_DP_Tables'!$M$2:$V$8,MATCH(V12,INDEX('15-16_DP_Tables'!$M$2:$V$8,1,0),0),0))</f>
        <v>55.81537142381022</v>
      </c>
      <c r="X12" s="239">
        <f t="array" ref="X12">IF(ISERROR(VLOOKUP(T12,'15-16_DP_Tables'!$M$12:$V$18,MATCH(V12,INDEX('15-16_DP_Tables'!$M$12:$V$18,1,0),0),0)),0,VLOOKUP(T12,'15-16_DP_Tables'!$M$12:$V$18,MATCH(V12,INDEX('15-16_DP_Tables'!$M$12:$V$18,1,0),0),0))</f>
        <v>45.207999999999998</v>
      </c>
      <c r="Y12" s="223" t="str">
        <f t="shared" si="6"/>
        <v>Slant</v>
      </c>
      <c r="Z12" s="223">
        <v>5</v>
      </c>
      <c r="AA12" s="249" t="e">
        <f>VLOOKUP(T12,'Planning and Target Times'!$A$74:$L$78,MATCH(E12&amp;"-"&amp;Q12&amp;"-"&amp;Y12&amp;"-"&amp;R12,INDEX('Planning and Target Times'!$A$74:$L$78,1,0),0),0)</f>
        <v>#N/A</v>
      </c>
      <c r="AB12" s="249" t="e">
        <f>VLOOKUP(T12,'Planning and Target Times'!$A$97:$L$101,MATCH(E12&amp;"-"&amp;Q12&amp;"-"&amp;Y12&amp;"-"&amp;R12,INDEX('Planning and Target Times'!$A$97:$L$101,1,0),0),0)</f>
        <v>#N/A</v>
      </c>
      <c r="AC12" s="250">
        <f t="shared" si="11"/>
        <v>32.249180719993198</v>
      </c>
      <c r="AD12" s="250">
        <f t="shared" si="7"/>
        <v>39.815961776676694</v>
      </c>
      <c r="AE12" s="248">
        <f t="shared" si="8"/>
        <v>538.83938809047618</v>
      </c>
      <c r="AF12" s="248">
        <f t="shared" si="2"/>
        <v>10411.160611909523</v>
      </c>
      <c r="AG12" s="248">
        <f t="shared" ca="1" si="3"/>
        <v>3331.1606119095241</v>
      </c>
      <c r="AH12" s="248">
        <f t="shared" ca="1" si="4"/>
        <v>1525.1606119095238</v>
      </c>
      <c r="AI12" s="248">
        <f t="shared" si="9"/>
        <v>404.99099986666488</v>
      </c>
      <c r="AJ12" s="248">
        <f t="shared" ca="1" si="10"/>
        <v>3465.0090001333351</v>
      </c>
      <c r="AK12" s="248">
        <f t="shared" ca="1" si="5"/>
        <v>1659.0090001333351</v>
      </c>
    </row>
    <row r="13" spans="2:37" ht="15.95" customHeight="1" x14ac:dyDescent="0.25">
      <c r="B13" s="136">
        <v>6</v>
      </c>
      <c r="C13" s="137" t="s">
        <v>1087</v>
      </c>
      <c r="D13" s="146" t="s">
        <v>25</v>
      </c>
      <c r="E13" s="139" t="s">
        <v>42</v>
      </c>
      <c r="F13" s="140" t="s">
        <v>17</v>
      </c>
      <c r="G13" s="140" t="s">
        <v>1076</v>
      </c>
      <c r="H13" s="140" t="s">
        <v>1077</v>
      </c>
      <c r="I13" s="140" t="s">
        <v>1061</v>
      </c>
      <c r="J13" s="141" t="s">
        <v>1079</v>
      </c>
      <c r="K13" s="142">
        <v>41965</v>
      </c>
      <c r="L13" s="142">
        <v>42021</v>
      </c>
      <c r="M13" s="134">
        <v>42035</v>
      </c>
      <c r="N13" s="140">
        <v>56</v>
      </c>
      <c r="O13" s="143">
        <v>1200</v>
      </c>
      <c r="P13" s="135" t="s">
        <v>1080</v>
      </c>
      <c r="Q13" s="223" t="s">
        <v>18</v>
      </c>
      <c r="R13" s="223" t="s">
        <v>298</v>
      </c>
      <c r="S13" s="223" t="s">
        <v>17</v>
      </c>
      <c r="T13" s="224" t="str">
        <f t="shared" si="0"/>
        <v>MA</v>
      </c>
      <c r="U13" s="223" t="str">
        <f t="shared" si="1"/>
        <v>MA-ST-Prod</v>
      </c>
      <c r="V13" s="223" t="str">
        <f t="array" ref="V13">CONCATENATE(Q13,"-",R13)</f>
        <v>ST-Prod</v>
      </c>
      <c r="W13" s="239">
        <f>IF(ISERROR(VLOOKUP(T13,'15-16_DP_Tables'!$M$2:$V$8,MATCH(V13,INDEX('15-16_DP_Tables'!$M$2:$V$8,1,0),0),0)),0,VLOOKUP(T13,'15-16_DP_Tables'!$M$2:$V$8,MATCH(V13,INDEX('15-16_DP_Tables'!$M$2:$V$8,1,0),0),0))</f>
        <v>47.881547142856107</v>
      </c>
      <c r="X13" s="239">
        <f t="array" ref="X13">IF(ISERROR(VLOOKUP(T13,'15-16_DP_Tables'!$M$12:$V$18,MATCH(V13,INDEX('15-16_DP_Tables'!$M$12:$V$18,1,0),0),0)),0,VLOOKUP(T13,'15-16_DP_Tables'!$M$12:$V$18,MATCH(V13,INDEX('15-16_DP_Tables'!$M$12:$V$18,1,0),0),0))</f>
        <v>41.770833333332121</v>
      </c>
      <c r="Y13" s="223" t="str">
        <f t="shared" si="6"/>
        <v>Unknown</v>
      </c>
      <c r="Z13" s="223">
        <v>5</v>
      </c>
      <c r="AA13" s="249" t="e">
        <f>VLOOKUP(T13,'Planning and Target Times'!$A$74:$L$78,MATCH(E13&amp;"-"&amp;Q13&amp;"-"&amp;Y13&amp;"-"&amp;R13,INDEX('Planning and Target Times'!$A$74:$L$78,1,0),0),0)</f>
        <v>#N/A</v>
      </c>
      <c r="AB13" s="249" t="e">
        <f>VLOOKUP(T13,'Planning and Target Times'!$A$97:$L$101,MATCH(E13&amp;"-"&amp;Q13&amp;"-"&amp;Y13&amp;"-"&amp;R13,INDEX('Planning and Target Times'!$A$97:$L$101,1,0),0),0)</f>
        <v>#N/A</v>
      </c>
      <c r="AC13" s="250">
        <f t="shared" si="11"/>
        <v>25.061846820023632</v>
      </c>
      <c r="AD13" s="250">
        <f t="shared" si="7"/>
        <v>28.728179551123027</v>
      </c>
      <c r="AE13" s="248">
        <f t="shared" si="8"/>
        <v>591.72093523333228</v>
      </c>
      <c r="AF13" s="248">
        <f t="shared" si="2"/>
        <v>10358.279064766668</v>
      </c>
      <c r="AG13" s="248">
        <f t="shared" ca="1" si="3"/>
        <v>3278.2790647666679</v>
      </c>
      <c r="AH13" s="248">
        <f t="shared" ca="1" si="4"/>
        <v>1472.2790647666677</v>
      </c>
      <c r="AI13" s="248">
        <f t="shared" si="9"/>
        <v>451.761833199997</v>
      </c>
      <c r="AJ13" s="248">
        <f t="shared" ca="1" si="10"/>
        <v>3418.238166800003</v>
      </c>
      <c r="AK13" s="248">
        <f t="shared" ca="1" si="5"/>
        <v>1612.238166800003</v>
      </c>
    </row>
    <row r="14" spans="2:37" ht="15.95" customHeight="1" x14ac:dyDescent="0.25">
      <c r="B14" s="136">
        <v>54</v>
      </c>
      <c r="C14" s="173" t="s">
        <v>1140</v>
      </c>
      <c r="D14" s="178" t="s">
        <v>1137</v>
      </c>
      <c r="E14" s="170" t="s">
        <v>11</v>
      </c>
      <c r="F14" s="140" t="s">
        <v>17</v>
      </c>
      <c r="G14" s="140" t="s">
        <v>1076</v>
      </c>
      <c r="H14" s="140" t="s">
        <v>1077</v>
      </c>
      <c r="I14" s="140" t="s">
        <v>1061</v>
      </c>
      <c r="J14" s="141" t="s">
        <v>1079</v>
      </c>
      <c r="K14" s="142">
        <v>41969</v>
      </c>
      <c r="L14" s="142">
        <v>42025</v>
      </c>
      <c r="M14" s="134">
        <v>42039</v>
      </c>
      <c r="N14" s="132">
        <v>56</v>
      </c>
      <c r="O14" s="135">
        <v>1200</v>
      </c>
      <c r="P14" s="135" t="s">
        <v>1080</v>
      </c>
      <c r="Q14" s="223" t="s">
        <v>18</v>
      </c>
      <c r="R14" s="223" t="s">
        <v>298</v>
      </c>
      <c r="S14" s="223" t="s">
        <v>17</v>
      </c>
      <c r="T14" s="224" t="str">
        <f t="shared" si="0"/>
        <v>MA</v>
      </c>
      <c r="U14" s="223" t="str">
        <f t="shared" si="1"/>
        <v>MA-ST-Prod</v>
      </c>
      <c r="V14" s="223" t="str">
        <f t="array" ref="V14">CONCATENATE(Q14,"-",R14)</f>
        <v>ST-Prod</v>
      </c>
      <c r="W14" s="239">
        <f>IF(ISERROR(VLOOKUP(T14,'15-16_DP_Tables'!$M$2:$V$8,MATCH(V14,INDEX('15-16_DP_Tables'!$M$2:$V$8,1,0),0),0)),0,VLOOKUP(T14,'15-16_DP_Tables'!$M$2:$V$8,MATCH(V14,INDEX('15-16_DP_Tables'!$M$2:$V$8,1,0),0),0))</f>
        <v>47.881547142856107</v>
      </c>
      <c r="X14" s="239">
        <f t="array" ref="X14">IF(ISERROR(VLOOKUP(T14,'15-16_DP_Tables'!$M$12:$V$18,MATCH(V14,INDEX('15-16_DP_Tables'!$M$12:$V$18,1,0),0),0)),0,VLOOKUP(T14,'15-16_DP_Tables'!$M$12:$V$18,MATCH(V14,INDEX('15-16_DP_Tables'!$M$12:$V$18,1,0),0),0))</f>
        <v>41.770833333332121</v>
      </c>
      <c r="Y14" s="223" t="str">
        <f t="shared" si="6"/>
        <v>Horizontal</v>
      </c>
      <c r="Z14" s="223">
        <v>5</v>
      </c>
      <c r="AA14" s="249" t="e">
        <f>VLOOKUP(T14,'Planning and Target Times'!$A$74:$L$78,MATCH(E14&amp;"-"&amp;Q14&amp;"-"&amp;Y14&amp;"-"&amp;R14,INDEX('Planning and Target Times'!$A$74:$L$78,1,0),0),0)</f>
        <v>#N/A</v>
      </c>
      <c r="AB14" s="249" t="e">
        <f>VLOOKUP(T14,'Planning and Target Times'!$A$97:$L$101,MATCH(E14&amp;"-"&amp;Q14&amp;"-"&amp;Y14&amp;"-"&amp;R14,INDEX('Planning and Target Times'!$A$97:$L$101,1,0),0),0)</f>
        <v>#N/A</v>
      </c>
      <c r="AC14" s="250">
        <f t="shared" si="11"/>
        <v>25.061846820023632</v>
      </c>
      <c r="AD14" s="250">
        <f t="shared" si="7"/>
        <v>28.728179551123027</v>
      </c>
      <c r="AE14" s="248">
        <f t="shared" si="8"/>
        <v>644.60248237618839</v>
      </c>
      <c r="AF14" s="248">
        <f t="shared" si="2"/>
        <v>10305.397517623811</v>
      </c>
      <c r="AG14" s="248">
        <f t="shared" ca="1" si="3"/>
        <v>3225.3975176238118</v>
      </c>
      <c r="AH14" s="248">
        <f t="shared" ca="1" si="4"/>
        <v>1419.3975176238116</v>
      </c>
      <c r="AI14" s="248">
        <f t="shared" si="9"/>
        <v>498.53266653332912</v>
      </c>
      <c r="AJ14" s="248">
        <f t="shared" ca="1" si="10"/>
        <v>3371.4673334666709</v>
      </c>
      <c r="AK14" s="248">
        <f t="shared" ca="1" si="5"/>
        <v>1565.4673334666709</v>
      </c>
    </row>
    <row r="15" spans="2:37" ht="15.95" customHeight="1" x14ac:dyDescent="0.25">
      <c r="B15" s="136">
        <v>9</v>
      </c>
      <c r="C15" s="137" t="s">
        <v>1090</v>
      </c>
      <c r="D15" s="147" t="s">
        <v>430</v>
      </c>
      <c r="E15" s="139" t="s">
        <v>42</v>
      </c>
      <c r="F15" s="140" t="s">
        <v>22</v>
      </c>
      <c r="G15" s="140" t="s">
        <v>1076</v>
      </c>
      <c r="H15" s="140" t="s">
        <v>1082</v>
      </c>
      <c r="I15" s="140" t="s">
        <v>1061</v>
      </c>
      <c r="J15" s="141" t="s">
        <v>1079</v>
      </c>
      <c r="K15" s="142">
        <v>41973</v>
      </c>
      <c r="L15" s="142">
        <v>42043</v>
      </c>
      <c r="M15" s="134">
        <v>42057</v>
      </c>
      <c r="N15" s="140">
        <v>70</v>
      </c>
      <c r="O15" s="143">
        <v>1800</v>
      </c>
      <c r="P15" s="135" t="s">
        <v>1080</v>
      </c>
      <c r="Q15" s="223" t="s">
        <v>14</v>
      </c>
      <c r="R15" s="223" t="s">
        <v>298</v>
      </c>
      <c r="S15" s="223" t="s">
        <v>22</v>
      </c>
      <c r="T15" s="224" t="str">
        <f t="shared" si="0"/>
        <v>LB</v>
      </c>
      <c r="U15" s="223" t="str">
        <f t="shared" si="1"/>
        <v>LB-NW-Prod</v>
      </c>
      <c r="V15" s="223" t="str">
        <f t="array" ref="V15">CONCATENATE(Q15,"-",R15)</f>
        <v>NW-Prod</v>
      </c>
      <c r="W15" s="239">
        <f>IF(ISERROR(VLOOKUP(T15,'15-16_DP_Tables'!$M$2:$V$8,MATCH(V15,INDEX('15-16_DP_Tables'!$M$2:$V$8,1,0),0),0)),0,VLOOKUP(T15,'15-16_DP_Tables'!$M$2:$V$8,MATCH(V15,INDEX('15-16_DP_Tables'!$M$2:$V$8,1,0),0),0))</f>
        <v>55.81537142381022</v>
      </c>
      <c r="X15" s="239">
        <f t="array" ref="X15">IF(ISERROR(VLOOKUP(T15,'15-16_DP_Tables'!$M$12:$V$18,MATCH(V15,INDEX('15-16_DP_Tables'!$M$12:$V$18,1,0),0),0)),0,VLOOKUP(T15,'15-16_DP_Tables'!$M$12:$V$18,MATCH(V15,INDEX('15-16_DP_Tables'!$M$12:$V$18,1,0),0),0))</f>
        <v>45.207999999999998</v>
      </c>
      <c r="Y15" s="223" t="str">
        <f t="shared" si="6"/>
        <v>Unknown</v>
      </c>
      <c r="Z15" s="223">
        <v>5</v>
      </c>
      <c r="AA15" s="249" t="e">
        <f>VLOOKUP(T15,'Planning and Target Times'!$A$74:$L$78,MATCH(E15&amp;"-"&amp;Q15&amp;"-"&amp;Y15&amp;"-"&amp;R15,INDEX('Planning and Target Times'!$A$74:$L$78,1,0),0),0)</f>
        <v>#N/A</v>
      </c>
      <c r="AB15" s="249" t="e">
        <f>VLOOKUP(T15,'Planning and Target Times'!$A$97:$L$101,MATCH(E15&amp;"-"&amp;Q15&amp;"-"&amp;Y15&amp;"-"&amp;R15,INDEX('Planning and Target Times'!$A$97:$L$101,1,0),0),0)</f>
        <v>#N/A</v>
      </c>
      <c r="AC15" s="250">
        <f t="shared" si="11"/>
        <v>32.249180719993198</v>
      </c>
      <c r="AD15" s="250">
        <f t="shared" si="7"/>
        <v>39.815961776676694</v>
      </c>
      <c r="AE15" s="248">
        <f t="shared" si="8"/>
        <v>705.41785379999862</v>
      </c>
      <c r="AF15" s="248">
        <f t="shared" si="2"/>
        <v>10244.582146200002</v>
      </c>
      <c r="AG15" s="248">
        <f t="shared" ca="1" si="3"/>
        <v>3164.5821462000013</v>
      </c>
      <c r="AH15" s="248">
        <f t="shared" ca="1" si="4"/>
        <v>1358.5821462000013</v>
      </c>
      <c r="AI15" s="248">
        <f t="shared" si="9"/>
        <v>548.74066653332909</v>
      </c>
      <c r="AJ15" s="248">
        <f t="shared" ca="1" si="10"/>
        <v>3321.2593334666708</v>
      </c>
      <c r="AK15" s="248">
        <f t="shared" ca="1" si="5"/>
        <v>1515.2593334666708</v>
      </c>
    </row>
    <row r="16" spans="2:37" ht="15.95" customHeight="1" x14ac:dyDescent="0.25">
      <c r="B16" s="136">
        <v>26</v>
      </c>
      <c r="C16" s="160" t="s">
        <v>1109</v>
      </c>
      <c r="D16" s="157" t="s">
        <v>1107</v>
      </c>
      <c r="E16" s="161" t="s">
        <v>11</v>
      </c>
      <c r="F16" s="140" t="s">
        <v>17</v>
      </c>
      <c r="G16" s="140" t="s">
        <v>1076</v>
      </c>
      <c r="H16" s="140" t="s">
        <v>1077</v>
      </c>
      <c r="I16" s="140" t="s">
        <v>1061</v>
      </c>
      <c r="J16" s="141" t="s">
        <v>1079</v>
      </c>
      <c r="K16" s="142">
        <v>41974</v>
      </c>
      <c r="L16" s="142">
        <v>42030</v>
      </c>
      <c r="M16" s="134">
        <v>42044</v>
      </c>
      <c r="N16" s="140">
        <v>56</v>
      </c>
      <c r="O16" s="143">
        <v>1200</v>
      </c>
      <c r="P16" s="135" t="s">
        <v>1080</v>
      </c>
      <c r="Q16" s="223" t="s">
        <v>18</v>
      </c>
      <c r="R16" s="223" t="s">
        <v>298</v>
      </c>
      <c r="S16" s="223" t="s">
        <v>17</v>
      </c>
      <c r="T16" s="224" t="str">
        <f t="shared" si="0"/>
        <v>MA</v>
      </c>
      <c r="U16" s="223" t="str">
        <f t="shared" si="1"/>
        <v>MA-ST-Prod</v>
      </c>
      <c r="V16" s="223" t="str">
        <f t="array" ref="V16">CONCATENATE(Q16,"-",R16)</f>
        <v>ST-Prod</v>
      </c>
      <c r="W16" s="239">
        <f>IF(ISERROR(VLOOKUP(T16,'15-16_DP_Tables'!$M$2:$V$8,MATCH(V16,INDEX('15-16_DP_Tables'!$M$2:$V$8,1,0),0),0)),0,VLOOKUP(T16,'15-16_DP_Tables'!$M$2:$V$8,MATCH(V16,INDEX('15-16_DP_Tables'!$M$2:$V$8,1,0),0),0))</f>
        <v>47.881547142856107</v>
      </c>
      <c r="X16" s="239">
        <f t="array" ref="X16">IF(ISERROR(VLOOKUP(T16,'15-16_DP_Tables'!$M$12:$V$18,MATCH(V16,INDEX('15-16_DP_Tables'!$M$12:$V$18,1,0),0),0)),0,VLOOKUP(T16,'15-16_DP_Tables'!$M$12:$V$18,MATCH(V16,INDEX('15-16_DP_Tables'!$M$12:$V$18,1,0),0),0))</f>
        <v>41.770833333332121</v>
      </c>
      <c r="Y16" s="223" t="str">
        <f t="shared" si="6"/>
        <v>Unknown</v>
      </c>
      <c r="Z16" s="223">
        <v>5</v>
      </c>
      <c r="AA16" s="249" t="e">
        <f>VLOOKUP(T16,'Planning and Target Times'!$A$74:$L$78,MATCH(E16&amp;"-"&amp;Q16&amp;"-"&amp;Y16&amp;"-"&amp;R16,INDEX('Planning and Target Times'!$A$74:$L$78,1,0),0),0)</f>
        <v>#N/A</v>
      </c>
      <c r="AB16" s="249" t="e">
        <f>VLOOKUP(T16,'Planning and Target Times'!$A$97:$L$101,MATCH(E16&amp;"-"&amp;Q16&amp;"-"&amp;Y16&amp;"-"&amp;R16,INDEX('Planning and Target Times'!$A$97:$L$101,1,0),0),0)</f>
        <v>#N/A</v>
      </c>
      <c r="AC16" s="250">
        <f t="shared" si="11"/>
        <v>25.061846820023632</v>
      </c>
      <c r="AD16" s="250">
        <f t="shared" si="7"/>
        <v>28.728179551123027</v>
      </c>
      <c r="AE16" s="248">
        <f t="shared" si="8"/>
        <v>758.29940094285473</v>
      </c>
      <c r="AF16" s="248">
        <f t="shared" si="2"/>
        <v>10191.700599057145</v>
      </c>
      <c r="AG16" s="248">
        <f t="shared" ca="1" si="3"/>
        <v>3111.7005990571452</v>
      </c>
      <c r="AH16" s="248">
        <f t="shared" ca="1" si="4"/>
        <v>1305.7005990571452</v>
      </c>
      <c r="AI16" s="248">
        <f t="shared" si="9"/>
        <v>595.51149986666121</v>
      </c>
      <c r="AJ16" s="248">
        <f t="shared" ca="1" si="10"/>
        <v>3274.4885001333387</v>
      </c>
      <c r="AK16" s="248">
        <f t="shared" ca="1" si="5"/>
        <v>1468.4885001333387</v>
      </c>
    </row>
    <row r="17" spans="2:37" ht="15.95" customHeight="1" x14ac:dyDescent="0.25">
      <c r="B17" s="136">
        <v>2</v>
      </c>
      <c r="C17" s="137" t="s">
        <v>1081</v>
      </c>
      <c r="D17" s="138" t="s">
        <v>1075</v>
      </c>
      <c r="E17" s="139" t="s">
        <v>757</v>
      </c>
      <c r="F17" s="140" t="s">
        <v>44</v>
      </c>
      <c r="G17" s="140" t="s">
        <v>1076</v>
      </c>
      <c r="H17" s="140" t="s">
        <v>1082</v>
      </c>
      <c r="I17" s="140" t="s">
        <v>1061</v>
      </c>
      <c r="J17" s="141" t="s">
        <v>1079</v>
      </c>
      <c r="K17" s="142">
        <v>41976</v>
      </c>
      <c r="L17" s="142">
        <v>42074</v>
      </c>
      <c r="M17" s="134">
        <v>42088</v>
      </c>
      <c r="N17" s="140">
        <v>98</v>
      </c>
      <c r="O17" s="143"/>
      <c r="P17" s="135" t="s">
        <v>1080</v>
      </c>
      <c r="Q17" s="223" t="s">
        <v>14</v>
      </c>
      <c r="R17" s="223" t="s">
        <v>298</v>
      </c>
      <c r="S17" s="223" t="s">
        <v>44</v>
      </c>
      <c r="T17" s="224" t="str">
        <f t="shared" si="0"/>
        <v>ZU/RT</v>
      </c>
      <c r="U17" s="223" t="str">
        <f t="shared" si="1"/>
        <v>ZU-NW-Prod</v>
      </c>
      <c r="V17" s="223" t="str">
        <f t="array" ref="V17">CONCATENATE(Q17,"-",R17)</f>
        <v>NW-Prod</v>
      </c>
      <c r="W17" s="239">
        <f>IF(ISERROR(VLOOKUP(T17,'15-16_DP_Tables'!$M$2:$V$8,MATCH(V17,INDEX('15-16_DP_Tables'!$M$2:$V$8,1,0),0),0)),0,VLOOKUP(T17,'15-16_DP_Tables'!$M$2:$V$8,MATCH(V17,INDEX('15-16_DP_Tables'!$M$2:$V$8,1,0),0),0))</f>
        <v>99.088549999999998</v>
      </c>
      <c r="X17" s="239">
        <f t="array" ref="X17">IF(ISERROR(VLOOKUP(T17,'15-16_DP_Tables'!$M$12:$V$18,MATCH(V17,INDEX('15-16_DP_Tables'!$M$12:$V$18,1,0),0),0)),0,VLOOKUP(T17,'15-16_DP_Tables'!$M$12:$V$18,MATCH(V17,INDEX('15-16_DP_Tables'!$M$12:$V$18,1,0),0),0))</f>
        <v>53.375</v>
      </c>
      <c r="Y17" s="223" t="str">
        <f t="shared" si="6"/>
        <v>Unknown</v>
      </c>
      <c r="Z17" s="223">
        <v>5</v>
      </c>
      <c r="AA17" s="249" t="e">
        <f>VLOOKUP(T17,'Planning and Target Times'!$A$74:$L$78,MATCH(E17&amp;"-"&amp;Q17&amp;"-"&amp;Y17&amp;"-"&amp;R17,INDEX('Planning and Target Times'!$A$74:$L$78,1,0),0),0)</f>
        <v>#N/A</v>
      </c>
      <c r="AB17" s="249" t="e">
        <f>VLOOKUP(T17,'Planning and Target Times'!$A$97:$L$101,MATCH(E17&amp;"-"&amp;Q17&amp;"-"&amp;Y17&amp;"-"&amp;R17,INDEX('Planning and Target Times'!$A$97:$L$101,1,0),0),0)</f>
        <v>#N/A</v>
      </c>
      <c r="AC17" s="250">
        <f t="shared" si="11"/>
        <v>0</v>
      </c>
      <c r="AD17" s="250">
        <f t="shared" si="7"/>
        <v>0</v>
      </c>
      <c r="AE17" s="248">
        <f t="shared" si="8"/>
        <v>862.38795094285479</v>
      </c>
      <c r="AF17" s="248">
        <f t="shared" si="2"/>
        <v>10087.612049057145</v>
      </c>
      <c r="AG17" s="248">
        <f t="shared" ca="1" si="3"/>
        <v>3007.6120490571452</v>
      </c>
      <c r="AH17" s="248">
        <f t="shared" ca="1" si="4"/>
        <v>1201.6120490571452</v>
      </c>
      <c r="AI17" s="248">
        <f t="shared" si="9"/>
        <v>653.88649986666121</v>
      </c>
      <c r="AJ17" s="248">
        <f t="shared" ca="1" si="10"/>
        <v>3216.1135001333387</v>
      </c>
      <c r="AK17" s="248">
        <f t="shared" ca="1" si="5"/>
        <v>1410.1135001333387</v>
      </c>
    </row>
    <row r="18" spans="2:37" ht="15.95" customHeight="1" x14ac:dyDescent="0.25">
      <c r="B18" s="136">
        <v>62</v>
      </c>
      <c r="C18" s="179" t="s">
        <v>1148</v>
      </c>
      <c r="D18" s="180" t="s">
        <v>513</v>
      </c>
      <c r="E18" s="170" t="s">
        <v>11</v>
      </c>
      <c r="F18" s="140" t="s">
        <v>17</v>
      </c>
      <c r="G18" s="140" t="s">
        <v>1076</v>
      </c>
      <c r="H18" s="140" t="s">
        <v>1077</v>
      </c>
      <c r="I18" s="140" t="s">
        <v>459</v>
      </c>
      <c r="J18" s="141" t="s">
        <v>1079</v>
      </c>
      <c r="K18" s="142">
        <v>41981</v>
      </c>
      <c r="L18" s="142">
        <v>42037</v>
      </c>
      <c r="M18" s="134">
        <v>42051</v>
      </c>
      <c r="N18" s="140">
        <v>56</v>
      </c>
      <c r="O18" s="143">
        <v>1200</v>
      </c>
      <c r="P18" s="143" t="s">
        <v>1080</v>
      </c>
      <c r="Q18" s="223" t="s">
        <v>18</v>
      </c>
      <c r="R18" s="223" t="s">
        <v>298</v>
      </c>
      <c r="S18" s="223" t="s">
        <v>17</v>
      </c>
      <c r="T18" s="224" t="str">
        <f t="shared" si="0"/>
        <v>MA</v>
      </c>
      <c r="U18" s="223" t="str">
        <f t="shared" si="1"/>
        <v>MA-ST-Prod</v>
      </c>
      <c r="V18" s="223" t="str">
        <f t="array" ref="V18">CONCATENATE(Q18,"-",R18)</f>
        <v>ST-Prod</v>
      </c>
      <c r="W18" s="239">
        <f>IF(ISERROR(VLOOKUP(T18,'15-16_DP_Tables'!$M$2:$V$8,MATCH(V18,INDEX('15-16_DP_Tables'!$M$2:$V$8,1,0),0),0)),0,VLOOKUP(T18,'15-16_DP_Tables'!$M$2:$V$8,MATCH(V18,INDEX('15-16_DP_Tables'!$M$2:$V$8,1,0),0),0))</f>
        <v>47.881547142856107</v>
      </c>
      <c r="X18" s="239">
        <f t="array" ref="X18">IF(ISERROR(VLOOKUP(T18,'15-16_DP_Tables'!$M$12:$V$18,MATCH(V18,INDEX('15-16_DP_Tables'!$M$12:$V$18,1,0),0),0)),0,VLOOKUP(T18,'15-16_DP_Tables'!$M$12:$V$18,MATCH(V18,INDEX('15-16_DP_Tables'!$M$12:$V$18,1,0),0),0))</f>
        <v>41.770833333332121</v>
      </c>
      <c r="Y18" s="223" t="str">
        <f t="shared" si="6"/>
        <v>Horizontal</v>
      </c>
      <c r="Z18" s="223">
        <v>5</v>
      </c>
      <c r="AA18" s="249" t="e">
        <f>VLOOKUP(T18,'Planning and Target Times'!$A$74:$L$78,MATCH(E18&amp;"-"&amp;Q18&amp;"-"&amp;Y18&amp;"-"&amp;R18,INDEX('Planning and Target Times'!$A$74:$L$78,1,0),0),0)</f>
        <v>#N/A</v>
      </c>
      <c r="AB18" s="249" t="e">
        <f>VLOOKUP(T18,'Planning and Target Times'!$A$97:$L$101,MATCH(E18&amp;"-"&amp;Q18&amp;"-"&amp;Y18&amp;"-"&amp;R18,INDEX('Planning and Target Times'!$A$97:$L$101,1,0),0),0)</f>
        <v>#N/A</v>
      </c>
      <c r="AC18" s="250">
        <f t="shared" si="11"/>
        <v>25.061846820023632</v>
      </c>
      <c r="AD18" s="250">
        <f t="shared" si="7"/>
        <v>28.728179551123027</v>
      </c>
      <c r="AE18" s="248">
        <f t="shared" si="8"/>
        <v>915.26949808571089</v>
      </c>
      <c r="AF18" s="248">
        <f t="shared" si="2"/>
        <v>10034.73050191429</v>
      </c>
      <c r="AG18" s="248">
        <f t="shared" ca="1" si="3"/>
        <v>2954.7305019142891</v>
      </c>
      <c r="AH18" s="248">
        <f t="shared" ca="1" si="4"/>
        <v>1148.7305019142891</v>
      </c>
      <c r="AI18" s="248">
        <f t="shared" si="9"/>
        <v>700.65733319999333</v>
      </c>
      <c r="AJ18" s="248">
        <f t="shared" ca="1" si="10"/>
        <v>3169.3426668000066</v>
      </c>
      <c r="AK18" s="248">
        <f t="shared" ca="1" si="5"/>
        <v>1363.3426668000066</v>
      </c>
    </row>
    <row r="19" spans="2:37" ht="15.95" customHeight="1" x14ac:dyDescent="0.25">
      <c r="B19" s="136">
        <v>18</v>
      </c>
      <c r="C19" s="154" t="s">
        <v>1100</v>
      </c>
      <c r="D19" s="153" t="s">
        <v>38</v>
      </c>
      <c r="E19" s="155" t="s">
        <v>42</v>
      </c>
      <c r="F19" s="140" t="s">
        <v>29</v>
      </c>
      <c r="G19" s="140" t="s">
        <v>1076</v>
      </c>
      <c r="H19" s="140" t="s">
        <v>1082</v>
      </c>
      <c r="I19" s="140" t="s">
        <v>1061</v>
      </c>
      <c r="J19" s="141" t="s">
        <v>1079</v>
      </c>
      <c r="K19" s="142">
        <v>41989</v>
      </c>
      <c r="L19" s="142">
        <v>42059</v>
      </c>
      <c r="M19" s="134">
        <v>42073</v>
      </c>
      <c r="N19" s="140">
        <v>70</v>
      </c>
      <c r="O19" s="143">
        <v>2000</v>
      </c>
      <c r="P19" s="143" t="s">
        <v>1080</v>
      </c>
      <c r="Q19" s="223" t="s">
        <v>14</v>
      </c>
      <c r="R19" s="223" t="s">
        <v>298</v>
      </c>
      <c r="S19" s="223" t="s">
        <v>29</v>
      </c>
      <c r="T19" s="224" t="str">
        <f t="shared" si="0"/>
        <v>UB</v>
      </c>
      <c r="U19" s="223" t="str">
        <f t="shared" si="1"/>
        <v>UB-NW-Prod</v>
      </c>
      <c r="V19" s="223" t="str">
        <f t="array" ref="V19">CONCATENATE(Q19,"-",R19)</f>
        <v>NW-Prod</v>
      </c>
      <c r="W19" s="239">
        <f>IF(ISERROR(VLOOKUP(T19,'15-16_DP_Tables'!$M$2:$V$8,MATCH(V19,INDEX('15-16_DP_Tables'!$M$2:$V$8,1,0),0),0)),0,VLOOKUP(T19,'15-16_DP_Tables'!$M$2:$V$8,MATCH(V19,INDEX('15-16_DP_Tables'!$M$2:$V$8,1,0),0),0))</f>
        <v>53.604164999999995</v>
      </c>
      <c r="X19" s="239">
        <f t="array" ref="X19">IF(ISERROR(VLOOKUP(T19,'15-16_DP_Tables'!$M$12:$V$18,MATCH(V19,INDEX('15-16_DP_Tables'!$M$12:$V$18,1,0),0),0)),0,VLOOKUP(T19,'15-16_DP_Tables'!$M$12:$V$18,MATCH(V19,INDEX('15-16_DP_Tables'!$M$12:$V$18,1,0),0),0))</f>
        <v>48</v>
      </c>
      <c r="Y19" s="223" t="str">
        <f t="shared" si="6"/>
        <v>Unknown</v>
      </c>
      <c r="Z19" s="223">
        <v>5</v>
      </c>
      <c r="AA19" s="249" t="e">
        <f>VLOOKUP(T19,'Planning and Target Times'!$A$74:$L$78,MATCH(E19&amp;"-"&amp;Q19&amp;"-"&amp;Y19&amp;"-"&amp;R19,INDEX('Planning and Target Times'!$A$74:$L$78,1,0),0),0)</f>
        <v>#N/A</v>
      </c>
      <c r="AB19" s="249" t="e">
        <f>VLOOKUP(T19,'Planning and Target Times'!$A$97:$L$101,MATCH(E19&amp;"-"&amp;Q19&amp;"-"&amp;Y19&amp;"-"&amp;R19,INDEX('Planning and Target Times'!$A$97:$L$101,1,0),0),0)</f>
        <v>#N/A</v>
      </c>
      <c r="AC19" s="250">
        <f t="shared" si="11"/>
        <v>37.31053361245344</v>
      </c>
      <c r="AD19" s="250">
        <f t="shared" si="7"/>
        <v>41.666666666666664</v>
      </c>
      <c r="AE19" s="248">
        <f t="shared" si="8"/>
        <v>973.87366308571086</v>
      </c>
      <c r="AF19" s="248">
        <f t="shared" si="2"/>
        <v>9976.1263369142889</v>
      </c>
      <c r="AG19" s="248">
        <f t="shared" ca="1" si="3"/>
        <v>2896.1263369142889</v>
      </c>
      <c r="AH19" s="248">
        <f t="shared" ca="1" si="4"/>
        <v>1090.1263369142891</v>
      </c>
      <c r="AI19" s="248">
        <f t="shared" si="9"/>
        <v>753.65733319999333</v>
      </c>
      <c r="AJ19" s="248">
        <f t="shared" ca="1" si="10"/>
        <v>3116.3426668000066</v>
      </c>
      <c r="AK19" s="248">
        <f t="shared" ca="1" si="5"/>
        <v>1310.3426668000066</v>
      </c>
    </row>
    <row r="20" spans="2:37" ht="15.95" customHeight="1" x14ac:dyDescent="0.25">
      <c r="B20" s="136">
        <v>46</v>
      </c>
      <c r="C20" s="173" t="s">
        <v>1130</v>
      </c>
      <c r="D20" s="171" t="s">
        <v>1126</v>
      </c>
      <c r="E20" s="170" t="s">
        <v>42</v>
      </c>
      <c r="F20" s="140" t="s">
        <v>17</v>
      </c>
      <c r="G20" s="132" t="s">
        <v>1076</v>
      </c>
      <c r="H20" s="132" t="s">
        <v>1082</v>
      </c>
      <c r="I20" s="132" t="s">
        <v>1061</v>
      </c>
      <c r="J20" s="133" t="s">
        <v>1079</v>
      </c>
      <c r="K20" s="142">
        <v>41996</v>
      </c>
      <c r="L20" s="142">
        <v>42066</v>
      </c>
      <c r="M20" s="134">
        <v>42080</v>
      </c>
      <c r="N20" s="140">
        <v>70</v>
      </c>
      <c r="O20" s="143">
        <v>1500</v>
      </c>
      <c r="P20" s="135" t="s">
        <v>1080</v>
      </c>
      <c r="Q20" s="223" t="s">
        <v>14</v>
      </c>
      <c r="R20" s="223" t="s">
        <v>298</v>
      </c>
      <c r="S20" s="223" t="s">
        <v>17</v>
      </c>
      <c r="T20" s="224" t="str">
        <f t="shared" si="0"/>
        <v>MA</v>
      </c>
      <c r="U20" s="223" t="str">
        <f t="shared" si="1"/>
        <v>MA-NW-Prod</v>
      </c>
      <c r="V20" s="223" t="str">
        <f t="array" ref="V20">CONCATENATE(Q20,"-",R20)</f>
        <v>NW-Prod</v>
      </c>
      <c r="W20" s="239">
        <f>IF(ISERROR(VLOOKUP(T20,'15-16_DP_Tables'!$M$2:$V$8,MATCH(V20,INDEX('15-16_DP_Tables'!$M$2:$V$8,1,0),0),0)),0,VLOOKUP(T20,'15-16_DP_Tables'!$M$2:$V$8,MATCH(V20,INDEX('15-16_DP_Tables'!$M$2:$V$8,1,0),0),0))</f>
        <v>57.083333333332121</v>
      </c>
      <c r="X20" s="239">
        <f t="array" ref="X20">IF(ISERROR(VLOOKUP(T20,'15-16_DP_Tables'!$M$12:$V$18,MATCH(V20,INDEX('15-16_DP_Tables'!$M$12:$V$18,1,0),0),0)),0,VLOOKUP(T20,'15-16_DP_Tables'!$M$12:$V$18,MATCH(V20,INDEX('15-16_DP_Tables'!$M$12:$V$18,1,0),0),0))</f>
        <v>47.791666666664241</v>
      </c>
      <c r="Y20" s="223" t="str">
        <f t="shared" si="6"/>
        <v>Unknown</v>
      </c>
      <c r="Z20" s="223">
        <v>5</v>
      </c>
      <c r="AA20" s="249" t="e">
        <f>VLOOKUP(T20,'Planning and Target Times'!$A$74:$L$78,MATCH(E20&amp;"-"&amp;Q20&amp;"-"&amp;Y20&amp;"-"&amp;R20,INDEX('Planning and Target Times'!$A$74:$L$78,1,0),0),0)</f>
        <v>#N/A</v>
      </c>
      <c r="AB20" s="249" t="e">
        <f>VLOOKUP(T20,'Planning and Target Times'!$A$97:$L$101,MATCH(E20&amp;"-"&amp;Q20&amp;"-"&amp;Y20&amp;"-"&amp;R20,INDEX('Planning and Target Times'!$A$97:$L$101,1,0),0),0)</f>
        <v>#N/A</v>
      </c>
      <c r="AC20" s="250">
        <f t="shared" si="11"/>
        <v>26.277372262774282</v>
      </c>
      <c r="AD20" s="250">
        <f t="shared" si="7"/>
        <v>31.386224934613622</v>
      </c>
      <c r="AE20" s="248">
        <f t="shared" si="8"/>
        <v>1035.956996419043</v>
      </c>
      <c r="AF20" s="248">
        <f t="shared" si="2"/>
        <v>9914.0430035809568</v>
      </c>
      <c r="AG20" s="248">
        <f t="shared" ca="1" si="3"/>
        <v>2834.0430035809568</v>
      </c>
      <c r="AH20" s="248">
        <f t="shared" ca="1" si="4"/>
        <v>1028.043003580957</v>
      </c>
      <c r="AI20" s="248">
        <f t="shared" si="9"/>
        <v>806.44899986665757</v>
      </c>
      <c r="AJ20" s="248">
        <f t="shared" ca="1" si="10"/>
        <v>3063.5510001333423</v>
      </c>
      <c r="AK20" s="248">
        <f t="shared" ca="1" si="5"/>
        <v>1257.5510001333423</v>
      </c>
    </row>
    <row r="21" spans="2:37" ht="15.95" customHeight="1" x14ac:dyDescent="0.25">
      <c r="B21" s="136">
        <v>89</v>
      </c>
      <c r="C21" s="144" t="s">
        <v>1176</v>
      </c>
      <c r="D21" s="186" t="s">
        <v>35</v>
      </c>
      <c r="E21" s="139" t="s">
        <v>42</v>
      </c>
      <c r="F21" s="140" t="s">
        <v>44</v>
      </c>
      <c r="G21" s="140" t="s">
        <v>1076</v>
      </c>
      <c r="H21" s="140" t="s">
        <v>1082</v>
      </c>
      <c r="I21" s="140" t="s">
        <v>459</v>
      </c>
      <c r="J21" s="141" t="s">
        <v>1079</v>
      </c>
      <c r="K21" s="142">
        <v>42005</v>
      </c>
      <c r="L21" s="142">
        <v>42103</v>
      </c>
      <c r="M21" s="134">
        <v>42117</v>
      </c>
      <c r="N21" s="140">
        <v>98</v>
      </c>
      <c r="O21" s="143">
        <v>2200</v>
      </c>
      <c r="P21" s="135" t="s">
        <v>1080</v>
      </c>
      <c r="Q21" s="223" t="s">
        <v>14</v>
      </c>
      <c r="R21" s="223" t="s">
        <v>298</v>
      </c>
      <c r="S21" s="223" t="s">
        <v>44</v>
      </c>
      <c r="T21" s="224" t="str">
        <f t="shared" si="0"/>
        <v>ZU/RT</v>
      </c>
      <c r="U21" s="223" t="str">
        <f t="shared" si="1"/>
        <v>ZU-NW-Prod</v>
      </c>
      <c r="V21" s="223" t="str">
        <f t="array" ref="V21">CONCATENATE(Q21,"-",R21)</f>
        <v>NW-Prod</v>
      </c>
      <c r="W21" s="239">
        <f>IF(ISERROR(VLOOKUP(T21,'15-16_DP_Tables'!$M$2:$V$8,MATCH(V21,INDEX('15-16_DP_Tables'!$M$2:$V$8,1,0),0),0)),0,VLOOKUP(T21,'15-16_DP_Tables'!$M$2:$V$8,MATCH(V21,INDEX('15-16_DP_Tables'!$M$2:$V$8,1,0),0),0))</f>
        <v>99.088549999999998</v>
      </c>
      <c r="X21" s="239">
        <f t="array" ref="X21">IF(ISERROR(VLOOKUP(T21,'15-16_DP_Tables'!$M$12:$V$18,MATCH(V21,INDEX('15-16_DP_Tables'!$M$12:$V$18,1,0),0),0)),0,VLOOKUP(T21,'15-16_DP_Tables'!$M$12:$V$18,MATCH(V21,INDEX('15-16_DP_Tables'!$M$12:$V$18,1,0),0),0))</f>
        <v>53.375</v>
      </c>
      <c r="Y21" s="223" t="str">
        <f t="shared" si="6"/>
        <v>Horizontal</v>
      </c>
      <c r="Z21" s="223">
        <v>5</v>
      </c>
      <c r="AA21" s="249" t="e">
        <f>VLOOKUP(T21,'Planning and Target Times'!$A$74:$L$78,MATCH(E21&amp;"-"&amp;Q21&amp;"-"&amp;Y21&amp;"-"&amp;R21,INDEX('Planning and Target Times'!$A$74:$L$78,1,0),0),0)</f>
        <v>#N/A</v>
      </c>
      <c r="AB21" s="249" t="e">
        <f>VLOOKUP(T21,'Planning and Target Times'!$A$97:$L$101,MATCH(E21&amp;"-"&amp;Q21&amp;"-"&amp;Y21&amp;"-"&amp;R21,INDEX('Planning and Target Times'!$A$97:$L$101,1,0),0),0)</f>
        <v>#N/A</v>
      </c>
      <c r="AC21" s="250">
        <f t="shared" si="11"/>
        <v>22.202363441588357</v>
      </c>
      <c r="AD21" s="250">
        <f t="shared" si="7"/>
        <v>41.217798594847778</v>
      </c>
      <c r="AE21" s="248">
        <f t="shared" si="8"/>
        <v>1140.0455464190429</v>
      </c>
      <c r="AF21" s="248">
        <f t="shared" si="2"/>
        <v>9809.9544535809564</v>
      </c>
      <c r="AG21" s="248">
        <f t="shared" ca="1" si="3"/>
        <v>2729.9544535809573</v>
      </c>
      <c r="AH21" s="248">
        <f t="shared" ca="1" si="4"/>
        <v>923.95445358095708</v>
      </c>
      <c r="AI21" s="248">
        <f t="shared" si="9"/>
        <v>864.82399986665757</v>
      </c>
      <c r="AJ21" s="248">
        <f t="shared" ca="1" si="10"/>
        <v>3005.1760001333423</v>
      </c>
      <c r="AK21" s="248">
        <f t="shared" ca="1" si="5"/>
        <v>1199.1760001333423</v>
      </c>
    </row>
    <row r="22" spans="2:37" ht="15.95" customHeight="1" x14ac:dyDescent="0.25">
      <c r="B22" s="136">
        <v>109</v>
      </c>
      <c r="C22" s="137" t="s">
        <v>832</v>
      </c>
      <c r="D22" s="184" t="s">
        <v>839</v>
      </c>
      <c r="E22" s="139" t="s">
        <v>11</v>
      </c>
      <c r="F22" s="140" t="s">
        <v>22</v>
      </c>
      <c r="G22" s="140" t="s">
        <v>1076</v>
      </c>
      <c r="H22" s="140" t="s">
        <v>1082</v>
      </c>
      <c r="I22" s="140" t="s">
        <v>1061</v>
      </c>
      <c r="J22" s="141" t="s">
        <v>1079</v>
      </c>
      <c r="K22" s="142">
        <v>42005</v>
      </c>
      <c r="L22" s="142">
        <v>42075</v>
      </c>
      <c r="M22" s="134">
        <v>42089</v>
      </c>
      <c r="N22" s="140">
        <v>70</v>
      </c>
      <c r="O22" s="143">
        <v>1200</v>
      </c>
      <c r="P22" s="135" t="s">
        <v>1080</v>
      </c>
      <c r="Q22" s="223" t="s">
        <v>14</v>
      </c>
      <c r="R22" s="223" t="s">
        <v>298</v>
      </c>
      <c r="S22" s="223" t="s">
        <v>22</v>
      </c>
      <c r="T22" s="224" t="str">
        <f t="shared" si="0"/>
        <v>LB</v>
      </c>
      <c r="U22" s="223" t="str">
        <f t="shared" si="1"/>
        <v>LB-NW-Prod</v>
      </c>
      <c r="V22" s="223" t="str">
        <f t="array" ref="V22">CONCATENATE(Q22,"-",R22)</f>
        <v>NW-Prod</v>
      </c>
      <c r="W22" s="239">
        <f>IF(ISERROR(VLOOKUP(T22,'15-16_DP_Tables'!$M$2:$V$8,MATCH(V22,INDEX('15-16_DP_Tables'!$M$2:$V$8,1,0),0),0)),0,VLOOKUP(T22,'15-16_DP_Tables'!$M$2:$V$8,MATCH(V22,INDEX('15-16_DP_Tables'!$M$2:$V$8,1,0),0),0))</f>
        <v>55.81537142381022</v>
      </c>
      <c r="X22" s="239">
        <f t="array" ref="X22">IF(ISERROR(VLOOKUP(T22,'15-16_DP_Tables'!$M$12:$V$18,MATCH(V22,INDEX('15-16_DP_Tables'!$M$12:$V$18,1,0),0),0)),0,VLOOKUP(T22,'15-16_DP_Tables'!$M$12:$V$18,MATCH(V22,INDEX('15-16_DP_Tables'!$M$12:$V$18,1,0),0),0))</f>
        <v>45.207999999999998</v>
      </c>
      <c r="Y22" s="223" t="str">
        <f t="shared" si="6"/>
        <v>Unknown</v>
      </c>
      <c r="Z22" s="223">
        <v>5</v>
      </c>
      <c r="AA22" s="249" t="e">
        <f>VLOOKUP(T22,'Planning and Target Times'!$A$74:$L$78,MATCH(E22&amp;"-"&amp;Q22&amp;"-"&amp;Y22&amp;"-"&amp;R22,INDEX('Planning and Target Times'!$A$74:$L$78,1,0),0),0)</f>
        <v>#N/A</v>
      </c>
      <c r="AB22" s="249" t="e">
        <f>VLOOKUP(T22,'Planning and Target Times'!$A$97:$L$101,MATCH(E22&amp;"-"&amp;Q22&amp;"-"&amp;Y22&amp;"-"&amp;R22,INDEX('Planning and Target Times'!$A$97:$L$101,1,0),0),0)</f>
        <v>#N/A</v>
      </c>
      <c r="AC22" s="250">
        <f t="shared" si="11"/>
        <v>21.499453813328802</v>
      </c>
      <c r="AD22" s="250">
        <f t="shared" si="7"/>
        <v>26.543974517784463</v>
      </c>
      <c r="AE22" s="248">
        <f t="shared" si="8"/>
        <v>1200.860917842853</v>
      </c>
      <c r="AF22" s="248">
        <f t="shared" si="2"/>
        <v>9749.1390821571476</v>
      </c>
      <c r="AG22" s="248">
        <f t="shared" ca="1" si="3"/>
        <v>2669.1390821571467</v>
      </c>
      <c r="AH22" s="248">
        <f t="shared" ca="1" si="4"/>
        <v>863.13908215714696</v>
      </c>
      <c r="AI22" s="248">
        <f t="shared" si="9"/>
        <v>915.03199986665754</v>
      </c>
      <c r="AJ22" s="248">
        <f t="shared" ca="1" si="10"/>
        <v>2954.9680001333427</v>
      </c>
      <c r="AK22" s="248">
        <f t="shared" ca="1" si="5"/>
        <v>1148.9680001333425</v>
      </c>
    </row>
    <row r="23" spans="2:37" ht="15.95" customHeight="1" x14ac:dyDescent="0.25">
      <c r="B23" s="136">
        <v>117</v>
      </c>
      <c r="C23" s="137" t="s">
        <v>1203</v>
      </c>
      <c r="D23" s="165" t="s">
        <v>838</v>
      </c>
      <c r="E23" s="139" t="s">
        <v>42</v>
      </c>
      <c r="F23" s="140" t="s">
        <v>22</v>
      </c>
      <c r="G23" s="132" t="s">
        <v>1076</v>
      </c>
      <c r="H23" s="132" t="s">
        <v>1082</v>
      </c>
      <c r="I23" s="132" t="s">
        <v>1061</v>
      </c>
      <c r="J23" s="133" t="s">
        <v>1079</v>
      </c>
      <c r="K23" s="142">
        <v>42005</v>
      </c>
      <c r="L23" s="142">
        <v>42075</v>
      </c>
      <c r="M23" s="134">
        <v>42089</v>
      </c>
      <c r="N23" s="140">
        <v>70</v>
      </c>
      <c r="O23" s="143">
        <v>1800</v>
      </c>
      <c r="P23" s="135" t="s">
        <v>1080</v>
      </c>
      <c r="Q23" s="223" t="s">
        <v>14</v>
      </c>
      <c r="R23" s="223" t="s">
        <v>298</v>
      </c>
      <c r="S23" s="223" t="s">
        <v>22</v>
      </c>
      <c r="T23" s="224" t="str">
        <f t="shared" si="0"/>
        <v>LB</v>
      </c>
      <c r="U23" s="223" t="str">
        <f t="shared" si="1"/>
        <v>LB-NW-Prod</v>
      </c>
      <c r="V23" s="223" t="str">
        <f t="array" ref="V23">CONCATENATE(Q23,"-",R23)</f>
        <v>NW-Prod</v>
      </c>
      <c r="W23" s="239">
        <f>IF(ISERROR(VLOOKUP(T23,'15-16_DP_Tables'!$M$2:$V$8,MATCH(V23,INDEX('15-16_DP_Tables'!$M$2:$V$8,1,0),0),0)),0,VLOOKUP(T23,'15-16_DP_Tables'!$M$2:$V$8,MATCH(V23,INDEX('15-16_DP_Tables'!$M$2:$V$8,1,0),0),0))</f>
        <v>55.81537142381022</v>
      </c>
      <c r="X23" s="239">
        <f t="array" ref="X23">IF(ISERROR(VLOOKUP(T23,'15-16_DP_Tables'!$M$12:$V$18,MATCH(V23,INDEX('15-16_DP_Tables'!$M$12:$V$18,1,0),0),0)),0,VLOOKUP(T23,'15-16_DP_Tables'!$M$12:$V$18,MATCH(V23,INDEX('15-16_DP_Tables'!$M$12:$V$18,1,0),0),0))</f>
        <v>45.207999999999998</v>
      </c>
      <c r="Y23" s="223" t="str">
        <f t="shared" si="6"/>
        <v>Unknown</v>
      </c>
      <c r="Z23" s="223">
        <v>5</v>
      </c>
      <c r="AA23" s="249" t="e">
        <f>VLOOKUP(T23,'Planning and Target Times'!$A$74:$L$78,MATCH(E23&amp;"-"&amp;Q23&amp;"-"&amp;Y23&amp;"-"&amp;R23,INDEX('Planning and Target Times'!$A$74:$L$78,1,0),0),0)</f>
        <v>#N/A</v>
      </c>
      <c r="AB23" s="249" t="e">
        <f>VLOOKUP(T23,'Planning and Target Times'!$A$97:$L$101,MATCH(E23&amp;"-"&amp;Q23&amp;"-"&amp;Y23&amp;"-"&amp;R23,INDEX('Planning and Target Times'!$A$97:$L$101,1,0),0),0)</f>
        <v>#N/A</v>
      </c>
      <c r="AC23" s="250">
        <f t="shared" si="11"/>
        <v>32.249180719993198</v>
      </c>
      <c r="AD23" s="250">
        <f t="shared" si="7"/>
        <v>39.815961776676694</v>
      </c>
      <c r="AE23" s="248">
        <f t="shared" si="8"/>
        <v>1261.6762892666632</v>
      </c>
      <c r="AF23" s="248">
        <f t="shared" si="2"/>
        <v>9688.3237107333371</v>
      </c>
      <c r="AG23" s="248">
        <f t="shared" ca="1" si="3"/>
        <v>2608.3237107333371</v>
      </c>
      <c r="AH23" s="248">
        <f t="shared" ca="1" si="4"/>
        <v>802.32371073333684</v>
      </c>
      <c r="AI23" s="248">
        <f t="shared" si="9"/>
        <v>965.23999986665751</v>
      </c>
      <c r="AJ23" s="248">
        <f t="shared" ca="1" si="10"/>
        <v>2904.7600001333426</v>
      </c>
      <c r="AK23" s="248">
        <f t="shared" ca="1" si="5"/>
        <v>1098.7600001333426</v>
      </c>
    </row>
    <row r="24" spans="2:37" ht="15.95" customHeight="1" x14ac:dyDescent="0.25">
      <c r="B24" s="136">
        <v>35</v>
      </c>
      <c r="C24" s="167" t="s">
        <v>1119</v>
      </c>
      <c r="D24" s="165" t="s">
        <v>1116</v>
      </c>
      <c r="E24" s="168" t="s">
        <v>11</v>
      </c>
      <c r="F24" s="140" t="s">
        <v>17</v>
      </c>
      <c r="G24" s="140" t="s">
        <v>1086</v>
      </c>
      <c r="H24" s="140" t="s">
        <v>1077</v>
      </c>
      <c r="I24" s="140" t="s">
        <v>1061</v>
      </c>
      <c r="J24" s="141" t="s">
        <v>1079</v>
      </c>
      <c r="K24" s="142">
        <v>42008</v>
      </c>
      <c r="L24" s="142">
        <v>42078</v>
      </c>
      <c r="M24" s="134">
        <v>42092</v>
      </c>
      <c r="N24" s="140">
        <v>70</v>
      </c>
      <c r="O24" s="143"/>
      <c r="P24" s="135" t="s">
        <v>1080</v>
      </c>
      <c r="Q24" s="223" t="s">
        <v>18</v>
      </c>
      <c r="R24" s="223" t="s">
        <v>34</v>
      </c>
      <c r="S24" s="223" t="s">
        <v>17</v>
      </c>
      <c r="T24" s="224" t="str">
        <f t="shared" si="0"/>
        <v>MA</v>
      </c>
      <c r="U24" s="223" t="str">
        <f t="shared" si="1"/>
        <v>MA-ST-Inj</v>
      </c>
      <c r="V24" s="223" t="str">
        <f t="array" ref="V24">CONCATENATE(Q24,"-",R24)</f>
        <v>ST-Inj</v>
      </c>
      <c r="W24" s="239">
        <f>IF(ISERROR(VLOOKUP(T24,'15-16_DP_Tables'!$M$2:$V$8,MATCH(V24,INDEX('15-16_DP_Tables'!$M$2:$V$8,1,0),0),0)),0,VLOOKUP(T24,'15-16_DP_Tables'!$M$2:$V$8,MATCH(V24,INDEX('15-16_DP_Tables'!$M$2:$V$8,1,0),0),0))</f>
        <v>35.545833099999626</v>
      </c>
      <c r="X24" s="239">
        <f t="array" ref="X24">IF(ISERROR(VLOOKUP(T24,'15-16_DP_Tables'!$M$12:$V$18,MATCH(V24,INDEX('15-16_DP_Tables'!$M$12:$V$18,1,0),0),0)),0,VLOOKUP(T24,'15-16_DP_Tables'!$M$12:$V$18,MATCH(V24,INDEX('15-16_DP_Tables'!$M$12:$V$18,1,0),0),0))</f>
        <v>26.054166533332847</v>
      </c>
      <c r="Y24" s="223" t="str">
        <f t="shared" si="6"/>
        <v>Horizontal</v>
      </c>
      <c r="Z24" s="223">
        <v>5</v>
      </c>
      <c r="AA24" s="249" t="e">
        <f>VLOOKUP(T24,'Planning and Target Times'!$A$74:$L$78,MATCH(E24&amp;"-"&amp;Q24&amp;"-"&amp;Y24&amp;"-"&amp;R24,INDEX('Planning and Target Times'!$A$74:$L$78,1,0),0),0)</f>
        <v>#N/A</v>
      </c>
      <c r="AB24" s="249" t="e">
        <f>VLOOKUP(T24,'Planning and Target Times'!$A$97:$L$101,MATCH(E24&amp;"-"&amp;Q24&amp;"-"&amp;Y24&amp;"-"&amp;R24,INDEX('Planning and Target Times'!$A$97:$L$101,1,0),0),0)</f>
        <v>#N/A</v>
      </c>
      <c r="AC24" s="250">
        <f t="shared" si="11"/>
        <v>0</v>
      </c>
      <c r="AD24" s="250">
        <f t="shared" si="7"/>
        <v>0</v>
      </c>
      <c r="AE24" s="248">
        <f t="shared" si="8"/>
        <v>1302.2221223666627</v>
      </c>
      <c r="AF24" s="248">
        <f t="shared" si="2"/>
        <v>9647.777877633338</v>
      </c>
      <c r="AG24" s="248">
        <f t="shared" ca="1" si="3"/>
        <v>2567.7778776333371</v>
      </c>
      <c r="AH24" s="248">
        <f t="shared" ca="1" si="4"/>
        <v>761.77787763333731</v>
      </c>
      <c r="AI24" s="248">
        <f t="shared" si="9"/>
        <v>996.29416639999033</v>
      </c>
      <c r="AJ24" s="248">
        <f t="shared" ca="1" si="10"/>
        <v>2873.7058336000096</v>
      </c>
      <c r="AK24" s="248">
        <f t="shared" ca="1" si="5"/>
        <v>1067.7058336000096</v>
      </c>
    </row>
    <row r="25" spans="2:37" ht="15.95" customHeight="1" x14ac:dyDescent="0.25">
      <c r="B25" s="136">
        <v>70</v>
      </c>
      <c r="C25" s="173" t="s">
        <v>1156</v>
      </c>
      <c r="D25" s="182" t="s">
        <v>512</v>
      </c>
      <c r="E25" s="170" t="s">
        <v>11</v>
      </c>
      <c r="F25" s="140" t="s">
        <v>17</v>
      </c>
      <c r="G25" s="140" t="s">
        <v>1086</v>
      </c>
      <c r="H25" s="140" t="s">
        <v>1077</v>
      </c>
      <c r="I25" s="140" t="s">
        <v>1061</v>
      </c>
      <c r="J25" s="141" t="s">
        <v>1079</v>
      </c>
      <c r="K25" s="142">
        <v>42011</v>
      </c>
      <c r="L25" s="142">
        <v>42060</v>
      </c>
      <c r="M25" s="134">
        <v>42074</v>
      </c>
      <c r="N25" s="132">
        <v>49</v>
      </c>
      <c r="O25" s="135"/>
      <c r="P25" s="135" t="s">
        <v>1080</v>
      </c>
      <c r="Q25" s="223" t="s">
        <v>18</v>
      </c>
      <c r="R25" s="223" t="s">
        <v>34</v>
      </c>
      <c r="S25" s="223" t="s">
        <v>17</v>
      </c>
      <c r="T25" s="224" t="str">
        <f t="shared" si="0"/>
        <v>MA</v>
      </c>
      <c r="U25" s="223" t="str">
        <f t="shared" si="1"/>
        <v>MA-ST-Inj</v>
      </c>
      <c r="V25" s="223" t="str">
        <f t="array" ref="V25">CONCATENATE(Q25,"-",R25)</f>
        <v>ST-Inj</v>
      </c>
      <c r="W25" s="239">
        <f>IF(ISERROR(VLOOKUP(T25,'15-16_DP_Tables'!$M$2:$V$8,MATCH(V25,INDEX('15-16_DP_Tables'!$M$2:$V$8,1,0),0),0)),0,VLOOKUP(T25,'15-16_DP_Tables'!$M$2:$V$8,MATCH(V25,INDEX('15-16_DP_Tables'!$M$2:$V$8,1,0),0),0))</f>
        <v>35.545833099999626</v>
      </c>
      <c r="X25" s="239">
        <f t="array" ref="X25">IF(ISERROR(VLOOKUP(T25,'15-16_DP_Tables'!$M$12:$V$18,MATCH(V25,INDEX('15-16_DP_Tables'!$M$12:$V$18,1,0),0),0)),0,VLOOKUP(T25,'15-16_DP_Tables'!$M$12:$V$18,MATCH(V25,INDEX('15-16_DP_Tables'!$M$12:$V$18,1,0),0),0))</f>
        <v>26.054166533332847</v>
      </c>
      <c r="Y25" s="223" t="str">
        <f t="shared" si="6"/>
        <v>Horizontal</v>
      </c>
      <c r="Z25" s="223">
        <v>5</v>
      </c>
      <c r="AA25" s="249" t="e">
        <f>VLOOKUP(T25,'Planning and Target Times'!$A$74:$L$78,MATCH(E25&amp;"-"&amp;Q25&amp;"-"&amp;Y25&amp;"-"&amp;R25,INDEX('Planning and Target Times'!$A$74:$L$78,1,0),0),0)</f>
        <v>#N/A</v>
      </c>
      <c r="AB25" s="249" t="e">
        <f>VLOOKUP(T25,'Planning and Target Times'!$A$97:$L$101,MATCH(E25&amp;"-"&amp;Q25&amp;"-"&amp;Y25&amp;"-"&amp;R25,INDEX('Planning and Target Times'!$A$97:$L$101,1,0),0),0)</f>
        <v>#N/A</v>
      </c>
      <c r="AC25" s="250">
        <f t="shared" si="11"/>
        <v>0</v>
      </c>
      <c r="AD25" s="250">
        <f t="shared" si="7"/>
        <v>0</v>
      </c>
      <c r="AE25" s="248">
        <f t="shared" si="8"/>
        <v>1342.7679554666622</v>
      </c>
      <c r="AF25" s="248">
        <f t="shared" si="2"/>
        <v>9607.2320445333371</v>
      </c>
      <c r="AG25" s="248">
        <f t="shared" ca="1" si="3"/>
        <v>2527.232044533338</v>
      </c>
      <c r="AH25" s="248">
        <f t="shared" ca="1" si="4"/>
        <v>721.23204453333778</v>
      </c>
      <c r="AI25" s="248">
        <f t="shared" si="9"/>
        <v>1027.348332933323</v>
      </c>
      <c r="AJ25" s="248">
        <f t="shared" ca="1" si="10"/>
        <v>2842.651667066677</v>
      </c>
      <c r="AK25" s="248">
        <f t="shared" ca="1" si="5"/>
        <v>1036.651667066677</v>
      </c>
    </row>
    <row r="26" spans="2:37" ht="15.95" customHeight="1" x14ac:dyDescent="0.25">
      <c r="B26" s="136">
        <v>95</v>
      </c>
      <c r="C26" s="137" t="s">
        <v>1181</v>
      </c>
      <c r="D26" s="147" t="s">
        <v>734</v>
      </c>
      <c r="E26" s="139" t="s">
        <v>42</v>
      </c>
      <c r="F26" s="140" t="s">
        <v>17</v>
      </c>
      <c r="G26" s="140" t="s">
        <v>1076</v>
      </c>
      <c r="H26" s="140" t="s">
        <v>1077</v>
      </c>
      <c r="I26" s="140" t="s">
        <v>1061</v>
      </c>
      <c r="J26" s="141" t="s">
        <v>1079</v>
      </c>
      <c r="K26" s="142">
        <v>42016</v>
      </c>
      <c r="L26" s="142">
        <v>42072</v>
      </c>
      <c r="M26" s="134">
        <v>42086</v>
      </c>
      <c r="N26" s="140">
        <v>56</v>
      </c>
      <c r="O26" s="143">
        <v>1200</v>
      </c>
      <c r="P26" s="135" t="s">
        <v>1080</v>
      </c>
      <c r="Q26" s="223" t="s">
        <v>18</v>
      </c>
      <c r="R26" s="223" t="s">
        <v>298</v>
      </c>
      <c r="S26" s="223" t="s">
        <v>17</v>
      </c>
      <c r="T26" s="224" t="str">
        <f t="shared" si="0"/>
        <v>MA</v>
      </c>
      <c r="U26" s="223" t="str">
        <f t="shared" si="1"/>
        <v>MA-ST-Prod</v>
      </c>
      <c r="V26" s="223" t="str">
        <f t="array" ref="V26">CONCATENATE(Q26,"-",R26)</f>
        <v>ST-Prod</v>
      </c>
      <c r="W26" s="239">
        <f>IF(ISERROR(VLOOKUP(T26,'15-16_DP_Tables'!$M$2:$V$8,MATCH(V26,INDEX('15-16_DP_Tables'!$M$2:$V$8,1,0),0),0)),0,VLOOKUP(T26,'15-16_DP_Tables'!$M$2:$V$8,MATCH(V26,INDEX('15-16_DP_Tables'!$M$2:$V$8,1,0),0),0))</f>
        <v>47.881547142856107</v>
      </c>
      <c r="X26" s="239">
        <f t="array" ref="X26">IF(ISERROR(VLOOKUP(T26,'15-16_DP_Tables'!$M$12:$V$18,MATCH(V26,INDEX('15-16_DP_Tables'!$M$12:$V$18,1,0),0),0)),0,VLOOKUP(T26,'15-16_DP_Tables'!$M$12:$V$18,MATCH(V26,INDEX('15-16_DP_Tables'!$M$12:$V$18,1,0),0),0))</f>
        <v>41.770833333332121</v>
      </c>
      <c r="Y26" s="223" t="str">
        <f t="shared" si="6"/>
        <v>Horizontal</v>
      </c>
      <c r="Z26" s="223">
        <v>5</v>
      </c>
      <c r="AA26" s="249" t="e">
        <f>VLOOKUP(T26,'Planning and Target Times'!$A$74:$L$78,MATCH(E26&amp;"-"&amp;Q26&amp;"-"&amp;Y26&amp;"-"&amp;R26,INDEX('Planning and Target Times'!$A$74:$L$78,1,0),0),0)</f>
        <v>#N/A</v>
      </c>
      <c r="AB26" s="249" t="e">
        <f>VLOOKUP(T26,'Planning and Target Times'!$A$97:$L$101,MATCH(E26&amp;"-"&amp;Q26&amp;"-"&amp;Y26&amp;"-"&amp;R26,INDEX('Planning and Target Times'!$A$97:$L$101,1,0),0),0)</f>
        <v>#N/A</v>
      </c>
      <c r="AC26" s="250">
        <f t="shared" si="11"/>
        <v>25.061846820023632</v>
      </c>
      <c r="AD26" s="250">
        <f t="shared" si="7"/>
        <v>28.728179551123027</v>
      </c>
      <c r="AE26" s="248">
        <f t="shared" si="8"/>
        <v>1395.6495026095183</v>
      </c>
      <c r="AF26" s="248">
        <f t="shared" si="2"/>
        <v>9554.3504973904819</v>
      </c>
      <c r="AG26" s="248">
        <f t="shared" ca="1" si="3"/>
        <v>2474.3504973904819</v>
      </c>
      <c r="AH26" s="248">
        <f t="shared" ca="1" si="4"/>
        <v>668.35049739048168</v>
      </c>
      <c r="AI26" s="248">
        <f t="shared" si="9"/>
        <v>1074.1191662666552</v>
      </c>
      <c r="AJ26" s="248">
        <f t="shared" ca="1" si="10"/>
        <v>2795.8808337333448</v>
      </c>
      <c r="AK26" s="248">
        <f t="shared" ca="1" si="5"/>
        <v>989.88083373334484</v>
      </c>
    </row>
    <row r="27" spans="2:37" ht="15.95" customHeight="1" x14ac:dyDescent="0.25">
      <c r="B27" s="136">
        <v>102</v>
      </c>
      <c r="C27" s="173" t="s">
        <v>1188</v>
      </c>
      <c r="D27" s="157" t="s">
        <v>735</v>
      </c>
      <c r="E27" s="170" t="s">
        <v>11</v>
      </c>
      <c r="F27" s="140" t="s">
        <v>17</v>
      </c>
      <c r="G27" s="140" t="s">
        <v>1086</v>
      </c>
      <c r="H27" s="140" t="s">
        <v>1077</v>
      </c>
      <c r="I27" s="140" t="s">
        <v>1061</v>
      </c>
      <c r="J27" s="141" t="s">
        <v>1079</v>
      </c>
      <c r="K27" s="142">
        <v>42019</v>
      </c>
      <c r="L27" s="142">
        <v>42068</v>
      </c>
      <c r="M27" s="134">
        <v>42082</v>
      </c>
      <c r="N27" s="140">
        <v>49</v>
      </c>
      <c r="O27" s="143"/>
      <c r="P27" s="135" t="s">
        <v>1080</v>
      </c>
      <c r="Q27" s="223" t="s">
        <v>18</v>
      </c>
      <c r="R27" s="223" t="s">
        <v>34</v>
      </c>
      <c r="S27" s="223" t="s">
        <v>17</v>
      </c>
      <c r="T27" s="224" t="str">
        <f t="shared" si="0"/>
        <v>MA</v>
      </c>
      <c r="U27" s="223" t="str">
        <f t="shared" si="1"/>
        <v>MA-ST-Inj</v>
      </c>
      <c r="V27" s="223" t="str">
        <f t="array" ref="V27">CONCATENATE(Q27,"-",R27)</f>
        <v>ST-Inj</v>
      </c>
      <c r="W27" s="239">
        <f>IF(ISERROR(VLOOKUP(T27,'15-16_DP_Tables'!$M$2:$V$8,MATCH(V27,INDEX('15-16_DP_Tables'!$M$2:$V$8,1,0),0),0)),0,VLOOKUP(T27,'15-16_DP_Tables'!$M$2:$V$8,MATCH(V27,INDEX('15-16_DP_Tables'!$M$2:$V$8,1,0),0),0))</f>
        <v>35.545833099999626</v>
      </c>
      <c r="X27" s="239">
        <f t="array" ref="X27">IF(ISERROR(VLOOKUP(T27,'15-16_DP_Tables'!$M$12:$V$18,MATCH(V27,INDEX('15-16_DP_Tables'!$M$12:$V$18,1,0),0),0)),0,VLOOKUP(T27,'15-16_DP_Tables'!$M$12:$V$18,MATCH(V27,INDEX('15-16_DP_Tables'!$M$12:$V$18,1,0),0),0))</f>
        <v>26.054166533332847</v>
      </c>
      <c r="Y27" s="223" t="str">
        <f t="shared" si="6"/>
        <v>Horizontal</v>
      </c>
      <c r="Z27" s="223">
        <v>5</v>
      </c>
      <c r="AA27" s="249" t="e">
        <f>VLOOKUP(T27,'Planning and Target Times'!$A$74:$L$78,MATCH(E27&amp;"-"&amp;Q27&amp;"-"&amp;Y27&amp;"-"&amp;R27,INDEX('Planning and Target Times'!$A$74:$L$78,1,0),0),0)</f>
        <v>#N/A</v>
      </c>
      <c r="AB27" s="249" t="e">
        <f>VLOOKUP(T27,'Planning and Target Times'!$A$97:$L$101,MATCH(E27&amp;"-"&amp;Q27&amp;"-"&amp;Y27&amp;"-"&amp;R27,INDEX('Planning and Target Times'!$A$97:$L$101,1,0),0),0)</f>
        <v>#N/A</v>
      </c>
      <c r="AC27" s="250">
        <f t="shared" si="11"/>
        <v>0</v>
      </c>
      <c r="AD27" s="250">
        <f t="shared" si="7"/>
        <v>0</v>
      </c>
      <c r="AE27" s="248">
        <f t="shared" si="8"/>
        <v>1436.1953357095178</v>
      </c>
      <c r="AF27" s="248">
        <f t="shared" si="2"/>
        <v>9513.8046642904828</v>
      </c>
      <c r="AG27" s="248">
        <f t="shared" ca="1" si="3"/>
        <v>2433.8046642904819</v>
      </c>
      <c r="AH27" s="248">
        <f t="shared" ca="1" si="4"/>
        <v>627.80466429048215</v>
      </c>
      <c r="AI27" s="248">
        <f t="shared" si="9"/>
        <v>1105.173332799988</v>
      </c>
      <c r="AJ27" s="248">
        <f t="shared" ca="1" si="10"/>
        <v>2764.8266672000118</v>
      </c>
      <c r="AK27" s="248">
        <f t="shared" ca="1" si="5"/>
        <v>958.82666720001203</v>
      </c>
    </row>
    <row r="28" spans="2:37" ht="15.95" customHeight="1" x14ac:dyDescent="0.25">
      <c r="B28" s="136">
        <v>55</v>
      </c>
      <c r="C28" s="151" t="s">
        <v>1141</v>
      </c>
      <c r="D28" s="178" t="s">
        <v>1137</v>
      </c>
      <c r="E28" s="150" t="s">
        <v>11</v>
      </c>
      <c r="F28" s="140" t="s">
        <v>17</v>
      </c>
      <c r="G28" s="132" t="s">
        <v>1076</v>
      </c>
      <c r="H28" s="132" t="s">
        <v>1082</v>
      </c>
      <c r="I28" s="132" t="s">
        <v>459</v>
      </c>
      <c r="J28" s="133" t="s">
        <v>1079</v>
      </c>
      <c r="K28" s="142">
        <v>42025</v>
      </c>
      <c r="L28" s="142">
        <v>42095</v>
      </c>
      <c r="M28" s="134">
        <v>42109</v>
      </c>
      <c r="N28" s="140">
        <v>70</v>
      </c>
      <c r="O28" s="143">
        <v>1400</v>
      </c>
      <c r="P28" s="135" t="s">
        <v>1080</v>
      </c>
      <c r="Q28" s="223" t="s">
        <v>14</v>
      </c>
      <c r="R28" s="223" t="s">
        <v>298</v>
      </c>
      <c r="S28" s="223" t="s">
        <v>17</v>
      </c>
      <c r="T28" s="224" t="str">
        <f t="shared" si="0"/>
        <v>MA</v>
      </c>
      <c r="U28" s="223" t="str">
        <f t="shared" si="1"/>
        <v>MA-NW-Prod</v>
      </c>
      <c r="V28" s="223" t="str">
        <f t="array" ref="V28">CONCATENATE(Q28,"-",R28)</f>
        <v>NW-Prod</v>
      </c>
      <c r="W28" s="239">
        <f>IF(ISERROR(VLOOKUP(T28,'15-16_DP_Tables'!$M$2:$V$8,MATCH(V28,INDEX('15-16_DP_Tables'!$M$2:$V$8,1,0),0),0)),0,VLOOKUP(T28,'15-16_DP_Tables'!$M$2:$V$8,MATCH(V28,INDEX('15-16_DP_Tables'!$M$2:$V$8,1,0),0),0))</f>
        <v>57.083333333332121</v>
      </c>
      <c r="X28" s="239">
        <f t="array" ref="X28">IF(ISERROR(VLOOKUP(T28,'15-16_DP_Tables'!$M$12:$V$18,MATCH(V28,INDEX('15-16_DP_Tables'!$M$12:$V$18,1,0),0),0)),0,VLOOKUP(T28,'15-16_DP_Tables'!$M$12:$V$18,MATCH(V28,INDEX('15-16_DP_Tables'!$M$12:$V$18,1,0),0),0))</f>
        <v>47.791666666664241</v>
      </c>
      <c r="Y28" s="223" t="str">
        <f t="shared" si="6"/>
        <v>Horizontal</v>
      </c>
      <c r="Z28" s="223">
        <v>5</v>
      </c>
      <c r="AA28" s="249" t="e">
        <f>VLOOKUP(T28,'Planning and Target Times'!$A$74:$L$78,MATCH(E28&amp;"-"&amp;Q28&amp;"-"&amp;Y28&amp;"-"&amp;R28,INDEX('Planning and Target Times'!$A$74:$L$78,1,0),0),0)</f>
        <v>#N/A</v>
      </c>
      <c r="AB28" s="249" t="e">
        <f>VLOOKUP(T28,'Planning and Target Times'!$A$97:$L$101,MATCH(E28&amp;"-"&amp;Q28&amp;"-"&amp;Y28&amp;"-"&amp;R28,INDEX('Planning and Target Times'!$A$97:$L$101,1,0),0),0)</f>
        <v>#N/A</v>
      </c>
      <c r="AC28" s="250">
        <f t="shared" si="11"/>
        <v>24.525547445255995</v>
      </c>
      <c r="AD28" s="250">
        <f t="shared" si="7"/>
        <v>29.293809938972714</v>
      </c>
      <c r="AE28" s="248">
        <f t="shared" si="8"/>
        <v>1498.27866904285</v>
      </c>
      <c r="AF28" s="248">
        <f t="shared" si="2"/>
        <v>9451.7213309571507</v>
      </c>
      <c r="AG28" s="248">
        <f t="shared" ca="1" si="3"/>
        <v>2371.7213309571498</v>
      </c>
      <c r="AH28" s="248">
        <f t="shared" ca="1" si="4"/>
        <v>565.72133095715003</v>
      </c>
      <c r="AI28" s="248">
        <f t="shared" si="9"/>
        <v>1157.9649994666522</v>
      </c>
      <c r="AJ28" s="248">
        <f t="shared" ca="1" si="10"/>
        <v>2712.0350005333476</v>
      </c>
      <c r="AK28" s="248">
        <f t="shared" ca="1" si="5"/>
        <v>906.03500053334778</v>
      </c>
    </row>
    <row r="29" spans="2:37" ht="15.95" customHeight="1" x14ac:dyDescent="0.25">
      <c r="B29" s="136">
        <v>77</v>
      </c>
      <c r="C29" s="149" t="s">
        <v>1163</v>
      </c>
      <c r="D29" s="184" t="s">
        <v>511</v>
      </c>
      <c r="E29" s="150" t="s">
        <v>11</v>
      </c>
      <c r="F29" s="140" t="s">
        <v>17</v>
      </c>
      <c r="G29" s="132" t="s">
        <v>1086</v>
      </c>
      <c r="H29" s="132" t="s">
        <v>1077</v>
      </c>
      <c r="I29" s="132" t="s">
        <v>459</v>
      </c>
      <c r="J29" s="133" t="s">
        <v>1079</v>
      </c>
      <c r="K29" s="142">
        <v>42026</v>
      </c>
      <c r="L29" s="134">
        <v>42075</v>
      </c>
      <c r="M29" s="134">
        <v>42089</v>
      </c>
      <c r="N29" s="132">
        <v>49</v>
      </c>
      <c r="O29" s="135"/>
      <c r="P29" s="135" t="s">
        <v>1080</v>
      </c>
      <c r="Q29" s="223" t="s">
        <v>18</v>
      </c>
      <c r="R29" s="223" t="s">
        <v>34</v>
      </c>
      <c r="S29" s="223" t="s">
        <v>17</v>
      </c>
      <c r="T29" s="224" t="str">
        <f t="shared" si="0"/>
        <v>MA</v>
      </c>
      <c r="U29" s="223" t="str">
        <f t="shared" si="1"/>
        <v>MA-ST-Inj</v>
      </c>
      <c r="V29" s="223" t="str">
        <f t="array" ref="V29">CONCATENATE(Q29,"-",R29)</f>
        <v>ST-Inj</v>
      </c>
      <c r="W29" s="239">
        <f>IF(ISERROR(VLOOKUP(T29,'15-16_DP_Tables'!$M$2:$V$8,MATCH(V29,INDEX('15-16_DP_Tables'!$M$2:$V$8,1,0),0),0)),0,VLOOKUP(T29,'15-16_DP_Tables'!$M$2:$V$8,MATCH(V29,INDEX('15-16_DP_Tables'!$M$2:$V$8,1,0),0),0))</f>
        <v>35.545833099999626</v>
      </c>
      <c r="X29" s="239">
        <f t="array" ref="X29">IF(ISERROR(VLOOKUP(T29,'15-16_DP_Tables'!$M$12:$V$18,MATCH(V29,INDEX('15-16_DP_Tables'!$M$12:$V$18,1,0),0),0)),0,VLOOKUP(T29,'15-16_DP_Tables'!$M$12:$V$18,MATCH(V29,INDEX('15-16_DP_Tables'!$M$12:$V$18,1,0),0),0))</f>
        <v>26.054166533332847</v>
      </c>
      <c r="Y29" s="223" t="str">
        <f t="shared" si="6"/>
        <v>Horizontal</v>
      </c>
      <c r="Z29" s="223">
        <v>5</v>
      </c>
      <c r="AA29" s="249" t="e">
        <f>VLOOKUP(T29,'Planning and Target Times'!$A$74:$L$78,MATCH(E29&amp;"-"&amp;Q29&amp;"-"&amp;Y29&amp;"-"&amp;R29,INDEX('Planning and Target Times'!$A$74:$L$78,1,0),0),0)</f>
        <v>#N/A</v>
      </c>
      <c r="AB29" s="249" t="e">
        <f>VLOOKUP(T29,'Planning and Target Times'!$A$97:$L$101,MATCH(E29&amp;"-"&amp;Q29&amp;"-"&amp;Y29&amp;"-"&amp;R29,INDEX('Planning and Target Times'!$A$97:$L$101,1,0),0),0)</f>
        <v>#N/A</v>
      </c>
      <c r="AC29" s="250">
        <f t="shared" si="11"/>
        <v>0</v>
      </c>
      <c r="AD29" s="250">
        <f t="shared" si="7"/>
        <v>0</v>
      </c>
      <c r="AE29" s="248">
        <f t="shared" si="8"/>
        <v>1538.8245021428495</v>
      </c>
      <c r="AF29" s="248">
        <f t="shared" si="2"/>
        <v>9411.1754978571498</v>
      </c>
      <c r="AG29" s="248">
        <f t="shared" ca="1" si="3"/>
        <v>2331.1754978571507</v>
      </c>
      <c r="AH29" s="248">
        <f t="shared" ca="1" si="4"/>
        <v>525.1754978571505</v>
      </c>
      <c r="AI29" s="248">
        <f t="shared" si="9"/>
        <v>1189.019165999985</v>
      </c>
      <c r="AJ29" s="248">
        <f t="shared" ca="1" si="10"/>
        <v>2680.980834000015</v>
      </c>
      <c r="AK29" s="248">
        <f t="shared" ca="1" si="5"/>
        <v>874.98083400001497</v>
      </c>
    </row>
    <row r="30" spans="2:37" ht="15.95" customHeight="1" x14ac:dyDescent="0.25">
      <c r="B30" s="136">
        <v>27</v>
      </c>
      <c r="C30" s="162" t="s">
        <v>1110</v>
      </c>
      <c r="D30" s="157" t="s">
        <v>1107</v>
      </c>
      <c r="E30" s="155" t="s">
        <v>42</v>
      </c>
      <c r="F30" s="140" t="s">
        <v>17</v>
      </c>
      <c r="G30" s="140" t="s">
        <v>1086</v>
      </c>
      <c r="H30" s="140" t="s">
        <v>1077</v>
      </c>
      <c r="I30" s="140" t="s">
        <v>459</v>
      </c>
      <c r="J30" s="141" t="s">
        <v>1079</v>
      </c>
      <c r="K30" s="142">
        <v>42030</v>
      </c>
      <c r="L30" s="142">
        <v>42079</v>
      </c>
      <c r="M30" s="134">
        <v>42093</v>
      </c>
      <c r="N30" s="132">
        <v>49</v>
      </c>
      <c r="O30" s="135"/>
      <c r="P30" s="135" t="s">
        <v>1080</v>
      </c>
      <c r="Q30" s="223" t="s">
        <v>18</v>
      </c>
      <c r="R30" s="223" t="s">
        <v>34</v>
      </c>
      <c r="S30" s="223" t="s">
        <v>17</v>
      </c>
      <c r="T30" s="224" t="str">
        <f t="shared" si="0"/>
        <v>MA</v>
      </c>
      <c r="U30" s="223" t="str">
        <f t="shared" si="1"/>
        <v>MA-ST-Inj</v>
      </c>
      <c r="V30" s="223" t="str">
        <f t="array" ref="V30">CONCATENATE(Q30,"-",R30)</f>
        <v>ST-Inj</v>
      </c>
      <c r="W30" s="239">
        <f>IF(ISERROR(VLOOKUP(T30,'15-16_DP_Tables'!$M$2:$V$8,MATCH(V30,INDEX('15-16_DP_Tables'!$M$2:$V$8,1,0),0),0)),0,VLOOKUP(T30,'15-16_DP_Tables'!$M$2:$V$8,MATCH(V30,INDEX('15-16_DP_Tables'!$M$2:$V$8,1,0),0),0))</f>
        <v>35.545833099999626</v>
      </c>
      <c r="X30" s="239">
        <f t="array" ref="X30">IF(ISERROR(VLOOKUP(T30,'15-16_DP_Tables'!$M$12:$V$18,MATCH(V30,INDEX('15-16_DP_Tables'!$M$12:$V$18,1,0),0),0)),0,VLOOKUP(T30,'15-16_DP_Tables'!$M$12:$V$18,MATCH(V30,INDEX('15-16_DP_Tables'!$M$12:$V$18,1,0),0),0))</f>
        <v>26.054166533332847</v>
      </c>
      <c r="Y30" s="223" t="str">
        <f t="shared" si="6"/>
        <v>Horizontal</v>
      </c>
      <c r="Z30" s="223">
        <v>5</v>
      </c>
      <c r="AA30" s="249" t="e">
        <f>VLOOKUP(T30,'Planning and Target Times'!$A$74:$L$78,MATCH(E30&amp;"-"&amp;Q30&amp;"-"&amp;Y30&amp;"-"&amp;R30,INDEX('Planning and Target Times'!$A$74:$L$78,1,0),0),0)</f>
        <v>#N/A</v>
      </c>
      <c r="AB30" s="249" t="e">
        <f>VLOOKUP(T30,'Planning and Target Times'!$A$97:$L$101,MATCH(E30&amp;"-"&amp;Q30&amp;"-"&amp;Y30&amp;"-"&amp;R30,INDEX('Planning and Target Times'!$A$97:$L$101,1,0),0),0)</f>
        <v>#N/A</v>
      </c>
      <c r="AC30" s="250">
        <f t="shared" si="11"/>
        <v>0</v>
      </c>
      <c r="AD30" s="250">
        <f t="shared" si="7"/>
        <v>0</v>
      </c>
      <c r="AE30" s="248">
        <f t="shared" si="8"/>
        <v>1579.370335242849</v>
      </c>
      <c r="AF30" s="248">
        <f t="shared" si="2"/>
        <v>9370.6296647571507</v>
      </c>
      <c r="AG30" s="248">
        <f t="shared" ca="1" si="3"/>
        <v>2290.6296647571507</v>
      </c>
      <c r="AH30" s="248">
        <f t="shared" ca="1" si="4"/>
        <v>484.62966475715098</v>
      </c>
      <c r="AI30" s="248">
        <f t="shared" si="9"/>
        <v>1220.0733325333179</v>
      </c>
      <c r="AJ30" s="248">
        <f t="shared" ca="1" si="10"/>
        <v>2649.9266674666824</v>
      </c>
      <c r="AK30" s="248">
        <f t="shared" ca="1" si="5"/>
        <v>843.92666746668215</v>
      </c>
    </row>
    <row r="31" spans="2:37" ht="15.95" customHeight="1" x14ac:dyDescent="0.25">
      <c r="B31" s="136">
        <v>21</v>
      </c>
      <c r="C31" s="137" t="s">
        <v>1103</v>
      </c>
      <c r="D31" s="156" t="s">
        <v>12</v>
      </c>
      <c r="E31" s="139" t="s">
        <v>42</v>
      </c>
      <c r="F31" s="140" t="s">
        <v>17</v>
      </c>
      <c r="G31" s="140" t="s">
        <v>1076</v>
      </c>
      <c r="H31" s="140" t="s">
        <v>1077</v>
      </c>
      <c r="I31" s="140" t="s">
        <v>1061</v>
      </c>
      <c r="J31" s="141" t="s">
        <v>1079</v>
      </c>
      <c r="K31" s="142">
        <v>42032</v>
      </c>
      <c r="L31" s="142">
        <v>42088</v>
      </c>
      <c r="M31" s="134">
        <v>42102</v>
      </c>
      <c r="N31" s="140">
        <v>56</v>
      </c>
      <c r="O31" s="143">
        <v>1200</v>
      </c>
      <c r="P31" s="135" t="s">
        <v>1080</v>
      </c>
      <c r="Q31" s="223" t="s">
        <v>18</v>
      </c>
      <c r="R31" s="223" t="s">
        <v>298</v>
      </c>
      <c r="S31" s="223" t="s">
        <v>17</v>
      </c>
      <c r="T31" s="224" t="str">
        <f t="shared" si="0"/>
        <v>MA</v>
      </c>
      <c r="U31" s="223" t="str">
        <f t="shared" si="1"/>
        <v>MA-ST-Prod</v>
      </c>
      <c r="V31" s="223" t="str">
        <f t="array" ref="V31">CONCATENATE(Q31,"-",R31)</f>
        <v>ST-Prod</v>
      </c>
      <c r="W31" s="239">
        <f>IF(ISERROR(VLOOKUP(T31,'15-16_DP_Tables'!$M$2:$V$8,MATCH(V31,INDEX('15-16_DP_Tables'!$M$2:$V$8,1,0),0),0)),0,VLOOKUP(T31,'15-16_DP_Tables'!$M$2:$V$8,MATCH(V31,INDEX('15-16_DP_Tables'!$M$2:$V$8,1,0),0),0))</f>
        <v>47.881547142856107</v>
      </c>
      <c r="X31" s="239">
        <f t="array" ref="X31">IF(ISERROR(VLOOKUP(T31,'15-16_DP_Tables'!$M$12:$V$18,MATCH(V31,INDEX('15-16_DP_Tables'!$M$12:$V$18,1,0),0),0)),0,VLOOKUP(T31,'15-16_DP_Tables'!$M$12:$V$18,MATCH(V31,INDEX('15-16_DP_Tables'!$M$12:$V$18,1,0),0),0))</f>
        <v>41.770833333332121</v>
      </c>
      <c r="Y31" s="223" t="str">
        <f t="shared" si="6"/>
        <v>Horizontal</v>
      </c>
      <c r="Z31" s="223">
        <v>5</v>
      </c>
      <c r="AA31" s="249" t="e">
        <f>VLOOKUP(T31,'Planning and Target Times'!$A$74:$L$78,MATCH(E31&amp;"-"&amp;Q31&amp;"-"&amp;Y31&amp;"-"&amp;R31,INDEX('Planning and Target Times'!$A$74:$L$78,1,0),0),0)</f>
        <v>#N/A</v>
      </c>
      <c r="AB31" s="249" t="e">
        <f>VLOOKUP(T31,'Planning and Target Times'!$A$97:$L$101,MATCH(E31&amp;"-"&amp;Q31&amp;"-"&amp;Y31&amp;"-"&amp;R31,INDEX('Planning and Target Times'!$A$97:$L$101,1,0),0),0)</f>
        <v>#N/A</v>
      </c>
      <c r="AC31" s="250">
        <f t="shared" si="11"/>
        <v>25.061846820023632</v>
      </c>
      <c r="AD31" s="250">
        <f t="shared" si="7"/>
        <v>28.728179551123027</v>
      </c>
      <c r="AE31" s="248">
        <f t="shared" si="8"/>
        <v>1632.2518823857051</v>
      </c>
      <c r="AF31" s="248">
        <f t="shared" si="2"/>
        <v>9317.7481176142956</v>
      </c>
      <c r="AG31" s="248">
        <f t="shared" ca="1" si="3"/>
        <v>2237.7481176142946</v>
      </c>
      <c r="AH31" s="248">
        <f t="shared" ca="1" si="4"/>
        <v>431.74811761429487</v>
      </c>
      <c r="AI31" s="248">
        <f t="shared" si="9"/>
        <v>1266.84416586665</v>
      </c>
      <c r="AJ31" s="248">
        <f t="shared" ca="1" si="10"/>
        <v>2603.1558341333503</v>
      </c>
      <c r="AK31" s="248">
        <f t="shared" ca="1" si="5"/>
        <v>797.15583413335003</v>
      </c>
    </row>
    <row r="32" spans="2:37" ht="15.95" customHeight="1" x14ac:dyDescent="0.25">
      <c r="B32" s="136">
        <v>84</v>
      </c>
      <c r="C32" s="144" t="s">
        <v>1170</v>
      </c>
      <c r="D32" s="165" t="s">
        <v>1171</v>
      </c>
      <c r="E32" s="139" t="s">
        <v>42</v>
      </c>
      <c r="F32" s="140" t="s">
        <v>29</v>
      </c>
      <c r="G32" s="140" t="s">
        <v>1076</v>
      </c>
      <c r="H32" s="140" t="s">
        <v>1082</v>
      </c>
      <c r="I32" s="140" t="s">
        <v>459</v>
      </c>
      <c r="J32" s="141" t="s">
        <v>1079</v>
      </c>
      <c r="K32" s="142">
        <v>42036</v>
      </c>
      <c r="L32" s="142">
        <v>42106</v>
      </c>
      <c r="M32" s="134">
        <v>42120</v>
      </c>
      <c r="N32" s="140">
        <v>70</v>
      </c>
      <c r="O32" s="143">
        <v>2000</v>
      </c>
      <c r="P32" s="135" t="s">
        <v>1080</v>
      </c>
      <c r="Q32" s="223" t="s">
        <v>14</v>
      </c>
      <c r="R32" s="223" t="s">
        <v>298</v>
      </c>
      <c r="S32" s="223" t="s">
        <v>29</v>
      </c>
      <c r="T32" s="224" t="str">
        <f t="shared" si="0"/>
        <v>UB</v>
      </c>
      <c r="U32" s="223" t="str">
        <f t="shared" si="1"/>
        <v>UB-NW-Prod</v>
      </c>
      <c r="V32" s="223" t="str">
        <f t="array" ref="V32">CONCATENATE(Q32,"-",R32)</f>
        <v>NW-Prod</v>
      </c>
      <c r="W32" s="239">
        <f>IF(ISERROR(VLOOKUP(T32,'15-16_DP_Tables'!$M$2:$V$8,MATCH(V32,INDEX('15-16_DP_Tables'!$M$2:$V$8,1,0),0),0)),0,VLOOKUP(T32,'15-16_DP_Tables'!$M$2:$V$8,MATCH(V32,INDEX('15-16_DP_Tables'!$M$2:$V$8,1,0),0),0))</f>
        <v>53.604164999999995</v>
      </c>
      <c r="X32" s="239">
        <f t="array" ref="X32">IF(ISERROR(VLOOKUP(T32,'15-16_DP_Tables'!$M$12:$V$18,MATCH(V32,INDEX('15-16_DP_Tables'!$M$12:$V$18,1,0),0),0)),0,VLOOKUP(T32,'15-16_DP_Tables'!$M$12:$V$18,MATCH(V32,INDEX('15-16_DP_Tables'!$M$12:$V$18,1,0),0),0))</f>
        <v>48</v>
      </c>
      <c r="Y32" s="223" t="str">
        <f t="shared" si="6"/>
        <v>Horizontal</v>
      </c>
      <c r="Z32" s="223">
        <v>5</v>
      </c>
      <c r="AA32" s="249" t="e">
        <f>VLOOKUP(T32,'Planning and Target Times'!$A$74:$L$78,MATCH(E32&amp;"-"&amp;Q32&amp;"-"&amp;Y32&amp;"-"&amp;R32,INDEX('Planning and Target Times'!$A$74:$L$78,1,0),0),0)</f>
        <v>#N/A</v>
      </c>
      <c r="AB32" s="249" t="e">
        <f>VLOOKUP(T32,'Planning and Target Times'!$A$97:$L$101,MATCH(E32&amp;"-"&amp;Q32&amp;"-"&amp;Y32&amp;"-"&amp;R32,INDEX('Planning and Target Times'!$A$97:$L$101,1,0),0),0)</f>
        <v>#N/A</v>
      </c>
      <c r="AC32" s="250">
        <f t="shared" si="11"/>
        <v>37.31053361245344</v>
      </c>
      <c r="AD32" s="250">
        <f t="shared" si="7"/>
        <v>41.666666666666664</v>
      </c>
      <c r="AE32" s="248">
        <f t="shared" si="8"/>
        <v>1690.8560473857051</v>
      </c>
      <c r="AF32" s="248">
        <f t="shared" si="2"/>
        <v>9259.1439526142949</v>
      </c>
      <c r="AG32" s="248">
        <f t="shared" ca="1" si="3"/>
        <v>2179.1439526142949</v>
      </c>
      <c r="AH32" s="248">
        <f t="shared" ca="1" si="4"/>
        <v>373.1439526142949</v>
      </c>
      <c r="AI32" s="248">
        <f t="shared" si="9"/>
        <v>1319.84416586665</v>
      </c>
      <c r="AJ32" s="248">
        <f t="shared" ca="1" si="10"/>
        <v>2550.1558341333503</v>
      </c>
      <c r="AK32" s="248">
        <f t="shared" ca="1" si="5"/>
        <v>744.15583413335003</v>
      </c>
    </row>
    <row r="33" spans="2:37" ht="15.95" customHeight="1" x14ac:dyDescent="0.25">
      <c r="B33" s="136">
        <v>63</v>
      </c>
      <c r="C33" s="181" t="s">
        <v>1149</v>
      </c>
      <c r="D33" s="180" t="s">
        <v>513</v>
      </c>
      <c r="E33" s="170" t="s">
        <v>11</v>
      </c>
      <c r="F33" s="140" t="s">
        <v>17</v>
      </c>
      <c r="G33" s="140" t="s">
        <v>1076</v>
      </c>
      <c r="H33" s="140" t="s">
        <v>1077</v>
      </c>
      <c r="I33" s="140" t="s">
        <v>459</v>
      </c>
      <c r="J33" s="141" t="s">
        <v>1079</v>
      </c>
      <c r="K33" s="142">
        <v>42037</v>
      </c>
      <c r="L33" s="142">
        <v>42093</v>
      </c>
      <c r="M33" s="134">
        <v>42107</v>
      </c>
      <c r="N33" s="140">
        <v>56</v>
      </c>
      <c r="O33" s="143">
        <v>1200</v>
      </c>
      <c r="P33" s="135" t="s">
        <v>1080</v>
      </c>
      <c r="Q33" s="223" t="s">
        <v>18</v>
      </c>
      <c r="R33" s="223" t="s">
        <v>298</v>
      </c>
      <c r="S33" s="223" t="s">
        <v>17</v>
      </c>
      <c r="T33" s="224" t="str">
        <f t="shared" si="0"/>
        <v>MA</v>
      </c>
      <c r="U33" s="223" t="str">
        <f t="shared" si="1"/>
        <v>MA-ST-Prod</v>
      </c>
      <c r="V33" s="223" t="str">
        <f t="array" ref="V33">CONCATENATE(Q33,"-",R33)</f>
        <v>ST-Prod</v>
      </c>
      <c r="W33" s="239">
        <f>IF(ISERROR(VLOOKUP(T33,'15-16_DP_Tables'!$M$2:$V$8,MATCH(V33,INDEX('15-16_DP_Tables'!$M$2:$V$8,1,0),0),0)),0,VLOOKUP(T33,'15-16_DP_Tables'!$M$2:$V$8,MATCH(V33,INDEX('15-16_DP_Tables'!$M$2:$V$8,1,0),0),0))</f>
        <v>47.881547142856107</v>
      </c>
      <c r="X33" s="239">
        <f t="array" ref="X33">IF(ISERROR(VLOOKUP(T33,'15-16_DP_Tables'!$M$12:$V$18,MATCH(V33,INDEX('15-16_DP_Tables'!$M$12:$V$18,1,0),0),0)),0,VLOOKUP(T33,'15-16_DP_Tables'!$M$12:$V$18,MATCH(V33,INDEX('15-16_DP_Tables'!$M$12:$V$18,1,0),0),0))</f>
        <v>41.770833333332121</v>
      </c>
      <c r="Y33" s="223" t="str">
        <f t="shared" si="6"/>
        <v>Horizontal</v>
      </c>
      <c r="Z33" s="223">
        <v>5</v>
      </c>
      <c r="AA33" s="249" t="e">
        <f>VLOOKUP(T33,'Planning and Target Times'!$A$74:$L$78,MATCH(E33&amp;"-"&amp;Q33&amp;"-"&amp;Y33&amp;"-"&amp;R33,INDEX('Planning and Target Times'!$A$74:$L$78,1,0),0),0)</f>
        <v>#N/A</v>
      </c>
      <c r="AB33" s="249" t="e">
        <f>VLOOKUP(T33,'Planning and Target Times'!$A$97:$L$101,MATCH(E33&amp;"-"&amp;Q33&amp;"-"&amp;Y33&amp;"-"&amp;R33,INDEX('Planning and Target Times'!$A$97:$L$101,1,0),0),0)</f>
        <v>#N/A</v>
      </c>
      <c r="AC33" s="250">
        <f t="shared" si="11"/>
        <v>25.061846820023632</v>
      </c>
      <c r="AD33" s="250">
        <f t="shared" si="7"/>
        <v>28.728179551123027</v>
      </c>
      <c r="AE33" s="248">
        <f t="shared" si="8"/>
        <v>1743.7375945285612</v>
      </c>
      <c r="AF33" s="248">
        <f t="shared" si="2"/>
        <v>9206.2624054714397</v>
      </c>
      <c r="AG33" s="248">
        <f t="shared" ca="1" si="3"/>
        <v>2126.2624054714388</v>
      </c>
      <c r="AH33" s="248">
        <f t="shared" ca="1" si="4"/>
        <v>320.2624054714388</v>
      </c>
      <c r="AI33" s="248">
        <f t="shared" si="9"/>
        <v>1366.6149991999821</v>
      </c>
      <c r="AJ33" s="248">
        <f t="shared" ca="1" si="10"/>
        <v>2503.3850008000181</v>
      </c>
      <c r="AK33" s="248">
        <f t="shared" ca="1" si="5"/>
        <v>697.38500080001791</v>
      </c>
    </row>
    <row r="34" spans="2:37" ht="15.95" customHeight="1" x14ac:dyDescent="0.25">
      <c r="B34" s="136">
        <v>10</v>
      </c>
      <c r="C34" s="148" t="s">
        <v>1091</v>
      </c>
      <c r="D34" s="147" t="s">
        <v>430</v>
      </c>
      <c r="E34" s="139" t="s">
        <v>42</v>
      </c>
      <c r="F34" s="140" t="s">
        <v>17</v>
      </c>
      <c r="G34" s="140" t="s">
        <v>1076</v>
      </c>
      <c r="H34" s="140" t="s">
        <v>1077</v>
      </c>
      <c r="I34" s="140" t="s">
        <v>459</v>
      </c>
      <c r="J34" s="141" t="s">
        <v>1079</v>
      </c>
      <c r="K34" s="142">
        <v>42043</v>
      </c>
      <c r="L34" s="142">
        <v>42099</v>
      </c>
      <c r="M34" s="134">
        <v>42113</v>
      </c>
      <c r="N34" s="140">
        <v>56</v>
      </c>
      <c r="O34" s="143">
        <v>1200</v>
      </c>
      <c r="P34" s="135" t="s">
        <v>1080</v>
      </c>
      <c r="Q34" s="223" t="s">
        <v>18</v>
      </c>
      <c r="R34" s="223" t="s">
        <v>298</v>
      </c>
      <c r="S34" s="223" t="s">
        <v>17</v>
      </c>
      <c r="T34" s="224" t="str">
        <f t="shared" si="0"/>
        <v>MA</v>
      </c>
      <c r="U34" s="223" t="str">
        <f t="shared" si="1"/>
        <v>MA-ST-Prod</v>
      </c>
      <c r="V34" s="223" t="str">
        <f t="array" ref="V34">CONCATENATE(Q34,"-",R34)</f>
        <v>ST-Prod</v>
      </c>
      <c r="W34" s="239">
        <f>IF(ISERROR(VLOOKUP(T34,'15-16_DP_Tables'!$M$2:$V$8,MATCH(V34,INDEX('15-16_DP_Tables'!$M$2:$V$8,1,0),0),0)),0,VLOOKUP(T34,'15-16_DP_Tables'!$M$2:$V$8,MATCH(V34,INDEX('15-16_DP_Tables'!$M$2:$V$8,1,0),0),0))</f>
        <v>47.881547142856107</v>
      </c>
      <c r="X34" s="239">
        <f t="array" ref="X34">IF(ISERROR(VLOOKUP(T34,'15-16_DP_Tables'!$M$12:$V$18,MATCH(V34,INDEX('15-16_DP_Tables'!$M$12:$V$18,1,0),0),0)),0,VLOOKUP(T34,'15-16_DP_Tables'!$M$12:$V$18,MATCH(V34,INDEX('15-16_DP_Tables'!$M$12:$V$18,1,0),0),0))</f>
        <v>41.770833333332121</v>
      </c>
      <c r="Y34" s="223" t="str">
        <f t="shared" si="6"/>
        <v>Horizontal</v>
      </c>
      <c r="Z34" s="223">
        <v>5</v>
      </c>
      <c r="AA34" s="249" t="e">
        <f>VLOOKUP(T34,'Planning and Target Times'!$A$74:$L$78,MATCH(E34&amp;"-"&amp;Q34&amp;"-"&amp;Y34&amp;"-"&amp;R34,INDEX('Planning and Target Times'!$A$74:$L$78,1,0),0),0)</f>
        <v>#N/A</v>
      </c>
      <c r="AB34" s="249" t="e">
        <f>VLOOKUP(T34,'Planning and Target Times'!$A$97:$L$101,MATCH(E34&amp;"-"&amp;Q34&amp;"-"&amp;Y34&amp;"-"&amp;R34,INDEX('Planning and Target Times'!$A$97:$L$101,1,0),0),0)</f>
        <v>#N/A</v>
      </c>
      <c r="AC34" s="250">
        <f t="shared" si="11"/>
        <v>25.061846820023632</v>
      </c>
      <c r="AD34" s="250">
        <f t="shared" si="7"/>
        <v>28.728179551123027</v>
      </c>
      <c r="AE34" s="248">
        <f t="shared" si="8"/>
        <v>1796.6191416714173</v>
      </c>
      <c r="AF34" s="248">
        <f t="shared" si="2"/>
        <v>9153.3808583285827</v>
      </c>
      <c r="AG34" s="248">
        <f t="shared" ca="1" si="3"/>
        <v>2073.3808583285827</v>
      </c>
      <c r="AH34" s="248">
        <f t="shared" ca="1" si="4"/>
        <v>267.38085832858269</v>
      </c>
      <c r="AI34" s="248">
        <f t="shared" si="9"/>
        <v>1413.3858325333142</v>
      </c>
      <c r="AJ34" s="248">
        <f t="shared" ca="1" si="10"/>
        <v>2456.614167466686</v>
      </c>
      <c r="AK34" s="248">
        <f t="shared" ca="1" si="5"/>
        <v>650.61416746668579</v>
      </c>
    </row>
    <row r="35" spans="2:37" ht="15.95" customHeight="1" x14ac:dyDescent="0.25">
      <c r="B35" s="136">
        <v>71</v>
      </c>
      <c r="C35" s="183" t="s">
        <v>1157</v>
      </c>
      <c r="D35" s="182" t="s">
        <v>512</v>
      </c>
      <c r="E35" s="139" t="s">
        <v>11</v>
      </c>
      <c r="F35" s="140" t="s">
        <v>17</v>
      </c>
      <c r="G35" s="140" t="s">
        <v>1076</v>
      </c>
      <c r="H35" s="140" t="s">
        <v>1082</v>
      </c>
      <c r="I35" s="140" t="s">
        <v>459</v>
      </c>
      <c r="J35" s="141" t="s">
        <v>1079</v>
      </c>
      <c r="K35" s="142">
        <v>42060</v>
      </c>
      <c r="L35" s="142">
        <v>42130</v>
      </c>
      <c r="M35" s="134">
        <v>42144</v>
      </c>
      <c r="N35" s="140">
        <v>70</v>
      </c>
      <c r="O35" s="143">
        <v>1400</v>
      </c>
      <c r="P35" s="135" t="s">
        <v>1080</v>
      </c>
      <c r="Q35" s="223" t="s">
        <v>14</v>
      </c>
      <c r="R35" s="223" t="s">
        <v>298</v>
      </c>
      <c r="S35" s="223" t="s">
        <v>17</v>
      </c>
      <c r="T35" s="224" t="str">
        <f t="shared" si="0"/>
        <v>MA</v>
      </c>
      <c r="U35" s="223" t="str">
        <f t="shared" si="1"/>
        <v>MA-NW-Prod</v>
      </c>
      <c r="V35" s="223" t="str">
        <f t="array" ref="V35">CONCATENATE(Q35,"-",R35)</f>
        <v>NW-Prod</v>
      </c>
      <c r="W35" s="239">
        <f>IF(ISERROR(VLOOKUP(T35,'15-16_DP_Tables'!$M$2:$V$8,MATCH(V35,INDEX('15-16_DP_Tables'!$M$2:$V$8,1,0),0),0)),0,VLOOKUP(T35,'15-16_DP_Tables'!$M$2:$V$8,MATCH(V35,INDEX('15-16_DP_Tables'!$M$2:$V$8,1,0),0),0))</f>
        <v>57.083333333332121</v>
      </c>
      <c r="X35" s="239">
        <f t="array" ref="X35">IF(ISERROR(VLOOKUP(T35,'15-16_DP_Tables'!$M$12:$V$18,MATCH(V35,INDEX('15-16_DP_Tables'!$M$12:$V$18,1,0),0),0)),0,VLOOKUP(T35,'15-16_DP_Tables'!$M$12:$V$18,MATCH(V35,INDEX('15-16_DP_Tables'!$M$12:$V$18,1,0),0),0))</f>
        <v>47.791666666664241</v>
      </c>
      <c r="Y35" s="223" t="str">
        <f t="shared" si="6"/>
        <v>Horizontal</v>
      </c>
      <c r="Z35" s="223">
        <v>5</v>
      </c>
      <c r="AA35" s="249" t="e">
        <f>VLOOKUP(T35,'Planning and Target Times'!$A$74:$L$78,MATCH(E35&amp;"-"&amp;Q35&amp;"-"&amp;Y35&amp;"-"&amp;R35,INDEX('Planning and Target Times'!$A$74:$L$78,1,0),0),0)</f>
        <v>#N/A</v>
      </c>
      <c r="AB35" s="249" t="e">
        <f>VLOOKUP(T35,'Planning and Target Times'!$A$97:$L$101,MATCH(E35&amp;"-"&amp;Q35&amp;"-"&amp;Y35&amp;"-"&amp;R35,INDEX('Planning and Target Times'!$A$97:$L$101,1,0),0),0)</f>
        <v>#N/A</v>
      </c>
      <c r="AC35" s="250">
        <f t="shared" si="11"/>
        <v>24.525547445255995</v>
      </c>
      <c r="AD35" s="250">
        <f t="shared" si="7"/>
        <v>29.293809938972714</v>
      </c>
      <c r="AE35" s="248">
        <f t="shared" si="8"/>
        <v>1858.7024750047494</v>
      </c>
      <c r="AF35" s="248">
        <f t="shared" si="2"/>
        <v>9091.2975249952506</v>
      </c>
      <c r="AG35" s="248">
        <f t="shared" ca="1" si="3"/>
        <v>2011.2975249952506</v>
      </c>
      <c r="AH35" s="248">
        <f t="shared" ca="1" si="4"/>
        <v>205.29752499525057</v>
      </c>
      <c r="AI35" s="248">
        <f t="shared" si="9"/>
        <v>1466.1774991999785</v>
      </c>
      <c r="AJ35" s="248">
        <f t="shared" ca="1" si="10"/>
        <v>2403.8225008000218</v>
      </c>
      <c r="AK35" s="248">
        <f t="shared" ca="1" si="5"/>
        <v>597.82250080002154</v>
      </c>
    </row>
    <row r="36" spans="2:37" ht="15.95" customHeight="1" x14ac:dyDescent="0.25">
      <c r="B36" s="136">
        <v>47</v>
      </c>
      <c r="C36" s="144" t="s">
        <v>1131</v>
      </c>
      <c r="D36" s="171" t="s">
        <v>1126</v>
      </c>
      <c r="E36" s="139" t="s">
        <v>11</v>
      </c>
      <c r="F36" s="140" t="s">
        <v>44</v>
      </c>
      <c r="G36" s="132" t="s">
        <v>1076</v>
      </c>
      <c r="H36" s="132" t="s">
        <v>1082</v>
      </c>
      <c r="I36" s="132" t="s">
        <v>459</v>
      </c>
      <c r="J36" s="133" t="s">
        <v>1079</v>
      </c>
      <c r="K36" s="142">
        <v>42066</v>
      </c>
      <c r="L36" s="142">
        <v>42164</v>
      </c>
      <c r="M36" s="134">
        <v>42178</v>
      </c>
      <c r="N36" s="140">
        <v>98</v>
      </c>
      <c r="O36" s="143">
        <v>1200</v>
      </c>
      <c r="P36" s="135" t="s">
        <v>1080</v>
      </c>
      <c r="Q36" s="223" t="s">
        <v>14</v>
      </c>
      <c r="R36" s="223" t="s">
        <v>298</v>
      </c>
      <c r="S36" s="223" t="s">
        <v>44</v>
      </c>
      <c r="T36" s="224" t="str">
        <f t="shared" si="0"/>
        <v>ZU/RT</v>
      </c>
      <c r="U36" s="223" t="str">
        <f t="shared" si="1"/>
        <v>ZU-NW-Prod</v>
      </c>
      <c r="V36" s="223" t="str">
        <f t="array" ref="V36">CONCATENATE(Q36,"-",R36)</f>
        <v>NW-Prod</v>
      </c>
      <c r="W36" s="239">
        <f>IF(ISERROR(VLOOKUP(T36,'15-16_DP_Tables'!$M$2:$V$8,MATCH(V36,INDEX('15-16_DP_Tables'!$M$2:$V$8,1,0),0),0)),0,VLOOKUP(T36,'15-16_DP_Tables'!$M$2:$V$8,MATCH(V36,INDEX('15-16_DP_Tables'!$M$2:$V$8,1,0),0),0))</f>
        <v>99.088549999999998</v>
      </c>
      <c r="X36" s="239">
        <f t="array" ref="X36">IF(ISERROR(VLOOKUP(T36,'15-16_DP_Tables'!$M$12:$V$18,MATCH(V36,INDEX('15-16_DP_Tables'!$M$12:$V$18,1,0),0),0)),0,VLOOKUP(T36,'15-16_DP_Tables'!$M$12:$V$18,MATCH(V36,INDEX('15-16_DP_Tables'!$M$12:$V$18,1,0),0),0))</f>
        <v>53.375</v>
      </c>
      <c r="Y36" s="223" t="str">
        <f t="shared" si="6"/>
        <v>Horizontal</v>
      </c>
      <c r="Z36" s="223">
        <v>5</v>
      </c>
      <c r="AA36" s="249" t="e">
        <f>VLOOKUP(T36,'Planning and Target Times'!$A$74:$L$78,MATCH(E36&amp;"-"&amp;Q36&amp;"-"&amp;Y36&amp;"-"&amp;R36,INDEX('Planning and Target Times'!$A$74:$L$78,1,0),0),0)</f>
        <v>#N/A</v>
      </c>
      <c r="AB36" s="249" t="e">
        <f>VLOOKUP(T36,'Planning and Target Times'!$A$97:$L$101,MATCH(E36&amp;"-"&amp;Q36&amp;"-"&amp;Y36&amp;"-"&amp;R36,INDEX('Planning and Target Times'!$A$97:$L$101,1,0),0),0)</f>
        <v>#N/A</v>
      </c>
      <c r="AC36" s="250">
        <f t="shared" si="11"/>
        <v>12.110380059048195</v>
      </c>
      <c r="AD36" s="250">
        <f t="shared" si="7"/>
        <v>22.482435597189696</v>
      </c>
      <c r="AE36" s="248">
        <f t="shared" si="8"/>
        <v>1962.7910250047494</v>
      </c>
      <c r="AF36" s="248">
        <f t="shared" si="2"/>
        <v>8987.2089749952502</v>
      </c>
      <c r="AG36" s="248">
        <f t="shared" ca="1" si="3"/>
        <v>1907.2089749952506</v>
      </c>
      <c r="AH36" s="248">
        <f t="shared" ca="1" si="4"/>
        <v>101.20897499525063</v>
      </c>
      <c r="AI36" s="248">
        <f t="shared" si="9"/>
        <v>1524.5524991999785</v>
      </c>
      <c r="AJ36" s="248">
        <f t="shared" ca="1" si="10"/>
        <v>2345.4475008000218</v>
      </c>
      <c r="AK36" s="248">
        <f t="shared" ca="1" si="5"/>
        <v>539.44750080002154</v>
      </c>
    </row>
    <row r="37" spans="2:37" ht="15.95" customHeight="1" x14ac:dyDescent="0.25">
      <c r="B37" s="136">
        <v>103</v>
      </c>
      <c r="C37" s="148" t="s">
        <v>1189</v>
      </c>
      <c r="D37" s="157" t="s">
        <v>735</v>
      </c>
      <c r="E37" s="139" t="s">
        <v>42</v>
      </c>
      <c r="F37" s="140" t="s">
        <v>29</v>
      </c>
      <c r="G37" s="132" t="s">
        <v>1076</v>
      </c>
      <c r="H37" s="132" t="s">
        <v>1082</v>
      </c>
      <c r="I37" s="132" t="s">
        <v>459</v>
      </c>
      <c r="J37" s="133" t="s">
        <v>1079</v>
      </c>
      <c r="K37" s="142">
        <v>42068</v>
      </c>
      <c r="L37" s="142">
        <v>42138</v>
      </c>
      <c r="M37" s="134">
        <v>42152</v>
      </c>
      <c r="N37" s="140">
        <v>70</v>
      </c>
      <c r="O37" s="143">
        <v>2000</v>
      </c>
      <c r="P37" s="135" t="s">
        <v>1080</v>
      </c>
      <c r="Q37" s="223" t="s">
        <v>14</v>
      </c>
      <c r="R37" s="223" t="s">
        <v>298</v>
      </c>
      <c r="S37" s="223" t="s">
        <v>29</v>
      </c>
      <c r="T37" s="224" t="str">
        <f t="shared" ref="T37:T68" si="12">IF(OR(F37="ZU",F37="RT"),"ZU/RT",F37)</f>
        <v>UB</v>
      </c>
      <c r="U37" s="223" t="str">
        <f t="shared" ref="U37:U68" si="13">CONCATENATE(F37,"-",Q37,"-",R37)</f>
        <v>UB-NW-Prod</v>
      </c>
      <c r="V37" s="223" t="str">
        <f t="array" ref="V37">CONCATENATE(Q37,"-",R37)</f>
        <v>NW-Prod</v>
      </c>
      <c r="W37" s="239">
        <f>IF(ISERROR(VLOOKUP(T37,'15-16_DP_Tables'!$M$2:$V$8,MATCH(V37,INDEX('15-16_DP_Tables'!$M$2:$V$8,1,0),0),0)),0,VLOOKUP(T37,'15-16_DP_Tables'!$M$2:$V$8,MATCH(V37,INDEX('15-16_DP_Tables'!$M$2:$V$8,1,0),0),0))</f>
        <v>53.604164999999995</v>
      </c>
      <c r="X37" s="239">
        <f t="array" ref="X37">IF(ISERROR(VLOOKUP(T37,'15-16_DP_Tables'!$M$12:$V$18,MATCH(V37,INDEX('15-16_DP_Tables'!$M$12:$V$18,1,0),0),0)),0,VLOOKUP(T37,'15-16_DP_Tables'!$M$12:$V$18,MATCH(V37,INDEX('15-16_DP_Tables'!$M$12:$V$18,1,0),0),0))</f>
        <v>48</v>
      </c>
      <c r="Y37" s="223" t="str">
        <f t="shared" ref="Y37:Y68" si="14">IF(OR(ISNUMBER(SEARCH("HST",C37)),ISNUMBER(SEARCH("Horizontal",C37)),ISNUMBER(SEARCH("H",C37))),"Horizontal",IF(OR(ISNUMBER(SEARCH("SLANT",C37))),"Slant","Unknown"))</f>
        <v>Horizontal</v>
      </c>
      <c r="Z37" s="223">
        <v>5</v>
      </c>
      <c r="AA37" s="249" t="e">
        <f>VLOOKUP(T37,'Planning and Target Times'!$A$74:$L$78,MATCH(E37&amp;"-"&amp;Q37&amp;"-"&amp;Y37&amp;"-"&amp;R37,INDEX('Planning and Target Times'!$A$74:$L$78,1,0),0),0)</f>
        <v>#N/A</v>
      </c>
      <c r="AB37" s="249" t="e">
        <f>VLOOKUP(T37,'Planning and Target Times'!$A$97:$L$101,MATCH(E37&amp;"-"&amp;Q37&amp;"-"&amp;Y37&amp;"-"&amp;R37,INDEX('Planning and Target Times'!$A$97:$L$101,1,0),0),0)</f>
        <v>#N/A</v>
      </c>
      <c r="AC37" s="250">
        <f t="shared" si="11"/>
        <v>37.31053361245344</v>
      </c>
      <c r="AD37" s="250">
        <f t="shared" si="7"/>
        <v>41.666666666666664</v>
      </c>
      <c r="AE37" s="248">
        <f t="shared" si="8"/>
        <v>2021.3951900047493</v>
      </c>
      <c r="AF37" s="248">
        <f t="shared" ref="AF37:AF68" si="15">(30*365)-AE37</f>
        <v>8928.6048099952513</v>
      </c>
      <c r="AG37" s="248">
        <f t="shared" ca="1" si="3"/>
        <v>1848.6048099952507</v>
      </c>
      <c r="AH37" s="248">
        <f t="shared" ca="1" si="4"/>
        <v>42.604809995250662</v>
      </c>
      <c r="AI37" s="248">
        <f t="shared" si="9"/>
        <v>1577.5524991999785</v>
      </c>
      <c r="AJ37" s="248">
        <f t="shared" ca="1" si="10"/>
        <v>2292.4475008000218</v>
      </c>
      <c r="AK37" s="248">
        <f t="shared" ca="1" si="5"/>
        <v>486.44750080002154</v>
      </c>
    </row>
    <row r="38" spans="2:37" ht="15.95" customHeight="1" x14ac:dyDescent="0.25">
      <c r="B38" s="136">
        <v>96</v>
      </c>
      <c r="C38" s="179" t="s">
        <v>1182</v>
      </c>
      <c r="D38" s="147" t="s">
        <v>734</v>
      </c>
      <c r="E38" s="187" t="s">
        <v>11</v>
      </c>
      <c r="F38" s="140" t="s">
        <v>17</v>
      </c>
      <c r="G38" s="140" t="s">
        <v>1076</v>
      </c>
      <c r="H38" s="140" t="s">
        <v>1077</v>
      </c>
      <c r="I38" s="140" t="s">
        <v>459</v>
      </c>
      <c r="J38" s="141" t="s">
        <v>1079</v>
      </c>
      <c r="K38" s="142">
        <v>42072</v>
      </c>
      <c r="L38" s="142">
        <v>42128</v>
      </c>
      <c r="M38" s="134">
        <v>42142</v>
      </c>
      <c r="N38" s="140">
        <v>56</v>
      </c>
      <c r="O38" s="143">
        <v>1200</v>
      </c>
      <c r="P38" s="135" t="s">
        <v>1080</v>
      </c>
      <c r="Q38" s="223" t="s">
        <v>18</v>
      </c>
      <c r="R38" s="223" t="s">
        <v>298</v>
      </c>
      <c r="S38" s="223" t="s">
        <v>17</v>
      </c>
      <c r="T38" s="224" t="str">
        <f t="shared" si="12"/>
        <v>MA</v>
      </c>
      <c r="U38" s="223" t="str">
        <f t="shared" si="13"/>
        <v>MA-ST-Prod</v>
      </c>
      <c r="V38" s="223" t="str">
        <f t="array" ref="V38">CONCATENATE(Q38,"-",R38)</f>
        <v>ST-Prod</v>
      </c>
      <c r="W38" s="239">
        <f>IF(ISERROR(VLOOKUP(T38,'15-16_DP_Tables'!$M$2:$V$8,MATCH(V38,INDEX('15-16_DP_Tables'!$M$2:$V$8,1,0),0),0)),0,VLOOKUP(T38,'15-16_DP_Tables'!$M$2:$V$8,MATCH(V38,INDEX('15-16_DP_Tables'!$M$2:$V$8,1,0),0),0))</f>
        <v>47.881547142856107</v>
      </c>
      <c r="X38" s="239">
        <f t="array" ref="X38">IF(ISERROR(VLOOKUP(T38,'15-16_DP_Tables'!$M$12:$V$18,MATCH(V38,INDEX('15-16_DP_Tables'!$M$12:$V$18,1,0),0),0)),0,VLOOKUP(T38,'15-16_DP_Tables'!$M$12:$V$18,MATCH(V38,INDEX('15-16_DP_Tables'!$M$12:$V$18,1,0),0),0))</f>
        <v>41.770833333332121</v>
      </c>
      <c r="Y38" s="223" t="str">
        <f t="shared" si="14"/>
        <v>Horizontal</v>
      </c>
      <c r="Z38" s="223">
        <v>5</v>
      </c>
      <c r="AA38" s="249" t="e">
        <f>VLOOKUP(T38,'Planning and Target Times'!$A$74:$L$78,MATCH(E38&amp;"-"&amp;Q38&amp;"-"&amp;Y38&amp;"-"&amp;R38,INDEX('Planning and Target Times'!$A$74:$L$78,1,0),0),0)</f>
        <v>#N/A</v>
      </c>
      <c r="AB38" s="249" t="e">
        <f>VLOOKUP(T38,'Planning and Target Times'!$A$97:$L$101,MATCH(E38&amp;"-"&amp;Q38&amp;"-"&amp;Y38&amp;"-"&amp;R38,INDEX('Planning and Target Times'!$A$97:$L$101,1,0),0),0)</f>
        <v>#N/A</v>
      </c>
      <c r="AC38" s="250">
        <f t="shared" si="11"/>
        <v>25.061846820023632</v>
      </c>
      <c r="AD38" s="250">
        <f t="shared" si="7"/>
        <v>28.728179551123027</v>
      </c>
      <c r="AE38" s="248">
        <f t="shared" si="8"/>
        <v>2074.2767371476057</v>
      </c>
      <c r="AF38" s="248">
        <f t="shared" si="15"/>
        <v>8875.7232628523943</v>
      </c>
      <c r="AG38" s="248">
        <f t="shared" ca="1" si="3"/>
        <v>1795.7232628523943</v>
      </c>
      <c r="AH38" s="248">
        <f t="shared" ca="1" si="4"/>
        <v>-10.276737147605672</v>
      </c>
      <c r="AI38" s="248">
        <f t="shared" si="9"/>
        <v>1624.3233325333106</v>
      </c>
      <c r="AJ38" s="248">
        <f t="shared" ca="1" si="10"/>
        <v>2245.6766674666897</v>
      </c>
      <c r="AK38" s="248">
        <f t="shared" ca="1" si="5"/>
        <v>439.67666746668942</v>
      </c>
    </row>
    <row r="39" spans="2:37" ht="15.95" customHeight="1" x14ac:dyDescent="0.25">
      <c r="B39" s="136">
        <v>3</v>
      </c>
      <c r="C39" s="144" t="s">
        <v>1083</v>
      </c>
      <c r="D39" s="138" t="s">
        <v>1075</v>
      </c>
      <c r="E39" s="139" t="s">
        <v>757</v>
      </c>
      <c r="F39" s="140" t="s">
        <v>44</v>
      </c>
      <c r="G39" s="140" t="s">
        <v>1076</v>
      </c>
      <c r="H39" s="140" t="s">
        <v>1082</v>
      </c>
      <c r="I39" s="140" t="s">
        <v>459</v>
      </c>
      <c r="J39" s="141" t="s">
        <v>1079</v>
      </c>
      <c r="K39" s="142">
        <v>42074</v>
      </c>
      <c r="L39" s="142">
        <v>42172</v>
      </c>
      <c r="M39" s="134">
        <v>42186</v>
      </c>
      <c r="N39" s="140">
        <v>98</v>
      </c>
      <c r="O39" s="143"/>
      <c r="P39" s="135" t="s">
        <v>1080</v>
      </c>
      <c r="Q39" s="223" t="s">
        <v>14</v>
      </c>
      <c r="R39" s="223" t="s">
        <v>298</v>
      </c>
      <c r="S39" s="223" t="s">
        <v>44</v>
      </c>
      <c r="T39" s="224" t="str">
        <f t="shared" si="12"/>
        <v>ZU/RT</v>
      </c>
      <c r="U39" s="223" t="str">
        <f t="shared" si="13"/>
        <v>ZU-NW-Prod</v>
      </c>
      <c r="V39" s="223" t="str">
        <f t="array" ref="V39">CONCATENATE(Q39,"-",R39)</f>
        <v>NW-Prod</v>
      </c>
      <c r="W39" s="239">
        <f>IF(ISERROR(VLOOKUP(T39,'15-16_DP_Tables'!$M$2:$V$8,MATCH(V39,INDEX('15-16_DP_Tables'!$M$2:$V$8,1,0),0),0)),0,VLOOKUP(T39,'15-16_DP_Tables'!$M$2:$V$8,MATCH(V39,INDEX('15-16_DP_Tables'!$M$2:$V$8,1,0),0),0))</f>
        <v>99.088549999999998</v>
      </c>
      <c r="X39" s="239">
        <f t="array" ref="X39">IF(ISERROR(VLOOKUP(T39,'15-16_DP_Tables'!$M$12:$V$18,MATCH(V39,INDEX('15-16_DP_Tables'!$M$12:$V$18,1,0),0),0)),0,VLOOKUP(T39,'15-16_DP_Tables'!$M$12:$V$18,MATCH(V39,INDEX('15-16_DP_Tables'!$M$12:$V$18,1,0),0),0))</f>
        <v>53.375</v>
      </c>
      <c r="Y39" s="223" t="str">
        <f t="shared" si="14"/>
        <v>Unknown</v>
      </c>
      <c r="Z39" s="223">
        <v>5</v>
      </c>
      <c r="AA39" s="249" t="e">
        <f>VLOOKUP(T39,'Planning and Target Times'!$A$74:$L$78,MATCH(E39&amp;"-"&amp;Q39&amp;"-"&amp;Y39&amp;"-"&amp;R39,INDEX('Planning and Target Times'!$A$74:$L$78,1,0),0),0)</f>
        <v>#N/A</v>
      </c>
      <c r="AB39" s="249" t="e">
        <f>VLOOKUP(T39,'Planning and Target Times'!$A$97:$L$101,MATCH(E39&amp;"-"&amp;Q39&amp;"-"&amp;Y39&amp;"-"&amp;R39,INDEX('Planning and Target Times'!$A$97:$L$101,1,0),0),0)</f>
        <v>#N/A</v>
      </c>
      <c r="AC39" s="250">
        <f t="shared" si="11"/>
        <v>0</v>
      </c>
      <c r="AD39" s="250">
        <f t="shared" si="7"/>
        <v>0</v>
      </c>
      <c r="AE39" s="248">
        <f t="shared" si="8"/>
        <v>2178.3652871476056</v>
      </c>
      <c r="AF39" s="248">
        <f t="shared" si="15"/>
        <v>8771.6347128523939</v>
      </c>
      <c r="AG39" s="248">
        <f t="shared" ca="1" si="3"/>
        <v>1691.6347128523944</v>
      </c>
      <c r="AH39" s="248">
        <f t="shared" ca="1" si="4"/>
        <v>-114.36528714760561</v>
      </c>
      <c r="AI39" s="248">
        <f t="shared" si="9"/>
        <v>1682.6983325333106</v>
      </c>
      <c r="AJ39" s="248">
        <f t="shared" ca="1" si="10"/>
        <v>2187.3016674666897</v>
      </c>
      <c r="AK39" s="248">
        <f t="shared" ca="1" si="5"/>
        <v>381.30166746668942</v>
      </c>
    </row>
    <row r="40" spans="2:37" ht="15.95" customHeight="1" x14ac:dyDescent="0.25">
      <c r="B40" s="136">
        <v>78</v>
      </c>
      <c r="C40" s="185" t="s">
        <v>1164</v>
      </c>
      <c r="D40" s="184" t="s">
        <v>511</v>
      </c>
      <c r="E40" s="139" t="s">
        <v>42</v>
      </c>
      <c r="F40" s="140" t="s">
        <v>17</v>
      </c>
      <c r="G40" s="140" t="s">
        <v>1076</v>
      </c>
      <c r="H40" s="140" t="s">
        <v>1082</v>
      </c>
      <c r="I40" s="140" t="s">
        <v>459</v>
      </c>
      <c r="J40" s="141" t="s">
        <v>1079</v>
      </c>
      <c r="K40" s="142">
        <v>42075</v>
      </c>
      <c r="L40" s="142">
        <v>42145</v>
      </c>
      <c r="M40" s="134">
        <v>42159</v>
      </c>
      <c r="N40" s="140">
        <v>70</v>
      </c>
      <c r="O40" s="143">
        <v>1500</v>
      </c>
      <c r="P40" s="135" t="s">
        <v>1080</v>
      </c>
      <c r="Q40" s="223" t="s">
        <v>14</v>
      </c>
      <c r="R40" s="223" t="s">
        <v>298</v>
      </c>
      <c r="S40" s="223" t="s">
        <v>17</v>
      </c>
      <c r="T40" s="224" t="str">
        <f t="shared" si="12"/>
        <v>MA</v>
      </c>
      <c r="U40" s="223" t="str">
        <f t="shared" si="13"/>
        <v>MA-NW-Prod</v>
      </c>
      <c r="V40" s="223" t="str">
        <f t="array" ref="V40">CONCATENATE(Q40,"-",R40)</f>
        <v>NW-Prod</v>
      </c>
      <c r="W40" s="239">
        <f>IF(ISERROR(VLOOKUP(T40,'15-16_DP_Tables'!$M$2:$V$8,MATCH(V40,INDEX('15-16_DP_Tables'!$M$2:$V$8,1,0),0),0)),0,VLOOKUP(T40,'15-16_DP_Tables'!$M$2:$V$8,MATCH(V40,INDEX('15-16_DP_Tables'!$M$2:$V$8,1,0),0),0))</f>
        <v>57.083333333332121</v>
      </c>
      <c r="X40" s="239">
        <f t="array" ref="X40">IF(ISERROR(VLOOKUP(T40,'15-16_DP_Tables'!$M$12:$V$18,MATCH(V40,INDEX('15-16_DP_Tables'!$M$12:$V$18,1,0),0),0)),0,VLOOKUP(T40,'15-16_DP_Tables'!$M$12:$V$18,MATCH(V40,INDEX('15-16_DP_Tables'!$M$12:$V$18,1,0),0),0))</f>
        <v>47.791666666664241</v>
      </c>
      <c r="Y40" s="223" t="str">
        <f t="shared" si="14"/>
        <v>Horizontal</v>
      </c>
      <c r="Z40" s="223">
        <v>5</v>
      </c>
      <c r="AA40" s="249" t="e">
        <f>VLOOKUP(T40,'Planning and Target Times'!$A$74:$L$78,MATCH(E40&amp;"-"&amp;Q40&amp;"-"&amp;Y40&amp;"-"&amp;R40,INDEX('Planning and Target Times'!$A$74:$L$78,1,0),0),0)</f>
        <v>#N/A</v>
      </c>
      <c r="AB40" s="249" t="e">
        <f>VLOOKUP(T40,'Planning and Target Times'!$A$97:$L$101,MATCH(E40&amp;"-"&amp;Q40&amp;"-"&amp;Y40&amp;"-"&amp;R40,INDEX('Planning and Target Times'!$A$97:$L$101,1,0),0),0)</f>
        <v>#N/A</v>
      </c>
      <c r="AC40" s="250">
        <f t="shared" si="11"/>
        <v>26.277372262774282</v>
      </c>
      <c r="AD40" s="250">
        <f t="shared" si="7"/>
        <v>31.386224934613622</v>
      </c>
      <c r="AE40" s="248">
        <f t="shared" si="8"/>
        <v>2240.4486204809377</v>
      </c>
      <c r="AF40" s="248">
        <f t="shared" si="15"/>
        <v>8709.5513795190618</v>
      </c>
      <c r="AG40" s="248">
        <f t="shared" ca="1" si="3"/>
        <v>1629.5513795190623</v>
      </c>
      <c r="AH40" s="248">
        <f t="shared" ca="1" si="4"/>
        <v>-176.44862048093773</v>
      </c>
      <c r="AI40" s="248">
        <f t="shared" si="9"/>
        <v>1735.4899991999748</v>
      </c>
      <c r="AJ40" s="248">
        <f t="shared" ca="1" si="10"/>
        <v>2134.5100008000254</v>
      </c>
      <c r="AK40" s="248">
        <f t="shared" ca="1" si="5"/>
        <v>328.51000080002518</v>
      </c>
    </row>
    <row r="41" spans="2:37" ht="15.95" customHeight="1" x14ac:dyDescent="0.25">
      <c r="B41" s="136">
        <v>110</v>
      </c>
      <c r="C41" s="149" t="s">
        <v>1195</v>
      </c>
      <c r="D41" s="184" t="s">
        <v>839</v>
      </c>
      <c r="E41" s="150" t="s">
        <v>11</v>
      </c>
      <c r="F41" s="140" t="s">
        <v>17</v>
      </c>
      <c r="G41" s="140" t="s">
        <v>1086</v>
      </c>
      <c r="H41" s="140" t="s">
        <v>1077</v>
      </c>
      <c r="I41" s="140" t="s">
        <v>459</v>
      </c>
      <c r="J41" s="141" t="s">
        <v>1079</v>
      </c>
      <c r="K41" s="142">
        <v>42075</v>
      </c>
      <c r="L41" s="142">
        <v>42124</v>
      </c>
      <c r="M41" s="134">
        <v>42138</v>
      </c>
      <c r="N41" s="140">
        <v>49</v>
      </c>
      <c r="O41" s="143"/>
      <c r="P41" s="135" t="s">
        <v>1080</v>
      </c>
      <c r="Q41" s="223" t="s">
        <v>18</v>
      </c>
      <c r="R41" s="223" t="s">
        <v>34</v>
      </c>
      <c r="S41" s="223" t="s">
        <v>17</v>
      </c>
      <c r="T41" s="224" t="str">
        <f t="shared" si="12"/>
        <v>MA</v>
      </c>
      <c r="U41" s="223" t="str">
        <f t="shared" si="13"/>
        <v>MA-ST-Inj</v>
      </c>
      <c r="V41" s="223" t="str">
        <f t="array" ref="V41">CONCATENATE(Q41,"-",R41)</f>
        <v>ST-Inj</v>
      </c>
      <c r="W41" s="239">
        <f>IF(ISERROR(VLOOKUP(T41,'15-16_DP_Tables'!$M$2:$V$8,MATCH(V41,INDEX('15-16_DP_Tables'!$M$2:$V$8,1,0),0),0)),0,VLOOKUP(T41,'15-16_DP_Tables'!$M$2:$V$8,MATCH(V41,INDEX('15-16_DP_Tables'!$M$2:$V$8,1,0),0),0))</f>
        <v>35.545833099999626</v>
      </c>
      <c r="X41" s="239">
        <f t="array" ref="X41">IF(ISERROR(VLOOKUP(T41,'15-16_DP_Tables'!$M$12:$V$18,MATCH(V41,INDEX('15-16_DP_Tables'!$M$12:$V$18,1,0),0),0)),0,VLOOKUP(T41,'15-16_DP_Tables'!$M$12:$V$18,MATCH(V41,INDEX('15-16_DP_Tables'!$M$12:$V$18,1,0),0),0))</f>
        <v>26.054166533332847</v>
      </c>
      <c r="Y41" s="223" t="str">
        <f t="shared" si="14"/>
        <v>Horizontal</v>
      </c>
      <c r="Z41" s="223">
        <v>5</v>
      </c>
      <c r="AA41" s="249" t="e">
        <f>VLOOKUP(T41,'Planning and Target Times'!$A$74:$L$78,MATCH(E41&amp;"-"&amp;Q41&amp;"-"&amp;Y41&amp;"-"&amp;R41,INDEX('Planning and Target Times'!$A$74:$L$78,1,0),0),0)</f>
        <v>#N/A</v>
      </c>
      <c r="AB41" s="249" t="e">
        <f>VLOOKUP(T41,'Planning and Target Times'!$A$97:$L$101,MATCH(E41&amp;"-"&amp;Q41&amp;"-"&amp;Y41&amp;"-"&amp;R41,INDEX('Planning and Target Times'!$A$97:$L$101,1,0),0),0)</f>
        <v>#N/A</v>
      </c>
      <c r="AC41" s="250">
        <f t="shared" si="11"/>
        <v>0</v>
      </c>
      <c r="AD41" s="250">
        <f t="shared" si="7"/>
        <v>0</v>
      </c>
      <c r="AE41" s="248">
        <f t="shared" si="8"/>
        <v>2280.9944535809373</v>
      </c>
      <c r="AF41" s="248">
        <f t="shared" si="15"/>
        <v>8669.0055464190627</v>
      </c>
      <c r="AG41" s="248">
        <f t="shared" ca="1" si="3"/>
        <v>1589.0055464190627</v>
      </c>
      <c r="AH41" s="248">
        <f t="shared" ca="1" si="4"/>
        <v>-216.99445358093726</v>
      </c>
      <c r="AI41" s="248">
        <f t="shared" si="9"/>
        <v>1766.5441657333076</v>
      </c>
      <c r="AJ41" s="248">
        <f t="shared" ca="1" si="10"/>
        <v>2103.4558342666924</v>
      </c>
      <c r="AK41" s="248">
        <f t="shared" ca="1" si="5"/>
        <v>297.45583426669236</v>
      </c>
    </row>
    <row r="42" spans="2:37" ht="15.95" customHeight="1" x14ac:dyDescent="0.25">
      <c r="B42" s="136">
        <v>118</v>
      </c>
      <c r="C42" s="181" t="s">
        <v>1204</v>
      </c>
      <c r="D42" s="165" t="s">
        <v>838</v>
      </c>
      <c r="E42" s="170" t="s">
        <v>11</v>
      </c>
      <c r="F42" s="140" t="s">
        <v>17</v>
      </c>
      <c r="G42" s="140" t="s">
        <v>1076</v>
      </c>
      <c r="H42" s="140" t="s">
        <v>1077</v>
      </c>
      <c r="I42" s="140" t="s">
        <v>459</v>
      </c>
      <c r="J42" s="141" t="s">
        <v>1079</v>
      </c>
      <c r="K42" s="142">
        <v>42075</v>
      </c>
      <c r="L42" s="142">
        <v>42131</v>
      </c>
      <c r="M42" s="134">
        <v>42145</v>
      </c>
      <c r="N42" s="132">
        <v>56</v>
      </c>
      <c r="O42" s="135">
        <v>1200</v>
      </c>
      <c r="P42" s="135" t="s">
        <v>1080</v>
      </c>
      <c r="Q42" s="223" t="s">
        <v>18</v>
      </c>
      <c r="R42" s="223" t="s">
        <v>298</v>
      </c>
      <c r="S42" s="223" t="s">
        <v>17</v>
      </c>
      <c r="T42" s="224" t="str">
        <f t="shared" si="12"/>
        <v>MA</v>
      </c>
      <c r="U42" s="223" t="str">
        <f t="shared" si="13"/>
        <v>MA-ST-Prod</v>
      </c>
      <c r="V42" s="223" t="str">
        <f t="array" ref="V42">CONCATENATE(Q42,"-",R42)</f>
        <v>ST-Prod</v>
      </c>
      <c r="W42" s="239">
        <f>IF(ISERROR(VLOOKUP(T42,'15-16_DP_Tables'!$M$2:$V$8,MATCH(V42,INDEX('15-16_DP_Tables'!$M$2:$V$8,1,0),0),0)),0,VLOOKUP(T42,'15-16_DP_Tables'!$M$2:$V$8,MATCH(V42,INDEX('15-16_DP_Tables'!$M$2:$V$8,1,0),0),0))</f>
        <v>47.881547142856107</v>
      </c>
      <c r="X42" s="239">
        <f t="array" ref="X42">IF(ISERROR(VLOOKUP(T42,'15-16_DP_Tables'!$M$12:$V$18,MATCH(V42,INDEX('15-16_DP_Tables'!$M$12:$V$18,1,0),0),0)),0,VLOOKUP(T42,'15-16_DP_Tables'!$M$12:$V$18,MATCH(V42,INDEX('15-16_DP_Tables'!$M$12:$V$18,1,0),0),0))</f>
        <v>41.770833333332121</v>
      </c>
      <c r="Y42" s="223" t="str">
        <f t="shared" si="14"/>
        <v>Horizontal</v>
      </c>
      <c r="Z42" s="223">
        <v>5</v>
      </c>
      <c r="AA42" s="249" t="e">
        <f>VLOOKUP(T42,'Planning and Target Times'!$A$74:$L$78,MATCH(E42&amp;"-"&amp;Q42&amp;"-"&amp;Y42&amp;"-"&amp;R42,INDEX('Planning and Target Times'!$A$74:$L$78,1,0),0),0)</f>
        <v>#N/A</v>
      </c>
      <c r="AB42" s="249" t="e">
        <f>VLOOKUP(T42,'Planning and Target Times'!$A$97:$L$101,MATCH(E42&amp;"-"&amp;Q42&amp;"-"&amp;Y42&amp;"-"&amp;R42,INDEX('Planning and Target Times'!$A$97:$L$101,1,0),0),0)</f>
        <v>#N/A</v>
      </c>
      <c r="AC42" s="250">
        <f t="shared" si="11"/>
        <v>25.061846820023632</v>
      </c>
      <c r="AD42" s="250">
        <f t="shared" si="7"/>
        <v>28.728179551123027</v>
      </c>
      <c r="AE42" s="248">
        <f t="shared" si="8"/>
        <v>2333.8760007237934</v>
      </c>
      <c r="AF42" s="248">
        <f t="shared" si="15"/>
        <v>8616.1239992762057</v>
      </c>
      <c r="AG42" s="248">
        <f t="shared" ca="1" si="3"/>
        <v>1536.1239992762066</v>
      </c>
      <c r="AH42" s="248">
        <f t="shared" ca="1" si="4"/>
        <v>-269.87600072379337</v>
      </c>
      <c r="AI42" s="248">
        <f t="shared" si="9"/>
        <v>1813.3149990666398</v>
      </c>
      <c r="AJ42" s="248">
        <f t="shared" ca="1" si="10"/>
        <v>2056.6850009333602</v>
      </c>
      <c r="AK42" s="248">
        <f t="shared" ca="1" si="5"/>
        <v>250.68500093336024</v>
      </c>
    </row>
    <row r="43" spans="2:37" ht="15.95" customHeight="1" x14ac:dyDescent="0.25">
      <c r="B43" s="136">
        <v>36</v>
      </c>
      <c r="C43" s="164" t="s">
        <v>1120</v>
      </c>
      <c r="D43" s="165" t="s">
        <v>1116</v>
      </c>
      <c r="E43" s="139" t="s">
        <v>42</v>
      </c>
      <c r="F43" s="140" t="s">
        <v>17</v>
      </c>
      <c r="G43" s="140" t="s">
        <v>1086</v>
      </c>
      <c r="H43" s="140" t="s">
        <v>1077</v>
      </c>
      <c r="I43" s="140" t="s">
        <v>459</v>
      </c>
      <c r="J43" s="141" t="s">
        <v>1079</v>
      </c>
      <c r="K43" s="142">
        <v>42078</v>
      </c>
      <c r="L43" s="142">
        <v>42127</v>
      </c>
      <c r="M43" s="134">
        <v>42141</v>
      </c>
      <c r="N43" s="132">
        <v>49</v>
      </c>
      <c r="O43" s="135"/>
      <c r="P43" s="135" t="s">
        <v>1080</v>
      </c>
      <c r="Q43" s="223" t="s">
        <v>18</v>
      </c>
      <c r="R43" s="223" t="s">
        <v>34</v>
      </c>
      <c r="S43" s="223" t="s">
        <v>17</v>
      </c>
      <c r="T43" s="224" t="str">
        <f t="shared" si="12"/>
        <v>MA</v>
      </c>
      <c r="U43" s="223" t="str">
        <f t="shared" si="13"/>
        <v>MA-ST-Inj</v>
      </c>
      <c r="V43" s="223" t="str">
        <f t="array" ref="V43">CONCATENATE(Q43,"-",R43)</f>
        <v>ST-Inj</v>
      </c>
      <c r="W43" s="239">
        <f>IF(ISERROR(VLOOKUP(T43,'15-16_DP_Tables'!$M$2:$V$8,MATCH(V43,INDEX('15-16_DP_Tables'!$M$2:$V$8,1,0),0),0)),0,VLOOKUP(T43,'15-16_DP_Tables'!$M$2:$V$8,MATCH(V43,INDEX('15-16_DP_Tables'!$M$2:$V$8,1,0),0),0))</f>
        <v>35.545833099999626</v>
      </c>
      <c r="X43" s="239">
        <f t="array" ref="X43">IF(ISERROR(VLOOKUP(T43,'15-16_DP_Tables'!$M$12:$V$18,MATCH(V43,INDEX('15-16_DP_Tables'!$M$12:$V$18,1,0),0),0)),0,VLOOKUP(T43,'15-16_DP_Tables'!$M$12:$V$18,MATCH(V43,INDEX('15-16_DP_Tables'!$M$12:$V$18,1,0),0),0))</f>
        <v>26.054166533332847</v>
      </c>
      <c r="Y43" s="223" t="str">
        <f t="shared" si="14"/>
        <v>Horizontal</v>
      </c>
      <c r="Z43" s="223">
        <v>5</v>
      </c>
      <c r="AA43" s="249" t="e">
        <f>VLOOKUP(T43,'Planning and Target Times'!$A$74:$L$78,MATCH(E43&amp;"-"&amp;Q43&amp;"-"&amp;Y43&amp;"-"&amp;R43,INDEX('Planning and Target Times'!$A$74:$L$78,1,0),0),0)</f>
        <v>#N/A</v>
      </c>
      <c r="AB43" s="249" t="e">
        <f>VLOOKUP(T43,'Planning and Target Times'!$A$97:$L$101,MATCH(E43&amp;"-"&amp;Q43&amp;"-"&amp;Y43&amp;"-"&amp;R43,INDEX('Planning and Target Times'!$A$97:$L$101,1,0),0),0)</f>
        <v>#N/A</v>
      </c>
      <c r="AC43" s="250">
        <f t="shared" si="11"/>
        <v>0</v>
      </c>
      <c r="AD43" s="250">
        <f t="shared" si="7"/>
        <v>0</v>
      </c>
      <c r="AE43" s="248">
        <f t="shared" si="8"/>
        <v>2374.4218338237929</v>
      </c>
      <c r="AF43" s="248">
        <f t="shared" si="15"/>
        <v>8575.5781661762067</v>
      </c>
      <c r="AG43" s="248">
        <f t="shared" ca="1" si="3"/>
        <v>1495.5781661762071</v>
      </c>
      <c r="AH43" s="248">
        <f t="shared" ca="1" si="4"/>
        <v>-310.42183382379289</v>
      </c>
      <c r="AI43" s="248">
        <f t="shared" si="9"/>
        <v>1844.3691655999726</v>
      </c>
      <c r="AJ43" s="248">
        <f t="shared" ca="1" si="10"/>
        <v>2025.6308344000274</v>
      </c>
      <c r="AK43" s="248">
        <f t="shared" ca="1" si="5"/>
        <v>219.63083440002742</v>
      </c>
    </row>
    <row r="44" spans="2:37" ht="15.95" customHeight="1" x14ac:dyDescent="0.25">
      <c r="B44" s="136">
        <v>28</v>
      </c>
      <c r="C44" s="163" t="s">
        <v>1111</v>
      </c>
      <c r="D44" s="157" t="s">
        <v>1107</v>
      </c>
      <c r="E44" s="161" t="s">
        <v>11</v>
      </c>
      <c r="F44" s="140" t="s">
        <v>17</v>
      </c>
      <c r="G44" s="140" t="s">
        <v>1076</v>
      </c>
      <c r="H44" s="140" t="s">
        <v>1082</v>
      </c>
      <c r="I44" s="140" t="s">
        <v>459</v>
      </c>
      <c r="J44" s="141" t="s">
        <v>1079</v>
      </c>
      <c r="K44" s="142">
        <v>42079</v>
      </c>
      <c r="L44" s="142">
        <v>42149</v>
      </c>
      <c r="M44" s="134">
        <v>42163</v>
      </c>
      <c r="N44" s="140">
        <v>70</v>
      </c>
      <c r="O44" s="143">
        <v>1400</v>
      </c>
      <c r="P44" s="135" t="s">
        <v>1080</v>
      </c>
      <c r="Q44" s="223" t="s">
        <v>14</v>
      </c>
      <c r="R44" s="223" t="s">
        <v>298</v>
      </c>
      <c r="S44" s="223" t="s">
        <v>17</v>
      </c>
      <c r="T44" s="224" t="str">
        <f t="shared" si="12"/>
        <v>MA</v>
      </c>
      <c r="U44" s="223" t="str">
        <f t="shared" si="13"/>
        <v>MA-NW-Prod</v>
      </c>
      <c r="V44" s="223" t="str">
        <f t="array" ref="V44">CONCATENATE(Q44,"-",R44)</f>
        <v>NW-Prod</v>
      </c>
      <c r="W44" s="239">
        <f>IF(ISERROR(VLOOKUP(T44,'15-16_DP_Tables'!$M$2:$V$8,MATCH(V44,INDEX('15-16_DP_Tables'!$M$2:$V$8,1,0),0),0)),0,VLOOKUP(T44,'15-16_DP_Tables'!$M$2:$V$8,MATCH(V44,INDEX('15-16_DP_Tables'!$M$2:$V$8,1,0),0),0))</f>
        <v>57.083333333332121</v>
      </c>
      <c r="X44" s="239">
        <f t="array" ref="X44">IF(ISERROR(VLOOKUP(T44,'15-16_DP_Tables'!$M$12:$V$18,MATCH(V44,INDEX('15-16_DP_Tables'!$M$12:$V$18,1,0),0),0)),0,VLOOKUP(T44,'15-16_DP_Tables'!$M$12:$V$18,MATCH(V44,INDEX('15-16_DP_Tables'!$M$12:$V$18,1,0),0),0))</f>
        <v>47.791666666664241</v>
      </c>
      <c r="Y44" s="223" t="str">
        <f t="shared" si="14"/>
        <v>Horizontal</v>
      </c>
      <c r="Z44" s="223">
        <v>5</v>
      </c>
      <c r="AA44" s="249" t="e">
        <f>VLOOKUP(T44,'Planning and Target Times'!$A$74:$L$78,MATCH(E44&amp;"-"&amp;Q44&amp;"-"&amp;Y44&amp;"-"&amp;R44,INDEX('Planning and Target Times'!$A$74:$L$78,1,0),0),0)</f>
        <v>#N/A</v>
      </c>
      <c r="AB44" s="249" t="e">
        <f>VLOOKUP(T44,'Planning and Target Times'!$A$97:$L$101,MATCH(E44&amp;"-"&amp;Q44&amp;"-"&amp;Y44&amp;"-"&amp;R44,INDEX('Planning and Target Times'!$A$97:$L$101,1,0),0),0)</f>
        <v>#N/A</v>
      </c>
      <c r="AC44" s="250">
        <f t="shared" si="11"/>
        <v>24.525547445255995</v>
      </c>
      <c r="AD44" s="250">
        <f t="shared" si="7"/>
        <v>29.293809938972714</v>
      </c>
      <c r="AE44" s="248">
        <f t="shared" si="8"/>
        <v>2436.505167157125</v>
      </c>
      <c r="AF44" s="248">
        <f t="shared" si="15"/>
        <v>8513.4948328428745</v>
      </c>
      <c r="AG44" s="248">
        <f t="shared" ca="1" si="3"/>
        <v>1433.494832842875</v>
      </c>
      <c r="AH44" s="248">
        <f t="shared" ca="1" si="4"/>
        <v>-372.50516715712502</v>
      </c>
      <c r="AI44" s="248">
        <f t="shared" si="9"/>
        <v>1897.1608322666368</v>
      </c>
      <c r="AJ44" s="248">
        <f t="shared" ca="1" si="10"/>
        <v>1972.8391677333632</v>
      </c>
      <c r="AK44" s="248">
        <f t="shared" ca="1" si="5"/>
        <v>166.83916773336318</v>
      </c>
    </row>
    <row r="45" spans="2:37" ht="15.95" customHeight="1" x14ac:dyDescent="0.25">
      <c r="B45" s="136">
        <v>22</v>
      </c>
      <c r="C45" s="144" t="s">
        <v>1104</v>
      </c>
      <c r="D45" s="156" t="s">
        <v>12</v>
      </c>
      <c r="E45" s="139" t="s">
        <v>11</v>
      </c>
      <c r="F45" s="140" t="s">
        <v>744</v>
      </c>
      <c r="G45" s="140" t="s">
        <v>1076</v>
      </c>
      <c r="H45" s="140" t="s">
        <v>1082</v>
      </c>
      <c r="I45" s="140" t="s">
        <v>459</v>
      </c>
      <c r="J45" s="141" t="s">
        <v>1079</v>
      </c>
      <c r="K45" s="142">
        <v>42088</v>
      </c>
      <c r="L45" s="142">
        <v>42186</v>
      </c>
      <c r="M45" s="134">
        <v>42200</v>
      </c>
      <c r="N45" s="140">
        <v>98</v>
      </c>
      <c r="O45" s="143">
        <v>1500</v>
      </c>
      <c r="P45" s="143" t="s">
        <v>1080</v>
      </c>
      <c r="Q45" s="223" t="s">
        <v>14</v>
      </c>
      <c r="R45" s="223" t="s">
        <v>298</v>
      </c>
      <c r="S45" s="223" t="s">
        <v>744</v>
      </c>
      <c r="T45" s="224" t="str">
        <f t="shared" si="12"/>
        <v>ZU/RT</v>
      </c>
      <c r="U45" s="223" t="str">
        <f t="shared" si="13"/>
        <v>RT-NW-Prod</v>
      </c>
      <c r="V45" s="223" t="str">
        <f t="array" ref="V45">CONCATENATE(Q45,"-",R45)</f>
        <v>NW-Prod</v>
      </c>
      <c r="W45" s="239">
        <f>IF(ISERROR(VLOOKUP(T45,'15-16_DP_Tables'!$M$2:$V$8,MATCH(V45,INDEX('15-16_DP_Tables'!$M$2:$V$8,1,0),0),0)),0,VLOOKUP(T45,'15-16_DP_Tables'!$M$2:$V$8,MATCH(V45,INDEX('15-16_DP_Tables'!$M$2:$V$8,1,0),0),0))</f>
        <v>99.088549999999998</v>
      </c>
      <c r="X45" s="239">
        <f t="array" ref="X45">IF(ISERROR(VLOOKUP(T45,'15-16_DP_Tables'!$M$12:$V$18,MATCH(V45,INDEX('15-16_DP_Tables'!$M$12:$V$18,1,0),0),0)),0,VLOOKUP(T45,'15-16_DP_Tables'!$M$12:$V$18,MATCH(V45,INDEX('15-16_DP_Tables'!$M$12:$V$18,1,0),0),0))</f>
        <v>53.375</v>
      </c>
      <c r="Y45" s="223" t="str">
        <f t="shared" si="14"/>
        <v>Horizontal</v>
      </c>
      <c r="Z45" s="223">
        <v>5</v>
      </c>
      <c r="AA45" s="249" t="e">
        <f>VLOOKUP(T45,'Planning and Target Times'!$A$74:$L$78,MATCH(E45&amp;"-"&amp;Q45&amp;"-"&amp;Y45&amp;"-"&amp;R45,INDEX('Planning and Target Times'!$A$74:$L$78,1,0),0),0)</f>
        <v>#N/A</v>
      </c>
      <c r="AB45" s="249" t="e">
        <f>VLOOKUP(T45,'Planning and Target Times'!$A$97:$L$101,MATCH(E45&amp;"-"&amp;Q45&amp;"-"&amp;Y45&amp;"-"&amp;R45,INDEX('Planning and Target Times'!$A$97:$L$101,1,0),0),0)</f>
        <v>#N/A</v>
      </c>
      <c r="AC45" s="250">
        <f t="shared" si="11"/>
        <v>15.137975073810244</v>
      </c>
      <c r="AD45" s="250">
        <f t="shared" si="7"/>
        <v>28.103044496487119</v>
      </c>
      <c r="AE45" s="248">
        <f t="shared" si="8"/>
        <v>2540.593717157125</v>
      </c>
      <c r="AF45" s="248">
        <f t="shared" si="15"/>
        <v>8409.406282842876</v>
      </c>
      <c r="AG45" s="248">
        <f t="shared" ca="1" si="3"/>
        <v>1329.406282842875</v>
      </c>
      <c r="AH45" s="248">
        <f t="shared" ca="1" si="4"/>
        <v>-476.59371715712496</v>
      </c>
      <c r="AI45" s="248">
        <f t="shared" si="9"/>
        <v>1955.5358322666368</v>
      </c>
      <c r="AJ45" s="248">
        <f t="shared" ca="1" si="10"/>
        <v>1914.4641677333632</v>
      </c>
      <c r="AK45" s="248">
        <f t="shared" ca="1" si="5"/>
        <v>108.46416773336318</v>
      </c>
    </row>
    <row r="46" spans="2:37" ht="15.95" customHeight="1" x14ac:dyDescent="0.25">
      <c r="B46" s="136">
        <v>64</v>
      </c>
      <c r="C46" s="144" t="s">
        <v>1150</v>
      </c>
      <c r="D46" s="180" t="s">
        <v>513</v>
      </c>
      <c r="E46" s="139" t="s">
        <v>11</v>
      </c>
      <c r="F46" s="140" t="s">
        <v>17</v>
      </c>
      <c r="G46" s="132" t="s">
        <v>1086</v>
      </c>
      <c r="H46" s="132" t="s">
        <v>1082</v>
      </c>
      <c r="I46" s="132" t="s">
        <v>459</v>
      </c>
      <c r="J46" s="133" t="s">
        <v>1079</v>
      </c>
      <c r="K46" s="142">
        <v>42093</v>
      </c>
      <c r="L46" s="142">
        <v>42156</v>
      </c>
      <c r="M46" s="134">
        <v>42170</v>
      </c>
      <c r="N46" s="140">
        <v>63</v>
      </c>
      <c r="O46" s="143"/>
      <c r="P46" s="135" t="s">
        <v>1080</v>
      </c>
      <c r="Q46" s="223" t="s">
        <v>14</v>
      </c>
      <c r="R46" s="223" t="s">
        <v>34</v>
      </c>
      <c r="S46" s="223" t="s">
        <v>17</v>
      </c>
      <c r="T46" s="224" t="str">
        <f t="shared" si="12"/>
        <v>MA</v>
      </c>
      <c r="U46" s="223" t="str">
        <f t="shared" si="13"/>
        <v>MA-NW-Inj</v>
      </c>
      <c r="V46" s="223" t="str">
        <f t="array" ref="V46">CONCATENATE(Q46,"-",R46)</f>
        <v>NW-Inj</v>
      </c>
      <c r="W46" s="239">
        <f>IF(ISERROR(VLOOKUP(T46,'15-16_DP_Tables'!$M$2:$V$8,MATCH(V46,INDEX('15-16_DP_Tables'!$M$2:$V$8,1,0),0),0)),0,VLOOKUP(T46,'15-16_DP_Tables'!$M$2:$V$8,MATCH(V46,INDEX('15-16_DP_Tables'!$M$2:$V$8,1,0),0),0))</f>
        <v>0</v>
      </c>
      <c r="X46" s="239">
        <f t="array" ref="X46">IF(ISERROR(VLOOKUP(T46,'15-16_DP_Tables'!$M$12:$V$18,MATCH(V46,INDEX('15-16_DP_Tables'!$M$12:$V$18,1,0),0),0)),0,VLOOKUP(T46,'15-16_DP_Tables'!$M$12:$V$18,MATCH(V46,INDEX('15-16_DP_Tables'!$M$12:$V$18,1,0),0),0))</f>
        <v>0</v>
      </c>
      <c r="Y46" s="223" t="str">
        <f t="shared" si="14"/>
        <v>Horizontal</v>
      </c>
      <c r="Z46" s="223">
        <v>5</v>
      </c>
      <c r="AA46" s="249" t="e">
        <f>VLOOKUP(T46,'Planning and Target Times'!$A$74:$L$78,MATCH(E46&amp;"-"&amp;Q46&amp;"-"&amp;Y46&amp;"-"&amp;R46,INDEX('Planning and Target Times'!$A$74:$L$78,1,0),0),0)</f>
        <v>#N/A</v>
      </c>
      <c r="AB46" s="249" t="e">
        <f>VLOOKUP(T46,'Planning and Target Times'!$A$97:$L$101,MATCH(E46&amp;"-"&amp;Q46&amp;"-"&amp;Y46&amp;"-"&amp;R46,INDEX('Planning and Target Times'!$A$97:$L$101,1,0),0),0)</f>
        <v>#N/A</v>
      </c>
      <c r="AC46" s="250">
        <f t="shared" si="11"/>
        <v>0</v>
      </c>
      <c r="AD46" s="250">
        <f t="shared" si="7"/>
        <v>0</v>
      </c>
      <c r="AE46" s="248">
        <f t="shared" si="8"/>
        <v>2545.593717157125</v>
      </c>
      <c r="AF46" s="248">
        <f t="shared" si="15"/>
        <v>8404.406282842876</v>
      </c>
      <c r="AG46" s="248">
        <f t="shared" ca="1" si="3"/>
        <v>1324.406282842875</v>
      </c>
      <c r="AH46" s="248">
        <f t="shared" ca="1" si="4"/>
        <v>-481.59371715712496</v>
      </c>
      <c r="AI46" s="248">
        <f t="shared" si="9"/>
        <v>1960.5358322666368</v>
      </c>
      <c r="AJ46" s="248">
        <f t="shared" ca="1" si="10"/>
        <v>1909.4641677333632</v>
      </c>
      <c r="AK46" s="248">
        <f t="shared" ca="1" si="5"/>
        <v>103.46416773336318</v>
      </c>
    </row>
    <row r="47" spans="2:37" ht="15.95" customHeight="1" x14ac:dyDescent="0.25">
      <c r="B47" s="136">
        <v>56</v>
      </c>
      <c r="C47" s="179" t="s">
        <v>1142</v>
      </c>
      <c r="D47" s="178" t="s">
        <v>1137</v>
      </c>
      <c r="E47" s="170" t="s">
        <v>11</v>
      </c>
      <c r="F47" s="140" t="s">
        <v>17</v>
      </c>
      <c r="G47" s="132" t="s">
        <v>1076</v>
      </c>
      <c r="H47" s="132" t="s">
        <v>1077</v>
      </c>
      <c r="I47" s="132" t="s">
        <v>459</v>
      </c>
      <c r="J47" s="133" t="s">
        <v>1079</v>
      </c>
      <c r="K47" s="142">
        <v>42095</v>
      </c>
      <c r="L47" s="142">
        <v>42151</v>
      </c>
      <c r="M47" s="134">
        <v>42165</v>
      </c>
      <c r="N47" s="140">
        <v>56</v>
      </c>
      <c r="O47" s="143">
        <v>1200</v>
      </c>
      <c r="P47" s="135" t="s">
        <v>1080</v>
      </c>
      <c r="Q47" s="223" t="s">
        <v>18</v>
      </c>
      <c r="R47" s="223" t="s">
        <v>298</v>
      </c>
      <c r="S47" s="223" t="s">
        <v>17</v>
      </c>
      <c r="T47" s="224" t="str">
        <f t="shared" si="12"/>
        <v>MA</v>
      </c>
      <c r="U47" s="223" t="str">
        <f t="shared" si="13"/>
        <v>MA-ST-Prod</v>
      </c>
      <c r="V47" s="223" t="str">
        <f t="array" ref="V47">CONCATENATE(Q47,"-",R47)</f>
        <v>ST-Prod</v>
      </c>
      <c r="W47" s="239">
        <f>IF(ISERROR(VLOOKUP(T47,'15-16_DP_Tables'!$M$2:$V$8,MATCH(V47,INDEX('15-16_DP_Tables'!$M$2:$V$8,1,0),0),0)),0,VLOOKUP(T47,'15-16_DP_Tables'!$M$2:$V$8,MATCH(V47,INDEX('15-16_DP_Tables'!$M$2:$V$8,1,0),0),0))</f>
        <v>47.881547142856107</v>
      </c>
      <c r="X47" s="239">
        <f t="array" ref="X47">IF(ISERROR(VLOOKUP(T47,'15-16_DP_Tables'!$M$12:$V$18,MATCH(V47,INDEX('15-16_DP_Tables'!$M$12:$V$18,1,0),0),0)),0,VLOOKUP(T47,'15-16_DP_Tables'!$M$12:$V$18,MATCH(V47,INDEX('15-16_DP_Tables'!$M$12:$V$18,1,0),0),0))</f>
        <v>41.770833333332121</v>
      </c>
      <c r="Y47" s="223" t="str">
        <f t="shared" si="14"/>
        <v>Horizontal</v>
      </c>
      <c r="Z47" s="223">
        <v>5</v>
      </c>
      <c r="AA47" s="249" t="e">
        <f>VLOOKUP(T47,'Planning and Target Times'!$A$74:$L$78,MATCH(E47&amp;"-"&amp;Q47&amp;"-"&amp;Y47&amp;"-"&amp;R47,INDEX('Planning and Target Times'!$A$74:$L$78,1,0),0),0)</f>
        <v>#N/A</v>
      </c>
      <c r="AB47" s="249" t="e">
        <f>VLOOKUP(T47,'Planning and Target Times'!$A$97:$L$101,MATCH(E47&amp;"-"&amp;Q47&amp;"-"&amp;Y47&amp;"-"&amp;R47,INDEX('Planning and Target Times'!$A$97:$L$101,1,0),0),0)</f>
        <v>#N/A</v>
      </c>
      <c r="AC47" s="250">
        <f t="shared" si="11"/>
        <v>25.061846820023632</v>
      </c>
      <c r="AD47" s="250">
        <f t="shared" si="7"/>
        <v>28.728179551123027</v>
      </c>
      <c r="AE47" s="248">
        <f t="shared" si="8"/>
        <v>2598.4752642999811</v>
      </c>
      <c r="AF47" s="248">
        <f t="shared" si="15"/>
        <v>8351.5247357000189</v>
      </c>
      <c r="AG47" s="248">
        <f t="shared" ca="1" si="3"/>
        <v>1271.5247357000189</v>
      </c>
      <c r="AH47" s="248">
        <f t="shared" ca="1" si="4"/>
        <v>-534.47526429998106</v>
      </c>
      <c r="AI47" s="248">
        <f t="shared" si="9"/>
        <v>2007.3066655999689</v>
      </c>
      <c r="AJ47" s="248">
        <f t="shared" ca="1" si="10"/>
        <v>1862.6933344000311</v>
      </c>
      <c r="AK47" s="248">
        <f t="shared" ca="1" si="5"/>
        <v>56.693334400031063</v>
      </c>
    </row>
    <row r="48" spans="2:37" ht="15.95" customHeight="1" x14ac:dyDescent="0.25">
      <c r="B48" s="136">
        <v>11</v>
      </c>
      <c r="C48" s="149" t="s">
        <v>1092</v>
      </c>
      <c r="D48" s="147" t="s">
        <v>430</v>
      </c>
      <c r="E48" s="150" t="s">
        <v>11</v>
      </c>
      <c r="F48" s="140" t="s">
        <v>17</v>
      </c>
      <c r="G48" s="132" t="s">
        <v>1086</v>
      </c>
      <c r="H48" s="132" t="s">
        <v>1082</v>
      </c>
      <c r="I48" s="132" t="s">
        <v>459</v>
      </c>
      <c r="J48" s="133" t="s">
        <v>1079</v>
      </c>
      <c r="K48" s="142">
        <v>42099</v>
      </c>
      <c r="L48" s="142">
        <v>42162</v>
      </c>
      <c r="M48" s="134">
        <v>42176</v>
      </c>
      <c r="N48" s="140">
        <v>63</v>
      </c>
      <c r="O48" s="143"/>
      <c r="P48" s="135" t="s">
        <v>1080</v>
      </c>
      <c r="Q48" s="223" t="s">
        <v>14</v>
      </c>
      <c r="R48" s="223" t="s">
        <v>34</v>
      </c>
      <c r="S48" s="223" t="s">
        <v>17</v>
      </c>
      <c r="T48" s="224" t="str">
        <f t="shared" si="12"/>
        <v>MA</v>
      </c>
      <c r="U48" s="223" t="str">
        <f t="shared" si="13"/>
        <v>MA-NW-Inj</v>
      </c>
      <c r="V48" s="223" t="str">
        <f t="array" ref="V48">CONCATENATE(Q48,"-",R48)</f>
        <v>NW-Inj</v>
      </c>
      <c r="W48" s="239">
        <f>IF(ISERROR(VLOOKUP(T48,'15-16_DP_Tables'!$M$2:$V$8,MATCH(V48,INDEX('15-16_DP_Tables'!$M$2:$V$8,1,0),0),0)),0,VLOOKUP(T48,'15-16_DP_Tables'!$M$2:$V$8,MATCH(V48,INDEX('15-16_DP_Tables'!$M$2:$V$8,1,0),0),0))</f>
        <v>0</v>
      </c>
      <c r="X48" s="239">
        <f t="array" ref="X48">IF(ISERROR(VLOOKUP(T48,'15-16_DP_Tables'!$M$12:$V$18,MATCH(V48,INDEX('15-16_DP_Tables'!$M$12:$V$18,1,0),0),0)),0,VLOOKUP(T48,'15-16_DP_Tables'!$M$12:$V$18,MATCH(V48,INDEX('15-16_DP_Tables'!$M$12:$V$18,1,0),0),0))</f>
        <v>0</v>
      </c>
      <c r="Y48" s="223" t="str">
        <f t="shared" si="14"/>
        <v>Horizontal</v>
      </c>
      <c r="Z48" s="223">
        <v>5</v>
      </c>
      <c r="AA48" s="249" t="e">
        <f>VLOOKUP(T48,'Planning and Target Times'!$A$74:$L$78,MATCH(E48&amp;"-"&amp;Q48&amp;"-"&amp;Y48&amp;"-"&amp;R48,INDEX('Planning and Target Times'!$A$74:$L$78,1,0),0),0)</f>
        <v>#N/A</v>
      </c>
      <c r="AB48" s="249" t="e">
        <f>VLOOKUP(T48,'Planning and Target Times'!$A$97:$L$101,MATCH(E48&amp;"-"&amp;Q48&amp;"-"&amp;Y48&amp;"-"&amp;R48,INDEX('Planning and Target Times'!$A$97:$L$101,1,0),0),0)</f>
        <v>#N/A</v>
      </c>
      <c r="AC48" s="250">
        <f t="shared" si="11"/>
        <v>0</v>
      </c>
      <c r="AD48" s="250">
        <f t="shared" si="7"/>
        <v>0</v>
      </c>
      <c r="AE48" s="248">
        <f t="shared" si="8"/>
        <v>2603.4752642999811</v>
      </c>
      <c r="AF48" s="248">
        <f t="shared" si="15"/>
        <v>8346.5247357000189</v>
      </c>
      <c r="AG48" s="248">
        <f t="shared" ca="1" si="3"/>
        <v>1266.5247357000189</v>
      </c>
      <c r="AH48" s="248">
        <f t="shared" ca="1" si="4"/>
        <v>-539.47526429998106</v>
      </c>
      <c r="AI48" s="248">
        <f t="shared" si="9"/>
        <v>2012.3066655999689</v>
      </c>
      <c r="AJ48" s="248">
        <f t="shared" ca="1" si="10"/>
        <v>1857.6933344000311</v>
      </c>
      <c r="AK48" s="248">
        <f t="shared" ca="1" si="5"/>
        <v>51.693334400031063</v>
      </c>
    </row>
    <row r="49" spans="2:37" ht="15.95" customHeight="1" x14ac:dyDescent="0.25">
      <c r="B49" s="136">
        <v>90</v>
      </c>
      <c r="C49" s="148" t="s">
        <v>1177</v>
      </c>
      <c r="D49" s="186" t="s">
        <v>35</v>
      </c>
      <c r="E49" s="139" t="s">
        <v>42</v>
      </c>
      <c r="F49" s="140" t="s">
        <v>29</v>
      </c>
      <c r="G49" s="132" t="s">
        <v>1076</v>
      </c>
      <c r="H49" s="132" t="s">
        <v>1082</v>
      </c>
      <c r="I49" s="132" t="s">
        <v>459</v>
      </c>
      <c r="J49" s="133" t="s">
        <v>1079</v>
      </c>
      <c r="K49" s="142">
        <v>42103</v>
      </c>
      <c r="L49" s="142">
        <v>42173</v>
      </c>
      <c r="M49" s="134">
        <v>42187</v>
      </c>
      <c r="N49" s="140">
        <v>70</v>
      </c>
      <c r="O49" s="143">
        <v>2000</v>
      </c>
      <c r="P49" s="135" t="s">
        <v>1080</v>
      </c>
      <c r="Q49" s="223" t="s">
        <v>14</v>
      </c>
      <c r="R49" s="223" t="s">
        <v>298</v>
      </c>
      <c r="S49" s="223" t="s">
        <v>29</v>
      </c>
      <c r="T49" s="224" t="str">
        <f t="shared" si="12"/>
        <v>UB</v>
      </c>
      <c r="U49" s="223" t="str">
        <f t="shared" si="13"/>
        <v>UB-NW-Prod</v>
      </c>
      <c r="V49" s="223" t="str">
        <f t="array" ref="V49">CONCATENATE(Q49,"-",R49)</f>
        <v>NW-Prod</v>
      </c>
      <c r="W49" s="239">
        <f>IF(ISERROR(VLOOKUP(T49,'15-16_DP_Tables'!$M$2:$V$8,MATCH(V49,INDEX('15-16_DP_Tables'!$M$2:$V$8,1,0),0),0)),0,VLOOKUP(T49,'15-16_DP_Tables'!$M$2:$V$8,MATCH(V49,INDEX('15-16_DP_Tables'!$M$2:$V$8,1,0),0),0))</f>
        <v>53.604164999999995</v>
      </c>
      <c r="X49" s="239">
        <f t="array" ref="X49">IF(ISERROR(VLOOKUP(T49,'15-16_DP_Tables'!$M$12:$V$18,MATCH(V49,INDEX('15-16_DP_Tables'!$M$12:$V$18,1,0),0),0)),0,VLOOKUP(T49,'15-16_DP_Tables'!$M$12:$V$18,MATCH(V49,INDEX('15-16_DP_Tables'!$M$12:$V$18,1,0),0),0))</f>
        <v>48</v>
      </c>
      <c r="Y49" s="223" t="str">
        <f t="shared" si="14"/>
        <v>Horizontal</v>
      </c>
      <c r="Z49" s="223">
        <v>5</v>
      </c>
      <c r="AA49" s="249" t="e">
        <f>VLOOKUP(T49,'Planning and Target Times'!$A$74:$L$78,MATCH(E49&amp;"-"&amp;Q49&amp;"-"&amp;Y49&amp;"-"&amp;R49,INDEX('Planning and Target Times'!$A$74:$L$78,1,0),0),0)</f>
        <v>#N/A</v>
      </c>
      <c r="AB49" s="249" t="e">
        <f>VLOOKUP(T49,'Planning and Target Times'!$A$97:$L$101,MATCH(E49&amp;"-"&amp;Q49&amp;"-"&amp;Y49&amp;"-"&amp;R49,INDEX('Planning and Target Times'!$A$97:$L$101,1,0),0),0)</f>
        <v>#N/A</v>
      </c>
      <c r="AC49" s="250">
        <f t="shared" si="11"/>
        <v>37.31053361245344</v>
      </c>
      <c r="AD49" s="250">
        <f t="shared" si="7"/>
        <v>41.666666666666664</v>
      </c>
      <c r="AE49" s="248">
        <f t="shared" si="8"/>
        <v>2662.0794292999813</v>
      </c>
      <c r="AF49" s="248">
        <f t="shared" si="15"/>
        <v>8287.9205707000183</v>
      </c>
      <c r="AG49" s="248">
        <f t="shared" ca="1" si="3"/>
        <v>1207.9205707000187</v>
      </c>
      <c r="AH49" s="248">
        <f t="shared" ca="1" si="4"/>
        <v>-598.07942929998126</v>
      </c>
      <c r="AI49" s="248">
        <f t="shared" si="9"/>
        <v>2065.3066655999692</v>
      </c>
      <c r="AJ49" s="248">
        <f t="shared" ca="1" si="10"/>
        <v>1804.6933344000308</v>
      </c>
      <c r="AK49" s="248">
        <f t="shared" ca="1" si="5"/>
        <v>-1.3066655999691648</v>
      </c>
    </row>
    <row r="50" spans="2:37" ht="15.95" customHeight="1" x14ac:dyDescent="0.25">
      <c r="B50" s="136">
        <v>85</v>
      </c>
      <c r="C50" s="164" t="s">
        <v>1172</v>
      </c>
      <c r="D50" s="165" t="s">
        <v>1171</v>
      </c>
      <c r="E50" s="139" t="s">
        <v>42</v>
      </c>
      <c r="F50" s="140" t="s">
        <v>17</v>
      </c>
      <c r="G50" s="140" t="s">
        <v>1076</v>
      </c>
      <c r="H50" s="140" t="s">
        <v>1082</v>
      </c>
      <c r="I50" s="140" t="s">
        <v>459</v>
      </c>
      <c r="J50" s="141" t="s">
        <v>1079</v>
      </c>
      <c r="K50" s="142">
        <v>42106</v>
      </c>
      <c r="L50" s="142">
        <v>42176</v>
      </c>
      <c r="M50" s="134">
        <v>42190</v>
      </c>
      <c r="N50" s="140">
        <v>70</v>
      </c>
      <c r="O50" s="143">
        <v>1500</v>
      </c>
      <c r="P50" s="135" t="s">
        <v>1080</v>
      </c>
      <c r="Q50" s="223" t="s">
        <v>14</v>
      </c>
      <c r="R50" s="223" t="s">
        <v>298</v>
      </c>
      <c r="S50" s="223" t="s">
        <v>17</v>
      </c>
      <c r="T50" s="224" t="str">
        <f t="shared" si="12"/>
        <v>MA</v>
      </c>
      <c r="U50" s="223" t="str">
        <f t="shared" si="13"/>
        <v>MA-NW-Prod</v>
      </c>
      <c r="V50" s="223" t="str">
        <f t="array" ref="V50">CONCATENATE(Q50,"-",R50)</f>
        <v>NW-Prod</v>
      </c>
      <c r="W50" s="239">
        <f>IF(ISERROR(VLOOKUP(T50,'15-16_DP_Tables'!$M$2:$V$8,MATCH(V50,INDEX('15-16_DP_Tables'!$M$2:$V$8,1,0),0),0)),0,VLOOKUP(T50,'15-16_DP_Tables'!$M$2:$V$8,MATCH(V50,INDEX('15-16_DP_Tables'!$M$2:$V$8,1,0),0),0))</f>
        <v>57.083333333332121</v>
      </c>
      <c r="X50" s="239">
        <f t="array" ref="X50">IF(ISERROR(VLOOKUP(T50,'15-16_DP_Tables'!$M$12:$V$18,MATCH(V50,INDEX('15-16_DP_Tables'!$M$12:$V$18,1,0),0),0)),0,VLOOKUP(T50,'15-16_DP_Tables'!$M$12:$V$18,MATCH(V50,INDEX('15-16_DP_Tables'!$M$12:$V$18,1,0),0),0))</f>
        <v>47.791666666664241</v>
      </c>
      <c r="Y50" s="223" t="str">
        <f t="shared" si="14"/>
        <v>Horizontal</v>
      </c>
      <c r="Z50" s="223">
        <v>5</v>
      </c>
      <c r="AA50" s="249" t="e">
        <f>VLOOKUP(T50,'Planning and Target Times'!$A$74:$L$78,MATCH(E50&amp;"-"&amp;Q50&amp;"-"&amp;Y50&amp;"-"&amp;R50,INDEX('Planning and Target Times'!$A$74:$L$78,1,0),0),0)</f>
        <v>#N/A</v>
      </c>
      <c r="AB50" s="249" t="e">
        <f>VLOOKUP(T50,'Planning and Target Times'!$A$97:$L$101,MATCH(E50&amp;"-"&amp;Q50&amp;"-"&amp;Y50&amp;"-"&amp;R50,INDEX('Planning and Target Times'!$A$97:$L$101,1,0),0),0)</f>
        <v>#N/A</v>
      </c>
      <c r="AC50" s="250">
        <f t="shared" si="11"/>
        <v>26.277372262774282</v>
      </c>
      <c r="AD50" s="250">
        <f t="shared" si="7"/>
        <v>31.386224934613622</v>
      </c>
      <c r="AE50" s="248">
        <f t="shared" si="8"/>
        <v>2724.1627626333134</v>
      </c>
      <c r="AF50" s="248">
        <f t="shared" si="15"/>
        <v>8225.8372373666862</v>
      </c>
      <c r="AG50" s="248">
        <f t="shared" ca="1" si="3"/>
        <v>1145.8372373666866</v>
      </c>
      <c r="AH50" s="248">
        <f t="shared" ca="1" si="4"/>
        <v>-660.16276263331338</v>
      </c>
      <c r="AI50" s="248">
        <f t="shared" si="9"/>
        <v>2118.0983322666334</v>
      </c>
      <c r="AJ50" s="248">
        <f t="shared" ca="1" si="10"/>
        <v>1751.9016677333666</v>
      </c>
      <c r="AK50" s="248">
        <f t="shared" ca="1" si="5"/>
        <v>-54.098332266633406</v>
      </c>
    </row>
    <row r="51" spans="2:37" ht="15.95" customHeight="1" x14ac:dyDescent="0.25">
      <c r="B51" s="136">
        <v>111</v>
      </c>
      <c r="C51" s="149" t="s">
        <v>1196</v>
      </c>
      <c r="D51" s="188" t="s">
        <v>839</v>
      </c>
      <c r="E51" s="150" t="s">
        <v>42</v>
      </c>
      <c r="F51" s="189" t="s">
        <v>22</v>
      </c>
      <c r="G51" s="189" t="s">
        <v>1197</v>
      </c>
      <c r="H51" s="189" t="s">
        <v>1082</v>
      </c>
      <c r="I51" s="189" t="s">
        <v>459</v>
      </c>
      <c r="J51" s="141" t="s">
        <v>1079</v>
      </c>
      <c r="K51" s="142">
        <v>42124</v>
      </c>
      <c r="L51" s="142">
        <v>42254</v>
      </c>
      <c r="M51" s="134">
        <v>42268</v>
      </c>
      <c r="N51" s="189">
        <v>130</v>
      </c>
      <c r="O51" s="232">
        <v>8000</v>
      </c>
      <c r="P51" s="135" t="s">
        <v>1080</v>
      </c>
      <c r="Q51" s="225" t="s">
        <v>14</v>
      </c>
      <c r="R51" s="225" t="s">
        <v>1197</v>
      </c>
      <c r="S51" s="225" t="s">
        <v>22</v>
      </c>
      <c r="T51" s="224" t="str">
        <f t="shared" si="12"/>
        <v>LB</v>
      </c>
      <c r="U51" s="223" t="str">
        <f t="shared" si="13"/>
        <v>LB-NW-MLP</v>
      </c>
      <c r="V51" s="223" t="str">
        <f t="array" ref="V51">CONCATENATE(Q51,"-",R51)</f>
        <v>NW-MLP</v>
      </c>
      <c r="W51" s="239">
        <f>IF(ISERROR(VLOOKUP(T51,'15-16_DP_Tables'!$M$2:$V$8,MATCH(V51,INDEX('15-16_DP_Tables'!$M$2:$V$8,1,0),0),0)),0,VLOOKUP(T51,'15-16_DP_Tables'!$M$2:$V$8,MATCH(V51,INDEX('15-16_DP_Tables'!$M$2:$V$8,1,0),0),0))</f>
        <v>0</v>
      </c>
      <c r="X51" s="239">
        <f t="array" ref="X51">IF(ISERROR(VLOOKUP(T51,'15-16_DP_Tables'!$M$12:$V$18,MATCH(V51,INDEX('15-16_DP_Tables'!$M$12:$V$18,1,0),0),0)),0,VLOOKUP(T51,'15-16_DP_Tables'!$M$12:$V$18,MATCH(V51,INDEX('15-16_DP_Tables'!$M$12:$V$18,1,0),0),0))</f>
        <v>0</v>
      </c>
      <c r="Y51" s="223" t="str">
        <f t="shared" si="14"/>
        <v>Horizontal</v>
      </c>
      <c r="Z51" s="223">
        <v>5</v>
      </c>
      <c r="AA51" s="249" t="e">
        <f>VLOOKUP(T51,'Planning and Target Times'!$A$74:$L$78,MATCH(E51&amp;"-"&amp;Q51&amp;"-"&amp;Y51&amp;"-"&amp;R51,INDEX('Planning and Target Times'!$A$74:$L$78,1,0),0),0)</f>
        <v>#N/A</v>
      </c>
      <c r="AB51" s="249" t="e">
        <f>VLOOKUP(T51,'Planning and Target Times'!$A$97:$L$101,MATCH(E51&amp;"-"&amp;Q51&amp;"-"&amp;Y51&amp;"-"&amp;R51,INDEX('Planning and Target Times'!$A$97:$L$101,1,0),0),0)</f>
        <v>#N/A</v>
      </c>
      <c r="AC51" s="250">
        <f t="shared" si="11"/>
        <v>0</v>
      </c>
      <c r="AD51" s="250">
        <f t="shared" si="7"/>
        <v>0</v>
      </c>
      <c r="AE51" s="248">
        <f t="shared" si="8"/>
        <v>2729.1627626333134</v>
      </c>
      <c r="AF51" s="248">
        <f t="shared" si="15"/>
        <v>8220.8372373666862</v>
      </c>
      <c r="AG51" s="248">
        <f t="shared" ca="1" si="3"/>
        <v>1140.8372373666866</v>
      </c>
      <c r="AH51" s="248">
        <f t="shared" ca="1" si="4"/>
        <v>-665.16276263331338</v>
      </c>
      <c r="AI51" s="248">
        <f t="shared" si="9"/>
        <v>2123.0983322666334</v>
      </c>
      <c r="AJ51" s="248">
        <f t="shared" ca="1" si="10"/>
        <v>1746.9016677333666</v>
      </c>
      <c r="AK51" s="248">
        <f t="shared" ca="1" si="5"/>
        <v>-59.098332266633406</v>
      </c>
    </row>
    <row r="52" spans="2:37" ht="15.95" customHeight="1" x14ac:dyDescent="0.25">
      <c r="B52" s="136">
        <v>37</v>
      </c>
      <c r="C52" s="169" t="s">
        <v>1121</v>
      </c>
      <c r="D52" s="165" t="s">
        <v>1116</v>
      </c>
      <c r="E52" s="170" t="s">
        <v>42</v>
      </c>
      <c r="F52" s="140" t="s">
        <v>17</v>
      </c>
      <c r="G52" s="140" t="s">
        <v>1086</v>
      </c>
      <c r="H52" s="140" t="s">
        <v>1077</v>
      </c>
      <c r="I52" s="140" t="s">
        <v>459</v>
      </c>
      <c r="J52" s="141" t="s">
        <v>1079</v>
      </c>
      <c r="K52" s="142">
        <v>42127</v>
      </c>
      <c r="L52" s="142">
        <v>42176</v>
      </c>
      <c r="M52" s="134">
        <v>42190</v>
      </c>
      <c r="N52" s="140">
        <v>49</v>
      </c>
      <c r="O52" s="143"/>
      <c r="P52" s="135" t="s">
        <v>1080</v>
      </c>
      <c r="Q52" s="223" t="s">
        <v>18</v>
      </c>
      <c r="R52" s="223" t="s">
        <v>34</v>
      </c>
      <c r="S52" s="223" t="s">
        <v>17</v>
      </c>
      <c r="T52" s="224" t="str">
        <f t="shared" si="12"/>
        <v>MA</v>
      </c>
      <c r="U52" s="223" t="str">
        <f t="shared" si="13"/>
        <v>MA-ST-Inj</v>
      </c>
      <c r="V52" s="223" t="str">
        <f t="array" ref="V52">CONCATENATE(Q52,"-",R52)</f>
        <v>ST-Inj</v>
      </c>
      <c r="W52" s="239">
        <f>IF(ISERROR(VLOOKUP(T52,'15-16_DP_Tables'!$M$2:$V$8,MATCH(V52,INDEX('15-16_DP_Tables'!$M$2:$V$8,1,0),0),0)),0,VLOOKUP(T52,'15-16_DP_Tables'!$M$2:$V$8,MATCH(V52,INDEX('15-16_DP_Tables'!$M$2:$V$8,1,0),0),0))</f>
        <v>35.545833099999626</v>
      </c>
      <c r="X52" s="239">
        <f t="array" ref="X52">IF(ISERROR(VLOOKUP(T52,'15-16_DP_Tables'!$M$12:$V$18,MATCH(V52,INDEX('15-16_DP_Tables'!$M$12:$V$18,1,0),0),0)),0,VLOOKUP(T52,'15-16_DP_Tables'!$M$12:$V$18,MATCH(V52,INDEX('15-16_DP_Tables'!$M$12:$V$18,1,0),0),0))</f>
        <v>26.054166533332847</v>
      </c>
      <c r="Y52" s="223" t="str">
        <f t="shared" si="14"/>
        <v>Horizontal</v>
      </c>
      <c r="Z52" s="223">
        <v>5</v>
      </c>
      <c r="AA52" s="249" t="e">
        <f>VLOOKUP(T52,'Planning and Target Times'!$A$74:$L$78,MATCH(E52&amp;"-"&amp;Q52&amp;"-"&amp;Y52&amp;"-"&amp;R52,INDEX('Planning and Target Times'!$A$74:$L$78,1,0),0),0)</f>
        <v>#N/A</v>
      </c>
      <c r="AB52" s="249" t="e">
        <f>VLOOKUP(T52,'Planning and Target Times'!$A$97:$L$101,MATCH(E52&amp;"-"&amp;Q52&amp;"-"&amp;Y52&amp;"-"&amp;R52,INDEX('Planning and Target Times'!$A$97:$L$101,1,0),0),0)</f>
        <v>#N/A</v>
      </c>
      <c r="AC52" s="250">
        <f t="shared" si="11"/>
        <v>0</v>
      </c>
      <c r="AD52" s="250">
        <f t="shared" si="7"/>
        <v>0</v>
      </c>
      <c r="AE52" s="248">
        <f t="shared" si="8"/>
        <v>2769.7085957333129</v>
      </c>
      <c r="AF52" s="248">
        <f t="shared" si="15"/>
        <v>8180.2914042666871</v>
      </c>
      <c r="AG52" s="248">
        <f t="shared" ca="1" si="3"/>
        <v>1100.2914042666871</v>
      </c>
      <c r="AH52" s="248">
        <f t="shared" ca="1" si="4"/>
        <v>-705.7085957333129</v>
      </c>
      <c r="AI52" s="248">
        <f t="shared" si="9"/>
        <v>2154.1524987999665</v>
      </c>
      <c r="AJ52" s="248">
        <f t="shared" ca="1" si="10"/>
        <v>1715.8475012000335</v>
      </c>
      <c r="AK52" s="248">
        <f t="shared" ca="1" si="5"/>
        <v>-90.152498799966452</v>
      </c>
    </row>
    <row r="53" spans="2:37" ht="15.95" customHeight="1" x14ac:dyDescent="0.25">
      <c r="B53" s="136">
        <v>97</v>
      </c>
      <c r="C53" s="148" t="s">
        <v>1183</v>
      </c>
      <c r="D53" s="147" t="s">
        <v>734</v>
      </c>
      <c r="E53" s="139" t="s">
        <v>11</v>
      </c>
      <c r="F53" s="140" t="s">
        <v>29</v>
      </c>
      <c r="G53" s="140" t="s">
        <v>1076</v>
      </c>
      <c r="H53" s="140" t="s">
        <v>1082</v>
      </c>
      <c r="I53" s="140" t="s">
        <v>459</v>
      </c>
      <c r="J53" s="141" t="s">
        <v>1079</v>
      </c>
      <c r="K53" s="142">
        <v>42128</v>
      </c>
      <c r="L53" s="142">
        <v>42198</v>
      </c>
      <c r="M53" s="134">
        <v>42212</v>
      </c>
      <c r="N53" s="140">
        <v>70</v>
      </c>
      <c r="O53" s="143">
        <v>1200</v>
      </c>
      <c r="P53" s="135" t="s">
        <v>1080</v>
      </c>
      <c r="Q53" s="223" t="s">
        <v>14</v>
      </c>
      <c r="R53" s="223" t="s">
        <v>298</v>
      </c>
      <c r="S53" s="223" t="s">
        <v>29</v>
      </c>
      <c r="T53" s="224" t="str">
        <f t="shared" si="12"/>
        <v>UB</v>
      </c>
      <c r="U53" s="223" t="str">
        <f t="shared" si="13"/>
        <v>UB-NW-Prod</v>
      </c>
      <c r="V53" s="223" t="str">
        <f t="array" ref="V53">CONCATENATE(Q53,"-",R53)</f>
        <v>NW-Prod</v>
      </c>
      <c r="W53" s="239">
        <f>IF(ISERROR(VLOOKUP(T53,'15-16_DP_Tables'!$M$2:$V$8,MATCH(V53,INDEX('15-16_DP_Tables'!$M$2:$V$8,1,0),0),0)),0,VLOOKUP(T53,'15-16_DP_Tables'!$M$2:$V$8,MATCH(V53,INDEX('15-16_DP_Tables'!$M$2:$V$8,1,0),0),0))</f>
        <v>53.604164999999995</v>
      </c>
      <c r="X53" s="239">
        <f t="array" ref="X53">IF(ISERROR(VLOOKUP(T53,'15-16_DP_Tables'!$M$12:$V$18,MATCH(V53,INDEX('15-16_DP_Tables'!$M$12:$V$18,1,0),0),0)),0,VLOOKUP(T53,'15-16_DP_Tables'!$M$12:$V$18,MATCH(V53,INDEX('15-16_DP_Tables'!$M$12:$V$18,1,0),0),0))</f>
        <v>48</v>
      </c>
      <c r="Y53" s="223" t="str">
        <f t="shared" si="14"/>
        <v>Horizontal</v>
      </c>
      <c r="Z53" s="223">
        <v>5</v>
      </c>
      <c r="AA53" s="249" t="e">
        <f>VLOOKUP(T53,'Planning and Target Times'!$A$74:$L$78,MATCH(E53&amp;"-"&amp;Q53&amp;"-"&amp;Y53&amp;"-"&amp;R53,INDEX('Planning and Target Times'!$A$74:$L$78,1,0),0),0)</f>
        <v>#N/A</v>
      </c>
      <c r="AB53" s="249" t="e">
        <f>VLOOKUP(T53,'Planning and Target Times'!$A$97:$L$101,MATCH(E53&amp;"-"&amp;Q53&amp;"-"&amp;Y53&amp;"-"&amp;R53,INDEX('Planning and Target Times'!$A$97:$L$101,1,0),0),0)</f>
        <v>#N/A</v>
      </c>
      <c r="AC53" s="250">
        <f t="shared" si="11"/>
        <v>22.386320167472064</v>
      </c>
      <c r="AD53" s="250">
        <f t="shared" si="7"/>
        <v>25</v>
      </c>
      <c r="AE53" s="248">
        <f t="shared" si="8"/>
        <v>2828.3127607333131</v>
      </c>
      <c r="AF53" s="248">
        <f t="shared" si="15"/>
        <v>8121.6872392666864</v>
      </c>
      <c r="AG53" s="248">
        <f t="shared" ca="1" si="3"/>
        <v>1041.6872392666869</v>
      </c>
      <c r="AH53" s="248">
        <f t="shared" ca="1" si="4"/>
        <v>-764.3127607333131</v>
      </c>
      <c r="AI53" s="248">
        <f t="shared" si="9"/>
        <v>2207.1524987999665</v>
      </c>
      <c r="AJ53" s="248">
        <f t="shared" ca="1" si="10"/>
        <v>1662.8475012000335</v>
      </c>
      <c r="AK53" s="248">
        <f t="shared" ca="1" si="5"/>
        <v>-143.15249879996645</v>
      </c>
    </row>
    <row r="54" spans="2:37" ht="15.95" customHeight="1" x14ac:dyDescent="0.25">
      <c r="B54" s="136">
        <v>72</v>
      </c>
      <c r="C54" s="144" t="s">
        <v>1158</v>
      </c>
      <c r="D54" s="182" t="s">
        <v>512</v>
      </c>
      <c r="E54" s="155" t="s">
        <v>42</v>
      </c>
      <c r="F54" s="140" t="s">
        <v>44</v>
      </c>
      <c r="G54" s="140" t="s">
        <v>1076</v>
      </c>
      <c r="H54" s="140" t="s">
        <v>1082</v>
      </c>
      <c r="I54" s="140" t="s">
        <v>459</v>
      </c>
      <c r="J54" s="141" t="s">
        <v>1079</v>
      </c>
      <c r="K54" s="142">
        <v>42130</v>
      </c>
      <c r="L54" s="142">
        <v>42228</v>
      </c>
      <c r="M54" s="134">
        <v>42242</v>
      </c>
      <c r="N54" s="140">
        <v>98</v>
      </c>
      <c r="O54" s="143">
        <v>2200</v>
      </c>
      <c r="P54" s="143" t="s">
        <v>1080</v>
      </c>
      <c r="Q54" s="223" t="s">
        <v>14</v>
      </c>
      <c r="R54" s="223" t="s">
        <v>298</v>
      </c>
      <c r="S54" s="223" t="s">
        <v>44</v>
      </c>
      <c r="T54" s="224" t="str">
        <f t="shared" si="12"/>
        <v>ZU/RT</v>
      </c>
      <c r="U54" s="223" t="str">
        <f t="shared" si="13"/>
        <v>ZU-NW-Prod</v>
      </c>
      <c r="V54" s="223" t="str">
        <f t="array" ref="V54">CONCATENATE(Q54,"-",R54)</f>
        <v>NW-Prod</v>
      </c>
      <c r="W54" s="239">
        <f>IF(ISERROR(VLOOKUP(T54,'15-16_DP_Tables'!$M$2:$V$8,MATCH(V54,INDEX('15-16_DP_Tables'!$M$2:$V$8,1,0),0),0)),0,VLOOKUP(T54,'15-16_DP_Tables'!$M$2:$V$8,MATCH(V54,INDEX('15-16_DP_Tables'!$M$2:$V$8,1,0),0),0))</f>
        <v>99.088549999999998</v>
      </c>
      <c r="X54" s="239">
        <f t="array" ref="X54">IF(ISERROR(VLOOKUP(T54,'15-16_DP_Tables'!$M$12:$V$18,MATCH(V54,INDEX('15-16_DP_Tables'!$M$12:$V$18,1,0),0),0)),0,VLOOKUP(T54,'15-16_DP_Tables'!$M$12:$V$18,MATCH(V54,INDEX('15-16_DP_Tables'!$M$12:$V$18,1,0),0),0))</f>
        <v>53.375</v>
      </c>
      <c r="Y54" s="223" t="str">
        <f t="shared" si="14"/>
        <v>Horizontal</v>
      </c>
      <c r="Z54" s="223">
        <v>5</v>
      </c>
      <c r="AA54" s="249" t="e">
        <f>VLOOKUP(T54,'Planning and Target Times'!$A$74:$L$78,MATCH(E54&amp;"-"&amp;Q54&amp;"-"&amp;Y54&amp;"-"&amp;R54,INDEX('Planning and Target Times'!$A$74:$L$78,1,0),0),0)</f>
        <v>#N/A</v>
      </c>
      <c r="AB54" s="249" t="e">
        <f>VLOOKUP(T54,'Planning and Target Times'!$A$97:$L$101,MATCH(E54&amp;"-"&amp;Q54&amp;"-"&amp;Y54&amp;"-"&amp;R54,INDEX('Planning and Target Times'!$A$97:$L$101,1,0),0),0)</f>
        <v>#N/A</v>
      </c>
      <c r="AC54" s="250">
        <f t="shared" si="11"/>
        <v>22.202363441588357</v>
      </c>
      <c r="AD54" s="250">
        <f t="shared" si="7"/>
        <v>41.217798594847778</v>
      </c>
      <c r="AE54" s="248">
        <f t="shared" si="8"/>
        <v>2932.401310733313</v>
      </c>
      <c r="AF54" s="248">
        <f t="shared" si="15"/>
        <v>8017.598689266687</v>
      </c>
      <c r="AG54" s="248">
        <f t="shared" ca="1" si="3"/>
        <v>937.59868926668696</v>
      </c>
      <c r="AH54" s="248">
        <f t="shared" ca="1" si="4"/>
        <v>-868.40131073331304</v>
      </c>
      <c r="AI54" s="248">
        <f t="shared" si="9"/>
        <v>2265.5274987999665</v>
      </c>
      <c r="AJ54" s="248">
        <f t="shared" ca="1" si="10"/>
        <v>1604.4725012000335</v>
      </c>
      <c r="AK54" s="248">
        <f t="shared" ca="1" si="5"/>
        <v>-201.52749879996645</v>
      </c>
    </row>
    <row r="55" spans="2:37" ht="15.95" customHeight="1" x14ac:dyDescent="0.25">
      <c r="B55" s="136">
        <v>119</v>
      </c>
      <c r="C55" s="144" t="s">
        <v>1205</v>
      </c>
      <c r="D55" s="165" t="s">
        <v>838</v>
      </c>
      <c r="E55" s="139" t="s">
        <v>42</v>
      </c>
      <c r="F55" s="140" t="s">
        <v>29</v>
      </c>
      <c r="G55" s="132" t="s">
        <v>1076</v>
      </c>
      <c r="H55" s="132" t="s">
        <v>1082</v>
      </c>
      <c r="I55" s="132" t="s">
        <v>459</v>
      </c>
      <c r="J55" s="133" t="s">
        <v>1079</v>
      </c>
      <c r="K55" s="142">
        <v>42131</v>
      </c>
      <c r="L55" s="134">
        <v>42201</v>
      </c>
      <c r="M55" s="134">
        <v>42215</v>
      </c>
      <c r="N55" s="132">
        <v>70</v>
      </c>
      <c r="O55" s="135">
        <v>2000</v>
      </c>
      <c r="P55" s="135" t="s">
        <v>1080</v>
      </c>
      <c r="Q55" s="223" t="s">
        <v>14</v>
      </c>
      <c r="R55" s="223" t="s">
        <v>298</v>
      </c>
      <c r="S55" s="223" t="s">
        <v>29</v>
      </c>
      <c r="T55" s="224" t="str">
        <f t="shared" si="12"/>
        <v>UB</v>
      </c>
      <c r="U55" s="223" t="str">
        <f t="shared" si="13"/>
        <v>UB-NW-Prod</v>
      </c>
      <c r="V55" s="223" t="str">
        <f t="array" ref="V55">CONCATENATE(Q55,"-",R55)</f>
        <v>NW-Prod</v>
      </c>
      <c r="W55" s="239">
        <f>IF(ISERROR(VLOOKUP(T55,'15-16_DP_Tables'!$M$2:$V$8,MATCH(V55,INDEX('15-16_DP_Tables'!$M$2:$V$8,1,0),0),0)),0,VLOOKUP(T55,'15-16_DP_Tables'!$M$2:$V$8,MATCH(V55,INDEX('15-16_DP_Tables'!$M$2:$V$8,1,0),0),0))</f>
        <v>53.604164999999995</v>
      </c>
      <c r="X55" s="239">
        <f t="array" ref="X55">IF(ISERROR(VLOOKUP(T55,'15-16_DP_Tables'!$M$12:$V$18,MATCH(V55,INDEX('15-16_DP_Tables'!$M$12:$V$18,1,0),0),0)),0,VLOOKUP(T55,'15-16_DP_Tables'!$M$12:$V$18,MATCH(V55,INDEX('15-16_DP_Tables'!$M$12:$V$18,1,0),0),0))</f>
        <v>48</v>
      </c>
      <c r="Y55" s="223" t="str">
        <f t="shared" si="14"/>
        <v>Horizontal</v>
      </c>
      <c r="Z55" s="223">
        <v>5</v>
      </c>
      <c r="AA55" s="249" t="e">
        <f>VLOOKUP(T55,'Planning and Target Times'!$A$74:$L$78,MATCH(E55&amp;"-"&amp;Q55&amp;"-"&amp;Y55&amp;"-"&amp;R55,INDEX('Planning and Target Times'!$A$74:$L$78,1,0),0),0)</f>
        <v>#N/A</v>
      </c>
      <c r="AB55" s="249" t="e">
        <f>VLOOKUP(T55,'Planning and Target Times'!$A$97:$L$101,MATCH(E55&amp;"-"&amp;Q55&amp;"-"&amp;Y55&amp;"-"&amp;R55,INDEX('Planning and Target Times'!$A$97:$L$101,1,0),0),0)</f>
        <v>#N/A</v>
      </c>
      <c r="AC55" s="250">
        <f t="shared" si="11"/>
        <v>37.31053361245344</v>
      </c>
      <c r="AD55" s="250">
        <f t="shared" si="7"/>
        <v>41.666666666666664</v>
      </c>
      <c r="AE55" s="248">
        <f t="shared" si="8"/>
        <v>2991.0054757333132</v>
      </c>
      <c r="AF55" s="248">
        <f t="shared" si="15"/>
        <v>7958.9945242666872</v>
      </c>
      <c r="AG55" s="248">
        <f t="shared" ca="1" si="3"/>
        <v>878.99452426668677</v>
      </c>
      <c r="AH55" s="248">
        <f t="shared" ca="1" si="4"/>
        <v>-927.00547573331323</v>
      </c>
      <c r="AI55" s="248">
        <f t="shared" si="9"/>
        <v>2318.5274987999665</v>
      </c>
      <c r="AJ55" s="248">
        <f t="shared" ca="1" si="10"/>
        <v>1551.4725012000335</v>
      </c>
      <c r="AK55" s="248">
        <f t="shared" ca="1" si="5"/>
        <v>-254.52749879996645</v>
      </c>
    </row>
    <row r="56" spans="2:37" ht="15.95" customHeight="1" x14ac:dyDescent="0.25">
      <c r="B56" s="136">
        <v>104</v>
      </c>
      <c r="C56" s="144" t="s">
        <v>1190</v>
      </c>
      <c r="D56" s="157" t="s">
        <v>735</v>
      </c>
      <c r="E56" s="139" t="s">
        <v>42</v>
      </c>
      <c r="F56" s="140" t="s">
        <v>22</v>
      </c>
      <c r="G56" s="132" t="s">
        <v>1076</v>
      </c>
      <c r="H56" s="132" t="s">
        <v>1082</v>
      </c>
      <c r="I56" s="132" t="s">
        <v>459</v>
      </c>
      <c r="J56" s="133" t="s">
        <v>1079</v>
      </c>
      <c r="K56" s="142">
        <v>42138</v>
      </c>
      <c r="L56" s="134">
        <v>42208</v>
      </c>
      <c r="M56" s="134">
        <v>42222</v>
      </c>
      <c r="N56" s="132">
        <v>70</v>
      </c>
      <c r="O56" s="135">
        <v>1800</v>
      </c>
      <c r="P56" s="135" t="s">
        <v>1080</v>
      </c>
      <c r="Q56" s="223" t="s">
        <v>14</v>
      </c>
      <c r="R56" s="223" t="s">
        <v>298</v>
      </c>
      <c r="S56" s="223" t="s">
        <v>22</v>
      </c>
      <c r="T56" s="224" t="str">
        <f t="shared" si="12"/>
        <v>LB</v>
      </c>
      <c r="U56" s="223" t="str">
        <f t="shared" si="13"/>
        <v>LB-NW-Prod</v>
      </c>
      <c r="V56" s="223" t="str">
        <f t="array" ref="V56">CONCATENATE(Q56,"-",R56)</f>
        <v>NW-Prod</v>
      </c>
      <c r="W56" s="239">
        <f>IF(ISERROR(VLOOKUP(T56,'15-16_DP_Tables'!$M$2:$V$8,MATCH(V56,INDEX('15-16_DP_Tables'!$M$2:$V$8,1,0),0),0)),0,VLOOKUP(T56,'15-16_DP_Tables'!$M$2:$V$8,MATCH(V56,INDEX('15-16_DP_Tables'!$M$2:$V$8,1,0),0),0))</f>
        <v>55.81537142381022</v>
      </c>
      <c r="X56" s="239">
        <f t="array" ref="X56">IF(ISERROR(VLOOKUP(T56,'15-16_DP_Tables'!$M$12:$V$18,MATCH(V56,INDEX('15-16_DP_Tables'!$M$12:$V$18,1,0),0),0)),0,VLOOKUP(T56,'15-16_DP_Tables'!$M$12:$V$18,MATCH(V56,INDEX('15-16_DP_Tables'!$M$12:$V$18,1,0),0),0))</f>
        <v>45.207999999999998</v>
      </c>
      <c r="Y56" s="223" t="str">
        <f t="shared" si="14"/>
        <v>Horizontal</v>
      </c>
      <c r="Z56" s="223">
        <v>5</v>
      </c>
      <c r="AA56" s="249" t="e">
        <f>VLOOKUP(T56,'Planning and Target Times'!$A$74:$L$78,MATCH(E56&amp;"-"&amp;Q56&amp;"-"&amp;Y56&amp;"-"&amp;R56,INDEX('Planning and Target Times'!$A$74:$L$78,1,0),0),0)</f>
        <v>#N/A</v>
      </c>
      <c r="AB56" s="249" t="e">
        <f>VLOOKUP(T56,'Planning and Target Times'!$A$97:$L$101,MATCH(E56&amp;"-"&amp;Q56&amp;"-"&amp;Y56&amp;"-"&amp;R56,INDEX('Planning and Target Times'!$A$97:$L$101,1,0),0),0)</f>
        <v>#N/A</v>
      </c>
      <c r="AC56" s="250">
        <f t="shared" si="11"/>
        <v>32.249180719993198</v>
      </c>
      <c r="AD56" s="250">
        <f t="shared" si="7"/>
        <v>39.815961776676694</v>
      </c>
      <c r="AE56" s="248">
        <f t="shared" si="8"/>
        <v>3051.8208471571234</v>
      </c>
      <c r="AF56" s="248">
        <f t="shared" si="15"/>
        <v>7898.1791528428766</v>
      </c>
      <c r="AG56" s="248">
        <f t="shared" ca="1" si="3"/>
        <v>818.17915284287665</v>
      </c>
      <c r="AH56" s="248">
        <f t="shared" ca="1" si="4"/>
        <v>-987.82084715712335</v>
      </c>
      <c r="AI56" s="248">
        <f t="shared" si="9"/>
        <v>2368.7354987999665</v>
      </c>
      <c r="AJ56" s="248">
        <f t="shared" ca="1" si="10"/>
        <v>1501.2645012000335</v>
      </c>
      <c r="AK56" s="248">
        <f t="shared" ca="1" si="5"/>
        <v>-304.73549879996654</v>
      </c>
    </row>
    <row r="57" spans="2:37" ht="15.95" customHeight="1" x14ac:dyDescent="0.25">
      <c r="B57" s="136">
        <v>79</v>
      </c>
      <c r="C57" s="144" t="s">
        <v>1165</v>
      </c>
      <c r="D57" s="184" t="s">
        <v>511</v>
      </c>
      <c r="E57" s="139" t="s">
        <v>42</v>
      </c>
      <c r="F57" s="140" t="s">
        <v>22</v>
      </c>
      <c r="G57" s="132" t="s">
        <v>1076</v>
      </c>
      <c r="H57" s="132" t="s">
        <v>1082</v>
      </c>
      <c r="I57" s="132" t="s">
        <v>459</v>
      </c>
      <c r="J57" s="133" t="s">
        <v>1079</v>
      </c>
      <c r="K57" s="142">
        <v>42145</v>
      </c>
      <c r="L57" s="142">
        <v>42215</v>
      </c>
      <c r="M57" s="134">
        <v>42229</v>
      </c>
      <c r="N57" s="140">
        <v>70</v>
      </c>
      <c r="O57" s="143">
        <v>1800</v>
      </c>
      <c r="P57" s="135" t="s">
        <v>1080</v>
      </c>
      <c r="Q57" s="223" t="s">
        <v>14</v>
      </c>
      <c r="R57" s="223" t="s">
        <v>298</v>
      </c>
      <c r="S57" s="223" t="s">
        <v>22</v>
      </c>
      <c r="T57" s="224" t="str">
        <f t="shared" si="12"/>
        <v>LB</v>
      </c>
      <c r="U57" s="223" t="str">
        <f t="shared" si="13"/>
        <v>LB-NW-Prod</v>
      </c>
      <c r="V57" s="223" t="str">
        <f t="array" ref="V57">CONCATENATE(Q57,"-",R57)</f>
        <v>NW-Prod</v>
      </c>
      <c r="W57" s="239">
        <f>IF(ISERROR(VLOOKUP(T57,'15-16_DP_Tables'!$M$2:$V$8,MATCH(V57,INDEX('15-16_DP_Tables'!$M$2:$V$8,1,0),0),0)),0,VLOOKUP(T57,'15-16_DP_Tables'!$M$2:$V$8,MATCH(V57,INDEX('15-16_DP_Tables'!$M$2:$V$8,1,0),0),0))</f>
        <v>55.81537142381022</v>
      </c>
      <c r="X57" s="239">
        <f t="array" ref="X57">IF(ISERROR(VLOOKUP(T57,'15-16_DP_Tables'!$M$12:$V$18,MATCH(V57,INDEX('15-16_DP_Tables'!$M$12:$V$18,1,0),0),0)),0,VLOOKUP(T57,'15-16_DP_Tables'!$M$12:$V$18,MATCH(V57,INDEX('15-16_DP_Tables'!$M$12:$V$18,1,0),0),0))</f>
        <v>45.207999999999998</v>
      </c>
      <c r="Y57" s="223" t="str">
        <f t="shared" si="14"/>
        <v>Slant</v>
      </c>
      <c r="Z57" s="223">
        <v>5</v>
      </c>
      <c r="AA57" s="249" t="e">
        <f>VLOOKUP(T57,'Planning and Target Times'!$A$74:$L$78,MATCH(E57&amp;"-"&amp;Q57&amp;"-"&amp;Y57&amp;"-"&amp;R57,INDEX('Planning and Target Times'!$A$74:$L$78,1,0),0),0)</f>
        <v>#N/A</v>
      </c>
      <c r="AB57" s="249" t="e">
        <f>VLOOKUP(T57,'Planning and Target Times'!$A$97:$L$101,MATCH(E57&amp;"-"&amp;Q57&amp;"-"&amp;Y57&amp;"-"&amp;R57,INDEX('Planning and Target Times'!$A$97:$L$101,1,0),0),0)</f>
        <v>#N/A</v>
      </c>
      <c r="AC57" s="250">
        <f t="shared" si="11"/>
        <v>32.249180719993198</v>
      </c>
      <c r="AD57" s="250">
        <f t="shared" si="7"/>
        <v>39.815961776676694</v>
      </c>
      <c r="AE57" s="248">
        <f t="shared" si="8"/>
        <v>3112.6362185809335</v>
      </c>
      <c r="AF57" s="248">
        <f t="shared" si="15"/>
        <v>7837.3637814190661</v>
      </c>
      <c r="AG57" s="248">
        <f t="shared" ca="1" si="3"/>
        <v>757.36378141906653</v>
      </c>
      <c r="AH57" s="248">
        <f t="shared" ca="1" si="4"/>
        <v>-1048.6362185809335</v>
      </c>
      <c r="AI57" s="248">
        <f t="shared" si="9"/>
        <v>2418.9434987999666</v>
      </c>
      <c r="AJ57" s="248">
        <f t="shared" ca="1" si="10"/>
        <v>1451.0565012000334</v>
      </c>
      <c r="AK57" s="248">
        <f t="shared" ca="1" si="5"/>
        <v>-354.94349879996662</v>
      </c>
    </row>
    <row r="58" spans="2:37" ht="15.95" customHeight="1" x14ac:dyDescent="0.25">
      <c r="B58" s="136">
        <v>29</v>
      </c>
      <c r="C58" s="164" t="s">
        <v>1112</v>
      </c>
      <c r="D58" s="157" t="s">
        <v>1107</v>
      </c>
      <c r="E58" s="139" t="s">
        <v>42</v>
      </c>
      <c r="F58" s="140" t="s">
        <v>17</v>
      </c>
      <c r="G58" s="140" t="s">
        <v>1076</v>
      </c>
      <c r="H58" s="140" t="s">
        <v>1082</v>
      </c>
      <c r="I58" s="140" t="s">
        <v>459</v>
      </c>
      <c r="J58" s="141" t="s">
        <v>1079</v>
      </c>
      <c r="K58" s="142">
        <v>42149</v>
      </c>
      <c r="L58" s="142">
        <v>42219</v>
      </c>
      <c r="M58" s="134">
        <v>42233</v>
      </c>
      <c r="N58" s="132">
        <v>70</v>
      </c>
      <c r="O58" s="135">
        <v>1500</v>
      </c>
      <c r="P58" s="135" t="s">
        <v>1080</v>
      </c>
      <c r="Q58" s="223" t="s">
        <v>14</v>
      </c>
      <c r="R58" s="223" t="s">
        <v>298</v>
      </c>
      <c r="S58" s="223" t="s">
        <v>17</v>
      </c>
      <c r="T58" s="224" t="str">
        <f t="shared" si="12"/>
        <v>MA</v>
      </c>
      <c r="U58" s="223" t="str">
        <f t="shared" si="13"/>
        <v>MA-NW-Prod</v>
      </c>
      <c r="V58" s="223" t="str">
        <f t="array" ref="V58">CONCATENATE(Q58,"-",R58)</f>
        <v>NW-Prod</v>
      </c>
      <c r="W58" s="239">
        <f>IF(ISERROR(VLOOKUP(T58,'15-16_DP_Tables'!$M$2:$V$8,MATCH(V58,INDEX('15-16_DP_Tables'!$M$2:$V$8,1,0),0),0)),0,VLOOKUP(T58,'15-16_DP_Tables'!$M$2:$V$8,MATCH(V58,INDEX('15-16_DP_Tables'!$M$2:$V$8,1,0),0),0))</f>
        <v>57.083333333332121</v>
      </c>
      <c r="X58" s="239">
        <f t="array" ref="X58">IF(ISERROR(VLOOKUP(T58,'15-16_DP_Tables'!$M$12:$V$18,MATCH(V58,INDEX('15-16_DP_Tables'!$M$12:$V$18,1,0),0),0)),0,VLOOKUP(T58,'15-16_DP_Tables'!$M$12:$V$18,MATCH(V58,INDEX('15-16_DP_Tables'!$M$12:$V$18,1,0),0),0))</f>
        <v>47.791666666664241</v>
      </c>
      <c r="Y58" s="223" t="str">
        <f t="shared" si="14"/>
        <v>Horizontal</v>
      </c>
      <c r="Z58" s="223">
        <v>5</v>
      </c>
      <c r="AA58" s="249" t="e">
        <f>VLOOKUP(T58,'Planning and Target Times'!$A$74:$L$78,MATCH(E58&amp;"-"&amp;Q58&amp;"-"&amp;Y58&amp;"-"&amp;R58,INDEX('Planning and Target Times'!$A$74:$L$78,1,0),0),0)</f>
        <v>#N/A</v>
      </c>
      <c r="AB58" s="249" t="e">
        <f>VLOOKUP(T58,'Planning and Target Times'!$A$97:$L$101,MATCH(E58&amp;"-"&amp;Q58&amp;"-"&amp;Y58&amp;"-"&amp;R58,INDEX('Planning and Target Times'!$A$97:$L$101,1,0),0),0)</f>
        <v>#N/A</v>
      </c>
      <c r="AC58" s="250">
        <f t="shared" si="11"/>
        <v>26.277372262774282</v>
      </c>
      <c r="AD58" s="250">
        <f t="shared" si="7"/>
        <v>31.386224934613622</v>
      </c>
      <c r="AE58" s="248">
        <f t="shared" si="8"/>
        <v>3174.7195519142656</v>
      </c>
      <c r="AF58" s="248">
        <f t="shared" si="15"/>
        <v>7775.280448085734</v>
      </c>
      <c r="AG58" s="248">
        <f t="shared" ca="1" si="3"/>
        <v>695.28044808573441</v>
      </c>
      <c r="AH58" s="248">
        <f t="shared" ca="1" si="4"/>
        <v>-1110.7195519142656</v>
      </c>
      <c r="AI58" s="248">
        <f t="shared" si="9"/>
        <v>2471.7351654666309</v>
      </c>
      <c r="AJ58" s="248">
        <f t="shared" ca="1" si="10"/>
        <v>1398.2648345333691</v>
      </c>
      <c r="AK58" s="248">
        <f t="shared" ca="1" si="5"/>
        <v>-407.73516546663086</v>
      </c>
    </row>
    <row r="59" spans="2:37" ht="15.95" customHeight="1" x14ac:dyDescent="0.25">
      <c r="B59" s="136">
        <v>57</v>
      </c>
      <c r="C59" s="164" t="s">
        <v>1143</v>
      </c>
      <c r="D59" s="178" t="s">
        <v>1137</v>
      </c>
      <c r="E59" s="139" t="s">
        <v>11</v>
      </c>
      <c r="F59" s="140" t="s">
        <v>17</v>
      </c>
      <c r="G59" s="140" t="s">
        <v>1076</v>
      </c>
      <c r="H59" s="140" t="s">
        <v>1082</v>
      </c>
      <c r="I59" s="140" t="s">
        <v>459</v>
      </c>
      <c r="J59" s="141" t="s">
        <v>1079</v>
      </c>
      <c r="K59" s="142">
        <v>42151</v>
      </c>
      <c r="L59" s="142">
        <v>42221</v>
      </c>
      <c r="M59" s="134">
        <v>42235</v>
      </c>
      <c r="N59" s="140">
        <v>70</v>
      </c>
      <c r="O59" s="143">
        <v>1400</v>
      </c>
      <c r="P59" s="135" t="s">
        <v>1080</v>
      </c>
      <c r="Q59" s="223" t="s">
        <v>14</v>
      </c>
      <c r="R59" s="223" t="s">
        <v>298</v>
      </c>
      <c r="S59" s="223" t="s">
        <v>17</v>
      </c>
      <c r="T59" s="224" t="str">
        <f t="shared" si="12"/>
        <v>MA</v>
      </c>
      <c r="U59" s="223" t="str">
        <f t="shared" si="13"/>
        <v>MA-NW-Prod</v>
      </c>
      <c r="V59" s="223" t="str">
        <f t="array" ref="V59">CONCATENATE(Q59,"-",R59)</f>
        <v>NW-Prod</v>
      </c>
      <c r="W59" s="239">
        <f>IF(ISERROR(VLOOKUP(T59,'15-16_DP_Tables'!$M$2:$V$8,MATCH(V59,INDEX('15-16_DP_Tables'!$M$2:$V$8,1,0),0),0)),0,VLOOKUP(T59,'15-16_DP_Tables'!$M$2:$V$8,MATCH(V59,INDEX('15-16_DP_Tables'!$M$2:$V$8,1,0),0),0))</f>
        <v>57.083333333332121</v>
      </c>
      <c r="X59" s="239">
        <f t="array" ref="X59">IF(ISERROR(VLOOKUP(T59,'15-16_DP_Tables'!$M$12:$V$18,MATCH(V59,INDEX('15-16_DP_Tables'!$M$12:$V$18,1,0),0),0)),0,VLOOKUP(T59,'15-16_DP_Tables'!$M$12:$V$18,MATCH(V59,INDEX('15-16_DP_Tables'!$M$12:$V$18,1,0),0),0))</f>
        <v>47.791666666664241</v>
      </c>
      <c r="Y59" s="223" t="str">
        <f t="shared" si="14"/>
        <v>Horizontal</v>
      </c>
      <c r="Z59" s="223">
        <v>5</v>
      </c>
      <c r="AA59" s="249" t="e">
        <f>VLOOKUP(T59,'Planning and Target Times'!$A$74:$L$78,MATCH(E59&amp;"-"&amp;Q59&amp;"-"&amp;Y59&amp;"-"&amp;R59,INDEX('Planning and Target Times'!$A$74:$L$78,1,0),0),0)</f>
        <v>#N/A</v>
      </c>
      <c r="AB59" s="249" t="e">
        <f>VLOOKUP(T59,'Planning and Target Times'!$A$97:$L$101,MATCH(E59&amp;"-"&amp;Q59&amp;"-"&amp;Y59&amp;"-"&amp;R59,INDEX('Planning and Target Times'!$A$97:$L$101,1,0),0),0)</f>
        <v>#N/A</v>
      </c>
      <c r="AC59" s="250">
        <f t="shared" si="11"/>
        <v>24.525547445255995</v>
      </c>
      <c r="AD59" s="250">
        <f t="shared" si="7"/>
        <v>29.293809938972714</v>
      </c>
      <c r="AE59" s="248">
        <f t="shared" si="8"/>
        <v>3236.8028852475977</v>
      </c>
      <c r="AF59" s="248">
        <f t="shared" si="15"/>
        <v>7713.1971147524018</v>
      </c>
      <c r="AG59" s="248">
        <f t="shared" ca="1" si="3"/>
        <v>633.19711475240229</v>
      </c>
      <c r="AH59" s="248">
        <f t="shared" ca="1" si="4"/>
        <v>-1172.8028852475977</v>
      </c>
      <c r="AI59" s="248">
        <f t="shared" si="9"/>
        <v>2524.5268321332951</v>
      </c>
      <c r="AJ59" s="248">
        <f t="shared" ca="1" si="10"/>
        <v>1345.4731678667049</v>
      </c>
      <c r="AK59" s="248">
        <f t="shared" ca="1" si="5"/>
        <v>-460.5268321332951</v>
      </c>
    </row>
    <row r="60" spans="2:37" ht="15.95" customHeight="1" x14ac:dyDescent="0.25">
      <c r="B60" s="136">
        <v>65</v>
      </c>
      <c r="C60" s="144" t="s">
        <v>1151</v>
      </c>
      <c r="D60" s="180" t="s">
        <v>513</v>
      </c>
      <c r="E60" s="139" t="s">
        <v>42</v>
      </c>
      <c r="F60" s="140" t="s">
        <v>29</v>
      </c>
      <c r="G60" s="140" t="s">
        <v>1076</v>
      </c>
      <c r="H60" s="140" t="s">
        <v>1082</v>
      </c>
      <c r="I60" s="140" t="s">
        <v>459</v>
      </c>
      <c r="J60" s="141" t="s">
        <v>1079</v>
      </c>
      <c r="K60" s="142">
        <v>42156</v>
      </c>
      <c r="L60" s="142">
        <v>42226</v>
      </c>
      <c r="M60" s="134">
        <v>42240</v>
      </c>
      <c r="N60" s="132">
        <v>70</v>
      </c>
      <c r="O60" s="135">
        <v>2000</v>
      </c>
      <c r="P60" s="135" t="s">
        <v>1080</v>
      </c>
      <c r="Q60" s="223" t="s">
        <v>14</v>
      </c>
      <c r="R60" s="223" t="s">
        <v>298</v>
      </c>
      <c r="S60" s="223" t="s">
        <v>29</v>
      </c>
      <c r="T60" s="224" t="str">
        <f t="shared" si="12"/>
        <v>UB</v>
      </c>
      <c r="U60" s="223" t="str">
        <f t="shared" si="13"/>
        <v>UB-NW-Prod</v>
      </c>
      <c r="V60" s="223" t="str">
        <f t="array" ref="V60">CONCATENATE(Q60,"-",R60)</f>
        <v>NW-Prod</v>
      </c>
      <c r="W60" s="239">
        <f>IF(ISERROR(VLOOKUP(T60,'15-16_DP_Tables'!$M$2:$V$8,MATCH(V60,INDEX('15-16_DP_Tables'!$M$2:$V$8,1,0),0),0)),0,VLOOKUP(T60,'15-16_DP_Tables'!$M$2:$V$8,MATCH(V60,INDEX('15-16_DP_Tables'!$M$2:$V$8,1,0),0),0))</f>
        <v>53.604164999999995</v>
      </c>
      <c r="X60" s="239">
        <f t="array" ref="X60">IF(ISERROR(VLOOKUP(T60,'15-16_DP_Tables'!$M$12:$V$18,MATCH(V60,INDEX('15-16_DP_Tables'!$M$12:$V$18,1,0),0),0)),0,VLOOKUP(T60,'15-16_DP_Tables'!$M$12:$V$18,MATCH(V60,INDEX('15-16_DP_Tables'!$M$12:$V$18,1,0),0),0))</f>
        <v>48</v>
      </c>
      <c r="Y60" s="223" t="str">
        <f t="shared" si="14"/>
        <v>Horizontal</v>
      </c>
      <c r="Z60" s="223">
        <v>5</v>
      </c>
      <c r="AA60" s="249" t="e">
        <f>VLOOKUP(T60,'Planning and Target Times'!$A$74:$L$78,MATCH(E60&amp;"-"&amp;Q60&amp;"-"&amp;Y60&amp;"-"&amp;R60,INDEX('Planning and Target Times'!$A$74:$L$78,1,0),0),0)</f>
        <v>#N/A</v>
      </c>
      <c r="AB60" s="249" t="e">
        <f>VLOOKUP(T60,'Planning and Target Times'!$A$97:$L$101,MATCH(E60&amp;"-"&amp;Q60&amp;"-"&amp;Y60&amp;"-"&amp;R60,INDEX('Planning and Target Times'!$A$97:$L$101,1,0),0),0)</f>
        <v>#N/A</v>
      </c>
      <c r="AC60" s="250">
        <f t="shared" si="11"/>
        <v>37.31053361245344</v>
      </c>
      <c r="AD60" s="250">
        <f t="shared" si="7"/>
        <v>41.666666666666664</v>
      </c>
      <c r="AE60" s="248">
        <f t="shared" si="8"/>
        <v>3295.4070502475979</v>
      </c>
      <c r="AF60" s="248">
        <f t="shared" si="15"/>
        <v>7654.5929497524021</v>
      </c>
      <c r="AG60" s="248">
        <f t="shared" ca="1" si="3"/>
        <v>574.59294975240209</v>
      </c>
      <c r="AH60" s="248">
        <f t="shared" ca="1" si="4"/>
        <v>-1231.4070502475979</v>
      </c>
      <c r="AI60" s="248">
        <f t="shared" si="9"/>
        <v>2577.5268321332951</v>
      </c>
      <c r="AJ60" s="248">
        <f t="shared" ca="1" si="10"/>
        <v>1292.4731678667049</v>
      </c>
      <c r="AK60" s="248">
        <f t="shared" ca="1" si="5"/>
        <v>-513.5268321332951</v>
      </c>
    </row>
    <row r="61" spans="2:37" ht="15.95" customHeight="1" x14ac:dyDescent="0.25">
      <c r="B61" s="136">
        <v>12</v>
      </c>
      <c r="C61" s="151" t="s">
        <v>1093</v>
      </c>
      <c r="D61" s="147" t="s">
        <v>430</v>
      </c>
      <c r="E61" s="150" t="s">
        <v>11</v>
      </c>
      <c r="F61" s="140" t="s">
        <v>17</v>
      </c>
      <c r="G61" s="140" t="s">
        <v>1076</v>
      </c>
      <c r="H61" s="140" t="s">
        <v>1082</v>
      </c>
      <c r="I61" s="140" t="s">
        <v>459</v>
      </c>
      <c r="J61" s="141" t="s">
        <v>1079</v>
      </c>
      <c r="K61" s="142">
        <v>42162</v>
      </c>
      <c r="L61" s="142">
        <v>42232</v>
      </c>
      <c r="M61" s="134">
        <v>42246</v>
      </c>
      <c r="N61" s="140">
        <v>70</v>
      </c>
      <c r="O61" s="143">
        <v>1400</v>
      </c>
      <c r="P61" s="135" t="s">
        <v>1080</v>
      </c>
      <c r="Q61" s="223" t="s">
        <v>14</v>
      </c>
      <c r="R61" s="223" t="s">
        <v>298</v>
      </c>
      <c r="S61" s="223" t="s">
        <v>17</v>
      </c>
      <c r="T61" s="224" t="str">
        <f t="shared" si="12"/>
        <v>MA</v>
      </c>
      <c r="U61" s="223" t="str">
        <f t="shared" si="13"/>
        <v>MA-NW-Prod</v>
      </c>
      <c r="V61" s="223" t="str">
        <f t="array" ref="V61">CONCATENATE(Q61,"-",R61)</f>
        <v>NW-Prod</v>
      </c>
      <c r="W61" s="239">
        <f>IF(ISERROR(VLOOKUP(T61,'15-16_DP_Tables'!$M$2:$V$8,MATCH(V61,INDEX('15-16_DP_Tables'!$M$2:$V$8,1,0),0),0)),0,VLOOKUP(T61,'15-16_DP_Tables'!$M$2:$V$8,MATCH(V61,INDEX('15-16_DP_Tables'!$M$2:$V$8,1,0),0),0))</f>
        <v>57.083333333332121</v>
      </c>
      <c r="X61" s="239">
        <f t="array" ref="X61">IF(ISERROR(VLOOKUP(T61,'15-16_DP_Tables'!$M$12:$V$18,MATCH(V61,INDEX('15-16_DP_Tables'!$M$12:$V$18,1,0),0),0)),0,VLOOKUP(T61,'15-16_DP_Tables'!$M$12:$V$18,MATCH(V61,INDEX('15-16_DP_Tables'!$M$12:$V$18,1,0),0),0))</f>
        <v>47.791666666664241</v>
      </c>
      <c r="Y61" s="223" t="str">
        <f t="shared" si="14"/>
        <v>Horizontal</v>
      </c>
      <c r="Z61" s="223">
        <v>5</v>
      </c>
      <c r="AA61" s="249" t="e">
        <f>VLOOKUP(T61,'Planning and Target Times'!$A$74:$L$78,MATCH(E61&amp;"-"&amp;Q61&amp;"-"&amp;Y61&amp;"-"&amp;R61,INDEX('Planning and Target Times'!$A$74:$L$78,1,0),0),0)</f>
        <v>#N/A</v>
      </c>
      <c r="AB61" s="249" t="e">
        <f>VLOOKUP(T61,'Planning and Target Times'!$A$97:$L$101,MATCH(E61&amp;"-"&amp;Q61&amp;"-"&amp;Y61&amp;"-"&amp;R61,INDEX('Planning and Target Times'!$A$97:$L$101,1,0),0),0)</f>
        <v>#N/A</v>
      </c>
      <c r="AC61" s="250">
        <f t="shared" si="11"/>
        <v>24.525547445255995</v>
      </c>
      <c r="AD61" s="250">
        <f t="shared" si="7"/>
        <v>29.293809938972714</v>
      </c>
      <c r="AE61" s="248">
        <f t="shared" si="8"/>
        <v>3357.49038358093</v>
      </c>
      <c r="AF61" s="248">
        <f t="shared" si="15"/>
        <v>7592.50961641907</v>
      </c>
      <c r="AG61" s="248">
        <f t="shared" ca="1" si="3"/>
        <v>512.50961641906997</v>
      </c>
      <c r="AH61" s="248">
        <f t="shared" ca="1" si="4"/>
        <v>-1293.49038358093</v>
      </c>
      <c r="AI61" s="248">
        <f t="shared" si="9"/>
        <v>2630.3184987999593</v>
      </c>
      <c r="AJ61" s="248">
        <f t="shared" ca="1" si="10"/>
        <v>1239.6815012000407</v>
      </c>
      <c r="AK61" s="248">
        <f t="shared" ca="1" si="5"/>
        <v>-566.31849879995934</v>
      </c>
    </row>
    <row r="62" spans="2:37" ht="15.95" customHeight="1" x14ac:dyDescent="0.25">
      <c r="B62" s="136">
        <v>48</v>
      </c>
      <c r="C62" s="144" t="s">
        <v>1132</v>
      </c>
      <c r="D62" s="171" t="s">
        <v>1126</v>
      </c>
      <c r="E62" s="139" t="s">
        <v>42</v>
      </c>
      <c r="F62" s="174" t="s">
        <v>17</v>
      </c>
      <c r="G62" s="174" t="s">
        <v>1076</v>
      </c>
      <c r="H62" s="174" t="s">
        <v>1082</v>
      </c>
      <c r="I62" s="174" t="s">
        <v>459</v>
      </c>
      <c r="J62" s="175" t="s">
        <v>1079</v>
      </c>
      <c r="K62" s="142">
        <v>42164</v>
      </c>
      <c r="L62" s="142">
        <v>42234</v>
      </c>
      <c r="M62" s="134">
        <v>42248</v>
      </c>
      <c r="N62" s="174">
        <v>70</v>
      </c>
      <c r="O62" s="176">
        <v>1500</v>
      </c>
      <c r="P62" s="222" t="s">
        <v>1080</v>
      </c>
      <c r="Q62" s="223" t="s">
        <v>14</v>
      </c>
      <c r="R62" s="223" t="s">
        <v>298</v>
      </c>
      <c r="S62" s="223" t="s">
        <v>17</v>
      </c>
      <c r="T62" s="224" t="str">
        <f t="shared" si="12"/>
        <v>MA</v>
      </c>
      <c r="U62" s="223" t="str">
        <f t="shared" si="13"/>
        <v>MA-NW-Prod</v>
      </c>
      <c r="V62" s="223" t="str">
        <f t="array" ref="V62">CONCATENATE(Q62,"-",R62)</f>
        <v>NW-Prod</v>
      </c>
      <c r="W62" s="239">
        <f>IF(ISERROR(VLOOKUP(T62,'15-16_DP_Tables'!$M$2:$V$8,MATCH(V62,INDEX('15-16_DP_Tables'!$M$2:$V$8,1,0),0),0)),0,VLOOKUP(T62,'15-16_DP_Tables'!$M$2:$V$8,MATCH(V62,INDEX('15-16_DP_Tables'!$M$2:$V$8,1,0),0),0))</f>
        <v>57.083333333332121</v>
      </c>
      <c r="X62" s="239">
        <f t="array" ref="X62">IF(ISERROR(VLOOKUP(T62,'15-16_DP_Tables'!$M$12:$V$18,MATCH(V62,INDEX('15-16_DP_Tables'!$M$12:$V$18,1,0),0),0)),0,VLOOKUP(T62,'15-16_DP_Tables'!$M$12:$V$18,MATCH(V62,INDEX('15-16_DP_Tables'!$M$12:$V$18,1,0),0),0))</f>
        <v>47.791666666664241</v>
      </c>
      <c r="Y62" s="223" t="str">
        <f t="shared" si="14"/>
        <v>Horizontal</v>
      </c>
      <c r="Z62" s="223">
        <v>5</v>
      </c>
      <c r="AA62" s="249" t="e">
        <f>VLOOKUP(T62,'Planning and Target Times'!$A$74:$L$78,MATCH(E62&amp;"-"&amp;Q62&amp;"-"&amp;Y62&amp;"-"&amp;R62,INDEX('Planning and Target Times'!$A$74:$L$78,1,0),0),0)</f>
        <v>#N/A</v>
      </c>
      <c r="AB62" s="249" t="e">
        <f>VLOOKUP(T62,'Planning and Target Times'!$A$97:$L$101,MATCH(E62&amp;"-"&amp;Q62&amp;"-"&amp;Y62&amp;"-"&amp;R62,INDEX('Planning and Target Times'!$A$97:$L$101,1,0),0),0)</f>
        <v>#N/A</v>
      </c>
      <c r="AC62" s="250">
        <f t="shared" si="11"/>
        <v>26.277372262774282</v>
      </c>
      <c r="AD62" s="250">
        <f t="shared" si="7"/>
        <v>31.386224934613622</v>
      </c>
      <c r="AE62" s="248">
        <f t="shared" si="8"/>
        <v>3419.5737169142621</v>
      </c>
      <c r="AF62" s="248">
        <f t="shared" si="15"/>
        <v>7530.4262830857379</v>
      </c>
      <c r="AG62" s="248">
        <f t="shared" ca="1" si="3"/>
        <v>450.42628308573785</v>
      </c>
      <c r="AH62" s="248">
        <f t="shared" ca="1" si="4"/>
        <v>-1355.5737169142621</v>
      </c>
      <c r="AI62" s="248">
        <f t="shared" si="9"/>
        <v>2683.1101654666236</v>
      </c>
      <c r="AJ62" s="248">
        <f t="shared" ca="1" si="10"/>
        <v>1186.8898345333764</v>
      </c>
      <c r="AK62" s="248">
        <f t="shared" ca="1" si="5"/>
        <v>-619.11016546662358</v>
      </c>
    </row>
    <row r="63" spans="2:37" ht="15.95" customHeight="1" x14ac:dyDescent="0.25">
      <c r="B63" s="136">
        <v>91</v>
      </c>
      <c r="C63" s="164" t="s">
        <v>1178</v>
      </c>
      <c r="D63" s="186" t="s">
        <v>35</v>
      </c>
      <c r="E63" s="139" t="s">
        <v>42</v>
      </c>
      <c r="F63" s="140" t="s">
        <v>17</v>
      </c>
      <c r="G63" s="140" t="s">
        <v>1076</v>
      </c>
      <c r="H63" s="140" t="s">
        <v>1082</v>
      </c>
      <c r="I63" s="140" t="s">
        <v>459</v>
      </c>
      <c r="J63" s="141" t="s">
        <v>1079</v>
      </c>
      <c r="K63" s="142">
        <v>42173</v>
      </c>
      <c r="L63" s="142">
        <v>42243</v>
      </c>
      <c r="M63" s="134">
        <v>42257</v>
      </c>
      <c r="N63" s="140">
        <v>70</v>
      </c>
      <c r="O63" s="143">
        <v>1500</v>
      </c>
      <c r="P63" s="135" t="s">
        <v>1080</v>
      </c>
      <c r="Q63" s="223" t="s">
        <v>14</v>
      </c>
      <c r="R63" s="223" t="s">
        <v>298</v>
      </c>
      <c r="S63" s="223" t="s">
        <v>17</v>
      </c>
      <c r="T63" s="224" t="str">
        <f t="shared" si="12"/>
        <v>MA</v>
      </c>
      <c r="U63" s="223" t="str">
        <f t="shared" si="13"/>
        <v>MA-NW-Prod</v>
      </c>
      <c r="V63" s="223" t="str">
        <f t="array" ref="V63">CONCATENATE(Q63,"-",R63)</f>
        <v>NW-Prod</v>
      </c>
      <c r="W63" s="239">
        <f>IF(ISERROR(VLOOKUP(T63,'15-16_DP_Tables'!$M$2:$V$8,MATCH(V63,INDEX('15-16_DP_Tables'!$M$2:$V$8,1,0),0),0)),0,VLOOKUP(T63,'15-16_DP_Tables'!$M$2:$V$8,MATCH(V63,INDEX('15-16_DP_Tables'!$M$2:$V$8,1,0),0),0))</f>
        <v>57.083333333332121</v>
      </c>
      <c r="X63" s="239">
        <f t="array" ref="X63">IF(ISERROR(VLOOKUP(T63,'15-16_DP_Tables'!$M$12:$V$18,MATCH(V63,INDEX('15-16_DP_Tables'!$M$12:$V$18,1,0),0),0)),0,VLOOKUP(T63,'15-16_DP_Tables'!$M$12:$V$18,MATCH(V63,INDEX('15-16_DP_Tables'!$M$12:$V$18,1,0),0),0))</f>
        <v>47.791666666664241</v>
      </c>
      <c r="Y63" s="223" t="str">
        <f t="shared" si="14"/>
        <v>Horizontal</v>
      </c>
      <c r="Z63" s="223">
        <v>5</v>
      </c>
      <c r="AA63" s="249" t="e">
        <f>VLOOKUP(T63,'Planning and Target Times'!$A$74:$L$78,MATCH(E63&amp;"-"&amp;Q63&amp;"-"&amp;Y63&amp;"-"&amp;R63,INDEX('Planning and Target Times'!$A$74:$L$78,1,0),0),0)</f>
        <v>#N/A</v>
      </c>
      <c r="AB63" s="249" t="e">
        <f>VLOOKUP(T63,'Planning and Target Times'!$A$97:$L$101,MATCH(E63&amp;"-"&amp;Q63&amp;"-"&amp;Y63&amp;"-"&amp;R63,INDEX('Planning and Target Times'!$A$97:$L$101,1,0),0),0)</f>
        <v>#N/A</v>
      </c>
      <c r="AC63" s="250">
        <f t="shared" si="11"/>
        <v>26.277372262774282</v>
      </c>
      <c r="AD63" s="250">
        <f t="shared" si="7"/>
        <v>31.386224934613622</v>
      </c>
      <c r="AE63" s="248">
        <f t="shared" si="8"/>
        <v>3481.6570502475943</v>
      </c>
      <c r="AF63" s="248">
        <f t="shared" si="15"/>
        <v>7468.3429497524057</v>
      </c>
      <c r="AG63" s="248">
        <f t="shared" ca="1" si="3"/>
        <v>388.34294975240573</v>
      </c>
      <c r="AH63" s="248">
        <f t="shared" ca="1" si="4"/>
        <v>-1417.6570502475943</v>
      </c>
      <c r="AI63" s="248">
        <f t="shared" si="9"/>
        <v>2735.9018321332878</v>
      </c>
      <c r="AJ63" s="248">
        <f t="shared" ca="1" si="10"/>
        <v>1134.0981678667122</v>
      </c>
      <c r="AK63" s="248">
        <f t="shared" ca="1" si="5"/>
        <v>-671.90183213328783</v>
      </c>
    </row>
    <row r="64" spans="2:37" ht="15.95" customHeight="1" x14ac:dyDescent="0.25">
      <c r="B64" s="136">
        <v>38</v>
      </c>
      <c r="C64" s="164" t="s">
        <v>1122</v>
      </c>
      <c r="D64" s="165" t="s">
        <v>1116</v>
      </c>
      <c r="E64" s="139" t="s">
        <v>42</v>
      </c>
      <c r="F64" s="140" t="s">
        <v>17</v>
      </c>
      <c r="G64" s="140" t="s">
        <v>1076</v>
      </c>
      <c r="H64" s="140" t="s">
        <v>1077</v>
      </c>
      <c r="I64" s="140" t="s">
        <v>459</v>
      </c>
      <c r="J64" s="141" t="s">
        <v>1079</v>
      </c>
      <c r="K64" s="142">
        <v>42176</v>
      </c>
      <c r="L64" s="142">
        <v>42232</v>
      </c>
      <c r="M64" s="134">
        <v>42246</v>
      </c>
      <c r="N64" s="140">
        <v>56</v>
      </c>
      <c r="O64" s="143">
        <v>1200</v>
      </c>
      <c r="P64" s="143" t="s">
        <v>1080</v>
      </c>
      <c r="Q64" s="223" t="s">
        <v>18</v>
      </c>
      <c r="R64" s="223" t="s">
        <v>298</v>
      </c>
      <c r="S64" s="223" t="s">
        <v>17</v>
      </c>
      <c r="T64" s="224" t="str">
        <f t="shared" si="12"/>
        <v>MA</v>
      </c>
      <c r="U64" s="223" t="str">
        <f t="shared" si="13"/>
        <v>MA-ST-Prod</v>
      </c>
      <c r="V64" s="223" t="str">
        <f t="array" ref="V64">CONCATENATE(Q64,"-",R64)</f>
        <v>ST-Prod</v>
      </c>
      <c r="W64" s="239">
        <f>IF(ISERROR(VLOOKUP(T64,'15-16_DP_Tables'!$M$2:$V$8,MATCH(V64,INDEX('15-16_DP_Tables'!$M$2:$V$8,1,0),0),0)),0,VLOOKUP(T64,'15-16_DP_Tables'!$M$2:$V$8,MATCH(V64,INDEX('15-16_DP_Tables'!$M$2:$V$8,1,0),0),0))</f>
        <v>47.881547142856107</v>
      </c>
      <c r="X64" s="239">
        <f t="array" ref="X64">IF(ISERROR(VLOOKUP(T64,'15-16_DP_Tables'!$M$12:$V$18,MATCH(V64,INDEX('15-16_DP_Tables'!$M$12:$V$18,1,0),0),0)),0,VLOOKUP(T64,'15-16_DP_Tables'!$M$12:$V$18,MATCH(V64,INDEX('15-16_DP_Tables'!$M$12:$V$18,1,0),0),0))</f>
        <v>41.770833333332121</v>
      </c>
      <c r="Y64" s="223" t="str">
        <f t="shared" si="14"/>
        <v>Horizontal</v>
      </c>
      <c r="Z64" s="223">
        <v>5</v>
      </c>
      <c r="AA64" s="249" t="e">
        <f>VLOOKUP(T64,'Planning and Target Times'!$A$74:$L$78,MATCH(E64&amp;"-"&amp;Q64&amp;"-"&amp;Y64&amp;"-"&amp;R64,INDEX('Planning and Target Times'!$A$74:$L$78,1,0),0),0)</f>
        <v>#N/A</v>
      </c>
      <c r="AB64" s="249" t="e">
        <f>VLOOKUP(T64,'Planning and Target Times'!$A$97:$L$101,MATCH(E64&amp;"-"&amp;Q64&amp;"-"&amp;Y64&amp;"-"&amp;R64,INDEX('Planning and Target Times'!$A$97:$L$101,1,0),0),0)</f>
        <v>#N/A</v>
      </c>
      <c r="AC64" s="250">
        <f t="shared" si="11"/>
        <v>25.061846820023632</v>
      </c>
      <c r="AD64" s="250">
        <f t="shared" si="7"/>
        <v>28.728179551123027</v>
      </c>
      <c r="AE64" s="248">
        <f t="shared" si="8"/>
        <v>3534.5385973904504</v>
      </c>
      <c r="AF64" s="248">
        <f t="shared" si="15"/>
        <v>7415.4614026095496</v>
      </c>
      <c r="AG64" s="248">
        <f t="shared" ca="1" si="3"/>
        <v>335.46140260954962</v>
      </c>
      <c r="AH64" s="248">
        <f t="shared" ca="1" si="4"/>
        <v>-1470.5385973904504</v>
      </c>
      <c r="AI64" s="248">
        <f t="shared" si="9"/>
        <v>2782.6726654666199</v>
      </c>
      <c r="AJ64" s="248">
        <f t="shared" ca="1" si="10"/>
        <v>1087.3273345333801</v>
      </c>
      <c r="AK64" s="248">
        <f t="shared" ca="1" si="5"/>
        <v>-718.67266546661995</v>
      </c>
    </row>
    <row r="65" spans="2:37" ht="15.95" customHeight="1" x14ac:dyDescent="0.25">
      <c r="B65" s="136">
        <v>86</v>
      </c>
      <c r="C65" s="144" t="s">
        <v>1173</v>
      </c>
      <c r="D65" s="165" t="s">
        <v>1171</v>
      </c>
      <c r="E65" s="139" t="s">
        <v>42</v>
      </c>
      <c r="F65" s="140" t="s">
        <v>29</v>
      </c>
      <c r="G65" s="140" t="s">
        <v>1076</v>
      </c>
      <c r="H65" s="140" t="s">
        <v>1082</v>
      </c>
      <c r="I65" s="140" t="s">
        <v>459</v>
      </c>
      <c r="J65" s="141" t="s">
        <v>1079</v>
      </c>
      <c r="K65" s="142">
        <v>42176</v>
      </c>
      <c r="L65" s="142">
        <v>42246</v>
      </c>
      <c r="M65" s="134">
        <v>42260</v>
      </c>
      <c r="N65" s="140">
        <v>70</v>
      </c>
      <c r="O65" s="143">
        <v>2000</v>
      </c>
      <c r="P65" s="135" t="s">
        <v>1080</v>
      </c>
      <c r="Q65" s="223" t="s">
        <v>14</v>
      </c>
      <c r="R65" s="223" t="s">
        <v>298</v>
      </c>
      <c r="S65" s="223" t="s">
        <v>29</v>
      </c>
      <c r="T65" s="224" t="str">
        <f t="shared" si="12"/>
        <v>UB</v>
      </c>
      <c r="U65" s="223" t="str">
        <f t="shared" si="13"/>
        <v>UB-NW-Prod</v>
      </c>
      <c r="V65" s="223" t="str">
        <f t="array" ref="V65">CONCATENATE(Q65,"-",R65)</f>
        <v>NW-Prod</v>
      </c>
      <c r="W65" s="239">
        <f>IF(ISERROR(VLOOKUP(T65,'15-16_DP_Tables'!$M$2:$V$8,MATCH(V65,INDEX('15-16_DP_Tables'!$M$2:$V$8,1,0),0),0)),0,VLOOKUP(T65,'15-16_DP_Tables'!$M$2:$V$8,MATCH(V65,INDEX('15-16_DP_Tables'!$M$2:$V$8,1,0),0),0))</f>
        <v>53.604164999999995</v>
      </c>
      <c r="X65" s="239">
        <f t="array" ref="X65">IF(ISERROR(VLOOKUP(T65,'15-16_DP_Tables'!$M$12:$V$18,MATCH(V65,INDEX('15-16_DP_Tables'!$M$12:$V$18,1,0),0),0)),0,VLOOKUP(T65,'15-16_DP_Tables'!$M$12:$V$18,MATCH(V65,INDEX('15-16_DP_Tables'!$M$12:$V$18,1,0),0),0))</f>
        <v>48</v>
      </c>
      <c r="Y65" s="223" t="str">
        <f t="shared" si="14"/>
        <v>Horizontal</v>
      </c>
      <c r="Z65" s="223">
        <v>5</v>
      </c>
      <c r="AA65" s="249" t="e">
        <f>VLOOKUP(T65,'Planning and Target Times'!$A$74:$L$78,MATCH(E65&amp;"-"&amp;Q65&amp;"-"&amp;Y65&amp;"-"&amp;R65,INDEX('Planning and Target Times'!$A$74:$L$78,1,0),0),0)</f>
        <v>#N/A</v>
      </c>
      <c r="AB65" s="249" t="e">
        <f>VLOOKUP(T65,'Planning and Target Times'!$A$97:$L$101,MATCH(E65&amp;"-"&amp;Q65&amp;"-"&amp;Y65&amp;"-"&amp;R65,INDEX('Planning and Target Times'!$A$97:$L$101,1,0),0),0)</f>
        <v>#N/A</v>
      </c>
      <c r="AC65" s="250">
        <f t="shared" si="11"/>
        <v>37.31053361245344</v>
      </c>
      <c r="AD65" s="250">
        <f t="shared" si="7"/>
        <v>41.666666666666664</v>
      </c>
      <c r="AE65" s="248">
        <f t="shared" si="8"/>
        <v>3593.1427623904506</v>
      </c>
      <c r="AF65" s="248">
        <f t="shared" si="15"/>
        <v>7356.857237609549</v>
      </c>
      <c r="AG65" s="248">
        <f t="shared" ca="1" si="3"/>
        <v>276.85723760954943</v>
      </c>
      <c r="AH65" s="248">
        <f t="shared" ca="1" si="4"/>
        <v>-1529.1427623904506</v>
      </c>
      <c r="AI65" s="248">
        <f t="shared" si="9"/>
        <v>2835.6726654666199</v>
      </c>
      <c r="AJ65" s="248">
        <f t="shared" ca="1" si="10"/>
        <v>1034.3273345333801</v>
      </c>
      <c r="AK65" s="248">
        <f t="shared" ca="1" si="5"/>
        <v>-771.67266546661995</v>
      </c>
    </row>
    <row r="66" spans="2:37" ht="15.95" customHeight="1" x14ac:dyDescent="0.25">
      <c r="B66" s="136">
        <v>23</v>
      </c>
      <c r="C66" s="144" t="s">
        <v>1105</v>
      </c>
      <c r="D66" s="156" t="s">
        <v>12</v>
      </c>
      <c r="E66" s="139" t="s">
        <v>42</v>
      </c>
      <c r="F66" s="140" t="s">
        <v>17</v>
      </c>
      <c r="G66" s="140" t="s">
        <v>1076</v>
      </c>
      <c r="H66" s="140" t="s">
        <v>1082</v>
      </c>
      <c r="I66" s="140" t="s">
        <v>459</v>
      </c>
      <c r="J66" s="141" t="s">
        <v>1079</v>
      </c>
      <c r="K66" s="142">
        <v>42186</v>
      </c>
      <c r="L66" s="142">
        <v>42256</v>
      </c>
      <c r="M66" s="134">
        <v>42270</v>
      </c>
      <c r="N66" s="132">
        <v>70</v>
      </c>
      <c r="O66" s="135">
        <v>1500</v>
      </c>
      <c r="P66" s="135" t="s">
        <v>1080</v>
      </c>
      <c r="Q66" s="223" t="s">
        <v>14</v>
      </c>
      <c r="R66" s="223" t="s">
        <v>298</v>
      </c>
      <c r="S66" s="223" t="s">
        <v>17</v>
      </c>
      <c r="T66" s="224" t="str">
        <f t="shared" si="12"/>
        <v>MA</v>
      </c>
      <c r="U66" s="223" t="str">
        <f t="shared" si="13"/>
        <v>MA-NW-Prod</v>
      </c>
      <c r="V66" s="223" t="str">
        <f t="array" ref="V66">CONCATENATE(Q66,"-",R66)</f>
        <v>NW-Prod</v>
      </c>
      <c r="W66" s="239">
        <f>IF(ISERROR(VLOOKUP(T66,'15-16_DP_Tables'!$M$2:$V$8,MATCH(V66,INDEX('15-16_DP_Tables'!$M$2:$V$8,1,0),0),0)),0,VLOOKUP(T66,'15-16_DP_Tables'!$M$2:$V$8,MATCH(V66,INDEX('15-16_DP_Tables'!$M$2:$V$8,1,0),0),0))</f>
        <v>57.083333333332121</v>
      </c>
      <c r="X66" s="239">
        <f t="array" ref="X66">IF(ISERROR(VLOOKUP(T66,'15-16_DP_Tables'!$M$12:$V$18,MATCH(V66,INDEX('15-16_DP_Tables'!$M$12:$V$18,1,0),0),0)),0,VLOOKUP(T66,'15-16_DP_Tables'!$M$12:$V$18,MATCH(V66,INDEX('15-16_DP_Tables'!$M$12:$V$18,1,0),0),0))</f>
        <v>47.791666666664241</v>
      </c>
      <c r="Y66" s="223" t="str">
        <f t="shared" si="14"/>
        <v>Horizontal</v>
      </c>
      <c r="Z66" s="223">
        <v>5</v>
      </c>
      <c r="AA66" s="249" t="e">
        <f>VLOOKUP(T66,'Planning and Target Times'!$A$74:$L$78,MATCH(E66&amp;"-"&amp;Q66&amp;"-"&amp;Y66&amp;"-"&amp;R66,INDEX('Planning and Target Times'!$A$74:$L$78,1,0),0),0)</f>
        <v>#N/A</v>
      </c>
      <c r="AB66" s="249" t="e">
        <f>VLOOKUP(T66,'Planning and Target Times'!$A$97:$L$101,MATCH(E66&amp;"-"&amp;Q66&amp;"-"&amp;Y66&amp;"-"&amp;R66,INDEX('Planning and Target Times'!$A$97:$L$101,1,0),0),0)</f>
        <v>#N/A</v>
      </c>
      <c r="AC66" s="250">
        <f t="shared" si="11"/>
        <v>26.277372262774282</v>
      </c>
      <c r="AD66" s="250">
        <f t="shared" si="7"/>
        <v>31.386224934613622</v>
      </c>
      <c r="AE66" s="248">
        <f t="shared" si="8"/>
        <v>3655.2260957237827</v>
      </c>
      <c r="AF66" s="248">
        <f t="shared" si="15"/>
        <v>7294.7739042762169</v>
      </c>
      <c r="AG66" s="248">
        <f t="shared" ca="1" si="3"/>
        <v>214.77390427621731</v>
      </c>
      <c r="AH66" s="248">
        <f t="shared" ca="1" si="4"/>
        <v>-1591.2260957237827</v>
      </c>
      <c r="AI66" s="248">
        <f t="shared" si="9"/>
        <v>2888.4643321332842</v>
      </c>
      <c r="AJ66" s="248">
        <f t="shared" ca="1" si="10"/>
        <v>981.53566786671581</v>
      </c>
      <c r="AK66" s="248">
        <f t="shared" ca="1" si="5"/>
        <v>-824.46433213328419</v>
      </c>
    </row>
    <row r="67" spans="2:37" ht="15.95" customHeight="1" x14ac:dyDescent="0.25">
      <c r="B67" s="136">
        <v>124</v>
      </c>
      <c r="C67" s="151" t="s">
        <v>1210</v>
      </c>
      <c r="D67" s="193" t="s">
        <v>1211</v>
      </c>
      <c r="E67" s="150" t="s">
        <v>42</v>
      </c>
      <c r="F67" s="140" t="s">
        <v>44</v>
      </c>
      <c r="G67" s="140" t="s">
        <v>1197</v>
      </c>
      <c r="H67" s="140" t="s">
        <v>1082</v>
      </c>
      <c r="I67" s="140" t="s">
        <v>459</v>
      </c>
      <c r="J67" s="141" t="s">
        <v>1079</v>
      </c>
      <c r="K67" s="142">
        <v>42186</v>
      </c>
      <c r="L67" s="142">
        <v>42331</v>
      </c>
      <c r="M67" s="134">
        <v>42345</v>
      </c>
      <c r="N67" s="132">
        <v>145</v>
      </c>
      <c r="O67" s="135">
        <v>5000</v>
      </c>
      <c r="P67" s="135" t="s">
        <v>1096</v>
      </c>
      <c r="Q67" s="223" t="s">
        <v>14</v>
      </c>
      <c r="R67" s="223" t="s">
        <v>1197</v>
      </c>
      <c r="S67" s="223" t="s">
        <v>44</v>
      </c>
      <c r="T67" s="224" t="str">
        <f t="shared" si="12"/>
        <v>ZU/RT</v>
      </c>
      <c r="U67" s="223" t="str">
        <f t="shared" si="13"/>
        <v>ZU-NW-MLP</v>
      </c>
      <c r="V67" s="223" t="str">
        <f t="array" ref="V67">CONCATENATE(Q67,"-",R67)</f>
        <v>NW-MLP</v>
      </c>
      <c r="W67" s="239">
        <f>IF(ISERROR(VLOOKUP(T67,'15-16_DP_Tables'!$M$2:$V$8,MATCH(V67,INDEX('15-16_DP_Tables'!$M$2:$V$8,1,0),0),0)),0,VLOOKUP(T67,'15-16_DP_Tables'!$M$2:$V$8,MATCH(V67,INDEX('15-16_DP_Tables'!$M$2:$V$8,1,0),0),0))</f>
        <v>0</v>
      </c>
      <c r="X67" s="239">
        <f t="array" ref="X67">IF(ISERROR(VLOOKUP(T67,'15-16_DP_Tables'!$M$12:$V$18,MATCH(V67,INDEX('15-16_DP_Tables'!$M$12:$V$18,1,0),0),0)),0,VLOOKUP(T67,'15-16_DP_Tables'!$M$12:$V$18,MATCH(V67,INDEX('15-16_DP_Tables'!$M$12:$V$18,1,0),0),0))</f>
        <v>0</v>
      </c>
      <c r="Y67" s="223" t="str">
        <f t="shared" si="14"/>
        <v>Horizontal</v>
      </c>
      <c r="Z67" s="223">
        <v>5</v>
      </c>
      <c r="AA67" s="249" t="e">
        <f>VLOOKUP(T67,'Planning and Target Times'!$A$74:$L$78,MATCH(E67&amp;"-"&amp;Q67&amp;"-"&amp;Y67&amp;"-"&amp;R67,INDEX('Planning and Target Times'!$A$74:$L$78,1,0),0),0)</f>
        <v>#N/A</v>
      </c>
      <c r="AB67" s="249" t="e">
        <f>VLOOKUP(T67,'Planning and Target Times'!$A$97:$L$101,MATCH(E67&amp;"-"&amp;Q67&amp;"-"&amp;Y67&amp;"-"&amp;R67,INDEX('Planning and Target Times'!$A$97:$L$101,1,0),0),0)</f>
        <v>#N/A</v>
      </c>
      <c r="AC67" s="250">
        <f t="shared" si="11"/>
        <v>0</v>
      </c>
      <c r="AD67" s="250">
        <f t="shared" si="7"/>
        <v>0</v>
      </c>
      <c r="AE67" s="248">
        <f t="shared" si="8"/>
        <v>3660.2260957237827</v>
      </c>
      <c r="AF67" s="248">
        <f t="shared" si="15"/>
        <v>7289.7739042762169</v>
      </c>
      <c r="AG67" s="248">
        <f t="shared" ca="1" si="3"/>
        <v>209.77390427621731</v>
      </c>
      <c r="AH67" s="248">
        <f t="shared" ca="1" si="4"/>
        <v>-1596.2260957237827</v>
      </c>
      <c r="AI67" s="248">
        <f t="shared" si="9"/>
        <v>2893.4643321332842</v>
      </c>
      <c r="AJ67" s="248">
        <f t="shared" ca="1" si="10"/>
        <v>976.53566786671581</v>
      </c>
      <c r="AK67" s="248">
        <f t="shared" ca="1" si="5"/>
        <v>-829.46433213328419</v>
      </c>
    </row>
    <row r="68" spans="2:37" ht="15.95" customHeight="1" x14ac:dyDescent="0.25">
      <c r="B68" s="136">
        <v>127</v>
      </c>
      <c r="C68" s="144" t="s">
        <v>1214</v>
      </c>
      <c r="D68" s="138" t="s">
        <v>1215</v>
      </c>
      <c r="E68" s="150" t="s">
        <v>11</v>
      </c>
      <c r="F68" s="140" t="s">
        <v>17</v>
      </c>
      <c r="G68" s="140" t="s">
        <v>1076</v>
      </c>
      <c r="H68" s="140" t="s">
        <v>1082</v>
      </c>
      <c r="I68" s="140" t="s">
        <v>459</v>
      </c>
      <c r="J68" s="141" t="s">
        <v>1079</v>
      </c>
      <c r="K68" s="142">
        <v>42186</v>
      </c>
      <c r="L68" s="142">
        <v>42256</v>
      </c>
      <c r="M68" s="134">
        <v>42270</v>
      </c>
      <c r="N68" s="140">
        <v>70</v>
      </c>
      <c r="O68" s="143">
        <v>1400</v>
      </c>
      <c r="P68" s="135" t="s">
        <v>1096</v>
      </c>
      <c r="Q68" s="223" t="s">
        <v>14</v>
      </c>
      <c r="R68" s="223" t="s">
        <v>298</v>
      </c>
      <c r="S68" s="223" t="s">
        <v>17</v>
      </c>
      <c r="T68" s="224" t="str">
        <f t="shared" si="12"/>
        <v>MA</v>
      </c>
      <c r="U68" s="223" t="str">
        <f t="shared" si="13"/>
        <v>MA-NW-Prod</v>
      </c>
      <c r="V68" s="223" t="str">
        <f t="array" ref="V68">CONCATENATE(Q68,"-",R68)</f>
        <v>NW-Prod</v>
      </c>
      <c r="W68" s="239">
        <f>IF(ISERROR(VLOOKUP(T68,'15-16_DP_Tables'!$M$2:$V$8,MATCH(V68,INDEX('15-16_DP_Tables'!$M$2:$V$8,1,0),0),0)),0,VLOOKUP(T68,'15-16_DP_Tables'!$M$2:$V$8,MATCH(V68,INDEX('15-16_DP_Tables'!$M$2:$V$8,1,0),0),0))</f>
        <v>57.083333333332121</v>
      </c>
      <c r="X68" s="239">
        <f t="array" ref="X68">IF(ISERROR(VLOOKUP(T68,'15-16_DP_Tables'!$M$12:$V$18,MATCH(V68,INDEX('15-16_DP_Tables'!$M$12:$V$18,1,0),0),0)),0,VLOOKUP(T68,'15-16_DP_Tables'!$M$12:$V$18,MATCH(V68,INDEX('15-16_DP_Tables'!$M$12:$V$18,1,0),0),0))</f>
        <v>47.791666666664241</v>
      </c>
      <c r="Y68" s="223" t="str">
        <f t="shared" si="14"/>
        <v>Unknown</v>
      </c>
      <c r="Z68" s="223">
        <v>5</v>
      </c>
      <c r="AA68" s="249" t="e">
        <f>VLOOKUP(T68,'Planning and Target Times'!$A$74:$L$78,MATCH(E68&amp;"-"&amp;Q68&amp;"-"&amp;Y68&amp;"-"&amp;R68,INDEX('Planning and Target Times'!$A$74:$L$78,1,0),0),0)</f>
        <v>#N/A</v>
      </c>
      <c r="AB68" s="249" t="e">
        <f>VLOOKUP(T68,'Planning and Target Times'!$A$97:$L$101,MATCH(E68&amp;"-"&amp;Q68&amp;"-"&amp;Y68&amp;"-"&amp;R68,INDEX('Planning and Target Times'!$A$97:$L$101,1,0),0),0)</f>
        <v>#N/A</v>
      </c>
      <c r="AC68" s="250">
        <f t="shared" si="11"/>
        <v>24.525547445255995</v>
      </c>
      <c r="AD68" s="250">
        <f t="shared" si="7"/>
        <v>29.293809938972714</v>
      </c>
      <c r="AE68" s="248">
        <f t="shared" si="8"/>
        <v>3722.3094290571148</v>
      </c>
      <c r="AF68" s="248">
        <f t="shared" si="15"/>
        <v>7227.6905709428847</v>
      </c>
      <c r="AG68" s="248">
        <f t="shared" ca="1" si="3"/>
        <v>147.69057094288519</v>
      </c>
      <c r="AH68" s="248">
        <f t="shared" ca="1" si="4"/>
        <v>-1658.3094290571148</v>
      </c>
      <c r="AI68" s="248">
        <f t="shared" si="9"/>
        <v>2946.2559987999484</v>
      </c>
      <c r="AJ68" s="248">
        <f t="shared" ca="1" si="10"/>
        <v>923.74400120005157</v>
      </c>
      <c r="AK68" s="248">
        <f t="shared" ca="1" si="5"/>
        <v>-882.25599879994843</v>
      </c>
    </row>
    <row r="69" spans="2:37" ht="15.95" customHeight="1" x14ac:dyDescent="0.25">
      <c r="B69" s="136">
        <v>132</v>
      </c>
      <c r="C69" s="151" t="s">
        <v>1220</v>
      </c>
      <c r="D69" s="171" t="s">
        <v>1221</v>
      </c>
      <c r="E69" s="150" t="s">
        <v>42</v>
      </c>
      <c r="F69" s="140" t="s">
        <v>17</v>
      </c>
      <c r="G69" s="140" t="s">
        <v>1076</v>
      </c>
      <c r="H69" s="140" t="s">
        <v>1082</v>
      </c>
      <c r="I69" s="140" t="s">
        <v>459</v>
      </c>
      <c r="J69" s="141" t="s">
        <v>1079</v>
      </c>
      <c r="K69" s="142">
        <v>42186</v>
      </c>
      <c r="L69" s="142">
        <v>42256</v>
      </c>
      <c r="M69" s="134">
        <v>42270</v>
      </c>
      <c r="N69" s="140">
        <v>70</v>
      </c>
      <c r="O69" s="143">
        <v>1500</v>
      </c>
      <c r="P69" s="135" t="s">
        <v>1080</v>
      </c>
      <c r="Q69" s="223" t="s">
        <v>14</v>
      </c>
      <c r="R69" s="223" t="s">
        <v>298</v>
      </c>
      <c r="S69" s="223" t="s">
        <v>17</v>
      </c>
      <c r="T69" s="224" t="str">
        <f t="shared" ref="T69:T100" si="16">IF(OR(F69="ZU",F69="RT"),"ZU/RT",F69)</f>
        <v>MA</v>
      </c>
      <c r="U69" s="223" t="str">
        <f t="shared" ref="U69:U100" si="17">CONCATENATE(F69,"-",Q69,"-",R69)</f>
        <v>MA-NW-Prod</v>
      </c>
      <c r="V69" s="223" t="str">
        <f t="array" ref="V69">CONCATENATE(Q69,"-",R69)</f>
        <v>NW-Prod</v>
      </c>
      <c r="W69" s="239">
        <f>IF(ISERROR(VLOOKUP(T69,'15-16_DP_Tables'!$M$2:$V$8,MATCH(V69,INDEX('15-16_DP_Tables'!$M$2:$V$8,1,0),0),0)),0,VLOOKUP(T69,'15-16_DP_Tables'!$M$2:$V$8,MATCH(V69,INDEX('15-16_DP_Tables'!$M$2:$V$8,1,0),0),0))</f>
        <v>57.083333333332121</v>
      </c>
      <c r="X69" s="239">
        <f t="array" ref="X69">IF(ISERROR(VLOOKUP(T69,'15-16_DP_Tables'!$M$12:$V$18,MATCH(V69,INDEX('15-16_DP_Tables'!$M$12:$V$18,1,0),0),0)),0,VLOOKUP(T69,'15-16_DP_Tables'!$M$12:$V$18,MATCH(V69,INDEX('15-16_DP_Tables'!$M$12:$V$18,1,0),0),0))</f>
        <v>47.791666666664241</v>
      </c>
      <c r="Y69" s="223" t="str">
        <f t="shared" ref="Y69:Y100" si="18">IF(OR(ISNUMBER(SEARCH("HST",C69)),ISNUMBER(SEARCH("Horizontal",C69)),ISNUMBER(SEARCH("H",C69))),"Horizontal",IF(OR(ISNUMBER(SEARCH("SLANT",C69))),"Slant","Unknown"))</f>
        <v>Horizontal</v>
      </c>
      <c r="Z69" s="223">
        <v>5</v>
      </c>
      <c r="AA69" s="249" t="e">
        <f>VLOOKUP(T69,'Planning and Target Times'!$A$74:$L$78,MATCH(E69&amp;"-"&amp;Q69&amp;"-"&amp;Y69&amp;"-"&amp;R69,INDEX('Planning and Target Times'!$A$74:$L$78,1,0),0),0)</f>
        <v>#N/A</v>
      </c>
      <c r="AB69" s="249" t="e">
        <f>VLOOKUP(T69,'Planning and Target Times'!$A$97:$L$101,MATCH(E69&amp;"-"&amp;Q69&amp;"-"&amp;Y69&amp;"-"&amp;R69,INDEX('Planning and Target Times'!$A$97:$L$101,1,0),0),0)</f>
        <v>#N/A</v>
      </c>
      <c r="AC69" s="250">
        <f t="shared" si="11"/>
        <v>26.277372262774282</v>
      </c>
      <c r="AD69" s="250">
        <f t="shared" si="7"/>
        <v>31.386224934613622</v>
      </c>
      <c r="AE69" s="248">
        <f t="shared" si="8"/>
        <v>3784.3927623904469</v>
      </c>
      <c r="AF69" s="248">
        <f t="shared" ref="AF69:AF100" si="19">(30*365)-AE69</f>
        <v>7165.6072376095526</v>
      </c>
      <c r="AG69" s="248">
        <f t="shared" ca="1" si="3"/>
        <v>85.607237609553067</v>
      </c>
      <c r="AH69" s="248">
        <f t="shared" ca="1" si="4"/>
        <v>-1720.3927623904469</v>
      </c>
      <c r="AI69" s="248">
        <f t="shared" si="9"/>
        <v>2999.0476654666127</v>
      </c>
      <c r="AJ69" s="248">
        <f t="shared" ca="1" si="10"/>
        <v>870.95233453338733</v>
      </c>
      <c r="AK69" s="248">
        <f t="shared" ca="1" si="5"/>
        <v>-935.04766546661267</v>
      </c>
    </row>
    <row r="70" spans="2:37" ht="15.95" customHeight="1" x14ac:dyDescent="0.25">
      <c r="B70" s="136">
        <v>136</v>
      </c>
      <c r="C70" s="151" t="s">
        <v>1225</v>
      </c>
      <c r="D70" s="156" t="s">
        <v>1226</v>
      </c>
      <c r="E70" s="150" t="s">
        <v>11</v>
      </c>
      <c r="F70" s="140" t="s">
        <v>17</v>
      </c>
      <c r="G70" s="140" t="s">
        <v>1076</v>
      </c>
      <c r="H70" s="140" t="s">
        <v>1077</v>
      </c>
      <c r="I70" s="140" t="s">
        <v>459</v>
      </c>
      <c r="J70" s="141" t="s">
        <v>1079</v>
      </c>
      <c r="K70" s="142">
        <v>42186</v>
      </c>
      <c r="L70" s="142">
        <v>42242</v>
      </c>
      <c r="M70" s="134">
        <v>42256</v>
      </c>
      <c r="N70" s="140">
        <v>56</v>
      </c>
      <c r="O70" s="143">
        <v>1200</v>
      </c>
      <c r="P70" s="135" t="s">
        <v>1080</v>
      </c>
      <c r="Q70" s="223" t="s">
        <v>18</v>
      </c>
      <c r="R70" s="223" t="s">
        <v>298</v>
      </c>
      <c r="S70" s="223" t="s">
        <v>17</v>
      </c>
      <c r="T70" s="224" t="str">
        <f t="shared" si="16"/>
        <v>MA</v>
      </c>
      <c r="U70" s="223" t="str">
        <f t="shared" si="17"/>
        <v>MA-ST-Prod</v>
      </c>
      <c r="V70" s="223" t="str">
        <f t="array" ref="V70">CONCATENATE(Q70,"-",R70)</f>
        <v>ST-Prod</v>
      </c>
      <c r="W70" s="239">
        <f>IF(ISERROR(VLOOKUP(T70,'15-16_DP_Tables'!$M$2:$V$8,MATCH(V70,INDEX('15-16_DP_Tables'!$M$2:$V$8,1,0),0),0)),0,VLOOKUP(T70,'15-16_DP_Tables'!$M$2:$V$8,MATCH(V70,INDEX('15-16_DP_Tables'!$M$2:$V$8,1,0),0),0))</f>
        <v>47.881547142856107</v>
      </c>
      <c r="X70" s="239">
        <f t="array" ref="X70">IF(ISERROR(VLOOKUP(T70,'15-16_DP_Tables'!$M$12:$V$18,MATCH(V70,INDEX('15-16_DP_Tables'!$M$12:$V$18,1,0),0),0)),0,VLOOKUP(T70,'15-16_DP_Tables'!$M$12:$V$18,MATCH(V70,INDEX('15-16_DP_Tables'!$M$12:$V$18,1,0),0),0))</f>
        <v>41.770833333332121</v>
      </c>
      <c r="Y70" s="223" t="str">
        <f t="shared" si="18"/>
        <v>Horizontal</v>
      </c>
      <c r="Z70" s="223">
        <v>5</v>
      </c>
      <c r="AA70" s="249" t="e">
        <f>VLOOKUP(T70,'Planning and Target Times'!$A$74:$L$78,MATCH(E70&amp;"-"&amp;Q70&amp;"-"&amp;Y70&amp;"-"&amp;R70,INDEX('Planning and Target Times'!$A$74:$L$78,1,0),0),0)</f>
        <v>#N/A</v>
      </c>
      <c r="AB70" s="249" t="e">
        <f>VLOOKUP(T70,'Planning and Target Times'!$A$97:$L$101,MATCH(E70&amp;"-"&amp;Q70&amp;"-"&amp;Y70&amp;"-"&amp;R70,INDEX('Planning and Target Times'!$A$97:$L$101,1,0),0),0)</f>
        <v>#N/A</v>
      </c>
      <c r="AC70" s="250">
        <f t="shared" si="11"/>
        <v>25.061846820023632</v>
      </c>
      <c r="AD70" s="250">
        <f t="shared" si="7"/>
        <v>28.728179551123027</v>
      </c>
      <c r="AE70" s="248">
        <f t="shared" si="8"/>
        <v>3837.274309533303</v>
      </c>
      <c r="AF70" s="248">
        <f t="shared" si="19"/>
        <v>7112.7256904666974</v>
      </c>
      <c r="AG70" s="248">
        <f t="shared" ref="AG70:AG133" ca="1" si="20">(30*$AG$3)-AE70</f>
        <v>32.72569046669696</v>
      </c>
      <c r="AH70" s="248">
        <f t="shared" ref="AH70:AH133" ca="1" si="21">($AH$3*$AG$3)-AE70</f>
        <v>-1773.274309533303</v>
      </c>
      <c r="AI70" s="248">
        <f t="shared" si="9"/>
        <v>3045.8184987999448</v>
      </c>
      <c r="AJ70" s="248">
        <f t="shared" ref="AJ70:AJ133" ca="1" si="22">(30*$AJ$3)-AI70</f>
        <v>824.18150120005521</v>
      </c>
      <c r="AK70" s="248">
        <f t="shared" ref="AK70:AK133" ca="1" si="23">($AJ$3*$AK$3)-AI70</f>
        <v>-981.81849879994479</v>
      </c>
    </row>
    <row r="71" spans="2:37" ht="15.95" customHeight="1" x14ac:dyDescent="0.25">
      <c r="B71" s="136">
        <v>98</v>
      </c>
      <c r="C71" s="179" t="s">
        <v>1184</v>
      </c>
      <c r="D71" s="147" t="s">
        <v>734</v>
      </c>
      <c r="E71" s="187" t="s">
        <v>11</v>
      </c>
      <c r="F71" s="140" t="s">
        <v>22</v>
      </c>
      <c r="G71" s="140" t="s">
        <v>1076</v>
      </c>
      <c r="H71" s="140" t="s">
        <v>1082</v>
      </c>
      <c r="I71" s="140" t="s">
        <v>459</v>
      </c>
      <c r="J71" s="141" t="s">
        <v>1079</v>
      </c>
      <c r="K71" s="142">
        <v>42198</v>
      </c>
      <c r="L71" s="142">
        <v>42268</v>
      </c>
      <c r="M71" s="134">
        <v>42282</v>
      </c>
      <c r="N71" s="140">
        <v>70</v>
      </c>
      <c r="O71" s="143">
        <v>1200</v>
      </c>
      <c r="P71" s="135" t="s">
        <v>1080</v>
      </c>
      <c r="Q71" s="223" t="s">
        <v>14</v>
      </c>
      <c r="R71" s="223" t="s">
        <v>298</v>
      </c>
      <c r="S71" s="223" t="s">
        <v>22</v>
      </c>
      <c r="T71" s="224" t="str">
        <f t="shared" si="16"/>
        <v>LB</v>
      </c>
      <c r="U71" s="223" t="str">
        <f t="shared" si="17"/>
        <v>LB-NW-Prod</v>
      </c>
      <c r="V71" s="223" t="str">
        <f t="array" ref="V71">CONCATENATE(Q71,"-",R71)</f>
        <v>NW-Prod</v>
      </c>
      <c r="W71" s="239">
        <f>IF(ISERROR(VLOOKUP(T71,'15-16_DP_Tables'!$M$2:$V$8,MATCH(V71,INDEX('15-16_DP_Tables'!$M$2:$V$8,1,0),0),0)),0,VLOOKUP(T71,'15-16_DP_Tables'!$M$2:$V$8,MATCH(V71,INDEX('15-16_DP_Tables'!$M$2:$V$8,1,0),0),0))</f>
        <v>55.81537142381022</v>
      </c>
      <c r="X71" s="239">
        <f t="array" ref="X71">IF(ISERROR(VLOOKUP(T71,'15-16_DP_Tables'!$M$12:$V$18,MATCH(V71,INDEX('15-16_DP_Tables'!$M$12:$V$18,1,0),0),0)),0,VLOOKUP(T71,'15-16_DP_Tables'!$M$12:$V$18,MATCH(V71,INDEX('15-16_DP_Tables'!$M$12:$V$18,1,0),0),0))</f>
        <v>45.207999999999998</v>
      </c>
      <c r="Y71" s="223" t="str">
        <f t="shared" si="18"/>
        <v>Horizontal</v>
      </c>
      <c r="Z71" s="223">
        <v>5</v>
      </c>
      <c r="AA71" s="249" t="e">
        <f>VLOOKUP(T71,'Planning and Target Times'!$A$74:$L$78,MATCH(E71&amp;"-"&amp;Q71&amp;"-"&amp;Y71&amp;"-"&amp;R71,INDEX('Planning and Target Times'!$A$74:$L$78,1,0),0),0)</f>
        <v>#N/A</v>
      </c>
      <c r="AB71" s="249" t="e">
        <f>VLOOKUP(T71,'Planning and Target Times'!$A$97:$L$101,MATCH(E71&amp;"-"&amp;Q71&amp;"-"&amp;Y71&amp;"-"&amp;R71,INDEX('Planning and Target Times'!$A$97:$L$101,1,0),0),0)</f>
        <v>#N/A</v>
      </c>
      <c r="AC71" s="250">
        <f t="shared" ref="AC71:AC134" si="24">IF(ISERROR(O71/W71),0,(O71/W71))</f>
        <v>21.499453813328802</v>
      </c>
      <c r="AD71" s="250">
        <f t="shared" ref="AD71:AD134" si="25">IF(ISERROR(O71/X71),0,(O71/X71))</f>
        <v>26.543974517784463</v>
      </c>
      <c r="AE71" s="248">
        <f t="shared" ref="AE71:AE134" si="26">SUM(AE70,W71)+Z71</f>
        <v>3898.0896809571132</v>
      </c>
      <c r="AF71" s="248">
        <f t="shared" si="19"/>
        <v>7051.9103190428868</v>
      </c>
      <c r="AG71" s="248">
        <f t="shared" ca="1" si="20"/>
        <v>-28.08968095711316</v>
      </c>
      <c r="AH71" s="248">
        <f t="shared" ca="1" si="21"/>
        <v>-1834.0896809571132</v>
      </c>
      <c r="AI71" s="248">
        <f t="shared" ref="AI71:AI134" si="27">SUM(AI70,X71)+Z71</f>
        <v>3096.0264987999449</v>
      </c>
      <c r="AJ71" s="248">
        <f t="shared" ca="1" si="22"/>
        <v>773.97350120005513</v>
      </c>
      <c r="AK71" s="248">
        <f t="shared" ca="1" si="23"/>
        <v>-1032.0264987999449</v>
      </c>
    </row>
    <row r="72" spans="2:37" ht="15.95" customHeight="1" x14ac:dyDescent="0.25">
      <c r="B72" s="136">
        <v>120</v>
      </c>
      <c r="C72" s="144" t="s">
        <v>1206</v>
      </c>
      <c r="D72" s="165" t="s">
        <v>838</v>
      </c>
      <c r="E72" s="139" t="s">
        <v>42</v>
      </c>
      <c r="F72" s="140" t="s">
        <v>22</v>
      </c>
      <c r="G72" s="140" t="s">
        <v>1076</v>
      </c>
      <c r="H72" s="140" t="s">
        <v>1082</v>
      </c>
      <c r="I72" s="140" t="s">
        <v>459</v>
      </c>
      <c r="J72" s="141" t="s">
        <v>1079</v>
      </c>
      <c r="K72" s="142">
        <v>42201</v>
      </c>
      <c r="L72" s="142">
        <v>42271</v>
      </c>
      <c r="M72" s="134">
        <v>42285</v>
      </c>
      <c r="N72" s="140">
        <v>70</v>
      </c>
      <c r="O72" s="143">
        <v>1800</v>
      </c>
      <c r="P72" s="143" t="s">
        <v>1080</v>
      </c>
      <c r="Q72" s="223" t="s">
        <v>14</v>
      </c>
      <c r="R72" s="223" t="s">
        <v>298</v>
      </c>
      <c r="S72" s="223" t="s">
        <v>22</v>
      </c>
      <c r="T72" s="224" t="str">
        <f t="shared" si="16"/>
        <v>LB</v>
      </c>
      <c r="U72" s="223" t="str">
        <f t="shared" si="17"/>
        <v>LB-NW-Prod</v>
      </c>
      <c r="V72" s="223" t="str">
        <f t="array" ref="V72">CONCATENATE(Q72,"-",R72)</f>
        <v>NW-Prod</v>
      </c>
      <c r="W72" s="239">
        <f>IF(ISERROR(VLOOKUP(T72,'15-16_DP_Tables'!$M$2:$V$8,MATCH(V72,INDEX('15-16_DP_Tables'!$M$2:$V$8,1,0),0),0)),0,VLOOKUP(T72,'15-16_DP_Tables'!$M$2:$V$8,MATCH(V72,INDEX('15-16_DP_Tables'!$M$2:$V$8,1,0),0),0))</f>
        <v>55.81537142381022</v>
      </c>
      <c r="X72" s="239">
        <f t="array" ref="X72">IF(ISERROR(VLOOKUP(T72,'15-16_DP_Tables'!$M$12:$V$18,MATCH(V72,INDEX('15-16_DP_Tables'!$M$12:$V$18,1,0),0),0)),0,VLOOKUP(T72,'15-16_DP_Tables'!$M$12:$V$18,MATCH(V72,INDEX('15-16_DP_Tables'!$M$12:$V$18,1,0),0),0))</f>
        <v>45.207999999999998</v>
      </c>
      <c r="Y72" s="223" t="str">
        <f t="shared" si="18"/>
        <v>Slant</v>
      </c>
      <c r="Z72" s="223">
        <v>5</v>
      </c>
      <c r="AA72" s="249" t="e">
        <f>VLOOKUP(T72,'Planning and Target Times'!$A$74:$L$78,MATCH(E72&amp;"-"&amp;Q72&amp;"-"&amp;Y72&amp;"-"&amp;R72,INDEX('Planning and Target Times'!$A$74:$L$78,1,0),0),0)</f>
        <v>#N/A</v>
      </c>
      <c r="AB72" s="249" t="e">
        <f>VLOOKUP(T72,'Planning and Target Times'!$A$97:$L$101,MATCH(E72&amp;"-"&amp;Q72&amp;"-"&amp;Y72&amp;"-"&amp;R72,INDEX('Planning and Target Times'!$A$97:$L$101,1,0),0),0)</f>
        <v>#N/A</v>
      </c>
      <c r="AC72" s="250">
        <f t="shared" si="24"/>
        <v>32.249180719993198</v>
      </c>
      <c r="AD72" s="250">
        <f t="shared" si="25"/>
        <v>39.815961776676694</v>
      </c>
      <c r="AE72" s="248">
        <f t="shared" si="26"/>
        <v>3958.9050523809233</v>
      </c>
      <c r="AF72" s="248">
        <f t="shared" si="19"/>
        <v>6991.0949476190763</v>
      </c>
      <c r="AG72" s="248">
        <f t="shared" ca="1" si="20"/>
        <v>-88.90505238092328</v>
      </c>
      <c r="AH72" s="248">
        <f t="shared" ca="1" si="21"/>
        <v>-1894.9050523809233</v>
      </c>
      <c r="AI72" s="248">
        <f t="shared" si="27"/>
        <v>3146.234498799945</v>
      </c>
      <c r="AJ72" s="248">
        <f t="shared" ca="1" si="22"/>
        <v>723.76550120005504</v>
      </c>
      <c r="AK72" s="248">
        <f t="shared" ca="1" si="23"/>
        <v>-1082.234498799945</v>
      </c>
    </row>
    <row r="73" spans="2:37" ht="15.95" customHeight="1" x14ac:dyDescent="0.25">
      <c r="B73" s="136">
        <v>105</v>
      </c>
      <c r="C73" s="144" t="s">
        <v>1191</v>
      </c>
      <c r="D73" s="157" t="s">
        <v>735</v>
      </c>
      <c r="E73" s="150" t="s">
        <v>42</v>
      </c>
      <c r="F73" s="140" t="s">
        <v>22</v>
      </c>
      <c r="G73" s="140" t="s">
        <v>1076</v>
      </c>
      <c r="H73" s="140" t="s">
        <v>1082</v>
      </c>
      <c r="I73" s="140" t="s">
        <v>459</v>
      </c>
      <c r="J73" s="141" t="s">
        <v>1079</v>
      </c>
      <c r="K73" s="142">
        <v>42208</v>
      </c>
      <c r="L73" s="142">
        <v>42278</v>
      </c>
      <c r="M73" s="134">
        <v>42292</v>
      </c>
      <c r="N73" s="140">
        <v>70</v>
      </c>
      <c r="O73" s="143">
        <v>1800</v>
      </c>
      <c r="P73" s="135" t="s">
        <v>1096</v>
      </c>
      <c r="Q73" s="223" t="s">
        <v>14</v>
      </c>
      <c r="R73" s="223" t="s">
        <v>298</v>
      </c>
      <c r="S73" s="223" t="s">
        <v>22</v>
      </c>
      <c r="T73" s="224" t="str">
        <f t="shared" si="16"/>
        <v>LB</v>
      </c>
      <c r="U73" s="223" t="str">
        <f t="shared" si="17"/>
        <v>LB-NW-Prod</v>
      </c>
      <c r="V73" s="223" t="str">
        <f t="array" ref="V73">CONCATENATE(Q73,"-",R73)</f>
        <v>NW-Prod</v>
      </c>
      <c r="W73" s="239">
        <f>IF(ISERROR(VLOOKUP(T73,'15-16_DP_Tables'!$M$2:$V$8,MATCH(V73,INDEX('15-16_DP_Tables'!$M$2:$V$8,1,0),0),0)),0,VLOOKUP(T73,'15-16_DP_Tables'!$M$2:$V$8,MATCH(V73,INDEX('15-16_DP_Tables'!$M$2:$V$8,1,0),0),0))</f>
        <v>55.81537142381022</v>
      </c>
      <c r="X73" s="239">
        <f t="array" ref="X73">IF(ISERROR(VLOOKUP(T73,'15-16_DP_Tables'!$M$12:$V$18,MATCH(V73,INDEX('15-16_DP_Tables'!$M$12:$V$18,1,0),0),0)),0,VLOOKUP(T73,'15-16_DP_Tables'!$M$12:$V$18,MATCH(V73,INDEX('15-16_DP_Tables'!$M$12:$V$18,1,0),0),0))</f>
        <v>45.207999999999998</v>
      </c>
      <c r="Y73" s="223" t="str">
        <f t="shared" si="18"/>
        <v>Unknown</v>
      </c>
      <c r="Z73" s="223">
        <v>5</v>
      </c>
      <c r="AA73" s="249" t="e">
        <f>VLOOKUP(T73,'Planning and Target Times'!$A$74:$L$78,MATCH(E73&amp;"-"&amp;Q73&amp;"-"&amp;Y73&amp;"-"&amp;R73,INDEX('Planning and Target Times'!$A$74:$L$78,1,0),0),0)</f>
        <v>#N/A</v>
      </c>
      <c r="AB73" s="249" t="e">
        <f>VLOOKUP(T73,'Planning and Target Times'!$A$97:$L$101,MATCH(E73&amp;"-"&amp;Q73&amp;"-"&amp;Y73&amp;"-"&amp;R73,INDEX('Planning and Target Times'!$A$97:$L$101,1,0),0),0)</f>
        <v>#N/A</v>
      </c>
      <c r="AC73" s="250">
        <f t="shared" si="24"/>
        <v>32.249180719993198</v>
      </c>
      <c r="AD73" s="250">
        <f t="shared" si="25"/>
        <v>39.815961776676694</v>
      </c>
      <c r="AE73" s="248">
        <f t="shared" si="26"/>
        <v>4019.7204238047334</v>
      </c>
      <c r="AF73" s="248">
        <f t="shared" si="19"/>
        <v>6930.2795761952666</v>
      </c>
      <c r="AG73" s="248">
        <f t="shared" ca="1" si="20"/>
        <v>-149.7204238047334</v>
      </c>
      <c r="AH73" s="248">
        <f t="shared" ca="1" si="21"/>
        <v>-1955.7204238047334</v>
      </c>
      <c r="AI73" s="248">
        <f t="shared" si="27"/>
        <v>3196.442498799945</v>
      </c>
      <c r="AJ73" s="248">
        <f t="shared" ca="1" si="22"/>
        <v>673.55750120005496</v>
      </c>
      <c r="AK73" s="248">
        <f t="shared" ca="1" si="23"/>
        <v>-1132.442498799945</v>
      </c>
    </row>
    <row r="74" spans="2:37" ht="15.95" customHeight="1" x14ac:dyDescent="0.25">
      <c r="B74" s="136">
        <v>80</v>
      </c>
      <c r="C74" s="144" t="s">
        <v>1166</v>
      </c>
      <c r="D74" s="184" t="s">
        <v>511</v>
      </c>
      <c r="E74" s="139" t="s">
        <v>42</v>
      </c>
      <c r="F74" s="140" t="s">
        <v>22</v>
      </c>
      <c r="G74" s="140" t="s">
        <v>1076</v>
      </c>
      <c r="H74" s="140" t="s">
        <v>1082</v>
      </c>
      <c r="I74" s="140" t="s">
        <v>459</v>
      </c>
      <c r="J74" s="141" t="s">
        <v>1079</v>
      </c>
      <c r="K74" s="142">
        <v>42215</v>
      </c>
      <c r="L74" s="142">
        <v>42285</v>
      </c>
      <c r="M74" s="134">
        <v>42299</v>
      </c>
      <c r="N74" s="140">
        <v>70</v>
      </c>
      <c r="O74" s="143">
        <v>1800</v>
      </c>
      <c r="P74" s="135" t="s">
        <v>1080</v>
      </c>
      <c r="Q74" s="223" t="s">
        <v>14</v>
      </c>
      <c r="R74" s="223" t="s">
        <v>298</v>
      </c>
      <c r="S74" s="223" t="s">
        <v>22</v>
      </c>
      <c r="T74" s="224" t="str">
        <f t="shared" si="16"/>
        <v>LB</v>
      </c>
      <c r="U74" s="223" t="str">
        <f t="shared" si="17"/>
        <v>LB-NW-Prod</v>
      </c>
      <c r="V74" s="223" t="str">
        <f t="array" ref="V74">CONCATENATE(Q74,"-",R74)</f>
        <v>NW-Prod</v>
      </c>
      <c r="W74" s="239">
        <f>IF(ISERROR(VLOOKUP(T74,'15-16_DP_Tables'!$M$2:$V$8,MATCH(V74,INDEX('15-16_DP_Tables'!$M$2:$V$8,1,0),0),0)),0,VLOOKUP(T74,'15-16_DP_Tables'!$M$2:$V$8,MATCH(V74,INDEX('15-16_DP_Tables'!$M$2:$V$8,1,0),0),0))</f>
        <v>55.81537142381022</v>
      </c>
      <c r="X74" s="239">
        <f t="array" ref="X74">IF(ISERROR(VLOOKUP(T74,'15-16_DP_Tables'!$M$12:$V$18,MATCH(V74,INDEX('15-16_DP_Tables'!$M$12:$V$18,1,0),0),0)),0,VLOOKUP(T74,'15-16_DP_Tables'!$M$12:$V$18,MATCH(V74,INDEX('15-16_DP_Tables'!$M$12:$V$18,1,0),0),0))</f>
        <v>45.207999999999998</v>
      </c>
      <c r="Y74" s="223" t="str">
        <f t="shared" si="18"/>
        <v>Unknown</v>
      </c>
      <c r="Z74" s="223">
        <v>5</v>
      </c>
      <c r="AA74" s="249" t="e">
        <f>VLOOKUP(T74,'Planning and Target Times'!$A$74:$L$78,MATCH(E74&amp;"-"&amp;Q74&amp;"-"&amp;Y74&amp;"-"&amp;R74,INDEX('Planning and Target Times'!$A$74:$L$78,1,0),0),0)</f>
        <v>#N/A</v>
      </c>
      <c r="AB74" s="249" t="e">
        <f>VLOOKUP(T74,'Planning and Target Times'!$A$97:$L$101,MATCH(E74&amp;"-"&amp;Q74&amp;"-"&amp;Y74&amp;"-"&amp;R74,INDEX('Planning and Target Times'!$A$97:$L$101,1,0),0),0)</f>
        <v>#N/A</v>
      </c>
      <c r="AC74" s="250">
        <f t="shared" si="24"/>
        <v>32.249180719993198</v>
      </c>
      <c r="AD74" s="250">
        <f t="shared" si="25"/>
        <v>39.815961776676694</v>
      </c>
      <c r="AE74" s="248">
        <f t="shared" si="26"/>
        <v>4080.5357952285435</v>
      </c>
      <c r="AF74" s="248">
        <f t="shared" si="19"/>
        <v>6869.4642047714569</v>
      </c>
      <c r="AG74" s="248">
        <f t="shared" ca="1" si="20"/>
        <v>-210.53579522854352</v>
      </c>
      <c r="AH74" s="248">
        <f t="shared" ca="1" si="21"/>
        <v>-2016.5357952285435</v>
      </c>
      <c r="AI74" s="248">
        <f t="shared" si="27"/>
        <v>3246.6504987999451</v>
      </c>
      <c r="AJ74" s="248">
        <f t="shared" ca="1" si="22"/>
        <v>623.34950120005487</v>
      </c>
      <c r="AK74" s="248">
        <f t="shared" ca="1" si="23"/>
        <v>-1182.6504987999451</v>
      </c>
    </row>
    <row r="75" spans="2:37" ht="15.95" customHeight="1" x14ac:dyDescent="0.25">
      <c r="B75" s="136">
        <v>143</v>
      </c>
      <c r="C75" s="151" t="s">
        <v>1233</v>
      </c>
      <c r="D75" s="193" t="s">
        <v>1234</v>
      </c>
      <c r="E75" s="139" t="s">
        <v>42</v>
      </c>
      <c r="F75" s="140" t="s">
        <v>22</v>
      </c>
      <c r="G75" s="140" t="s">
        <v>1076</v>
      </c>
      <c r="H75" s="140" t="s">
        <v>1082</v>
      </c>
      <c r="I75" s="140" t="s">
        <v>459</v>
      </c>
      <c r="J75" s="141" t="s">
        <v>1079</v>
      </c>
      <c r="K75" s="142">
        <v>42217</v>
      </c>
      <c r="L75" s="142">
        <v>42287</v>
      </c>
      <c r="M75" s="134">
        <v>42301</v>
      </c>
      <c r="N75" s="140">
        <v>70</v>
      </c>
      <c r="O75" s="143">
        <v>1800</v>
      </c>
      <c r="P75" s="135" t="s">
        <v>1080</v>
      </c>
      <c r="Q75" s="223" t="s">
        <v>14</v>
      </c>
      <c r="R75" s="223" t="s">
        <v>298</v>
      </c>
      <c r="S75" s="223" t="s">
        <v>22</v>
      </c>
      <c r="T75" s="224" t="str">
        <f t="shared" si="16"/>
        <v>LB</v>
      </c>
      <c r="U75" s="223" t="str">
        <f t="shared" si="17"/>
        <v>LB-NW-Prod</v>
      </c>
      <c r="V75" s="223" t="str">
        <f t="array" ref="V75">CONCATENATE(Q75,"-",R75)</f>
        <v>NW-Prod</v>
      </c>
      <c r="W75" s="239">
        <f>IF(ISERROR(VLOOKUP(T75,'15-16_DP_Tables'!$M$2:$V$8,MATCH(V75,INDEX('15-16_DP_Tables'!$M$2:$V$8,1,0),0),0)),0,VLOOKUP(T75,'15-16_DP_Tables'!$M$2:$V$8,MATCH(V75,INDEX('15-16_DP_Tables'!$M$2:$V$8,1,0),0),0))</f>
        <v>55.81537142381022</v>
      </c>
      <c r="X75" s="239">
        <f t="array" ref="X75">IF(ISERROR(VLOOKUP(T75,'15-16_DP_Tables'!$M$12:$V$18,MATCH(V75,INDEX('15-16_DP_Tables'!$M$12:$V$18,1,0),0),0)),0,VLOOKUP(T75,'15-16_DP_Tables'!$M$12:$V$18,MATCH(V75,INDEX('15-16_DP_Tables'!$M$12:$V$18,1,0),0),0))</f>
        <v>45.207999999999998</v>
      </c>
      <c r="Y75" s="223" t="str">
        <f t="shared" si="18"/>
        <v>Horizontal</v>
      </c>
      <c r="Z75" s="223">
        <v>5</v>
      </c>
      <c r="AA75" s="249" t="e">
        <f>VLOOKUP(T75,'Planning and Target Times'!$A$74:$L$78,MATCH(E75&amp;"-"&amp;Q75&amp;"-"&amp;Y75&amp;"-"&amp;R75,INDEX('Planning and Target Times'!$A$74:$L$78,1,0),0),0)</f>
        <v>#N/A</v>
      </c>
      <c r="AB75" s="249" t="e">
        <f>VLOOKUP(T75,'Planning and Target Times'!$A$97:$L$101,MATCH(E75&amp;"-"&amp;Q75&amp;"-"&amp;Y75&amp;"-"&amp;R75,INDEX('Planning and Target Times'!$A$97:$L$101,1,0),0),0)</f>
        <v>#N/A</v>
      </c>
      <c r="AC75" s="250">
        <f t="shared" si="24"/>
        <v>32.249180719993198</v>
      </c>
      <c r="AD75" s="250">
        <f t="shared" si="25"/>
        <v>39.815961776676694</v>
      </c>
      <c r="AE75" s="248">
        <f t="shared" si="26"/>
        <v>4141.3511666523536</v>
      </c>
      <c r="AF75" s="248">
        <f t="shared" si="19"/>
        <v>6808.6488333476464</v>
      </c>
      <c r="AG75" s="248">
        <f t="shared" ca="1" si="20"/>
        <v>-271.35116665235364</v>
      </c>
      <c r="AH75" s="248">
        <f t="shared" ca="1" si="21"/>
        <v>-2077.3511666523536</v>
      </c>
      <c r="AI75" s="248">
        <f t="shared" si="27"/>
        <v>3296.8584987999452</v>
      </c>
      <c r="AJ75" s="248">
        <f t="shared" ca="1" si="22"/>
        <v>573.14150120005479</v>
      </c>
      <c r="AK75" s="248">
        <f t="shared" ca="1" si="23"/>
        <v>-1232.8584987999452</v>
      </c>
    </row>
    <row r="76" spans="2:37" ht="15.95" customHeight="1" x14ac:dyDescent="0.25">
      <c r="B76" s="136">
        <v>147</v>
      </c>
      <c r="C76" s="144" t="s">
        <v>1238</v>
      </c>
      <c r="D76" s="194" t="s">
        <v>1239</v>
      </c>
      <c r="E76" s="150" t="s">
        <v>11</v>
      </c>
      <c r="F76" s="140" t="s">
        <v>17</v>
      </c>
      <c r="G76" s="140" t="s">
        <v>1076</v>
      </c>
      <c r="H76" s="140" t="s">
        <v>1082</v>
      </c>
      <c r="I76" s="140" t="s">
        <v>459</v>
      </c>
      <c r="J76" s="141" t="s">
        <v>1079</v>
      </c>
      <c r="K76" s="142">
        <v>42217</v>
      </c>
      <c r="L76" s="142">
        <v>42287</v>
      </c>
      <c r="M76" s="134">
        <v>42301</v>
      </c>
      <c r="N76" s="140">
        <v>70</v>
      </c>
      <c r="O76" s="143">
        <v>1400</v>
      </c>
      <c r="P76" s="135" t="s">
        <v>1080</v>
      </c>
      <c r="Q76" s="223" t="s">
        <v>14</v>
      </c>
      <c r="R76" s="223" t="s">
        <v>298</v>
      </c>
      <c r="S76" s="223" t="s">
        <v>17</v>
      </c>
      <c r="T76" s="224" t="str">
        <f t="shared" si="16"/>
        <v>MA</v>
      </c>
      <c r="U76" s="223" t="str">
        <f t="shared" si="17"/>
        <v>MA-NW-Prod</v>
      </c>
      <c r="V76" s="223" t="str">
        <f t="array" ref="V76">CONCATENATE(Q76,"-",R76)</f>
        <v>NW-Prod</v>
      </c>
      <c r="W76" s="239">
        <f>IF(ISERROR(VLOOKUP(T76,'15-16_DP_Tables'!$M$2:$V$8,MATCH(V76,INDEX('15-16_DP_Tables'!$M$2:$V$8,1,0),0),0)),0,VLOOKUP(T76,'15-16_DP_Tables'!$M$2:$V$8,MATCH(V76,INDEX('15-16_DP_Tables'!$M$2:$V$8,1,0),0),0))</f>
        <v>57.083333333332121</v>
      </c>
      <c r="X76" s="239">
        <f t="array" ref="X76">IF(ISERROR(VLOOKUP(T76,'15-16_DP_Tables'!$M$12:$V$18,MATCH(V76,INDEX('15-16_DP_Tables'!$M$12:$V$18,1,0),0),0)),0,VLOOKUP(T76,'15-16_DP_Tables'!$M$12:$V$18,MATCH(V76,INDEX('15-16_DP_Tables'!$M$12:$V$18,1,0),0),0))</f>
        <v>47.791666666664241</v>
      </c>
      <c r="Y76" s="223" t="str">
        <f t="shared" si="18"/>
        <v>Horizontal</v>
      </c>
      <c r="Z76" s="223">
        <v>5</v>
      </c>
      <c r="AA76" s="249" t="e">
        <f>VLOOKUP(T76,'Planning and Target Times'!$A$74:$L$78,MATCH(E76&amp;"-"&amp;Q76&amp;"-"&amp;Y76&amp;"-"&amp;R76,INDEX('Planning and Target Times'!$A$74:$L$78,1,0),0),0)</f>
        <v>#N/A</v>
      </c>
      <c r="AB76" s="249" t="e">
        <f>VLOOKUP(T76,'Planning and Target Times'!$A$97:$L$101,MATCH(E76&amp;"-"&amp;Q76&amp;"-"&amp;Y76&amp;"-"&amp;R76,INDEX('Planning and Target Times'!$A$97:$L$101,1,0),0),0)</f>
        <v>#N/A</v>
      </c>
      <c r="AC76" s="250">
        <f t="shared" si="24"/>
        <v>24.525547445255995</v>
      </c>
      <c r="AD76" s="250">
        <f t="shared" si="25"/>
        <v>29.293809938972714</v>
      </c>
      <c r="AE76" s="248">
        <f t="shared" si="26"/>
        <v>4203.4344999856858</v>
      </c>
      <c r="AF76" s="248">
        <f t="shared" si="19"/>
        <v>6746.5655000143142</v>
      </c>
      <c r="AG76" s="248">
        <f t="shared" ca="1" si="20"/>
        <v>-333.43449998568576</v>
      </c>
      <c r="AH76" s="248">
        <f t="shared" ca="1" si="21"/>
        <v>-2139.4344999856858</v>
      </c>
      <c r="AI76" s="248">
        <f t="shared" si="27"/>
        <v>3349.6501654666095</v>
      </c>
      <c r="AJ76" s="248">
        <f t="shared" ca="1" si="22"/>
        <v>520.34983453339055</v>
      </c>
      <c r="AK76" s="248">
        <f t="shared" ca="1" si="23"/>
        <v>-1285.6501654666095</v>
      </c>
    </row>
    <row r="77" spans="2:37" ht="15.95" customHeight="1" x14ac:dyDescent="0.25">
      <c r="B77" s="136">
        <v>30</v>
      </c>
      <c r="C77" s="152" t="s">
        <v>1113</v>
      </c>
      <c r="D77" s="157" t="s">
        <v>1107</v>
      </c>
      <c r="E77" s="150" t="s">
        <v>42</v>
      </c>
      <c r="F77" s="140" t="s">
        <v>17</v>
      </c>
      <c r="G77" s="140" t="s">
        <v>1076</v>
      </c>
      <c r="H77" s="140" t="s">
        <v>1082</v>
      </c>
      <c r="I77" s="140" t="s">
        <v>459</v>
      </c>
      <c r="J77" s="141" t="s">
        <v>1079</v>
      </c>
      <c r="K77" s="142">
        <v>42219</v>
      </c>
      <c r="L77" s="142">
        <v>42289</v>
      </c>
      <c r="M77" s="134">
        <v>42303</v>
      </c>
      <c r="N77" s="140">
        <v>70</v>
      </c>
      <c r="O77" s="143">
        <v>1500</v>
      </c>
      <c r="P77" s="135" t="s">
        <v>1080</v>
      </c>
      <c r="Q77" s="223" t="s">
        <v>14</v>
      </c>
      <c r="R77" s="223" t="s">
        <v>298</v>
      </c>
      <c r="S77" s="223" t="s">
        <v>17</v>
      </c>
      <c r="T77" s="224" t="str">
        <f t="shared" si="16"/>
        <v>MA</v>
      </c>
      <c r="U77" s="223" t="str">
        <f t="shared" si="17"/>
        <v>MA-NW-Prod</v>
      </c>
      <c r="V77" s="223" t="str">
        <f t="array" ref="V77">CONCATENATE(Q77,"-",R77)</f>
        <v>NW-Prod</v>
      </c>
      <c r="W77" s="239">
        <f>IF(ISERROR(VLOOKUP(T77,'15-16_DP_Tables'!$M$2:$V$8,MATCH(V77,INDEX('15-16_DP_Tables'!$M$2:$V$8,1,0),0),0)),0,VLOOKUP(T77,'15-16_DP_Tables'!$M$2:$V$8,MATCH(V77,INDEX('15-16_DP_Tables'!$M$2:$V$8,1,0),0),0))</f>
        <v>57.083333333332121</v>
      </c>
      <c r="X77" s="239">
        <f t="array" ref="X77">IF(ISERROR(VLOOKUP(T77,'15-16_DP_Tables'!$M$12:$V$18,MATCH(V77,INDEX('15-16_DP_Tables'!$M$12:$V$18,1,0),0),0)),0,VLOOKUP(T77,'15-16_DP_Tables'!$M$12:$V$18,MATCH(V77,INDEX('15-16_DP_Tables'!$M$12:$V$18,1,0),0),0))</f>
        <v>47.791666666664241</v>
      </c>
      <c r="Y77" s="223" t="str">
        <f t="shared" si="18"/>
        <v>Horizontal</v>
      </c>
      <c r="Z77" s="223">
        <v>5</v>
      </c>
      <c r="AA77" s="249" t="e">
        <f>VLOOKUP(T77,'Planning and Target Times'!$A$74:$L$78,MATCH(E77&amp;"-"&amp;Q77&amp;"-"&amp;Y77&amp;"-"&amp;R77,INDEX('Planning and Target Times'!$A$74:$L$78,1,0),0),0)</f>
        <v>#N/A</v>
      </c>
      <c r="AB77" s="249" t="e">
        <f>VLOOKUP(T77,'Planning and Target Times'!$A$97:$L$101,MATCH(E77&amp;"-"&amp;Q77&amp;"-"&amp;Y77&amp;"-"&amp;R77,INDEX('Planning and Target Times'!$A$97:$L$101,1,0),0),0)</f>
        <v>#N/A</v>
      </c>
      <c r="AC77" s="250">
        <f t="shared" si="24"/>
        <v>26.277372262774282</v>
      </c>
      <c r="AD77" s="250">
        <f t="shared" si="25"/>
        <v>31.386224934613622</v>
      </c>
      <c r="AE77" s="248">
        <f t="shared" si="26"/>
        <v>4265.5178333190179</v>
      </c>
      <c r="AF77" s="248">
        <f t="shared" si="19"/>
        <v>6684.4821666809821</v>
      </c>
      <c r="AG77" s="248">
        <f t="shared" ca="1" si="20"/>
        <v>-395.51783331901788</v>
      </c>
      <c r="AH77" s="248">
        <f t="shared" ca="1" si="21"/>
        <v>-2201.5178333190179</v>
      </c>
      <c r="AI77" s="248">
        <f t="shared" si="27"/>
        <v>3402.4418321332737</v>
      </c>
      <c r="AJ77" s="248">
        <f t="shared" ca="1" si="22"/>
        <v>467.55816786672631</v>
      </c>
      <c r="AK77" s="248">
        <f t="shared" ca="1" si="23"/>
        <v>-1338.4418321332737</v>
      </c>
    </row>
    <row r="78" spans="2:37" ht="15.95" customHeight="1" x14ac:dyDescent="0.25">
      <c r="B78" s="136">
        <v>58</v>
      </c>
      <c r="C78" s="144" t="s">
        <v>1144</v>
      </c>
      <c r="D78" s="178" t="s">
        <v>1137</v>
      </c>
      <c r="E78" s="139" t="s">
        <v>11</v>
      </c>
      <c r="F78" s="140" t="s">
        <v>17</v>
      </c>
      <c r="G78" s="140" t="s">
        <v>1076</v>
      </c>
      <c r="H78" s="140" t="s">
        <v>1082</v>
      </c>
      <c r="I78" s="140" t="s">
        <v>459</v>
      </c>
      <c r="J78" s="141" t="s">
        <v>1079</v>
      </c>
      <c r="K78" s="142">
        <v>42221</v>
      </c>
      <c r="L78" s="142">
        <v>42291</v>
      </c>
      <c r="M78" s="134">
        <v>42305</v>
      </c>
      <c r="N78" s="140">
        <v>70</v>
      </c>
      <c r="O78" s="143">
        <v>1400</v>
      </c>
      <c r="P78" s="135" t="s">
        <v>1080</v>
      </c>
      <c r="Q78" s="223" t="s">
        <v>14</v>
      </c>
      <c r="R78" s="223" t="s">
        <v>298</v>
      </c>
      <c r="S78" s="223" t="s">
        <v>17</v>
      </c>
      <c r="T78" s="224" t="str">
        <f t="shared" si="16"/>
        <v>MA</v>
      </c>
      <c r="U78" s="223" t="str">
        <f t="shared" si="17"/>
        <v>MA-NW-Prod</v>
      </c>
      <c r="V78" s="223" t="str">
        <f t="array" ref="V78">CONCATENATE(Q78,"-",R78)</f>
        <v>NW-Prod</v>
      </c>
      <c r="W78" s="239">
        <f>IF(ISERROR(VLOOKUP(T78,'15-16_DP_Tables'!$M$2:$V$8,MATCH(V78,INDEX('15-16_DP_Tables'!$M$2:$V$8,1,0),0),0)),0,VLOOKUP(T78,'15-16_DP_Tables'!$M$2:$V$8,MATCH(V78,INDEX('15-16_DP_Tables'!$M$2:$V$8,1,0),0),0))</f>
        <v>57.083333333332121</v>
      </c>
      <c r="X78" s="239">
        <f t="array" ref="X78">IF(ISERROR(VLOOKUP(T78,'15-16_DP_Tables'!$M$12:$V$18,MATCH(V78,INDEX('15-16_DP_Tables'!$M$12:$V$18,1,0),0),0)),0,VLOOKUP(T78,'15-16_DP_Tables'!$M$12:$V$18,MATCH(V78,INDEX('15-16_DP_Tables'!$M$12:$V$18,1,0),0),0))</f>
        <v>47.791666666664241</v>
      </c>
      <c r="Y78" s="223" t="str">
        <f t="shared" si="18"/>
        <v>Horizontal</v>
      </c>
      <c r="Z78" s="223">
        <v>5</v>
      </c>
      <c r="AA78" s="249" t="e">
        <f>VLOOKUP(T78,'Planning and Target Times'!$A$74:$L$78,MATCH(E78&amp;"-"&amp;Q78&amp;"-"&amp;Y78&amp;"-"&amp;R78,INDEX('Planning and Target Times'!$A$74:$L$78,1,0),0),0)</f>
        <v>#N/A</v>
      </c>
      <c r="AB78" s="249" t="e">
        <f>VLOOKUP(T78,'Planning and Target Times'!$A$97:$L$101,MATCH(E78&amp;"-"&amp;Q78&amp;"-"&amp;Y78&amp;"-"&amp;R78,INDEX('Planning and Target Times'!$A$97:$L$101,1,0),0),0)</f>
        <v>#N/A</v>
      </c>
      <c r="AC78" s="250">
        <f t="shared" si="24"/>
        <v>24.525547445255995</v>
      </c>
      <c r="AD78" s="250">
        <f t="shared" si="25"/>
        <v>29.293809938972714</v>
      </c>
      <c r="AE78" s="248">
        <f t="shared" si="26"/>
        <v>4327.60116665235</v>
      </c>
      <c r="AF78" s="248">
        <f t="shared" si="19"/>
        <v>6622.39883334765</v>
      </c>
      <c r="AG78" s="248">
        <f t="shared" ca="1" si="20"/>
        <v>-457.60116665235</v>
      </c>
      <c r="AH78" s="248">
        <f t="shared" ca="1" si="21"/>
        <v>-2263.60116665235</v>
      </c>
      <c r="AI78" s="248">
        <f t="shared" si="27"/>
        <v>3455.2334987999379</v>
      </c>
      <c r="AJ78" s="248">
        <f t="shared" ca="1" si="22"/>
        <v>414.76650120006207</v>
      </c>
      <c r="AK78" s="248">
        <f t="shared" ca="1" si="23"/>
        <v>-1391.2334987999379</v>
      </c>
    </row>
    <row r="79" spans="2:37" ht="15.95" customHeight="1" x14ac:dyDescent="0.25">
      <c r="B79" s="136">
        <v>66</v>
      </c>
      <c r="C79" s="144" t="s">
        <v>1152</v>
      </c>
      <c r="D79" s="180" t="s">
        <v>513</v>
      </c>
      <c r="E79" s="139" t="s">
        <v>11</v>
      </c>
      <c r="F79" s="140" t="s">
        <v>17</v>
      </c>
      <c r="G79" s="140" t="s">
        <v>1076</v>
      </c>
      <c r="H79" s="140" t="s">
        <v>1082</v>
      </c>
      <c r="I79" s="140" t="s">
        <v>459</v>
      </c>
      <c r="J79" s="141" t="s">
        <v>1079</v>
      </c>
      <c r="K79" s="142">
        <v>42226</v>
      </c>
      <c r="L79" s="142">
        <v>42296</v>
      </c>
      <c r="M79" s="134">
        <v>42310</v>
      </c>
      <c r="N79" s="140">
        <v>70</v>
      </c>
      <c r="O79" s="143">
        <v>1400</v>
      </c>
      <c r="P79" s="143" t="s">
        <v>1080</v>
      </c>
      <c r="Q79" s="223" t="s">
        <v>14</v>
      </c>
      <c r="R79" s="223" t="s">
        <v>298</v>
      </c>
      <c r="S79" s="223" t="s">
        <v>17</v>
      </c>
      <c r="T79" s="224" t="str">
        <f t="shared" si="16"/>
        <v>MA</v>
      </c>
      <c r="U79" s="223" t="str">
        <f t="shared" si="17"/>
        <v>MA-NW-Prod</v>
      </c>
      <c r="V79" s="223" t="str">
        <f t="array" ref="V79">CONCATENATE(Q79,"-",R79)</f>
        <v>NW-Prod</v>
      </c>
      <c r="W79" s="239">
        <f>IF(ISERROR(VLOOKUP(T79,'15-16_DP_Tables'!$M$2:$V$8,MATCH(V79,INDEX('15-16_DP_Tables'!$M$2:$V$8,1,0),0),0)),0,VLOOKUP(T79,'15-16_DP_Tables'!$M$2:$V$8,MATCH(V79,INDEX('15-16_DP_Tables'!$M$2:$V$8,1,0),0),0))</f>
        <v>57.083333333332121</v>
      </c>
      <c r="X79" s="239">
        <f t="array" ref="X79">IF(ISERROR(VLOOKUP(T79,'15-16_DP_Tables'!$M$12:$V$18,MATCH(V79,INDEX('15-16_DP_Tables'!$M$12:$V$18,1,0),0),0)),0,VLOOKUP(T79,'15-16_DP_Tables'!$M$12:$V$18,MATCH(V79,INDEX('15-16_DP_Tables'!$M$12:$V$18,1,0),0),0))</f>
        <v>47.791666666664241</v>
      </c>
      <c r="Y79" s="223" t="str">
        <f t="shared" si="18"/>
        <v>Horizontal</v>
      </c>
      <c r="Z79" s="223">
        <v>5</v>
      </c>
      <c r="AA79" s="249" t="e">
        <f>VLOOKUP(T79,'Planning and Target Times'!$A$74:$L$78,MATCH(E79&amp;"-"&amp;Q79&amp;"-"&amp;Y79&amp;"-"&amp;R79,INDEX('Planning and Target Times'!$A$74:$L$78,1,0),0),0)</f>
        <v>#N/A</v>
      </c>
      <c r="AB79" s="249" t="e">
        <f>VLOOKUP(T79,'Planning and Target Times'!$A$97:$L$101,MATCH(E79&amp;"-"&amp;Q79&amp;"-"&amp;Y79&amp;"-"&amp;R79,INDEX('Planning and Target Times'!$A$97:$L$101,1,0),0),0)</f>
        <v>#N/A</v>
      </c>
      <c r="AC79" s="250">
        <f t="shared" si="24"/>
        <v>24.525547445255995</v>
      </c>
      <c r="AD79" s="250">
        <f t="shared" si="25"/>
        <v>29.293809938972714</v>
      </c>
      <c r="AE79" s="248">
        <f t="shared" si="26"/>
        <v>4389.6844999856821</v>
      </c>
      <c r="AF79" s="248">
        <f t="shared" si="19"/>
        <v>6560.3155000143179</v>
      </c>
      <c r="AG79" s="248">
        <f t="shared" ca="1" si="20"/>
        <v>-519.68449998568212</v>
      </c>
      <c r="AH79" s="248">
        <f t="shared" ca="1" si="21"/>
        <v>-2325.6844999856821</v>
      </c>
      <c r="AI79" s="248">
        <f t="shared" si="27"/>
        <v>3508.0251654666022</v>
      </c>
      <c r="AJ79" s="248">
        <f t="shared" ca="1" si="22"/>
        <v>361.97483453339782</v>
      </c>
      <c r="AK79" s="248">
        <f t="shared" ca="1" si="23"/>
        <v>-1444.0251654666022</v>
      </c>
    </row>
    <row r="80" spans="2:37" ht="15.95" customHeight="1" x14ac:dyDescent="0.25">
      <c r="B80" s="136">
        <v>73</v>
      </c>
      <c r="C80" s="164" t="s">
        <v>1159</v>
      </c>
      <c r="D80" s="182" t="s">
        <v>512</v>
      </c>
      <c r="E80" s="139" t="s">
        <v>42</v>
      </c>
      <c r="F80" s="140" t="s">
        <v>17</v>
      </c>
      <c r="G80" s="140" t="s">
        <v>1076</v>
      </c>
      <c r="H80" s="140" t="s">
        <v>1082</v>
      </c>
      <c r="I80" s="140" t="s">
        <v>459</v>
      </c>
      <c r="J80" s="141" t="s">
        <v>1079</v>
      </c>
      <c r="K80" s="142">
        <v>42228</v>
      </c>
      <c r="L80" s="142">
        <v>42298</v>
      </c>
      <c r="M80" s="134">
        <v>42312</v>
      </c>
      <c r="N80" s="140">
        <v>70</v>
      </c>
      <c r="O80" s="143">
        <v>1500</v>
      </c>
      <c r="P80" s="135" t="s">
        <v>1080</v>
      </c>
      <c r="Q80" s="223" t="s">
        <v>14</v>
      </c>
      <c r="R80" s="223" t="s">
        <v>298</v>
      </c>
      <c r="S80" s="223" t="s">
        <v>17</v>
      </c>
      <c r="T80" s="224" t="str">
        <f t="shared" si="16"/>
        <v>MA</v>
      </c>
      <c r="U80" s="223" t="str">
        <f t="shared" si="17"/>
        <v>MA-NW-Prod</v>
      </c>
      <c r="V80" s="223" t="str">
        <f t="array" ref="V80">CONCATENATE(Q80,"-",R80)</f>
        <v>NW-Prod</v>
      </c>
      <c r="W80" s="239">
        <f>IF(ISERROR(VLOOKUP(T80,'15-16_DP_Tables'!$M$2:$V$8,MATCH(V80,INDEX('15-16_DP_Tables'!$M$2:$V$8,1,0),0),0)),0,VLOOKUP(T80,'15-16_DP_Tables'!$M$2:$V$8,MATCH(V80,INDEX('15-16_DP_Tables'!$M$2:$V$8,1,0),0),0))</f>
        <v>57.083333333332121</v>
      </c>
      <c r="X80" s="239">
        <f t="array" ref="X80">IF(ISERROR(VLOOKUP(T80,'15-16_DP_Tables'!$M$12:$V$18,MATCH(V80,INDEX('15-16_DP_Tables'!$M$12:$V$18,1,0),0),0)),0,VLOOKUP(T80,'15-16_DP_Tables'!$M$12:$V$18,MATCH(V80,INDEX('15-16_DP_Tables'!$M$12:$V$18,1,0),0),0))</f>
        <v>47.791666666664241</v>
      </c>
      <c r="Y80" s="223" t="str">
        <f t="shared" si="18"/>
        <v>Horizontal</v>
      </c>
      <c r="Z80" s="223">
        <v>5</v>
      </c>
      <c r="AA80" s="249" t="e">
        <f>VLOOKUP(T80,'Planning and Target Times'!$A$74:$L$78,MATCH(E80&amp;"-"&amp;Q80&amp;"-"&amp;Y80&amp;"-"&amp;R80,INDEX('Planning and Target Times'!$A$74:$L$78,1,0),0),0)</f>
        <v>#N/A</v>
      </c>
      <c r="AB80" s="249" t="e">
        <f>VLOOKUP(T80,'Planning and Target Times'!$A$97:$L$101,MATCH(E80&amp;"-"&amp;Q80&amp;"-"&amp;Y80&amp;"-"&amp;R80,INDEX('Planning and Target Times'!$A$97:$L$101,1,0),0),0)</f>
        <v>#N/A</v>
      </c>
      <c r="AC80" s="250">
        <f t="shared" si="24"/>
        <v>26.277372262774282</v>
      </c>
      <c r="AD80" s="250">
        <f t="shared" si="25"/>
        <v>31.386224934613622</v>
      </c>
      <c r="AE80" s="248">
        <f t="shared" si="26"/>
        <v>4451.7678333190142</v>
      </c>
      <c r="AF80" s="248">
        <f t="shared" si="19"/>
        <v>6498.2321666809858</v>
      </c>
      <c r="AG80" s="248">
        <f t="shared" ca="1" si="20"/>
        <v>-581.76783331901424</v>
      </c>
      <c r="AH80" s="248">
        <f t="shared" ca="1" si="21"/>
        <v>-2387.7678333190142</v>
      </c>
      <c r="AI80" s="248">
        <f t="shared" si="27"/>
        <v>3560.8168321332664</v>
      </c>
      <c r="AJ80" s="248">
        <f t="shared" ca="1" si="22"/>
        <v>309.18316786673358</v>
      </c>
      <c r="AK80" s="248">
        <f t="shared" ca="1" si="23"/>
        <v>-1496.8168321332664</v>
      </c>
    </row>
    <row r="81" spans="2:37" ht="15.95" customHeight="1" x14ac:dyDescent="0.25">
      <c r="B81" s="136">
        <v>13</v>
      </c>
      <c r="C81" s="152" t="s">
        <v>1094</v>
      </c>
      <c r="D81" s="147" t="s">
        <v>430</v>
      </c>
      <c r="E81" s="150" t="s">
        <v>11</v>
      </c>
      <c r="F81" s="140" t="s">
        <v>17</v>
      </c>
      <c r="G81" s="140" t="s">
        <v>1076</v>
      </c>
      <c r="H81" s="140" t="s">
        <v>1082</v>
      </c>
      <c r="I81" s="140" t="s">
        <v>459</v>
      </c>
      <c r="J81" s="141" t="s">
        <v>1079</v>
      </c>
      <c r="K81" s="142">
        <v>42232</v>
      </c>
      <c r="L81" s="142">
        <v>42302</v>
      </c>
      <c r="M81" s="134">
        <v>42316</v>
      </c>
      <c r="N81" s="140">
        <v>70</v>
      </c>
      <c r="O81" s="143">
        <v>1400</v>
      </c>
      <c r="P81" s="135" t="s">
        <v>1080</v>
      </c>
      <c r="Q81" s="223" t="s">
        <v>14</v>
      </c>
      <c r="R81" s="223" t="s">
        <v>298</v>
      </c>
      <c r="S81" s="223" t="s">
        <v>17</v>
      </c>
      <c r="T81" s="224" t="str">
        <f t="shared" si="16"/>
        <v>MA</v>
      </c>
      <c r="U81" s="223" t="str">
        <f t="shared" si="17"/>
        <v>MA-NW-Prod</v>
      </c>
      <c r="V81" s="223" t="str">
        <f t="array" ref="V81">CONCATENATE(Q81,"-",R81)</f>
        <v>NW-Prod</v>
      </c>
      <c r="W81" s="239">
        <f>IF(ISERROR(VLOOKUP(T81,'15-16_DP_Tables'!$M$2:$V$8,MATCH(V81,INDEX('15-16_DP_Tables'!$M$2:$V$8,1,0),0),0)),0,VLOOKUP(T81,'15-16_DP_Tables'!$M$2:$V$8,MATCH(V81,INDEX('15-16_DP_Tables'!$M$2:$V$8,1,0),0),0))</f>
        <v>57.083333333332121</v>
      </c>
      <c r="X81" s="239">
        <f t="array" ref="X81">IF(ISERROR(VLOOKUP(T81,'15-16_DP_Tables'!$M$12:$V$18,MATCH(V81,INDEX('15-16_DP_Tables'!$M$12:$V$18,1,0),0),0)),0,VLOOKUP(T81,'15-16_DP_Tables'!$M$12:$V$18,MATCH(V81,INDEX('15-16_DP_Tables'!$M$12:$V$18,1,0),0),0))</f>
        <v>47.791666666664241</v>
      </c>
      <c r="Y81" s="223" t="str">
        <f t="shared" si="18"/>
        <v>Horizontal</v>
      </c>
      <c r="Z81" s="223">
        <v>5</v>
      </c>
      <c r="AA81" s="249" t="e">
        <f>VLOOKUP(T81,'Planning and Target Times'!$A$74:$L$78,MATCH(E81&amp;"-"&amp;Q81&amp;"-"&amp;Y81&amp;"-"&amp;R81,INDEX('Planning and Target Times'!$A$74:$L$78,1,0),0),0)</f>
        <v>#N/A</v>
      </c>
      <c r="AB81" s="249" t="e">
        <f>VLOOKUP(T81,'Planning and Target Times'!$A$97:$L$101,MATCH(E81&amp;"-"&amp;Q81&amp;"-"&amp;Y81&amp;"-"&amp;R81,INDEX('Planning and Target Times'!$A$97:$L$101,1,0),0),0)</f>
        <v>#N/A</v>
      </c>
      <c r="AC81" s="250">
        <f t="shared" si="24"/>
        <v>24.525547445255995</v>
      </c>
      <c r="AD81" s="250">
        <f t="shared" si="25"/>
        <v>29.293809938972714</v>
      </c>
      <c r="AE81" s="248">
        <f t="shared" si="26"/>
        <v>4513.8511666523464</v>
      </c>
      <c r="AF81" s="248">
        <f t="shared" si="19"/>
        <v>6436.1488333476536</v>
      </c>
      <c r="AG81" s="248">
        <f t="shared" ca="1" si="20"/>
        <v>-643.85116665234636</v>
      </c>
      <c r="AH81" s="248">
        <f t="shared" ca="1" si="21"/>
        <v>-2449.8511666523464</v>
      </c>
      <c r="AI81" s="248">
        <f t="shared" si="27"/>
        <v>3613.6084987999307</v>
      </c>
      <c r="AJ81" s="248">
        <f t="shared" ca="1" si="22"/>
        <v>256.39150120006934</v>
      </c>
      <c r="AK81" s="248">
        <f t="shared" ca="1" si="23"/>
        <v>-1549.6084987999307</v>
      </c>
    </row>
    <row r="82" spans="2:37" ht="15.95" customHeight="1" x14ac:dyDescent="0.25">
      <c r="B82" s="136">
        <v>39</v>
      </c>
      <c r="C82" s="152" t="s">
        <v>1123</v>
      </c>
      <c r="D82" s="165" t="s">
        <v>1116</v>
      </c>
      <c r="E82" s="150" t="s">
        <v>42</v>
      </c>
      <c r="F82" s="140" t="s">
        <v>17</v>
      </c>
      <c r="G82" s="140" t="s">
        <v>1076</v>
      </c>
      <c r="H82" s="140" t="s">
        <v>1077</v>
      </c>
      <c r="I82" s="140" t="s">
        <v>459</v>
      </c>
      <c r="J82" s="141" t="s">
        <v>1079</v>
      </c>
      <c r="K82" s="142">
        <v>42232</v>
      </c>
      <c r="L82" s="142">
        <v>42288</v>
      </c>
      <c r="M82" s="134">
        <v>42302</v>
      </c>
      <c r="N82" s="140">
        <v>56</v>
      </c>
      <c r="O82" s="143">
        <v>1200</v>
      </c>
      <c r="P82" s="135" t="s">
        <v>1080</v>
      </c>
      <c r="Q82" s="223" t="s">
        <v>18</v>
      </c>
      <c r="R82" s="223" t="s">
        <v>298</v>
      </c>
      <c r="S82" s="223" t="s">
        <v>17</v>
      </c>
      <c r="T82" s="224" t="str">
        <f t="shared" si="16"/>
        <v>MA</v>
      </c>
      <c r="U82" s="223" t="str">
        <f t="shared" si="17"/>
        <v>MA-ST-Prod</v>
      </c>
      <c r="V82" s="223" t="str">
        <f t="array" ref="V82">CONCATENATE(Q82,"-",R82)</f>
        <v>ST-Prod</v>
      </c>
      <c r="W82" s="239">
        <f>IF(ISERROR(VLOOKUP(T82,'15-16_DP_Tables'!$M$2:$V$8,MATCH(V82,INDEX('15-16_DP_Tables'!$M$2:$V$8,1,0),0),0)),0,VLOOKUP(T82,'15-16_DP_Tables'!$M$2:$V$8,MATCH(V82,INDEX('15-16_DP_Tables'!$M$2:$V$8,1,0),0),0))</f>
        <v>47.881547142856107</v>
      </c>
      <c r="X82" s="239">
        <f t="array" ref="X82">IF(ISERROR(VLOOKUP(T82,'15-16_DP_Tables'!$M$12:$V$18,MATCH(V82,INDEX('15-16_DP_Tables'!$M$12:$V$18,1,0),0),0)),0,VLOOKUP(T82,'15-16_DP_Tables'!$M$12:$V$18,MATCH(V82,INDEX('15-16_DP_Tables'!$M$12:$V$18,1,0),0),0))</f>
        <v>41.770833333332121</v>
      </c>
      <c r="Y82" s="223" t="str">
        <f t="shared" si="18"/>
        <v>Horizontal</v>
      </c>
      <c r="Z82" s="223">
        <v>5</v>
      </c>
      <c r="AA82" s="249" t="e">
        <f>VLOOKUP(T82,'Planning and Target Times'!$A$74:$L$78,MATCH(E82&amp;"-"&amp;Q82&amp;"-"&amp;Y82&amp;"-"&amp;R82,INDEX('Planning and Target Times'!$A$74:$L$78,1,0),0),0)</f>
        <v>#N/A</v>
      </c>
      <c r="AB82" s="249" t="e">
        <f>VLOOKUP(T82,'Planning and Target Times'!$A$97:$L$101,MATCH(E82&amp;"-"&amp;Q82&amp;"-"&amp;Y82&amp;"-"&amp;R82,INDEX('Planning and Target Times'!$A$97:$L$101,1,0),0),0)</f>
        <v>#N/A</v>
      </c>
      <c r="AC82" s="250">
        <f t="shared" si="24"/>
        <v>25.061846820023632</v>
      </c>
      <c r="AD82" s="250">
        <f t="shared" si="25"/>
        <v>28.728179551123027</v>
      </c>
      <c r="AE82" s="248">
        <f t="shared" si="26"/>
        <v>4566.7327137952025</v>
      </c>
      <c r="AF82" s="248">
        <f t="shared" si="19"/>
        <v>6383.2672862047975</v>
      </c>
      <c r="AG82" s="248">
        <f t="shared" ca="1" si="20"/>
        <v>-696.73271379520247</v>
      </c>
      <c r="AH82" s="248">
        <f t="shared" ca="1" si="21"/>
        <v>-2502.7327137952025</v>
      </c>
      <c r="AI82" s="248">
        <f t="shared" si="27"/>
        <v>3660.3793321332628</v>
      </c>
      <c r="AJ82" s="248">
        <f t="shared" ca="1" si="22"/>
        <v>209.62066786673722</v>
      </c>
      <c r="AK82" s="248">
        <f t="shared" ca="1" si="23"/>
        <v>-1596.3793321332628</v>
      </c>
    </row>
    <row r="83" spans="2:37" ht="15.95" customHeight="1" x14ac:dyDescent="0.25">
      <c r="B83" s="136">
        <v>49</v>
      </c>
      <c r="C83" s="144" t="s">
        <v>1133</v>
      </c>
      <c r="D83" s="171" t="s">
        <v>1126</v>
      </c>
      <c r="E83" s="139" t="s">
        <v>42</v>
      </c>
      <c r="F83" s="174" t="s">
        <v>22</v>
      </c>
      <c r="G83" s="174" t="s">
        <v>1076</v>
      </c>
      <c r="H83" s="174" t="s">
        <v>1082</v>
      </c>
      <c r="I83" s="174" t="s">
        <v>459</v>
      </c>
      <c r="J83" s="175" t="s">
        <v>1079</v>
      </c>
      <c r="K83" s="142">
        <v>42234</v>
      </c>
      <c r="L83" s="142">
        <v>42304</v>
      </c>
      <c r="M83" s="134">
        <v>42318</v>
      </c>
      <c r="N83" s="174">
        <v>70</v>
      </c>
      <c r="O83" s="176">
        <v>1800</v>
      </c>
      <c r="P83" s="222" t="s">
        <v>1080</v>
      </c>
      <c r="Q83" s="223" t="s">
        <v>14</v>
      </c>
      <c r="R83" s="223" t="s">
        <v>298</v>
      </c>
      <c r="S83" s="223" t="s">
        <v>22</v>
      </c>
      <c r="T83" s="224" t="str">
        <f t="shared" si="16"/>
        <v>LB</v>
      </c>
      <c r="U83" s="223" t="str">
        <f t="shared" si="17"/>
        <v>LB-NW-Prod</v>
      </c>
      <c r="V83" s="223" t="str">
        <f t="array" ref="V83">CONCATENATE(Q83,"-",R83)</f>
        <v>NW-Prod</v>
      </c>
      <c r="W83" s="239">
        <f>IF(ISERROR(VLOOKUP(T83,'15-16_DP_Tables'!$M$2:$V$8,MATCH(V83,INDEX('15-16_DP_Tables'!$M$2:$V$8,1,0),0),0)),0,VLOOKUP(T83,'15-16_DP_Tables'!$M$2:$V$8,MATCH(V83,INDEX('15-16_DP_Tables'!$M$2:$V$8,1,0),0),0))</f>
        <v>55.81537142381022</v>
      </c>
      <c r="X83" s="239">
        <f t="array" ref="X83">IF(ISERROR(VLOOKUP(T83,'15-16_DP_Tables'!$M$12:$V$18,MATCH(V83,INDEX('15-16_DP_Tables'!$M$12:$V$18,1,0),0),0)),0,VLOOKUP(T83,'15-16_DP_Tables'!$M$12:$V$18,MATCH(V83,INDEX('15-16_DP_Tables'!$M$12:$V$18,1,0),0),0))</f>
        <v>45.207999999999998</v>
      </c>
      <c r="Y83" s="223" t="str">
        <f t="shared" si="18"/>
        <v>Unknown</v>
      </c>
      <c r="Z83" s="223">
        <v>5</v>
      </c>
      <c r="AA83" s="249" t="e">
        <f>VLOOKUP(T83,'Planning and Target Times'!$A$74:$L$78,MATCH(E83&amp;"-"&amp;Q83&amp;"-"&amp;Y83&amp;"-"&amp;R83,INDEX('Planning and Target Times'!$A$74:$L$78,1,0),0),0)</f>
        <v>#N/A</v>
      </c>
      <c r="AB83" s="249" t="e">
        <f>VLOOKUP(T83,'Planning and Target Times'!$A$97:$L$101,MATCH(E83&amp;"-"&amp;Q83&amp;"-"&amp;Y83&amp;"-"&amp;R83,INDEX('Planning and Target Times'!$A$97:$L$101,1,0),0),0)</f>
        <v>#N/A</v>
      </c>
      <c r="AC83" s="250">
        <f t="shared" si="24"/>
        <v>32.249180719993198</v>
      </c>
      <c r="AD83" s="250">
        <f t="shared" si="25"/>
        <v>39.815961776676694</v>
      </c>
      <c r="AE83" s="248">
        <f t="shared" si="26"/>
        <v>4627.548085219013</v>
      </c>
      <c r="AF83" s="248">
        <f t="shared" si="19"/>
        <v>6322.451914780987</v>
      </c>
      <c r="AG83" s="248">
        <f t="shared" ca="1" si="20"/>
        <v>-757.54808521901305</v>
      </c>
      <c r="AH83" s="248">
        <f t="shared" ca="1" si="21"/>
        <v>-2563.548085219013</v>
      </c>
      <c r="AI83" s="248">
        <f t="shared" si="27"/>
        <v>3710.5873321332629</v>
      </c>
      <c r="AJ83" s="248">
        <f t="shared" ca="1" si="22"/>
        <v>159.41266786673714</v>
      </c>
      <c r="AK83" s="248">
        <f t="shared" ca="1" si="23"/>
        <v>-1646.5873321332629</v>
      </c>
    </row>
    <row r="84" spans="2:37" ht="15.95" customHeight="1" x14ac:dyDescent="0.25">
      <c r="B84" s="136">
        <v>137</v>
      </c>
      <c r="C84" s="144" t="s">
        <v>1227</v>
      </c>
      <c r="D84" s="156" t="s">
        <v>1226</v>
      </c>
      <c r="E84" s="150" t="s">
        <v>42</v>
      </c>
      <c r="F84" s="140" t="s">
        <v>22</v>
      </c>
      <c r="G84" s="140" t="s">
        <v>1076</v>
      </c>
      <c r="H84" s="140" t="s">
        <v>1082</v>
      </c>
      <c r="I84" s="140" t="s">
        <v>459</v>
      </c>
      <c r="J84" s="141" t="s">
        <v>1079</v>
      </c>
      <c r="K84" s="142">
        <v>42242</v>
      </c>
      <c r="L84" s="142">
        <v>42312</v>
      </c>
      <c r="M84" s="134">
        <v>42326</v>
      </c>
      <c r="N84" s="140">
        <v>70</v>
      </c>
      <c r="O84" s="143">
        <v>1800</v>
      </c>
      <c r="P84" s="135" t="s">
        <v>1096</v>
      </c>
      <c r="Q84" s="223" t="s">
        <v>14</v>
      </c>
      <c r="R84" s="223" t="s">
        <v>298</v>
      </c>
      <c r="S84" s="223" t="s">
        <v>22</v>
      </c>
      <c r="T84" s="224" t="str">
        <f t="shared" si="16"/>
        <v>LB</v>
      </c>
      <c r="U84" s="223" t="str">
        <f t="shared" si="17"/>
        <v>LB-NW-Prod</v>
      </c>
      <c r="V84" s="223" t="str">
        <f t="array" ref="V84">CONCATENATE(Q84,"-",R84)</f>
        <v>NW-Prod</v>
      </c>
      <c r="W84" s="239">
        <f>IF(ISERROR(VLOOKUP(T84,'15-16_DP_Tables'!$M$2:$V$8,MATCH(V84,INDEX('15-16_DP_Tables'!$M$2:$V$8,1,0),0),0)),0,VLOOKUP(T84,'15-16_DP_Tables'!$M$2:$V$8,MATCH(V84,INDEX('15-16_DP_Tables'!$M$2:$V$8,1,0),0),0))</f>
        <v>55.81537142381022</v>
      </c>
      <c r="X84" s="239">
        <f t="array" ref="X84">IF(ISERROR(VLOOKUP(T84,'15-16_DP_Tables'!$M$12:$V$18,MATCH(V84,INDEX('15-16_DP_Tables'!$M$12:$V$18,1,0),0),0)),0,VLOOKUP(T84,'15-16_DP_Tables'!$M$12:$V$18,MATCH(V84,INDEX('15-16_DP_Tables'!$M$12:$V$18,1,0),0),0))</f>
        <v>45.207999999999998</v>
      </c>
      <c r="Y84" s="223" t="str">
        <f t="shared" si="18"/>
        <v>Unknown</v>
      </c>
      <c r="Z84" s="223">
        <v>5</v>
      </c>
      <c r="AA84" s="249" t="e">
        <f>VLOOKUP(T84,'Planning and Target Times'!$A$74:$L$78,MATCH(E84&amp;"-"&amp;Q84&amp;"-"&amp;Y84&amp;"-"&amp;R84,INDEX('Planning and Target Times'!$A$74:$L$78,1,0),0),0)</f>
        <v>#N/A</v>
      </c>
      <c r="AB84" s="249" t="e">
        <f>VLOOKUP(T84,'Planning and Target Times'!$A$97:$L$101,MATCH(E84&amp;"-"&amp;Q84&amp;"-"&amp;Y84&amp;"-"&amp;R84,INDEX('Planning and Target Times'!$A$97:$L$101,1,0),0),0)</f>
        <v>#N/A</v>
      </c>
      <c r="AC84" s="250">
        <f t="shared" si="24"/>
        <v>32.249180719993198</v>
      </c>
      <c r="AD84" s="250">
        <f t="shared" si="25"/>
        <v>39.815961776676694</v>
      </c>
      <c r="AE84" s="248">
        <f t="shared" si="26"/>
        <v>4688.3634566428236</v>
      </c>
      <c r="AF84" s="248">
        <f t="shared" si="19"/>
        <v>6261.6365433571764</v>
      </c>
      <c r="AG84" s="248">
        <f t="shared" ca="1" si="20"/>
        <v>-818.36345664282362</v>
      </c>
      <c r="AH84" s="248">
        <f t="shared" ca="1" si="21"/>
        <v>-2624.3634566428236</v>
      </c>
      <c r="AI84" s="248">
        <f t="shared" si="27"/>
        <v>3760.7953321332629</v>
      </c>
      <c r="AJ84" s="248">
        <f t="shared" ca="1" si="22"/>
        <v>109.20466786673705</v>
      </c>
      <c r="AK84" s="248">
        <f t="shared" ca="1" si="23"/>
        <v>-1696.7953321332629</v>
      </c>
    </row>
    <row r="85" spans="2:37" ht="15.95" customHeight="1" x14ac:dyDescent="0.25">
      <c r="B85" s="136">
        <v>92</v>
      </c>
      <c r="C85" s="144" t="s">
        <v>1179</v>
      </c>
      <c r="D85" s="186" t="s">
        <v>35</v>
      </c>
      <c r="E85" s="150" t="s">
        <v>11</v>
      </c>
      <c r="F85" s="140" t="s">
        <v>17</v>
      </c>
      <c r="G85" s="140" t="s">
        <v>1076</v>
      </c>
      <c r="H85" s="140" t="s">
        <v>1082</v>
      </c>
      <c r="I85" s="140" t="s">
        <v>459</v>
      </c>
      <c r="J85" s="141" t="s">
        <v>1079</v>
      </c>
      <c r="K85" s="142">
        <v>42243</v>
      </c>
      <c r="L85" s="142">
        <v>42313</v>
      </c>
      <c r="M85" s="134">
        <v>42327</v>
      </c>
      <c r="N85" s="140">
        <v>70</v>
      </c>
      <c r="O85" s="143">
        <v>1400</v>
      </c>
      <c r="P85" s="135" t="s">
        <v>1096</v>
      </c>
      <c r="Q85" s="223" t="s">
        <v>14</v>
      </c>
      <c r="R85" s="223" t="s">
        <v>298</v>
      </c>
      <c r="S85" s="223" t="s">
        <v>17</v>
      </c>
      <c r="T85" s="224" t="str">
        <f t="shared" si="16"/>
        <v>MA</v>
      </c>
      <c r="U85" s="223" t="str">
        <f t="shared" si="17"/>
        <v>MA-NW-Prod</v>
      </c>
      <c r="V85" s="223" t="str">
        <f t="array" ref="V85">CONCATENATE(Q85,"-",R85)</f>
        <v>NW-Prod</v>
      </c>
      <c r="W85" s="239">
        <f>IF(ISERROR(VLOOKUP(T85,'15-16_DP_Tables'!$M$2:$V$8,MATCH(V85,INDEX('15-16_DP_Tables'!$M$2:$V$8,1,0),0),0)),0,VLOOKUP(T85,'15-16_DP_Tables'!$M$2:$V$8,MATCH(V85,INDEX('15-16_DP_Tables'!$M$2:$V$8,1,0),0),0))</f>
        <v>57.083333333332121</v>
      </c>
      <c r="X85" s="239">
        <f t="array" ref="X85">IF(ISERROR(VLOOKUP(T85,'15-16_DP_Tables'!$M$12:$V$18,MATCH(V85,INDEX('15-16_DP_Tables'!$M$12:$V$18,1,0),0),0)),0,VLOOKUP(T85,'15-16_DP_Tables'!$M$12:$V$18,MATCH(V85,INDEX('15-16_DP_Tables'!$M$12:$V$18,1,0),0),0))</f>
        <v>47.791666666664241</v>
      </c>
      <c r="Y85" s="223" t="str">
        <f t="shared" si="18"/>
        <v>Unknown</v>
      </c>
      <c r="Z85" s="223">
        <v>5</v>
      </c>
      <c r="AA85" s="249" t="e">
        <f>VLOOKUP(T85,'Planning and Target Times'!$A$74:$L$78,MATCH(E85&amp;"-"&amp;Q85&amp;"-"&amp;Y85&amp;"-"&amp;R85,INDEX('Planning and Target Times'!$A$74:$L$78,1,0),0),0)</f>
        <v>#N/A</v>
      </c>
      <c r="AB85" s="249" t="e">
        <f>VLOOKUP(T85,'Planning and Target Times'!$A$97:$L$101,MATCH(E85&amp;"-"&amp;Q85&amp;"-"&amp;Y85&amp;"-"&amp;R85,INDEX('Planning and Target Times'!$A$97:$L$101,1,0),0),0)</f>
        <v>#N/A</v>
      </c>
      <c r="AC85" s="250">
        <f t="shared" si="24"/>
        <v>24.525547445255995</v>
      </c>
      <c r="AD85" s="250">
        <f t="shared" si="25"/>
        <v>29.293809938972714</v>
      </c>
      <c r="AE85" s="248">
        <f t="shared" si="26"/>
        <v>4750.4467899761557</v>
      </c>
      <c r="AF85" s="248">
        <f t="shared" si="19"/>
        <v>6199.5532100238443</v>
      </c>
      <c r="AG85" s="248">
        <f t="shared" ca="1" si="20"/>
        <v>-880.44678997615574</v>
      </c>
      <c r="AH85" s="248">
        <f t="shared" ca="1" si="21"/>
        <v>-2686.4467899761557</v>
      </c>
      <c r="AI85" s="248">
        <f t="shared" si="27"/>
        <v>3813.5869987999272</v>
      </c>
      <c r="AJ85" s="248">
        <f t="shared" ca="1" si="22"/>
        <v>56.413001200072813</v>
      </c>
      <c r="AK85" s="248">
        <f t="shared" ca="1" si="23"/>
        <v>-1749.5869987999272</v>
      </c>
    </row>
    <row r="86" spans="2:37" ht="15.95" customHeight="1" x14ac:dyDescent="0.25">
      <c r="B86" s="136">
        <v>87</v>
      </c>
      <c r="C86" s="164" t="s">
        <v>1174</v>
      </c>
      <c r="D86" s="165" t="s">
        <v>1171</v>
      </c>
      <c r="E86" s="139" t="s">
        <v>42</v>
      </c>
      <c r="F86" s="140" t="s">
        <v>17</v>
      </c>
      <c r="G86" s="140" t="s">
        <v>1076</v>
      </c>
      <c r="H86" s="140" t="s">
        <v>1082</v>
      </c>
      <c r="I86" s="140" t="s">
        <v>459</v>
      </c>
      <c r="J86" s="141" t="s">
        <v>1079</v>
      </c>
      <c r="K86" s="142">
        <v>42246</v>
      </c>
      <c r="L86" s="142">
        <v>42316</v>
      </c>
      <c r="M86" s="134">
        <v>42330</v>
      </c>
      <c r="N86" s="140">
        <v>70</v>
      </c>
      <c r="O86" s="143">
        <v>1500</v>
      </c>
      <c r="P86" s="143" t="s">
        <v>1080</v>
      </c>
      <c r="Q86" s="223" t="s">
        <v>14</v>
      </c>
      <c r="R86" s="223" t="s">
        <v>298</v>
      </c>
      <c r="S86" s="223" t="s">
        <v>17</v>
      </c>
      <c r="T86" s="224" t="str">
        <f t="shared" si="16"/>
        <v>MA</v>
      </c>
      <c r="U86" s="223" t="str">
        <f t="shared" si="17"/>
        <v>MA-NW-Prod</v>
      </c>
      <c r="V86" s="223" t="str">
        <f t="array" ref="V86">CONCATENATE(Q86,"-",R86)</f>
        <v>NW-Prod</v>
      </c>
      <c r="W86" s="239">
        <f>IF(ISERROR(VLOOKUP(T86,'15-16_DP_Tables'!$M$2:$V$8,MATCH(V86,INDEX('15-16_DP_Tables'!$M$2:$V$8,1,0),0),0)),0,VLOOKUP(T86,'15-16_DP_Tables'!$M$2:$V$8,MATCH(V86,INDEX('15-16_DP_Tables'!$M$2:$V$8,1,0),0),0))</f>
        <v>57.083333333332121</v>
      </c>
      <c r="X86" s="239">
        <f t="array" ref="X86">IF(ISERROR(VLOOKUP(T86,'15-16_DP_Tables'!$M$12:$V$18,MATCH(V86,INDEX('15-16_DP_Tables'!$M$12:$V$18,1,0),0),0)),0,VLOOKUP(T86,'15-16_DP_Tables'!$M$12:$V$18,MATCH(V86,INDEX('15-16_DP_Tables'!$M$12:$V$18,1,0),0),0))</f>
        <v>47.791666666664241</v>
      </c>
      <c r="Y86" s="223" t="str">
        <f t="shared" si="18"/>
        <v>Horizontal</v>
      </c>
      <c r="Z86" s="223">
        <v>5</v>
      </c>
      <c r="AA86" s="249" t="e">
        <f>VLOOKUP(T86,'Planning and Target Times'!$A$74:$L$78,MATCH(E86&amp;"-"&amp;Q86&amp;"-"&amp;Y86&amp;"-"&amp;R86,INDEX('Planning and Target Times'!$A$74:$L$78,1,0),0),0)</f>
        <v>#N/A</v>
      </c>
      <c r="AB86" s="249" t="e">
        <f>VLOOKUP(T86,'Planning and Target Times'!$A$97:$L$101,MATCH(E86&amp;"-"&amp;Q86&amp;"-"&amp;Y86&amp;"-"&amp;R86,INDEX('Planning and Target Times'!$A$97:$L$101,1,0),0),0)</f>
        <v>#N/A</v>
      </c>
      <c r="AC86" s="250">
        <f t="shared" si="24"/>
        <v>26.277372262774282</v>
      </c>
      <c r="AD86" s="250">
        <f t="shared" si="25"/>
        <v>31.386224934613622</v>
      </c>
      <c r="AE86" s="248">
        <f t="shared" si="26"/>
        <v>4812.5301233094879</v>
      </c>
      <c r="AF86" s="248">
        <f t="shared" si="19"/>
        <v>6137.4698766905121</v>
      </c>
      <c r="AG86" s="248">
        <f t="shared" ca="1" si="20"/>
        <v>-942.53012330948786</v>
      </c>
      <c r="AH86" s="248">
        <f t="shared" ca="1" si="21"/>
        <v>-2748.5301233094879</v>
      </c>
      <c r="AI86" s="248">
        <f t="shared" si="27"/>
        <v>3866.3786654665914</v>
      </c>
      <c r="AJ86" s="248">
        <f t="shared" ca="1" si="22"/>
        <v>3.6213345334085716</v>
      </c>
      <c r="AK86" s="248">
        <f t="shared" ca="1" si="23"/>
        <v>-1802.3786654665914</v>
      </c>
    </row>
    <row r="87" spans="2:37" ht="15.95" customHeight="1" x14ac:dyDescent="0.25">
      <c r="B87" s="136">
        <v>151</v>
      </c>
      <c r="C87" s="144" t="s">
        <v>1243</v>
      </c>
      <c r="D87" s="153" t="s">
        <v>1244</v>
      </c>
      <c r="E87" s="150" t="s">
        <v>11</v>
      </c>
      <c r="F87" s="140" t="s">
        <v>22</v>
      </c>
      <c r="G87" s="140" t="s">
        <v>1076</v>
      </c>
      <c r="H87" s="140" t="s">
        <v>1082</v>
      </c>
      <c r="I87" s="140" t="s">
        <v>459</v>
      </c>
      <c r="J87" s="141" t="s">
        <v>1079</v>
      </c>
      <c r="K87" s="142">
        <v>42248</v>
      </c>
      <c r="L87" s="142">
        <v>42318</v>
      </c>
      <c r="M87" s="134">
        <v>42332</v>
      </c>
      <c r="N87" s="140">
        <v>70</v>
      </c>
      <c r="O87" s="143">
        <v>1200</v>
      </c>
      <c r="P87" s="143" t="s">
        <v>1080</v>
      </c>
      <c r="Q87" s="223" t="s">
        <v>14</v>
      </c>
      <c r="R87" s="223" t="s">
        <v>298</v>
      </c>
      <c r="S87" s="223" t="s">
        <v>22</v>
      </c>
      <c r="T87" s="224" t="str">
        <f t="shared" si="16"/>
        <v>LB</v>
      </c>
      <c r="U87" s="223" t="str">
        <f t="shared" si="17"/>
        <v>LB-NW-Prod</v>
      </c>
      <c r="V87" s="223" t="str">
        <f t="array" ref="V87">CONCATENATE(Q87,"-",R87)</f>
        <v>NW-Prod</v>
      </c>
      <c r="W87" s="239">
        <f>IF(ISERROR(VLOOKUP(T87,'15-16_DP_Tables'!$M$2:$V$8,MATCH(V87,INDEX('15-16_DP_Tables'!$M$2:$V$8,1,0),0),0)),0,VLOOKUP(T87,'15-16_DP_Tables'!$M$2:$V$8,MATCH(V87,INDEX('15-16_DP_Tables'!$M$2:$V$8,1,0),0),0))</f>
        <v>55.81537142381022</v>
      </c>
      <c r="X87" s="239">
        <f t="array" ref="X87">IF(ISERROR(VLOOKUP(T87,'15-16_DP_Tables'!$M$12:$V$18,MATCH(V87,INDEX('15-16_DP_Tables'!$M$12:$V$18,1,0),0),0)),0,VLOOKUP(T87,'15-16_DP_Tables'!$M$12:$V$18,MATCH(V87,INDEX('15-16_DP_Tables'!$M$12:$V$18,1,0),0),0))</f>
        <v>45.207999999999998</v>
      </c>
      <c r="Y87" s="223" t="str">
        <f t="shared" si="18"/>
        <v>Horizontal</v>
      </c>
      <c r="Z87" s="223">
        <v>5</v>
      </c>
      <c r="AA87" s="249" t="e">
        <f>VLOOKUP(T87,'Planning and Target Times'!$A$74:$L$78,MATCH(E87&amp;"-"&amp;Q87&amp;"-"&amp;Y87&amp;"-"&amp;R87,INDEX('Planning and Target Times'!$A$74:$L$78,1,0),0),0)</f>
        <v>#N/A</v>
      </c>
      <c r="AB87" s="249" t="e">
        <f>VLOOKUP(T87,'Planning and Target Times'!$A$97:$L$101,MATCH(E87&amp;"-"&amp;Q87&amp;"-"&amp;Y87&amp;"-"&amp;R87,INDEX('Planning and Target Times'!$A$97:$L$101,1,0),0),0)</f>
        <v>#N/A</v>
      </c>
      <c r="AC87" s="250">
        <f t="shared" si="24"/>
        <v>21.499453813328802</v>
      </c>
      <c r="AD87" s="250">
        <f t="shared" si="25"/>
        <v>26.543974517784463</v>
      </c>
      <c r="AE87" s="248">
        <f t="shared" si="26"/>
        <v>4873.3454947332984</v>
      </c>
      <c r="AF87" s="248">
        <f t="shared" si="19"/>
        <v>6076.6545052667016</v>
      </c>
      <c r="AG87" s="248">
        <f t="shared" ca="1" si="20"/>
        <v>-1003.3454947332984</v>
      </c>
      <c r="AH87" s="248">
        <f t="shared" ca="1" si="21"/>
        <v>-2809.3454947332984</v>
      </c>
      <c r="AI87" s="248">
        <f t="shared" si="27"/>
        <v>3916.5866654665915</v>
      </c>
      <c r="AJ87" s="248">
        <f t="shared" ca="1" si="22"/>
        <v>-46.586665466591512</v>
      </c>
      <c r="AK87" s="248">
        <f t="shared" ca="1" si="23"/>
        <v>-1852.5866654665915</v>
      </c>
    </row>
    <row r="88" spans="2:37" ht="15.95" customHeight="1" x14ac:dyDescent="0.25">
      <c r="B88" s="136">
        <v>154</v>
      </c>
      <c r="C88" s="144" t="s">
        <v>1247</v>
      </c>
      <c r="D88" s="195" t="s">
        <v>1248</v>
      </c>
      <c r="E88" s="150" t="s">
        <v>11</v>
      </c>
      <c r="F88" s="140" t="s">
        <v>17</v>
      </c>
      <c r="G88" s="140" t="s">
        <v>1076</v>
      </c>
      <c r="H88" s="140" t="s">
        <v>1082</v>
      </c>
      <c r="I88" s="140" t="s">
        <v>459</v>
      </c>
      <c r="J88" s="141" t="s">
        <v>1079</v>
      </c>
      <c r="K88" s="142">
        <v>42248</v>
      </c>
      <c r="L88" s="142">
        <v>42318</v>
      </c>
      <c r="M88" s="134">
        <v>42332</v>
      </c>
      <c r="N88" s="140">
        <v>70</v>
      </c>
      <c r="O88" s="143">
        <v>1400</v>
      </c>
      <c r="P88" s="135" t="s">
        <v>1080</v>
      </c>
      <c r="Q88" s="223" t="s">
        <v>14</v>
      </c>
      <c r="R88" s="223" t="s">
        <v>298</v>
      </c>
      <c r="S88" s="223" t="s">
        <v>17</v>
      </c>
      <c r="T88" s="224" t="str">
        <f t="shared" si="16"/>
        <v>MA</v>
      </c>
      <c r="U88" s="223" t="str">
        <f t="shared" si="17"/>
        <v>MA-NW-Prod</v>
      </c>
      <c r="V88" s="223" t="str">
        <f t="array" ref="V88">CONCATENATE(Q88,"-",R88)</f>
        <v>NW-Prod</v>
      </c>
      <c r="W88" s="239">
        <f>IF(ISERROR(VLOOKUP(T88,'15-16_DP_Tables'!$M$2:$V$8,MATCH(V88,INDEX('15-16_DP_Tables'!$M$2:$V$8,1,0),0),0)),0,VLOOKUP(T88,'15-16_DP_Tables'!$M$2:$V$8,MATCH(V88,INDEX('15-16_DP_Tables'!$M$2:$V$8,1,0),0),0))</f>
        <v>57.083333333332121</v>
      </c>
      <c r="X88" s="239">
        <f t="array" ref="X88">IF(ISERROR(VLOOKUP(T88,'15-16_DP_Tables'!$M$12:$V$18,MATCH(V88,INDEX('15-16_DP_Tables'!$M$12:$V$18,1,0),0),0)),0,VLOOKUP(T88,'15-16_DP_Tables'!$M$12:$V$18,MATCH(V88,INDEX('15-16_DP_Tables'!$M$12:$V$18,1,0),0),0))</f>
        <v>47.791666666664241</v>
      </c>
      <c r="Y88" s="223" t="str">
        <f t="shared" si="18"/>
        <v>Horizontal</v>
      </c>
      <c r="Z88" s="223">
        <v>5</v>
      </c>
      <c r="AA88" s="249" t="e">
        <f>VLOOKUP(T88,'Planning and Target Times'!$A$74:$L$78,MATCH(E88&amp;"-"&amp;Q88&amp;"-"&amp;Y88&amp;"-"&amp;R88,INDEX('Planning and Target Times'!$A$74:$L$78,1,0),0),0)</f>
        <v>#N/A</v>
      </c>
      <c r="AB88" s="249" t="e">
        <f>VLOOKUP(T88,'Planning and Target Times'!$A$97:$L$101,MATCH(E88&amp;"-"&amp;Q88&amp;"-"&amp;Y88&amp;"-"&amp;R88,INDEX('Planning and Target Times'!$A$97:$L$101,1,0),0),0)</f>
        <v>#N/A</v>
      </c>
      <c r="AC88" s="250">
        <f t="shared" si="24"/>
        <v>24.525547445255995</v>
      </c>
      <c r="AD88" s="250">
        <f t="shared" si="25"/>
        <v>29.293809938972714</v>
      </c>
      <c r="AE88" s="248">
        <f t="shared" si="26"/>
        <v>4935.4288280666306</v>
      </c>
      <c r="AF88" s="248">
        <f t="shared" si="19"/>
        <v>6014.5711719333694</v>
      </c>
      <c r="AG88" s="248">
        <f t="shared" ca="1" si="20"/>
        <v>-1065.4288280666306</v>
      </c>
      <c r="AH88" s="248">
        <f t="shared" ca="1" si="21"/>
        <v>-2871.4288280666306</v>
      </c>
      <c r="AI88" s="248">
        <f t="shared" si="27"/>
        <v>3969.3783321332558</v>
      </c>
      <c r="AJ88" s="248">
        <f t="shared" ca="1" si="22"/>
        <v>-99.378332133255753</v>
      </c>
      <c r="AK88" s="248">
        <f t="shared" ca="1" si="23"/>
        <v>-1905.3783321332558</v>
      </c>
    </row>
    <row r="89" spans="2:37" ht="15.95" customHeight="1" x14ac:dyDescent="0.25">
      <c r="B89" s="136">
        <v>156</v>
      </c>
      <c r="C89" s="144" t="s">
        <v>1250</v>
      </c>
      <c r="D89" s="196" t="s">
        <v>1251</v>
      </c>
      <c r="E89" s="150" t="s">
        <v>11</v>
      </c>
      <c r="F89" s="140" t="s">
        <v>22</v>
      </c>
      <c r="G89" s="140" t="s">
        <v>1076</v>
      </c>
      <c r="H89" s="140" t="s">
        <v>1082</v>
      </c>
      <c r="I89" s="140" t="s">
        <v>459</v>
      </c>
      <c r="J89" s="141" t="s">
        <v>1079</v>
      </c>
      <c r="K89" s="142">
        <v>42248</v>
      </c>
      <c r="L89" s="142">
        <v>42318</v>
      </c>
      <c r="M89" s="134">
        <v>42332</v>
      </c>
      <c r="N89" s="140">
        <v>70</v>
      </c>
      <c r="O89" s="143">
        <v>1200</v>
      </c>
      <c r="P89" s="135" t="s">
        <v>1080</v>
      </c>
      <c r="Q89" s="223" t="s">
        <v>14</v>
      </c>
      <c r="R89" s="223" t="s">
        <v>298</v>
      </c>
      <c r="S89" s="223" t="s">
        <v>22</v>
      </c>
      <c r="T89" s="224" t="str">
        <f t="shared" si="16"/>
        <v>LB</v>
      </c>
      <c r="U89" s="223" t="str">
        <f t="shared" si="17"/>
        <v>LB-NW-Prod</v>
      </c>
      <c r="V89" s="223" t="str">
        <f t="array" ref="V89">CONCATENATE(Q89,"-",R89)</f>
        <v>NW-Prod</v>
      </c>
      <c r="W89" s="239">
        <f>IF(ISERROR(VLOOKUP(T89,'15-16_DP_Tables'!$M$2:$V$8,MATCH(V89,INDEX('15-16_DP_Tables'!$M$2:$V$8,1,0),0),0)),0,VLOOKUP(T89,'15-16_DP_Tables'!$M$2:$V$8,MATCH(V89,INDEX('15-16_DP_Tables'!$M$2:$V$8,1,0),0),0))</f>
        <v>55.81537142381022</v>
      </c>
      <c r="X89" s="239">
        <f t="array" ref="X89">IF(ISERROR(VLOOKUP(T89,'15-16_DP_Tables'!$M$12:$V$18,MATCH(V89,INDEX('15-16_DP_Tables'!$M$12:$V$18,1,0),0),0)),0,VLOOKUP(T89,'15-16_DP_Tables'!$M$12:$V$18,MATCH(V89,INDEX('15-16_DP_Tables'!$M$12:$V$18,1,0),0),0))</f>
        <v>45.207999999999998</v>
      </c>
      <c r="Y89" s="223" t="str">
        <f t="shared" si="18"/>
        <v>Horizontal</v>
      </c>
      <c r="Z89" s="223">
        <v>5</v>
      </c>
      <c r="AA89" s="249" t="e">
        <f>VLOOKUP(T89,'Planning and Target Times'!$A$74:$L$78,MATCH(E89&amp;"-"&amp;Q89&amp;"-"&amp;Y89&amp;"-"&amp;R89,INDEX('Planning and Target Times'!$A$74:$L$78,1,0),0),0)</f>
        <v>#N/A</v>
      </c>
      <c r="AB89" s="249" t="e">
        <f>VLOOKUP(T89,'Planning and Target Times'!$A$97:$L$101,MATCH(E89&amp;"-"&amp;Q89&amp;"-"&amp;Y89&amp;"-"&amp;R89,INDEX('Planning and Target Times'!$A$97:$L$101,1,0),0),0)</f>
        <v>#N/A</v>
      </c>
      <c r="AC89" s="250">
        <f t="shared" si="24"/>
        <v>21.499453813328802</v>
      </c>
      <c r="AD89" s="250">
        <f t="shared" si="25"/>
        <v>26.543974517784463</v>
      </c>
      <c r="AE89" s="248">
        <f t="shared" si="26"/>
        <v>4996.2441994904411</v>
      </c>
      <c r="AF89" s="248">
        <f t="shared" si="19"/>
        <v>5953.7558005095589</v>
      </c>
      <c r="AG89" s="248">
        <f t="shared" ca="1" si="20"/>
        <v>-1126.2441994904411</v>
      </c>
      <c r="AH89" s="248">
        <f t="shared" ca="1" si="21"/>
        <v>-2932.2441994904411</v>
      </c>
      <c r="AI89" s="248">
        <f t="shared" si="27"/>
        <v>4019.5863321332558</v>
      </c>
      <c r="AJ89" s="248">
        <f t="shared" ca="1" si="22"/>
        <v>-149.58633213325584</v>
      </c>
      <c r="AK89" s="248">
        <f t="shared" ca="1" si="23"/>
        <v>-1955.5863321332558</v>
      </c>
    </row>
    <row r="90" spans="2:37" ht="15.95" customHeight="1" x14ac:dyDescent="0.25">
      <c r="B90" s="136">
        <v>159</v>
      </c>
      <c r="C90" s="144" t="s">
        <v>1254</v>
      </c>
      <c r="D90" s="193" t="s">
        <v>1255</v>
      </c>
      <c r="E90" s="150" t="s">
        <v>42</v>
      </c>
      <c r="F90" s="140" t="s">
        <v>22</v>
      </c>
      <c r="G90" s="140" t="s">
        <v>1076</v>
      </c>
      <c r="H90" s="140" t="s">
        <v>1082</v>
      </c>
      <c r="I90" s="140" t="s">
        <v>459</v>
      </c>
      <c r="J90" s="141" t="s">
        <v>1079</v>
      </c>
      <c r="K90" s="142">
        <v>42248</v>
      </c>
      <c r="L90" s="142">
        <v>42318</v>
      </c>
      <c r="M90" s="134">
        <v>42332</v>
      </c>
      <c r="N90" s="140">
        <v>70</v>
      </c>
      <c r="O90" s="143">
        <v>1800</v>
      </c>
      <c r="P90" s="135" t="s">
        <v>1080</v>
      </c>
      <c r="Q90" s="223" t="s">
        <v>14</v>
      </c>
      <c r="R90" s="223" t="s">
        <v>298</v>
      </c>
      <c r="S90" s="223" t="s">
        <v>22</v>
      </c>
      <c r="T90" s="224" t="str">
        <f t="shared" si="16"/>
        <v>LB</v>
      </c>
      <c r="U90" s="223" t="str">
        <f t="shared" si="17"/>
        <v>LB-NW-Prod</v>
      </c>
      <c r="V90" s="223" t="str">
        <f t="array" ref="V90">CONCATENATE(Q90,"-",R90)</f>
        <v>NW-Prod</v>
      </c>
      <c r="W90" s="239">
        <f>IF(ISERROR(VLOOKUP(T90,'15-16_DP_Tables'!$M$2:$V$8,MATCH(V90,INDEX('15-16_DP_Tables'!$M$2:$V$8,1,0),0),0)),0,VLOOKUP(T90,'15-16_DP_Tables'!$M$2:$V$8,MATCH(V90,INDEX('15-16_DP_Tables'!$M$2:$V$8,1,0),0),0))</f>
        <v>55.81537142381022</v>
      </c>
      <c r="X90" s="239">
        <f t="array" ref="X90">IF(ISERROR(VLOOKUP(T90,'15-16_DP_Tables'!$M$12:$V$18,MATCH(V90,INDEX('15-16_DP_Tables'!$M$12:$V$18,1,0),0),0)),0,VLOOKUP(T90,'15-16_DP_Tables'!$M$12:$V$18,MATCH(V90,INDEX('15-16_DP_Tables'!$M$12:$V$18,1,0),0),0))</f>
        <v>45.207999999999998</v>
      </c>
      <c r="Y90" s="223" t="str">
        <f t="shared" si="18"/>
        <v>Horizontal</v>
      </c>
      <c r="Z90" s="223">
        <v>5</v>
      </c>
      <c r="AA90" s="249" t="e">
        <f>VLOOKUP(T90,'Planning and Target Times'!$A$74:$L$78,MATCH(E90&amp;"-"&amp;Q90&amp;"-"&amp;Y90&amp;"-"&amp;R90,INDEX('Planning and Target Times'!$A$74:$L$78,1,0),0),0)</f>
        <v>#N/A</v>
      </c>
      <c r="AB90" s="249" t="e">
        <f>VLOOKUP(T90,'Planning and Target Times'!$A$97:$L$101,MATCH(E90&amp;"-"&amp;Q90&amp;"-"&amp;Y90&amp;"-"&amp;R90,INDEX('Planning and Target Times'!$A$97:$L$101,1,0),0),0)</f>
        <v>#N/A</v>
      </c>
      <c r="AC90" s="250">
        <f t="shared" si="24"/>
        <v>32.249180719993198</v>
      </c>
      <c r="AD90" s="250">
        <f t="shared" si="25"/>
        <v>39.815961776676694</v>
      </c>
      <c r="AE90" s="248">
        <f t="shared" si="26"/>
        <v>5057.0595709142517</v>
      </c>
      <c r="AF90" s="248">
        <f t="shared" si="19"/>
        <v>5892.9404290857483</v>
      </c>
      <c r="AG90" s="248">
        <f t="shared" ca="1" si="20"/>
        <v>-1187.0595709142517</v>
      </c>
      <c r="AH90" s="248">
        <f t="shared" ca="1" si="21"/>
        <v>-2993.0595709142517</v>
      </c>
      <c r="AI90" s="248">
        <f t="shared" si="27"/>
        <v>4069.7943321332559</v>
      </c>
      <c r="AJ90" s="248">
        <f t="shared" ca="1" si="22"/>
        <v>-199.79433213325592</v>
      </c>
      <c r="AK90" s="248">
        <f t="shared" ca="1" si="23"/>
        <v>-2005.7943321332559</v>
      </c>
    </row>
    <row r="91" spans="2:37" ht="15.95" customHeight="1" x14ac:dyDescent="0.25">
      <c r="B91" s="136">
        <v>162</v>
      </c>
      <c r="C91" s="144" t="s">
        <v>1258</v>
      </c>
      <c r="D91" s="197" t="s">
        <v>1259</v>
      </c>
      <c r="E91" s="150" t="s">
        <v>42</v>
      </c>
      <c r="F91" s="140" t="s">
        <v>17</v>
      </c>
      <c r="G91" s="140" t="s">
        <v>1086</v>
      </c>
      <c r="H91" s="140" t="s">
        <v>1082</v>
      </c>
      <c r="I91" s="140" t="s">
        <v>459</v>
      </c>
      <c r="J91" s="141" t="s">
        <v>1079</v>
      </c>
      <c r="K91" s="142">
        <v>42248</v>
      </c>
      <c r="L91" s="142">
        <v>42311</v>
      </c>
      <c r="M91" s="134">
        <v>42325</v>
      </c>
      <c r="N91" s="140">
        <v>63</v>
      </c>
      <c r="O91" s="143"/>
      <c r="P91" s="135" t="s">
        <v>1080</v>
      </c>
      <c r="Q91" s="223" t="s">
        <v>14</v>
      </c>
      <c r="R91" s="223" t="s">
        <v>34</v>
      </c>
      <c r="S91" s="223" t="s">
        <v>17</v>
      </c>
      <c r="T91" s="224" t="str">
        <f t="shared" si="16"/>
        <v>MA</v>
      </c>
      <c r="U91" s="223" t="str">
        <f t="shared" si="17"/>
        <v>MA-NW-Inj</v>
      </c>
      <c r="V91" s="223" t="str">
        <f t="array" ref="V91">CONCATENATE(Q91,"-",R91)</f>
        <v>NW-Inj</v>
      </c>
      <c r="W91" s="239">
        <f>IF(ISERROR(VLOOKUP(T91,'15-16_DP_Tables'!$M$2:$V$8,MATCH(V91,INDEX('15-16_DP_Tables'!$M$2:$V$8,1,0),0),0)),0,VLOOKUP(T91,'15-16_DP_Tables'!$M$2:$V$8,MATCH(V91,INDEX('15-16_DP_Tables'!$M$2:$V$8,1,0),0),0))</f>
        <v>0</v>
      </c>
      <c r="X91" s="239">
        <f t="array" ref="X91">IF(ISERROR(VLOOKUP(T91,'15-16_DP_Tables'!$M$12:$V$18,MATCH(V91,INDEX('15-16_DP_Tables'!$M$12:$V$18,1,0),0),0)),0,VLOOKUP(T91,'15-16_DP_Tables'!$M$12:$V$18,MATCH(V91,INDEX('15-16_DP_Tables'!$M$12:$V$18,1,0),0),0))</f>
        <v>0</v>
      </c>
      <c r="Y91" s="223" t="str">
        <f t="shared" si="18"/>
        <v>Horizontal</v>
      </c>
      <c r="Z91" s="223">
        <v>5</v>
      </c>
      <c r="AA91" s="249" t="e">
        <f>VLOOKUP(T91,'Planning and Target Times'!$A$74:$L$78,MATCH(E91&amp;"-"&amp;Q91&amp;"-"&amp;Y91&amp;"-"&amp;R91,INDEX('Planning and Target Times'!$A$74:$L$78,1,0),0),0)</f>
        <v>#N/A</v>
      </c>
      <c r="AB91" s="249" t="e">
        <f>VLOOKUP(T91,'Planning and Target Times'!$A$97:$L$101,MATCH(E91&amp;"-"&amp;Q91&amp;"-"&amp;Y91&amp;"-"&amp;R91,INDEX('Planning and Target Times'!$A$97:$L$101,1,0),0),0)</f>
        <v>#N/A</v>
      </c>
      <c r="AC91" s="250">
        <f t="shared" si="24"/>
        <v>0</v>
      </c>
      <c r="AD91" s="250">
        <f t="shared" si="25"/>
        <v>0</v>
      </c>
      <c r="AE91" s="248">
        <f t="shared" si="26"/>
        <v>5062.0595709142517</v>
      </c>
      <c r="AF91" s="248">
        <f t="shared" si="19"/>
        <v>5887.9404290857483</v>
      </c>
      <c r="AG91" s="248">
        <f t="shared" ca="1" si="20"/>
        <v>-1192.0595709142517</v>
      </c>
      <c r="AH91" s="248">
        <f t="shared" ca="1" si="21"/>
        <v>-2998.0595709142517</v>
      </c>
      <c r="AI91" s="248">
        <f t="shared" si="27"/>
        <v>4074.7943321332559</v>
      </c>
      <c r="AJ91" s="248">
        <f t="shared" ca="1" si="22"/>
        <v>-204.79433213325592</v>
      </c>
      <c r="AK91" s="248">
        <f t="shared" ca="1" si="23"/>
        <v>-2010.7943321332559</v>
      </c>
    </row>
    <row r="92" spans="2:37" ht="15.95" customHeight="1" x14ac:dyDescent="0.25">
      <c r="B92" s="136">
        <v>166</v>
      </c>
      <c r="C92" s="144" t="s">
        <v>1263</v>
      </c>
      <c r="D92" s="198" t="s">
        <v>1264</v>
      </c>
      <c r="E92" s="150" t="s">
        <v>11</v>
      </c>
      <c r="F92" s="140" t="s">
        <v>22</v>
      </c>
      <c r="G92" s="140" t="s">
        <v>1076</v>
      </c>
      <c r="H92" s="140" t="s">
        <v>1082</v>
      </c>
      <c r="I92" s="140" t="s">
        <v>459</v>
      </c>
      <c r="J92" s="141" t="s">
        <v>1079</v>
      </c>
      <c r="K92" s="142">
        <v>42248</v>
      </c>
      <c r="L92" s="142">
        <v>42318</v>
      </c>
      <c r="M92" s="134">
        <v>42332</v>
      </c>
      <c r="N92" s="140">
        <v>70</v>
      </c>
      <c r="O92" s="143">
        <v>1200</v>
      </c>
      <c r="P92" s="143" t="s">
        <v>1080</v>
      </c>
      <c r="Q92" s="223" t="s">
        <v>14</v>
      </c>
      <c r="R92" s="223" t="s">
        <v>298</v>
      </c>
      <c r="S92" s="223" t="s">
        <v>22</v>
      </c>
      <c r="T92" s="224" t="str">
        <f t="shared" si="16"/>
        <v>LB</v>
      </c>
      <c r="U92" s="223" t="str">
        <f t="shared" si="17"/>
        <v>LB-NW-Prod</v>
      </c>
      <c r="V92" s="223" t="str">
        <f t="array" ref="V92">CONCATENATE(Q92,"-",R92)</f>
        <v>NW-Prod</v>
      </c>
      <c r="W92" s="239">
        <f>IF(ISERROR(VLOOKUP(T92,'15-16_DP_Tables'!$M$2:$V$8,MATCH(V92,INDEX('15-16_DP_Tables'!$M$2:$V$8,1,0),0),0)),0,VLOOKUP(T92,'15-16_DP_Tables'!$M$2:$V$8,MATCH(V92,INDEX('15-16_DP_Tables'!$M$2:$V$8,1,0),0),0))</f>
        <v>55.81537142381022</v>
      </c>
      <c r="X92" s="239">
        <f t="array" ref="X92">IF(ISERROR(VLOOKUP(T92,'15-16_DP_Tables'!$M$12:$V$18,MATCH(V92,INDEX('15-16_DP_Tables'!$M$12:$V$18,1,0),0),0)),0,VLOOKUP(T92,'15-16_DP_Tables'!$M$12:$V$18,MATCH(V92,INDEX('15-16_DP_Tables'!$M$12:$V$18,1,0),0),0))</f>
        <v>45.207999999999998</v>
      </c>
      <c r="Y92" s="223" t="str">
        <f t="shared" si="18"/>
        <v>Horizontal</v>
      </c>
      <c r="Z92" s="223">
        <v>5</v>
      </c>
      <c r="AA92" s="249" t="e">
        <f>VLOOKUP(T92,'Planning and Target Times'!$A$74:$L$78,MATCH(E92&amp;"-"&amp;Q92&amp;"-"&amp;Y92&amp;"-"&amp;R92,INDEX('Planning and Target Times'!$A$74:$L$78,1,0),0),0)</f>
        <v>#N/A</v>
      </c>
      <c r="AB92" s="249" t="e">
        <f>VLOOKUP(T92,'Planning and Target Times'!$A$97:$L$101,MATCH(E92&amp;"-"&amp;Q92&amp;"-"&amp;Y92&amp;"-"&amp;R92,INDEX('Planning and Target Times'!$A$97:$L$101,1,0),0),0)</f>
        <v>#N/A</v>
      </c>
      <c r="AC92" s="250">
        <f t="shared" si="24"/>
        <v>21.499453813328802</v>
      </c>
      <c r="AD92" s="250">
        <f t="shared" si="25"/>
        <v>26.543974517784463</v>
      </c>
      <c r="AE92" s="248">
        <f t="shared" si="26"/>
        <v>5122.8749423380623</v>
      </c>
      <c r="AF92" s="248">
        <f t="shared" si="19"/>
        <v>5827.1250576619377</v>
      </c>
      <c r="AG92" s="248">
        <f t="shared" ca="1" si="20"/>
        <v>-1252.8749423380623</v>
      </c>
      <c r="AH92" s="248">
        <f t="shared" ca="1" si="21"/>
        <v>-3058.8749423380623</v>
      </c>
      <c r="AI92" s="248">
        <f t="shared" si="27"/>
        <v>4125.0023321332555</v>
      </c>
      <c r="AJ92" s="248">
        <f t="shared" ca="1" si="22"/>
        <v>-255.00233213325555</v>
      </c>
      <c r="AK92" s="248">
        <f t="shared" ca="1" si="23"/>
        <v>-2061.0023321332555</v>
      </c>
    </row>
    <row r="93" spans="2:37" ht="15.95" customHeight="1" x14ac:dyDescent="0.25">
      <c r="B93" s="136">
        <v>169</v>
      </c>
      <c r="C93" s="144" t="s">
        <v>1267</v>
      </c>
      <c r="D93" s="184" t="s">
        <v>1268</v>
      </c>
      <c r="E93" s="150" t="s">
        <v>11</v>
      </c>
      <c r="F93" s="140" t="s">
        <v>17</v>
      </c>
      <c r="G93" s="140" t="s">
        <v>1076</v>
      </c>
      <c r="H93" s="140" t="s">
        <v>1082</v>
      </c>
      <c r="I93" s="140" t="s">
        <v>459</v>
      </c>
      <c r="J93" s="141" t="s">
        <v>1079</v>
      </c>
      <c r="K93" s="142">
        <v>42248</v>
      </c>
      <c r="L93" s="142">
        <v>42318</v>
      </c>
      <c r="M93" s="134">
        <v>42332</v>
      </c>
      <c r="N93" s="140">
        <v>70</v>
      </c>
      <c r="O93" s="143">
        <v>1400</v>
      </c>
      <c r="P93" s="135" t="s">
        <v>1080</v>
      </c>
      <c r="Q93" s="223" t="s">
        <v>14</v>
      </c>
      <c r="R93" s="223" t="s">
        <v>298</v>
      </c>
      <c r="S93" s="223" t="s">
        <v>17</v>
      </c>
      <c r="T93" s="224" t="str">
        <f t="shared" si="16"/>
        <v>MA</v>
      </c>
      <c r="U93" s="223" t="str">
        <f t="shared" si="17"/>
        <v>MA-NW-Prod</v>
      </c>
      <c r="V93" s="223" t="str">
        <f t="array" ref="V93">CONCATENATE(Q93,"-",R93)</f>
        <v>NW-Prod</v>
      </c>
      <c r="W93" s="239">
        <f>IF(ISERROR(VLOOKUP(T93,'15-16_DP_Tables'!$M$2:$V$8,MATCH(V93,INDEX('15-16_DP_Tables'!$M$2:$V$8,1,0),0),0)),0,VLOOKUP(T93,'15-16_DP_Tables'!$M$2:$V$8,MATCH(V93,INDEX('15-16_DP_Tables'!$M$2:$V$8,1,0),0),0))</f>
        <v>57.083333333332121</v>
      </c>
      <c r="X93" s="239">
        <f t="array" ref="X93">IF(ISERROR(VLOOKUP(T93,'15-16_DP_Tables'!$M$12:$V$18,MATCH(V93,INDEX('15-16_DP_Tables'!$M$12:$V$18,1,0),0),0)),0,VLOOKUP(T93,'15-16_DP_Tables'!$M$12:$V$18,MATCH(V93,INDEX('15-16_DP_Tables'!$M$12:$V$18,1,0),0),0))</f>
        <v>47.791666666664241</v>
      </c>
      <c r="Y93" s="223" t="str">
        <f t="shared" si="18"/>
        <v>Horizontal</v>
      </c>
      <c r="Z93" s="223">
        <v>5</v>
      </c>
      <c r="AA93" s="249" t="e">
        <f>VLOOKUP(T93,'Planning and Target Times'!$A$74:$L$78,MATCH(E93&amp;"-"&amp;Q93&amp;"-"&amp;Y93&amp;"-"&amp;R93,INDEX('Planning and Target Times'!$A$74:$L$78,1,0),0),0)</f>
        <v>#N/A</v>
      </c>
      <c r="AB93" s="249" t="e">
        <f>VLOOKUP(T93,'Planning and Target Times'!$A$97:$L$101,MATCH(E93&amp;"-"&amp;Q93&amp;"-"&amp;Y93&amp;"-"&amp;R93,INDEX('Planning and Target Times'!$A$97:$L$101,1,0),0),0)</f>
        <v>#N/A</v>
      </c>
      <c r="AC93" s="250">
        <f t="shared" si="24"/>
        <v>24.525547445255995</v>
      </c>
      <c r="AD93" s="250">
        <f t="shared" si="25"/>
        <v>29.293809938972714</v>
      </c>
      <c r="AE93" s="248">
        <f t="shared" si="26"/>
        <v>5184.9582756713944</v>
      </c>
      <c r="AF93" s="248">
        <f t="shared" si="19"/>
        <v>5765.0417243286056</v>
      </c>
      <c r="AG93" s="248">
        <f t="shared" ca="1" si="20"/>
        <v>-1314.9582756713944</v>
      </c>
      <c r="AH93" s="248">
        <f t="shared" ca="1" si="21"/>
        <v>-3120.9582756713944</v>
      </c>
      <c r="AI93" s="248">
        <f t="shared" si="27"/>
        <v>4177.7939987999198</v>
      </c>
      <c r="AJ93" s="248">
        <f t="shared" ca="1" si="22"/>
        <v>-307.79399879991979</v>
      </c>
      <c r="AK93" s="248">
        <f t="shared" ca="1" si="23"/>
        <v>-2113.7939987999198</v>
      </c>
    </row>
    <row r="94" spans="2:37" ht="15.95" customHeight="1" x14ac:dyDescent="0.25">
      <c r="B94" s="136">
        <v>172</v>
      </c>
      <c r="C94" s="152" t="s">
        <v>1271</v>
      </c>
      <c r="D94" s="182" t="s">
        <v>1272</v>
      </c>
      <c r="E94" s="150" t="s">
        <v>42</v>
      </c>
      <c r="F94" s="140" t="s">
        <v>17</v>
      </c>
      <c r="G94" s="140" t="s">
        <v>1076</v>
      </c>
      <c r="H94" s="140" t="s">
        <v>1082</v>
      </c>
      <c r="I94" s="140" t="s">
        <v>459</v>
      </c>
      <c r="J94" s="141" t="s">
        <v>1079</v>
      </c>
      <c r="K94" s="142">
        <v>42248</v>
      </c>
      <c r="L94" s="142">
        <v>42318</v>
      </c>
      <c r="M94" s="134">
        <v>42332</v>
      </c>
      <c r="N94" s="140">
        <v>70</v>
      </c>
      <c r="O94" s="143">
        <v>1500</v>
      </c>
      <c r="P94" s="135" t="s">
        <v>1080</v>
      </c>
      <c r="Q94" s="223" t="s">
        <v>14</v>
      </c>
      <c r="R94" s="223" t="s">
        <v>298</v>
      </c>
      <c r="S94" s="223" t="s">
        <v>17</v>
      </c>
      <c r="T94" s="224" t="str">
        <f t="shared" si="16"/>
        <v>MA</v>
      </c>
      <c r="U94" s="223" t="str">
        <f t="shared" si="17"/>
        <v>MA-NW-Prod</v>
      </c>
      <c r="V94" s="223" t="str">
        <f t="array" ref="V94">CONCATENATE(Q94,"-",R94)</f>
        <v>NW-Prod</v>
      </c>
      <c r="W94" s="239">
        <f>IF(ISERROR(VLOOKUP(T94,'15-16_DP_Tables'!$M$2:$V$8,MATCH(V94,INDEX('15-16_DP_Tables'!$M$2:$V$8,1,0),0),0)),0,VLOOKUP(T94,'15-16_DP_Tables'!$M$2:$V$8,MATCH(V94,INDEX('15-16_DP_Tables'!$M$2:$V$8,1,0),0),0))</f>
        <v>57.083333333332121</v>
      </c>
      <c r="X94" s="239">
        <f t="array" ref="X94">IF(ISERROR(VLOOKUP(T94,'15-16_DP_Tables'!$M$12:$V$18,MATCH(V94,INDEX('15-16_DP_Tables'!$M$12:$V$18,1,0),0),0)),0,VLOOKUP(T94,'15-16_DP_Tables'!$M$12:$V$18,MATCH(V94,INDEX('15-16_DP_Tables'!$M$12:$V$18,1,0),0),0))</f>
        <v>47.791666666664241</v>
      </c>
      <c r="Y94" s="223" t="str">
        <f t="shared" si="18"/>
        <v>Horizontal</v>
      </c>
      <c r="Z94" s="223">
        <v>5</v>
      </c>
      <c r="AA94" s="249" t="e">
        <f>VLOOKUP(T94,'Planning and Target Times'!$A$74:$L$78,MATCH(E94&amp;"-"&amp;Q94&amp;"-"&amp;Y94&amp;"-"&amp;R94,INDEX('Planning and Target Times'!$A$74:$L$78,1,0),0),0)</f>
        <v>#N/A</v>
      </c>
      <c r="AB94" s="249" t="e">
        <f>VLOOKUP(T94,'Planning and Target Times'!$A$97:$L$101,MATCH(E94&amp;"-"&amp;Q94&amp;"-"&amp;Y94&amp;"-"&amp;R94,INDEX('Planning and Target Times'!$A$97:$L$101,1,0),0),0)</f>
        <v>#N/A</v>
      </c>
      <c r="AC94" s="250">
        <f t="shared" si="24"/>
        <v>26.277372262774282</v>
      </c>
      <c r="AD94" s="250">
        <f t="shared" si="25"/>
        <v>31.386224934613622</v>
      </c>
      <c r="AE94" s="248">
        <f t="shared" si="26"/>
        <v>5247.0416090047265</v>
      </c>
      <c r="AF94" s="248">
        <f t="shared" si="19"/>
        <v>5702.9583909952735</v>
      </c>
      <c r="AG94" s="248">
        <f t="shared" ca="1" si="20"/>
        <v>-1377.0416090047265</v>
      </c>
      <c r="AH94" s="248">
        <f t="shared" ca="1" si="21"/>
        <v>-3183.0416090047265</v>
      </c>
      <c r="AI94" s="248">
        <f t="shared" si="27"/>
        <v>4230.585665466584</v>
      </c>
      <c r="AJ94" s="248">
        <f t="shared" ca="1" si="22"/>
        <v>-360.58566546658403</v>
      </c>
      <c r="AK94" s="248">
        <f t="shared" ca="1" si="23"/>
        <v>-2166.585665466584</v>
      </c>
    </row>
    <row r="95" spans="2:37" ht="15.95" customHeight="1" x14ac:dyDescent="0.25">
      <c r="B95" s="136">
        <v>175</v>
      </c>
      <c r="C95" s="144" t="s">
        <v>1275</v>
      </c>
      <c r="D95" s="156" t="s">
        <v>1276</v>
      </c>
      <c r="E95" s="139" t="s">
        <v>11</v>
      </c>
      <c r="F95" s="140" t="s">
        <v>22</v>
      </c>
      <c r="G95" s="140" t="s">
        <v>1076</v>
      </c>
      <c r="H95" s="140" t="s">
        <v>1082</v>
      </c>
      <c r="I95" s="140" t="s">
        <v>459</v>
      </c>
      <c r="J95" s="141" t="s">
        <v>1079</v>
      </c>
      <c r="K95" s="142">
        <v>42248</v>
      </c>
      <c r="L95" s="142">
        <v>42318</v>
      </c>
      <c r="M95" s="134">
        <v>42332</v>
      </c>
      <c r="N95" s="140">
        <v>70</v>
      </c>
      <c r="O95" s="143">
        <v>1200</v>
      </c>
      <c r="P95" s="135" t="s">
        <v>1080</v>
      </c>
      <c r="Q95" s="223" t="s">
        <v>14</v>
      </c>
      <c r="R95" s="223" t="s">
        <v>298</v>
      </c>
      <c r="S95" s="223" t="s">
        <v>22</v>
      </c>
      <c r="T95" s="224" t="str">
        <f t="shared" si="16"/>
        <v>LB</v>
      </c>
      <c r="U95" s="223" t="str">
        <f t="shared" si="17"/>
        <v>LB-NW-Prod</v>
      </c>
      <c r="V95" s="223" t="str">
        <f t="array" ref="V95">CONCATENATE(Q95,"-",R95)</f>
        <v>NW-Prod</v>
      </c>
      <c r="W95" s="239">
        <f>IF(ISERROR(VLOOKUP(T95,'15-16_DP_Tables'!$M$2:$V$8,MATCH(V95,INDEX('15-16_DP_Tables'!$M$2:$V$8,1,0),0),0)),0,VLOOKUP(T95,'15-16_DP_Tables'!$M$2:$V$8,MATCH(V95,INDEX('15-16_DP_Tables'!$M$2:$V$8,1,0),0),0))</f>
        <v>55.81537142381022</v>
      </c>
      <c r="X95" s="239">
        <f t="array" ref="X95">IF(ISERROR(VLOOKUP(T95,'15-16_DP_Tables'!$M$12:$V$18,MATCH(V95,INDEX('15-16_DP_Tables'!$M$12:$V$18,1,0),0),0)),0,VLOOKUP(T95,'15-16_DP_Tables'!$M$12:$V$18,MATCH(V95,INDEX('15-16_DP_Tables'!$M$12:$V$18,1,0),0),0))</f>
        <v>45.207999999999998</v>
      </c>
      <c r="Y95" s="223" t="str">
        <f t="shared" si="18"/>
        <v>Slant</v>
      </c>
      <c r="Z95" s="223">
        <v>5</v>
      </c>
      <c r="AA95" s="249" t="e">
        <f>VLOOKUP(T95,'Planning and Target Times'!$A$74:$L$78,MATCH(E95&amp;"-"&amp;Q95&amp;"-"&amp;Y95&amp;"-"&amp;R95,INDEX('Planning and Target Times'!$A$74:$L$78,1,0),0),0)</f>
        <v>#N/A</v>
      </c>
      <c r="AB95" s="249" t="e">
        <f>VLOOKUP(T95,'Planning and Target Times'!$A$97:$L$101,MATCH(E95&amp;"-"&amp;Q95&amp;"-"&amp;Y95&amp;"-"&amp;R95,INDEX('Planning and Target Times'!$A$97:$L$101,1,0),0),0)</f>
        <v>#N/A</v>
      </c>
      <c r="AC95" s="250">
        <f t="shared" si="24"/>
        <v>21.499453813328802</v>
      </c>
      <c r="AD95" s="250">
        <f t="shared" si="25"/>
        <v>26.543974517784463</v>
      </c>
      <c r="AE95" s="248">
        <f t="shared" si="26"/>
        <v>5307.8569804285371</v>
      </c>
      <c r="AF95" s="248">
        <f t="shared" si="19"/>
        <v>5642.1430195714629</v>
      </c>
      <c r="AG95" s="248">
        <f t="shared" ca="1" si="20"/>
        <v>-1437.8569804285371</v>
      </c>
      <c r="AH95" s="248">
        <f t="shared" ca="1" si="21"/>
        <v>-3243.8569804285371</v>
      </c>
      <c r="AI95" s="248">
        <f t="shared" si="27"/>
        <v>4280.7936654665837</v>
      </c>
      <c r="AJ95" s="248">
        <f t="shared" ca="1" si="22"/>
        <v>-410.79366546658366</v>
      </c>
      <c r="AK95" s="248">
        <f t="shared" ca="1" si="23"/>
        <v>-2216.7936654665837</v>
      </c>
    </row>
    <row r="96" spans="2:37" ht="15.95" customHeight="1" x14ac:dyDescent="0.25">
      <c r="B96" s="136">
        <v>178</v>
      </c>
      <c r="C96" s="144" t="s">
        <v>1279</v>
      </c>
      <c r="D96" s="199" t="s">
        <v>1280</v>
      </c>
      <c r="E96" s="150" t="s">
        <v>42</v>
      </c>
      <c r="F96" s="140" t="s">
        <v>17</v>
      </c>
      <c r="G96" s="140" t="s">
        <v>1076</v>
      </c>
      <c r="H96" s="140" t="s">
        <v>1082</v>
      </c>
      <c r="I96" s="140" t="s">
        <v>459</v>
      </c>
      <c r="J96" s="141" t="s">
        <v>1079</v>
      </c>
      <c r="K96" s="142">
        <v>42248</v>
      </c>
      <c r="L96" s="142">
        <v>42318</v>
      </c>
      <c r="M96" s="134">
        <v>42332</v>
      </c>
      <c r="N96" s="140">
        <v>70</v>
      </c>
      <c r="O96" s="143">
        <v>1500</v>
      </c>
      <c r="P96" s="143" t="s">
        <v>1080</v>
      </c>
      <c r="Q96" s="223" t="s">
        <v>14</v>
      </c>
      <c r="R96" s="223" t="s">
        <v>298</v>
      </c>
      <c r="S96" s="223" t="s">
        <v>17</v>
      </c>
      <c r="T96" s="224" t="str">
        <f t="shared" si="16"/>
        <v>MA</v>
      </c>
      <c r="U96" s="223" t="str">
        <f t="shared" si="17"/>
        <v>MA-NW-Prod</v>
      </c>
      <c r="V96" s="223" t="str">
        <f t="array" ref="V96">CONCATENATE(Q96,"-",R96)</f>
        <v>NW-Prod</v>
      </c>
      <c r="W96" s="239">
        <f>IF(ISERROR(VLOOKUP(T96,'15-16_DP_Tables'!$M$2:$V$8,MATCH(V96,INDEX('15-16_DP_Tables'!$M$2:$V$8,1,0),0),0)),0,VLOOKUP(T96,'15-16_DP_Tables'!$M$2:$V$8,MATCH(V96,INDEX('15-16_DP_Tables'!$M$2:$V$8,1,0),0),0))</f>
        <v>57.083333333332121</v>
      </c>
      <c r="X96" s="239">
        <f t="array" ref="X96">IF(ISERROR(VLOOKUP(T96,'15-16_DP_Tables'!$M$12:$V$18,MATCH(V96,INDEX('15-16_DP_Tables'!$M$12:$V$18,1,0),0),0)),0,VLOOKUP(T96,'15-16_DP_Tables'!$M$12:$V$18,MATCH(V96,INDEX('15-16_DP_Tables'!$M$12:$V$18,1,0),0),0))</f>
        <v>47.791666666664241</v>
      </c>
      <c r="Y96" s="223" t="str">
        <f t="shared" si="18"/>
        <v>Unknown</v>
      </c>
      <c r="Z96" s="223">
        <v>5</v>
      </c>
      <c r="AA96" s="249" t="e">
        <f>VLOOKUP(T96,'Planning and Target Times'!$A$74:$L$78,MATCH(E96&amp;"-"&amp;Q96&amp;"-"&amp;Y96&amp;"-"&amp;R96,INDEX('Planning and Target Times'!$A$74:$L$78,1,0),0),0)</f>
        <v>#N/A</v>
      </c>
      <c r="AB96" s="249" t="e">
        <f>VLOOKUP(T96,'Planning and Target Times'!$A$97:$L$101,MATCH(E96&amp;"-"&amp;Q96&amp;"-"&amp;Y96&amp;"-"&amp;R96,INDEX('Planning and Target Times'!$A$97:$L$101,1,0),0),0)</f>
        <v>#N/A</v>
      </c>
      <c r="AC96" s="250">
        <f t="shared" si="24"/>
        <v>26.277372262774282</v>
      </c>
      <c r="AD96" s="250">
        <f t="shared" si="25"/>
        <v>31.386224934613622</v>
      </c>
      <c r="AE96" s="248">
        <f t="shared" si="26"/>
        <v>5369.9403137618692</v>
      </c>
      <c r="AF96" s="248">
        <f t="shared" si="19"/>
        <v>5580.0596862381308</v>
      </c>
      <c r="AG96" s="248">
        <f t="shared" ca="1" si="20"/>
        <v>-1499.9403137618692</v>
      </c>
      <c r="AH96" s="248">
        <f t="shared" ca="1" si="21"/>
        <v>-3305.9403137618692</v>
      </c>
      <c r="AI96" s="248">
        <f t="shared" si="27"/>
        <v>4333.5853321332479</v>
      </c>
      <c r="AJ96" s="248">
        <f t="shared" ca="1" si="22"/>
        <v>-463.5853321332479</v>
      </c>
      <c r="AK96" s="248">
        <f t="shared" ca="1" si="23"/>
        <v>-2269.5853321332479</v>
      </c>
    </row>
    <row r="97" spans="2:37" ht="15.95" customHeight="1" x14ac:dyDescent="0.25">
      <c r="B97" s="136">
        <v>112</v>
      </c>
      <c r="C97" s="190" t="s">
        <v>1198</v>
      </c>
      <c r="D97" s="188" t="s">
        <v>839</v>
      </c>
      <c r="E97" s="150" t="s">
        <v>42</v>
      </c>
      <c r="F97" s="140" t="s">
        <v>22</v>
      </c>
      <c r="G97" s="140" t="s">
        <v>1076</v>
      </c>
      <c r="H97" s="140" t="s">
        <v>1082</v>
      </c>
      <c r="I97" s="140" t="s">
        <v>459</v>
      </c>
      <c r="J97" s="141" t="s">
        <v>1079</v>
      </c>
      <c r="K97" s="142">
        <v>42254</v>
      </c>
      <c r="L97" s="142">
        <v>42324</v>
      </c>
      <c r="M97" s="134">
        <v>42338</v>
      </c>
      <c r="N97" s="140">
        <v>70</v>
      </c>
      <c r="O97" s="143">
        <v>1800</v>
      </c>
      <c r="P97" s="135" t="s">
        <v>1096</v>
      </c>
      <c r="Q97" s="223" t="s">
        <v>14</v>
      </c>
      <c r="R97" s="223" t="s">
        <v>298</v>
      </c>
      <c r="S97" s="223" t="s">
        <v>22</v>
      </c>
      <c r="T97" s="224" t="str">
        <f t="shared" si="16"/>
        <v>LB</v>
      </c>
      <c r="U97" s="223" t="str">
        <f t="shared" si="17"/>
        <v>LB-NW-Prod</v>
      </c>
      <c r="V97" s="223" t="str">
        <f t="array" ref="V97">CONCATENATE(Q97,"-",R97)</f>
        <v>NW-Prod</v>
      </c>
      <c r="W97" s="239">
        <f>IF(ISERROR(VLOOKUP(T97,'15-16_DP_Tables'!$M$2:$V$8,MATCH(V97,INDEX('15-16_DP_Tables'!$M$2:$V$8,1,0),0),0)),0,VLOOKUP(T97,'15-16_DP_Tables'!$M$2:$V$8,MATCH(V97,INDEX('15-16_DP_Tables'!$M$2:$V$8,1,0),0),0))</f>
        <v>55.81537142381022</v>
      </c>
      <c r="X97" s="239">
        <f t="array" ref="X97">IF(ISERROR(VLOOKUP(T97,'15-16_DP_Tables'!$M$12:$V$18,MATCH(V97,INDEX('15-16_DP_Tables'!$M$12:$V$18,1,0),0),0)),0,VLOOKUP(T97,'15-16_DP_Tables'!$M$12:$V$18,MATCH(V97,INDEX('15-16_DP_Tables'!$M$12:$V$18,1,0),0),0))</f>
        <v>45.207999999999998</v>
      </c>
      <c r="Y97" s="223" t="str">
        <f t="shared" si="18"/>
        <v>Horizontal</v>
      </c>
      <c r="Z97" s="223">
        <v>5</v>
      </c>
      <c r="AA97" s="249" t="e">
        <f>VLOOKUP(T97,'Planning and Target Times'!$A$74:$L$78,MATCH(E97&amp;"-"&amp;Q97&amp;"-"&amp;Y97&amp;"-"&amp;R97,INDEX('Planning and Target Times'!$A$74:$L$78,1,0),0),0)</f>
        <v>#N/A</v>
      </c>
      <c r="AB97" s="249" t="e">
        <f>VLOOKUP(T97,'Planning and Target Times'!$A$97:$L$101,MATCH(E97&amp;"-"&amp;Q97&amp;"-"&amp;Y97&amp;"-"&amp;R97,INDEX('Planning and Target Times'!$A$97:$L$101,1,0),0),0)</f>
        <v>#N/A</v>
      </c>
      <c r="AC97" s="250">
        <f t="shared" si="24"/>
        <v>32.249180719993198</v>
      </c>
      <c r="AD97" s="250">
        <f t="shared" si="25"/>
        <v>39.815961776676694</v>
      </c>
      <c r="AE97" s="248">
        <f t="shared" si="26"/>
        <v>5430.7556851856798</v>
      </c>
      <c r="AF97" s="248">
        <f t="shared" si="19"/>
        <v>5519.2443148143202</v>
      </c>
      <c r="AG97" s="248">
        <f t="shared" ca="1" si="20"/>
        <v>-1560.7556851856798</v>
      </c>
      <c r="AH97" s="248">
        <f t="shared" ca="1" si="21"/>
        <v>-3366.7556851856798</v>
      </c>
      <c r="AI97" s="248">
        <f t="shared" si="27"/>
        <v>4383.7933321332475</v>
      </c>
      <c r="AJ97" s="248">
        <f t="shared" ca="1" si="22"/>
        <v>-513.79333213324753</v>
      </c>
      <c r="AK97" s="248">
        <f t="shared" ca="1" si="23"/>
        <v>-2319.7933321332475</v>
      </c>
    </row>
    <row r="98" spans="2:37" ht="15.95" customHeight="1" x14ac:dyDescent="0.25">
      <c r="B98" s="136">
        <v>128</v>
      </c>
      <c r="C98" s="144" t="s">
        <v>1216</v>
      </c>
      <c r="D98" s="138" t="s">
        <v>1215</v>
      </c>
      <c r="E98" s="139" t="s">
        <v>11</v>
      </c>
      <c r="F98" s="140" t="s">
        <v>22</v>
      </c>
      <c r="G98" s="140" t="s">
        <v>1076</v>
      </c>
      <c r="H98" s="140" t="s">
        <v>1082</v>
      </c>
      <c r="I98" s="140" t="s">
        <v>459</v>
      </c>
      <c r="J98" s="141" t="s">
        <v>1079</v>
      </c>
      <c r="K98" s="142">
        <v>42256</v>
      </c>
      <c r="L98" s="142">
        <v>42326</v>
      </c>
      <c r="M98" s="134">
        <v>42340</v>
      </c>
      <c r="N98" s="132">
        <v>70</v>
      </c>
      <c r="O98" s="135">
        <v>1200</v>
      </c>
      <c r="P98" s="135" t="s">
        <v>1080</v>
      </c>
      <c r="Q98" s="223" t="s">
        <v>14</v>
      </c>
      <c r="R98" s="223" t="s">
        <v>298</v>
      </c>
      <c r="S98" s="223" t="s">
        <v>22</v>
      </c>
      <c r="T98" s="224" t="str">
        <f t="shared" si="16"/>
        <v>LB</v>
      </c>
      <c r="U98" s="223" t="str">
        <f t="shared" si="17"/>
        <v>LB-NW-Prod</v>
      </c>
      <c r="V98" s="223" t="str">
        <f t="array" ref="V98">CONCATENATE(Q98,"-",R98)</f>
        <v>NW-Prod</v>
      </c>
      <c r="W98" s="239">
        <f>IF(ISERROR(VLOOKUP(T98,'15-16_DP_Tables'!$M$2:$V$8,MATCH(V98,INDEX('15-16_DP_Tables'!$M$2:$V$8,1,0),0),0)),0,VLOOKUP(T98,'15-16_DP_Tables'!$M$2:$V$8,MATCH(V98,INDEX('15-16_DP_Tables'!$M$2:$V$8,1,0),0),0))</f>
        <v>55.81537142381022</v>
      </c>
      <c r="X98" s="239">
        <f t="array" ref="X98">IF(ISERROR(VLOOKUP(T98,'15-16_DP_Tables'!$M$12:$V$18,MATCH(V98,INDEX('15-16_DP_Tables'!$M$12:$V$18,1,0),0),0)),0,VLOOKUP(T98,'15-16_DP_Tables'!$M$12:$V$18,MATCH(V98,INDEX('15-16_DP_Tables'!$M$12:$V$18,1,0),0),0))</f>
        <v>45.207999999999998</v>
      </c>
      <c r="Y98" s="223" t="str">
        <f t="shared" si="18"/>
        <v>Horizontal</v>
      </c>
      <c r="Z98" s="223">
        <v>5</v>
      </c>
      <c r="AA98" s="249" t="e">
        <f>VLOOKUP(T98,'Planning and Target Times'!$A$74:$L$78,MATCH(E98&amp;"-"&amp;Q98&amp;"-"&amp;Y98&amp;"-"&amp;R98,INDEX('Planning and Target Times'!$A$74:$L$78,1,0),0),0)</f>
        <v>#N/A</v>
      </c>
      <c r="AB98" s="249" t="e">
        <f>VLOOKUP(T98,'Planning and Target Times'!$A$97:$L$101,MATCH(E98&amp;"-"&amp;Q98&amp;"-"&amp;Y98&amp;"-"&amp;R98,INDEX('Planning and Target Times'!$A$97:$L$101,1,0),0),0)</f>
        <v>#N/A</v>
      </c>
      <c r="AC98" s="250">
        <f t="shared" si="24"/>
        <v>21.499453813328802</v>
      </c>
      <c r="AD98" s="250">
        <f t="shared" si="25"/>
        <v>26.543974517784463</v>
      </c>
      <c r="AE98" s="248">
        <f t="shared" si="26"/>
        <v>5491.5710566094904</v>
      </c>
      <c r="AF98" s="248">
        <f t="shared" si="19"/>
        <v>5458.4289433905096</v>
      </c>
      <c r="AG98" s="248">
        <f t="shared" ca="1" si="20"/>
        <v>-1621.5710566094904</v>
      </c>
      <c r="AH98" s="248">
        <f t="shared" ca="1" si="21"/>
        <v>-3427.5710566094904</v>
      </c>
      <c r="AI98" s="248">
        <f t="shared" si="27"/>
        <v>4434.0013321332472</v>
      </c>
      <c r="AJ98" s="248">
        <f t="shared" ca="1" si="22"/>
        <v>-564.00133213324716</v>
      </c>
      <c r="AK98" s="248">
        <f t="shared" ca="1" si="23"/>
        <v>-2370.0013321332472</v>
      </c>
    </row>
    <row r="99" spans="2:37" ht="15.95" customHeight="1" x14ac:dyDescent="0.25">
      <c r="B99" s="136">
        <v>133</v>
      </c>
      <c r="C99" s="144" t="s">
        <v>1222</v>
      </c>
      <c r="D99" s="171" t="s">
        <v>1221</v>
      </c>
      <c r="E99" s="139" t="s">
        <v>11</v>
      </c>
      <c r="F99" s="140" t="s">
        <v>44</v>
      </c>
      <c r="G99" s="140" t="s">
        <v>1076</v>
      </c>
      <c r="H99" s="140" t="s">
        <v>1082</v>
      </c>
      <c r="I99" s="140" t="s">
        <v>459</v>
      </c>
      <c r="J99" s="141" t="s">
        <v>1079</v>
      </c>
      <c r="K99" s="142">
        <v>42256</v>
      </c>
      <c r="L99" s="142">
        <v>42354</v>
      </c>
      <c r="M99" s="134">
        <v>42368</v>
      </c>
      <c r="N99" s="132">
        <v>98</v>
      </c>
      <c r="O99" s="135">
        <v>1200</v>
      </c>
      <c r="P99" s="135" t="s">
        <v>1080</v>
      </c>
      <c r="Q99" s="223" t="s">
        <v>14</v>
      </c>
      <c r="R99" s="223" t="s">
        <v>298</v>
      </c>
      <c r="S99" s="223" t="s">
        <v>44</v>
      </c>
      <c r="T99" s="224" t="str">
        <f t="shared" si="16"/>
        <v>ZU/RT</v>
      </c>
      <c r="U99" s="223" t="str">
        <f t="shared" si="17"/>
        <v>ZU-NW-Prod</v>
      </c>
      <c r="V99" s="223" t="str">
        <f t="array" ref="V99">CONCATENATE(Q99,"-",R99)</f>
        <v>NW-Prod</v>
      </c>
      <c r="W99" s="239">
        <f>IF(ISERROR(VLOOKUP(T99,'15-16_DP_Tables'!$M$2:$V$8,MATCH(V99,INDEX('15-16_DP_Tables'!$M$2:$V$8,1,0),0),0)),0,VLOOKUP(T99,'15-16_DP_Tables'!$M$2:$V$8,MATCH(V99,INDEX('15-16_DP_Tables'!$M$2:$V$8,1,0),0),0))</f>
        <v>99.088549999999998</v>
      </c>
      <c r="X99" s="239">
        <f t="array" ref="X99">IF(ISERROR(VLOOKUP(T99,'15-16_DP_Tables'!$M$12:$V$18,MATCH(V99,INDEX('15-16_DP_Tables'!$M$12:$V$18,1,0),0),0)),0,VLOOKUP(T99,'15-16_DP_Tables'!$M$12:$V$18,MATCH(V99,INDEX('15-16_DP_Tables'!$M$12:$V$18,1,0),0),0))</f>
        <v>53.375</v>
      </c>
      <c r="Y99" s="223" t="str">
        <f t="shared" si="18"/>
        <v>Horizontal</v>
      </c>
      <c r="Z99" s="223">
        <v>5</v>
      </c>
      <c r="AA99" s="249" t="e">
        <f>VLOOKUP(T99,'Planning and Target Times'!$A$74:$L$78,MATCH(E99&amp;"-"&amp;Q99&amp;"-"&amp;Y99&amp;"-"&amp;R99,INDEX('Planning and Target Times'!$A$74:$L$78,1,0),0),0)</f>
        <v>#N/A</v>
      </c>
      <c r="AB99" s="249" t="e">
        <f>VLOOKUP(T99,'Planning and Target Times'!$A$97:$L$101,MATCH(E99&amp;"-"&amp;Q99&amp;"-"&amp;Y99&amp;"-"&amp;R99,INDEX('Planning and Target Times'!$A$97:$L$101,1,0),0),0)</f>
        <v>#N/A</v>
      </c>
      <c r="AC99" s="250">
        <f t="shared" si="24"/>
        <v>12.110380059048195</v>
      </c>
      <c r="AD99" s="250">
        <f t="shared" si="25"/>
        <v>22.482435597189696</v>
      </c>
      <c r="AE99" s="248">
        <f t="shared" si="26"/>
        <v>5595.6596066094908</v>
      </c>
      <c r="AF99" s="248">
        <f t="shared" si="19"/>
        <v>5354.3403933905092</v>
      </c>
      <c r="AG99" s="248">
        <f t="shared" ca="1" si="20"/>
        <v>-1725.6596066094908</v>
      </c>
      <c r="AH99" s="248">
        <f t="shared" ca="1" si="21"/>
        <v>-3531.6596066094908</v>
      </c>
      <c r="AI99" s="248">
        <f t="shared" si="27"/>
        <v>4492.3763321332472</v>
      </c>
      <c r="AJ99" s="248">
        <f t="shared" ca="1" si="22"/>
        <v>-622.37633213324716</v>
      </c>
      <c r="AK99" s="248">
        <f t="shared" ca="1" si="23"/>
        <v>-2428.3763321332472</v>
      </c>
    </row>
    <row r="100" spans="2:37" ht="15.95" customHeight="1" x14ac:dyDescent="0.25">
      <c r="B100" s="136">
        <v>99</v>
      </c>
      <c r="C100" s="164" t="s">
        <v>1185</v>
      </c>
      <c r="D100" s="147" t="s">
        <v>734</v>
      </c>
      <c r="E100" s="139" t="s">
        <v>11</v>
      </c>
      <c r="F100" s="140" t="s">
        <v>17</v>
      </c>
      <c r="G100" s="140" t="s">
        <v>1076</v>
      </c>
      <c r="H100" s="140" t="s">
        <v>1082</v>
      </c>
      <c r="I100" s="140" t="s">
        <v>459</v>
      </c>
      <c r="J100" s="141" t="s">
        <v>1079</v>
      </c>
      <c r="K100" s="142">
        <v>42268</v>
      </c>
      <c r="L100" s="142">
        <v>42338</v>
      </c>
      <c r="M100" s="134">
        <v>42352</v>
      </c>
      <c r="N100" s="132">
        <v>70</v>
      </c>
      <c r="O100" s="135">
        <v>1400</v>
      </c>
      <c r="P100" s="135" t="s">
        <v>1080</v>
      </c>
      <c r="Q100" s="223" t="s">
        <v>14</v>
      </c>
      <c r="R100" s="223" t="s">
        <v>298</v>
      </c>
      <c r="S100" s="223" t="s">
        <v>17</v>
      </c>
      <c r="T100" s="224" t="str">
        <f t="shared" si="16"/>
        <v>MA</v>
      </c>
      <c r="U100" s="223" t="str">
        <f t="shared" si="17"/>
        <v>MA-NW-Prod</v>
      </c>
      <c r="V100" s="223" t="str">
        <f t="array" ref="V100">CONCATENATE(Q100,"-",R100)</f>
        <v>NW-Prod</v>
      </c>
      <c r="W100" s="239">
        <f>IF(ISERROR(VLOOKUP(T100,'15-16_DP_Tables'!$M$2:$V$8,MATCH(V100,INDEX('15-16_DP_Tables'!$M$2:$V$8,1,0),0),0)),0,VLOOKUP(T100,'15-16_DP_Tables'!$M$2:$V$8,MATCH(V100,INDEX('15-16_DP_Tables'!$M$2:$V$8,1,0),0),0))</f>
        <v>57.083333333332121</v>
      </c>
      <c r="X100" s="239">
        <f t="array" ref="X100">IF(ISERROR(VLOOKUP(T100,'15-16_DP_Tables'!$M$12:$V$18,MATCH(V100,INDEX('15-16_DP_Tables'!$M$12:$V$18,1,0),0),0)),0,VLOOKUP(T100,'15-16_DP_Tables'!$M$12:$V$18,MATCH(V100,INDEX('15-16_DP_Tables'!$M$12:$V$18,1,0),0),0))</f>
        <v>47.791666666664241</v>
      </c>
      <c r="Y100" s="223" t="str">
        <f t="shared" si="18"/>
        <v>Horizontal</v>
      </c>
      <c r="Z100" s="223">
        <v>5</v>
      </c>
      <c r="AA100" s="249" t="e">
        <f>VLOOKUP(T100,'Planning and Target Times'!$A$74:$L$78,MATCH(E100&amp;"-"&amp;Q100&amp;"-"&amp;Y100&amp;"-"&amp;R100,INDEX('Planning and Target Times'!$A$74:$L$78,1,0),0),0)</f>
        <v>#N/A</v>
      </c>
      <c r="AB100" s="249" t="e">
        <f>VLOOKUP(T100,'Planning and Target Times'!$A$97:$L$101,MATCH(E100&amp;"-"&amp;Q100&amp;"-"&amp;Y100&amp;"-"&amp;R100,INDEX('Planning and Target Times'!$A$97:$L$101,1,0),0),0)</f>
        <v>#N/A</v>
      </c>
      <c r="AC100" s="250">
        <f t="shared" si="24"/>
        <v>24.525547445255995</v>
      </c>
      <c r="AD100" s="250">
        <f t="shared" si="25"/>
        <v>29.293809938972714</v>
      </c>
      <c r="AE100" s="248">
        <f t="shared" si="26"/>
        <v>5657.7429399428229</v>
      </c>
      <c r="AF100" s="248">
        <f t="shared" si="19"/>
        <v>5292.2570600571771</v>
      </c>
      <c r="AG100" s="248">
        <f t="shared" ca="1" si="20"/>
        <v>-1787.7429399428229</v>
      </c>
      <c r="AH100" s="248">
        <f t="shared" ca="1" si="21"/>
        <v>-3593.7429399428229</v>
      </c>
      <c r="AI100" s="248">
        <f t="shared" si="27"/>
        <v>4545.1679987999114</v>
      </c>
      <c r="AJ100" s="248">
        <f t="shared" ca="1" si="22"/>
        <v>-675.1679987999114</v>
      </c>
      <c r="AK100" s="248">
        <f t="shared" ca="1" si="23"/>
        <v>-2481.1679987999114</v>
      </c>
    </row>
    <row r="101" spans="2:37" ht="15.95" customHeight="1" x14ac:dyDescent="0.25">
      <c r="B101" s="136">
        <v>121</v>
      </c>
      <c r="C101" s="164" t="s">
        <v>1207</v>
      </c>
      <c r="D101" s="165" t="s">
        <v>838</v>
      </c>
      <c r="E101" s="139" t="s">
        <v>11</v>
      </c>
      <c r="F101" s="140" t="s">
        <v>17</v>
      </c>
      <c r="G101" s="140" t="s">
        <v>1076</v>
      </c>
      <c r="H101" s="140" t="s">
        <v>1082</v>
      </c>
      <c r="I101" s="140" t="s">
        <v>459</v>
      </c>
      <c r="J101" s="141" t="s">
        <v>1079</v>
      </c>
      <c r="K101" s="142">
        <v>42271</v>
      </c>
      <c r="L101" s="142">
        <v>42341</v>
      </c>
      <c r="M101" s="134">
        <v>42355</v>
      </c>
      <c r="N101" s="140">
        <v>70</v>
      </c>
      <c r="O101" s="143">
        <v>1400</v>
      </c>
      <c r="P101" s="135" t="s">
        <v>1096</v>
      </c>
      <c r="Q101" s="223" t="s">
        <v>14</v>
      </c>
      <c r="R101" s="223" t="s">
        <v>298</v>
      </c>
      <c r="S101" s="223" t="s">
        <v>17</v>
      </c>
      <c r="T101" s="224" t="str">
        <f t="shared" ref="T101:T132" si="28">IF(OR(F101="ZU",F101="RT"),"ZU/RT",F101)</f>
        <v>MA</v>
      </c>
      <c r="U101" s="223" t="str">
        <f t="shared" ref="U101:U132" si="29">CONCATENATE(F101,"-",Q101,"-",R101)</f>
        <v>MA-NW-Prod</v>
      </c>
      <c r="V101" s="223" t="str">
        <f t="array" ref="V101">CONCATENATE(Q101,"-",R101)</f>
        <v>NW-Prod</v>
      </c>
      <c r="W101" s="239">
        <f>IF(ISERROR(VLOOKUP(T101,'15-16_DP_Tables'!$M$2:$V$8,MATCH(V101,INDEX('15-16_DP_Tables'!$M$2:$V$8,1,0),0),0)),0,VLOOKUP(T101,'15-16_DP_Tables'!$M$2:$V$8,MATCH(V101,INDEX('15-16_DP_Tables'!$M$2:$V$8,1,0),0),0))</f>
        <v>57.083333333332121</v>
      </c>
      <c r="X101" s="239">
        <f t="array" ref="X101">IF(ISERROR(VLOOKUP(T101,'15-16_DP_Tables'!$M$12:$V$18,MATCH(V101,INDEX('15-16_DP_Tables'!$M$12:$V$18,1,0),0),0)),0,VLOOKUP(T101,'15-16_DP_Tables'!$M$12:$V$18,MATCH(V101,INDEX('15-16_DP_Tables'!$M$12:$V$18,1,0),0),0))</f>
        <v>47.791666666664241</v>
      </c>
      <c r="Y101" s="223" t="str">
        <f t="shared" ref="Y101:Y132" si="30">IF(OR(ISNUMBER(SEARCH("HST",C101)),ISNUMBER(SEARCH("Horizontal",C101)),ISNUMBER(SEARCH("H",C101))),"Horizontal",IF(OR(ISNUMBER(SEARCH("SLANT",C101))),"Slant","Unknown"))</f>
        <v>Horizontal</v>
      </c>
      <c r="Z101" s="223">
        <v>5</v>
      </c>
      <c r="AA101" s="249" t="e">
        <f>VLOOKUP(T101,'Planning and Target Times'!$A$74:$L$78,MATCH(E101&amp;"-"&amp;Q101&amp;"-"&amp;Y101&amp;"-"&amp;R101,INDEX('Planning and Target Times'!$A$74:$L$78,1,0),0),0)</f>
        <v>#N/A</v>
      </c>
      <c r="AB101" s="249" t="e">
        <f>VLOOKUP(T101,'Planning and Target Times'!$A$97:$L$101,MATCH(E101&amp;"-"&amp;Q101&amp;"-"&amp;Y101&amp;"-"&amp;R101,INDEX('Planning and Target Times'!$A$97:$L$101,1,0),0),0)</f>
        <v>#N/A</v>
      </c>
      <c r="AC101" s="250">
        <f t="shared" si="24"/>
        <v>24.525547445255995</v>
      </c>
      <c r="AD101" s="250">
        <f t="shared" si="25"/>
        <v>29.293809938972714</v>
      </c>
      <c r="AE101" s="248">
        <f t="shared" si="26"/>
        <v>5719.826273276155</v>
      </c>
      <c r="AF101" s="248">
        <f t="shared" ref="AF101:AF132" si="31">(30*365)-AE101</f>
        <v>5230.173726723845</v>
      </c>
      <c r="AG101" s="248">
        <f t="shared" ca="1" si="20"/>
        <v>-1849.826273276155</v>
      </c>
      <c r="AH101" s="248">
        <f t="shared" ca="1" si="21"/>
        <v>-3655.826273276155</v>
      </c>
      <c r="AI101" s="248">
        <f t="shared" si="27"/>
        <v>4597.9596654665756</v>
      </c>
      <c r="AJ101" s="248">
        <f t="shared" ca="1" si="22"/>
        <v>-727.95966546657564</v>
      </c>
      <c r="AK101" s="248">
        <f t="shared" ca="1" si="23"/>
        <v>-2533.9596654665756</v>
      </c>
    </row>
    <row r="102" spans="2:37" ht="15.95" customHeight="1" x14ac:dyDescent="0.25">
      <c r="B102" s="136">
        <v>106</v>
      </c>
      <c r="C102" s="144" t="s">
        <v>1192</v>
      </c>
      <c r="D102" s="157" t="s">
        <v>735</v>
      </c>
      <c r="E102" s="139" t="s">
        <v>11</v>
      </c>
      <c r="F102" s="140" t="s">
        <v>29</v>
      </c>
      <c r="G102" s="140" t="s">
        <v>1076</v>
      </c>
      <c r="H102" s="140" t="s">
        <v>1082</v>
      </c>
      <c r="I102" s="140" t="s">
        <v>459</v>
      </c>
      <c r="J102" s="141" t="s">
        <v>1079</v>
      </c>
      <c r="K102" s="142">
        <v>42278</v>
      </c>
      <c r="L102" s="142">
        <v>42348</v>
      </c>
      <c r="M102" s="134">
        <v>42362</v>
      </c>
      <c r="N102" s="140">
        <v>70</v>
      </c>
      <c r="O102" s="143">
        <v>1200</v>
      </c>
      <c r="P102" s="135" t="s">
        <v>1080</v>
      </c>
      <c r="Q102" s="223" t="s">
        <v>14</v>
      </c>
      <c r="R102" s="223" t="s">
        <v>298</v>
      </c>
      <c r="S102" s="223" t="s">
        <v>29</v>
      </c>
      <c r="T102" s="224" t="str">
        <f t="shared" si="28"/>
        <v>UB</v>
      </c>
      <c r="U102" s="223" t="str">
        <f t="shared" si="29"/>
        <v>UB-NW-Prod</v>
      </c>
      <c r="V102" s="223" t="str">
        <f t="array" ref="V102">CONCATENATE(Q102,"-",R102)</f>
        <v>NW-Prod</v>
      </c>
      <c r="W102" s="239">
        <f>IF(ISERROR(VLOOKUP(T102,'15-16_DP_Tables'!$M$2:$V$8,MATCH(V102,INDEX('15-16_DP_Tables'!$M$2:$V$8,1,0),0),0)),0,VLOOKUP(T102,'15-16_DP_Tables'!$M$2:$V$8,MATCH(V102,INDEX('15-16_DP_Tables'!$M$2:$V$8,1,0),0),0))</f>
        <v>53.604164999999995</v>
      </c>
      <c r="X102" s="239">
        <f t="array" ref="X102">IF(ISERROR(VLOOKUP(T102,'15-16_DP_Tables'!$M$12:$V$18,MATCH(V102,INDEX('15-16_DP_Tables'!$M$12:$V$18,1,0),0),0)),0,VLOOKUP(T102,'15-16_DP_Tables'!$M$12:$V$18,MATCH(V102,INDEX('15-16_DP_Tables'!$M$12:$V$18,1,0),0),0))</f>
        <v>48</v>
      </c>
      <c r="Y102" s="223" t="str">
        <f t="shared" si="30"/>
        <v>Horizontal</v>
      </c>
      <c r="Z102" s="223">
        <v>5</v>
      </c>
      <c r="AA102" s="249" t="e">
        <f>VLOOKUP(T102,'Planning and Target Times'!$A$74:$L$78,MATCH(E102&amp;"-"&amp;Q102&amp;"-"&amp;Y102&amp;"-"&amp;R102,INDEX('Planning and Target Times'!$A$74:$L$78,1,0),0),0)</f>
        <v>#N/A</v>
      </c>
      <c r="AB102" s="249" t="e">
        <f>VLOOKUP(T102,'Planning and Target Times'!$A$97:$L$101,MATCH(E102&amp;"-"&amp;Q102&amp;"-"&amp;Y102&amp;"-"&amp;R102,INDEX('Planning and Target Times'!$A$97:$L$101,1,0),0),0)</f>
        <v>#N/A</v>
      </c>
      <c r="AC102" s="250">
        <f t="shared" si="24"/>
        <v>22.386320167472064</v>
      </c>
      <c r="AD102" s="250">
        <f t="shared" si="25"/>
        <v>25</v>
      </c>
      <c r="AE102" s="248">
        <f t="shared" si="26"/>
        <v>5778.4304382761547</v>
      </c>
      <c r="AF102" s="248">
        <f t="shared" si="31"/>
        <v>5171.5695617238453</v>
      </c>
      <c r="AG102" s="248">
        <f t="shared" ca="1" si="20"/>
        <v>-1908.4304382761547</v>
      </c>
      <c r="AH102" s="248">
        <f t="shared" ca="1" si="21"/>
        <v>-3714.4304382761547</v>
      </c>
      <c r="AI102" s="248">
        <f t="shared" si="27"/>
        <v>4650.9596654665756</v>
      </c>
      <c r="AJ102" s="248">
        <f t="shared" ca="1" si="22"/>
        <v>-780.95966546657564</v>
      </c>
      <c r="AK102" s="248">
        <f t="shared" ca="1" si="23"/>
        <v>-2586.9596654665756</v>
      </c>
    </row>
    <row r="103" spans="2:37" ht="15.95" customHeight="1" x14ac:dyDescent="0.25">
      <c r="B103" s="136">
        <v>140</v>
      </c>
      <c r="C103" s="144" t="s">
        <v>1230</v>
      </c>
      <c r="D103" s="165" t="s">
        <v>19</v>
      </c>
      <c r="E103" s="139" t="s">
        <v>11</v>
      </c>
      <c r="F103" s="140" t="s">
        <v>17</v>
      </c>
      <c r="G103" s="140" t="s">
        <v>1086</v>
      </c>
      <c r="H103" s="140" t="s">
        <v>1082</v>
      </c>
      <c r="I103" s="140" t="s">
        <v>459</v>
      </c>
      <c r="J103" s="141" t="s">
        <v>1079</v>
      </c>
      <c r="K103" s="142">
        <v>42278</v>
      </c>
      <c r="L103" s="142">
        <v>42341</v>
      </c>
      <c r="M103" s="134">
        <v>42355</v>
      </c>
      <c r="N103" s="140">
        <v>63</v>
      </c>
      <c r="O103" s="143"/>
      <c r="P103" s="135" t="s">
        <v>1080</v>
      </c>
      <c r="Q103" s="223" t="s">
        <v>14</v>
      </c>
      <c r="R103" s="223" t="s">
        <v>34</v>
      </c>
      <c r="S103" s="223" t="s">
        <v>17</v>
      </c>
      <c r="T103" s="224" t="str">
        <f t="shared" si="28"/>
        <v>MA</v>
      </c>
      <c r="U103" s="223" t="str">
        <f t="shared" si="29"/>
        <v>MA-NW-Inj</v>
      </c>
      <c r="V103" s="223" t="str">
        <f t="array" ref="V103">CONCATENATE(Q103,"-",R103)</f>
        <v>NW-Inj</v>
      </c>
      <c r="W103" s="239">
        <f>IF(ISERROR(VLOOKUP(T103,'15-16_DP_Tables'!$M$2:$V$8,MATCH(V103,INDEX('15-16_DP_Tables'!$M$2:$V$8,1,0),0),0)),0,VLOOKUP(T103,'15-16_DP_Tables'!$M$2:$V$8,MATCH(V103,INDEX('15-16_DP_Tables'!$M$2:$V$8,1,0),0),0))</f>
        <v>0</v>
      </c>
      <c r="X103" s="239">
        <f t="array" ref="X103">IF(ISERROR(VLOOKUP(T103,'15-16_DP_Tables'!$M$12:$V$18,MATCH(V103,INDEX('15-16_DP_Tables'!$M$12:$V$18,1,0),0),0)),0,VLOOKUP(T103,'15-16_DP_Tables'!$M$12:$V$18,MATCH(V103,INDEX('15-16_DP_Tables'!$M$12:$V$18,1,0),0),0))</f>
        <v>0</v>
      </c>
      <c r="Y103" s="223" t="str">
        <f t="shared" si="30"/>
        <v>Horizontal</v>
      </c>
      <c r="Z103" s="223">
        <v>5</v>
      </c>
      <c r="AA103" s="249" t="e">
        <f>VLOOKUP(T103,'Planning and Target Times'!$A$74:$L$78,MATCH(E103&amp;"-"&amp;Q103&amp;"-"&amp;Y103&amp;"-"&amp;R103,INDEX('Planning and Target Times'!$A$74:$L$78,1,0),0),0)</f>
        <v>#N/A</v>
      </c>
      <c r="AB103" s="249" t="e">
        <f>VLOOKUP(T103,'Planning and Target Times'!$A$97:$L$101,MATCH(E103&amp;"-"&amp;Q103&amp;"-"&amp;Y103&amp;"-"&amp;R103,INDEX('Planning and Target Times'!$A$97:$L$101,1,0),0),0)</f>
        <v>#N/A</v>
      </c>
      <c r="AC103" s="250">
        <f t="shared" si="24"/>
        <v>0</v>
      </c>
      <c r="AD103" s="250">
        <f t="shared" si="25"/>
        <v>0</v>
      </c>
      <c r="AE103" s="248">
        <f t="shared" si="26"/>
        <v>5783.4304382761547</v>
      </c>
      <c r="AF103" s="248">
        <f t="shared" si="31"/>
        <v>5166.5695617238453</v>
      </c>
      <c r="AG103" s="248">
        <f t="shared" ca="1" si="20"/>
        <v>-1913.4304382761547</v>
      </c>
      <c r="AH103" s="248">
        <f t="shared" ca="1" si="21"/>
        <v>-3719.4304382761547</v>
      </c>
      <c r="AI103" s="248">
        <f t="shared" si="27"/>
        <v>4655.9596654665756</v>
      </c>
      <c r="AJ103" s="248">
        <f t="shared" ca="1" si="22"/>
        <v>-785.95966546657564</v>
      </c>
      <c r="AK103" s="248">
        <f t="shared" ca="1" si="23"/>
        <v>-2591.9596654665756</v>
      </c>
    </row>
    <row r="104" spans="2:37" ht="15.95" customHeight="1" x14ac:dyDescent="0.25">
      <c r="B104" s="136">
        <v>81</v>
      </c>
      <c r="C104" s="144" t="s">
        <v>1167</v>
      </c>
      <c r="D104" s="184" t="s">
        <v>511</v>
      </c>
      <c r="E104" s="150" t="s">
        <v>42</v>
      </c>
      <c r="F104" s="140" t="s">
        <v>17</v>
      </c>
      <c r="G104" s="140" t="s">
        <v>1076</v>
      </c>
      <c r="H104" s="140" t="s">
        <v>1082</v>
      </c>
      <c r="I104" s="140" t="s">
        <v>459</v>
      </c>
      <c r="J104" s="141" t="s">
        <v>1079</v>
      </c>
      <c r="K104" s="142">
        <v>42285</v>
      </c>
      <c r="L104" s="142">
        <v>42355</v>
      </c>
      <c r="M104" s="134">
        <v>42369</v>
      </c>
      <c r="N104" s="140">
        <v>70</v>
      </c>
      <c r="O104" s="143">
        <v>1500</v>
      </c>
      <c r="P104" s="143" t="s">
        <v>1080</v>
      </c>
      <c r="Q104" s="223" t="s">
        <v>14</v>
      </c>
      <c r="R104" s="223" t="s">
        <v>298</v>
      </c>
      <c r="S104" s="223" t="s">
        <v>17</v>
      </c>
      <c r="T104" s="224" t="str">
        <f t="shared" si="28"/>
        <v>MA</v>
      </c>
      <c r="U104" s="223" t="str">
        <f t="shared" si="29"/>
        <v>MA-NW-Prod</v>
      </c>
      <c r="V104" s="223" t="str">
        <f t="array" ref="V104">CONCATENATE(Q104,"-",R104)</f>
        <v>NW-Prod</v>
      </c>
      <c r="W104" s="239">
        <f>IF(ISERROR(VLOOKUP(T104,'15-16_DP_Tables'!$M$2:$V$8,MATCH(V104,INDEX('15-16_DP_Tables'!$M$2:$V$8,1,0),0),0)),0,VLOOKUP(T104,'15-16_DP_Tables'!$M$2:$V$8,MATCH(V104,INDEX('15-16_DP_Tables'!$M$2:$V$8,1,0),0),0))</f>
        <v>57.083333333332121</v>
      </c>
      <c r="X104" s="239">
        <f t="array" ref="X104">IF(ISERROR(VLOOKUP(T104,'15-16_DP_Tables'!$M$12:$V$18,MATCH(V104,INDEX('15-16_DP_Tables'!$M$12:$V$18,1,0),0),0)),0,VLOOKUP(T104,'15-16_DP_Tables'!$M$12:$V$18,MATCH(V104,INDEX('15-16_DP_Tables'!$M$12:$V$18,1,0),0),0))</f>
        <v>47.791666666664241</v>
      </c>
      <c r="Y104" s="223" t="str">
        <f t="shared" si="30"/>
        <v>Unknown</v>
      </c>
      <c r="Z104" s="223">
        <v>5</v>
      </c>
      <c r="AA104" s="249" t="e">
        <f>VLOOKUP(T104,'Planning and Target Times'!$A$74:$L$78,MATCH(E104&amp;"-"&amp;Q104&amp;"-"&amp;Y104&amp;"-"&amp;R104,INDEX('Planning and Target Times'!$A$74:$L$78,1,0),0),0)</f>
        <v>#N/A</v>
      </c>
      <c r="AB104" s="249" t="e">
        <f>VLOOKUP(T104,'Planning and Target Times'!$A$97:$L$101,MATCH(E104&amp;"-"&amp;Q104&amp;"-"&amp;Y104&amp;"-"&amp;R104,INDEX('Planning and Target Times'!$A$97:$L$101,1,0),0),0)</f>
        <v>#N/A</v>
      </c>
      <c r="AC104" s="250">
        <f t="shared" si="24"/>
        <v>26.277372262774282</v>
      </c>
      <c r="AD104" s="250">
        <f t="shared" si="25"/>
        <v>31.386224934613622</v>
      </c>
      <c r="AE104" s="248">
        <f t="shared" si="26"/>
        <v>5845.5137716094869</v>
      </c>
      <c r="AF104" s="248">
        <f t="shared" si="31"/>
        <v>5104.4862283905131</v>
      </c>
      <c r="AG104" s="248">
        <f t="shared" ca="1" si="20"/>
        <v>-1975.5137716094869</v>
      </c>
      <c r="AH104" s="248">
        <f t="shared" ca="1" si="21"/>
        <v>-3781.5137716094869</v>
      </c>
      <c r="AI104" s="248">
        <f t="shared" si="27"/>
        <v>4708.7513321332399</v>
      </c>
      <c r="AJ104" s="248">
        <f t="shared" ca="1" si="22"/>
        <v>-838.75133213323988</v>
      </c>
      <c r="AK104" s="248">
        <f t="shared" ca="1" si="23"/>
        <v>-2644.7513321332399</v>
      </c>
    </row>
    <row r="105" spans="2:37" ht="15.95" customHeight="1" x14ac:dyDescent="0.25">
      <c r="B105" s="136">
        <v>144</v>
      </c>
      <c r="C105" s="144" t="s">
        <v>1235</v>
      </c>
      <c r="D105" s="193" t="s">
        <v>1234</v>
      </c>
      <c r="E105" s="139" t="s">
        <v>11</v>
      </c>
      <c r="F105" s="140" t="s">
        <v>17</v>
      </c>
      <c r="G105" s="140" t="s">
        <v>1086</v>
      </c>
      <c r="H105" s="140" t="s">
        <v>1077</v>
      </c>
      <c r="I105" s="140" t="s">
        <v>459</v>
      </c>
      <c r="J105" s="141" t="s">
        <v>1079</v>
      </c>
      <c r="K105" s="142">
        <v>42287</v>
      </c>
      <c r="L105" s="142">
        <v>42336</v>
      </c>
      <c r="M105" s="134">
        <v>42350</v>
      </c>
      <c r="N105" s="140">
        <v>49</v>
      </c>
      <c r="O105" s="143"/>
      <c r="P105" s="135" t="s">
        <v>1080</v>
      </c>
      <c r="Q105" s="223" t="s">
        <v>18</v>
      </c>
      <c r="R105" s="223" t="s">
        <v>34</v>
      </c>
      <c r="S105" s="223" t="s">
        <v>17</v>
      </c>
      <c r="T105" s="224" t="str">
        <f t="shared" si="28"/>
        <v>MA</v>
      </c>
      <c r="U105" s="223" t="str">
        <f t="shared" si="29"/>
        <v>MA-ST-Inj</v>
      </c>
      <c r="V105" s="223" t="str">
        <f t="array" ref="V105">CONCATENATE(Q105,"-",R105)</f>
        <v>ST-Inj</v>
      </c>
      <c r="W105" s="239">
        <f>IF(ISERROR(VLOOKUP(T105,'15-16_DP_Tables'!$M$2:$V$8,MATCH(V105,INDEX('15-16_DP_Tables'!$M$2:$V$8,1,0),0),0)),0,VLOOKUP(T105,'15-16_DP_Tables'!$M$2:$V$8,MATCH(V105,INDEX('15-16_DP_Tables'!$M$2:$V$8,1,0),0),0))</f>
        <v>35.545833099999626</v>
      </c>
      <c r="X105" s="239">
        <f t="array" ref="X105">IF(ISERROR(VLOOKUP(T105,'15-16_DP_Tables'!$M$12:$V$18,MATCH(V105,INDEX('15-16_DP_Tables'!$M$12:$V$18,1,0),0),0)),0,VLOOKUP(T105,'15-16_DP_Tables'!$M$12:$V$18,MATCH(V105,INDEX('15-16_DP_Tables'!$M$12:$V$18,1,0),0),0))</f>
        <v>26.054166533332847</v>
      </c>
      <c r="Y105" s="223" t="str">
        <f t="shared" si="30"/>
        <v>Horizontal</v>
      </c>
      <c r="Z105" s="223">
        <v>5</v>
      </c>
      <c r="AA105" s="249" t="e">
        <f>VLOOKUP(T105,'Planning and Target Times'!$A$74:$L$78,MATCH(E105&amp;"-"&amp;Q105&amp;"-"&amp;Y105&amp;"-"&amp;R105,INDEX('Planning and Target Times'!$A$74:$L$78,1,0),0),0)</f>
        <v>#N/A</v>
      </c>
      <c r="AB105" s="249" t="e">
        <f>VLOOKUP(T105,'Planning and Target Times'!$A$97:$L$101,MATCH(E105&amp;"-"&amp;Q105&amp;"-"&amp;Y105&amp;"-"&amp;R105,INDEX('Planning and Target Times'!$A$97:$L$101,1,0),0),0)</f>
        <v>#N/A</v>
      </c>
      <c r="AC105" s="250">
        <f t="shared" si="24"/>
        <v>0</v>
      </c>
      <c r="AD105" s="250">
        <f t="shared" si="25"/>
        <v>0</v>
      </c>
      <c r="AE105" s="248">
        <f t="shared" si="26"/>
        <v>5886.0596047094868</v>
      </c>
      <c r="AF105" s="248">
        <f t="shared" si="31"/>
        <v>5063.9403952905132</v>
      </c>
      <c r="AG105" s="248">
        <f t="shared" ca="1" si="20"/>
        <v>-2016.0596047094868</v>
      </c>
      <c r="AH105" s="248">
        <f t="shared" ca="1" si="21"/>
        <v>-3822.0596047094868</v>
      </c>
      <c r="AI105" s="248">
        <f t="shared" si="27"/>
        <v>4739.8054986665729</v>
      </c>
      <c r="AJ105" s="248">
        <f t="shared" ca="1" si="22"/>
        <v>-869.80549866657293</v>
      </c>
      <c r="AK105" s="248">
        <f t="shared" ca="1" si="23"/>
        <v>-2675.8054986665729</v>
      </c>
    </row>
    <row r="106" spans="2:37" ht="15.95" customHeight="1" x14ac:dyDescent="0.25">
      <c r="B106" s="136">
        <v>148</v>
      </c>
      <c r="C106" s="144" t="s">
        <v>1240</v>
      </c>
      <c r="D106" s="194" t="s">
        <v>1239</v>
      </c>
      <c r="E106" s="150" t="s">
        <v>42</v>
      </c>
      <c r="F106" s="140" t="s">
        <v>22</v>
      </c>
      <c r="G106" s="140" t="s">
        <v>1076</v>
      </c>
      <c r="H106" s="140" t="s">
        <v>1082</v>
      </c>
      <c r="I106" s="140" t="s">
        <v>459</v>
      </c>
      <c r="J106" s="141" t="s">
        <v>1079</v>
      </c>
      <c r="K106" s="142">
        <v>42287</v>
      </c>
      <c r="L106" s="142">
        <v>42357</v>
      </c>
      <c r="M106" s="134">
        <v>42371</v>
      </c>
      <c r="N106" s="140">
        <v>70</v>
      </c>
      <c r="O106" s="143">
        <v>1800</v>
      </c>
      <c r="P106" s="135" t="s">
        <v>1080</v>
      </c>
      <c r="Q106" s="223" t="s">
        <v>14</v>
      </c>
      <c r="R106" s="223" t="s">
        <v>298</v>
      </c>
      <c r="S106" s="223" t="s">
        <v>22</v>
      </c>
      <c r="T106" s="224" t="str">
        <f t="shared" si="28"/>
        <v>LB</v>
      </c>
      <c r="U106" s="223" t="str">
        <f t="shared" si="29"/>
        <v>LB-NW-Prod</v>
      </c>
      <c r="V106" s="223" t="str">
        <f t="array" ref="V106">CONCATENATE(Q106,"-",R106)</f>
        <v>NW-Prod</v>
      </c>
      <c r="W106" s="239">
        <f>IF(ISERROR(VLOOKUP(T106,'15-16_DP_Tables'!$M$2:$V$8,MATCH(V106,INDEX('15-16_DP_Tables'!$M$2:$V$8,1,0),0),0)),0,VLOOKUP(T106,'15-16_DP_Tables'!$M$2:$V$8,MATCH(V106,INDEX('15-16_DP_Tables'!$M$2:$V$8,1,0),0),0))</f>
        <v>55.81537142381022</v>
      </c>
      <c r="X106" s="239">
        <f t="array" ref="X106">IF(ISERROR(VLOOKUP(T106,'15-16_DP_Tables'!$M$12:$V$18,MATCH(V106,INDEX('15-16_DP_Tables'!$M$12:$V$18,1,0),0),0)),0,VLOOKUP(T106,'15-16_DP_Tables'!$M$12:$V$18,MATCH(V106,INDEX('15-16_DP_Tables'!$M$12:$V$18,1,0),0),0))</f>
        <v>45.207999999999998</v>
      </c>
      <c r="Y106" s="223" t="str">
        <f t="shared" si="30"/>
        <v>Horizontal</v>
      </c>
      <c r="Z106" s="223">
        <v>5</v>
      </c>
      <c r="AA106" s="249" t="e">
        <f>VLOOKUP(T106,'Planning and Target Times'!$A$74:$L$78,MATCH(E106&amp;"-"&amp;Q106&amp;"-"&amp;Y106&amp;"-"&amp;R106,INDEX('Planning and Target Times'!$A$74:$L$78,1,0),0),0)</f>
        <v>#N/A</v>
      </c>
      <c r="AB106" s="249" t="e">
        <f>VLOOKUP(T106,'Planning and Target Times'!$A$97:$L$101,MATCH(E106&amp;"-"&amp;Q106&amp;"-"&amp;Y106&amp;"-"&amp;R106,INDEX('Planning and Target Times'!$A$97:$L$101,1,0),0),0)</f>
        <v>#N/A</v>
      </c>
      <c r="AC106" s="250">
        <f t="shared" si="24"/>
        <v>32.249180719993198</v>
      </c>
      <c r="AD106" s="250">
        <f t="shared" si="25"/>
        <v>39.815961776676694</v>
      </c>
      <c r="AE106" s="248">
        <f t="shared" si="26"/>
        <v>5946.8749761332974</v>
      </c>
      <c r="AF106" s="248">
        <f t="shared" si="31"/>
        <v>5003.1250238667026</v>
      </c>
      <c r="AG106" s="248">
        <f t="shared" ca="1" si="20"/>
        <v>-2076.8749761332974</v>
      </c>
      <c r="AH106" s="248">
        <f t="shared" ca="1" si="21"/>
        <v>-3882.8749761332974</v>
      </c>
      <c r="AI106" s="248">
        <f t="shared" si="27"/>
        <v>4790.0134986665726</v>
      </c>
      <c r="AJ106" s="248">
        <f t="shared" ca="1" si="22"/>
        <v>-920.01349866657256</v>
      </c>
      <c r="AK106" s="248">
        <f t="shared" ca="1" si="23"/>
        <v>-2726.0134986665726</v>
      </c>
    </row>
    <row r="107" spans="2:37" ht="15.95" customHeight="1" x14ac:dyDescent="0.25">
      <c r="B107" s="136">
        <v>40</v>
      </c>
      <c r="C107" s="151" t="s">
        <v>1124</v>
      </c>
      <c r="D107" s="165" t="s">
        <v>1116</v>
      </c>
      <c r="E107" s="150" t="s">
        <v>11</v>
      </c>
      <c r="F107" s="140" t="s">
        <v>17</v>
      </c>
      <c r="G107" s="140" t="s">
        <v>1076</v>
      </c>
      <c r="H107" s="140" t="s">
        <v>1082</v>
      </c>
      <c r="I107" s="140" t="s">
        <v>459</v>
      </c>
      <c r="J107" s="141" t="s">
        <v>1079</v>
      </c>
      <c r="K107" s="142">
        <v>42288</v>
      </c>
      <c r="L107" s="142">
        <v>42358</v>
      </c>
      <c r="M107" s="134">
        <v>42372</v>
      </c>
      <c r="N107" s="140">
        <v>70</v>
      </c>
      <c r="O107" s="143">
        <v>1400</v>
      </c>
      <c r="P107" s="135" t="s">
        <v>1080</v>
      </c>
      <c r="Q107" s="223" t="s">
        <v>14</v>
      </c>
      <c r="R107" s="223" t="s">
        <v>298</v>
      </c>
      <c r="S107" s="223" t="s">
        <v>17</v>
      </c>
      <c r="T107" s="224" t="str">
        <f t="shared" si="28"/>
        <v>MA</v>
      </c>
      <c r="U107" s="223" t="str">
        <f t="shared" si="29"/>
        <v>MA-NW-Prod</v>
      </c>
      <c r="V107" s="223" t="str">
        <f t="array" ref="V107">CONCATENATE(Q107,"-",R107)</f>
        <v>NW-Prod</v>
      </c>
      <c r="W107" s="239">
        <f>IF(ISERROR(VLOOKUP(T107,'15-16_DP_Tables'!$M$2:$V$8,MATCH(V107,INDEX('15-16_DP_Tables'!$M$2:$V$8,1,0),0),0)),0,VLOOKUP(T107,'15-16_DP_Tables'!$M$2:$V$8,MATCH(V107,INDEX('15-16_DP_Tables'!$M$2:$V$8,1,0),0),0))</f>
        <v>57.083333333332121</v>
      </c>
      <c r="X107" s="239">
        <f t="array" ref="X107">IF(ISERROR(VLOOKUP(T107,'15-16_DP_Tables'!$M$12:$V$18,MATCH(V107,INDEX('15-16_DP_Tables'!$M$12:$V$18,1,0),0),0)),0,VLOOKUP(T107,'15-16_DP_Tables'!$M$12:$V$18,MATCH(V107,INDEX('15-16_DP_Tables'!$M$12:$V$18,1,0),0),0))</f>
        <v>47.791666666664241</v>
      </c>
      <c r="Y107" s="223" t="str">
        <f t="shared" si="30"/>
        <v>Horizontal</v>
      </c>
      <c r="Z107" s="223">
        <v>5</v>
      </c>
      <c r="AA107" s="249" t="e">
        <f>VLOOKUP(T107,'Planning and Target Times'!$A$74:$L$78,MATCH(E107&amp;"-"&amp;Q107&amp;"-"&amp;Y107&amp;"-"&amp;R107,INDEX('Planning and Target Times'!$A$74:$L$78,1,0),0),0)</f>
        <v>#N/A</v>
      </c>
      <c r="AB107" s="249" t="e">
        <f>VLOOKUP(T107,'Planning and Target Times'!$A$97:$L$101,MATCH(E107&amp;"-"&amp;Q107&amp;"-"&amp;Y107&amp;"-"&amp;R107,INDEX('Planning and Target Times'!$A$97:$L$101,1,0),0),0)</f>
        <v>#N/A</v>
      </c>
      <c r="AC107" s="250">
        <f t="shared" si="24"/>
        <v>24.525547445255995</v>
      </c>
      <c r="AD107" s="250">
        <f t="shared" si="25"/>
        <v>29.293809938972714</v>
      </c>
      <c r="AE107" s="248">
        <f t="shared" si="26"/>
        <v>6008.9583094666295</v>
      </c>
      <c r="AF107" s="248">
        <f t="shared" si="31"/>
        <v>4941.0416905333705</v>
      </c>
      <c r="AG107" s="248">
        <f t="shared" ca="1" si="20"/>
        <v>-2138.9583094666295</v>
      </c>
      <c r="AH107" s="248">
        <f t="shared" ca="1" si="21"/>
        <v>-3944.9583094666295</v>
      </c>
      <c r="AI107" s="248">
        <f t="shared" si="27"/>
        <v>4842.8051653332368</v>
      </c>
      <c r="AJ107" s="248">
        <f t="shared" ca="1" si="22"/>
        <v>-972.8051653332368</v>
      </c>
      <c r="AK107" s="248">
        <f t="shared" ca="1" si="23"/>
        <v>-2778.8051653332368</v>
      </c>
    </row>
    <row r="108" spans="2:37" ht="15.95" customHeight="1" x14ac:dyDescent="0.25">
      <c r="B108" s="136">
        <v>31</v>
      </c>
      <c r="C108" s="144" t="s">
        <v>1114</v>
      </c>
      <c r="D108" s="157" t="s">
        <v>1107</v>
      </c>
      <c r="E108" s="150" t="s">
        <v>42</v>
      </c>
      <c r="F108" s="140" t="s">
        <v>29</v>
      </c>
      <c r="G108" s="140" t="s">
        <v>1076</v>
      </c>
      <c r="H108" s="140" t="s">
        <v>1082</v>
      </c>
      <c r="I108" s="140" t="s">
        <v>459</v>
      </c>
      <c r="J108" s="141" t="s">
        <v>1079</v>
      </c>
      <c r="K108" s="142">
        <v>42289</v>
      </c>
      <c r="L108" s="142">
        <v>42359</v>
      </c>
      <c r="M108" s="134">
        <v>42373</v>
      </c>
      <c r="N108" s="140">
        <v>70</v>
      </c>
      <c r="O108" s="143">
        <v>2000</v>
      </c>
      <c r="P108" s="135" t="s">
        <v>1080</v>
      </c>
      <c r="Q108" s="223" t="s">
        <v>14</v>
      </c>
      <c r="R108" s="223" t="s">
        <v>298</v>
      </c>
      <c r="S108" s="223" t="s">
        <v>29</v>
      </c>
      <c r="T108" s="224" t="str">
        <f t="shared" si="28"/>
        <v>UB</v>
      </c>
      <c r="U108" s="223" t="str">
        <f t="shared" si="29"/>
        <v>UB-NW-Prod</v>
      </c>
      <c r="V108" s="223" t="str">
        <f t="array" ref="V108">CONCATENATE(Q108,"-",R108)</f>
        <v>NW-Prod</v>
      </c>
      <c r="W108" s="239">
        <f>IF(ISERROR(VLOOKUP(T108,'15-16_DP_Tables'!$M$2:$V$8,MATCH(V108,INDEX('15-16_DP_Tables'!$M$2:$V$8,1,0),0),0)),0,VLOOKUP(T108,'15-16_DP_Tables'!$M$2:$V$8,MATCH(V108,INDEX('15-16_DP_Tables'!$M$2:$V$8,1,0),0),0))</f>
        <v>53.604164999999995</v>
      </c>
      <c r="X108" s="239">
        <f t="array" ref="X108">IF(ISERROR(VLOOKUP(T108,'15-16_DP_Tables'!$M$12:$V$18,MATCH(V108,INDEX('15-16_DP_Tables'!$M$12:$V$18,1,0),0),0)),0,VLOOKUP(T108,'15-16_DP_Tables'!$M$12:$V$18,MATCH(V108,INDEX('15-16_DP_Tables'!$M$12:$V$18,1,0),0),0))</f>
        <v>48</v>
      </c>
      <c r="Y108" s="223" t="str">
        <f t="shared" si="30"/>
        <v>Unknown</v>
      </c>
      <c r="Z108" s="223">
        <v>5</v>
      </c>
      <c r="AA108" s="249" t="e">
        <f>VLOOKUP(T108,'Planning and Target Times'!$A$74:$L$78,MATCH(E108&amp;"-"&amp;Q108&amp;"-"&amp;Y108&amp;"-"&amp;R108,INDEX('Planning and Target Times'!$A$74:$L$78,1,0),0),0)</f>
        <v>#N/A</v>
      </c>
      <c r="AB108" s="249" t="e">
        <f>VLOOKUP(T108,'Planning and Target Times'!$A$97:$L$101,MATCH(E108&amp;"-"&amp;Q108&amp;"-"&amp;Y108&amp;"-"&amp;R108,INDEX('Planning and Target Times'!$A$97:$L$101,1,0),0),0)</f>
        <v>#N/A</v>
      </c>
      <c r="AC108" s="250">
        <f t="shared" si="24"/>
        <v>37.31053361245344</v>
      </c>
      <c r="AD108" s="250">
        <f t="shared" si="25"/>
        <v>41.666666666666664</v>
      </c>
      <c r="AE108" s="248">
        <f t="shared" si="26"/>
        <v>6067.5624744666293</v>
      </c>
      <c r="AF108" s="248">
        <f t="shared" si="31"/>
        <v>4882.4375255333707</v>
      </c>
      <c r="AG108" s="248">
        <f t="shared" ca="1" si="20"/>
        <v>-2197.5624744666293</v>
      </c>
      <c r="AH108" s="248">
        <f t="shared" ca="1" si="21"/>
        <v>-4003.5624744666293</v>
      </c>
      <c r="AI108" s="248">
        <f t="shared" si="27"/>
        <v>4895.8051653332368</v>
      </c>
      <c r="AJ108" s="248">
        <f t="shared" ca="1" si="22"/>
        <v>-1025.8051653332368</v>
      </c>
      <c r="AK108" s="248">
        <f t="shared" ca="1" si="23"/>
        <v>-2831.8051653332368</v>
      </c>
    </row>
    <row r="109" spans="2:37" ht="15.95" customHeight="1" x14ac:dyDescent="0.25">
      <c r="B109" s="136">
        <v>59</v>
      </c>
      <c r="C109" s="144" t="s">
        <v>1145</v>
      </c>
      <c r="D109" s="178" t="s">
        <v>1137</v>
      </c>
      <c r="E109" s="139" t="s">
        <v>42</v>
      </c>
      <c r="F109" s="140" t="s">
        <v>17</v>
      </c>
      <c r="G109" s="140" t="s">
        <v>1076</v>
      </c>
      <c r="H109" s="140" t="s">
        <v>1082</v>
      </c>
      <c r="I109" s="140" t="s">
        <v>459</v>
      </c>
      <c r="J109" s="141" t="s">
        <v>1079</v>
      </c>
      <c r="K109" s="142">
        <v>42291</v>
      </c>
      <c r="L109" s="142">
        <v>42361</v>
      </c>
      <c r="M109" s="134">
        <v>42375</v>
      </c>
      <c r="N109" s="140">
        <v>70</v>
      </c>
      <c r="O109" s="143">
        <v>1500</v>
      </c>
      <c r="P109" s="143" t="s">
        <v>1080</v>
      </c>
      <c r="Q109" s="223" t="s">
        <v>14</v>
      </c>
      <c r="R109" s="223" t="s">
        <v>298</v>
      </c>
      <c r="S109" s="223" t="s">
        <v>17</v>
      </c>
      <c r="T109" s="224" t="str">
        <f t="shared" si="28"/>
        <v>MA</v>
      </c>
      <c r="U109" s="223" t="str">
        <f t="shared" si="29"/>
        <v>MA-NW-Prod</v>
      </c>
      <c r="V109" s="223" t="str">
        <f t="array" ref="V109">CONCATENATE(Q109,"-",R109)</f>
        <v>NW-Prod</v>
      </c>
      <c r="W109" s="239">
        <f>IF(ISERROR(VLOOKUP(T109,'15-16_DP_Tables'!$M$2:$V$8,MATCH(V109,INDEX('15-16_DP_Tables'!$M$2:$V$8,1,0),0),0)),0,VLOOKUP(T109,'15-16_DP_Tables'!$M$2:$V$8,MATCH(V109,INDEX('15-16_DP_Tables'!$M$2:$V$8,1,0),0),0))</f>
        <v>57.083333333332121</v>
      </c>
      <c r="X109" s="239">
        <f t="array" ref="X109">IF(ISERROR(VLOOKUP(T109,'15-16_DP_Tables'!$M$12:$V$18,MATCH(V109,INDEX('15-16_DP_Tables'!$M$12:$V$18,1,0),0),0)),0,VLOOKUP(T109,'15-16_DP_Tables'!$M$12:$V$18,MATCH(V109,INDEX('15-16_DP_Tables'!$M$12:$V$18,1,0),0),0))</f>
        <v>47.791666666664241</v>
      </c>
      <c r="Y109" s="223" t="str">
        <f t="shared" si="30"/>
        <v>Horizontal</v>
      </c>
      <c r="Z109" s="223">
        <v>5</v>
      </c>
      <c r="AA109" s="249" t="e">
        <f>VLOOKUP(T109,'Planning and Target Times'!$A$74:$L$78,MATCH(E109&amp;"-"&amp;Q109&amp;"-"&amp;Y109&amp;"-"&amp;R109,INDEX('Planning and Target Times'!$A$74:$L$78,1,0),0),0)</f>
        <v>#N/A</v>
      </c>
      <c r="AB109" s="249" t="e">
        <f>VLOOKUP(T109,'Planning and Target Times'!$A$97:$L$101,MATCH(E109&amp;"-"&amp;Q109&amp;"-"&amp;Y109&amp;"-"&amp;R109,INDEX('Planning and Target Times'!$A$97:$L$101,1,0),0),0)</f>
        <v>#N/A</v>
      </c>
      <c r="AC109" s="250">
        <f t="shared" si="24"/>
        <v>26.277372262774282</v>
      </c>
      <c r="AD109" s="250">
        <f t="shared" si="25"/>
        <v>31.386224934613622</v>
      </c>
      <c r="AE109" s="248">
        <f t="shared" si="26"/>
        <v>6129.6458077999614</v>
      </c>
      <c r="AF109" s="248">
        <f t="shared" si="31"/>
        <v>4820.3541922000386</v>
      </c>
      <c r="AG109" s="248">
        <f t="shared" ca="1" si="20"/>
        <v>-2259.6458077999614</v>
      </c>
      <c r="AH109" s="248">
        <f t="shared" ca="1" si="21"/>
        <v>-4065.6458077999614</v>
      </c>
      <c r="AI109" s="248">
        <f t="shared" si="27"/>
        <v>4948.596831999901</v>
      </c>
      <c r="AJ109" s="248">
        <f t="shared" ca="1" si="22"/>
        <v>-1078.596831999901</v>
      </c>
      <c r="AK109" s="248">
        <f t="shared" ca="1" si="23"/>
        <v>-2884.596831999901</v>
      </c>
    </row>
    <row r="110" spans="2:37" ht="15.95" customHeight="1" x14ac:dyDescent="0.25">
      <c r="B110" s="136">
        <v>67</v>
      </c>
      <c r="C110" s="144" t="s">
        <v>1153</v>
      </c>
      <c r="D110" s="180" t="s">
        <v>513</v>
      </c>
      <c r="E110" s="139" t="s">
        <v>11</v>
      </c>
      <c r="F110" s="140" t="s">
        <v>29</v>
      </c>
      <c r="G110" s="140" t="s">
        <v>1076</v>
      </c>
      <c r="H110" s="140" t="s">
        <v>1082</v>
      </c>
      <c r="I110" s="140" t="s">
        <v>459</v>
      </c>
      <c r="J110" s="141" t="s">
        <v>1079</v>
      </c>
      <c r="K110" s="142">
        <v>42296</v>
      </c>
      <c r="L110" s="142">
        <v>42366</v>
      </c>
      <c r="M110" s="134">
        <v>42380</v>
      </c>
      <c r="N110" s="140">
        <v>70</v>
      </c>
      <c r="O110" s="143">
        <v>1200</v>
      </c>
      <c r="P110" s="135" t="s">
        <v>1080</v>
      </c>
      <c r="Q110" s="223" t="s">
        <v>14</v>
      </c>
      <c r="R110" s="223" t="s">
        <v>298</v>
      </c>
      <c r="S110" s="223" t="s">
        <v>29</v>
      </c>
      <c r="T110" s="224" t="str">
        <f t="shared" si="28"/>
        <v>UB</v>
      </c>
      <c r="U110" s="223" t="str">
        <f t="shared" si="29"/>
        <v>UB-NW-Prod</v>
      </c>
      <c r="V110" s="223" t="str">
        <f t="array" ref="V110">CONCATENATE(Q110,"-",R110)</f>
        <v>NW-Prod</v>
      </c>
      <c r="W110" s="239">
        <f>IF(ISERROR(VLOOKUP(T110,'15-16_DP_Tables'!$M$2:$V$8,MATCH(V110,INDEX('15-16_DP_Tables'!$M$2:$V$8,1,0),0),0)),0,VLOOKUP(T110,'15-16_DP_Tables'!$M$2:$V$8,MATCH(V110,INDEX('15-16_DP_Tables'!$M$2:$V$8,1,0),0),0))</f>
        <v>53.604164999999995</v>
      </c>
      <c r="X110" s="239">
        <f t="array" ref="X110">IF(ISERROR(VLOOKUP(T110,'15-16_DP_Tables'!$M$12:$V$18,MATCH(V110,INDEX('15-16_DP_Tables'!$M$12:$V$18,1,0),0),0)),0,VLOOKUP(T110,'15-16_DP_Tables'!$M$12:$V$18,MATCH(V110,INDEX('15-16_DP_Tables'!$M$12:$V$18,1,0),0),0))</f>
        <v>48</v>
      </c>
      <c r="Y110" s="223" t="str">
        <f t="shared" si="30"/>
        <v>Slant</v>
      </c>
      <c r="Z110" s="223">
        <v>5</v>
      </c>
      <c r="AA110" s="249" t="e">
        <f>VLOOKUP(T110,'Planning and Target Times'!$A$74:$L$78,MATCH(E110&amp;"-"&amp;Q110&amp;"-"&amp;Y110&amp;"-"&amp;R110,INDEX('Planning and Target Times'!$A$74:$L$78,1,0),0),0)</f>
        <v>#N/A</v>
      </c>
      <c r="AB110" s="249" t="e">
        <f>VLOOKUP(T110,'Planning and Target Times'!$A$97:$L$101,MATCH(E110&amp;"-"&amp;Q110&amp;"-"&amp;Y110&amp;"-"&amp;R110,INDEX('Planning and Target Times'!$A$97:$L$101,1,0),0),0)</f>
        <v>#N/A</v>
      </c>
      <c r="AC110" s="250">
        <f t="shared" si="24"/>
        <v>22.386320167472064</v>
      </c>
      <c r="AD110" s="250">
        <f t="shared" si="25"/>
        <v>25</v>
      </c>
      <c r="AE110" s="248">
        <f t="shared" si="26"/>
        <v>6188.2499727999611</v>
      </c>
      <c r="AF110" s="248">
        <f t="shared" si="31"/>
        <v>4761.7500272000389</v>
      </c>
      <c r="AG110" s="248">
        <f t="shared" ca="1" si="20"/>
        <v>-2318.2499727999611</v>
      </c>
      <c r="AH110" s="248">
        <f t="shared" ca="1" si="21"/>
        <v>-4124.2499727999611</v>
      </c>
      <c r="AI110" s="248">
        <f t="shared" si="27"/>
        <v>5001.596831999901</v>
      </c>
      <c r="AJ110" s="248">
        <f t="shared" ca="1" si="22"/>
        <v>-1131.596831999901</v>
      </c>
      <c r="AK110" s="248">
        <f t="shared" ca="1" si="23"/>
        <v>-2937.596831999901</v>
      </c>
    </row>
    <row r="111" spans="2:37" ht="15.95" customHeight="1" x14ac:dyDescent="0.25">
      <c r="B111" s="136">
        <v>74</v>
      </c>
      <c r="C111" s="164" t="s">
        <v>1160</v>
      </c>
      <c r="D111" s="182" t="s">
        <v>512</v>
      </c>
      <c r="E111" s="139" t="s">
        <v>42</v>
      </c>
      <c r="F111" s="140" t="s">
        <v>17</v>
      </c>
      <c r="G111" s="140" t="s">
        <v>1076</v>
      </c>
      <c r="H111" s="140" t="s">
        <v>1082</v>
      </c>
      <c r="I111" s="140" t="s">
        <v>459</v>
      </c>
      <c r="J111" s="141" t="s">
        <v>1079</v>
      </c>
      <c r="K111" s="142">
        <v>42298</v>
      </c>
      <c r="L111" s="142">
        <v>42368</v>
      </c>
      <c r="M111" s="134">
        <v>42382</v>
      </c>
      <c r="N111" s="140">
        <v>70</v>
      </c>
      <c r="O111" s="143">
        <v>1500</v>
      </c>
      <c r="P111" s="135" t="s">
        <v>1080</v>
      </c>
      <c r="Q111" s="223" t="s">
        <v>14</v>
      </c>
      <c r="R111" s="223" t="s">
        <v>298</v>
      </c>
      <c r="S111" s="223" t="s">
        <v>17</v>
      </c>
      <c r="T111" s="224" t="str">
        <f t="shared" si="28"/>
        <v>MA</v>
      </c>
      <c r="U111" s="223" t="str">
        <f t="shared" si="29"/>
        <v>MA-NW-Prod</v>
      </c>
      <c r="V111" s="223" t="str">
        <f t="array" ref="V111">CONCATENATE(Q111,"-",R111)</f>
        <v>NW-Prod</v>
      </c>
      <c r="W111" s="239">
        <f>IF(ISERROR(VLOOKUP(T111,'15-16_DP_Tables'!$M$2:$V$8,MATCH(V111,INDEX('15-16_DP_Tables'!$M$2:$V$8,1,0),0),0)),0,VLOOKUP(T111,'15-16_DP_Tables'!$M$2:$V$8,MATCH(V111,INDEX('15-16_DP_Tables'!$M$2:$V$8,1,0),0),0))</f>
        <v>57.083333333332121</v>
      </c>
      <c r="X111" s="239">
        <f t="array" ref="X111">IF(ISERROR(VLOOKUP(T111,'15-16_DP_Tables'!$M$12:$V$18,MATCH(V111,INDEX('15-16_DP_Tables'!$M$12:$V$18,1,0),0),0)),0,VLOOKUP(T111,'15-16_DP_Tables'!$M$12:$V$18,MATCH(V111,INDEX('15-16_DP_Tables'!$M$12:$V$18,1,0),0),0))</f>
        <v>47.791666666664241</v>
      </c>
      <c r="Y111" s="223" t="str">
        <f t="shared" si="30"/>
        <v>Horizontal</v>
      </c>
      <c r="Z111" s="223">
        <v>5</v>
      </c>
      <c r="AA111" s="249" t="e">
        <f>VLOOKUP(T111,'Planning and Target Times'!$A$74:$L$78,MATCH(E111&amp;"-"&amp;Q111&amp;"-"&amp;Y111&amp;"-"&amp;R111,INDEX('Planning and Target Times'!$A$74:$L$78,1,0),0),0)</f>
        <v>#N/A</v>
      </c>
      <c r="AB111" s="249" t="e">
        <f>VLOOKUP(T111,'Planning and Target Times'!$A$97:$L$101,MATCH(E111&amp;"-"&amp;Q111&amp;"-"&amp;Y111&amp;"-"&amp;R111,INDEX('Planning and Target Times'!$A$97:$L$101,1,0),0),0)</f>
        <v>#N/A</v>
      </c>
      <c r="AC111" s="250">
        <f t="shared" si="24"/>
        <v>26.277372262774282</v>
      </c>
      <c r="AD111" s="250">
        <f t="shared" si="25"/>
        <v>31.386224934613622</v>
      </c>
      <c r="AE111" s="248">
        <f t="shared" si="26"/>
        <v>6250.3333061332933</v>
      </c>
      <c r="AF111" s="248">
        <f t="shared" si="31"/>
        <v>4699.6666938667067</v>
      </c>
      <c r="AG111" s="248">
        <f t="shared" ca="1" si="20"/>
        <v>-2380.3333061332933</v>
      </c>
      <c r="AH111" s="248">
        <f t="shared" ca="1" si="21"/>
        <v>-4186.3333061332933</v>
      </c>
      <c r="AI111" s="248">
        <f t="shared" si="27"/>
        <v>5054.3884986665653</v>
      </c>
      <c r="AJ111" s="248">
        <f t="shared" ca="1" si="22"/>
        <v>-1184.3884986665653</v>
      </c>
      <c r="AK111" s="248">
        <f t="shared" ca="1" si="23"/>
        <v>-2990.3884986665653</v>
      </c>
    </row>
    <row r="112" spans="2:37" ht="15.95" customHeight="1" x14ac:dyDescent="0.25">
      <c r="B112" s="136">
        <v>14</v>
      </c>
      <c r="C112" s="152" t="s">
        <v>1095</v>
      </c>
      <c r="D112" s="147" t="s">
        <v>430</v>
      </c>
      <c r="E112" s="150" t="s">
        <v>11</v>
      </c>
      <c r="F112" s="140" t="s">
        <v>17</v>
      </c>
      <c r="G112" s="140" t="s">
        <v>1076</v>
      </c>
      <c r="H112" s="140" t="s">
        <v>1082</v>
      </c>
      <c r="I112" s="140" t="s">
        <v>459</v>
      </c>
      <c r="J112" s="141" t="s">
        <v>1079</v>
      </c>
      <c r="K112" s="142">
        <v>42302</v>
      </c>
      <c r="L112" s="142">
        <v>42372</v>
      </c>
      <c r="M112" s="134">
        <v>42386</v>
      </c>
      <c r="N112" s="140">
        <v>70</v>
      </c>
      <c r="O112" s="143">
        <v>1400</v>
      </c>
      <c r="P112" s="143" t="s">
        <v>1096</v>
      </c>
      <c r="Q112" s="223" t="s">
        <v>14</v>
      </c>
      <c r="R112" s="223" t="s">
        <v>298</v>
      </c>
      <c r="S112" s="223" t="s">
        <v>17</v>
      </c>
      <c r="T112" s="224" t="str">
        <f t="shared" si="28"/>
        <v>MA</v>
      </c>
      <c r="U112" s="223" t="str">
        <f t="shared" si="29"/>
        <v>MA-NW-Prod</v>
      </c>
      <c r="V112" s="223" t="str">
        <f t="array" ref="V112">CONCATENATE(Q112,"-",R112)</f>
        <v>NW-Prod</v>
      </c>
      <c r="W112" s="239">
        <f>IF(ISERROR(VLOOKUP(T112,'15-16_DP_Tables'!$M$2:$V$8,MATCH(V112,INDEX('15-16_DP_Tables'!$M$2:$V$8,1,0),0),0)),0,VLOOKUP(T112,'15-16_DP_Tables'!$M$2:$V$8,MATCH(V112,INDEX('15-16_DP_Tables'!$M$2:$V$8,1,0),0),0))</f>
        <v>57.083333333332121</v>
      </c>
      <c r="X112" s="239">
        <f t="array" ref="X112">IF(ISERROR(VLOOKUP(T112,'15-16_DP_Tables'!$M$12:$V$18,MATCH(V112,INDEX('15-16_DP_Tables'!$M$12:$V$18,1,0),0),0)),0,VLOOKUP(T112,'15-16_DP_Tables'!$M$12:$V$18,MATCH(V112,INDEX('15-16_DP_Tables'!$M$12:$V$18,1,0),0),0))</f>
        <v>47.791666666664241</v>
      </c>
      <c r="Y112" s="223" t="str">
        <f t="shared" si="30"/>
        <v>Horizontal</v>
      </c>
      <c r="Z112" s="223">
        <v>5</v>
      </c>
      <c r="AA112" s="249" t="e">
        <f>VLOOKUP(T112,'Planning and Target Times'!$A$74:$L$78,MATCH(E112&amp;"-"&amp;Q112&amp;"-"&amp;Y112&amp;"-"&amp;R112,INDEX('Planning and Target Times'!$A$74:$L$78,1,0),0),0)</f>
        <v>#N/A</v>
      </c>
      <c r="AB112" s="249" t="e">
        <f>VLOOKUP(T112,'Planning and Target Times'!$A$97:$L$101,MATCH(E112&amp;"-"&amp;Q112&amp;"-"&amp;Y112&amp;"-"&amp;R112,INDEX('Planning and Target Times'!$A$97:$L$101,1,0),0),0)</f>
        <v>#N/A</v>
      </c>
      <c r="AC112" s="250">
        <f t="shared" si="24"/>
        <v>24.525547445255995</v>
      </c>
      <c r="AD112" s="250">
        <f t="shared" si="25"/>
        <v>29.293809938972714</v>
      </c>
      <c r="AE112" s="248">
        <f t="shared" si="26"/>
        <v>6312.4166394666254</v>
      </c>
      <c r="AF112" s="248">
        <f t="shared" si="31"/>
        <v>4637.5833605333746</v>
      </c>
      <c r="AG112" s="248">
        <f t="shared" ca="1" si="20"/>
        <v>-2442.4166394666254</v>
      </c>
      <c r="AH112" s="248">
        <f t="shared" ca="1" si="21"/>
        <v>-4248.4166394666254</v>
      </c>
      <c r="AI112" s="248">
        <f t="shared" si="27"/>
        <v>5107.1801653332295</v>
      </c>
      <c r="AJ112" s="248">
        <f t="shared" ca="1" si="22"/>
        <v>-1237.1801653332295</v>
      </c>
      <c r="AK112" s="248">
        <f t="shared" ca="1" si="23"/>
        <v>-3043.1801653332295</v>
      </c>
    </row>
    <row r="113" spans="2:37" ht="15.95" customHeight="1" x14ac:dyDescent="0.25">
      <c r="B113" s="136">
        <v>163</v>
      </c>
      <c r="C113" s="144" t="s">
        <v>1260</v>
      </c>
      <c r="D113" s="197" t="s">
        <v>1259</v>
      </c>
      <c r="E113" s="150" t="s">
        <v>42</v>
      </c>
      <c r="F113" s="140" t="s">
        <v>17</v>
      </c>
      <c r="G113" s="140" t="s">
        <v>1086</v>
      </c>
      <c r="H113" s="140" t="s">
        <v>1082</v>
      </c>
      <c r="I113" s="140" t="s">
        <v>459</v>
      </c>
      <c r="J113" s="141" t="s">
        <v>1079</v>
      </c>
      <c r="K113" s="142">
        <v>42311</v>
      </c>
      <c r="L113" s="142">
        <v>42374</v>
      </c>
      <c r="M113" s="134">
        <v>42388</v>
      </c>
      <c r="N113" s="140">
        <v>63</v>
      </c>
      <c r="O113" s="143"/>
      <c r="P113" s="135" t="s">
        <v>1096</v>
      </c>
      <c r="Q113" s="223" t="s">
        <v>14</v>
      </c>
      <c r="R113" s="223" t="s">
        <v>34</v>
      </c>
      <c r="S113" s="223" t="s">
        <v>17</v>
      </c>
      <c r="T113" s="224" t="str">
        <f t="shared" si="28"/>
        <v>MA</v>
      </c>
      <c r="U113" s="223" t="str">
        <f t="shared" si="29"/>
        <v>MA-NW-Inj</v>
      </c>
      <c r="V113" s="223" t="str">
        <f t="array" ref="V113">CONCATENATE(Q113,"-",R113)</f>
        <v>NW-Inj</v>
      </c>
      <c r="W113" s="239">
        <f>IF(ISERROR(VLOOKUP(T113,'15-16_DP_Tables'!$M$2:$V$8,MATCH(V113,INDEX('15-16_DP_Tables'!$M$2:$V$8,1,0),0),0)),0,VLOOKUP(T113,'15-16_DP_Tables'!$M$2:$V$8,MATCH(V113,INDEX('15-16_DP_Tables'!$M$2:$V$8,1,0),0),0))</f>
        <v>0</v>
      </c>
      <c r="X113" s="239">
        <f t="array" ref="X113">IF(ISERROR(VLOOKUP(T113,'15-16_DP_Tables'!$M$12:$V$18,MATCH(V113,INDEX('15-16_DP_Tables'!$M$12:$V$18,1,0),0),0)),0,VLOOKUP(T113,'15-16_DP_Tables'!$M$12:$V$18,MATCH(V113,INDEX('15-16_DP_Tables'!$M$12:$V$18,1,0),0),0))</f>
        <v>0</v>
      </c>
      <c r="Y113" s="223" t="str">
        <f t="shared" si="30"/>
        <v>Horizontal</v>
      </c>
      <c r="Z113" s="223">
        <v>5</v>
      </c>
      <c r="AA113" s="249" t="e">
        <f>VLOOKUP(T113,'Planning and Target Times'!$A$74:$L$78,MATCH(E113&amp;"-"&amp;Q113&amp;"-"&amp;Y113&amp;"-"&amp;R113,INDEX('Planning and Target Times'!$A$74:$L$78,1,0),0),0)</f>
        <v>#N/A</v>
      </c>
      <c r="AB113" s="249" t="e">
        <f>VLOOKUP(T113,'Planning and Target Times'!$A$97:$L$101,MATCH(E113&amp;"-"&amp;Q113&amp;"-"&amp;Y113&amp;"-"&amp;R113,INDEX('Planning and Target Times'!$A$97:$L$101,1,0),0),0)</f>
        <v>#N/A</v>
      </c>
      <c r="AC113" s="250">
        <f t="shared" si="24"/>
        <v>0</v>
      </c>
      <c r="AD113" s="250">
        <f t="shared" si="25"/>
        <v>0</v>
      </c>
      <c r="AE113" s="248">
        <f t="shared" si="26"/>
        <v>6317.4166394666254</v>
      </c>
      <c r="AF113" s="248">
        <f t="shared" si="31"/>
        <v>4632.5833605333746</v>
      </c>
      <c r="AG113" s="248">
        <f t="shared" ca="1" si="20"/>
        <v>-2447.4166394666254</v>
      </c>
      <c r="AH113" s="248">
        <f t="shared" ca="1" si="21"/>
        <v>-4253.4166394666254</v>
      </c>
      <c r="AI113" s="248">
        <f t="shared" si="27"/>
        <v>5112.1801653332295</v>
      </c>
      <c r="AJ113" s="248">
        <f t="shared" ca="1" si="22"/>
        <v>-1242.1801653332295</v>
      </c>
      <c r="AK113" s="248">
        <f t="shared" ca="1" si="23"/>
        <v>-3048.1801653332295</v>
      </c>
    </row>
    <row r="114" spans="2:37" ht="15.95" customHeight="1" x14ac:dyDescent="0.25">
      <c r="B114" s="136">
        <v>138</v>
      </c>
      <c r="C114" s="151" t="s">
        <v>1228</v>
      </c>
      <c r="D114" s="156" t="s">
        <v>1226</v>
      </c>
      <c r="E114" s="150" t="s">
        <v>42</v>
      </c>
      <c r="F114" s="140" t="s">
        <v>17</v>
      </c>
      <c r="G114" s="140" t="s">
        <v>1086</v>
      </c>
      <c r="H114" s="140" t="s">
        <v>1082</v>
      </c>
      <c r="I114" s="140" t="s">
        <v>459</v>
      </c>
      <c r="J114" s="141" t="s">
        <v>1079</v>
      </c>
      <c r="K114" s="142">
        <v>42312</v>
      </c>
      <c r="L114" s="142">
        <v>42375</v>
      </c>
      <c r="M114" s="134">
        <v>42389</v>
      </c>
      <c r="N114" s="140">
        <v>63</v>
      </c>
      <c r="O114" s="143"/>
      <c r="P114" s="135" t="s">
        <v>1080</v>
      </c>
      <c r="Q114" s="223" t="s">
        <v>14</v>
      </c>
      <c r="R114" s="223" t="s">
        <v>34</v>
      </c>
      <c r="S114" s="223" t="s">
        <v>17</v>
      </c>
      <c r="T114" s="224" t="str">
        <f t="shared" si="28"/>
        <v>MA</v>
      </c>
      <c r="U114" s="223" t="str">
        <f t="shared" si="29"/>
        <v>MA-NW-Inj</v>
      </c>
      <c r="V114" s="223" t="str">
        <f t="array" ref="V114">CONCATENATE(Q114,"-",R114)</f>
        <v>NW-Inj</v>
      </c>
      <c r="W114" s="239">
        <f>IF(ISERROR(VLOOKUP(T114,'15-16_DP_Tables'!$M$2:$V$8,MATCH(V114,INDEX('15-16_DP_Tables'!$M$2:$V$8,1,0),0),0)),0,VLOOKUP(T114,'15-16_DP_Tables'!$M$2:$V$8,MATCH(V114,INDEX('15-16_DP_Tables'!$M$2:$V$8,1,0),0),0))</f>
        <v>0</v>
      </c>
      <c r="X114" s="239">
        <f t="array" ref="X114">IF(ISERROR(VLOOKUP(T114,'15-16_DP_Tables'!$M$12:$V$18,MATCH(V114,INDEX('15-16_DP_Tables'!$M$12:$V$18,1,0),0),0)),0,VLOOKUP(T114,'15-16_DP_Tables'!$M$12:$V$18,MATCH(V114,INDEX('15-16_DP_Tables'!$M$12:$V$18,1,0),0),0))</f>
        <v>0</v>
      </c>
      <c r="Y114" s="223" t="str">
        <f t="shared" si="30"/>
        <v>Horizontal</v>
      </c>
      <c r="Z114" s="223">
        <v>5</v>
      </c>
      <c r="AA114" s="249" t="e">
        <f>VLOOKUP(T114,'Planning and Target Times'!$A$74:$L$78,MATCH(E114&amp;"-"&amp;Q114&amp;"-"&amp;Y114&amp;"-"&amp;R114,INDEX('Planning and Target Times'!$A$74:$L$78,1,0),0),0)</f>
        <v>#N/A</v>
      </c>
      <c r="AB114" s="249" t="e">
        <f>VLOOKUP(T114,'Planning and Target Times'!$A$97:$L$101,MATCH(E114&amp;"-"&amp;Q114&amp;"-"&amp;Y114&amp;"-"&amp;R114,INDEX('Planning and Target Times'!$A$97:$L$101,1,0),0),0)</f>
        <v>#N/A</v>
      </c>
      <c r="AC114" s="250">
        <f t="shared" si="24"/>
        <v>0</v>
      </c>
      <c r="AD114" s="250">
        <f t="shared" si="25"/>
        <v>0</v>
      </c>
      <c r="AE114" s="248">
        <f t="shared" si="26"/>
        <v>6322.4166394666254</v>
      </c>
      <c r="AF114" s="248">
        <f t="shared" si="31"/>
        <v>4627.5833605333746</v>
      </c>
      <c r="AG114" s="248">
        <f t="shared" ca="1" si="20"/>
        <v>-2452.4166394666254</v>
      </c>
      <c r="AH114" s="248">
        <f t="shared" ca="1" si="21"/>
        <v>-4258.4166394666254</v>
      </c>
      <c r="AI114" s="248">
        <f t="shared" si="27"/>
        <v>5117.1801653332295</v>
      </c>
      <c r="AJ114" s="248">
        <f t="shared" ca="1" si="22"/>
        <v>-1247.1801653332295</v>
      </c>
      <c r="AK114" s="248">
        <f t="shared" ca="1" si="23"/>
        <v>-3053.1801653332295</v>
      </c>
    </row>
    <row r="115" spans="2:37" ht="15.95" customHeight="1" x14ac:dyDescent="0.25">
      <c r="B115" s="136">
        <v>93</v>
      </c>
      <c r="C115" s="144" t="s">
        <v>1180</v>
      </c>
      <c r="D115" s="186" t="s">
        <v>35</v>
      </c>
      <c r="E115" s="150" t="s">
        <v>42</v>
      </c>
      <c r="F115" s="140" t="s">
        <v>44</v>
      </c>
      <c r="G115" s="140" t="s">
        <v>1076</v>
      </c>
      <c r="H115" s="140" t="s">
        <v>1082</v>
      </c>
      <c r="I115" s="140" t="s">
        <v>459</v>
      </c>
      <c r="J115" s="141" t="s">
        <v>1079</v>
      </c>
      <c r="K115" s="142">
        <v>42313</v>
      </c>
      <c r="L115" s="142">
        <v>42411</v>
      </c>
      <c r="M115" s="134">
        <v>42425</v>
      </c>
      <c r="N115" s="140">
        <v>98</v>
      </c>
      <c r="O115" s="140">
        <v>2200</v>
      </c>
      <c r="P115" s="135" t="s">
        <v>1080</v>
      </c>
      <c r="Q115" s="223" t="s">
        <v>14</v>
      </c>
      <c r="R115" s="223" t="s">
        <v>298</v>
      </c>
      <c r="S115" s="223" t="s">
        <v>44</v>
      </c>
      <c r="T115" s="224" t="str">
        <f t="shared" si="28"/>
        <v>ZU/RT</v>
      </c>
      <c r="U115" s="223" t="str">
        <f t="shared" si="29"/>
        <v>ZU-NW-Prod</v>
      </c>
      <c r="V115" s="223" t="str">
        <f t="array" ref="V115">CONCATENATE(Q115,"-",R115)</f>
        <v>NW-Prod</v>
      </c>
      <c r="W115" s="239">
        <f>IF(ISERROR(VLOOKUP(T115,'15-16_DP_Tables'!$M$2:$V$8,MATCH(V115,INDEX('15-16_DP_Tables'!$M$2:$V$8,1,0),0),0)),0,VLOOKUP(T115,'15-16_DP_Tables'!$M$2:$V$8,MATCH(V115,INDEX('15-16_DP_Tables'!$M$2:$V$8,1,0),0),0))</f>
        <v>99.088549999999998</v>
      </c>
      <c r="X115" s="239">
        <f t="array" ref="X115">IF(ISERROR(VLOOKUP(T115,'15-16_DP_Tables'!$M$12:$V$18,MATCH(V115,INDEX('15-16_DP_Tables'!$M$12:$V$18,1,0),0),0)),0,VLOOKUP(T115,'15-16_DP_Tables'!$M$12:$V$18,MATCH(V115,INDEX('15-16_DP_Tables'!$M$12:$V$18,1,0),0),0))</f>
        <v>53.375</v>
      </c>
      <c r="Y115" s="223" t="str">
        <f t="shared" si="30"/>
        <v>Unknown</v>
      </c>
      <c r="Z115" s="223">
        <v>5</v>
      </c>
      <c r="AA115" s="249" t="e">
        <f>VLOOKUP(T115,'Planning and Target Times'!$A$74:$L$78,MATCH(E115&amp;"-"&amp;Q115&amp;"-"&amp;Y115&amp;"-"&amp;R115,INDEX('Planning and Target Times'!$A$74:$L$78,1,0),0),0)</f>
        <v>#N/A</v>
      </c>
      <c r="AB115" s="249" t="e">
        <f>VLOOKUP(T115,'Planning and Target Times'!$A$97:$L$101,MATCH(E115&amp;"-"&amp;Q115&amp;"-"&amp;Y115&amp;"-"&amp;R115,INDEX('Planning and Target Times'!$A$97:$L$101,1,0),0),0)</f>
        <v>#N/A</v>
      </c>
      <c r="AC115" s="250">
        <f t="shared" si="24"/>
        <v>22.202363441588357</v>
      </c>
      <c r="AD115" s="250">
        <f t="shared" si="25"/>
        <v>41.217798594847778</v>
      </c>
      <c r="AE115" s="248">
        <f t="shared" si="26"/>
        <v>6426.5051894666258</v>
      </c>
      <c r="AF115" s="248">
        <f t="shared" si="31"/>
        <v>4523.4948105333742</v>
      </c>
      <c r="AG115" s="248">
        <f t="shared" ca="1" si="20"/>
        <v>-2556.5051894666258</v>
      </c>
      <c r="AH115" s="248">
        <f t="shared" ca="1" si="21"/>
        <v>-4362.5051894666258</v>
      </c>
      <c r="AI115" s="248">
        <f t="shared" si="27"/>
        <v>5175.5551653332295</v>
      </c>
      <c r="AJ115" s="248">
        <f t="shared" ca="1" si="22"/>
        <v>-1305.5551653332295</v>
      </c>
      <c r="AK115" s="248">
        <f t="shared" ca="1" si="23"/>
        <v>-3111.5551653332295</v>
      </c>
    </row>
    <row r="116" spans="2:37" ht="15.95" customHeight="1" x14ac:dyDescent="0.25">
      <c r="B116" s="136">
        <v>88</v>
      </c>
      <c r="C116" s="144" t="s">
        <v>1175</v>
      </c>
      <c r="D116" s="165" t="s">
        <v>1171</v>
      </c>
      <c r="E116" s="150" t="s">
        <v>11</v>
      </c>
      <c r="F116" s="140" t="s">
        <v>17</v>
      </c>
      <c r="G116" s="140" t="s">
        <v>1076</v>
      </c>
      <c r="H116" s="140" t="s">
        <v>1082</v>
      </c>
      <c r="I116" s="140" t="s">
        <v>459</v>
      </c>
      <c r="J116" s="141" t="s">
        <v>1079</v>
      </c>
      <c r="K116" s="142">
        <v>42316</v>
      </c>
      <c r="L116" s="142">
        <v>42386</v>
      </c>
      <c r="M116" s="134">
        <v>42400</v>
      </c>
      <c r="N116" s="140">
        <v>70</v>
      </c>
      <c r="O116" s="143">
        <v>1400</v>
      </c>
      <c r="P116" s="143" t="s">
        <v>1096</v>
      </c>
      <c r="Q116" s="223" t="s">
        <v>14</v>
      </c>
      <c r="R116" s="223" t="s">
        <v>298</v>
      </c>
      <c r="S116" s="223" t="s">
        <v>17</v>
      </c>
      <c r="T116" s="224" t="str">
        <f t="shared" si="28"/>
        <v>MA</v>
      </c>
      <c r="U116" s="223" t="str">
        <f t="shared" si="29"/>
        <v>MA-NW-Prod</v>
      </c>
      <c r="V116" s="223" t="str">
        <f t="array" ref="V116">CONCATENATE(Q116,"-",R116)</f>
        <v>NW-Prod</v>
      </c>
      <c r="W116" s="239">
        <f>IF(ISERROR(VLOOKUP(T116,'15-16_DP_Tables'!$M$2:$V$8,MATCH(V116,INDEX('15-16_DP_Tables'!$M$2:$V$8,1,0),0),0)),0,VLOOKUP(T116,'15-16_DP_Tables'!$M$2:$V$8,MATCH(V116,INDEX('15-16_DP_Tables'!$M$2:$V$8,1,0),0),0))</f>
        <v>57.083333333332121</v>
      </c>
      <c r="X116" s="239">
        <f t="array" ref="X116">IF(ISERROR(VLOOKUP(T116,'15-16_DP_Tables'!$M$12:$V$18,MATCH(V116,INDEX('15-16_DP_Tables'!$M$12:$V$18,1,0),0),0)),0,VLOOKUP(T116,'15-16_DP_Tables'!$M$12:$V$18,MATCH(V116,INDEX('15-16_DP_Tables'!$M$12:$V$18,1,0),0),0))</f>
        <v>47.791666666664241</v>
      </c>
      <c r="Y116" s="223" t="str">
        <f t="shared" si="30"/>
        <v>Unknown</v>
      </c>
      <c r="Z116" s="223">
        <v>5</v>
      </c>
      <c r="AA116" s="249" t="e">
        <f>VLOOKUP(T116,'Planning and Target Times'!$A$74:$L$78,MATCH(E116&amp;"-"&amp;Q116&amp;"-"&amp;Y116&amp;"-"&amp;R116,INDEX('Planning and Target Times'!$A$74:$L$78,1,0),0),0)</f>
        <v>#N/A</v>
      </c>
      <c r="AB116" s="249" t="e">
        <f>VLOOKUP(T116,'Planning and Target Times'!$A$97:$L$101,MATCH(E116&amp;"-"&amp;Q116&amp;"-"&amp;Y116&amp;"-"&amp;R116,INDEX('Planning and Target Times'!$A$97:$L$101,1,0),0),0)</f>
        <v>#N/A</v>
      </c>
      <c r="AC116" s="250">
        <f t="shared" si="24"/>
        <v>24.525547445255995</v>
      </c>
      <c r="AD116" s="250">
        <f t="shared" si="25"/>
        <v>29.293809938972714</v>
      </c>
      <c r="AE116" s="248">
        <f t="shared" si="26"/>
        <v>6488.5885227999579</v>
      </c>
      <c r="AF116" s="248">
        <f t="shared" si="31"/>
        <v>4461.4114772000421</v>
      </c>
      <c r="AG116" s="248">
        <f t="shared" ca="1" si="20"/>
        <v>-2618.5885227999579</v>
      </c>
      <c r="AH116" s="248">
        <f t="shared" ca="1" si="21"/>
        <v>-4424.5885227999579</v>
      </c>
      <c r="AI116" s="248">
        <f t="shared" si="27"/>
        <v>5228.3468319998938</v>
      </c>
      <c r="AJ116" s="248">
        <f t="shared" ca="1" si="22"/>
        <v>-1358.3468319998938</v>
      </c>
      <c r="AK116" s="248">
        <f t="shared" ca="1" si="23"/>
        <v>-3164.3468319998938</v>
      </c>
    </row>
    <row r="117" spans="2:37" ht="15.95" customHeight="1" x14ac:dyDescent="0.25">
      <c r="B117" s="136">
        <v>152</v>
      </c>
      <c r="C117" s="144" t="s">
        <v>1245</v>
      </c>
      <c r="D117" s="153" t="s">
        <v>1244</v>
      </c>
      <c r="E117" s="150" t="s">
        <v>11</v>
      </c>
      <c r="F117" s="140" t="s">
        <v>17</v>
      </c>
      <c r="G117" s="140" t="s">
        <v>1076</v>
      </c>
      <c r="H117" s="140" t="s">
        <v>1082</v>
      </c>
      <c r="I117" s="140" t="s">
        <v>459</v>
      </c>
      <c r="J117" s="141" t="s">
        <v>1079</v>
      </c>
      <c r="K117" s="142">
        <v>42318</v>
      </c>
      <c r="L117" s="142">
        <v>42388</v>
      </c>
      <c r="M117" s="134">
        <v>42402</v>
      </c>
      <c r="N117" s="140">
        <v>70</v>
      </c>
      <c r="O117" s="143">
        <v>1400</v>
      </c>
      <c r="P117" s="135" t="s">
        <v>1096</v>
      </c>
      <c r="Q117" s="223" t="s">
        <v>14</v>
      </c>
      <c r="R117" s="223" t="s">
        <v>298</v>
      </c>
      <c r="S117" s="223" t="s">
        <v>17</v>
      </c>
      <c r="T117" s="224" t="str">
        <f t="shared" si="28"/>
        <v>MA</v>
      </c>
      <c r="U117" s="223" t="str">
        <f t="shared" si="29"/>
        <v>MA-NW-Prod</v>
      </c>
      <c r="V117" s="223" t="str">
        <f t="array" ref="V117">CONCATENATE(Q117,"-",R117)</f>
        <v>NW-Prod</v>
      </c>
      <c r="W117" s="239">
        <f>IF(ISERROR(VLOOKUP(T117,'15-16_DP_Tables'!$M$2:$V$8,MATCH(V117,INDEX('15-16_DP_Tables'!$M$2:$V$8,1,0),0),0)),0,VLOOKUP(T117,'15-16_DP_Tables'!$M$2:$V$8,MATCH(V117,INDEX('15-16_DP_Tables'!$M$2:$V$8,1,0),0),0))</f>
        <v>57.083333333332121</v>
      </c>
      <c r="X117" s="239">
        <f t="array" ref="X117">IF(ISERROR(VLOOKUP(T117,'15-16_DP_Tables'!$M$12:$V$18,MATCH(V117,INDEX('15-16_DP_Tables'!$M$12:$V$18,1,0),0),0)),0,VLOOKUP(T117,'15-16_DP_Tables'!$M$12:$V$18,MATCH(V117,INDEX('15-16_DP_Tables'!$M$12:$V$18,1,0),0),0))</f>
        <v>47.791666666664241</v>
      </c>
      <c r="Y117" s="223" t="str">
        <f t="shared" si="30"/>
        <v>Horizontal</v>
      </c>
      <c r="Z117" s="223">
        <v>5</v>
      </c>
      <c r="AA117" s="249" t="e">
        <f>VLOOKUP(T117,'Planning and Target Times'!$A$74:$L$78,MATCH(E117&amp;"-"&amp;Q117&amp;"-"&amp;Y117&amp;"-"&amp;R117,INDEX('Planning and Target Times'!$A$74:$L$78,1,0),0),0)</f>
        <v>#N/A</v>
      </c>
      <c r="AB117" s="249" t="e">
        <f>VLOOKUP(T117,'Planning and Target Times'!$A$97:$L$101,MATCH(E117&amp;"-"&amp;Q117&amp;"-"&amp;Y117&amp;"-"&amp;R117,INDEX('Planning and Target Times'!$A$97:$L$101,1,0),0),0)</f>
        <v>#N/A</v>
      </c>
      <c r="AC117" s="250">
        <f t="shared" si="24"/>
        <v>24.525547445255995</v>
      </c>
      <c r="AD117" s="250">
        <f t="shared" si="25"/>
        <v>29.293809938972714</v>
      </c>
      <c r="AE117" s="248">
        <f t="shared" si="26"/>
        <v>6550.67185613329</v>
      </c>
      <c r="AF117" s="248">
        <f t="shared" si="31"/>
        <v>4399.32814386671</v>
      </c>
      <c r="AG117" s="248">
        <f t="shared" ca="1" si="20"/>
        <v>-2680.67185613329</v>
      </c>
      <c r="AH117" s="248">
        <f t="shared" ca="1" si="21"/>
        <v>-4486.67185613329</v>
      </c>
      <c r="AI117" s="248">
        <f t="shared" si="27"/>
        <v>5281.138498666558</v>
      </c>
      <c r="AJ117" s="248">
        <f t="shared" ca="1" si="22"/>
        <v>-1411.138498666558</v>
      </c>
      <c r="AK117" s="248">
        <f t="shared" ca="1" si="23"/>
        <v>-3217.138498666558</v>
      </c>
    </row>
    <row r="118" spans="2:37" ht="15.95" customHeight="1" x14ac:dyDescent="0.25">
      <c r="B118" s="136">
        <v>155</v>
      </c>
      <c r="C118" s="144" t="s">
        <v>1249</v>
      </c>
      <c r="D118" s="195" t="s">
        <v>1248</v>
      </c>
      <c r="E118" s="150" t="s">
        <v>42</v>
      </c>
      <c r="F118" s="140" t="s">
        <v>44</v>
      </c>
      <c r="G118" s="140" t="s">
        <v>1076</v>
      </c>
      <c r="H118" s="140" t="s">
        <v>1082</v>
      </c>
      <c r="I118" s="140" t="s">
        <v>459</v>
      </c>
      <c r="J118" s="141" t="s">
        <v>1079</v>
      </c>
      <c r="K118" s="142">
        <v>42318</v>
      </c>
      <c r="L118" s="142">
        <v>42416</v>
      </c>
      <c r="M118" s="134">
        <v>42430</v>
      </c>
      <c r="N118" s="140">
        <v>98</v>
      </c>
      <c r="O118" s="143">
        <v>2200</v>
      </c>
      <c r="P118" s="143" t="s">
        <v>1096</v>
      </c>
      <c r="Q118" s="223" t="s">
        <v>14</v>
      </c>
      <c r="R118" s="223" t="s">
        <v>298</v>
      </c>
      <c r="S118" s="223" t="s">
        <v>44</v>
      </c>
      <c r="T118" s="224" t="str">
        <f t="shared" si="28"/>
        <v>ZU/RT</v>
      </c>
      <c r="U118" s="223" t="str">
        <f t="shared" si="29"/>
        <v>ZU-NW-Prod</v>
      </c>
      <c r="V118" s="223" t="str">
        <f t="array" ref="V118">CONCATENATE(Q118,"-",R118)</f>
        <v>NW-Prod</v>
      </c>
      <c r="W118" s="239">
        <f>IF(ISERROR(VLOOKUP(T118,'15-16_DP_Tables'!$M$2:$V$8,MATCH(V118,INDEX('15-16_DP_Tables'!$M$2:$V$8,1,0),0),0)),0,VLOOKUP(T118,'15-16_DP_Tables'!$M$2:$V$8,MATCH(V118,INDEX('15-16_DP_Tables'!$M$2:$V$8,1,0),0),0))</f>
        <v>99.088549999999998</v>
      </c>
      <c r="X118" s="239">
        <f t="array" ref="X118">IF(ISERROR(VLOOKUP(T118,'15-16_DP_Tables'!$M$12:$V$18,MATCH(V118,INDEX('15-16_DP_Tables'!$M$12:$V$18,1,0),0),0)),0,VLOOKUP(T118,'15-16_DP_Tables'!$M$12:$V$18,MATCH(V118,INDEX('15-16_DP_Tables'!$M$12:$V$18,1,0),0),0))</f>
        <v>53.375</v>
      </c>
      <c r="Y118" s="223" t="str">
        <f t="shared" si="30"/>
        <v>Unknown</v>
      </c>
      <c r="Z118" s="223">
        <v>5</v>
      </c>
      <c r="AA118" s="249" t="e">
        <f>VLOOKUP(T118,'Planning and Target Times'!$A$74:$L$78,MATCH(E118&amp;"-"&amp;Q118&amp;"-"&amp;Y118&amp;"-"&amp;R118,INDEX('Planning and Target Times'!$A$74:$L$78,1,0),0),0)</f>
        <v>#N/A</v>
      </c>
      <c r="AB118" s="249" t="e">
        <f>VLOOKUP(T118,'Planning and Target Times'!$A$97:$L$101,MATCH(E118&amp;"-"&amp;Q118&amp;"-"&amp;Y118&amp;"-"&amp;R118,INDEX('Planning and Target Times'!$A$97:$L$101,1,0),0),0)</f>
        <v>#N/A</v>
      </c>
      <c r="AC118" s="250">
        <f t="shared" si="24"/>
        <v>22.202363441588357</v>
      </c>
      <c r="AD118" s="250">
        <f t="shared" si="25"/>
        <v>41.217798594847778</v>
      </c>
      <c r="AE118" s="248">
        <f t="shared" si="26"/>
        <v>6654.7604061332904</v>
      </c>
      <c r="AF118" s="248">
        <f t="shared" si="31"/>
        <v>4295.2395938667096</v>
      </c>
      <c r="AG118" s="248">
        <f t="shared" ca="1" si="20"/>
        <v>-2784.7604061332904</v>
      </c>
      <c r="AH118" s="248">
        <f t="shared" ca="1" si="21"/>
        <v>-4590.7604061332904</v>
      </c>
      <c r="AI118" s="248">
        <f t="shared" si="27"/>
        <v>5339.513498666558</v>
      </c>
      <c r="AJ118" s="248">
        <f t="shared" ca="1" si="22"/>
        <v>-1469.513498666558</v>
      </c>
      <c r="AK118" s="248">
        <f t="shared" ca="1" si="23"/>
        <v>-3275.513498666558</v>
      </c>
    </row>
    <row r="119" spans="2:37" ht="15.95" customHeight="1" x14ac:dyDescent="0.25">
      <c r="B119" s="136">
        <v>157</v>
      </c>
      <c r="C119" s="144" t="s">
        <v>1252</v>
      </c>
      <c r="D119" s="196" t="s">
        <v>1251</v>
      </c>
      <c r="E119" s="150" t="s">
        <v>11</v>
      </c>
      <c r="F119" s="140" t="s">
        <v>17</v>
      </c>
      <c r="G119" s="140" t="s">
        <v>1086</v>
      </c>
      <c r="H119" s="140" t="s">
        <v>1082</v>
      </c>
      <c r="I119" s="140" t="s">
        <v>459</v>
      </c>
      <c r="J119" s="141" t="s">
        <v>1079</v>
      </c>
      <c r="K119" s="142">
        <v>42318</v>
      </c>
      <c r="L119" s="142">
        <v>42381</v>
      </c>
      <c r="M119" s="134">
        <v>42395</v>
      </c>
      <c r="N119" s="140">
        <v>63</v>
      </c>
      <c r="O119" s="143"/>
      <c r="P119" s="143" t="s">
        <v>1096</v>
      </c>
      <c r="Q119" s="223" t="s">
        <v>14</v>
      </c>
      <c r="R119" s="223" t="s">
        <v>34</v>
      </c>
      <c r="S119" s="223" t="s">
        <v>17</v>
      </c>
      <c r="T119" s="224" t="str">
        <f t="shared" si="28"/>
        <v>MA</v>
      </c>
      <c r="U119" s="223" t="str">
        <f t="shared" si="29"/>
        <v>MA-NW-Inj</v>
      </c>
      <c r="V119" s="223" t="str">
        <f t="array" ref="V119">CONCATENATE(Q119,"-",R119)</f>
        <v>NW-Inj</v>
      </c>
      <c r="W119" s="239">
        <f>IF(ISERROR(VLOOKUP(T119,'15-16_DP_Tables'!$M$2:$V$8,MATCH(V119,INDEX('15-16_DP_Tables'!$M$2:$V$8,1,0),0),0)),0,VLOOKUP(T119,'15-16_DP_Tables'!$M$2:$V$8,MATCH(V119,INDEX('15-16_DP_Tables'!$M$2:$V$8,1,0),0),0))</f>
        <v>0</v>
      </c>
      <c r="X119" s="239">
        <f t="array" ref="X119">IF(ISERROR(VLOOKUP(T119,'15-16_DP_Tables'!$M$12:$V$18,MATCH(V119,INDEX('15-16_DP_Tables'!$M$12:$V$18,1,0),0),0)),0,VLOOKUP(T119,'15-16_DP_Tables'!$M$12:$V$18,MATCH(V119,INDEX('15-16_DP_Tables'!$M$12:$V$18,1,0),0),0))</f>
        <v>0</v>
      </c>
      <c r="Y119" s="223" t="str">
        <f t="shared" si="30"/>
        <v>Horizontal</v>
      </c>
      <c r="Z119" s="223">
        <v>5</v>
      </c>
      <c r="AA119" s="249" t="e">
        <f>VLOOKUP(T119,'Planning and Target Times'!$A$74:$L$78,MATCH(E119&amp;"-"&amp;Q119&amp;"-"&amp;Y119&amp;"-"&amp;R119,INDEX('Planning and Target Times'!$A$74:$L$78,1,0),0),0)</f>
        <v>#N/A</v>
      </c>
      <c r="AB119" s="249" t="e">
        <f>VLOOKUP(T119,'Planning and Target Times'!$A$97:$L$101,MATCH(E119&amp;"-"&amp;Q119&amp;"-"&amp;Y119&amp;"-"&amp;R119,INDEX('Planning and Target Times'!$A$97:$L$101,1,0),0),0)</f>
        <v>#N/A</v>
      </c>
      <c r="AC119" s="250">
        <f t="shared" si="24"/>
        <v>0</v>
      </c>
      <c r="AD119" s="250">
        <f t="shared" si="25"/>
        <v>0</v>
      </c>
      <c r="AE119" s="248">
        <f t="shared" si="26"/>
        <v>6659.7604061332904</v>
      </c>
      <c r="AF119" s="248">
        <f t="shared" si="31"/>
        <v>4290.2395938667096</v>
      </c>
      <c r="AG119" s="248">
        <f t="shared" ca="1" si="20"/>
        <v>-2789.7604061332904</v>
      </c>
      <c r="AH119" s="248">
        <f t="shared" ca="1" si="21"/>
        <v>-4595.7604061332904</v>
      </c>
      <c r="AI119" s="248">
        <f t="shared" si="27"/>
        <v>5344.513498666558</v>
      </c>
      <c r="AJ119" s="248">
        <f t="shared" ca="1" si="22"/>
        <v>-1474.513498666558</v>
      </c>
      <c r="AK119" s="248">
        <f t="shared" ca="1" si="23"/>
        <v>-3280.513498666558</v>
      </c>
    </row>
    <row r="120" spans="2:37" ht="15.95" customHeight="1" x14ac:dyDescent="0.25">
      <c r="B120" s="136">
        <v>160</v>
      </c>
      <c r="C120" s="144" t="s">
        <v>1256</v>
      </c>
      <c r="D120" s="193" t="s">
        <v>1255</v>
      </c>
      <c r="E120" s="150" t="s">
        <v>42</v>
      </c>
      <c r="F120" s="140" t="s">
        <v>17</v>
      </c>
      <c r="G120" s="140" t="s">
        <v>1086</v>
      </c>
      <c r="H120" s="140" t="s">
        <v>1082</v>
      </c>
      <c r="I120" s="140" t="s">
        <v>459</v>
      </c>
      <c r="J120" s="141" t="s">
        <v>1079</v>
      </c>
      <c r="K120" s="142">
        <v>42318</v>
      </c>
      <c r="L120" s="142">
        <v>42381</v>
      </c>
      <c r="M120" s="134">
        <v>42395</v>
      </c>
      <c r="N120" s="140">
        <v>63</v>
      </c>
      <c r="O120" s="143"/>
      <c r="P120" s="143" t="s">
        <v>1096</v>
      </c>
      <c r="Q120" s="223" t="s">
        <v>14</v>
      </c>
      <c r="R120" s="223" t="s">
        <v>34</v>
      </c>
      <c r="S120" s="223" t="s">
        <v>17</v>
      </c>
      <c r="T120" s="224" t="str">
        <f t="shared" si="28"/>
        <v>MA</v>
      </c>
      <c r="U120" s="223" t="str">
        <f t="shared" si="29"/>
        <v>MA-NW-Inj</v>
      </c>
      <c r="V120" s="223" t="str">
        <f t="array" ref="V120">CONCATENATE(Q120,"-",R120)</f>
        <v>NW-Inj</v>
      </c>
      <c r="W120" s="239">
        <f>IF(ISERROR(VLOOKUP(T120,'15-16_DP_Tables'!$M$2:$V$8,MATCH(V120,INDEX('15-16_DP_Tables'!$M$2:$V$8,1,0),0),0)),0,VLOOKUP(T120,'15-16_DP_Tables'!$M$2:$V$8,MATCH(V120,INDEX('15-16_DP_Tables'!$M$2:$V$8,1,0),0),0))</f>
        <v>0</v>
      </c>
      <c r="X120" s="239">
        <f t="array" ref="X120">IF(ISERROR(VLOOKUP(T120,'15-16_DP_Tables'!$M$12:$V$18,MATCH(V120,INDEX('15-16_DP_Tables'!$M$12:$V$18,1,0),0),0)),0,VLOOKUP(T120,'15-16_DP_Tables'!$M$12:$V$18,MATCH(V120,INDEX('15-16_DP_Tables'!$M$12:$V$18,1,0),0),0))</f>
        <v>0</v>
      </c>
      <c r="Y120" s="223" t="str">
        <f t="shared" si="30"/>
        <v>Horizontal</v>
      </c>
      <c r="Z120" s="223">
        <v>5</v>
      </c>
      <c r="AA120" s="249" t="e">
        <f>VLOOKUP(T120,'Planning and Target Times'!$A$74:$L$78,MATCH(E120&amp;"-"&amp;Q120&amp;"-"&amp;Y120&amp;"-"&amp;R120,INDEX('Planning and Target Times'!$A$74:$L$78,1,0),0),0)</f>
        <v>#N/A</v>
      </c>
      <c r="AB120" s="249" t="e">
        <f>VLOOKUP(T120,'Planning and Target Times'!$A$97:$L$101,MATCH(E120&amp;"-"&amp;Q120&amp;"-"&amp;Y120&amp;"-"&amp;R120,INDEX('Planning and Target Times'!$A$97:$L$101,1,0),0),0)</f>
        <v>#N/A</v>
      </c>
      <c r="AC120" s="250">
        <f t="shared" si="24"/>
        <v>0</v>
      </c>
      <c r="AD120" s="250">
        <f t="shared" si="25"/>
        <v>0</v>
      </c>
      <c r="AE120" s="248">
        <f t="shared" si="26"/>
        <v>6664.7604061332904</v>
      </c>
      <c r="AF120" s="248">
        <f t="shared" si="31"/>
        <v>4285.2395938667096</v>
      </c>
      <c r="AG120" s="248">
        <f t="shared" ca="1" si="20"/>
        <v>-2794.7604061332904</v>
      </c>
      <c r="AH120" s="248">
        <f t="shared" ca="1" si="21"/>
        <v>-4600.7604061332904</v>
      </c>
      <c r="AI120" s="248">
        <f t="shared" si="27"/>
        <v>5349.513498666558</v>
      </c>
      <c r="AJ120" s="248">
        <f t="shared" ca="1" si="22"/>
        <v>-1479.513498666558</v>
      </c>
      <c r="AK120" s="248">
        <f t="shared" ca="1" si="23"/>
        <v>-3285.513498666558</v>
      </c>
    </row>
    <row r="121" spans="2:37" ht="15.95" customHeight="1" x14ac:dyDescent="0.25">
      <c r="B121" s="136">
        <v>167</v>
      </c>
      <c r="C121" s="144" t="s">
        <v>1265</v>
      </c>
      <c r="D121" s="198" t="s">
        <v>1264</v>
      </c>
      <c r="E121" s="150" t="s">
        <v>11</v>
      </c>
      <c r="F121" s="140" t="s">
        <v>17</v>
      </c>
      <c r="G121" s="140" t="s">
        <v>1076</v>
      </c>
      <c r="H121" s="140" t="s">
        <v>1082</v>
      </c>
      <c r="I121" s="140" t="s">
        <v>459</v>
      </c>
      <c r="J121" s="141" t="s">
        <v>1079</v>
      </c>
      <c r="K121" s="142">
        <v>42318</v>
      </c>
      <c r="L121" s="142">
        <v>42388</v>
      </c>
      <c r="M121" s="134">
        <v>42402</v>
      </c>
      <c r="N121" s="140">
        <v>70</v>
      </c>
      <c r="O121" s="143">
        <v>1400</v>
      </c>
      <c r="P121" s="135" t="s">
        <v>1096</v>
      </c>
      <c r="Q121" s="223" t="s">
        <v>14</v>
      </c>
      <c r="R121" s="223" t="s">
        <v>298</v>
      </c>
      <c r="S121" s="223" t="s">
        <v>17</v>
      </c>
      <c r="T121" s="224" t="str">
        <f t="shared" si="28"/>
        <v>MA</v>
      </c>
      <c r="U121" s="223" t="str">
        <f t="shared" si="29"/>
        <v>MA-NW-Prod</v>
      </c>
      <c r="V121" s="223" t="str">
        <f t="array" ref="V121">CONCATENATE(Q121,"-",R121)</f>
        <v>NW-Prod</v>
      </c>
      <c r="W121" s="239">
        <f>IF(ISERROR(VLOOKUP(T121,'15-16_DP_Tables'!$M$2:$V$8,MATCH(V121,INDEX('15-16_DP_Tables'!$M$2:$V$8,1,0),0),0)),0,VLOOKUP(T121,'15-16_DP_Tables'!$M$2:$V$8,MATCH(V121,INDEX('15-16_DP_Tables'!$M$2:$V$8,1,0),0),0))</f>
        <v>57.083333333332121</v>
      </c>
      <c r="X121" s="239">
        <f t="array" ref="X121">IF(ISERROR(VLOOKUP(T121,'15-16_DP_Tables'!$M$12:$V$18,MATCH(V121,INDEX('15-16_DP_Tables'!$M$12:$V$18,1,0),0),0)),0,VLOOKUP(T121,'15-16_DP_Tables'!$M$12:$V$18,MATCH(V121,INDEX('15-16_DP_Tables'!$M$12:$V$18,1,0),0),0))</f>
        <v>47.791666666664241</v>
      </c>
      <c r="Y121" s="223" t="str">
        <f t="shared" si="30"/>
        <v>Horizontal</v>
      </c>
      <c r="Z121" s="223">
        <v>5</v>
      </c>
      <c r="AA121" s="249" t="e">
        <f>VLOOKUP(T121,'Planning and Target Times'!$A$74:$L$78,MATCH(E121&amp;"-"&amp;Q121&amp;"-"&amp;Y121&amp;"-"&amp;R121,INDEX('Planning and Target Times'!$A$74:$L$78,1,0),0),0)</f>
        <v>#N/A</v>
      </c>
      <c r="AB121" s="249" t="e">
        <f>VLOOKUP(T121,'Planning and Target Times'!$A$97:$L$101,MATCH(E121&amp;"-"&amp;Q121&amp;"-"&amp;Y121&amp;"-"&amp;R121,INDEX('Planning and Target Times'!$A$97:$L$101,1,0),0),0)</f>
        <v>#N/A</v>
      </c>
      <c r="AC121" s="250">
        <f t="shared" si="24"/>
        <v>24.525547445255995</v>
      </c>
      <c r="AD121" s="250">
        <f t="shared" si="25"/>
        <v>29.293809938972714</v>
      </c>
      <c r="AE121" s="248">
        <f t="shared" si="26"/>
        <v>6726.8437394666225</v>
      </c>
      <c r="AF121" s="248">
        <f t="shared" si="31"/>
        <v>4223.1562605333775</v>
      </c>
      <c r="AG121" s="248">
        <f t="shared" ca="1" si="20"/>
        <v>-2856.8437394666225</v>
      </c>
      <c r="AH121" s="248">
        <f t="shared" ca="1" si="21"/>
        <v>-4662.8437394666225</v>
      </c>
      <c r="AI121" s="248">
        <f t="shared" si="27"/>
        <v>5402.3051653332222</v>
      </c>
      <c r="AJ121" s="248">
        <f t="shared" ca="1" si="22"/>
        <v>-1532.3051653332222</v>
      </c>
      <c r="AK121" s="248">
        <f t="shared" ca="1" si="23"/>
        <v>-3338.3051653332222</v>
      </c>
    </row>
    <row r="122" spans="2:37" ht="15.95" customHeight="1" x14ac:dyDescent="0.25">
      <c r="B122" s="136">
        <v>170</v>
      </c>
      <c r="C122" s="144" t="s">
        <v>1269</v>
      </c>
      <c r="D122" s="184" t="s">
        <v>1268</v>
      </c>
      <c r="E122" s="150" t="s">
        <v>11</v>
      </c>
      <c r="F122" s="140" t="s">
        <v>17</v>
      </c>
      <c r="G122" s="140" t="s">
        <v>1076</v>
      </c>
      <c r="H122" s="140" t="s">
        <v>1082</v>
      </c>
      <c r="I122" s="140" t="s">
        <v>459</v>
      </c>
      <c r="J122" s="141" t="s">
        <v>1079</v>
      </c>
      <c r="K122" s="142">
        <v>42318</v>
      </c>
      <c r="L122" s="142">
        <v>42388</v>
      </c>
      <c r="M122" s="134">
        <v>42402</v>
      </c>
      <c r="N122" s="132">
        <v>70</v>
      </c>
      <c r="O122" s="135">
        <v>1400</v>
      </c>
      <c r="P122" s="135" t="s">
        <v>1096</v>
      </c>
      <c r="Q122" s="223" t="s">
        <v>14</v>
      </c>
      <c r="R122" s="223" t="s">
        <v>298</v>
      </c>
      <c r="S122" s="223" t="s">
        <v>17</v>
      </c>
      <c r="T122" s="224" t="str">
        <f t="shared" si="28"/>
        <v>MA</v>
      </c>
      <c r="U122" s="223" t="str">
        <f t="shared" si="29"/>
        <v>MA-NW-Prod</v>
      </c>
      <c r="V122" s="223" t="str">
        <f t="array" ref="V122">CONCATENATE(Q122,"-",R122)</f>
        <v>NW-Prod</v>
      </c>
      <c r="W122" s="239">
        <f>IF(ISERROR(VLOOKUP(T122,'15-16_DP_Tables'!$M$2:$V$8,MATCH(V122,INDEX('15-16_DP_Tables'!$M$2:$V$8,1,0),0),0)),0,VLOOKUP(T122,'15-16_DP_Tables'!$M$2:$V$8,MATCH(V122,INDEX('15-16_DP_Tables'!$M$2:$V$8,1,0),0),0))</f>
        <v>57.083333333332121</v>
      </c>
      <c r="X122" s="239">
        <f t="array" ref="X122">IF(ISERROR(VLOOKUP(T122,'15-16_DP_Tables'!$M$12:$V$18,MATCH(V122,INDEX('15-16_DP_Tables'!$M$12:$V$18,1,0),0),0)),0,VLOOKUP(T122,'15-16_DP_Tables'!$M$12:$V$18,MATCH(V122,INDEX('15-16_DP_Tables'!$M$12:$V$18,1,0),0),0))</f>
        <v>47.791666666664241</v>
      </c>
      <c r="Y122" s="223" t="str">
        <f t="shared" si="30"/>
        <v>Horizontal</v>
      </c>
      <c r="Z122" s="223">
        <v>5</v>
      </c>
      <c r="AA122" s="249" t="e">
        <f>VLOOKUP(T122,'Planning and Target Times'!$A$74:$L$78,MATCH(E122&amp;"-"&amp;Q122&amp;"-"&amp;Y122&amp;"-"&amp;R122,INDEX('Planning and Target Times'!$A$74:$L$78,1,0),0),0)</f>
        <v>#N/A</v>
      </c>
      <c r="AB122" s="249" t="e">
        <f>VLOOKUP(T122,'Planning and Target Times'!$A$97:$L$101,MATCH(E122&amp;"-"&amp;Q122&amp;"-"&amp;Y122&amp;"-"&amp;R122,INDEX('Planning and Target Times'!$A$97:$L$101,1,0),0),0)</f>
        <v>#N/A</v>
      </c>
      <c r="AC122" s="250">
        <f t="shared" si="24"/>
        <v>24.525547445255995</v>
      </c>
      <c r="AD122" s="250">
        <f t="shared" si="25"/>
        <v>29.293809938972714</v>
      </c>
      <c r="AE122" s="248">
        <f t="shared" si="26"/>
        <v>6788.9270727999547</v>
      </c>
      <c r="AF122" s="248">
        <f t="shared" si="31"/>
        <v>4161.0729272000453</v>
      </c>
      <c r="AG122" s="248">
        <f t="shared" ca="1" si="20"/>
        <v>-2918.9270727999547</v>
      </c>
      <c r="AH122" s="248">
        <f t="shared" ca="1" si="21"/>
        <v>-4724.9270727999547</v>
      </c>
      <c r="AI122" s="248">
        <f t="shared" si="27"/>
        <v>5455.0968319998865</v>
      </c>
      <c r="AJ122" s="248">
        <f t="shared" ca="1" si="22"/>
        <v>-1585.0968319998865</v>
      </c>
      <c r="AK122" s="248">
        <f t="shared" ca="1" si="23"/>
        <v>-3391.0968319998865</v>
      </c>
    </row>
    <row r="123" spans="2:37" ht="15.95" customHeight="1" x14ac:dyDescent="0.25">
      <c r="B123" s="136">
        <v>173</v>
      </c>
      <c r="C123" s="151" t="s">
        <v>1273</v>
      </c>
      <c r="D123" s="182" t="s">
        <v>1272</v>
      </c>
      <c r="E123" s="150" t="s">
        <v>11</v>
      </c>
      <c r="F123" s="140" t="s">
        <v>17</v>
      </c>
      <c r="G123" s="140" t="s">
        <v>1076</v>
      </c>
      <c r="H123" s="140" t="s">
        <v>1082</v>
      </c>
      <c r="I123" s="140" t="s">
        <v>459</v>
      </c>
      <c r="J123" s="141" t="s">
        <v>1079</v>
      </c>
      <c r="K123" s="142">
        <v>42318</v>
      </c>
      <c r="L123" s="142">
        <v>42388</v>
      </c>
      <c r="M123" s="134">
        <v>42402</v>
      </c>
      <c r="N123" s="140">
        <v>70</v>
      </c>
      <c r="O123" s="143">
        <v>1400</v>
      </c>
      <c r="P123" s="135" t="s">
        <v>1096</v>
      </c>
      <c r="Q123" s="223" t="s">
        <v>14</v>
      </c>
      <c r="R123" s="223" t="s">
        <v>298</v>
      </c>
      <c r="S123" s="223" t="s">
        <v>17</v>
      </c>
      <c r="T123" s="224" t="str">
        <f t="shared" si="28"/>
        <v>MA</v>
      </c>
      <c r="U123" s="223" t="str">
        <f t="shared" si="29"/>
        <v>MA-NW-Prod</v>
      </c>
      <c r="V123" s="223" t="str">
        <f t="array" ref="V123">CONCATENATE(Q123,"-",R123)</f>
        <v>NW-Prod</v>
      </c>
      <c r="W123" s="239">
        <f>IF(ISERROR(VLOOKUP(T123,'15-16_DP_Tables'!$M$2:$V$8,MATCH(V123,INDEX('15-16_DP_Tables'!$M$2:$V$8,1,0),0),0)),0,VLOOKUP(T123,'15-16_DP_Tables'!$M$2:$V$8,MATCH(V123,INDEX('15-16_DP_Tables'!$M$2:$V$8,1,0),0),0))</f>
        <v>57.083333333332121</v>
      </c>
      <c r="X123" s="239">
        <f t="array" ref="X123">IF(ISERROR(VLOOKUP(T123,'15-16_DP_Tables'!$M$12:$V$18,MATCH(V123,INDEX('15-16_DP_Tables'!$M$12:$V$18,1,0),0),0)),0,VLOOKUP(T123,'15-16_DP_Tables'!$M$12:$V$18,MATCH(V123,INDEX('15-16_DP_Tables'!$M$12:$V$18,1,0),0),0))</f>
        <v>47.791666666664241</v>
      </c>
      <c r="Y123" s="223" t="str">
        <f t="shared" si="30"/>
        <v>Horizontal</v>
      </c>
      <c r="Z123" s="223">
        <v>5</v>
      </c>
      <c r="AA123" s="249" t="e">
        <f>VLOOKUP(T123,'Planning and Target Times'!$A$74:$L$78,MATCH(E123&amp;"-"&amp;Q123&amp;"-"&amp;Y123&amp;"-"&amp;R123,INDEX('Planning and Target Times'!$A$74:$L$78,1,0),0),0)</f>
        <v>#N/A</v>
      </c>
      <c r="AB123" s="249" t="e">
        <f>VLOOKUP(T123,'Planning and Target Times'!$A$97:$L$101,MATCH(E123&amp;"-"&amp;Q123&amp;"-"&amp;Y123&amp;"-"&amp;R123,INDEX('Planning and Target Times'!$A$97:$L$101,1,0),0),0)</f>
        <v>#N/A</v>
      </c>
      <c r="AC123" s="250">
        <f t="shared" si="24"/>
        <v>24.525547445255995</v>
      </c>
      <c r="AD123" s="250">
        <f t="shared" si="25"/>
        <v>29.293809938972714</v>
      </c>
      <c r="AE123" s="248">
        <f t="shared" si="26"/>
        <v>6851.0104061332868</v>
      </c>
      <c r="AF123" s="248">
        <f t="shared" si="31"/>
        <v>4098.9895938667132</v>
      </c>
      <c r="AG123" s="248">
        <f t="shared" ca="1" si="20"/>
        <v>-2981.0104061332868</v>
      </c>
      <c r="AH123" s="248">
        <f t="shared" ca="1" si="21"/>
        <v>-4787.0104061332868</v>
      </c>
      <c r="AI123" s="248">
        <f t="shared" si="27"/>
        <v>5507.8884986665507</v>
      </c>
      <c r="AJ123" s="248">
        <f t="shared" ca="1" si="22"/>
        <v>-1637.8884986665507</v>
      </c>
      <c r="AK123" s="248">
        <f t="shared" ca="1" si="23"/>
        <v>-3443.8884986665507</v>
      </c>
    </row>
    <row r="124" spans="2:37" ht="15.95" customHeight="1" x14ac:dyDescent="0.25">
      <c r="B124" s="136">
        <v>176</v>
      </c>
      <c r="C124" s="144" t="s">
        <v>1277</v>
      </c>
      <c r="D124" s="156" t="s">
        <v>1276</v>
      </c>
      <c r="E124" s="150" t="s">
        <v>11</v>
      </c>
      <c r="F124" s="140" t="s">
        <v>17</v>
      </c>
      <c r="G124" s="140" t="s">
        <v>1076</v>
      </c>
      <c r="H124" s="140" t="s">
        <v>1082</v>
      </c>
      <c r="I124" s="140" t="s">
        <v>459</v>
      </c>
      <c r="J124" s="141" t="s">
        <v>1079</v>
      </c>
      <c r="K124" s="142">
        <v>42318</v>
      </c>
      <c r="L124" s="142">
        <v>42388</v>
      </c>
      <c r="M124" s="134">
        <v>42402</v>
      </c>
      <c r="N124" s="140">
        <v>70</v>
      </c>
      <c r="O124" s="143">
        <v>1400</v>
      </c>
      <c r="P124" s="135" t="s">
        <v>1096</v>
      </c>
      <c r="Q124" s="223" t="s">
        <v>14</v>
      </c>
      <c r="R124" s="223" t="s">
        <v>298</v>
      </c>
      <c r="S124" s="223" t="s">
        <v>17</v>
      </c>
      <c r="T124" s="224" t="str">
        <f t="shared" si="28"/>
        <v>MA</v>
      </c>
      <c r="U124" s="223" t="str">
        <f t="shared" si="29"/>
        <v>MA-NW-Prod</v>
      </c>
      <c r="V124" s="223" t="str">
        <f t="array" ref="V124">CONCATENATE(Q124,"-",R124)</f>
        <v>NW-Prod</v>
      </c>
      <c r="W124" s="239">
        <f>IF(ISERROR(VLOOKUP(T124,'15-16_DP_Tables'!$M$2:$V$8,MATCH(V124,INDEX('15-16_DP_Tables'!$M$2:$V$8,1,0),0),0)),0,VLOOKUP(T124,'15-16_DP_Tables'!$M$2:$V$8,MATCH(V124,INDEX('15-16_DP_Tables'!$M$2:$V$8,1,0),0),0))</f>
        <v>57.083333333332121</v>
      </c>
      <c r="X124" s="239">
        <f t="array" ref="X124">IF(ISERROR(VLOOKUP(T124,'15-16_DP_Tables'!$M$12:$V$18,MATCH(V124,INDEX('15-16_DP_Tables'!$M$12:$V$18,1,0),0),0)),0,VLOOKUP(T124,'15-16_DP_Tables'!$M$12:$V$18,MATCH(V124,INDEX('15-16_DP_Tables'!$M$12:$V$18,1,0),0),0))</f>
        <v>47.791666666664241</v>
      </c>
      <c r="Y124" s="223" t="str">
        <f t="shared" si="30"/>
        <v>Unknown</v>
      </c>
      <c r="Z124" s="223">
        <v>5</v>
      </c>
      <c r="AA124" s="249" t="e">
        <f>VLOOKUP(T124,'Planning and Target Times'!$A$74:$L$78,MATCH(E124&amp;"-"&amp;Q124&amp;"-"&amp;Y124&amp;"-"&amp;R124,INDEX('Planning and Target Times'!$A$74:$L$78,1,0),0),0)</f>
        <v>#N/A</v>
      </c>
      <c r="AB124" s="249" t="e">
        <f>VLOOKUP(T124,'Planning and Target Times'!$A$97:$L$101,MATCH(E124&amp;"-"&amp;Q124&amp;"-"&amp;Y124&amp;"-"&amp;R124,INDEX('Planning and Target Times'!$A$97:$L$101,1,0),0),0)</f>
        <v>#N/A</v>
      </c>
      <c r="AC124" s="250">
        <f t="shared" si="24"/>
        <v>24.525547445255995</v>
      </c>
      <c r="AD124" s="250">
        <f t="shared" si="25"/>
        <v>29.293809938972714</v>
      </c>
      <c r="AE124" s="248">
        <f t="shared" si="26"/>
        <v>6913.0937394666189</v>
      </c>
      <c r="AF124" s="248">
        <f t="shared" si="31"/>
        <v>4036.9062605333811</v>
      </c>
      <c r="AG124" s="248">
        <f t="shared" ca="1" si="20"/>
        <v>-3043.0937394666189</v>
      </c>
      <c r="AH124" s="248">
        <f t="shared" ca="1" si="21"/>
        <v>-4849.0937394666189</v>
      </c>
      <c r="AI124" s="248">
        <f t="shared" si="27"/>
        <v>5560.680165333215</v>
      </c>
      <c r="AJ124" s="248">
        <f t="shared" ca="1" si="22"/>
        <v>-1690.680165333215</v>
      </c>
      <c r="AK124" s="248">
        <f t="shared" ca="1" si="23"/>
        <v>-3496.680165333215</v>
      </c>
    </row>
    <row r="125" spans="2:37" ht="15.95" customHeight="1" x14ac:dyDescent="0.25">
      <c r="B125" s="136">
        <v>179</v>
      </c>
      <c r="C125" s="144" t="s">
        <v>1281</v>
      </c>
      <c r="D125" s="199" t="s">
        <v>1280</v>
      </c>
      <c r="E125" s="150" t="s">
        <v>42</v>
      </c>
      <c r="F125" s="140" t="s">
        <v>22</v>
      </c>
      <c r="G125" s="140" t="s">
        <v>1076</v>
      </c>
      <c r="H125" s="140" t="s">
        <v>1082</v>
      </c>
      <c r="I125" s="140" t="s">
        <v>459</v>
      </c>
      <c r="J125" s="141" t="s">
        <v>1079</v>
      </c>
      <c r="K125" s="142">
        <v>42318</v>
      </c>
      <c r="L125" s="142">
        <v>42388</v>
      </c>
      <c r="M125" s="134">
        <v>42402</v>
      </c>
      <c r="N125" s="140">
        <v>70</v>
      </c>
      <c r="O125" s="143">
        <v>1800</v>
      </c>
      <c r="P125" s="143" t="s">
        <v>1096</v>
      </c>
      <c r="Q125" s="223" t="s">
        <v>14</v>
      </c>
      <c r="R125" s="223" t="s">
        <v>298</v>
      </c>
      <c r="S125" s="223" t="s">
        <v>22</v>
      </c>
      <c r="T125" s="224" t="str">
        <f t="shared" si="28"/>
        <v>LB</v>
      </c>
      <c r="U125" s="223" t="str">
        <f t="shared" si="29"/>
        <v>LB-NW-Prod</v>
      </c>
      <c r="V125" s="223" t="str">
        <f t="array" ref="V125">CONCATENATE(Q125,"-",R125)</f>
        <v>NW-Prod</v>
      </c>
      <c r="W125" s="239">
        <f>IF(ISERROR(VLOOKUP(T125,'15-16_DP_Tables'!$M$2:$V$8,MATCH(V125,INDEX('15-16_DP_Tables'!$M$2:$V$8,1,0),0),0)),0,VLOOKUP(T125,'15-16_DP_Tables'!$M$2:$V$8,MATCH(V125,INDEX('15-16_DP_Tables'!$M$2:$V$8,1,0),0),0))</f>
        <v>55.81537142381022</v>
      </c>
      <c r="X125" s="239">
        <f t="array" ref="X125">IF(ISERROR(VLOOKUP(T125,'15-16_DP_Tables'!$M$12:$V$18,MATCH(V125,INDEX('15-16_DP_Tables'!$M$12:$V$18,1,0),0),0)),0,VLOOKUP(T125,'15-16_DP_Tables'!$M$12:$V$18,MATCH(V125,INDEX('15-16_DP_Tables'!$M$12:$V$18,1,0),0),0))</f>
        <v>45.207999999999998</v>
      </c>
      <c r="Y125" s="223" t="str">
        <f t="shared" si="30"/>
        <v>Horizontal</v>
      </c>
      <c r="Z125" s="223">
        <v>5</v>
      </c>
      <c r="AA125" s="249" t="e">
        <f>VLOOKUP(T125,'Planning and Target Times'!$A$74:$L$78,MATCH(E125&amp;"-"&amp;Q125&amp;"-"&amp;Y125&amp;"-"&amp;R125,INDEX('Planning and Target Times'!$A$74:$L$78,1,0),0),0)</f>
        <v>#N/A</v>
      </c>
      <c r="AB125" s="249" t="e">
        <f>VLOOKUP(T125,'Planning and Target Times'!$A$97:$L$101,MATCH(E125&amp;"-"&amp;Q125&amp;"-"&amp;Y125&amp;"-"&amp;R125,INDEX('Planning and Target Times'!$A$97:$L$101,1,0),0),0)</f>
        <v>#N/A</v>
      </c>
      <c r="AC125" s="250">
        <f t="shared" si="24"/>
        <v>32.249180719993198</v>
      </c>
      <c r="AD125" s="250">
        <f t="shared" si="25"/>
        <v>39.815961776676694</v>
      </c>
      <c r="AE125" s="248">
        <f t="shared" si="26"/>
        <v>6973.9091108904295</v>
      </c>
      <c r="AF125" s="248">
        <f t="shared" si="31"/>
        <v>3976.0908891095705</v>
      </c>
      <c r="AG125" s="248">
        <f t="shared" ca="1" si="20"/>
        <v>-3103.9091108904295</v>
      </c>
      <c r="AH125" s="248">
        <f t="shared" ca="1" si="21"/>
        <v>-4909.9091108904295</v>
      </c>
      <c r="AI125" s="248">
        <f t="shared" si="27"/>
        <v>5610.8881653332146</v>
      </c>
      <c r="AJ125" s="248">
        <f t="shared" ca="1" si="22"/>
        <v>-1740.8881653332146</v>
      </c>
      <c r="AK125" s="248">
        <f t="shared" ca="1" si="23"/>
        <v>-3546.8881653332146</v>
      </c>
    </row>
    <row r="126" spans="2:37" ht="15.95" customHeight="1" x14ac:dyDescent="0.25">
      <c r="B126" s="136">
        <v>113</v>
      </c>
      <c r="C126" s="191" t="s">
        <v>1199</v>
      </c>
      <c r="D126" s="184" t="s">
        <v>839</v>
      </c>
      <c r="E126" s="192" t="s">
        <v>42</v>
      </c>
      <c r="F126" s="140" t="s">
        <v>17</v>
      </c>
      <c r="G126" s="140" t="s">
        <v>1086</v>
      </c>
      <c r="H126" s="140" t="s">
        <v>1077</v>
      </c>
      <c r="I126" s="140" t="s">
        <v>459</v>
      </c>
      <c r="J126" s="141" t="s">
        <v>1079</v>
      </c>
      <c r="K126" s="142">
        <v>42324</v>
      </c>
      <c r="L126" s="142">
        <v>42373</v>
      </c>
      <c r="M126" s="134">
        <v>42387</v>
      </c>
      <c r="N126" s="140">
        <v>49</v>
      </c>
      <c r="O126" s="143"/>
      <c r="P126" s="135" t="s">
        <v>1080</v>
      </c>
      <c r="Q126" s="223" t="s">
        <v>18</v>
      </c>
      <c r="R126" s="223" t="s">
        <v>34</v>
      </c>
      <c r="S126" s="223" t="s">
        <v>17</v>
      </c>
      <c r="T126" s="224" t="str">
        <f t="shared" si="28"/>
        <v>MA</v>
      </c>
      <c r="U126" s="223" t="str">
        <f t="shared" si="29"/>
        <v>MA-ST-Inj</v>
      </c>
      <c r="V126" s="223" t="str">
        <f t="array" ref="V126">CONCATENATE(Q126,"-",R126)</f>
        <v>ST-Inj</v>
      </c>
      <c r="W126" s="239">
        <f>IF(ISERROR(VLOOKUP(T126,'15-16_DP_Tables'!$M$2:$V$8,MATCH(V126,INDEX('15-16_DP_Tables'!$M$2:$V$8,1,0),0),0)),0,VLOOKUP(T126,'15-16_DP_Tables'!$M$2:$V$8,MATCH(V126,INDEX('15-16_DP_Tables'!$M$2:$V$8,1,0),0),0))</f>
        <v>35.545833099999626</v>
      </c>
      <c r="X126" s="239">
        <f t="array" ref="X126">IF(ISERROR(VLOOKUP(T126,'15-16_DP_Tables'!$M$12:$V$18,MATCH(V126,INDEX('15-16_DP_Tables'!$M$12:$V$18,1,0),0),0)),0,VLOOKUP(T126,'15-16_DP_Tables'!$M$12:$V$18,MATCH(V126,INDEX('15-16_DP_Tables'!$M$12:$V$18,1,0),0),0))</f>
        <v>26.054166533332847</v>
      </c>
      <c r="Y126" s="223" t="str">
        <f t="shared" si="30"/>
        <v>Horizontal</v>
      </c>
      <c r="Z126" s="223">
        <v>5</v>
      </c>
      <c r="AA126" s="249" t="e">
        <f>VLOOKUP(T126,'Planning and Target Times'!$A$74:$L$78,MATCH(E126&amp;"-"&amp;Q126&amp;"-"&amp;Y126&amp;"-"&amp;R126,INDEX('Planning and Target Times'!$A$74:$L$78,1,0),0),0)</f>
        <v>#N/A</v>
      </c>
      <c r="AB126" s="249" t="e">
        <f>VLOOKUP(T126,'Planning and Target Times'!$A$97:$L$101,MATCH(E126&amp;"-"&amp;Q126&amp;"-"&amp;Y126&amp;"-"&amp;R126,INDEX('Planning and Target Times'!$A$97:$L$101,1,0),0),0)</f>
        <v>#N/A</v>
      </c>
      <c r="AC126" s="250">
        <f t="shared" si="24"/>
        <v>0</v>
      </c>
      <c r="AD126" s="250">
        <f t="shared" si="25"/>
        <v>0</v>
      </c>
      <c r="AE126" s="248">
        <f t="shared" si="26"/>
        <v>7014.4549439904295</v>
      </c>
      <c r="AF126" s="248">
        <f t="shared" si="31"/>
        <v>3935.5450560095705</v>
      </c>
      <c r="AG126" s="248">
        <f t="shared" ca="1" si="20"/>
        <v>-3144.4549439904295</v>
      </c>
      <c r="AH126" s="248">
        <f t="shared" ca="1" si="21"/>
        <v>-4950.4549439904295</v>
      </c>
      <c r="AI126" s="248">
        <f t="shared" si="27"/>
        <v>5641.9423318665476</v>
      </c>
      <c r="AJ126" s="248">
        <f t="shared" ca="1" si="22"/>
        <v>-1771.9423318665476</v>
      </c>
      <c r="AK126" s="248">
        <f t="shared" ca="1" si="23"/>
        <v>-3577.9423318665476</v>
      </c>
    </row>
    <row r="127" spans="2:37" ht="15.95" customHeight="1" x14ac:dyDescent="0.25">
      <c r="B127" s="136">
        <v>129</v>
      </c>
      <c r="C127" s="151" t="s">
        <v>1217</v>
      </c>
      <c r="D127" s="138" t="s">
        <v>1215</v>
      </c>
      <c r="E127" s="150" t="s">
        <v>42</v>
      </c>
      <c r="F127" s="140" t="s">
        <v>17</v>
      </c>
      <c r="G127" s="140" t="s">
        <v>1086</v>
      </c>
      <c r="H127" s="140" t="s">
        <v>1077</v>
      </c>
      <c r="I127" s="140" t="s">
        <v>459</v>
      </c>
      <c r="J127" s="141" t="s">
        <v>1079</v>
      </c>
      <c r="K127" s="142">
        <v>42326</v>
      </c>
      <c r="L127" s="142">
        <v>42375</v>
      </c>
      <c r="M127" s="134">
        <v>42389</v>
      </c>
      <c r="N127" s="140">
        <v>49</v>
      </c>
      <c r="O127" s="143"/>
      <c r="P127" s="143" t="s">
        <v>1080</v>
      </c>
      <c r="Q127" s="223" t="s">
        <v>18</v>
      </c>
      <c r="R127" s="223" t="s">
        <v>34</v>
      </c>
      <c r="S127" s="223" t="s">
        <v>17</v>
      </c>
      <c r="T127" s="224" t="str">
        <f t="shared" si="28"/>
        <v>MA</v>
      </c>
      <c r="U127" s="223" t="str">
        <f t="shared" si="29"/>
        <v>MA-ST-Inj</v>
      </c>
      <c r="V127" s="223" t="str">
        <f t="array" ref="V127">CONCATENATE(Q127,"-",R127)</f>
        <v>ST-Inj</v>
      </c>
      <c r="W127" s="239">
        <f>IF(ISERROR(VLOOKUP(T127,'15-16_DP_Tables'!$M$2:$V$8,MATCH(V127,INDEX('15-16_DP_Tables'!$M$2:$V$8,1,0),0),0)),0,VLOOKUP(T127,'15-16_DP_Tables'!$M$2:$V$8,MATCH(V127,INDEX('15-16_DP_Tables'!$M$2:$V$8,1,0),0),0))</f>
        <v>35.545833099999626</v>
      </c>
      <c r="X127" s="239">
        <f t="array" ref="X127">IF(ISERROR(VLOOKUP(T127,'15-16_DP_Tables'!$M$12:$V$18,MATCH(V127,INDEX('15-16_DP_Tables'!$M$12:$V$18,1,0),0),0)),0,VLOOKUP(T127,'15-16_DP_Tables'!$M$12:$V$18,MATCH(V127,INDEX('15-16_DP_Tables'!$M$12:$V$18,1,0),0),0))</f>
        <v>26.054166533332847</v>
      </c>
      <c r="Y127" s="223" t="str">
        <f t="shared" si="30"/>
        <v>Horizontal</v>
      </c>
      <c r="Z127" s="223">
        <v>5</v>
      </c>
      <c r="AA127" s="249" t="e">
        <f>VLOOKUP(T127,'Planning and Target Times'!$A$74:$L$78,MATCH(E127&amp;"-"&amp;Q127&amp;"-"&amp;Y127&amp;"-"&amp;R127,INDEX('Planning and Target Times'!$A$74:$L$78,1,0),0),0)</f>
        <v>#N/A</v>
      </c>
      <c r="AB127" s="249" t="e">
        <f>VLOOKUP(T127,'Planning and Target Times'!$A$97:$L$101,MATCH(E127&amp;"-"&amp;Q127&amp;"-"&amp;Y127&amp;"-"&amp;R127,INDEX('Planning and Target Times'!$A$97:$L$101,1,0),0),0)</f>
        <v>#N/A</v>
      </c>
      <c r="AC127" s="250">
        <f t="shared" si="24"/>
        <v>0</v>
      </c>
      <c r="AD127" s="250">
        <f t="shared" si="25"/>
        <v>0</v>
      </c>
      <c r="AE127" s="248">
        <f t="shared" si="26"/>
        <v>7055.0007770904294</v>
      </c>
      <c r="AF127" s="248">
        <f t="shared" si="31"/>
        <v>3894.9992229095706</v>
      </c>
      <c r="AG127" s="248">
        <f t="shared" ca="1" si="20"/>
        <v>-3185.0007770904294</v>
      </c>
      <c r="AH127" s="248">
        <f t="shared" ca="1" si="21"/>
        <v>-4991.0007770904294</v>
      </c>
      <c r="AI127" s="248">
        <f t="shared" si="27"/>
        <v>5672.9964983998807</v>
      </c>
      <c r="AJ127" s="248">
        <f t="shared" ca="1" si="22"/>
        <v>-1802.9964983998807</v>
      </c>
      <c r="AK127" s="248">
        <f t="shared" ca="1" si="23"/>
        <v>-3608.9964983998807</v>
      </c>
    </row>
    <row r="128" spans="2:37" ht="15.95" customHeight="1" x14ac:dyDescent="0.25">
      <c r="B128" s="136">
        <v>125</v>
      </c>
      <c r="C128" s="144" t="s">
        <v>1212</v>
      </c>
      <c r="D128" s="193" t="s">
        <v>1211</v>
      </c>
      <c r="E128" s="150" t="s">
        <v>11</v>
      </c>
      <c r="F128" s="140" t="s">
        <v>17</v>
      </c>
      <c r="G128" s="140" t="s">
        <v>1076</v>
      </c>
      <c r="H128" s="140" t="s">
        <v>1082</v>
      </c>
      <c r="I128" s="140" t="s">
        <v>459</v>
      </c>
      <c r="J128" s="141" t="s">
        <v>1079</v>
      </c>
      <c r="K128" s="142">
        <v>42331</v>
      </c>
      <c r="L128" s="142">
        <v>42401</v>
      </c>
      <c r="M128" s="134">
        <v>42415</v>
      </c>
      <c r="N128" s="140">
        <v>70</v>
      </c>
      <c r="O128" s="143">
        <v>1400</v>
      </c>
      <c r="P128" s="143" t="s">
        <v>1096</v>
      </c>
      <c r="Q128" s="223" t="s">
        <v>14</v>
      </c>
      <c r="R128" s="223" t="s">
        <v>298</v>
      </c>
      <c r="S128" s="223" t="s">
        <v>17</v>
      </c>
      <c r="T128" s="224" t="str">
        <f t="shared" si="28"/>
        <v>MA</v>
      </c>
      <c r="U128" s="223" t="str">
        <f t="shared" si="29"/>
        <v>MA-NW-Prod</v>
      </c>
      <c r="V128" s="223" t="str">
        <f t="array" ref="V128">CONCATENATE(Q128,"-",R128)</f>
        <v>NW-Prod</v>
      </c>
      <c r="W128" s="239">
        <f>IF(ISERROR(VLOOKUP(T128,'15-16_DP_Tables'!$M$2:$V$8,MATCH(V128,INDEX('15-16_DP_Tables'!$M$2:$V$8,1,0),0),0)),0,VLOOKUP(T128,'15-16_DP_Tables'!$M$2:$V$8,MATCH(V128,INDEX('15-16_DP_Tables'!$M$2:$V$8,1,0),0),0))</f>
        <v>57.083333333332121</v>
      </c>
      <c r="X128" s="239">
        <f t="array" ref="X128">IF(ISERROR(VLOOKUP(T128,'15-16_DP_Tables'!$M$12:$V$18,MATCH(V128,INDEX('15-16_DP_Tables'!$M$12:$V$18,1,0),0),0)),0,VLOOKUP(T128,'15-16_DP_Tables'!$M$12:$V$18,MATCH(V128,INDEX('15-16_DP_Tables'!$M$12:$V$18,1,0),0),0))</f>
        <v>47.791666666664241</v>
      </c>
      <c r="Y128" s="223" t="str">
        <f t="shared" si="30"/>
        <v>Unknown</v>
      </c>
      <c r="Z128" s="223">
        <v>5</v>
      </c>
      <c r="AA128" s="249" t="e">
        <f>VLOOKUP(T128,'Planning and Target Times'!$A$74:$L$78,MATCH(E128&amp;"-"&amp;Q128&amp;"-"&amp;Y128&amp;"-"&amp;R128,INDEX('Planning and Target Times'!$A$74:$L$78,1,0),0),0)</f>
        <v>#N/A</v>
      </c>
      <c r="AB128" s="249" t="e">
        <f>VLOOKUP(T128,'Planning and Target Times'!$A$97:$L$101,MATCH(E128&amp;"-"&amp;Q128&amp;"-"&amp;Y128&amp;"-"&amp;R128,INDEX('Planning and Target Times'!$A$97:$L$101,1,0),0),0)</f>
        <v>#N/A</v>
      </c>
      <c r="AC128" s="250">
        <f t="shared" si="24"/>
        <v>24.525547445255995</v>
      </c>
      <c r="AD128" s="250">
        <f t="shared" si="25"/>
        <v>29.293809938972714</v>
      </c>
      <c r="AE128" s="248">
        <f t="shared" si="26"/>
        <v>7117.0841104237616</v>
      </c>
      <c r="AF128" s="248">
        <f t="shared" si="31"/>
        <v>3832.9158895762384</v>
      </c>
      <c r="AG128" s="248">
        <f t="shared" ca="1" si="20"/>
        <v>-3247.0841104237616</v>
      </c>
      <c r="AH128" s="248">
        <f t="shared" ca="1" si="21"/>
        <v>-5053.0841104237616</v>
      </c>
      <c r="AI128" s="248">
        <f t="shared" si="27"/>
        <v>5725.7881650665449</v>
      </c>
      <c r="AJ128" s="248">
        <f t="shared" ca="1" si="22"/>
        <v>-1855.7881650665449</v>
      </c>
      <c r="AK128" s="248">
        <f t="shared" ca="1" si="23"/>
        <v>-3661.7881650665449</v>
      </c>
    </row>
    <row r="129" spans="2:37" ht="15.95" customHeight="1" x14ac:dyDescent="0.25">
      <c r="B129" s="136">
        <v>145</v>
      </c>
      <c r="C129" s="151" t="s">
        <v>1236</v>
      </c>
      <c r="D129" s="193" t="s">
        <v>1234</v>
      </c>
      <c r="E129" s="150" t="s">
        <v>11</v>
      </c>
      <c r="F129" s="140" t="s">
        <v>17</v>
      </c>
      <c r="G129" s="140" t="s">
        <v>1086</v>
      </c>
      <c r="H129" s="140" t="s">
        <v>1082</v>
      </c>
      <c r="I129" s="140" t="s">
        <v>459</v>
      </c>
      <c r="J129" s="141" t="s">
        <v>1079</v>
      </c>
      <c r="K129" s="142">
        <v>42336</v>
      </c>
      <c r="L129" s="142">
        <v>42399</v>
      </c>
      <c r="M129" s="134">
        <v>42413</v>
      </c>
      <c r="N129" s="140">
        <v>63</v>
      </c>
      <c r="O129" s="143"/>
      <c r="P129" s="143" t="s">
        <v>1080</v>
      </c>
      <c r="Q129" s="223" t="s">
        <v>14</v>
      </c>
      <c r="R129" s="223" t="s">
        <v>34</v>
      </c>
      <c r="S129" s="223" t="s">
        <v>17</v>
      </c>
      <c r="T129" s="224" t="str">
        <f t="shared" si="28"/>
        <v>MA</v>
      </c>
      <c r="U129" s="223" t="str">
        <f t="shared" si="29"/>
        <v>MA-NW-Inj</v>
      </c>
      <c r="V129" s="223" t="str">
        <f t="array" ref="V129">CONCATENATE(Q129,"-",R129)</f>
        <v>NW-Inj</v>
      </c>
      <c r="W129" s="239">
        <f>IF(ISERROR(VLOOKUP(T129,'15-16_DP_Tables'!$M$2:$V$8,MATCH(V129,INDEX('15-16_DP_Tables'!$M$2:$V$8,1,0),0),0)),0,VLOOKUP(T129,'15-16_DP_Tables'!$M$2:$V$8,MATCH(V129,INDEX('15-16_DP_Tables'!$M$2:$V$8,1,0),0),0))</f>
        <v>0</v>
      </c>
      <c r="X129" s="239">
        <f t="array" ref="X129">IF(ISERROR(VLOOKUP(T129,'15-16_DP_Tables'!$M$12:$V$18,MATCH(V129,INDEX('15-16_DP_Tables'!$M$12:$V$18,1,0),0),0)),0,VLOOKUP(T129,'15-16_DP_Tables'!$M$12:$V$18,MATCH(V129,INDEX('15-16_DP_Tables'!$M$12:$V$18,1,0),0),0))</f>
        <v>0</v>
      </c>
      <c r="Y129" s="223" t="str">
        <f t="shared" si="30"/>
        <v>Horizontal</v>
      </c>
      <c r="Z129" s="223">
        <v>5</v>
      </c>
      <c r="AA129" s="249" t="e">
        <f>VLOOKUP(T129,'Planning and Target Times'!$A$74:$L$78,MATCH(E129&amp;"-"&amp;Q129&amp;"-"&amp;Y129&amp;"-"&amp;R129,INDEX('Planning and Target Times'!$A$74:$L$78,1,0),0),0)</f>
        <v>#N/A</v>
      </c>
      <c r="AB129" s="249" t="e">
        <f>VLOOKUP(T129,'Planning and Target Times'!$A$97:$L$101,MATCH(E129&amp;"-"&amp;Q129&amp;"-"&amp;Y129&amp;"-"&amp;R129,INDEX('Planning and Target Times'!$A$97:$L$101,1,0),0),0)</f>
        <v>#N/A</v>
      </c>
      <c r="AC129" s="250">
        <f t="shared" si="24"/>
        <v>0</v>
      </c>
      <c r="AD129" s="250">
        <f t="shared" si="25"/>
        <v>0</v>
      </c>
      <c r="AE129" s="248">
        <f t="shared" si="26"/>
        <v>7122.0841104237616</v>
      </c>
      <c r="AF129" s="248">
        <f t="shared" si="31"/>
        <v>3827.9158895762384</v>
      </c>
      <c r="AG129" s="248">
        <f t="shared" ca="1" si="20"/>
        <v>-3252.0841104237616</v>
      </c>
      <c r="AH129" s="248">
        <f t="shared" ca="1" si="21"/>
        <v>-5058.0841104237616</v>
      </c>
      <c r="AI129" s="248">
        <f t="shared" si="27"/>
        <v>5730.7881650665449</v>
      </c>
      <c r="AJ129" s="248">
        <f t="shared" ca="1" si="22"/>
        <v>-1860.7881650665449</v>
      </c>
      <c r="AK129" s="248">
        <f t="shared" ca="1" si="23"/>
        <v>-3666.7881650665449</v>
      </c>
    </row>
    <row r="130" spans="2:37" ht="15.95" customHeight="1" x14ac:dyDescent="0.25">
      <c r="B130" s="136">
        <v>100</v>
      </c>
      <c r="C130" s="144" t="s">
        <v>1186</v>
      </c>
      <c r="D130" s="147" t="s">
        <v>734</v>
      </c>
      <c r="E130" s="150" t="s">
        <v>11</v>
      </c>
      <c r="F130" s="140" t="s">
        <v>13</v>
      </c>
      <c r="G130" s="140" t="s">
        <v>1076</v>
      </c>
      <c r="H130" s="140" t="s">
        <v>1082</v>
      </c>
      <c r="I130" s="140" t="s">
        <v>459</v>
      </c>
      <c r="J130" s="141" t="s">
        <v>1079</v>
      </c>
      <c r="K130" s="142">
        <v>42338</v>
      </c>
      <c r="L130" s="142">
        <v>42408</v>
      </c>
      <c r="M130" s="134">
        <v>42422</v>
      </c>
      <c r="N130" s="140">
        <v>70</v>
      </c>
      <c r="O130" s="143">
        <v>800</v>
      </c>
      <c r="P130" s="143" t="s">
        <v>1096</v>
      </c>
      <c r="Q130" s="223" t="s">
        <v>14</v>
      </c>
      <c r="R130" s="223" t="s">
        <v>298</v>
      </c>
      <c r="S130" s="223" t="s">
        <v>13</v>
      </c>
      <c r="T130" s="224" t="str">
        <f t="shared" si="28"/>
        <v>TU</v>
      </c>
      <c r="U130" s="223" t="str">
        <f t="shared" si="29"/>
        <v>TU-NW-Prod</v>
      </c>
      <c r="V130" s="223" t="str">
        <f t="array" ref="V130">CONCATENATE(Q130,"-",R130)</f>
        <v>NW-Prod</v>
      </c>
      <c r="W130" s="239">
        <f>IF(ISERROR(VLOOKUP(T130,'15-16_DP_Tables'!$M$2:$V$8,MATCH(V130,INDEX('15-16_DP_Tables'!$M$2:$V$8,1,0),0),0)),0,VLOOKUP(T130,'15-16_DP_Tables'!$M$2:$V$8,MATCH(V130,INDEX('15-16_DP_Tables'!$M$2:$V$8,1,0),0),0))</f>
        <v>0</v>
      </c>
      <c r="X130" s="239">
        <f t="array" ref="X130">IF(ISERROR(VLOOKUP(T130,'15-16_DP_Tables'!$M$12:$V$18,MATCH(V130,INDEX('15-16_DP_Tables'!$M$12:$V$18,1,0),0),0)),0,VLOOKUP(T130,'15-16_DP_Tables'!$M$12:$V$18,MATCH(V130,INDEX('15-16_DP_Tables'!$M$12:$V$18,1,0),0),0))</f>
        <v>0</v>
      </c>
      <c r="Y130" s="223" t="str">
        <f t="shared" si="30"/>
        <v>Unknown</v>
      </c>
      <c r="Z130" s="223">
        <v>5</v>
      </c>
      <c r="AA130" s="249" t="e">
        <f>VLOOKUP(T130,'Planning and Target Times'!$A$74:$L$78,MATCH(E130&amp;"-"&amp;Q130&amp;"-"&amp;Y130&amp;"-"&amp;R130,INDEX('Planning and Target Times'!$A$74:$L$78,1,0),0),0)</f>
        <v>#N/A</v>
      </c>
      <c r="AB130" s="249" t="e">
        <f>VLOOKUP(T130,'Planning and Target Times'!$A$97:$L$101,MATCH(E130&amp;"-"&amp;Q130&amp;"-"&amp;Y130&amp;"-"&amp;R130,INDEX('Planning and Target Times'!$A$97:$L$101,1,0),0),0)</f>
        <v>#N/A</v>
      </c>
      <c r="AC130" s="250">
        <f t="shared" si="24"/>
        <v>0</v>
      </c>
      <c r="AD130" s="250">
        <f t="shared" si="25"/>
        <v>0</v>
      </c>
      <c r="AE130" s="248">
        <f t="shared" si="26"/>
        <v>7127.0841104237616</v>
      </c>
      <c r="AF130" s="248">
        <f t="shared" si="31"/>
        <v>3822.9158895762384</v>
      </c>
      <c r="AG130" s="248">
        <f t="shared" ca="1" si="20"/>
        <v>-3257.0841104237616</v>
      </c>
      <c r="AH130" s="248">
        <f t="shared" ca="1" si="21"/>
        <v>-5063.0841104237616</v>
      </c>
      <c r="AI130" s="248">
        <f t="shared" si="27"/>
        <v>5735.7881650665449</v>
      </c>
      <c r="AJ130" s="248">
        <f t="shared" ca="1" si="22"/>
        <v>-1865.7881650665449</v>
      </c>
      <c r="AK130" s="248">
        <f t="shared" ca="1" si="23"/>
        <v>-3671.7881650665449</v>
      </c>
    </row>
    <row r="131" spans="2:37" ht="15.95" customHeight="1" x14ac:dyDescent="0.25">
      <c r="B131" s="136">
        <v>122</v>
      </c>
      <c r="C131" s="144" t="s">
        <v>1208</v>
      </c>
      <c r="D131" s="165" t="s">
        <v>838</v>
      </c>
      <c r="E131" s="139" t="s">
        <v>11</v>
      </c>
      <c r="F131" s="140" t="s">
        <v>22</v>
      </c>
      <c r="G131" s="140" t="s">
        <v>1076</v>
      </c>
      <c r="H131" s="140" t="s">
        <v>1082</v>
      </c>
      <c r="I131" s="140" t="s">
        <v>459</v>
      </c>
      <c r="J131" s="141" t="s">
        <v>1079</v>
      </c>
      <c r="K131" s="142">
        <v>42341</v>
      </c>
      <c r="L131" s="142">
        <v>42411</v>
      </c>
      <c r="M131" s="134">
        <v>42425</v>
      </c>
      <c r="N131" s="140">
        <v>70</v>
      </c>
      <c r="O131" s="143">
        <v>1200</v>
      </c>
      <c r="P131" s="143" t="s">
        <v>1080</v>
      </c>
      <c r="Q131" s="223" t="s">
        <v>14</v>
      </c>
      <c r="R131" s="223" t="s">
        <v>298</v>
      </c>
      <c r="S131" s="223" t="s">
        <v>22</v>
      </c>
      <c r="T131" s="224" t="str">
        <f t="shared" si="28"/>
        <v>LB</v>
      </c>
      <c r="U131" s="223" t="str">
        <f t="shared" si="29"/>
        <v>LB-NW-Prod</v>
      </c>
      <c r="V131" s="223" t="str">
        <f t="array" ref="V131">CONCATENATE(Q131,"-",R131)</f>
        <v>NW-Prod</v>
      </c>
      <c r="W131" s="239">
        <f>IF(ISERROR(VLOOKUP(T131,'15-16_DP_Tables'!$M$2:$V$8,MATCH(V131,INDEX('15-16_DP_Tables'!$M$2:$V$8,1,0),0),0)),0,VLOOKUP(T131,'15-16_DP_Tables'!$M$2:$V$8,MATCH(V131,INDEX('15-16_DP_Tables'!$M$2:$V$8,1,0),0),0))</f>
        <v>55.81537142381022</v>
      </c>
      <c r="X131" s="239">
        <f t="array" ref="X131">IF(ISERROR(VLOOKUP(T131,'15-16_DP_Tables'!$M$12:$V$18,MATCH(V131,INDEX('15-16_DP_Tables'!$M$12:$V$18,1,0),0),0)),0,VLOOKUP(T131,'15-16_DP_Tables'!$M$12:$V$18,MATCH(V131,INDEX('15-16_DP_Tables'!$M$12:$V$18,1,0),0),0))</f>
        <v>45.207999999999998</v>
      </c>
      <c r="Y131" s="223" t="str">
        <f t="shared" si="30"/>
        <v>Slant</v>
      </c>
      <c r="Z131" s="223">
        <v>5</v>
      </c>
      <c r="AA131" s="249" t="e">
        <f>VLOOKUP(T131,'Planning and Target Times'!$A$74:$L$78,MATCH(E131&amp;"-"&amp;Q131&amp;"-"&amp;Y131&amp;"-"&amp;R131,INDEX('Planning and Target Times'!$A$74:$L$78,1,0),0),0)</f>
        <v>#N/A</v>
      </c>
      <c r="AB131" s="249" t="e">
        <f>VLOOKUP(T131,'Planning and Target Times'!$A$97:$L$101,MATCH(E131&amp;"-"&amp;Q131&amp;"-"&amp;Y131&amp;"-"&amp;R131,INDEX('Planning and Target Times'!$A$97:$L$101,1,0),0),0)</f>
        <v>#N/A</v>
      </c>
      <c r="AC131" s="250">
        <f t="shared" si="24"/>
        <v>21.499453813328802</v>
      </c>
      <c r="AD131" s="250">
        <f t="shared" si="25"/>
        <v>26.543974517784463</v>
      </c>
      <c r="AE131" s="248">
        <f t="shared" si="26"/>
        <v>7187.8994818475721</v>
      </c>
      <c r="AF131" s="248">
        <f t="shared" si="31"/>
        <v>3762.1005181524279</v>
      </c>
      <c r="AG131" s="248">
        <f t="shared" ca="1" si="20"/>
        <v>-3317.8994818475721</v>
      </c>
      <c r="AH131" s="248">
        <f t="shared" ca="1" si="21"/>
        <v>-5123.8994818475721</v>
      </c>
      <c r="AI131" s="248">
        <f t="shared" si="27"/>
        <v>5785.9961650665446</v>
      </c>
      <c r="AJ131" s="248">
        <f t="shared" ca="1" si="22"/>
        <v>-1915.9961650665446</v>
      </c>
      <c r="AK131" s="248">
        <f t="shared" ca="1" si="23"/>
        <v>-3721.9961650665446</v>
      </c>
    </row>
    <row r="132" spans="2:37" ht="15.95" customHeight="1" x14ac:dyDescent="0.25">
      <c r="B132" s="136">
        <v>141</v>
      </c>
      <c r="C132" s="144" t="s">
        <v>1231</v>
      </c>
      <c r="D132" s="165" t="s">
        <v>19</v>
      </c>
      <c r="E132" s="150" t="s">
        <v>42</v>
      </c>
      <c r="F132" s="140" t="s">
        <v>44</v>
      </c>
      <c r="G132" s="140" t="s">
        <v>1076</v>
      </c>
      <c r="H132" s="140" t="s">
        <v>1082</v>
      </c>
      <c r="I132" s="140" t="s">
        <v>459</v>
      </c>
      <c r="J132" s="141" t="s">
        <v>1079</v>
      </c>
      <c r="K132" s="142">
        <v>42341</v>
      </c>
      <c r="L132" s="142">
        <v>42439</v>
      </c>
      <c r="M132" s="134">
        <v>42453</v>
      </c>
      <c r="N132" s="140">
        <v>98</v>
      </c>
      <c r="O132" s="143">
        <v>2200</v>
      </c>
      <c r="P132" s="135" t="s">
        <v>1096</v>
      </c>
      <c r="Q132" s="223" t="s">
        <v>14</v>
      </c>
      <c r="R132" s="223" t="s">
        <v>298</v>
      </c>
      <c r="S132" s="223" t="s">
        <v>44</v>
      </c>
      <c r="T132" s="224" t="str">
        <f t="shared" si="28"/>
        <v>ZU/RT</v>
      </c>
      <c r="U132" s="223" t="str">
        <f t="shared" si="29"/>
        <v>ZU-NW-Prod</v>
      </c>
      <c r="V132" s="223" t="str">
        <f t="array" ref="V132">CONCATENATE(Q132,"-",R132)</f>
        <v>NW-Prod</v>
      </c>
      <c r="W132" s="239">
        <f>IF(ISERROR(VLOOKUP(T132,'15-16_DP_Tables'!$M$2:$V$8,MATCH(V132,INDEX('15-16_DP_Tables'!$M$2:$V$8,1,0),0),0)),0,VLOOKUP(T132,'15-16_DP_Tables'!$M$2:$V$8,MATCH(V132,INDEX('15-16_DP_Tables'!$M$2:$V$8,1,0),0),0))</f>
        <v>99.088549999999998</v>
      </c>
      <c r="X132" s="239">
        <f t="array" ref="X132">IF(ISERROR(VLOOKUP(T132,'15-16_DP_Tables'!$M$12:$V$18,MATCH(V132,INDEX('15-16_DP_Tables'!$M$12:$V$18,1,0),0),0)),0,VLOOKUP(T132,'15-16_DP_Tables'!$M$12:$V$18,MATCH(V132,INDEX('15-16_DP_Tables'!$M$12:$V$18,1,0),0),0))</f>
        <v>53.375</v>
      </c>
      <c r="Y132" s="223" t="str">
        <f t="shared" si="30"/>
        <v>Unknown</v>
      </c>
      <c r="Z132" s="223">
        <v>5</v>
      </c>
      <c r="AA132" s="249" t="e">
        <f>VLOOKUP(T132,'Planning and Target Times'!$A$74:$L$78,MATCH(E132&amp;"-"&amp;Q132&amp;"-"&amp;Y132&amp;"-"&amp;R132,INDEX('Planning and Target Times'!$A$74:$L$78,1,0),0),0)</f>
        <v>#N/A</v>
      </c>
      <c r="AB132" s="249" t="e">
        <f>VLOOKUP(T132,'Planning and Target Times'!$A$97:$L$101,MATCH(E132&amp;"-"&amp;Q132&amp;"-"&amp;Y132&amp;"-"&amp;R132,INDEX('Planning and Target Times'!$A$97:$L$101,1,0),0),0)</f>
        <v>#N/A</v>
      </c>
      <c r="AC132" s="250">
        <f t="shared" si="24"/>
        <v>22.202363441588357</v>
      </c>
      <c r="AD132" s="250">
        <f t="shared" si="25"/>
        <v>41.217798594847778</v>
      </c>
      <c r="AE132" s="248">
        <f t="shared" si="26"/>
        <v>7291.9880318475725</v>
      </c>
      <c r="AF132" s="248">
        <f t="shared" si="31"/>
        <v>3658.0119681524275</v>
      </c>
      <c r="AG132" s="248">
        <f t="shared" ca="1" si="20"/>
        <v>-3421.9880318475725</v>
      </c>
      <c r="AH132" s="248">
        <f t="shared" ca="1" si="21"/>
        <v>-5227.9880318475725</v>
      </c>
      <c r="AI132" s="248">
        <f t="shared" si="27"/>
        <v>5844.3711650665446</v>
      </c>
      <c r="AJ132" s="248">
        <f t="shared" ca="1" si="22"/>
        <v>-1974.3711650665446</v>
      </c>
      <c r="AK132" s="248">
        <f t="shared" ca="1" si="23"/>
        <v>-3780.3711650665446</v>
      </c>
    </row>
    <row r="133" spans="2:37" ht="15.95" customHeight="1" x14ac:dyDescent="0.25">
      <c r="B133" s="136">
        <v>107</v>
      </c>
      <c r="C133" s="144" t="s">
        <v>1193</v>
      </c>
      <c r="D133" s="157" t="s">
        <v>735</v>
      </c>
      <c r="E133" s="139" t="s">
        <v>11</v>
      </c>
      <c r="F133" s="140" t="s">
        <v>29</v>
      </c>
      <c r="G133" s="140" t="s">
        <v>1076</v>
      </c>
      <c r="H133" s="140" t="s">
        <v>1082</v>
      </c>
      <c r="I133" s="140" t="s">
        <v>459</v>
      </c>
      <c r="J133" s="141" t="s">
        <v>1079</v>
      </c>
      <c r="K133" s="142">
        <v>42348</v>
      </c>
      <c r="L133" s="142">
        <v>42418</v>
      </c>
      <c r="M133" s="134">
        <v>42432</v>
      </c>
      <c r="N133" s="140">
        <v>70</v>
      </c>
      <c r="O133" s="143">
        <v>1200</v>
      </c>
      <c r="P133" s="135" t="s">
        <v>1080</v>
      </c>
      <c r="Q133" s="223" t="s">
        <v>14</v>
      </c>
      <c r="R133" s="223" t="s">
        <v>298</v>
      </c>
      <c r="S133" s="223" t="s">
        <v>29</v>
      </c>
      <c r="T133" s="224" t="str">
        <f t="shared" ref="T133:T164" si="32">IF(OR(F133="ZU",F133="RT"),"ZU/RT",F133)</f>
        <v>UB</v>
      </c>
      <c r="U133" s="223" t="str">
        <f t="shared" ref="U133:U164" si="33">CONCATENATE(F133,"-",Q133,"-",R133)</f>
        <v>UB-NW-Prod</v>
      </c>
      <c r="V133" s="223" t="str">
        <f t="array" ref="V133">CONCATENATE(Q133,"-",R133)</f>
        <v>NW-Prod</v>
      </c>
      <c r="W133" s="239">
        <f>IF(ISERROR(VLOOKUP(T133,'15-16_DP_Tables'!$M$2:$V$8,MATCH(V133,INDEX('15-16_DP_Tables'!$M$2:$V$8,1,0),0),0)),0,VLOOKUP(T133,'15-16_DP_Tables'!$M$2:$V$8,MATCH(V133,INDEX('15-16_DP_Tables'!$M$2:$V$8,1,0),0),0))</f>
        <v>53.604164999999995</v>
      </c>
      <c r="X133" s="239">
        <f t="array" ref="X133">IF(ISERROR(VLOOKUP(T133,'15-16_DP_Tables'!$M$12:$V$18,MATCH(V133,INDEX('15-16_DP_Tables'!$M$12:$V$18,1,0),0),0)),0,VLOOKUP(T133,'15-16_DP_Tables'!$M$12:$V$18,MATCH(V133,INDEX('15-16_DP_Tables'!$M$12:$V$18,1,0),0),0))</f>
        <v>48</v>
      </c>
      <c r="Y133" s="223" t="str">
        <f t="shared" ref="Y133:Y164" si="34">IF(OR(ISNUMBER(SEARCH("HST",C133)),ISNUMBER(SEARCH("Horizontal",C133)),ISNUMBER(SEARCH("H",C133))),"Horizontal",IF(OR(ISNUMBER(SEARCH("SLANT",C133))),"Slant","Unknown"))</f>
        <v>Horizontal</v>
      </c>
      <c r="Z133" s="223">
        <v>5</v>
      </c>
      <c r="AA133" s="249" t="e">
        <f>VLOOKUP(T133,'Planning and Target Times'!$A$74:$L$78,MATCH(E133&amp;"-"&amp;Q133&amp;"-"&amp;Y133&amp;"-"&amp;R133,INDEX('Planning and Target Times'!$A$74:$L$78,1,0),0),0)</f>
        <v>#N/A</v>
      </c>
      <c r="AB133" s="249" t="e">
        <f>VLOOKUP(T133,'Planning and Target Times'!$A$97:$L$101,MATCH(E133&amp;"-"&amp;Q133&amp;"-"&amp;Y133&amp;"-"&amp;R133,INDEX('Planning and Target Times'!$A$97:$L$101,1,0),0),0)</f>
        <v>#N/A</v>
      </c>
      <c r="AC133" s="250">
        <f t="shared" si="24"/>
        <v>22.386320167472064</v>
      </c>
      <c r="AD133" s="250">
        <f t="shared" si="25"/>
        <v>25</v>
      </c>
      <c r="AE133" s="248">
        <f t="shared" si="26"/>
        <v>7350.5921968475723</v>
      </c>
      <c r="AF133" s="248">
        <f t="shared" ref="AF133:AF164" si="35">(30*365)-AE133</f>
        <v>3599.4078031524277</v>
      </c>
      <c r="AG133" s="248">
        <f t="shared" ca="1" si="20"/>
        <v>-3480.5921968475723</v>
      </c>
      <c r="AH133" s="248">
        <f t="shared" ca="1" si="21"/>
        <v>-5286.5921968475723</v>
      </c>
      <c r="AI133" s="248">
        <f t="shared" si="27"/>
        <v>5897.3711650665446</v>
      </c>
      <c r="AJ133" s="248">
        <f t="shared" ca="1" si="22"/>
        <v>-2027.3711650665446</v>
      </c>
      <c r="AK133" s="248">
        <f t="shared" ca="1" si="23"/>
        <v>-3833.3711650665446</v>
      </c>
    </row>
    <row r="134" spans="2:37" ht="15.95" customHeight="1" x14ac:dyDescent="0.25">
      <c r="B134" s="136">
        <v>134</v>
      </c>
      <c r="C134" s="164" t="s">
        <v>1223</v>
      </c>
      <c r="D134" s="171" t="s">
        <v>1221</v>
      </c>
      <c r="E134" s="139" t="s">
        <v>42</v>
      </c>
      <c r="F134" s="140" t="s">
        <v>17</v>
      </c>
      <c r="G134" s="140" t="s">
        <v>1076</v>
      </c>
      <c r="H134" s="140" t="s">
        <v>1082</v>
      </c>
      <c r="I134" s="140" t="s">
        <v>459</v>
      </c>
      <c r="J134" s="141" t="s">
        <v>1079</v>
      </c>
      <c r="K134" s="142">
        <v>42354</v>
      </c>
      <c r="L134" s="142">
        <v>42424</v>
      </c>
      <c r="M134" s="134">
        <v>42438</v>
      </c>
      <c r="N134" s="140">
        <v>70</v>
      </c>
      <c r="O134" s="143">
        <v>1500</v>
      </c>
      <c r="P134" s="135" t="s">
        <v>1096</v>
      </c>
      <c r="Q134" s="223" t="s">
        <v>14</v>
      </c>
      <c r="R134" s="223" t="s">
        <v>298</v>
      </c>
      <c r="S134" s="223" t="s">
        <v>17</v>
      </c>
      <c r="T134" s="224" t="str">
        <f t="shared" si="32"/>
        <v>MA</v>
      </c>
      <c r="U134" s="223" t="str">
        <f t="shared" si="33"/>
        <v>MA-NW-Prod</v>
      </c>
      <c r="V134" s="223" t="str">
        <f t="array" ref="V134">CONCATENATE(Q134,"-",R134)</f>
        <v>NW-Prod</v>
      </c>
      <c r="W134" s="239">
        <f>IF(ISERROR(VLOOKUP(T134,'15-16_DP_Tables'!$M$2:$V$8,MATCH(V134,INDEX('15-16_DP_Tables'!$M$2:$V$8,1,0),0),0)),0,VLOOKUP(T134,'15-16_DP_Tables'!$M$2:$V$8,MATCH(V134,INDEX('15-16_DP_Tables'!$M$2:$V$8,1,0),0),0))</f>
        <v>57.083333333332121</v>
      </c>
      <c r="X134" s="239">
        <f t="array" ref="X134">IF(ISERROR(VLOOKUP(T134,'15-16_DP_Tables'!$M$12:$V$18,MATCH(V134,INDEX('15-16_DP_Tables'!$M$12:$V$18,1,0),0),0)),0,VLOOKUP(T134,'15-16_DP_Tables'!$M$12:$V$18,MATCH(V134,INDEX('15-16_DP_Tables'!$M$12:$V$18,1,0),0),0))</f>
        <v>47.791666666664241</v>
      </c>
      <c r="Y134" s="223" t="str">
        <f t="shared" si="34"/>
        <v>Horizontal</v>
      </c>
      <c r="Z134" s="223">
        <v>5</v>
      </c>
      <c r="AA134" s="249" t="e">
        <f>VLOOKUP(T134,'Planning and Target Times'!$A$74:$L$78,MATCH(E134&amp;"-"&amp;Q134&amp;"-"&amp;Y134&amp;"-"&amp;R134,INDEX('Planning and Target Times'!$A$74:$L$78,1,0),0),0)</f>
        <v>#N/A</v>
      </c>
      <c r="AB134" s="249" t="e">
        <f>VLOOKUP(T134,'Planning and Target Times'!$A$97:$L$101,MATCH(E134&amp;"-"&amp;Q134&amp;"-"&amp;Y134&amp;"-"&amp;R134,INDEX('Planning and Target Times'!$A$97:$L$101,1,0),0),0)</f>
        <v>#N/A</v>
      </c>
      <c r="AC134" s="250">
        <f t="shared" si="24"/>
        <v>26.277372262774282</v>
      </c>
      <c r="AD134" s="250">
        <f t="shared" si="25"/>
        <v>31.386224934613622</v>
      </c>
      <c r="AE134" s="248">
        <f t="shared" si="26"/>
        <v>7412.6755301809044</v>
      </c>
      <c r="AF134" s="248">
        <f t="shared" si="35"/>
        <v>3537.3244698190956</v>
      </c>
      <c r="AG134" s="248">
        <f t="shared" ref="AG134:AG183" ca="1" si="36">(30*$AG$3)-AE134</f>
        <v>-3542.6755301809044</v>
      </c>
      <c r="AH134" s="248">
        <f t="shared" ref="AH134:AH184" ca="1" si="37">($AH$3*$AG$3)-AE134</f>
        <v>-5348.6755301809044</v>
      </c>
      <c r="AI134" s="248">
        <f t="shared" si="27"/>
        <v>5950.1628317332088</v>
      </c>
      <c r="AJ134" s="248">
        <f t="shared" ref="AJ134:AJ184" ca="1" si="38">(30*$AJ$3)-AI134</f>
        <v>-2080.1628317332088</v>
      </c>
      <c r="AK134" s="248">
        <f t="shared" ref="AK134:AK184" ca="1" si="39">($AJ$3*$AK$3)-AI134</f>
        <v>-3886.1628317332088</v>
      </c>
    </row>
    <row r="135" spans="2:37" ht="15.95" customHeight="1" x14ac:dyDescent="0.25">
      <c r="B135" s="136">
        <v>82</v>
      </c>
      <c r="C135" s="144" t="s">
        <v>1168</v>
      </c>
      <c r="D135" s="184" t="s">
        <v>511</v>
      </c>
      <c r="E135" s="150" t="s">
        <v>42</v>
      </c>
      <c r="F135" s="140" t="s">
        <v>29</v>
      </c>
      <c r="G135" s="140" t="s">
        <v>1076</v>
      </c>
      <c r="H135" s="140" t="s">
        <v>1082</v>
      </c>
      <c r="I135" s="140" t="s">
        <v>459</v>
      </c>
      <c r="J135" s="141" t="s">
        <v>1079</v>
      </c>
      <c r="K135" s="142">
        <v>42355</v>
      </c>
      <c r="L135" s="142">
        <v>42425</v>
      </c>
      <c r="M135" s="134">
        <v>42439</v>
      </c>
      <c r="N135" s="140">
        <v>70</v>
      </c>
      <c r="O135" s="143">
        <v>2000</v>
      </c>
      <c r="P135" s="143" t="s">
        <v>1096</v>
      </c>
      <c r="Q135" s="223" t="s">
        <v>14</v>
      </c>
      <c r="R135" s="223" t="s">
        <v>298</v>
      </c>
      <c r="S135" s="223" t="s">
        <v>29</v>
      </c>
      <c r="T135" s="224" t="str">
        <f t="shared" si="32"/>
        <v>UB</v>
      </c>
      <c r="U135" s="223" t="str">
        <f t="shared" si="33"/>
        <v>UB-NW-Prod</v>
      </c>
      <c r="V135" s="223" t="str">
        <f t="array" ref="V135">CONCATENATE(Q135,"-",R135)</f>
        <v>NW-Prod</v>
      </c>
      <c r="W135" s="239">
        <f>IF(ISERROR(VLOOKUP(T135,'15-16_DP_Tables'!$M$2:$V$8,MATCH(V135,INDEX('15-16_DP_Tables'!$M$2:$V$8,1,0),0),0)),0,VLOOKUP(T135,'15-16_DP_Tables'!$M$2:$V$8,MATCH(V135,INDEX('15-16_DP_Tables'!$M$2:$V$8,1,0),0),0))</f>
        <v>53.604164999999995</v>
      </c>
      <c r="X135" s="239">
        <f t="array" ref="X135">IF(ISERROR(VLOOKUP(T135,'15-16_DP_Tables'!$M$12:$V$18,MATCH(V135,INDEX('15-16_DP_Tables'!$M$12:$V$18,1,0),0),0)),0,VLOOKUP(T135,'15-16_DP_Tables'!$M$12:$V$18,MATCH(V135,INDEX('15-16_DP_Tables'!$M$12:$V$18,1,0),0),0))</f>
        <v>48</v>
      </c>
      <c r="Y135" s="223" t="str">
        <f t="shared" si="34"/>
        <v>Unknown</v>
      </c>
      <c r="Z135" s="223">
        <v>5</v>
      </c>
      <c r="AA135" s="249" t="e">
        <f>VLOOKUP(T135,'Planning and Target Times'!$A$74:$L$78,MATCH(E135&amp;"-"&amp;Q135&amp;"-"&amp;Y135&amp;"-"&amp;R135,INDEX('Planning and Target Times'!$A$74:$L$78,1,0),0),0)</f>
        <v>#N/A</v>
      </c>
      <c r="AB135" s="249" t="e">
        <f>VLOOKUP(T135,'Planning and Target Times'!$A$97:$L$101,MATCH(E135&amp;"-"&amp;Q135&amp;"-"&amp;Y135&amp;"-"&amp;R135,INDEX('Planning and Target Times'!$A$97:$L$101,1,0),0),0)</f>
        <v>#N/A</v>
      </c>
      <c r="AC135" s="250">
        <f t="shared" ref="AC135:AC184" si="40">IF(ISERROR(O135/W135),0,(O135/W135))</f>
        <v>37.31053361245344</v>
      </c>
      <c r="AD135" s="250">
        <f t="shared" ref="AD135:AD183" si="41">IF(ISERROR(O135/X135),0,(O135/X135))</f>
        <v>41.666666666666664</v>
      </c>
      <c r="AE135" s="248">
        <f t="shared" ref="AE135:AE183" si="42">SUM(AE134,W135)+Z135</f>
        <v>7471.2796951809041</v>
      </c>
      <c r="AF135" s="248">
        <f t="shared" si="35"/>
        <v>3478.7203048190959</v>
      </c>
      <c r="AG135" s="248">
        <f t="shared" ca="1" si="36"/>
        <v>-3601.2796951809041</v>
      </c>
      <c r="AH135" s="248">
        <f t="shared" ca="1" si="37"/>
        <v>-5407.2796951809041</v>
      </c>
      <c r="AI135" s="248">
        <f t="shared" ref="AI135:AI183" si="43">SUM(AI134,X135)+Z135</f>
        <v>6003.1628317332088</v>
      </c>
      <c r="AJ135" s="248">
        <f t="shared" ca="1" si="38"/>
        <v>-2133.1628317332088</v>
      </c>
      <c r="AK135" s="248">
        <f t="shared" ca="1" si="39"/>
        <v>-3939.1628317332088</v>
      </c>
    </row>
    <row r="136" spans="2:37" ht="15.95" customHeight="1" x14ac:dyDescent="0.25">
      <c r="B136" s="136">
        <v>149</v>
      </c>
      <c r="C136" s="144" t="s">
        <v>1241</v>
      </c>
      <c r="D136" s="194" t="s">
        <v>1239</v>
      </c>
      <c r="E136" s="150" t="s">
        <v>11</v>
      </c>
      <c r="F136" s="140" t="s">
        <v>17</v>
      </c>
      <c r="G136" s="140" t="s">
        <v>1076</v>
      </c>
      <c r="H136" s="140" t="s">
        <v>1082</v>
      </c>
      <c r="I136" s="140" t="s">
        <v>459</v>
      </c>
      <c r="J136" s="141" t="s">
        <v>1079</v>
      </c>
      <c r="K136" s="142">
        <v>42357</v>
      </c>
      <c r="L136" s="142">
        <v>42427</v>
      </c>
      <c r="M136" s="134">
        <v>42441</v>
      </c>
      <c r="N136" s="140">
        <v>70</v>
      </c>
      <c r="O136" s="143">
        <v>1400</v>
      </c>
      <c r="P136" s="135" t="s">
        <v>1096</v>
      </c>
      <c r="Q136" s="223" t="s">
        <v>14</v>
      </c>
      <c r="R136" s="223" t="s">
        <v>298</v>
      </c>
      <c r="S136" s="223" t="s">
        <v>17</v>
      </c>
      <c r="T136" s="224" t="str">
        <f t="shared" si="32"/>
        <v>MA</v>
      </c>
      <c r="U136" s="223" t="str">
        <f t="shared" si="33"/>
        <v>MA-NW-Prod</v>
      </c>
      <c r="V136" s="223" t="str">
        <f t="array" ref="V136">CONCATENATE(Q136,"-",R136)</f>
        <v>NW-Prod</v>
      </c>
      <c r="W136" s="239">
        <f>IF(ISERROR(VLOOKUP(T136,'15-16_DP_Tables'!$M$2:$V$8,MATCH(V136,INDEX('15-16_DP_Tables'!$M$2:$V$8,1,0),0),0)),0,VLOOKUP(T136,'15-16_DP_Tables'!$M$2:$V$8,MATCH(V136,INDEX('15-16_DP_Tables'!$M$2:$V$8,1,0),0),0))</f>
        <v>57.083333333332121</v>
      </c>
      <c r="X136" s="239">
        <f t="array" ref="X136">IF(ISERROR(VLOOKUP(T136,'15-16_DP_Tables'!$M$12:$V$18,MATCH(V136,INDEX('15-16_DP_Tables'!$M$12:$V$18,1,0),0),0)),0,VLOOKUP(T136,'15-16_DP_Tables'!$M$12:$V$18,MATCH(V136,INDEX('15-16_DP_Tables'!$M$12:$V$18,1,0),0),0))</f>
        <v>47.791666666664241</v>
      </c>
      <c r="Y136" s="223" t="str">
        <f t="shared" si="34"/>
        <v>Horizontal</v>
      </c>
      <c r="Z136" s="223">
        <v>5</v>
      </c>
      <c r="AA136" s="249" t="e">
        <f>VLOOKUP(T136,'Planning and Target Times'!$A$74:$L$78,MATCH(E136&amp;"-"&amp;Q136&amp;"-"&amp;Y136&amp;"-"&amp;R136,INDEX('Planning and Target Times'!$A$74:$L$78,1,0),0),0)</f>
        <v>#N/A</v>
      </c>
      <c r="AB136" s="249" t="e">
        <f>VLOOKUP(T136,'Planning and Target Times'!$A$97:$L$101,MATCH(E136&amp;"-"&amp;Q136&amp;"-"&amp;Y136&amp;"-"&amp;R136,INDEX('Planning and Target Times'!$A$97:$L$101,1,0),0),0)</f>
        <v>#N/A</v>
      </c>
      <c r="AC136" s="250">
        <f t="shared" si="40"/>
        <v>24.525547445255995</v>
      </c>
      <c r="AD136" s="250">
        <f t="shared" si="41"/>
        <v>29.293809938972714</v>
      </c>
      <c r="AE136" s="248">
        <f t="shared" si="42"/>
        <v>7533.3630285142362</v>
      </c>
      <c r="AF136" s="248">
        <f t="shared" si="35"/>
        <v>3416.6369714857638</v>
      </c>
      <c r="AG136" s="248">
        <f t="shared" ca="1" si="36"/>
        <v>-3663.3630285142362</v>
      </c>
      <c r="AH136" s="248">
        <f t="shared" ca="1" si="37"/>
        <v>-5469.3630285142362</v>
      </c>
      <c r="AI136" s="248">
        <f t="shared" si="43"/>
        <v>6055.954498399873</v>
      </c>
      <c r="AJ136" s="248">
        <f t="shared" ca="1" si="38"/>
        <v>-2185.954498399873</v>
      </c>
      <c r="AK136" s="248">
        <f t="shared" ca="1" si="39"/>
        <v>-3991.954498399873</v>
      </c>
    </row>
    <row r="137" spans="2:37" ht="15.95" customHeight="1" x14ac:dyDescent="0.25">
      <c r="B137" s="136">
        <v>41</v>
      </c>
      <c r="C137" s="144" t="s">
        <v>1125</v>
      </c>
      <c r="D137" s="165" t="s">
        <v>1116</v>
      </c>
      <c r="E137" s="139" t="s">
        <v>42</v>
      </c>
      <c r="F137" s="140" t="s">
        <v>17</v>
      </c>
      <c r="G137" s="140" t="s">
        <v>1076</v>
      </c>
      <c r="H137" s="140" t="s">
        <v>1082</v>
      </c>
      <c r="I137" s="140" t="s">
        <v>459</v>
      </c>
      <c r="J137" s="141" t="s">
        <v>1079</v>
      </c>
      <c r="K137" s="142">
        <v>42358</v>
      </c>
      <c r="L137" s="142">
        <v>42428</v>
      </c>
      <c r="M137" s="134">
        <v>42442</v>
      </c>
      <c r="N137" s="140">
        <v>70</v>
      </c>
      <c r="O137" s="143">
        <v>1500</v>
      </c>
      <c r="P137" s="135" t="s">
        <v>1096</v>
      </c>
      <c r="Q137" s="223" t="s">
        <v>14</v>
      </c>
      <c r="R137" s="223" t="s">
        <v>298</v>
      </c>
      <c r="S137" s="223" t="s">
        <v>17</v>
      </c>
      <c r="T137" s="224" t="str">
        <f t="shared" si="32"/>
        <v>MA</v>
      </c>
      <c r="U137" s="223" t="str">
        <f t="shared" si="33"/>
        <v>MA-NW-Prod</v>
      </c>
      <c r="V137" s="223" t="str">
        <f t="array" ref="V137">CONCATENATE(Q137,"-",R137)</f>
        <v>NW-Prod</v>
      </c>
      <c r="W137" s="239">
        <f>IF(ISERROR(VLOOKUP(T137,'15-16_DP_Tables'!$M$2:$V$8,MATCH(V137,INDEX('15-16_DP_Tables'!$M$2:$V$8,1,0),0),0)),0,VLOOKUP(T137,'15-16_DP_Tables'!$M$2:$V$8,MATCH(V137,INDEX('15-16_DP_Tables'!$M$2:$V$8,1,0),0),0))</f>
        <v>57.083333333332121</v>
      </c>
      <c r="X137" s="239">
        <f t="array" ref="X137">IF(ISERROR(VLOOKUP(T137,'15-16_DP_Tables'!$M$12:$V$18,MATCH(V137,INDEX('15-16_DP_Tables'!$M$12:$V$18,1,0),0),0)),0,VLOOKUP(T137,'15-16_DP_Tables'!$M$12:$V$18,MATCH(V137,INDEX('15-16_DP_Tables'!$M$12:$V$18,1,0),0),0))</f>
        <v>47.791666666664241</v>
      </c>
      <c r="Y137" s="223" t="str">
        <f t="shared" si="34"/>
        <v>Horizontal</v>
      </c>
      <c r="Z137" s="223">
        <v>5</v>
      </c>
      <c r="AA137" s="249" t="e">
        <f>VLOOKUP(T137,'Planning and Target Times'!$A$74:$L$78,MATCH(E137&amp;"-"&amp;Q137&amp;"-"&amp;Y137&amp;"-"&amp;R137,INDEX('Planning and Target Times'!$A$74:$L$78,1,0),0),0)</f>
        <v>#N/A</v>
      </c>
      <c r="AB137" s="249" t="e">
        <f>VLOOKUP(T137,'Planning and Target Times'!$A$97:$L$101,MATCH(E137&amp;"-"&amp;Q137&amp;"-"&amp;Y137&amp;"-"&amp;R137,INDEX('Planning and Target Times'!$A$97:$L$101,1,0),0),0)</f>
        <v>#N/A</v>
      </c>
      <c r="AC137" s="250">
        <f t="shared" si="40"/>
        <v>26.277372262774282</v>
      </c>
      <c r="AD137" s="250">
        <f t="shared" si="41"/>
        <v>31.386224934613622</v>
      </c>
      <c r="AE137" s="248">
        <f t="shared" si="42"/>
        <v>7595.4463618475684</v>
      </c>
      <c r="AF137" s="248">
        <f t="shared" si="35"/>
        <v>3354.5536381524316</v>
      </c>
      <c r="AG137" s="248">
        <f t="shared" ca="1" si="36"/>
        <v>-3725.4463618475684</v>
      </c>
      <c r="AH137" s="248">
        <f t="shared" ca="1" si="37"/>
        <v>-5531.4463618475684</v>
      </c>
      <c r="AI137" s="248">
        <f t="shared" si="43"/>
        <v>6108.7461650665373</v>
      </c>
      <c r="AJ137" s="248">
        <f t="shared" ca="1" si="38"/>
        <v>-2238.7461650665373</v>
      </c>
      <c r="AK137" s="248">
        <f t="shared" ca="1" si="39"/>
        <v>-4044.7461650665373</v>
      </c>
    </row>
    <row r="138" spans="2:37" ht="15.95" customHeight="1" x14ac:dyDescent="0.25">
      <c r="B138" s="136">
        <v>60</v>
      </c>
      <c r="C138" s="144" t="s">
        <v>1146</v>
      </c>
      <c r="D138" s="178" t="s">
        <v>1137</v>
      </c>
      <c r="E138" s="150" t="s">
        <v>11</v>
      </c>
      <c r="F138" s="140" t="s">
        <v>29</v>
      </c>
      <c r="G138" s="140" t="s">
        <v>1086</v>
      </c>
      <c r="H138" s="140" t="s">
        <v>1082</v>
      </c>
      <c r="I138" s="140" t="s">
        <v>459</v>
      </c>
      <c r="J138" s="141" t="s">
        <v>1079</v>
      </c>
      <c r="K138" s="142">
        <v>42361</v>
      </c>
      <c r="L138" s="142">
        <v>42424</v>
      </c>
      <c r="M138" s="134">
        <v>42438</v>
      </c>
      <c r="N138" s="140">
        <v>63</v>
      </c>
      <c r="O138" s="143"/>
      <c r="P138" s="143" t="s">
        <v>1096</v>
      </c>
      <c r="Q138" s="223" t="s">
        <v>14</v>
      </c>
      <c r="R138" s="223" t="s">
        <v>34</v>
      </c>
      <c r="S138" s="223" t="s">
        <v>29</v>
      </c>
      <c r="T138" s="224" t="str">
        <f t="shared" si="32"/>
        <v>UB</v>
      </c>
      <c r="U138" s="223" t="str">
        <f t="shared" si="33"/>
        <v>UB-NW-Inj</v>
      </c>
      <c r="V138" s="223" t="str">
        <f t="array" ref="V138">CONCATENATE(Q138,"-",R138)</f>
        <v>NW-Inj</v>
      </c>
      <c r="W138" s="239">
        <f>IF(ISERROR(VLOOKUP(T138,'15-16_DP_Tables'!$M$2:$V$8,MATCH(V138,INDEX('15-16_DP_Tables'!$M$2:$V$8,1,0),0),0)),0,VLOOKUP(T138,'15-16_DP_Tables'!$M$2:$V$8,MATCH(V138,INDEX('15-16_DP_Tables'!$M$2:$V$8,1,0),0),0))</f>
        <v>0</v>
      </c>
      <c r="X138" s="239">
        <f t="array" ref="X138">IF(ISERROR(VLOOKUP(T138,'15-16_DP_Tables'!$M$12:$V$18,MATCH(V138,INDEX('15-16_DP_Tables'!$M$12:$V$18,1,0),0),0)),0,VLOOKUP(T138,'15-16_DP_Tables'!$M$12:$V$18,MATCH(V138,INDEX('15-16_DP_Tables'!$M$12:$V$18,1,0),0),0))</f>
        <v>0</v>
      </c>
      <c r="Y138" s="223" t="str">
        <f t="shared" si="34"/>
        <v>Unknown</v>
      </c>
      <c r="Z138" s="223">
        <v>5</v>
      </c>
      <c r="AA138" s="249" t="e">
        <f>VLOOKUP(T138,'Planning and Target Times'!$A$74:$L$78,MATCH(E138&amp;"-"&amp;Q138&amp;"-"&amp;Y138&amp;"-"&amp;R138,INDEX('Planning and Target Times'!$A$74:$L$78,1,0),0),0)</f>
        <v>#N/A</v>
      </c>
      <c r="AB138" s="249" t="e">
        <f>VLOOKUP(T138,'Planning and Target Times'!$A$97:$L$101,MATCH(E138&amp;"-"&amp;Q138&amp;"-"&amp;Y138&amp;"-"&amp;R138,INDEX('Planning and Target Times'!$A$97:$L$101,1,0),0),0)</f>
        <v>#N/A</v>
      </c>
      <c r="AC138" s="250">
        <f t="shared" si="40"/>
        <v>0</v>
      </c>
      <c r="AD138" s="250">
        <f t="shared" si="41"/>
        <v>0</v>
      </c>
      <c r="AE138" s="248">
        <f t="shared" si="42"/>
        <v>7600.4463618475684</v>
      </c>
      <c r="AF138" s="248">
        <f t="shared" si="35"/>
        <v>3349.5536381524316</v>
      </c>
      <c r="AG138" s="248">
        <f t="shared" ca="1" si="36"/>
        <v>-3730.4463618475684</v>
      </c>
      <c r="AH138" s="248">
        <f t="shared" ca="1" si="37"/>
        <v>-5536.4463618475684</v>
      </c>
      <c r="AI138" s="248">
        <f t="shared" si="43"/>
        <v>6113.7461650665373</v>
      </c>
      <c r="AJ138" s="248">
        <f t="shared" ca="1" si="38"/>
        <v>-2243.7461650665373</v>
      </c>
      <c r="AK138" s="248">
        <f t="shared" ca="1" si="39"/>
        <v>-4049.7461650665373</v>
      </c>
    </row>
    <row r="139" spans="2:37" ht="15.95" customHeight="1" x14ac:dyDescent="0.25">
      <c r="B139" s="136">
        <v>68</v>
      </c>
      <c r="C139" s="144" t="s">
        <v>1154</v>
      </c>
      <c r="D139" s="180" t="s">
        <v>513</v>
      </c>
      <c r="E139" s="150" t="s">
        <v>11</v>
      </c>
      <c r="F139" s="140" t="s">
        <v>22</v>
      </c>
      <c r="G139" s="140" t="s">
        <v>1076</v>
      </c>
      <c r="H139" s="140" t="s">
        <v>1082</v>
      </c>
      <c r="I139" s="140" t="s">
        <v>459</v>
      </c>
      <c r="J139" s="141" t="s">
        <v>1079</v>
      </c>
      <c r="K139" s="142">
        <v>42366</v>
      </c>
      <c r="L139" s="142">
        <v>42436</v>
      </c>
      <c r="M139" s="134">
        <v>42450</v>
      </c>
      <c r="N139" s="140">
        <v>70</v>
      </c>
      <c r="O139" s="143">
        <v>1200</v>
      </c>
      <c r="P139" s="143" t="s">
        <v>1096</v>
      </c>
      <c r="Q139" s="223" t="s">
        <v>14</v>
      </c>
      <c r="R139" s="223" t="s">
        <v>298</v>
      </c>
      <c r="S139" s="223" t="s">
        <v>22</v>
      </c>
      <c r="T139" s="224" t="str">
        <f t="shared" si="32"/>
        <v>LB</v>
      </c>
      <c r="U139" s="223" t="str">
        <f t="shared" si="33"/>
        <v>LB-NW-Prod</v>
      </c>
      <c r="V139" s="223" t="str">
        <f t="array" ref="V139">CONCATENATE(Q139,"-",R139)</f>
        <v>NW-Prod</v>
      </c>
      <c r="W139" s="239">
        <f>IF(ISERROR(VLOOKUP(T139,'15-16_DP_Tables'!$M$2:$V$8,MATCH(V139,INDEX('15-16_DP_Tables'!$M$2:$V$8,1,0),0),0)),0,VLOOKUP(T139,'15-16_DP_Tables'!$M$2:$V$8,MATCH(V139,INDEX('15-16_DP_Tables'!$M$2:$V$8,1,0),0),0))</f>
        <v>55.81537142381022</v>
      </c>
      <c r="X139" s="239">
        <f t="array" ref="X139">IF(ISERROR(VLOOKUP(T139,'15-16_DP_Tables'!$M$12:$V$18,MATCH(V139,INDEX('15-16_DP_Tables'!$M$12:$V$18,1,0),0),0)),0,VLOOKUP(T139,'15-16_DP_Tables'!$M$12:$V$18,MATCH(V139,INDEX('15-16_DP_Tables'!$M$12:$V$18,1,0),0),0))</f>
        <v>45.207999999999998</v>
      </c>
      <c r="Y139" s="223" t="str">
        <f t="shared" si="34"/>
        <v>Unknown</v>
      </c>
      <c r="Z139" s="223">
        <v>5</v>
      </c>
      <c r="AA139" s="249" t="e">
        <f>VLOOKUP(T139,'Planning and Target Times'!$A$74:$L$78,MATCH(E139&amp;"-"&amp;Q139&amp;"-"&amp;Y139&amp;"-"&amp;R139,INDEX('Planning and Target Times'!$A$74:$L$78,1,0),0),0)</f>
        <v>#N/A</v>
      </c>
      <c r="AB139" s="249" t="e">
        <f>VLOOKUP(T139,'Planning and Target Times'!$A$97:$L$101,MATCH(E139&amp;"-"&amp;Q139&amp;"-"&amp;Y139&amp;"-"&amp;R139,INDEX('Planning and Target Times'!$A$97:$L$101,1,0),0),0)</f>
        <v>#N/A</v>
      </c>
      <c r="AC139" s="250">
        <f t="shared" si="40"/>
        <v>21.499453813328802</v>
      </c>
      <c r="AD139" s="250">
        <f t="shared" si="41"/>
        <v>26.543974517784463</v>
      </c>
      <c r="AE139" s="248">
        <f t="shared" si="42"/>
        <v>7661.2617332713789</v>
      </c>
      <c r="AF139" s="248">
        <f t="shared" si="35"/>
        <v>3288.7382667286211</v>
      </c>
      <c r="AG139" s="248">
        <f t="shared" ca="1" si="36"/>
        <v>-3791.2617332713789</v>
      </c>
      <c r="AH139" s="248">
        <f t="shared" ca="1" si="37"/>
        <v>-5597.2617332713789</v>
      </c>
      <c r="AI139" s="248">
        <f t="shared" si="43"/>
        <v>6163.9541650665369</v>
      </c>
      <c r="AJ139" s="248">
        <f t="shared" ca="1" si="38"/>
        <v>-2293.9541650665369</v>
      </c>
      <c r="AK139" s="248">
        <f t="shared" ca="1" si="39"/>
        <v>-4099.9541650665369</v>
      </c>
    </row>
    <row r="140" spans="2:37" ht="15.95" customHeight="1" x14ac:dyDescent="0.25">
      <c r="B140" s="136">
        <v>75</v>
      </c>
      <c r="C140" s="144" t="s">
        <v>1161</v>
      </c>
      <c r="D140" s="182" t="s">
        <v>512</v>
      </c>
      <c r="E140" s="150" t="s">
        <v>11</v>
      </c>
      <c r="F140" s="140" t="s">
        <v>17</v>
      </c>
      <c r="G140" s="140" t="s">
        <v>1076</v>
      </c>
      <c r="H140" s="140" t="s">
        <v>1082</v>
      </c>
      <c r="I140" s="140" t="s">
        <v>459</v>
      </c>
      <c r="J140" s="141" t="s">
        <v>1079</v>
      </c>
      <c r="K140" s="142">
        <v>42368</v>
      </c>
      <c r="L140" s="142">
        <v>42438</v>
      </c>
      <c r="M140" s="134">
        <v>42452</v>
      </c>
      <c r="N140" s="132">
        <v>70</v>
      </c>
      <c r="O140" s="135">
        <v>1400</v>
      </c>
      <c r="P140" s="135" t="s">
        <v>1096</v>
      </c>
      <c r="Q140" s="223" t="s">
        <v>14</v>
      </c>
      <c r="R140" s="223" t="s">
        <v>298</v>
      </c>
      <c r="S140" s="223" t="s">
        <v>17</v>
      </c>
      <c r="T140" s="224" t="str">
        <f t="shared" si="32"/>
        <v>MA</v>
      </c>
      <c r="U140" s="223" t="str">
        <f t="shared" si="33"/>
        <v>MA-NW-Prod</v>
      </c>
      <c r="V140" s="223" t="str">
        <f t="array" ref="V140">CONCATENATE(Q140,"-",R140)</f>
        <v>NW-Prod</v>
      </c>
      <c r="W140" s="239">
        <f>IF(ISERROR(VLOOKUP(T140,'15-16_DP_Tables'!$M$2:$V$8,MATCH(V140,INDEX('15-16_DP_Tables'!$M$2:$V$8,1,0),0),0)),0,VLOOKUP(T140,'15-16_DP_Tables'!$M$2:$V$8,MATCH(V140,INDEX('15-16_DP_Tables'!$M$2:$V$8,1,0),0),0))</f>
        <v>57.083333333332121</v>
      </c>
      <c r="X140" s="239">
        <f t="array" ref="X140">IF(ISERROR(VLOOKUP(T140,'15-16_DP_Tables'!$M$12:$V$18,MATCH(V140,INDEX('15-16_DP_Tables'!$M$12:$V$18,1,0),0),0)),0,VLOOKUP(T140,'15-16_DP_Tables'!$M$12:$V$18,MATCH(V140,INDEX('15-16_DP_Tables'!$M$12:$V$18,1,0),0),0))</f>
        <v>47.791666666664241</v>
      </c>
      <c r="Y140" s="223" t="str">
        <f t="shared" si="34"/>
        <v>Unknown</v>
      </c>
      <c r="Z140" s="223">
        <v>5</v>
      </c>
      <c r="AA140" s="249" t="e">
        <f>VLOOKUP(T140,'Planning and Target Times'!$A$74:$L$78,MATCH(E140&amp;"-"&amp;Q140&amp;"-"&amp;Y140&amp;"-"&amp;R140,INDEX('Planning and Target Times'!$A$74:$L$78,1,0),0),0)</f>
        <v>#N/A</v>
      </c>
      <c r="AB140" s="249" t="e">
        <f>VLOOKUP(T140,'Planning and Target Times'!$A$97:$L$101,MATCH(E140&amp;"-"&amp;Q140&amp;"-"&amp;Y140&amp;"-"&amp;R140,INDEX('Planning and Target Times'!$A$97:$L$101,1,0),0),0)</f>
        <v>#N/A</v>
      </c>
      <c r="AC140" s="250">
        <f t="shared" si="40"/>
        <v>24.525547445255995</v>
      </c>
      <c r="AD140" s="250">
        <f t="shared" si="41"/>
        <v>29.293809938972714</v>
      </c>
      <c r="AE140" s="248">
        <f t="shared" si="42"/>
        <v>7723.3450666047111</v>
      </c>
      <c r="AF140" s="248">
        <f t="shared" si="35"/>
        <v>3226.6549333952889</v>
      </c>
      <c r="AG140" s="248">
        <f t="shared" ca="1" si="36"/>
        <v>-3853.3450666047111</v>
      </c>
      <c r="AH140" s="248">
        <f t="shared" ca="1" si="37"/>
        <v>-5659.3450666047111</v>
      </c>
      <c r="AI140" s="248">
        <f t="shared" si="43"/>
        <v>6216.7458317332012</v>
      </c>
      <c r="AJ140" s="248">
        <f t="shared" ca="1" si="38"/>
        <v>-2346.7458317332012</v>
      </c>
      <c r="AK140" s="248">
        <f t="shared" ca="1" si="39"/>
        <v>-4152.7458317332012</v>
      </c>
    </row>
    <row r="141" spans="2:37" ht="15.95" customHeight="1" x14ac:dyDescent="0.25">
      <c r="B141" s="136">
        <v>15</v>
      </c>
      <c r="C141" s="144" t="s">
        <v>1097</v>
      </c>
      <c r="D141" s="147" t="s">
        <v>430</v>
      </c>
      <c r="E141" s="150" t="s">
        <v>42</v>
      </c>
      <c r="F141" s="140" t="s">
        <v>17</v>
      </c>
      <c r="G141" s="140" t="s">
        <v>1076</v>
      </c>
      <c r="H141" s="140" t="s">
        <v>1082</v>
      </c>
      <c r="I141" s="140" t="s">
        <v>459</v>
      </c>
      <c r="J141" s="141" t="s">
        <v>1079</v>
      </c>
      <c r="K141" s="142">
        <v>42372</v>
      </c>
      <c r="L141" s="142">
        <v>42442</v>
      </c>
      <c r="M141" s="134">
        <v>42456</v>
      </c>
      <c r="N141" s="140">
        <v>70</v>
      </c>
      <c r="O141" s="143">
        <v>1500</v>
      </c>
      <c r="P141" s="143" t="s">
        <v>1096</v>
      </c>
      <c r="Q141" s="223" t="s">
        <v>14</v>
      </c>
      <c r="R141" s="223" t="s">
        <v>298</v>
      </c>
      <c r="S141" s="223" t="s">
        <v>17</v>
      </c>
      <c r="T141" s="224" t="str">
        <f t="shared" si="32"/>
        <v>MA</v>
      </c>
      <c r="U141" s="223" t="str">
        <f t="shared" si="33"/>
        <v>MA-NW-Prod</v>
      </c>
      <c r="V141" s="223" t="str">
        <f t="array" ref="V141">CONCATENATE(Q141,"-",R141)</f>
        <v>NW-Prod</v>
      </c>
      <c r="W141" s="239">
        <f>IF(ISERROR(VLOOKUP(T141,'15-16_DP_Tables'!$M$2:$V$8,MATCH(V141,INDEX('15-16_DP_Tables'!$M$2:$V$8,1,0),0),0)),0,VLOOKUP(T141,'15-16_DP_Tables'!$M$2:$V$8,MATCH(V141,INDEX('15-16_DP_Tables'!$M$2:$V$8,1,0),0),0))</f>
        <v>57.083333333332121</v>
      </c>
      <c r="X141" s="239">
        <f t="array" ref="X141">IF(ISERROR(VLOOKUP(T141,'15-16_DP_Tables'!$M$12:$V$18,MATCH(V141,INDEX('15-16_DP_Tables'!$M$12:$V$18,1,0),0),0)),0,VLOOKUP(T141,'15-16_DP_Tables'!$M$12:$V$18,MATCH(V141,INDEX('15-16_DP_Tables'!$M$12:$V$18,1,0),0),0))</f>
        <v>47.791666666664241</v>
      </c>
      <c r="Y141" s="223" t="str">
        <f t="shared" si="34"/>
        <v>Unknown</v>
      </c>
      <c r="Z141" s="223">
        <v>5</v>
      </c>
      <c r="AA141" s="249" t="e">
        <f>VLOOKUP(T141,'Planning and Target Times'!$A$74:$L$78,MATCH(E141&amp;"-"&amp;Q141&amp;"-"&amp;Y141&amp;"-"&amp;R141,INDEX('Planning and Target Times'!$A$74:$L$78,1,0),0),0)</f>
        <v>#N/A</v>
      </c>
      <c r="AB141" s="249" t="e">
        <f>VLOOKUP(T141,'Planning and Target Times'!$A$97:$L$101,MATCH(E141&amp;"-"&amp;Q141&amp;"-"&amp;Y141&amp;"-"&amp;R141,INDEX('Planning and Target Times'!$A$97:$L$101,1,0),0),0)</f>
        <v>#N/A</v>
      </c>
      <c r="AC141" s="250">
        <f t="shared" si="40"/>
        <v>26.277372262774282</v>
      </c>
      <c r="AD141" s="250">
        <f t="shared" si="41"/>
        <v>31.386224934613622</v>
      </c>
      <c r="AE141" s="248">
        <f t="shared" si="42"/>
        <v>7785.4283999380432</v>
      </c>
      <c r="AF141" s="248">
        <f t="shared" si="35"/>
        <v>3164.5716000619568</v>
      </c>
      <c r="AG141" s="248">
        <f t="shared" ca="1" si="36"/>
        <v>-3915.4283999380432</v>
      </c>
      <c r="AH141" s="248">
        <f t="shared" ca="1" si="37"/>
        <v>-5721.4283999380432</v>
      </c>
      <c r="AI141" s="248">
        <f t="shared" si="43"/>
        <v>6269.5374983998654</v>
      </c>
      <c r="AJ141" s="248">
        <f t="shared" ca="1" si="38"/>
        <v>-2399.5374983998654</v>
      </c>
      <c r="AK141" s="248">
        <f t="shared" ca="1" si="39"/>
        <v>-4205.5374983998654</v>
      </c>
    </row>
    <row r="142" spans="2:37" ht="15.95" customHeight="1" x14ac:dyDescent="0.25">
      <c r="B142" s="136">
        <v>114</v>
      </c>
      <c r="C142" s="151" t="s">
        <v>1200</v>
      </c>
      <c r="D142" s="184" t="s">
        <v>839</v>
      </c>
      <c r="E142" s="150" t="s">
        <v>11</v>
      </c>
      <c r="F142" s="140" t="s">
        <v>17</v>
      </c>
      <c r="G142" s="140" t="s">
        <v>599</v>
      </c>
      <c r="H142" s="140" t="s">
        <v>1082</v>
      </c>
      <c r="I142" s="140" t="s">
        <v>459</v>
      </c>
      <c r="J142" s="141" t="s">
        <v>1079</v>
      </c>
      <c r="K142" s="142">
        <v>42373</v>
      </c>
      <c r="L142" s="142">
        <v>42429</v>
      </c>
      <c r="M142" s="134">
        <v>42443</v>
      </c>
      <c r="N142" s="140">
        <v>56</v>
      </c>
      <c r="O142" s="143"/>
      <c r="P142" s="135" t="s">
        <v>1096</v>
      </c>
      <c r="Q142" s="223" t="s">
        <v>14</v>
      </c>
      <c r="R142" s="223" t="s">
        <v>599</v>
      </c>
      <c r="S142" s="223" t="s">
        <v>17</v>
      </c>
      <c r="T142" s="224" t="str">
        <f t="shared" si="32"/>
        <v>MA</v>
      </c>
      <c r="U142" s="223" t="str">
        <f t="shared" si="33"/>
        <v>MA-NW-EOR</v>
      </c>
      <c r="V142" s="223" t="str">
        <f t="array" ref="V142">CONCATENATE(Q142,"-",R142)</f>
        <v>NW-EOR</v>
      </c>
      <c r="W142" s="239">
        <f>IF(ISERROR(VLOOKUP(T142,'15-16_DP_Tables'!$M$2:$V$8,MATCH(V142,INDEX('15-16_DP_Tables'!$M$2:$V$8,1,0),0),0)),0,VLOOKUP(T142,'15-16_DP_Tables'!$M$2:$V$8,MATCH(V142,INDEX('15-16_DP_Tables'!$M$2:$V$8,1,0),0),0))</f>
        <v>0</v>
      </c>
      <c r="X142" s="239">
        <f t="array" ref="X142">IF(ISERROR(VLOOKUP(T142,'15-16_DP_Tables'!$M$12:$V$18,MATCH(V142,INDEX('15-16_DP_Tables'!$M$12:$V$18,1,0),0),0)),0,VLOOKUP(T142,'15-16_DP_Tables'!$M$12:$V$18,MATCH(V142,INDEX('15-16_DP_Tables'!$M$12:$V$18,1,0),0),0))</f>
        <v>0</v>
      </c>
      <c r="Y142" s="223" t="str">
        <f t="shared" si="34"/>
        <v>Unknown</v>
      </c>
      <c r="Z142" s="223">
        <v>5</v>
      </c>
      <c r="AA142" s="249" t="e">
        <f>VLOOKUP(T142,'Planning and Target Times'!$A$74:$L$78,MATCH(E142&amp;"-"&amp;Q142&amp;"-"&amp;Y142&amp;"-"&amp;R142,INDEX('Planning and Target Times'!$A$74:$L$78,1,0),0),0)</f>
        <v>#N/A</v>
      </c>
      <c r="AB142" s="249" t="e">
        <f>VLOOKUP(T142,'Planning and Target Times'!$A$97:$L$101,MATCH(E142&amp;"-"&amp;Q142&amp;"-"&amp;Y142&amp;"-"&amp;R142,INDEX('Planning and Target Times'!$A$97:$L$101,1,0),0),0)</f>
        <v>#N/A</v>
      </c>
      <c r="AC142" s="250">
        <f t="shared" si="40"/>
        <v>0</v>
      </c>
      <c r="AD142" s="250">
        <f t="shared" si="41"/>
        <v>0</v>
      </c>
      <c r="AE142" s="248">
        <f t="shared" si="42"/>
        <v>7790.4283999380432</v>
      </c>
      <c r="AF142" s="248">
        <f t="shared" si="35"/>
        <v>3159.5716000619568</v>
      </c>
      <c r="AG142" s="248">
        <f t="shared" ca="1" si="36"/>
        <v>-3920.4283999380432</v>
      </c>
      <c r="AH142" s="248">
        <f t="shared" ca="1" si="37"/>
        <v>-5726.4283999380432</v>
      </c>
      <c r="AI142" s="248">
        <f t="shared" si="43"/>
        <v>6274.5374983998654</v>
      </c>
      <c r="AJ142" s="248">
        <f t="shared" ca="1" si="38"/>
        <v>-2404.5374983998654</v>
      </c>
      <c r="AK142" s="248">
        <f t="shared" ca="1" si="39"/>
        <v>-4210.5374983998654</v>
      </c>
    </row>
    <row r="143" spans="2:37" ht="15.95" customHeight="1" x14ac:dyDescent="0.25">
      <c r="B143" s="136">
        <v>164</v>
      </c>
      <c r="C143" s="144" t="s">
        <v>1261</v>
      </c>
      <c r="D143" s="197" t="s">
        <v>1259</v>
      </c>
      <c r="E143" s="150" t="s">
        <v>11</v>
      </c>
      <c r="F143" s="140" t="s">
        <v>17</v>
      </c>
      <c r="G143" s="140" t="s">
        <v>1086</v>
      </c>
      <c r="H143" s="140" t="s">
        <v>1082</v>
      </c>
      <c r="I143" s="140" t="s">
        <v>459</v>
      </c>
      <c r="J143" s="141" t="s">
        <v>1079</v>
      </c>
      <c r="K143" s="142">
        <v>42374</v>
      </c>
      <c r="L143" s="142">
        <v>42437</v>
      </c>
      <c r="M143" s="134">
        <v>42451</v>
      </c>
      <c r="N143" s="140">
        <v>63</v>
      </c>
      <c r="O143" s="143"/>
      <c r="P143" s="143" t="s">
        <v>1096</v>
      </c>
      <c r="Q143" s="223" t="s">
        <v>14</v>
      </c>
      <c r="R143" s="223" t="s">
        <v>34</v>
      </c>
      <c r="S143" s="223" t="s">
        <v>17</v>
      </c>
      <c r="T143" s="224" t="str">
        <f t="shared" si="32"/>
        <v>MA</v>
      </c>
      <c r="U143" s="223" t="str">
        <f t="shared" si="33"/>
        <v>MA-NW-Inj</v>
      </c>
      <c r="V143" s="223" t="str">
        <f t="array" ref="V143">CONCATENATE(Q143,"-",R143)</f>
        <v>NW-Inj</v>
      </c>
      <c r="W143" s="239">
        <f>IF(ISERROR(VLOOKUP(T143,'15-16_DP_Tables'!$M$2:$V$8,MATCH(V143,INDEX('15-16_DP_Tables'!$M$2:$V$8,1,0),0),0)),0,VLOOKUP(T143,'15-16_DP_Tables'!$M$2:$V$8,MATCH(V143,INDEX('15-16_DP_Tables'!$M$2:$V$8,1,0),0),0))</f>
        <v>0</v>
      </c>
      <c r="X143" s="239">
        <f t="array" ref="X143">IF(ISERROR(VLOOKUP(T143,'15-16_DP_Tables'!$M$12:$V$18,MATCH(V143,INDEX('15-16_DP_Tables'!$M$12:$V$18,1,0),0),0)),0,VLOOKUP(T143,'15-16_DP_Tables'!$M$12:$V$18,MATCH(V143,INDEX('15-16_DP_Tables'!$M$12:$V$18,1,0),0),0))</f>
        <v>0</v>
      </c>
      <c r="Y143" s="223" t="str">
        <f t="shared" si="34"/>
        <v>Horizontal</v>
      </c>
      <c r="Z143" s="223">
        <v>5</v>
      </c>
      <c r="AA143" s="249" t="e">
        <f>VLOOKUP(T143,'Planning and Target Times'!$A$74:$L$78,MATCH(E143&amp;"-"&amp;Q143&amp;"-"&amp;Y143&amp;"-"&amp;R143,INDEX('Planning and Target Times'!$A$74:$L$78,1,0),0),0)</f>
        <v>#N/A</v>
      </c>
      <c r="AB143" s="249" t="e">
        <f>VLOOKUP(T143,'Planning and Target Times'!$A$97:$L$101,MATCH(E143&amp;"-"&amp;Q143&amp;"-"&amp;Y143&amp;"-"&amp;R143,INDEX('Planning and Target Times'!$A$97:$L$101,1,0),0),0)</f>
        <v>#N/A</v>
      </c>
      <c r="AC143" s="250">
        <f t="shared" si="40"/>
        <v>0</v>
      </c>
      <c r="AD143" s="250">
        <f t="shared" si="41"/>
        <v>0</v>
      </c>
      <c r="AE143" s="248">
        <f t="shared" si="42"/>
        <v>7795.4283999380432</v>
      </c>
      <c r="AF143" s="248">
        <f t="shared" si="35"/>
        <v>3154.5716000619568</v>
      </c>
      <c r="AG143" s="248">
        <f t="shared" ca="1" si="36"/>
        <v>-3925.4283999380432</v>
      </c>
      <c r="AH143" s="248">
        <f t="shared" ca="1" si="37"/>
        <v>-5731.4283999380432</v>
      </c>
      <c r="AI143" s="248">
        <f t="shared" si="43"/>
        <v>6279.5374983998654</v>
      </c>
      <c r="AJ143" s="248">
        <f t="shared" ca="1" si="38"/>
        <v>-2409.5374983998654</v>
      </c>
      <c r="AK143" s="248">
        <f t="shared" ca="1" si="39"/>
        <v>-4215.5374983998654</v>
      </c>
    </row>
    <row r="144" spans="2:37" ht="15.95" customHeight="1" x14ac:dyDescent="0.25">
      <c r="B144" s="136">
        <v>130</v>
      </c>
      <c r="C144" s="144" t="s">
        <v>1218</v>
      </c>
      <c r="D144" s="138" t="s">
        <v>1215</v>
      </c>
      <c r="E144" s="139" t="s">
        <v>42</v>
      </c>
      <c r="F144" s="140" t="s">
        <v>17</v>
      </c>
      <c r="G144" s="140" t="s">
        <v>1086</v>
      </c>
      <c r="H144" s="140" t="s">
        <v>1077</v>
      </c>
      <c r="I144" s="140" t="s">
        <v>459</v>
      </c>
      <c r="J144" s="141" t="s">
        <v>1079</v>
      </c>
      <c r="K144" s="142">
        <v>42375</v>
      </c>
      <c r="L144" s="142">
        <v>42424</v>
      </c>
      <c r="M144" s="134">
        <v>42438</v>
      </c>
      <c r="N144" s="140">
        <v>49</v>
      </c>
      <c r="O144" s="143"/>
      <c r="P144" s="135" t="s">
        <v>1080</v>
      </c>
      <c r="Q144" s="223" t="s">
        <v>18</v>
      </c>
      <c r="R144" s="223" t="s">
        <v>34</v>
      </c>
      <c r="S144" s="223" t="s">
        <v>17</v>
      </c>
      <c r="T144" s="224" t="str">
        <f t="shared" si="32"/>
        <v>MA</v>
      </c>
      <c r="U144" s="223" t="str">
        <f t="shared" si="33"/>
        <v>MA-ST-Inj</v>
      </c>
      <c r="V144" s="223" t="str">
        <f t="array" ref="V144">CONCATENATE(Q144,"-",R144)</f>
        <v>ST-Inj</v>
      </c>
      <c r="W144" s="239">
        <f>IF(ISERROR(VLOOKUP(T144,'15-16_DP_Tables'!$M$2:$V$8,MATCH(V144,INDEX('15-16_DP_Tables'!$M$2:$V$8,1,0),0),0)),0,VLOOKUP(T144,'15-16_DP_Tables'!$M$2:$V$8,MATCH(V144,INDEX('15-16_DP_Tables'!$M$2:$V$8,1,0),0),0))</f>
        <v>35.545833099999626</v>
      </c>
      <c r="X144" s="239">
        <f t="array" ref="X144">IF(ISERROR(VLOOKUP(T144,'15-16_DP_Tables'!$M$12:$V$18,MATCH(V144,INDEX('15-16_DP_Tables'!$M$12:$V$18,1,0),0),0)),0,VLOOKUP(T144,'15-16_DP_Tables'!$M$12:$V$18,MATCH(V144,INDEX('15-16_DP_Tables'!$M$12:$V$18,1,0),0),0))</f>
        <v>26.054166533332847</v>
      </c>
      <c r="Y144" s="223" t="str">
        <f t="shared" si="34"/>
        <v>Horizontal</v>
      </c>
      <c r="Z144" s="223">
        <v>5</v>
      </c>
      <c r="AA144" s="249" t="e">
        <f>VLOOKUP(T144,'Planning and Target Times'!$A$74:$L$78,MATCH(E144&amp;"-"&amp;Q144&amp;"-"&amp;Y144&amp;"-"&amp;R144,INDEX('Planning and Target Times'!$A$74:$L$78,1,0),0),0)</f>
        <v>#N/A</v>
      </c>
      <c r="AB144" s="249" t="e">
        <f>VLOOKUP(T144,'Planning and Target Times'!$A$97:$L$101,MATCH(E144&amp;"-"&amp;Q144&amp;"-"&amp;Y144&amp;"-"&amp;R144,INDEX('Planning and Target Times'!$A$97:$L$101,1,0),0),0)</f>
        <v>#N/A</v>
      </c>
      <c r="AC144" s="250">
        <f t="shared" si="40"/>
        <v>0</v>
      </c>
      <c r="AD144" s="250">
        <f t="shared" si="41"/>
        <v>0</v>
      </c>
      <c r="AE144" s="248">
        <f t="shared" si="42"/>
        <v>7835.9742330380432</v>
      </c>
      <c r="AF144" s="248">
        <f t="shared" si="35"/>
        <v>3114.0257669619568</v>
      </c>
      <c r="AG144" s="248">
        <f t="shared" ca="1" si="36"/>
        <v>-3965.9742330380432</v>
      </c>
      <c r="AH144" s="248">
        <f t="shared" ca="1" si="37"/>
        <v>-5771.9742330380432</v>
      </c>
      <c r="AI144" s="248">
        <f t="shared" si="43"/>
        <v>6310.5916649331984</v>
      </c>
      <c r="AJ144" s="248">
        <f t="shared" ca="1" si="38"/>
        <v>-2440.5916649331984</v>
      </c>
      <c r="AK144" s="248">
        <f t="shared" ca="1" si="39"/>
        <v>-4246.5916649331984</v>
      </c>
    </row>
    <row r="145" spans="2:37" ht="15.95" customHeight="1" x14ac:dyDescent="0.25">
      <c r="B145" s="136">
        <v>139</v>
      </c>
      <c r="C145" s="164" t="s">
        <v>1229</v>
      </c>
      <c r="D145" s="156" t="s">
        <v>1226</v>
      </c>
      <c r="E145" s="139" t="s">
        <v>11</v>
      </c>
      <c r="F145" s="140" t="s">
        <v>17</v>
      </c>
      <c r="G145" s="140" t="s">
        <v>1076</v>
      </c>
      <c r="H145" s="140" t="s">
        <v>1082</v>
      </c>
      <c r="I145" s="140" t="s">
        <v>459</v>
      </c>
      <c r="J145" s="141" t="s">
        <v>1079</v>
      </c>
      <c r="K145" s="142">
        <v>42375</v>
      </c>
      <c r="L145" s="142">
        <v>42445</v>
      </c>
      <c r="M145" s="134">
        <v>42459</v>
      </c>
      <c r="N145" s="140">
        <v>70</v>
      </c>
      <c r="O145" s="143">
        <v>1400</v>
      </c>
      <c r="P145" s="143" t="s">
        <v>1096</v>
      </c>
      <c r="Q145" s="223" t="s">
        <v>14</v>
      </c>
      <c r="R145" s="223" t="s">
        <v>298</v>
      </c>
      <c r="S145" s="223" t="s">
        <v>17</v>
      </c>
      <c r="T145" s="224" t="str">
        <f t="shared" si="32"/>
        <v>MA</v>
      </c>
      <c r="U145" s="223" t="str">
        <f t="shared" si="33"/>
        <v>MA-NW-Prod</v>
      </c>
      <c r="V145" s="223" t="str">
        <f t="array" ref="V145">CONCATENATE(Q145,"-",R145)</f>
        <v>NW-Prod</v>
      </c>
      <c r="W145" s="239">
        <f>IF(ISERROR(VLOOKUP(T145,'15-16_DP_Tables'!$M$2:$V$8,MATCH(V145,INDEX('15-16_DP_Tables'!$M$2:$V$8,1,0),0),0)),0,VLOOKUP(T145,'15-16_DP_Tables'!$M$2:$V$8,MATCH(V145,INDEX('15-16_DP_Tables'!$M$2:$V$8,1,0),0),0))</f>
        <v>57.083333333332121</v>
      </c>
      <c r="X145" s="239">
        <f t="array" ref="X145">IF(ISERROR(VLOOKUP(T145,'15-16_DP_Tables'!$M$12:$V$18,MATCH(V145,INDEX('15-16_DP_Tables'!$M$12:$V$18,1,0),0),0)),0,VLOOKUP(T145,'15-16_DP_Tables'!$M$12:$V$18,MATCH(V145,INDEX('15-16_DP_Tables'!$M$12:$V$18,1,0),0),0))</f>
        <v>47.791666666664241</v>
      </c>
      <c r="Y145" s="223" t="str">
        <f t="shared" si="34"/>
        <v>Horizontal</v>
      </c>
      <c r="Z145" s="223">
        <v>5</v>
      </c>
      <c r="AA145" s="249" t="e">
        <f>VLOOKUP(T145,'Planning and Target Times'!$A$74:$L$78,MATCH(E145&amp;"-"&amp;Q145&amp;"-"&amp;Y145&amp;"-"&amp;R145,INDEX('Planning and Target Times'!$A$74:$L$78,1,0),0),0)</f>
        <v>#N/A</v>
      </c>
      <c r="AB145" s="249" t="e">
        <f>VLOOKUP(T145,'Planning and Target Times'!$A$97:$L$101,MATCH(E145&amp;"-"&amp;Q145&amp;"-"&amp;Y145&amp;"-"&amp;R145,INDEX('Planning and Target Times'!$A$97:$L$101,1,0),0),0)</f>
        <v>#N/A</v>
      </c>
      <c r="AC145" s="250">
        <f t="shared" si="40"/>
        <v>24.525547445255995</v>
      </c>
      <c r="AD145" s="250">
        <f t="shared" si="41"/>
        <v>29.293809938972714</v>
      </c>
      <c r="AE145" s="248">
        <f t="shared" si="42"/>
        <v>7898.0575663713753</v>
      </c>
      <c r="AF145" s="248">
        <f t="shared" si="35"/>
        <v>3051.9424336286247</v>
      </c>
      <c r="AG145" s="248">
        <f t="shared" ca="1" si="36"/>
        <v>-4028.0575663713753</v>
      </c>
      <c r="AH145" s="248">
        <f t="shared" ca="1" si="37"/>
        <v>-5834.0575663713753</v>
      </c>
      <c r="AI145" s="248">
        <f t="shared" si="43"/>
        <v>6363.3833315998627</v>
      </c>
      <c r="AJ145" s="248">
        <f t="shared" ca="1" si="38"/>
        <v>-2493.3833315998627</v>
      </c>
      <c r="AK145" s="248">
        <f t="shared" ca="1" si="39"/>
        <v>-4299.3833315998627</v>
      </c>
    </row>
    <row r="146" spans="2:37" ht="15.95" customHeight="1" x14ac:dyDescent="0.25">
      <c r="B146" s="136">
        <v>158</v>
      </c>
      <c r="C146" s="144" t="s">
        <v>1253</v>
      </c>
      <c r="D146" s="196" t="s">
        <v>1251</v>
      </c>
      <c r="E146" s="150" t="s">
        <v>11</v>
      </c>
      <c r="F146" s="140" t="s">
        <v>17</v>
      </c>
      <c r="G146" s="140" t="s">
        <v>1076</v>
      </c>
      <c r="H146" s="140" t="s">
        <v>1082</v>
      </c>
      <c r="I146" s="140" t="s">
        <v>459</v>
      </c>
      <c r="J146" s="141" t="s">
        <v>1079</v>
      </c>
      <c r="K146" s="142">
        <v>42381</v>
      </c>
      <c r="L146" s="142">
        <v>42451</v>
      </c>
      <c r="M146" s="134">
        <v>42465</v>
      </c>
      <c r="N146" s="140">
        <v>70</v>
      </c>
      <c r="O146" s="143">
        <v>1400</v>
      </c>
      <c r="P146" s="143" t="s">
        <v>1096</v>
      </c>
      <c r="Q146" s="223" t="s">
        <v>14</v>
      </c>
      <c r="R146" s="223" t="s">
        <v>298</v>
      </c>
      <c r="S146" s="223" t="s">
        <v>17</v>
      </c>
      <c r="T146" s="224" t="str">
        <f t="shared" si="32"/>
        <v>MA</v>
      </c>
      <c r="U146" s="223" t="str">
        <f t="shared" si="33"/>
        <v>MA-NW-Prod</v>
      </c>
      <c r="V146" s="223" t="str">
        <f t="array" ref="V146">CONCATENATE(Q146,"-",R146)</f>
        <v>NW-Prod</v>
      </c>
      <c r="W146" s="239">
        <f>IF(ISERROR(VLOOKUP(T146,'15-16_DP_Tables'!$M$2:$V$8,MATCH(V146,INDEX('15-16_DP_Tables'!$M$2:$V$8,1,0),0),0)),0,VLOOKUP(T146,'15-16_DP_Tables'!$M$2:$V$8,MATCH(V146,INDEX('15-16_DP_Tables'!$M$2:$V$8,1,0),0),0))</f>
        <v>57.083333333332121</v>
      </c>
      <c r="X146" s="239">
        <f t="array" ref="X146">IF(ISERROR(VLOOKUP(T146,'15-16_DP_Tables'!$M$12:$V$18,MATCH(V146,INDEX('15-16_DP_Tables'!$M$12:$V$18,1,0),0),0)),0,VLOOKUP(T146,'15-16_DP_Tables'!$M$12:$V$18,MATCH(V146,INDEX('15-16_DP_Tables'!$M$12:$V$18,1,0),0),0))</f>
        <v>47.791666666664241</v>
      </c>
      <c r="Y146" s="223" t="str">
        <f t="shared" si="34"/>
        <v>Horizontal</v>
      </c>
      <c r="Z146" s="223">
        <v>5</v>
      </c>
      <c r="AA146" s="249" t="e">
        <f>VLOOKUP(T146,'Planning and Target Times'!$A$74:$L$78,MATCH(E146&amp;"-"&amp;Q146&amp;"-"&amp;Y146&amp;"-"&amp;R146,INDEX('Planning and Target Times'!$A$74:$L$78,1,0),0),0)</f>
        <v>#N/A</v>
      </c>
      <c r="AB146" s="249" t="e">
        <f>VLOOKUP(T146,'Planning and Target Times'!$A$97:$L$101,MATCH(E146&amp;"-"&amp;Q146&amp;"-"&amp;Y146&amp;"-"&amp;R146,INDEX('Planning and Target Times'!$A$97:$L$101,1,0),0),0)</f>
        <v>#N/A</v>
      </c>
      <c r="AC146" s="250">
        <f t="shared" si="40"/>
        <v>24.525547445255995</v>
      </c>
      <c r="AD146" s="250">
        <f t="shared" si="41"/>
        <v>29.293809938972714</v>
      </c>
      <c r="AE146" s="248">
        <f t="shared" si="42"/>
        <v>7960.1408997047074</v>
      </c>
      <c r="AF146" s="248">
        <f t="shared" si="35"/>
        <v>2989.8591002952926</v>
      </c>
      <c r="AG146" s="248">
        <f t="shared" ca="1" si="36"/>
        <v>-4090.1408997047074</v>
      </c>
      <c r="AH146" s="248">
        <f t="shared" ca="1" si="37"/>
        <v>-5896.1408997047074</v>
      </c>
      <c r="AI146" s="248">
        <f t="shared" si="43"/>
        <v>6416.1749982665269</v>
      </c>
      <c r="AJ146" s="248">
        <f t="shared" ca="1" si="38"/>
        <v>-2546.1749982665269</v>
      </c>
      <c r="AK146" s="248">
        <f t="shared" ca="1" si="39"/>
        <v>-4352.1749982665269</v>
      </c>
    </row>
    <row r="147" spans="2:37" ht="15.95" customHeight="1" x14ac:dyDescent="0.25">
      <c r="B147" s="136">
        <v>161</v>
      </c>
      <c r="C147" s="144" t="s">
        <v>1257</v>
      </c>
      <c r="D147" s="193" t="s">
        <v>1255</v>
      </c>
      <c r="E147" s="150" t="s">
        <v>11</v>
      </c>
      <c r="F147" s="140" t="s">
        <v>29</v>
      </c>
      <c r="G147" s="140" t="s">
        <v>1076</v>
      </c>
      <c r="H147" s="140" t="s">
        <v>1082</v>
      </c>
      <c r="I147" s="140" t="s">
        <v>459</v>
      </c>
      <c r="J147" s="141" t="s">
        <v>1079</v>
      </c>
      <c r="K147" s="142">
        <v>42381</v>
      </c>
      <c r="L147" s="142">
        <v>42451</v>
      </c>
      <c r="M147" s="134">
        <v>42465</v>
      </c>
      <c r="N147" s="140">
        <v>70</v>
      </c>
      <c r="O147" s="143">
        <v>1200</v>
      </c>
      <c r="P147" s="135" t="s">
        <v>1096</v>
      </c>
      <c r="Q147" s="223" t="s">
        <v>14</v>
      </c>
      <c r="R147" s="223" t="s">
        <v>298</v>
      </c>
      <c r="S147" s="223" t="s">
        <v>29</v>
      </c>
      <c r="T147" s="224" t="str">
        <f t="shared" si="32"/>
        <v>UB</v>
      </c>
      <c r="U147" s="223" t="str">
        <f t="shared" si="33"/>
        <v>UB-NW-Prod</v>
      </c>
      <c r="V147" s="223" t="str">
        <f t="array" ref="V147">CONCATENATE(Q147,"-",R147)</f>
        <v>NW-Prod</v>
      </c>
      <c r="W147" s="239">
        <f>IF(ISERROR(VLOOKUP(T147,'15-16_DP_Tables'!$M$2:$V$8,MATCH(V147,INDEX('15-16_DP_Tables'!$M$2:$V$8,1,0),0),0)),0,VLOOKUP(T147,'15-16_DP_Tables'!$M$2:$V$8,MATCH(V147,INDEX('15-16_DP_Tables'!$M$2:$V$8,1,0),0),0))</f>
        <v>53.604164999999995</v>
      </c>
      <c r="X147" s="239">
        <f t="array" ref="X147">IF(ISERROR(VLOOKUP(T147,'15-16_DP_Tables'!$M$12:$V$18,MATCH(V147,INDEX('15-16_DP_Tables'!$M$12:$V$18,1,0),0),0)),0,VLOOKUP(T147,'15-16_DP_Tables'!$M$12:$V$18,MATCH(V147,INDEX('15-16_DP_Tables'!$M$12:$V$18,1,0),0),0))</f>
        <v>48</v>
      </c>
      <c r="Y147" s="223" t="str">
        <f t="shared" si="34"/>
        <v>Unknown</v>
      </c>
      <c r="Z147" s="223">
        <v>5</v>
      </c>
      <c r="AA147" s="249" t="e">
        <f>VLOOKUP(T147,'Planning and Target Times'!$A$74:$L$78,MATCH(E147&amp;"-"&amp;Q147&amp;"-"&amp;Y147&amp;"-"&amp;R147,INDEX('Planning and Target Times'!$A$74:$L$78,1,0),0),0)</f>
        <v>#N/A</v>
      </c>
      <c r="AB147" s="249" t="e">
        <f>VLOOKUP(T147,'Planning and Target Times'!$A$97:$L$101,MATCH(E147&amp;"-"&amp;Q147&amp;"-"&amp;Y147&amp;"-"&amp;R147,INDEX('Planning and Target Times'!$A$97:$L$101,1,0),0),0)</f>
        <v>#N/A</v>
      </c>
      <c r="AC147" s="250">
        <f t="shared" si="40"/>
        <v>22.386320167472064</v>
      </c>
      <c r="AD147" s="250">
        <f t="shared" si="41"/>
        <v>25</v>
      </c>
      <c r="AE147" s="248">
        <f t="shared" si="42"/>
        <v>8018.7450647047071</v>
      </c>
      <c r="AF147" s="248">
        <f t="shared" si="35"/>
        <v>2931.2549352952929</v>
      </c>
      <c r="AG147" s="248">
        <f t="shared" ca="1" si="36"/>
        <v>-4148.7450647047071</v>
      </c>
      <c r="AH147" s="248">
        <f t="shared" ca="1" si="37"/>
        <v>-5954.7450647047071</v>
      </c>
      <c r="AI147" s="248">
        <f t="shared" si="43"/>
        <v>6469.1749982665269</v>
      </c>
      <c r="AJ147" s="248">
        <f t="shared" ca="1" si="38"/>
        <v>-2599.1749982665269</v>
      </c>
      <c r="AK147" s="248">
        <f t="shared" ca="1" si="39"/>
        <v>-4405.1749982665269</v>
      </c>
    </row>
    <row r="148" spans="2:37" ht="15.95" customHeight="1" x14ac:dyDescent="0.25">
      <c r="B148" s="136">
        <v>153</v>
      </c>
      <c r="C148" s="144" t="s">
        <v>1246</v>
      </c>
      <c r="D148" s="153" t="s">
        <v>1244</v>
      </c>
      <c r="E148" s="150" t="s">
        <v>11</v>
      </c>
      <c r="F148" s="140" t="s">
        <v>17</v>
      </c>
      <c r="G148" s="140" t="s">
        <v>1076</v>
      </c>
      <c r="H148" s="140" t="s">
        <v>1082</v>
      </c>
      <c r="I148" s="140" t="s">
        <v>459</v>
      </c>
      <c r="J148" s="141" t="s">
        <v>1079</v>
      </c>
      <c r="K148" s="142">
        <v>42388</v>
      </c>
      <c r="L148" s="142">
        <v>42458</v>
      </c>
      <c r="M148" s="134">
        <v>42472</v>
      </c>
      <c r="N148" s="140">
        <v>70</v>
      </c>
      <c r="O148" s="143">
        <v>1400</v>
      </c>
      <c r="P148" s="135" t="s">
        <v>1096</v>
      </c>
      <c r="Q148" s="223" t="s">
        <v>14</v>
      </c>
      <c r="R148" s="223" t="s">
        <v>298</v>
      </c>
      <c r="S148" s="223" t="s">
        <v>17</v>
      </c>
      <c r="T148" s="224" t="str">
        <f t="shared" si="32"/>
        <v>MA</v>
      </c>
      <c r="U148" s="223" t="str">
        <f t="shared" si="33"/>
        <v>MA-NW-Prod</v>
      </c>
      <c r="V148" s="223" t="str">
        <f t="array" ref="V148">CONCATENATE(Q148,"-",R148)</f>
        <v>NW-Prod</v>
      </c>
      <c r="W148" s="239">
        <f>IF(ISERROR(VLOOKUP(T148,'15-16_DP_Tables'!$M$2:$V$8,MATCH(V148,INDEX('15-16_DP_Tables'!$M$2:$V$8,1,0),0),0)),0,VLOOKUP(T148,'15-16_DP_Tables'!$M$2:$V$8,MATCH(V148,INDEX('15-16_DP_Tables'!$M$2:$V$8,1,0),0),0))</f>
        <v>57.083333333332121</v>
      </c>
      <c r="X148" s="239">
        <f t="array" ref="X148">IF(ISERROR(VLOOKUP(T148,'15-16_DP_Tables'!$M$12:$V$18,MATCH(V148,INDEX('15-16_DP_Tables'!$M$12:$V$18,1,0),0),0)),0,VLOOKUP(T148,'15-16_DP_Tables'!$M$12:$V$18,MATCH(V148,INDEX('15-16_DP_Tables'!$M$12:$V$18,1,0),0),0))</f>
        <v>47.791666666664241</v>
      </c>
      <c r="Y148" s="223" t="str">
        <f t="shared" si="34"/>
        <v>Unknown</v>
      </c>
      <c r="Z148" s="223">
        <v>5</v>
      </c>
      <c r="AA148" s="249" t="e">
        <f>VLOOKUP(T148,'Planning and Target Times'!$A$74:$L$78,MATCH(E148&amp;"-"&amp;Q148&amp;"-"&amp;Y148&amp;"-"&amp;R148,INDEX('Planning and Target Times'!$A$74:$L$78,1,0),0),0)</f>
        <v>#N/A</v>
      </c>
      <c r="AB148" s="249" t="e">
        <f>VLOOKUP(T148,'Planning and Target Times'!$A$97:$L$101,MATCH(E148&amp;"-"&amp;Q148&amp;"-"&amp;Y148&amp;"-"&amp;R148,INDEX('Planning and Target Times'!$A$97:$L$101,1,0),0),0)</f>
        <v>#N/A</v>
      </c>
      <c r="AC148" s="250">
        <f t="shared" si="40"/>
        <v>24.525547445255995</v>
      </c>
      <c r="AD148" s="250">
        <f t="shared" si="41"/>
        <v>29.293809938972714</v>
      </c>
      <c r="AE148" s="248">
        <f t="shared" si="42"/>
        <v>8080.8283980380393</v>
      </c>
      <c r="AF148" s="248">
        <f t="shared" si="35"/>
        <v>2869.1716019619607</v>
      </c>
      <c r="AG148" s="248">
        <f t="shared" ca="1" si="36"/>
        <v>-4210.8283980380393</v>
      </c>
      <c r="AH148" s="248">
        <f t="shared" ca="1" si="37"/>
        <v>-6016.8283980380393</v>
      </c>
      <c r="AI148" s="248">
        <f t="shared" si="43"/>
        <v>6521.9666649331912</v>
      </c>
      <c r="AJ148" s="248">
        <f t="shared" ca="1" si="38"/>
        <v>-2651.9666649331912</v>
      </c>
      <c r="AK148" s="248">
        <f t="shared" ca="1" si="39"/>
        <v>-4457.9666649331912</v>
      </c>
    </row>
    <row r="149" spans="2:37" ht="15.95" customHeight="1" x14ac:dyDescent="0.25">
      <c r="B149" s="136">
        <v>168</v>
      </c>
      <c r="C149" s="144" t="s">
        <v>1266</v>
      </c>
      <c r="D149" s="198" t="s">
        <v>1264</v>
      </c>
      <c r="E149" s="150" t="s">
        <v>11</v>
      </c>
      <c r="F149" s="140" t="s">
        <v>22</v>
      </c>
      <c r="G149" s="140" t="s">
        <v>1076</v>
      </c>
      <c r="H149" s="140" t="s">
        <v>1082</v>
      </c>
      <c r="I149" s="140" t="s">
        <v>459</v>
      </c>
      <c r="J149" s="141" t="s">
        <v>1079</v>
      </c>
      <c r="K149" s="142">
        <v>42388</v>
      </c>
      <c r="L149" s="142">
        <v>42458</v>
      </c>
      <c r="M149" s="134">
        <v>42472</v>
      </c>
      <c r="N149" s="140">
        <v>70</v>
      </c>
      <c r="O149" s="143">
        <v>1200</v>
      </c>
      <c r="P149" s="135" t="s">
        <v>1096</v>
      </c>
      <c r="Q149" s="223" t="s">
        <v>14</v>
      </c>
      <c r="R149" s="223" t="s">
        <v>298</v>
      </c>
      <c r="S149" s="223" t="s">
        <v>22</v>
      </c>
      <c r="T149" s="224" t="str">
        <f t="shared" si="32"/>
        <v>LB</v>
      </c>
      <c r="U149" s="223" t="str">
        <f t="shared" si="33"/>
        <v>LB-NW-Prod</v>
      </c>
      <c r="V149" s="223" t="str">
        <f t="array" ref="V149">CONCATENATE(Q149,"-",R149)</f>
        <v>NW-Prod</v>
      </c>
      <c r="W149" s="239">
        <f>IF(ISERROR(VLOOKUP(T149,'15-16_DP_Tables'!$M$2:$V$8,MATCH(V149,INDEX('15-16_DP_Tables'!$M$2:$V$8,1,0),0),0)),0,VLOOKUP(T149,'15-16_DP_Tables'!$M$2:$V$8,MATCH(V149,INDEX('15-16_DP_Tables'!$M$2:$V$8,1,0),0),0))</f>
        <v>55.81537142381022</v>
      </c>
      <c r="X149" s="239">
        <f t="array" ref="X149">IF(ISERROR(VLOOKUP(T149,'15-16_DP_Tables'!$M$12:$V$18,MATCH(V149,INDEX('15-16_DP_Tables'!$M$12:$V$18,1,0),0),0)),0,VLOOKUP(T149,'15-16_DP_Tables'!$M$12:$V$18,MATCH(V149,INDEX('15-16_DP_Tables'!$M$12:$V$18,1,0),0),0))</f>
        <v>45.207999999999998</v>
      </c>
      <c r="Y149" s="223" t="str">
        <f t="shared" si="34"/>
        <v>Horizontal</v>
      </c>
      <c r="Z149" s="223">
        <v>5</v>
      </c>
      <c r="AA149" s="249" t="e">
        <f>VLOOKUP(T149,'Planning and Target Times'!$A$74:$L$78,MATCH(E149&amp;"-"&amp;Q149&amp;"-"&amp;Y149&amp;"-"&amp;R149,INDEX('Planning and Target Times'!$A$74:$L$78,1,0),0),0)</f>
        <v>#N/A</v>
      </c>
      <c r="AB149" s="249" t="e">
        <f>VLOOKUP(T149,'Planning and Target Times'!$A$97:$L$101,MATCH(E149&amp;"-"&amp;Q149&amp;"-"&amp;Y149&amp;"-"&amp;R149,INDEX('Planning and Target Times'!$A$97:$L$101,1,0),0),0)</f>
        <v>#N/A</v>
      </c>
      <c r="AC149" s="250">
        <f t="shared" si="40"/>
        <v>21.499453813328802</v>
      </c>
      <c r="AD149" s="250">
        <f t="shared" si="41"/>
        <v>26.543974517784463</v>
      </c>
      <c r="AE149" s="248">
        <f t="shared" si="42"/>
        <v>8141.6437694618498</v>
      </c>
      <c r="AF149" s="248">
        <f t="shared" si="35"/>
        <v>2808.3562305381502</v>
      </c>
      <c r="AG149" s="248">
        <f t="shared" ca="1" si="36"/>
        <v>-4271.6437694618498</v>
      </c>
      <c r="AH149" s="248">
        <f t="shared" ca="1" si="37"/>
        <v>-6077.6437694618498</v>
      </c>
      <c r="AI149" s="248">
        <f t="shared" si="43"/>
        <v>6572.1746649331908</v>
      </c>
      <c r="AJ149" s="248">
        <f t="shared" ca="1" si="38"/>
        <v>-2702.1746649331908</v>
      </c>
      <c r="AK149" s="248">
        <f t="shared" ca="1" si="39"/>
        <v>-4508.1746649331908</v>
      </c>
    </row>
    <row r="150" spans="2:37" ht="15.95" customHeight="1" x14ac:dyDescent="0.25">
      <c r="B150" s="136">
        <v>171</v>
      </c>
      <c r="C150" s="144" t="s">
        <v>1270</v>
      </c>
      <c r="D150" s="184" t="s">
        <v>1268</v>
      </c>
      <c r="E150" s="150" t="s">
        <v>742</v>
      </c>
      <c r="F150" s="140" t="s">
        <v>44</v>
      </c>
      <c r="G150" s="140" t="s">
        <v>1076</v>
      </c>
      <c r="H150" s="140" t="s">
        <v>1082</v>
      </c>
      <c r="I150" s="140" t="s">
        <v>459</v>
      </c>
      <c r="J150" s="141" t="s">
        <v>1079</v>
      </c>
      <c r="K150" s="142">
        <v>42388</v>
      </c>
      <c r="L150" s="142">
        <v>42486</v>
      </c>
      <c r="M150" s="134">
        <v>42500</v>
      </c>
      <c r="N150" s="140">
        <v>98</v>
      </c>
      <c r="O150" s="143"/>
      <c r="P150" s="143" t="s">
        <v>1096</v>
      </c>
      <c r="Q150" s="223" t="s">
        <v>14</v>
      </c>
      <c r="R150" s="223" t="s">
        <v>298</v>
      </c>
      <c r="S150" s="223" t="s">
        <v>44</v>
      </c>
      <c r="T150" s="224" t="str">
        <f t="shared" si="32"/>
        <v>ZU/RT</v>
      </c>
      <c r="U150" s="223" t="str">
        <f t="shared" si="33"/>
        <v>ZU-NW-Prod</v>
      </c>
      <c r="V150" s="223" t="str">
        <f t="array" ref="V150">CONCATENATE(Q150,"-",R150)</f>
        <v>NW-Prod</v>
      </c>
      <c r="W150" s="239">
        <f>IF(ISERROR(VLOOKUP(T150,'15-16_DP_Tables'!$M$2:$V$8,MATCH(V150,INDEX('15-16_DP_Tables'!$M$2:$V$8,1,0),0),0)),0,VLOOKUP(T150,'15-16_DP_Tables'!$M$2:$V$8,MATCH(V150,INDEX('15-16_DP_Tables'!$M$2:$V$8,1,0),0),0))</f>
        <v>99.088549999999998</v>
      </c>
      <c r="X150" s="239">
        <f t="array" ref="X150">IF(ISERROR(VLOOKUP(T150,'15-16_DP_Tables'!$M$12:$V$18,MATCH(V150,INDEX('15-16_DP_Tables'!$M$12:$V$18,1,0),0),0)),0,VLOOKUP(T150,'15-16_DP_Tables'!$M$12:$V$18,MATCH(V150,INDEX('15-16_DP_Tables'!$M$12:$V$18,1,0),0),0))</f>
        <v>53.375</v>
      </c>
      <c r="Y150" s="223" t="str">
        <f t="shared" si="34"/>
        <v>Unknown</v>
      </c>
      <c r="Z150" s="223">
        <v>5</v>
      </c>
      <c r="AA150" s="249" t="e">
        <f>VLOOKUP(T150,'Planning and Target Times'!$A$74:$L$78,MATCH(E150&amp;"-"&amp;Q150&amp;"-"&amp;Y150&amp;"-"&amp;R150,INDEX('Planning and Target Times'!$A$74:$L$78,1,0),0),0)</f>
        <v>#N/A</v>
      </c>
      <c r="AB150" s="249" t="e">
        <f>VLOOKUP(T150,'Planning and Target Times'!$A$97:$L$101,MATCH(E150&amp;"-"&amp;Q150&amp;"-"&amp;Y150&amp;"-"&amp;R150,INDEX('Planning and Target Times'!$A$97:$L$101,1,0),0),0)</f>
        <v>#N/A</v>
      </c>
      <c r="AC150" s="250">
        <f t="shared" si="40"/>
        <v>0</v>
      </c>
      <c r="AD150" s="250">
        <f t="shared" si="41"/>
        <v>0</v>
      </c>
      <c r="AE150" s="248">
        <f t="shared" si="42"/>
        <v>8245.7323194618493</v>
      </c>
      <c r="AF150" s="248">
        <f t="shared" si="35"/>
        <v>2704.2676805381507</v>
      </c>
      <c r="AG150" s="248">
        <f t="shared" ca="1" si="36"/>
        <v>-4375.7323194618493</v>
      </c>
      <c r="AH150" s="248">
        <f t="shared" ca="1" si="37"/>
        <v>-6181.7323194618493</v>
      </c>
      <c r="AI150" s="248">
        <f t="shared" si="43"/>
        <v>6630.5496649331908</v>
      </c>
      <c r="AJ150" s="248">
        <f t="shared" ca="1" si="38"/>
        <v>-2760.5496649331908</v>
      </c>
      <c r="AK150" s="248">
        <f t="shared" ca="1" si="39"/>
        <v>-4566.5496649331908</v>
      </c>
    </row>
    <row r="151" spans="2:37" ht="15.95" customHeight="1" x14ac:dyDescent="0.25">
      <c r="B151" s="136">
        <v>174</v>
      </c>
      <c r="C151" s="144" t="s">
        <v>1274</v>
      </c>
      <c r="D151" s="182" t="s">
        <v>1272</v>
      </c>
      <c r="E151" s="150" t="s">
        <v>11</v>
      </c>
      <c r="F151" s="140" t="s">
        <v>17</v>
      </c>
      <c r="G151" s="140" t="s">
        <v>1076</v>
      </c>
      <c r="H151" s="140" t="s">
        <v>1082</v>
      </c>
      <c r="I151" s="140" t="s">
        <v>459</v>
      </c>
      <c r="J151" s="141" t="s">
        <v>1079</v>
      </c>
      <c r="K151" s="142">
        <v>42388</v>
      </c>
      <c r="L151" s="142">
        <v>42458</v>
      </c>
      <c r="M151" s="134">
        <v>42472</v>
      </c>
      <c r="N151" s="140">
        <v>70</v>
      </c>
      <c r="O151" s="143">
        <v>1400</v>
      </c>
      <c r="P151" s="135" t="s">
        <v>1096</v>
      </c>
      <c r="Q151" s="223" t="s">
        <v>14</v>
      </c>
      <c r="R151" s="223" t="s">
        <v>298</v>
      </c>
      <c r="S151" s="223" t="s">
        <v>17</v>
      </c>
      <c r="T151" s="224" t="str">
        <f t="shared" si="32"/>
        <v>MA</v>
      </c>
      <c r="U151" s="223" t="str">
        <f t="shared" si="33"/>
        <v>MA-NW-Prod</v>
      </c>
      <c r="V151" s="223" t="str">
        <f t="array" ref="V151">CONCATENATE(Q151,"-",R151)</f>
        <v>NW-Prod</v>
      </c>
      <c r="W151" s="239">
        <f>IF(ISERROR(VLOOKUP(T151,'15-16_DP_Tables'!$M$2:$V$8,MATCH(V151,INDEX('15-16_DP_Tables'!$M$2:$V$8,1,0),0),0)),0,VLOOKUP(T151,'15-16_DP_Tables'!$M$2:$V$8,MATCH(V151,INDEX('15-16_DP_Tables'!$M$2:$V$8,1,0),0),0))</f>
        <v>57.083333333332121</v>
      </c>
      <c r="X151" s="239">
        <f t="array" ref="X151">IF(ISERROR(VLOOKUP(T151,'15-16_DP_Tables'!$M$12:$V$18,MATCH(V151,INDEX('15-16_DP_Tables'!$M$12:$V$18,1,0),0),0)),0,VLOOKUP(T151,'15-16_DP_Tables'!$M$12:$V$18,MATCH(V151,INDEX('15-16_DP_Tables'!$M$12:$V$18,1,0),0),0))</f>
        <v>47.791666666664241</v>
      </c>
      <c r="Y151" s="223" t="str">
        <f t="shared" si="34"/>
        <v>Unknown</v>
      </c>
      <c r="Z151" s="223">
        <v>5</v>
      </c>
      <c r="AA151" s="249" t="e">
        <f>VLOOKUP(T151,'Planning and Target Times'!$A$74:$L$78,MATCH(E151&amp;"-"&amp;Q151&amp;"-"&amp;Y151&amp;"-"&amp;R151,INDEX('Planning and Target Times'!$A$74:$L$78,1,0),0),0)</f>
        <v>#N/A</v>
      </c>
      <c r="AB151" s="249" t="e">
        <f>VLOOKUP(T151,'Planning and Target Times'!$A$97:$L$101,MATCH(E151&amp;"-"&amp;Q151&amp;"-"&amp;Y151&amp;"-"&amp;R151,INDEX('Planning and Target Times'!$A$97:$L$101,1,0),0),0)</f>
        <v>#N/A</v>
      </c>
      <c r="AC151" s="250">
        <f t="shared" si="40"/>
        <v>24.525547445255995</v>
      </c>
      <c r="AD151" s="250">
        <f t="shared" si="41"/>
        <v>29.293809938972714</v>
      </c>
      <c r="AE151" s="248">
        <f t="shared" si="42"/>
        <v>8307.8156527951814</v>
      </c>
      <c r="AF151" s="248">
        <f t="shared" si="35"/>
        <v>2642.1843472048186</v>
      </c>
      <c r="AG151" s="248">
        <f t="shared" ca="1" si="36"/>
        <v>-4437.8156527951814</v>
      </c>
      <c r="AH151" s="248">
        <f t="shared" ca="1" si="37"/>
        <v>-6243.8156527951814</v>
      </c>
      <c r="AI151" s="248">
        <f t="shared" si="43"/>
        <v>6683.341331599855</v>
      </c>
      <c r="AJ151" s="248">
        <f t="shared" ca="1" si="38"/>
        <v>-2813.341331599855</v>
      </c>
      <c r="AK151" s="248">
        <f t="shared" ca="1" si="39"/>
        <v>-4619.341331599855</v>
      </c>
    </row>
    <row r="152" spans="2:37" ht="15.95" customHeight="1" x14ac:dyDescent="0.25">
      <c r="B152" s="136">
        <v>177</v>
      </c>
      <c r="C152" s="144" t="s">
        <v>1278</v>
      </c>
      <c r="D152" s="156" t="s">
        <v>1276</v>
      </c>
      <c r="E152" s="150" t="s">
        <v>11</v>
      </c>
      <c r="F152" s="140" t="s">
        <v>29</v>
      </c>
      <c r="G152" s="140" t="s">
        <v>1076</v>
      </c>
      <c r="H152" s="140" t="s">
        <v>1082</v>
      </c>
      <c r="I152" s="140" t="s">
        <v>459</v>
      </c>
      <c r="J152" s="141" t="s">
        <v>1079</v>
      </c>
      <c r="K152" s="142">
        <v>42388</v>
      </c>
      <c r="L152" s="142">
        <v>42458</v>
      </c>
      <c r="M152" s="134">
        <v>42472</v>
      </c>
      <c r="N152" s="140">
        <v>70</v>
      </c>
      <c r="O152" s="143">
        <v>1200</v>
      </c>
      <c r="P152" s="135" t="s">
        <v>1096</v>
      </c>
      <c r="Q152" s="223" t="s">
        <v>14</v>
      </c>
      <c r="R152" s="223" t="s">
        <v>298</v>
      </c>
      <c r="S152" s="223" t="s">
        <v>29</v>
      </c>
      <c r="T152" s="224" t="str">
        <f t="shared" si="32"/>
        <v>UB</v>
      </c>
      <c r="U152" s="223" t="str">
        <f t="shared" si="33"/>
        <v>UB-NW-Prod</v>
      </c>
      <c r="V152" s="223" t="str">
        <f t="array" ref="V152">CONCATENATE(Q152,"-",R152)</f>
        <v>NW-Prod</v>
      </c>
      <c r="W152" s="239">
        <f>IF(ISERROR(VLOOKUP(T152,'15-16_DP_Tables'!$M$2:$V$8,MATCH(V152,INDEX('15-16_DP_Tables'!$M$2:$V$8,1,0),0),0)),0,VLOOKUP(T152,'15-16_DP_Tables'!$M$2:$V$8,MATCH(V152,INDEX('15-16_DP_Tables'!$M$2:$V$8,1,0),0),0))</f>
        <v>53.604164999999995</v>
      </c>
      <c r="X152" s="239">
        <f t="array" ref="X152">IF(ISERROR(VLOOKUP(T152,'15-16_DP_Tables'!$M$12:$V$18,MATCH(V152,INDEX('15-16_DP_Tables'!$M$12:$V$18,1,0),0),0)),0,VLOOKUP(T152,'15-16_DP_Tables'!$M$12:$V$18,MATCH(V152,INDEX('15-16_DP_Tables'!$M$12:$V$18,1,0),0),0))</f>
        <v>48</v>
      </c>
      <c r="Y152" s="223" t="str">
        <f t="shared" si="34"/>
        <v>Unknown</v>
      </c>
      <c r="Z152" s="223">
        <v>5</v>
      </c>
      <c r="AA152" s="249" t="e">
        <f>VLOOKUP(T152,'Planning and Target Times'!$A$74:$L$78,MATCH(E152&amp;"-"&amp;Q152&amp;"-"&amp;Y152&amp;"-"&amp;R152,INDEX('Planning and Target Times'!$A$74:$L$78,1,0),0),0)</f>
        <v>#N/A</v>
      </c>
      <c r="AB152" s="249" t="e">
        <f>VLOOKUP(T152,'Planning and Target Times'!$A$97:$L$101,MATCH(E152&amp;"-"&amp;Q152&amp;"-"&amp;Y152&amp;"-"&amp;R152,INDEX('Planning and Target Times'!$A$97:$L$101,1,0),0),0)</f>
        <v>#N/A</v>
      </c>
      <c r="AC152" s="250">
        <f t="shared" si="40"/>
        <v>22.386320167472064</v>
      </c>
      <c r="AD152" s="250">
        <f t="shared" si="41"/>
        <v>25</v>
      </c>
      <c r="AE152" s="248">
        <f t="shared" si="42"/>
        <v>8366.4198177951821</v>
      </c>
      <c r="AF152" s="248">
        <f t="shared" si="35"/>
        <v>2583.5801822048179</v>
      </c>
      <c r="AG152" s="248">
        <f t="shared" ca="1" si="36"/>
        <v>-4496.4198177951821</v>
      </c>
      <c r="AH152" s="248">
        <f t="shared" ca="1" si="37"/>
        <v>-6302.4198177951821</v>
      </c>
      <c r="AI152" s="248">
        <f t="shared" si="43"/>
        <v>6736.341331599855</v>
      </c>
      <c r="AJ152" s="248">
        <f t="shared" ca="1" si="38"/>
        <v>-2866.341331599855</v>
      </c>
      <c r="AK152" s="248">
        <f t="shared" ca="1" si="39"/>
        <v>-4672.341331599855</v>
      </c>
    </row>
    <row r="153" spans="2:37" ht="15.95" customHeight="1" x14ac:dyDescent="0.25">
      <c r="B153" s="136">
        <v>180</v>
      </c>
      <c r="C153" s="144" t="s">
        <v>1282</v>
      </c>
      <c r="D153" s="199" t="s">
        <v>1280</v>
      </c>
      <c r="E153" s="150" t="s">
        <v>42</v>
      </c>
      <c r="F153" s="140" t="s">
        <v>22</v>
      </c>
      <c r="G153" s="140" t="s">
        <v>1076</v>
      </c>
      <c r="H153" s="140" t="s">
        <v>1082</v>
      </c>
      <c r="I153" s="140" t="s">
        <v>459</v>
      </c>
      <c r="J153" s="141" t="s">
        <v>1079</v>
      </c>
      <c r="K153" s="142">
        <v>42388</v>
      </c>
      <c r="L153" s="142">
        <v>42458</v>
      </c>
      <c r="M153" s="134">
        <v>42472</v>
      </c>
      <c r="N153" s="140">
        <v>70</v>
      </c>
      <c r="O153" s="143">
        <v>1800</v>
      </c>
      <c r="P153" s="143" t="s">
        <v>1096</v>
      </c>
      <c r="Q153" s="223" t="s">
        <v>14</v>
      </c>
      <c r="R153" s="223" t="s">
        <v>298</v>
      </c>
      <c r="S153" s="223" t="s">
        <v>22</v>
      </c>
      <c r="T153" s="224" t="str">
        <f t="shared" si="32"/>
        <v>LB</v>
      </c>
      <c r="U153" s="223" t="str">
        <f t="shared" si="33"/>
        <v>LB-NW-Prod</v>
      </c>
      <c r="V153" s="223" t="str">
        <f t="array" ref="V153">CONCATENATE(Q153,"-",R153)</f>
        <v>NW-Prod</v>
      </c>
      <c r="W153" s="239">
        <f>IF(ISERROR(VLOOKUP(T153,'15-16_DP_Tables'!$M$2:$V$8,MATCH(V153,INDEX('15-16_DP_Tables'!$M$2:$V$8,1,0),0),0)),0,VLOOKUP(T153,'15-16_DP_Tables'!$M$2:$V$8,MATCH(V153,INDEX('15-16_DP_Tables'!$M$2:$V$8,1,0),0),0))</f>
        <v>55.81537142381022</v>
      </c>
      <c r="X153" s="239">
        <f t="array" ref="X153">IF(ISERROR(VLOOKUP(T153,'15-16_DP_Tables'!$M$12:$V$18,MATCH(V153,INDEX('15-16_DP_Tables'!$M$12:$V$18,1,0),0),0)),0,VLOOKUP(T153,'15-16_DP_Tables'!$M$12:$V$18,MATCH(V153,INDEX('15-16_DP_Tables'!$M$12:$V$18,1,0),0),0))</f>
        <v>45.207999999999998</v>
      </c>
      <c r="Y153" s="223" t="str">
        <f t="shared" si="34"/>
        <v>Horizontal</v>
      </c>
      <c r="Z153" s="223">
        <v>5</v>
      </c>
      <c r="AA153" s="249" t="e">
        <f>VLOOKUP(T153,'Planning and Target Times'!$A$74:$L$78,MATCH(E153&amp;"-"&amp;Q153&amp;"-"&amp;Y153&amp;"-"&amp;R153,INDEX('Planning and Target Times'!$A$74:$L$78,1,0),0),0)</f>
        <v>#N/A</v>
      </c>
      <c r="AB153" s="249" t="e">
        <f>VLOOKUP(T153,'Planning and Target Times'!$A$97:$L$101,MATCH(E153&amp;"-"&amp;Q153&amp;"-"&amp;Y153&amp;"-"&amp;R153,INDEX('Planning and Target Times'!$A$97:$L$101,1,0),0),0)</f>
        <v>#N/A</v>
      </c>
      <c r="AC153" s="250">
        <f t="shared" si="40"/>
        <v>32.249180719993198</v>
      </c>
      <c r="AD153" s="250">
        <f t="shared" si="41"/>
        <v>39.815961776676694</v>
      </c>
      <c r="AE153" s="248">
        <f t="shared" si="42"/>
        <v>8427.2351892189927</v>
      </c>
      <c r="AF153" s="248">
        <f t="shared" si="35"/>
        <v>2522.7648107810073</v>
      </c>
      <c r="AG153" s="248">
        <f t="shared" ca="1" si="36"/>
        <v>-4557.2351892189927</v>
      </c>
      <c r="AH153" s="248">
        <f t="shared" ca="1" si="37"/>
        <v>-6363.2351892189927</v>
      </c>
      <c r="AI153" s="248">
        <f t="shared" si="43"/>
        <v>6786.5493315998547</v>
      </c>
      <c r="AJ153" s="248">
        <f t="shared" ca="1" si="38"/>
        <v>-2916.5493315998547</v>
      </c>
      <c r="AK153" s="248">
        <f t="shared" ca="1" si="39"/>
        <v>-4722.5493315998547</v>
      </c>
    </row>
    <row r="154" spans="2:37" ht="15.95" customHeight="1" x14ac:dyDescent="0.25">
      <c r="B154" s="136">
        <v>146</v>
      </c>
      <c r="C154" s="144" t="s">
        <v>1237</v>
      </c>
      <c r="D154" s="193" t="s">
        <v>1234</v>
      </c>
      <c r="E154" s="150" t="s">
        <v>11</v>
      </c>
      <c r="F154" s="140" t="s">
        <v>17</v>
      </c>
      <c r="G154" s="140" t="s">
        <v>1076</v>
      </c>
      <c r="H154" s="140" t="s">
        <v>1082</v>
      </c>
      <c r="I154" s="140" t="s">
        <v>459</v>
      </c>
      <c r="J154" s="141" t="s">
        <v>1079</v>
      </c>
      <c r="K154" s="142">
        <v>42399</v>
      </c>
      <c r="L154" s="142">
        <v>42469</v>
      </c>
      <c r="M154" s="134">
        <v>42483</v>
      </c>
      <c r="N154" s="140">
        <v>70</v>
      </c>
      <c r="O154" s="143">
        <v>1400</v>
      </c>
      <c r="P154" s="143" t="s">
        <v>1096</v>
      </c>
      <c r="Q154" s="223" t="s">
        <v>14</v>
      </c>
      <c r="R154" s="223" t="s">
        <v>298</v>
      </c>
      <c r="S154" s="223" t="s">
        <v>17</v>
      </c>
      <c r="T154" s="224" t="str">
        <f t="shared" si="32"/>
        <v>MA</v>
      </c>
      <c r="U154" s="223" t="str">
        <f t="shared" si="33"/>
        <v>MA-NW-Prod</v>
      </c>
      <c r="V154" s="223" t="str">
        <f t="array" ref="V154">CONCATENATE(Q154,"-",R154)</f>
        <v>NW-Prod</v>
      </c>
      <c r="W154" s="239">
        <f>IF(ISERROR(VLOOKUP(T154,'15-16_DP_Tables'!$M$2:$V$8,MATCH(V154,INDEX('15-16_DP_Tables'!$M$2:$V$8,1,0),0),0)),0,VLOOKUP(T154,'15-16_DP_Tables'!$M$2:$V$8,MATCH(V154,INDEX('15-16_DP_Tables'!$M$2:$V$8,1,0),0),0))</f>
        <v>57.083333333332121</v>
      </c>
      <c r="X154" s="239">
        <f t="array" ref="X154">IF(ISERROR(VLOOKUP(T154,'15-16_DP_Tables'!$M$12:$V$18,MATCH(V154,INDEX('15-16_DP_Tables'!$M$12:$V$18,1,0),0),0)),0,VLOOKUP(T154,'15-16_DP_Tables'!$M$12:$V$18,MATCH(V154,INDEX('15-16_DP_Tables'!$M$12:$V$18,1,0),0),0))</f>
        <v>47.791666666664241</v>
      </c>
      <c r="Y154" s="223" t="str">
        <f t="shared" si="34"/>
        <v>Horizontal</v>
      </c>
      <c r="Z154" s="223">
        <v>5</v>
      </c>
      <c r="AA154" s="249" t="e">
        <f>VLOOKUP(T154,'Planning and Target Times'!$A$74:$L$78,MATCH(E154&amp;"-"&amp;Q154&amp;"-"&amp;Y154&amp;"-"&amp;R154,INDEX('Planning and Target Times'!$A$74:$L$78,1,0),0),0)</f>
        <v>#N/A</v>
      </c>
      <c r="AB154" s="249" t="e">
        <f>VLOOKUP(T154,'Planning and Target Times'!$A$97:$L$101,MATCH(E154&amp;"-"&amp;Q154&amp;"-"&amp;Y154&amp;"-"&amp;R154,INDEX('Planning and Target Times'!$A$97:$L$101,1,0),0),0)</f>
        <v>#N/A</v>
      </c>
      <c r="AC154" s="250">
        <f t="shared" si="40"/>
        <v>24.525547445255995</v>
      </c>
      <c r="AD154" s="250">
        <f t="shared" si="41"/>
        <v>29.293809938972714</v>
      </c>
      <c r="AE154" s="248">
        <f t="shared" si="42"/>
        <v>8489.3185225523248</v>
      </c>
      <c r="AF154" s="248">
        <f t="shared" si="35"/>
        <v>2460.6814774476752</v>
      </c>
      <c r="AG154" s="248">
        <f t="shared" ca="1" si="36"/>
        <v>-4619.3185225523248</v>
      </c>
      <c r="AH154" s="248">
        <f t="shared" ca="1" si="37"/>
        <v>-6425.3185225523248</v>
      </c>
      <c r="AI154" s="248">
        <f t="shared" si="43"/>
        <v>6839.3409982665189</v>
      </c>
      <c r="AJ154" s="248">
        <f t="shared" ca="1" si="38"/>
        <v>-2969.3409982665189</v>
      </c>
      <c r="AK154" s="248">
        <f t="shared" ca="1" si="39"/>
        <v>-4775.3409982665189</v>
      </c>
    </row>
    <row r="155" spans="2:37" ht="15.95" customHeight="1" x14ac:dyDescent="0.25">
      <c r="B155" s="136">
        <v>126</v>
      </c>
      <c r="C155" s="144" t="s">
        <v>1213</v>
      </c>
      <c r="D155" s="193" t="s">
        <v>1211</v>
      </c>
      <c r="E155" s="150" t="s">
        <v>11</v>
      </c>
      <c r="F155" s="140" t="s">
        <v>29</v>
      </c>
      <c r="G155" s="140" t="s">
        <v>1086</v>
      </c>
      <c r="H155" s="140" t="s">
        <v>1082</v>
      </c>
      <c r="I155" s="140" t="s">
        <v>459</v>
      </c>
      <c r="J155" s="141" t="s">
        <v>1079</v>
      </c>
      <c r="K155" s="142">
        <v>42401</v>
      </c>
      <c r="L155" s="142">
        <v>42464</v>
      </c>
      <c r="M155" s="134">
        <v>42478</v>
      </c>
      <c r="N155" s="140">
        <v>63</v>
      </c>
      <c r="O155" s="143"/>
      <c r="P155" s="135" t="s">
        <v>1096</v>
      </c>
      <c r="Q155" s="223" t="s">
        <v>14</v>
      </c>
      <c r="R155" s="223" t="s">
        <v>34</v>
      </c>
      <c r="S155" s="223" t="s">
        <v>29</v>
      </c>
      <c r="T155" s="224" t="str">
        <f t="shared" si="32"/>
        <v>UB</v>
      </c>
      <c r="U155" s="223" t="str">
        <f t="shared" si="33"/>
        <v>UB-NW-Inj</v>
      </c>
      <c r="V155" s="223" t="str">
        <f t="array" ref="V155">CONCATENATE(Q155,"-",R155)</f>
        <v>NW-Inj</v>
      </c>
      <c r="W155" s="239">
        <f>IF(ISERROR(VLOOKUP(T155,'15-16_DP_Tables'!$M$2:$V$8,MATCH(V155,INDEX('15-16_DP_Tables'!$M$2:$V$8,1,0),0),0)),0,VLOOKUP(T155,'15-16_DP_Tables'!$M$2:$V$8,MATCH(V155,INDEX('15-16_DP_Tables'!$M$2:$V$8,1,0),0),0))</f>
        <v>0</v>
      </c>
      <c r="X155" s="239">
        <f t="array" ref="X155">IF(ISERROR(VLOOKUP(T155,'15-16_DP_Tables'!$M$12:$V$18,MATCH(V155,INDEX('15-16_DP_Tables'!$M$12:$V$18,1,0),0),0)),0,VLOOKUP(T155,'15-16_DP_Tables'!$M$12:$V$18,MATCH(V155,INDEX('15-16_DP_Tables'!$M$12:$V$18,1,0),0),0))</f>
        <v>0</v>
      </c>
      <c r="Y155" s="223" t="str">
        <f t="shared" si="34"/>
        <v>Unknown</v>
      </c>
      <c r="Z155" s="223">
        <v>5</v>
      </c>
      <c r="AA155" s="249" t="e">
        <f>VLOOKUP(T155,'Planning and Target Times'!$A$74:$L$78,MATCH(E155&amp;"-"&amp;Q155&amp;"-"&amp;Y155&amp;"-"&amp;R155,INDEX('Planning and Target Times'!$A$74:$L$78,1,0),0),0)</f>
        <v>#N/A</v>
      </c>
      <c r="AB155" s="249" t="e">
        <f>VLOOKUP(T155,'Planning and Target Times'!$A$97:$L$101,MATCH(E155&amp;"-"&amp;Q155&amp;"-"&amp;Y155&amp;"-"&amp;R155,INDEX('Planning and Target Times'!$A$97:$L$101,1,0),0),0)</f>
        <v>#N/A</v>
      </c>
      <c r="AC155" s="250">
        <f t="shared" si="40"/>
        <v>0</v>
      </c>
      <c r="AD155" s="250">
        <f t="shared" si="41"/>
        <v>0</v>
      </c>
      <c r="AE155" s="248">
        <f t="shared" si="42"/>
        <v>8494.3185225523248</v>
      </c>
      <c r="AF155" s="248">
        <f t="shared" si="35"/>
        <v>2455.6814774476752</v>
      </c>
      <c r="AG155" s="248">
        <f t="shared" ca="1" si="36"/>
        <v>-4624.3185225523248</v>
      </c>
      <c r="AH155" s="248">
        <f t="shared" ca="1" si="37"/>
        <v>-6430.3185225523248</v>
      </c>
      <c r="AI155" s="248">
        <f t="shared" si="43"/>
        <v>6844.3409982665189</v>
      </c>
      <c r="AJ155" s="248">
        <f t="shared" ca="1" si="38"/>
        <v>-2974.3409982665189</v>
      </c>
      <c r="AK155" s="248">
        <f t="shared" ca="1" si="39"/>
        <v>-4780.3409982665189</v>
      </c>
    </row>
    <row r="156" spans="2:37" ht="15.95" customHeight="1" x14ac:dyDescent="0.25">
      <c r="B156" s="136">
        <v>123</v>
      </c>
      <c r="C156" s="144" t="s">
        <v>1209</v>
      </c>
      <c r="D156" s="165" t="s">
        <v>838</v>
      </c>
      <c r="E156" s="150" t="s">
        <v>42</v>
      </c>
      <c r="F156" s="140" t="s">
        <v>17</v>
      </c>
      <c r="G156" s="140" t="s">
        <v>1076</v>
      </c>
      <c r="H156" s="140" t="s">
        <v>1082</v>
      </c>
      <c r="I156" s="140" t="s">
        <v>459</v>
      </c>
      <c r="J156" s="141" t="s">
        <v>1079</v>
      </c>
      <c r="K156" s="142">
        <v>42411</v>
      </c>
      <c r="L156" s="142">
        <v>42481</v>
      </c>
      <c r="M156" s="134">
        <v>42495</v>
      </c>
      <c r="N156" s="140">
        <v>70</v>
      </c>
      <c r="O156" s="143">
        <v>1500</v>
      </c>
      <c r="P156" s="143" t="s">
        <v>1096</v>
      </c>
      <c r="Q156" s="223" t="s">
        <v>14</v>
      </c>
      <c r="R156" s="223" t="s">
        <v>298</v>
      </c>
      <c r="S156" s="223" t="s">
        <v>17</v>
      </c>
      <c r="T156" s="224" t="str">
        <f t="shared" si="32"/>
        <v>MA</v>
      </c>
      <c r="U156" s="223" t="str">
        <f t="shared" si="33"/>
        <v>MA-NW-Prod</v>
      </c>
      <c r="V156" s="223" t="str">
        <f t="array" ref="V156">CONCATENATE(Q156,"-",R156)</f>
        <v>NW-Prod</v>
      </c>
      <c r="W156" s="239">
        <f>IF(ISERROR(VLOOKUP(T156,'15-16_DP_Tables'!$M$2:$V$8,MATCH(V156,INDEX('15-16_DP_Tables'!$M$2:$V$8,1,0),0),0)),0,VLOOKUP(T156,'15-16_DP_Tables'!$M$2:$V$8,MATCH(V156,INDEX('15-16_DP_Tables'!$M$2:$V$8,1,0),0),0))</f>
        <v>57.083333333332121</v>
      </c>
      <c r="X156" s="239">
        <f t="array" ref="X156">IF(ISERROR(VLOOKUP(T156,'15-16_DP_Tables'!$M$12:$V$18,MATCH(V156,INDEX('15-16_DP_Tables'!$M$12:$V$18,1,0),0),0)),0,VLOOKUP(T156,'15-16_DP_Tables'!$M$12:$V$18,MATCH(V156,INDEX('15-16_DP_Tables'!$M$12:$V$18,1,0),0),0))</f>
        <v>47.791666666664241</v>
      </c>
      <c r="Y156" s="223" t="str">
        <f t="shared" si="34"/>
        <v>Unknown</v>
      </c>
      <c r="Z156" s="223">
        <v>5</v>
      </c>
      <c r="AA156" s="249" t="e">
        <f>VLOOKUP(T156,'Planning and Target Times'!$A$74:$L$78,MATCH(E156&amp;"-"&amp;Q156&amp;"-"&amp;Y156&amp;"-"&amp;R156,INDEX('Planning and Target Times'!$A$74:$L$78,1,0),0),0)</f>
        <v>#N/A</v>
      </c>
      <c r="AB156" s="249" t="e">
        <f>VLOOKUP(T156,'Planning and Target Times'!$A$97:$L$101,MATCH(E156&amp;"-"&amp;Q156&amp;"-"&amp;Y156&amp;"-"&amp;R156,INDEX('Planning and Target Times'!$A$97:$L$101,1,0),0),0)</f>
        <v>#N/A</v>
      </c>
      <c r="AC156" s="250">
        <f t="shared" si="40"/>
        <v>26.277372262774282</v>
      </c>
      <c r="AD156" s="250">
        <f t="shared" si="41"/>
        <v>31.386224934613622</v>
      </c>
      <c r="AE156" s="248">
        <f t="shared" si="42"/>
        <v>8556.4018558856569</v>
      </c>
      <c r="AF156" s="248">
        <f t="shared" si="35"/>
        <v>2393.5981441143431</v>
      </c>
      <c r="AG156" s="248">
        <f t="shared" ca="1" si="36"/>
        <v>-4686.4018558856569</v>
      </c>
      <c r="AH156" s="248">
        <f t="shared" ca="1" si="37"/>
        <v>-6492.4018558856569</v>
      </c>
      <c r="AI156" s="248">
        <f t="shared" si="43"/>
        <v>6897.1326649331832</v>
      </c>
      <c r="AJ156" s="248">
        <f t="shared" ca="1" si="38"/>
        <v>-3027.1326649331832</v>
      </c>
      <c r="AK156" s="248">
        <f t="shared" ca="1" si="39"/>
        <v>-4833.1326649331832</v>
      </c>
    </row>
    <row r="157" spans="2:37" ht="15.95" customHeight="1" x14ac:dyDescent="0.25">
      <c r="B157" s="136">
        <v>108</v>
      </c>
      <c r="C157" s="144" t="s">
        <v>1194</v>
      </c>
      <c r="D157" s="157" t="s">
        <v>735</v>
      </c>
      <c r="E157" s="139" t="s">
        <v>11</v>
      </c>
      <c r="F157" s="140" t="s">
        <v>22</v>
      </c>
      <c r="G157" s="140" t="s">
        <v>1076</v>
      </c>
      <c r="H157" s="140" t="s">
        <v>1082</v>
      </c>
      <c r="I157" s="140" t="s">
        <v>459</v>
      </c>
      <c r="J157" s="141" t="s">
        <v>1079</v>
      </c>
      <c r="K157" s="142">
        <v>42418</v>
      </c>
      <c r="L157" s="142">
        <v>42488</v>
      </c>
      <c r="M157" s="134">
        <v>42502</v>
      </c>
      <c r="N157" s="140">
        <v>70</v>
      </c>
      <c r="O157" s="143">
        <v>1200</v>
      </c>
      <c r="P157" s="143" t="s">
        <v>1096</v>
      </c>
      <c r="Q157" s="223" t="s">
        <v>14</v>
      </c>
      <c r="R157" s="223" t="s">
        <v>298</v>
      </c>
      <c r="S157" s="223" t="s">
        <v>22</v>
      </c>
      <c r="T157" s="224" t="str">
        <f t="shared" si="32"/>
        <v>LB</v>
      </c>
      <c r="U157" s="223" t="str">
        <f t="shared" si="33"/>
        <v>LB-NW-Prod</v>
      </c>
      <c r="V157" s="223" t="str">
        <f t="array" ref="V157">CONCATENATE(Q157,"-",R157)</f>
        <v>NW-Prod</v>
      </c>
      <c r="W157" s="239">
        <f>IF(ISERROR(VLOOKUP(T157,'15-16_DP_Tables'!$M$2:$V$8,MATCH(V157,INDEX('15-16_DP_Tables'!$M$2:$V$8,1,0),0),0)),0,VLOOKUP(T157,'15-16_DP_Tables'!$M$2:$V$8,MATCH(V157,INDEX('15-16_DP_Tables'!$M$2:$V$8,1,0),0),0))</f>
        <v>55.81537142381022</v>
      </c>
      <c r="X157" s="239">
        <f t="array" ref="X157">IF(ISERROR(VLOOKUP(T157,'15-16_DP_Tables'!$M$12:$V$18,MATCH(V157,INDEX('15-16_DP_Tables'!$M$12:$V$18,1,0),0),0)),0,VLOOKUP(T157,'15-16_DP_Tables'!$M$12:$V$18,MATCH(V157,INDEX('15-16_DP_Tables'!$M$12:$V$18,1,0),0),0))</f>
        <v>45.207999999999998</v>
      </c>
      <c r="Y157" s="223" t="str">
        <f t="shared" si="34"/>
        <v>Horizontal</v>
      </c>
      <c r="Z157" s="223">
        <v>5</v>
      </c>
      <c r="AA157" s="249" t="e">
        <f>VLOOKUP(T157,'Planning and Target Times'!$A$74:$L$78,MATCH(E157&amp;"-"&amp;Q157&amp;"-"&amp;Y157&amp;"-"&amp;R157,INDEX('Planning and Target Times'!$A$74:$L$78,1,0),0),0)</f>
        <v>#N/A</v>
      </c>
      <c r="AB157" s="249" t="e">
        <f>VLOOKUP(T157,'Planning and Target Times'!$A$97:$L$101,MATCH(E157&amp;"-"&amp;Q157&amp;"-"&amp;Y157&amp;"-"&amp;R157,INDEX('Planning and Target Times'!$A$97:$L$101,1,0),0),0)</f>
        <v>#N/A</v>
      </c>
      <c r="AC157" s="250">
        <f t="shared" si="40"/>
        <v>21.499453813328802</v>
      </c>
      <c r="AD157" s="250">
        <f t="shared" si="41"/>
        <v>26.543974517784463</v>
      </c>
      <c r="AE157" s="248">
        <f t="shared" si="42"/>
        <v>8617.2172273094675</v>
      </c>
      <c r="AF157" s="248">
        <f t="shared" si="35"/>
        <v>2332.7827726905325</v>
      </c>
      <c r="AG157" s="248">
        <f t="shared" ca="1" si="36"/>
        <v>-4747.2172273094675</v>
      </c>
      <c r="AH157" s="248">
        <f t="shared" ca="1" si="37"/>
        <v>-6553.2172273094675</v>
      </c>
      <c r="AI157" s="248">
        <f t="shared" si="43"/>
        <v>6947.3406649331828</v>
      </c>
      <c r="AJ157" s="248">
        <f t="shared" ca="1" si="38"/>
        <v>-3077.3406649331828</v>
      </c>
      <c r="AK157" s="248">
        <f t="shared" ca="1" si="39"/>
        <v>-4883.3406649331828</v>
      </c>
    </row>
    <row r="158" spans="2:37" ht="15.95" customHeight="1" x14ac:dyDescent="0.25">
      <c r="B158" s="136">
        <v>131</v>
      </c>
      <c r="C158" s="144" t="s">
        <v>1219</v>
      </c>
      <c r="D158" s="138" t="s">
        <v>1215</v>
      </c>
      <c r="E158" s="150" t="s">
        <v>11</v>
      </c>
      <c r="F158" s="140" t="s">
        <v>29</v>
      </c>
      <c r="G158" s="140" t="s">
        <v>1076</v>
      </c>
      <c r="H158" s="140" t="s">
        <v>1082</v>
      </c>
      <c r="I158" s="140" t="s">
        <v>459</v>
      </c>
      <c r="J158" s="141" t="s">
        <v>1079</v>
      </c>
      <c r="K158" s="142">
        <v>42424</v>
      </c>
      <c r="L158" s="142">
        <v>42494</v>
      </c>
      <c r="M158" s="134">
        <v>42508</v>
      </c>
      <c r="N158" s="140">
        <v>70</v>
      </c>
      <c r="O158" s="143">
        <v>1200</v>
      </c>
      <c r="P158" s="135" t="s">
        <v>1096</v>
      </c>
      <c r="Q158" s="223" t="s">
        <v>14</v>
      </c>
      <c r="R158" s="223" t="s">
        <v>298</v>
      </c>
      <c r="S158" s="223" t="s">
        <v>29</v>
      </c>
      <c r="T158" s="224" t="str">
        <f t="shared" si="32"/>
        <v>UB</v>
      </c>
      <c r="U158" s="223" t="str">
        <f t="shared" si="33"/>
        <v>UB-NW-Prod</v>
      </c>
      <c r="V158" s="223" t="str">
        <f t="array" ref="V158">CONCATENATE(Q158,"-",R158)</f>
        <v>NW-Prod</v>
      </c>
      <c r="W158" s="239">
        <f>IF(ISERROR(VLOOKUP(T158,'15-16_DP_Tables'!$M$2:$V$8,MATCH(V158,INDEX('15-16_DP_Tables'!$M$2:$V$8,1,0),0),0)),0,VLOOKUP(T158,'15-16_DP_Tables'!$M$2:$V$8,MATCH(V158,INDEX('15-16_DP_Tables'!$M$2:$V$8,1,0),0),0))</f>
        <v>53.604164999999995</v>
      </c>
      <c r="X158" s="239">
        <f t="array" ref="X158">IF(ISERROR(VLOOKUP(T158,'15-16_DP_Tables'!$M$12:$V$18,MATCH(V158,INDEX('15-16_DP_Tables'!$M$12:$V$18,1,0),0),0)),0,VLOOKUP(T158,'15-16_DP_Tables'!$M$12:$V$18,MATCH(V158,INDEX('15-16_DP_Tables'!$M$12:$V$18,1,0),0),0))</f>
        <v>48</v>
      </c>
      <c r="Y158" s="223" t="str">
        <f t="shared" si="34"/>
        <v>Unknown</v>
      </c>
      <c r="Z158" s="223">
        <v>5</v>
      </c>
      <c r="AA158" s="249" t="e">
        <f>VLOOKUP(T158,'Planning and Target Times'!$A$74:$L$78,MATCH(E158&amp;"-"&amp;Q158&amp;"-"&amp;Y158&amp;"-"&amp;R158,INDEX('Planning and Target Times'!$A$74:$L$78,1,0),0),0)</f>
        <v>#N/A</v>
      </c>
      <c r="AB158" s="249" t="e">
        <f>VLOOKUP(T158,'Planning and Target Times'!$A$97:$L$101,MATCH(E158&amp;"-"&amp;Q158&amp;"-"&amp;Y158&amp;"-"&amp;R158,INDEX('Planning and Target Times'!$A$97:$L$101,1,0),0),0)</f>
        <v>#N/A</v>
      </c>
      <c r="AC158" s="250">
        <f t="shared" si="40"/>
        <v>22.386320167472064</v>
      </c>
      <c r="AD158" s="250">
        <f t="shared" si="41"/>
        <v>25</v>
      </c>
      <c r="AE158" s="248">
        <f t="shared" si="42"/>
        <v>8675.8213923094681</v>
      </c>
      <c r="AF158" s="248">
        <f t="shared" si="35"/>
        <v>2274.1786076905319</v>
      </c>
      <c r="AG158" s="248">
        <f t="shared" ca="1" si="36"/>
        <v>-4805.8213923094681</v>
      </c>
      <c r="AH158" s="248">
        <f t="shared" ca="1" si="37"/>
        <v>-6611.8213923094681</v>
      </c>
      <c r="AI158" s="248">
        <f t="shared" si="43"/>
        <v>7000.3406649331828</v>
      </c>
      <c r="AJ158" s="248">
        <f t="shared" ca="1" si="38"/>
        <v>-3130.3406649331828</v>
      </c>
      <c r="AK158" s="248">
        <f t="shared" ca="1" si="39"/>
        <v>-4936.3406649331828</v>
      </c>
    </row>
    <row r="159" spans="2:37" ht="15.95" customHeight="1" x14ac:dyDescent="0.25">
      <c r="B159" s="136">
        <v>135</v>
      </c>
      <c r="C159" s="151" t="s">
        <v>1224</v>
      </c>
      <c r="D159" s="171" t="s">
        <v>1221</v>
      </c>
      <c r="E159" s="150" t="s">
        <v>11</v>
      </c>
      <c r="F159" s="140" t="s">
        <v>29</v>
      </c>
      <c r="G159" s="140" t="s">
        <v>1086</v>
      </c>
      <c r="H159" s="140" t="s">
        <v>1082</v>
      </c>
      <c r="I159" s="140" t="s">
        <v>459</v>
      </c>
      <c r="J159" s="141" t="s">
        <v>1079</v>
      </c>
      <c r="K159" s="142">
        <v>42424</v>
      </c>
      <c r="L159" s="142">
        <v>42487</v>
      </c>
      <c r="M159" s="134">
        <v>42501</v>
      </c>
      <c r="N159" s="140">
        <v>63</v>
      </c>
      <c r="O159" s="143"/>
      <c r="P159" s="143" t="s">
        <v>1096</v>
      </c>
      <c r="Q159" s="223" t="s">
        <v>14</v>
      </c>
      <c r="R159" s="223" t="s">
        <v>34</v>
      </c>
      <c r="S159" s="223" t="s">
        <v>29</v>
      </c>
      <c r="T159" s="224" t="str">
        <f t="shared" si="32"/>
        <v>UB</v>
      </c>
      <c r="U159" s="223" t="str">
        <f t="shared" si="33"/>
        <v>UB-NW-Inj</v>
      </c>
      <c r="V159" s="223" t="str">
        <f t="array" ref="V159">CONCATENATE(Q159,"-",R159)</f>
        <v>NW-Inj</v>
      </c>
      <c r="W159" s="239">
        <f>IF(ISERROR(VLOOKUP(T159,'15-16_DP_Tables'!$M$2:$V$8,MATCH(V159,INDEX('15-16_DP_Tables'!$M$2:$V$8,1,0),0),0)),0,VLOOKUP(T159,'15-16_DP_Tables'!$M$2:$V$8,MATCH(V159,INDEX('15-16_DP_Tables'!$M$2:$V$8,1,0),0),0))</f>
        <v>0</v>
      </c>
      <c r="X159" s="239">
        <f t="array" ref="X159">IF(ISERROR(VLOOKUP(T159,'15-16_DP_Tables'!$M$12:$V$18,MATCH(V159,INDEX('15-16_DP_Tables'!$M$12:$V$18,1,0),0),0)),0,VLOOKUP(T159,'15-16_DP_Tables'!$M$12:$V$18,MATCH(V159,INDEX('15-16_DP_Tables'!$M$12:$V$18,1,0),0),0))</f>
        <v>0</v>
      </c>
      <c r="Y159" s="223" t="str">
        <f t="shared" si="34"/>
        <v>Unknown</v>
      </c>
      <c r="Z159" s="223">
        <v>5</v>
      </c>
      <c r="AA159" s="249" t="e">
        <f>VLOOKUP(T159,'Planning and Target Times'!$A$74:$L$78,MATCH(E159&amp;"-"&amp;Q159&amp;"-"&amp;Y159&amp;"-"&amp;R159,INDEX('Planning and Target Times'!$A$74:$L$78,1,0),0),0)</f>
        <v>#N/A</v>
      </c>
      <c r="AB159" s="249" t="e">
        <f>VLOOKUP(T159,'Planning and Target Times'!$A$97:$L$101,MATCH(E159&amp;"-"&amp;Q159&amp;"-"&amp;Y159&amp;"-"&amp;R159,INDEX('Planning and Target Times'!$A$97:$L$101,1,0),0),0)</f>
        <v>#N/A</v>
      </c>
      <c r="AC159" s="250">
        <f t="shared" si="40"/>
        <v>0</v>
      </c>
      <c r="AD159" s="250">
        <f t="shared" si="41"/>
        <v>0</v>
      </c>
      <c r="AE159" s="248">
        <f t="shared" si="42"/>
        <v>8680.8213923094681</v>
      </c>
      <c r="AF159" s="248">
        <f t="shared" si="35"/>
        <v>2269.1786076905319</v>
      </c>
      <c r="AG159" s="248">
        <f t="shared" ca="1" si="36"/>
        <v>-4810.8213923094681</v>
      </c>
      <c r="AH159" s="248">
        <f t="shared" ca="1" si="37"/>
        <v>-6616.8213923094681</v>
      </c>
      <c r="AI159" s="248">
        <f t="shared" si="43"/>
        <v>7005.3406649331828</v>
      </c>
      <c r="AJ159" s="248">
        <f t="shared" ca="1" si="38"/>
        <v>-3135.3406649331828</v>
      </c>
      <c r="AK159" s="248">
        <f t="shared" ca="1" si="39"/>
        <v>-4941.3406649331828</v>
      </c>
    </row>
    <row r="160" spans="2:37" ht="15.95" customHeight="1" x14ac:dyDescent="0.25">
      <c r="B160" s="136">
        <v>83</v>
      </c>
      <c r="C160" s="144" t="s">
        <v>1169</v>
      </c>
      <c r="D160" s="184" t="s">
        <v>511</v>
      </c>
      <c r="E160" s="150" t="s">
        <v>42</v>
      </c>
      <c r="F160" s="140" t="s">
        <v>17</v>
      </c>
      <c r="G160" s="140" t="s">
        <v>1076</v>
      </c>
      <c r="H160" s="140" t="s">
        <v>1082</v>
      </c>
      <c r="I160" s="140" t="s">
        <v>459</v>
      </c>
      <c r="J160" s="141" t="s">
        <v>1079</v>
      </c>
      <c r="K160" s="142">
        <v>42425</v>
      </c>
      <c r="L160" s="142">
        <v>42495</v>
      </c>
      <c r="M160" s="134">
        <v>42509</v>
      </c>
      <c r="N160" s="140">
        <v>70</v>
      </c>
      <c r="O160" s="143">
        <v>1500</v>
      </c>
      <c r="P160" s="135" t="s">
        <v>1096</v>
      </c>
      <c r="Q160" s="223" t="s">
        <v>14</v>
      </c>
      <c r="R160" s="223" t="s">
        <v>298</v>
      </c>
      <c r="S160" s="223" t="s">
        <v>17</v>
      </c>
      <c r="T160" s="224" t="str">
        <f t="shared" si="32"/>
        <v>MA</v>
      </c>
      <c r="U160" s="223" t="str">
        <f t="shared" si="33"/>
        <v>MA-NW-Prod</v>
      </c>
      <c r="V160" s="223" t="str">
        <f t="array" ref="V160">CONCATENATE(Q160,"-",R160)</f>
        <v>NW-Prod</v>
      </c>
      <c r="W160" s="239">
        <f>IF(ISERROR(VLOOKUP(T160,'15-16_DP_Tables'!$M$2:$V$8,MATCH(V160,INDEX('15-16_DP_Tables'!$M$2:$V$8,1,0),0),0)),0,VLOOKUP(T160,'15-16_DP_Tables'!$M$2:$V$8,MATCH(V160,INDEX('15-16_DP_Tables'!$M$2:$V$8,1,0),0),0))</f>
        <v>57.083333333332121</v>
      </c>
      <c r="X160" s="239">
        <f t="array" ref="X160">IF(ISERROR(VLOOKUP(T160,'15-16_DP_Tables'!$M$12:$V$18,MATCH(V160,INDEX('15-16_DP_Tables'!$M$12:$V$18,1,0),0),0)),0,VLOOKUP(T160,'15-16_DP_Tables'!$M$12:$V$18,MATCH(V160,INDEX('15-16_DP_Tables'!$M$12:$V$18,1,0),0),0))</f>
        <v>47.791666666664241</v>
      </c>
      <c r="Y160" s="223" t="str">
        <f t="shared" si="34"/>
        <v>Unknown</v>
      </c>
      <c r="Z160" s="223">
        <v>5</v>
      </c>
      <c r="AA160" s="249" t="e">
        <f>VLOOKUP(T160,'Planning and Target Times'!$A$74:$L$78,MATCH(E160&amp;"-"&amp;Q160&amp;"-"&amp;Y160&amp;"-"&amp;R160,INDEX('Planning and Target Times'!$A$74:$L$78,1,0),0),0)</f>
        <v>#N/A</v>
      </c>
      <c r="AB160" s="249" t="e">
        <f>VLOOKUP(T160,'Planning and Target Times'!$A$97:$L$101,MATCH(E160&amp;"-"&amp;Q160&amp;"-"&amp;Y160&amp;"-"&amp;R160,INDEX('Planning and Target Times'!$A$97:$L$101,1,0),0),0)</f>
        <v>#N/A</v>
      </c>
      <c r="AC160" s="250">
        <f t="shared" si="40"/>
        <v>26.277372262774282</v>
      </c>
      <c r="AD160" s="250">
        <f t="shared" si="41"/>
        <v>31.386224934613622</v>
      </c>
      <c r="AE160" s="248">
        <f t="shared" si="42"/>
        <v>8742.9047256428003</v>
      </c>
      <c r="AF160" s="248">
        <f t="shared" si="35"/>
        <v>2207.0952743571997</v>
      </c>
      <c r="AG160" s="248">
        <f t="shared" ca="1" si="36"/>
        <v>-4872.9047256428003</v>
      </c>
      <c r="AH160" s="248">
        <f t="shared" ca="1" si="37"/>
        <v>-6678.9047256428003</v>
      </c>
      <c r="AI160" s="248">
        <f t="shared" si="43"/>
        <v>7058.132331599847</v>
      </c>
      <c r="AJ160" s="248">
        <f t="shared" ca="1" si="38"/>
        <v>-3188.132331599847</v>
      </c>
      <c r="AK160" s="248">
        <f t="shared" ca="1" si="39"/>
        <v>-4994.132331599847</v>
      </c>
    </row>
    <row r="161" spans="2:37" ht="15.95" customHeight="1" x14ac:dyDescent="0.25">
      <c r="B161" s="136">
        <v>150</v>
      </c>
      <c r="C161" s="144" t="s">
        <v>1242</v>
      </c>
      <c r="D161" s="194" t="s">
        <v>1239</v>
      </c>
      <c r="E161" s="150" t="s">
        <v>11</v>
      </c>
      <c r="F161" s="140" t="s">
        <v>17</v>
      </c>
      <c r="G161" s="140" t="s">
        <v>1086</v>
      </c>
      <c r="H161" s="140" t="s">
        <v>1082</v>
      </c>
      <c r="I161" s="140" t="s">
        <v>459</v>
      </c>
      <c r="J161" s="141" t="s">
        <v>1079</v>
      </c>
      <c r="K161" s="142">
        <v>42427</v>
      </c>
      <c r="L161" s="142">
        <v>42490</v>
      </c>
      <c r="M161" s="134">
        <v>42504</v>
      </c>
      <c r="N161" s="140">
        <v>63</v>
      </c>
      <c r="O161" s="143"/>
      <c r="P161" s="143" t="s">
        <v>1096</v>
      </c>
      <c r="Q161" s="223" t="s">
        <v>14</v>
      </c>
      <c r="R161" s="223" t="s">
        <v>34</v>
      </c>
      <c r="S161" s="223" t="s">
        <v>17</v>
      </c>
      <c r="T161" s="224" t="str">
        <f t="shared" si="32"/>
        <v>MA</v>
      </c>
      <c r="U161" s="223" t="str">
        <f t="shared" si="33"/>
        <v>MA-NW-Inj</v>
      </c>
      <c r="V161" s="223" t="str">
        <f t="array" ref="V161">CONCATENATE(Q161,"-",R161)</f>
        <v>NW-Inj</v>
      </c>
      <c r="W161" s="239">
        <f>IF(ISERROR(VLOOKUP(T161,'15-16_DP_Tables'!$M$2:$V$8,MATCH(V161,INDEX('15-16_DP_Tables'!$M$2:$V$8,1,0),0),0)),0,VLOOKUP(T161,'15-16_DP_Tables'!$M$2:$V$8,MATCH(V161,INDEX('15-16_DP_Tables'!$M$2:$V$8,1,0),0),0))</f>
        <v>0</v>
      </c>
      <c r="X161" s="239">
        <f t="array" ref="X161">IF(ISERROR(VLOOKUP(T161,'15-16_DP_Tables'!$M$12:$V$18,MATCH(V161,INDEX('15-16_DP_Tables'!$M$12:$V$18,1,0),0),0)),0,VLOOKUP(T161,'15-16_DP_Tables'!$M$12:$V$18,MATCH(V161,INDEX('15-16_DP_Tables'!$M$12:$V$18,1,0),0),0))</f>
        <v>0</v>
      </c>
      <c r="Y161" s="223" t="str">
        <f t="shared" si="34"/>
        <v>Horizontal</v>
      </c>
      <c r="Z161" s="223">
        <v>5</v>
      </c>
      <c r="AA161" s="249" t="e">
        <f>VLOOKUP(T161,'Planning and Target Times'!$A$74:$L$78,MATCH(E161&amp;"-"&amp;Q161&amp;"-"&amp;Y161&amp;"-"&amp;R161,INDEX('Planning and Target Times'!$A$74:$L$78,1,0),0),0)</f>
        <v>#N/A</v>
      </c>
      <c r="AB161" s="249" t="e">
        <f>VLOOKUP(T161,'Planning and Target Times'!$A$97:$L$101,MATCH(E161&amp;"-"&amp;Q161&amp;"-"&amp;Y161&amp;"-"&amp;R161,INDEX('Planning and Target Times'!$A$97:$L$101,1,0),0),0)</f>
        <v>#N/A</v>
      </c>
      <c r="AC161" s="250">
        <f t="shared" si="40"/>
        <v>0</v>
      </c>
      <c r="AD161" s="250">
        <f t="shared" si="41"/>
        <v>0</v>
      </c>
      <c r="AE161" s="248">
        <f t="shared" si="42"/>
        <v>8747.9047256428003</v>
      </c>
      <c r="AF161" s="248">
        <f t="shared" si="35"/>
        <v>2202.0952743571997</v>
      </c>
      <c r="AG161" s="248">
        <f t="shared" ca="1" si="36"/>
        <v>-4877.9047256428003</v>
      </c>
      <c r="AH161" s="248">
        <f t="shared" ca="1" si="37"/>
        <v>-6683.9047256428003</v>
      </c>
      <c r="AI161" s="248">
        <f t="shared" si="43"/>
        <v>7063.132331599847</v>
      </c>
      <c r="AJ161" s="248">
        <f t="shared" ca="1" si="38"/>
        <v>-3193.132331599847</v>
      </c>
      <c r="AK161" s="248">
        <f t="shared" ca="1" si="39"/>
        <v>-4999.132331599847</v>
      </c>
    </row>
    <row r="162" spans="2:37" ht="15.95" customHeight="1" x14ac:dyDescent="0.25">
      <c r="B162" s="136">
        <v>115</v>
      </c>
      <c r="C162" s="151" t="s">
        <v>1201</v>
      </c>
      <c r="D162" s="184" t="s">
        <v>839</v>
      </c>
      <c r="E162" s="150" t="s">
        <v>11</v>
      </c>
      <c r="F162" s="140" t="s">
        <v>17</v>
      </c>
      <c r="G162" s="140" t="s">
        <v>599</v>
      </c>
      <c r="H162" s="140" t="s">
        <v>1082</v>
      </c>
      <c r="I162" s="140" t="s">
        <v>459</v>
      </c>
      <c r="J162" s="141" t="s">
        <v>1079</v>
      </c>
      <c r="K162" s="142">
        <v>42429</v>
      </c>
      <c r="L162" s="142">
        <v>42485</v>
      </c>
      <c r="M162" s="134">
        <v>42499</v>
      </c>
      <c r="N162" s="140">
        <v>56</v>
      </c>
      <c r="O162" s="143"/>
      <c r="P162" s="143" t="s">
        <v>1096</v>
      </c>
      <c r="Q162" s="223" t="s">
        <v>14</v>
      </c>
      <c r="R162" s="223" t="s">
        <v>599</v>
      </c>
      <c r="S162" s="223" t="s">
        <v>17</v>
      </c>
      <c r="T162" s="224" t="str">
        <f t="shared" si="32"/>
        <v>MA</v>
      </c>
      <c r="U162" s="223" t="str">
        <f t="shared" si="33"/>
        <v>MA-NW-EOR</v>
      </c>
      <c r="V162" s="223" t="str">
        <f t="array" ref="V162">CONCATENATE(Q162,"-",R162)</f>
        <v>NW-EOR</v>
      </c>
      <c r="W162" s="239">
        <f>IF(ISERROR(VLOOKUP(T162,'15-16_DP_Tables'!$M$2:$V$8,MATCH(V162,INDEX('15-16_DP_Tables'!$M$2:$V$8,1,0),0),0)),0,VLOOKUP(T162,'15-16_DP_Tables'!$M$2:$V$8,MATCH(V162,INDEX('15-16_DP_Tables'!$M$2:$V$8,1,0),0),0))</f>
        <v>0</v>
      </c>
      <c r="X162" s="239">
        <f t="array" ref="X162">IF(ISERROR(VLOOKUP(T162,'15-16_DP_Tables'!$M$12:$V$18,MATCH(V162,INDEX('15-16_DP_Tables'!$M$12:$V$18,1,0),0),0)),0,VLOOKUP(T162,'15-16_DP_Tables'!$M$12:$V$18,MATCH(V162,INDEX('15-16_DP_Tables'!$M$12:$V$18,1,0),0),0))</f>
        <v>0</v>
      </c>
      <c r="Y162" s="223" t="str">
        <f t="shared" si="34"/>
        <v>Unknown</v>
      </c>
      <c r="Z162" s="223">
        <v>5</v>
      </c>
      <c r="AA162" s="249" t="e">
        <f>VLOOKUP(T162,'Planning and Target Times'!$A$74:$L$78,MATCH(E162&amp;"-"&amp;Q162&amp;"-"&amp;Y162&amp;"-"&amp;R162,INDEX('Planning and Target Times'!$A$74:$L$78,1,0),0),0)</f>
        <v>#N/A</v>
      </c>
      <c r="AB162" s="249" t="e">
        <f>VLOOKUP(T162,'Planning and Target Times'!$A$97:$L$101,MATCH(E162&amp;"-"&amp;Q162&amp;"-"&amp;Y162&amp;"-"&amp;R162,INDEX('Planning and Target Times'!$A$97:$L$101,1,0),0),0)</f>
        <v>#N/A</v>
      </c>
      <c r="AC162" s="250">
        <f t="shared" si="40"/>
        <v>0</v>
      </c>
      <c r="AD162" s="250">
        <f t="shared" si="41"/>
        <v>0</v>
      </c>
      <c r="AE162" s="248">
        <f t="shared" si="42"/>
        <v>8752.9047256428003</v>
      </c>
      <c r="AF162" s="248">
        <f t="shared" si="35"/>
        <v>2197.0952743571997</v>
      </c>
      <c r="AG162" s="248">
        <f t="shared" ca="1" si="36"/>
        <v>-4882.9047256428003</v>
      </c>
      <c r="AH162" s="248">
        <f t="shared" ca="1" si="37"/>
        <v>-6688.9047256428003</v>
      </c>
      <c r="AI162" s="248">
        <f t="shared" si="43"/>
        <v>7068.132331599847</v>
      </c>
      <c r="AJ162" s="248">
        <f t="shared" ca="1" si="38"/>
        <v>-3198.132331599847</v>
      </c>
      <c r="AK162" s="248">
        <f t="shared" ca="1" si="39"/>
        <v>-5004.132331599847</v>
      </c>
    </row>
    <row r="163" spans="2:37" ht="15.95" customHeight="1" x14ac:dyDescent="0.25">
      <c r="B163" s="136">
        <v>165</v>
      </c>
      <c r="C163" s="144" t="s">
        <v>1262</v>
      </c>
      <c r="D163" s="197" t="s">
        <v>1259</v>
      </c>
      <c r="E163" s="150" t="s">
        <v>11</v>
      </c>
      <c r="F163" s="140" t="s">
        <v>17</v>
      </c>
      <c r="G163" s="140" t="s">
        <v>1086</v>
      </c>
      <c r="H163" s="140" t="s">
        <v>1082</v>
      </c>
      <c r="I163" s="140" t="s">
        <v>459</v>
      </c>
      <c r="J163" s="141" t="s">
        <v>1079</v>
      </c>
      <c r="K163" s="142">
        <v>42437</v>
      </c>
      <c r="L163" s="142">
        <v>42500</v>
      </c>
      <c r="M163" s="134">
        <v>42514</v>
      </c>
      <c r="N163" s="140">
        <v>63</v>
      </c>
      <c r="O163" s="143"/>
      <c r="P163" s="135" t="s">
        <v>1096</v>
      </c>
      <c r="Q163" s="223" t="s">
        <v>14</v>
      </c>
      <c r="R163" s="223" t="s">
        <v>34</v>
      </c>
      <c r="S163" s="223" t="s">
        <v>17</v>
      </c>
      <c r="T163" s="224" t="str">
        <f t="shared" si="32"/>
        <v>MA</v>
      </c>
      <c r="U163" s="223" t="str">
        <f t="shared" si="33"/>
        <v>MA-NW-Inj</v>
      </c>
      <c r="V163" s="223" t="str">
        <f t="array" ref="V163">CONCATENATE(Q163,"-",R163)</f>
        <v>NW-Inj</v>
      </c>
      <c r="W163" s="239">
        <f>IF(ISERROR(VLOOKUP(T163,'15-16_DP_Tables'!$M$2:$V$8,MATCH(V163,INDEX('15-16_DP_Tables'!$M$2:$V$8,1,0),0),0)),0,VLOOKUP(T163,'15-16_DP_Tables'!$M$2:$V$8,MATCH(V163,INDEX('15-16_DP_Tables'!$M$2:$V$8,1,0),0),0))</f>
        <v>0</v>
      </c>
      <c r="X163" s="239">
        <f t="array" ref="X163">IF(ISERROR(VLOOKUP(T163,'15-16_DP_Tables'!$M$12:$V$18,MATCH(V163,INDEX('15-16_DP_Tables'!$M$12:$V$18,1,0),0),0)),0,VLOOKUP(T163,'15-16_DP_Tables'!$M$12:$V$18,MATCH(V163,INDEX('15-16_DP_Tables'!$M$12:$V$18,1,0),0),0))</f>
        <v>0</v>
      </c>
      <c r="Y163" s="223" t="str">
        <f t="shared" si="34"/>
        <v>Horizontal</v>
      </c>
      <c r="Z163" s="223">
        <v>5</v>
      </c>
      <c r="AA163" s="249" t="e">
        <f>VLOOKUP(T163,'Planning and Target Times'!$A$74:$L$78,MATCH(E163&amp;"-"&amp;Q163&amp;"-"&amp;Y163&amp;"-"&amp;R163,INDEX('Planning and Target Times'!$A$74:$L$78,1,0),0),0)</f>
        <v>#N/A</v>
      </c>
      <c r="AB163" s="249" t="e">
        <f>VLOOKUP(T163,'Planning and Target Times'!$A$97:$L$101,MATCH(E163&amp;"-"&amp;Q163&amp;"-"&amp;Y163&amp;"-"&amp;R163,INDEX('Planning and Target Times'!$A$97:$L$101,1,0),0),0)</f>
        <v>#N/A</v>
      </c>
      <c r="AC163" s="250">
        <f t="shared" si="40"/>
        <v>0</v>
      </c>
      <c r="AD163" s="250">
        <f t="shared" si="41"/>
        <v>0</v>
      </c>
      <c r="AE163" s="248">
        <f t="shared" si="42"/>
        <v>8757.9047256428003</v>
      </c>
      <c r="AF163" s="248">
        <f t="shared" si="35"/>
        <v>2192.0952743571997</v>
      </c>
      <c r="AG163" s="248">
        <f t="shared" ca="1" si="36"/>
        <v>-4887.9047256428003</v>
      </c>
      <c r="AH163" s="248">
        <f t="shared" ca="1" si="37"/>
        <v>-6693.9047256428003</v>
      </c>
      <c r="AI163" s="248">
        <f t="shared" si="43"/>
        <v>7073.132331599847</v>
      </c>
      <c r="AJ163" s="248">
        <f t="shared" ca="1" si="38"/>
        <v>-3203.132331599847</v>
      </c>
      <c r="AK163" s="248">
        <f t="shared" ca="1" si="39"/>
        <v>-5009.132331599847</v>
      </c>
    </row>
    <row r="164" spans="2:37" ht="15.95" customHeight="1" x14ac:dyDescent="0.25">
      <c r="B164" s="136">
        <v>142</v>
      </c>
      <c r="C164" s="144" t="s">
        <v>1232</v>
      </c>
      <c r="D164" s="165" t="s">
        <v>19</v>
      </c>
      <c r="E164" s="150" t="s">
        <v>11</v>
      </c>
      <c r="F164" s="140" t="s">
        <v>17</v>
      </c>
      <c r="G164" s="140" t="s">
        <v>1086</v>
      </c>
      <c r="H164" s="140" t="s">
        <v>1082</v>
      </c>
      <c r="I164" s="140" t="s">
        <v>459</v>
      </c>
      <c r="J164" s="141" t="s">
        <v>1079</v>
      </c>
      <c r="K164" s="142">
        <v>42439</v>
      </c>
      <c r="L164" s="142">
        <v>42502</v>
      </c>
      <c r="M164" s="134">
        <v>42516</v>
      </c>
      <c r="N164" s="140">
        <v>63</v>
      </c>
      <c r="O164" s="143"/>
      <c r="P164" s="143" t="s">
        <v>1096</v>
      </c>
      <c r="Q164" s="223" t="s">
        <v>14</v>
      </c>
      <c r="R164" s="223" t="s">
        <v>34</v>
      </c>
      <c r="S164" s="223" t="s">
        <v>17</v>
      </c>
      <c r="T164" s="224" t="str">
        <f t="shared" si="32"/>
        <v>MA</v>
      </c>
      <c r="U164" s="223" t="str">
        <f t="shared" si="33"/>
        <v>MA-NW-Inj</v>
      </c>
      <c r="V164" s="223" t="str">
        <f t="array" ref="V164">CONCATENATE(Q164,"-",R164)</f>
        <v>NW-Inj</v>
      </c>
      <c r="W164" s="239">
        <f>IF(ISERROR(VLOOKUP(T164,'15-16_DP_Tables'!$M$2:$V$8,MATCH(V164,INDEX('15-16_DP_Tables'!$M$2:$V$8,1,0),0),0)),0,VLOOKUP(T164,'15-16_DP_Tables'!$M$2:$V$8,MATCH(V164,INDEX('15-16_DP_Tables'!$M$2:$V$8,1,0),0),0))</f>
        <v>0</v>
      </c>
      <c r="X164" s="239">
        <f t="array" ref="X164">IF(ISERROR(VLOOKUP(T164,'15-16_DP_Tables'!$M$12:$V$18,MATCH(V164,INDEX('15-16_DP_Tables'!$M$12:$V$18,1,0),0),0)),0,VLOOKUP(T164,'15-16_DP_Tables'!$M$12:$V$18,MATCH(V164,INDEX('15-16_DP_Tables'!$M$12:$V$18,1,0),0),0))</f>
        <v>0</v>
      </c>
      <c r="Y164" s="223" t="str">
        <f t="shared" si="34"/>
        <v>Horizontal</v>
      </c>
      <c r="Z164" s="223">
        <v>5</v>
      </c>
      <c r="AA164" s="249" t="e">
        <f>VLOOKUP(T164,'Planning and Target Times'!$A$74:$L$78,MATCH(E164&amp;"-"&amp;Q164&amp;"-"&amp;Y164&amp;"-"&amp;R164,INDEX('Planning and Target Times'!$A$74:$L$78,1,0),0),0)</f>
        <v>#N/A</v>
      </c>
      <c r="AB164" s="249" t="e">
        <f>VLOOKUP(T164,'Planning and Target Times'!$A$97:$L$101,MATCH(E164&amp;"-"&amp;Q164&amp;"-"&amp;Y164&amp;"-"&amp;R164,INDEX('Planning and Target Times'!$A$97:$L$101,1,0),0),0)</f>
        <v>#N/A</v>
      </c>
      <c r="AC164" s="250">
        <f t="shared" si="40"/>
        <v>0</v>
      </c>
      <c r="AD164" s="250">
        <f t="shared" si="41"/>
        <v>0</v>
      </c>
      <c r="AE164" s="248">
        <f t="shared" si="42"/>
        <v>8762.9047256428003</v>
      </c>
      <c r="AF164" s="248">
        <f t="shared" si="35"/>
        <v>2187.0952743571997</v>
      </c>
      <c r="AG164" s="248">
        <f t="shared" ca="1" si="36"/>
        <v>-4892.9047256428003</v>
      </c>
      <c r="AH164" s="248">
        <f t="shared" ca="1" si="37"/>
        <v>-6698.9047256428003</v>
      </c>
      <c r="AI164" s="248">
        <f t="shared" si="43"/>
        <v>7078.132331599847</v>
      </c>
      <c r="AJ164" s="248">
        <f t="shared" ca="1" si="38"/>
        <v>-3208.132331599847</v>
      </c>
      <c r="AK164" s="248">
        <f t="shared" ca="1" si="39"/>
        <v>-5014.132331599847</v>
      </c>
    </row>
    <row r="165" spans="2:37" ht="15.95" customHeight="1" x14ac:dyDescent="0.25">
      <c r="B165" s="136">
        <v>116</v>
      </c>
      <c r="C165" s="151" t="s">
        <v>1202</v>
      </c>
      <c r="D165" s="184" t="s">
        <v>839</v>
      </c>
      <c r="E165" s="150" t="s">
        <v>11</v>
      </c>
      <c r="F165" s="140" t="s">
        <v>17</v>
      </c>
      <c r="G165" s="140" t="s">
        <v>599</v>
      </c>
      <c r="H165" s="140" t="s">
        <v>1082</v>
      </c>
      <c r="I165" s="140" t="s">
        <v>459</v>
      </c>
      <c r="J165" s="141" t="s">
        <v>1079</v>
      </c>
      <c r="K165" s="142">
        <v>42485</v>
      </c>
      <c r="L165" s="142">
        <v>42541</v>
      </c>
      <c r="M165" s="134">
        <v>42555</v>
      </c>
      <c r="N165" s="140">
        <v>56</v>
      </c>
      <c r="O165" s="143"/>
      <c r="P165" s="143" t="s">
        <v>1096</v>
      </c>
      <c r="Q165" s="223" t="s">
        <v>14</v>
      </c>
      <c r="R165" s="223" t="s">
        <v>599</v>
      </c>
      <c r="S165" s="223" t="s">
        <v>17</v>
      </c>
      <c r="T165" s="224" t="str">
        <f t="shared" ref="T165:T184" si="44">IF(OR(F165="ZU",F165="RT"),"ZU/RT",F165)</f>
        <v>MA</v>
      </c>
      <c r="U165" s="223" t="str">
        <f t="shared" ref="U165:U184" si="45">CONCATENATE(F165,"-",Q165,"-",R165)</f>
        <v>MA-NW-EOR</v>
      </c>
      <c r="V165" s="223" t="str">
        <f t="array" ref="V165">CONCATENATE(Q165,"-",R165)</f>
        <v>NW-EOR</v>
      </c>
      <c r="W165" s="239">
        <f>IF(ISERROR(VLOOKUP(T165,'15-16_DP_Tables'!$M$2:$V$8,MATCH(V165,INDEX('15-16_DP_Tables'!$M$2:$V$8,1,0),0),0)),0,VLOOKUP(T165,'15-16_DP_Tables'!$M$2:$V$8,MATCH(V165,INDEX('15-16_DP_Tables'!$M$2:$V$8,1,0),0),0))</f>
        <v>0</v>
      </c>
      <c r="X165" s="239">
        <f t="array" ref="X165">IF(ISERROR(VLOOKUP(T165,'15-16_DP_Tables'!$M$12:$V$18,MATCH(V165,INDEX('15-16_DP_Tables'!$M$12:$V$18,1,0),0),0)),0,VLOOKUP(T165,'15-16_DP_Tables'!$M$12:$V$18,MATCH(V165,INDEX('15-16_DP_Tables'!$M$12:$V$18,1,0),0),0))</f>
        <v>0</v>
      </c>
      <c r="Y165" s="223" t="str">
        <f t="shared" ref="Y165:Y184" si="46">IF(OR(ISNUMBER(SEARCH("HST",C165)),ISNUMBER(SEARCH("Horizontal",C165)),ISNUMBER(SEARCH("H",C165))),"Horizontal",IF(OR(ISNUMBER(SEARCH("SLANT",C165))),"Slant","Unknown"))</f>
        <v>Unknown</v>
      </c>
      <c r="Z165" s="223">
        <v>5</v>
      </c>
      <c r="AA165" s="249" t="e">
        <f>VLOOKUP(T165,'Planning and Target Times'!$A$74:$L$78,MATCH(E165&amp;"-"&amp;Q165&amp;"-"&amp;Y165&amp;"-"&amp;R165,INDEX('Planning and Target Times'!$A$74:$L$78,1,0),0),0)</f>
        <v>#N/A</v>
      </c>
      <c r="AB165" s="249" t="e">
        <f>VLOOKUP(T165,'Planning and Target Times'!$A$97:$L$101,MATCH(E165&amp;"-"&amp;Q165&amp;"-"&amp;Y165&amp;"-"&amp;R165,INDEX('Planning and Target Times'!$A$97:$L$101,1,0),0),0)</f>
        <v>#N/A</v>
      </c>
      <c r="AC165" s="250">
        <f t="shared" si="40"/>
        <v>0</v>
      </c>
      <c r="AD165" s="250">
        <f t="shared" si="41"/>
        <v>0</v>
      </c>
      <c r="AE165" s="248">
        <f t="shared" si="42"/>
        <v>8767.9047256428003</v>
      </c>
      <c r="AF165" s="248">
        <f t="shared" ref="AF165:AF184" si="47">(30*365)-AE165</f>
        <v>2182.0952743571997</v>
      </c>
      <c r="AG165" s="248">
        <f t="shared" ca="1" si="36"/>
        <v>-4897.9047256428003</v>
      </c>
      <c r="AH165" s="248">
        <f t="shared" ca="1" si="37"/>
        <v>-6703.9047256428003</v>
      </c>
      <c r="AI165" s="248">
        <f t="shared" si="43"/>
        <v>7083.132331599847</v>
      </c>
      <c r="AJ165" s="248">
        <f t="shared" ca="1" si="38"/>
        <v>-3213.132331599847</v>
      </c>
      <c r="AK165" s="248">
        <f t="shared" ca="1" si="39"/>
        <v>-5019.132331599847</v>
      </c>
    </row>
    <row r="166" spans="2:37" ht="15.95" customHeight="1" x14ac:dyDescent="0.25">
      <c r="B166" s="136">
        <v>1</v>
      </c>
      <c r="C166" s="145" t="s">
        <v>1074</v>
      </c>
      <c r="D166" s="138" t="s">
        <v>1075</v>
      </c>
      <c r="E166" s="139" t="s">
        <v>11</v>
      </c>
      <c r="F166" s="140" t="s">
        <v>29</v>
      </c>
      <c r="G166" s="140" t="s">
        <v>1076</v>
      </c>
      <c r="H166" s="140" t="s">
        <v>1077</v>
      </c>
      <c r="I166" s="140" t="s">
        <v>1078</v>
      </c>
      <c r="J166" s="141" t="s">
        <v>1079</v>
      </c>
      <c r="K166" s="142"/>
      <c r="L166" s="142"/>
      <c r="M166" s="134"/>
      <c r="N166" s="140"/>
      <c r="O166" s="143"/>
      <c r="P166" s="135" t="s">
        <v>1080</v>
      </c>
      <c r="Q166" s="223" t="s">
        <v>18</v>
      </c>
      <c r="R166" s="223" t="s">
        <v>298</v>
      </c>
      <c r="S166" s="223"/>
      <c r="T166" s="224" t="str">
        <f t="shared" si="44"/>
        <v>UB</v>
      </c>
      <c r="U166" s="223" t="str">
        <f t="shared" si="45"/>
        <v>UB-ST-Prod</v>
      </c>
      <c r="V166" s="223" t="str">
        <f t="array" ref="V166">CONCATENATE(Q166,"-",R166)</f>
        <v>ST-Prod</v>
      </c>
      <c r="W166" s="239">
        <f>IF(ISERROR(VLOOKUP(T166,'15-16_DP_Tables'!$M$2:$V$8,MATCH(V166,INDEX('15-16_DP_Tables'!$M$2:$V$8,1,0),0),0)),0,VLOOKUP(T166,'15-16_DP_Tables'!$M$2:$V$8,MATCH(V166,INDEX('15-16_DP_Tables'!$M$2:$V$8,1,0),0),0))</f>
        <v>52.635414999999995</v>
      </c>
      <c r="X166" s="239">
        <f t="array" ref="X166">IF(ISERROR(VLOOKUP(T166,'15-16_DP_Tables'!$M$12:$V$18,MATCH(V166,INDEX('15-16_DP_Tables'!$M$12:$V$18,1,0),0),0)),0,VLOOKUP(T166,'15-16_DP_Tables'!$M$12:$V$18,MATCH(V166,INDEX('15-16_DP_Tables'!$M$12:$V$18,1,0),0),0))</f>
        <v>40.770829999999997</v>
      </c>
      <c r="Y166" s="223" t="str">
        <f t="shared" si="46"/>
        <v>Unknown</v>
      </c>
      <c r="Z166" s="223">
        <v>5</v>
      </c>
      <c r="AA166" s="249" t="e">
        <f>VLOOKUP(T166,'Planning and Target Times'!$A$74:$L$78,MATCH(E166&amp;"-"&amp;Q166&amp;"-"&amp;Y166&amp;"-"&amp;R166,INDEX('Planning and Target Times'!$A$74:$L$78,1,0),0),0)</f>
        <v>#N/A</v>
      </c>
      <c r="AB166" s="249" t="e">
        <f>VLOOKUP(T166,'Planning and Target Times'!$A$97:$L$101,MATCH(E166&amp;"-"&amp;Q166&amp;"-"&amp;Y166&amp;"-"&amp;R166,INDEX('Planning and Target Times'!$A$97:$L$101,1,0),0),0)</f>
        <v>#N/A</v>
      </c>
      <c r="AC166" s="250">
        <f t="shared" si="40"/>
        <v>0</v>
      </c>
      <c r="AD166" s="250">
        <f t="shared" si="41"/>
        <v>0</v>
      </c>
      <c r="AE166" s="248">
        <f t="shared" si="42"/>
        <v>8825.5401406428009</v>
      </c>
      <c r="AF166" s="248">
        <f t="shared" si="47"/>
        <v>2124.4598593571991</v>
      </c>
      <c r="AG166" s="248">
        <f t="shared" ca="1" si="36"/>
        <v>-4955.5401406428009</v>
      </c>
      <c r="AH166" s="248">
        <f t="shared" ca="1" si="37"/>
        <v>-6761.5401406428009</v>
      </c>
      <c r="AI166" s="248">
        <f t="shared" si="43"/>
        <v>7128.9031615998474</v>
      </c>
      <c r="AJ166" s="248">
        <f t="shared" ca="1" si="38"/>
        <v>-3258.9031615998474</v>
      </c>
      <c r="AK166" s="248">
        <f t="shared" ca="1" si="39"/>
        <v>-5064.9031615998474</v>
      </c>
    </row>
    <row r="167" spans="2:37" ht="15.95" customHeight="1" x14ac:dyDescent="0.25">
      <c r="B167" s="136">
        <v>4</v>
      </c>
      <c r="C167" s="145" t="s">
        <v>1084</v>
      </c>
      <c r="D167" s="146" t="s">
        <v>25</v>
      </c>
      <c r="E167" s="139" t="s">
        <v>11</v>
      </c>
      <c r="F167" s="140" t="s">
        <v>17</v>
      </c>
      <c r="G167" s="140" t="s">
        <v>1076</v>
      </c>
      <c r="H167" s="140" t="s">
        <v>1077</v>
      </c>
      <c r="I167" s="140" t="s">
        <v>1078</v>
      </c>
      <c r="J167" s="141" t="s">
        <v>1079</v>
      </c>
      <c r="K167" s="142"/>
      <c r="L167" s="142"/>
      <c r="M167" s="134"/>
      <c r="N167" s="140"/>
      <c r="O167" s="143"/>
      <c r="P167" s="143" t="s">
        <v>1080</v>
      </c>
      <c r="Q167" s="223" t="s">
        <v>18</v>
      </c>
      <c r="R167" s="223" t="s">
        <v>298</v>
      </c>
      <c r="S167" s="223" t="s">
        <v>17</v>
      </c>
      <c r="T167" s="224" t="str">
        <f t="shared" si="44"/>
        <v>MA</v>
      </c>
      <c r="U167" s="223" t="str">
        <f t="shared" si="45"/>
        <v>MA-ST-Prod</v>
      </c>
      <c r="V167" s="223" t="str">
        <f t="array" ref="V167">CONCATENATE(Q167,"-",R167)</f>
        <v>ST-Prod</v>
      </c>
      <c r="W167" s="239">
        <f>IF(ISERROR(VLOOKUP(T167,'15-16_DP_Tables'!$M$2:$V$8,MATCH(V167,INDEX('15-16_DP_Tables'!$M$2:$V$8,1,0),0),0)),0,VLOOKUP(T167,'15-16_DP_Tables'!$M$2:$V$8,MATCH(V167,INDEX('15-16_DP_Tables'!$M$2:$V$8,1,0),0),0))</f>
        <v>47.881547142856107</v>
      </c>
      <c r="X167" s="239">
        <f t="array" ref="X167">IF(ISERROR(VLOOKUP(T167,'15-16_DP_Tables'!$M$12:$V$18,MATCH(V167,INDEX('15-16_DP_Tables'!$M$12:$V$18,1,0),0),0)),0,VLOOKUP(T167,'15-16_DP_Tables'!$M$12:$V$18,MATCH(V167,INDEX('15-16_DP_Tables'!$M$12:$V$18,1,0),0),0))</f>
        <v>41.770833333332121</v>
      </c>
      <c r="Y167" s="223" t="str">
        <f t="shared" si="46"/>
        <v>Unknown</v>
      </c>
      <c r="Z167" s="223">
        <v>5</v>
      </c>
      <c r="AA167" s="249" t="e">
        <f>VLOOKUP(T167,'Planning and Target Times'!$A$74:$L$78,MATCH(E167&amp;"-"&amp;Q167&amp;"-"&amp;Y167&amp;"-"&amp;R167,INDEX('Planning and Target Times'!$A$74:$L$78,1,0),0),0)</f>
        <v>#N/A</v>
      </c>
      <c r="AB167" s="249" t="e">
        <f>VLOOKUP(T167,'Planning and Target Times'!$A$97:$L$101,MATCH(E167&amp;"-"&amp;Q167&amp;"-"&amp;Y167&amp;"-"&amp;R167,INDEX('Planning and Target Times'!$A$97:$L$101,1,0),0),0)</f>
        <v>#N/A</v>
      </c>
      <c r="AC167" s="250">
        <f t="shared" si="40"/>
        <v>0</v>
      </c>
      <c r="AD167" s="250">
        <f t="shared" si="41"/>
        <v>0</v>
      </c>
      <c r="AE167" s="248">
        <f t="shared" si="42"/>
        <v>8878.4216877856561</v>
      </c>
      <c r="AF167" s="248">
        <f t="shared" si="47"/>
        <v>2071.5783122143439</v>
      </c>
      <c r="AG167" s="248">
        <f t="shared" ca="1" si="36"/>
        <v>-5008.4216877856561</v>
      </c>
      <c r="AH167" s="248">
        <f t="shared" ca="1" si="37"/>
        <v>-6814.4216877856561</v>
      </c>
      <c r="AI167" s="248">
        <f t="shared" si="43"/>
        <v>7175.6739949331795</v>
      </c>
      <c r="AJ167" s="248">
        <f t="shared" ca="1" si="38"/>
        <v>-3305.6739949331795</v>
      </c>
      <c r="AK167" s="248">
        <f t="shared" ca="1" si="39"/>
        <v>-5111.6739949331795</v>
      </c>
    </row>
    <row r="168" spans="2:37" ht="15.95" customHeight="1" x14ac:dyDescent="0.25">
      <c r="B168" s="136">
        <v>5</v>
      </c>
      <c r="C168" s="145" t="s">
        <v>1085</v>
      </c>
      <c r="D168" s="146" t="s">
        <v>25</v>
      </c>
      <c r="E168" s="139" t="s">
        <v>11</v>
      </c>
      <c r="F168" s="140" t="s">
        <v>17</v>
      </c>
      <c r="G168" s="140" t="s">
        <v>1086</v>
      </c>
      <c r="H168" s="140" t="s">
        <v>1077</v>
      </c>
      <c r="I168" s="140" t="s">
        <v>1078</v>
      </c>
      <c r="J168" s="141" t="s">
        <v>1079</v>
      </c>
      <c r="K168" s="142"/>
      <c r="L168" s="142"/>
      <c r="M168" s="134"/>
      <c r="N168" s="140"/>
      <c r="O168" s="143"/>
      <c r="P168" s="143" t="s">
        <v>1080</v>
      </c>
      <c r="Q168" s="223" t="s">
        <v>18</v>
      </c>
      <c r="R168" s="223" t="s">
        <v>34</v>
      </c>
      <c r="S168" s="223" t="s">
        <v>17</v>
      </c>
      <c r="T168" s="224" t="str">
        <f t="shared" si="44"/>
        <v>MA</v>
      </c>
      <c r="U168" s="223" t="str">
        <f t="shared" si="45"/>
        <v>MA-ST-Inj</v>
      </c>
      <c r="V168" s="223" t="str">
        <f t="array" ref="V168">CONCATENATE(Q168,"-",R168)</f>
        <v>ST-Inj</v>
      </c>
      <c r="W168" s="239">
        <f>IF(ISERROR(VLOOKUP(T168,'15-16_DP_Tables'!$M$2:$V$8,MATCH(V168,INDEX('15-16_DP_Tables'!$M$2:$V$8,1,0),0),0)),0,VLOOKUP(T168,'15-16_DP_Tables'!$M$2:$V$8,MATCH(V168,INDEX('15-16_DP_Tables'!$M$2:$V$8,1,0),0),0))</f>
        <v>35.545833099999626</v>
      </c>
      <c r="X168" s="239">
        <f t="array" ref="X168">IF(ISERROR(VLOOKUP(T168,'15-16_DP_Tables'!$M$12:$V$18,MATCH(V168,INDEX('15-16_DP_Tables'!$M$12:$V$18,1,0),0),0)),0,VLOOKUP(T168,'15-16_DP_Tables'!$M$12:$V$18,MATCH(V168,INDEX('15-16_DP_Tables'!$M$12:$V$18,1,0),0),0))</f>
        <v>26.054166533332847</v>
      </c>
      <c r="Y168" s="223" t="str">
        <f t="shared" si="46"/>
        <v>Unknown</v>
      </c>
      <c r="Z168" s="223">
        <v>5</v>
      </c>
      <c r="AA168" s="249" t="e">
        <f>VLOOKUP(T168,'Planning and Target Times'!$A$74:$L$78,MATCH(E168&amp;"-"&amp;Q168&amp;"-"&amp;Y168&amp;"-"&amp;R168,INDEX('Planning and Target Times'!$A$74:$L$78,1,0),0),0)</f>
        <v>#N/A</v>
      </c>
      <c r="AB168" s="249" t="e">
        <f>VLOOKUP(T168,'Planning and Target Times'!$A$97:$L$101,MATCH(E168&amp;"-"&amp;Q168&amp;"-"&amp;Y168&amp;"-"&amp;R168,INDEX('Planning and Target Times'!$A$97:$L$101,1,0),0),0)</f>
        <v>#N/A</v>
      </c>
      <c r="AC168" s="250">
        <f t="shared" si="40"/>
        <v>0</v>
      </c>
      <c r="AD168" s="250">
        <f t="shared" si="41"/>
        <v>0</v>
      </c>
      <c r="AE168" s="248">
        <f t="shared" si="42"/>
        <v>8918.9675208856552</v>
      </c>
      <c r="AF168" s="248">
        <f t="shared" si="47"/>
        <v>2031.0324791143448</v>
      </c>
      <c r="AG168" s="248">
        <f t="shared" ca="1" si="36"/>
        <v>-5048.9675208856552</v>
      </c>
      <c r="AH168" s="248">
        <f t="shared" ca="1" si="37"/>
        <v>-6854.9675208856552</v>
      </c>
      <c r="AI168" s="248">
        <f t="shared" si="43"/>
        <v>7206.7281614665126</v>
      </c>
      <c r="AJ168" s="248">
        <f t="shared" ca="1" si="38"/>
        <v>-3336.7281614665126</v>
      </c>
      <c r="AK168" s="248">
        <f t="shared" ca="1" si="39"/>
        <v>-5142.7281614665126</v>
      </c>
    </row>
    <row r="169" spans="2:37" ht="15.95" customHeight="1" x14ac:dyDescent="0.25">
      <c r="B169" s="136">
        <v>7</v>
      </c>
      <c r="C169" s="145" t="s">
        <v>1088</v>
      </c>
      <c r="D169" s="147" t="s">
        <v>430</v>
      </c>
      <c r="E169" s="139" t="s">
        <v>42</v>
      </c>
      <c r="F169" s="140" t="s">
        <v>17</v>
      </c>
      <c r="G169" s="140" t="s">
        <v>1086</v>
      </c>
      <c r="H169" s="140" t="s">
        <v>1077</v>
      </c>
      <c r="I169" s="140" t="s">
        <v>1078</v>
      </c>
      <c r="J169" s="141" t="s">
        <v>1079</v>
      </c>
      <c r="K169" s="142"/>
      <c r="L169" s="142"/>
      <c r="M169" s="134"/>
      <c r="N169" s="140"/>
      <c r="O169" s="143"/>
      <c r="P169" s="143" t="s">
        <v>1080</v>
      </c>
      <c r="Q169" s="223" t="s">
        <v>18</v>
      </c>
      <c r="R169" s="223" t="s">
        <v>34</v>
      </c>
      <c r="S169" s="223" t="s">
        <v>17</v>
      </c>
      <c r="T169" s="224" t="str">
        <f t="shared" si="44"/>
        <v>MA</v>
      </c>
      <c r="U169" s="223" t="str">
        <f t="shared" si="45"/>
        <v>MA-ST-Inj</v>
      </c>
      <c r="V169" s="223" t="str">
        <f t="array" ref="V169">CONCATENATE(Q169,"-",R169)</f>
        <v>ST-Inj</v>
      </c>
      <c r="W169" s="239">
        <f>IF(ISERROR(VLOOKUP(T169,'15-16_DP_Tables'!$M$2:$V$8,MATCH(V169,INDEX('15-16_DP_Tables'!$M$2:$V$8,1,0),0),0)),0,VLOOKUP(T169,'15-16_DP_Tables'!$M$2:$V$8,MATCH(V169,INDEX('15-16_DP_Tables'!$M$2:$V$8,1,0),0),0))</f>
        <v>35.545833099999626</v>
      </c>
      <c r="X169" s="239">
        <f t="array" ref="X169">IF(ISERROR(VLOOKUP(T169,'15-16_DP_Tables'!$M$12:$V$18,MATCH(V169,INDEX('15-16_DP_Tables'!$M$12:$V$18,1,0),0),0)),0,VLOOKUP(T169,'15-16_DP_Tables'!$M$12:$V$18,MATCH(V169,INDEX('15-16_DP_Tables'!$M$12:$V$18,1,0),0),0))</f>
        <v>26.054166533332847</v>
      </c>
      <c r="Y169" s="223" t="str">
        <f t="shared" si="46"/>
        <v>Unknown</v>
      </c>
      <c r="Z169" s="223">
        <v>5</v>
      </c>
      <c r="AA169" s="249" t="e">
        <f>VLOOKUP(T169,'Planning and Target Times'!$A$74:$L$78,MATCH(E169&amp;"-"&amp;Q169&amp;"-"&amp;Y169&amp;"-"&amp;R169,INDEX('Planning and Target Times'!$A$74:$L$78,1,0),0),0)</f>
        <v>#N/A</v>
      </c>
      <c r="AB169" s="249" t="e">
        <f>VLOOKUP(T169,'Planning and Target Times'!$A$97:$L$101,MATCH(E169&amp;"-"&amp;Q169&amp;"-"&amp;Y169&amp;"-"&amp;R169,INDEX('Planning and Target Times'!$A$97:$L$101,1,0),0),0)</f>
        <v>#N/A</v>
      </c>
      <c r="AC169" s="250">
        <f t="shared" si="40"/>
        <v>0</v>
      </c>
      <c r="AD169" s="250">
        <f t="shared" si="41"/>
        <v>0</v>
      </c>
      <c r="AE169" s="248">
        <f t="shared" si="42"/>
        <v>8959.5133539856542</v>
      </c>
      <c r="AF169" s="248">
        <f t="shared" si="47"/>
        <v>1990.4866460143458</v>
      </c>
      <c r="AG169" s="248">
        <f t="shared" ca="1" si="36"/>
        <v>-5089.5133539856542</v>
      </c>
      <c r="AH169" s="248">
        <f t="shared" ca="1" si="37"/>
        <v>-6895.5133539856542</v>
      </c>
      <c r="AI169" s="248">
        <f t="shared" si="43"/>
        <v>7237.7823279998456</v>
      </c>
      <c r="AJ169" s="248">
        <f t="shared" ca="1" si="38"/>
        <v>-3367.7823279998456</v>
      </c>
      <c r="AK169" s="248">
        <f t="shared" ca="1" si="39"/>
        <v>-5173.7823279998456</v>
      </c>
    </row>
    <row r="170" spans="2:37" ht="15.95" customHeight="1" x14ac:dyDescent="0.25">
      <c r="B170" s="136">
        <v>8</v>
      </c>
      <c r="C170" s="145" t="s">
        <v>1089</v>
      </c>
      <c r="D170" s="147" t="s">
        <v>430</v>
      </c>
      <c r="E170" s="139" t="s">
        <v>42</v>
      </c>
      <c r="F170" s="140" t="s">
        <v>17</v>
      </c>
      <c r="G170" s="140" t="s">
        <v>1076</v>
      </c>
      <c r="H170" s="140" t="s">
        <v>1082</v>
      </c>
      <c r="I170" s="140" t="s">
        <v>1078</v>
      </c>
      <c r="J170" s="141" t="s">
        <v>1079</v>
      </c>
      <c r="K170" s="142"/>
      <c r="L170" s="142"/>
      <c r="M170" s="134"/>
      <c r="N170" s="140"/>
      <c r="O170" s="143"/>
      <c r="P170" s="135" t="s">
        <v>1080</v>
      </c>
      <c r="Q170" s="223" t="s">
        <v>14</v>
      </c>
      <c r="R170" s="223" t="s">
        <v>298</v>
      </c>
      <c r="S170" s="223" t="s">
        <v>17</v>
      </c>
      <c r="T170" s="224" t="str">
        <f t="shared" si="44"/>
        <v>MA</v>
      </c>
      <c r="U170" s="223" t="str">
        <f t="shared" si="45"/>
        <v>MA-NW-Prod</v>
      </c>
      <c r="V170" s="223" t="str">
        <f t="array" ref="V170">CONCATENATE(Q170,"-",R170)</f>
        <v>NW-Prod</v>
      </c>
      <c r="W170" s="239">
        <f>IF(ISERROR(VLOOKUP(T170,'15-16_DP_Tables'!$M$2:$V$8,MATCH(V170,INDEX('15-16_DP_Tables'!$M$2:$V$8,1,0),0),0)),0,VLOOKUP(T170,'15-16_DP_Tables'!$M$2:$V$8,MATCH(V170,INDEX('15-16_DP_Tables'!$M$2:$V$8,1,0),0),0))</f>
        <v>57.083333333332121</v>
      </c>
      <c r="X170" s="239">
        <f t="array" ref="X170">IF(ISERROR(VLOOKUP(T170,'15-16_DP_Tables'!$M$12:$V$18,MATCH(V170,INDEX('15-16_DP_Tables'!$M$12:$V$18,1,0),0),0)),0,VLOOKUP(T170,'15-16_DP_Tables'!$M$12:$V$18,MATCH(V170,INDEX('15-16_DP_Tables'!$M$12:$V$18,1,0),0),0))</f>
        <v>47.791666666664241</v>
      </c>
      <c r="Y170" s="223" t="str">
        <f t="shared" si="46"/>
        <v>Unknown</v>
      </c>
      <c r="Z170" s="223">
        <v>5</v>
      </c>
      <c r="AA170" s="249" t="e">
        <f>VLOOKUP(T170,'Planning and Target Times'!$A$74:$L$78,MATCH(E170&amp;"-"&amp;Q170&amp;"-"&amp;Y170&amp;"-"&amp;R170,INDEX('Planning and Target Times'!$A$74:$L$78,1,0),0),0)</f>
        <v>#N/A</v>
      </c>
      <c r="AB170" s="249" t="e">
        <f>VLOOKUP(T170,'Planning and Target Times'!$A$97:$L$101,MATCH(E170&amp;"-"&amp;Q170&amp;"-"&amp;Y170&amp;"-"&amp;R170,INDEX('Planning and Target Times'!$A$97:$L$101,1,0),0),0)</f>
        <v>#N/A</v>
      </c>
      <c r="AC170" s="250">
        <f t="shared" si="40"/>
        <v>0</v>
      </c>
      <c r="AD170" s="250">
        <f t="shared" si="41"/>
        <v>0</v>
      </c>
      <c r="AE170" s="248">
        <f t="shared" si="42"/>
        <v>9021.5966873189864</v>
      </c>
      <c r="AF170" s="248">
        <f t="shared" si="47"/>
        <v>1928.4033126810136</v>
      </c>
      <c r="AG170" s="248">
        <f t="shared" ca="1" si="36"/>
        <v>-5151.5966873189864</v>
      </c>
      <c r="AH170" s="248">
        <f t="shared" ca="1" si="37"/>
        <v>-6957.5966873189864</v>
      </c>
      <c r="AI170" s="248">
        <f t="shared" si="43"/>
        <v>7290.5739946665099</v>
      </c>
      <c r="AJ170" s="248">
        <f t="shared" ca="1" si="38"/>
        <v>-3420.5739946665099</v>
      </c>
      <c r="AK170" s="248">
        <f t="shared" ca="1" si="39"/>
        <v>-5226.5739946665099</v>
      </c>
    </row>
    <row r="171" spans="2:37" ht="15.95" customHeight="1" x14ac:dyDescent="0.25">
      <c r="B171" s="136">
        <v>16</v>
      </c>
      <c r="C171" s="145" t="s">
        <v>1098</v>
      </c>
      <c r="D171" s="153" t="s">
        <v>38</v>
      </c>
      <c r="E171" s="139" t="s">
        <v>11</v>
      </c>
      <c r="F171" s="140" t="s">
        <v>22</v>
      </c>
      <c r="G171" s="140" t="s">
        <v>1076</v>
      </c>
      <c r="H171" s="140" t="s">
        <v>1082</v>
      </c>
      <c r="I171" s="140" t="s">
        <v>1078</v>
      </c>
      <c r="J171" s="141" t="s">
        <v>1079</v>
      </c>
      <c r="K171" s="142"/>
      <c r="L171" s="142"/>
      <c r="M171" s="134"/>
      <c r="N171" s="140"/>
      <c r="O171" s="143"/>
      <c r="P171" s="143" t="s">
        <v>1080</v>
      </c>
      <c r="Q171" s="223" t="s">
        <v>14</v>
      </c>
      <c r="R171" s="223" t="s">
        <v>298</v>
      </c>
      <c r="S171" s="223" t="s">
        <v>22</v>
      </c>
      <c r="T171" s="224" t="str">
        <f t="shared" si="44"/>
        <v>LB</v>
      </c>
      <c r="U171" s="223" t="str">
        <f t="shared" si="45"/>
        <v>LB-NW-Prod</v>
      </c>
      <c r="V171" s="223" t="str">
        <f t="array" ref="V171">CONCATENATE(Q171,"-",R171)</f>
        <v>NW-Prod</v>
      </c>
      <c r="W171" s="239">
        <f>IF(ISERROR(VLOOKUP(T171,'15-16_DP_Tables'!$M$2:$V$8,MATCH(V171,INDEX('15-16_DP_Tables'!$M$2:$V$8,1,0),0),0)),0,VLOOKUP(T171,'15-16_DP_Tables'!$M$2:$V$8,MATCH(V171,INDEX('15-16_DP_Tables'!$M$2:$V$8,1,0),0),0))</f>
        <v>55.81537142381022</v>
      </c>
      <c r="X171" s="239">
        <f t="array" ref="X171">IF(ISERROR(VLOOKUP(T171,'15-16_DP_Tables'!$M$12:$V$18,MATCH(V171,INDEX('15-16_DP_Tables'!$M$12:$V$18,1,0),0),0)),0,VLOOKUP(T171,'15-16_DP_Tables'!$M$12:$V$18,MATCH(V171,INDEX('15-16_DP_Tables'!$M$12:$V$18,1,0),0),0))</f>
        <v>45.207999999999998</v>
      </c>
      <c r="Y171" s="223" t="str">
        <f t="shared" si="46"/>
        <v>Unknown</v>
      </c>
      <c r="Z171" s="223">
        <v>5</v>
      </c>
      <c r="AA171" s="249" t="e">
        <f>VLOOKUP(T171,'Planning and Target Times'!$A$74:$L$78,MATCH(E171&amp;"-"&amp;Q171&amp;"-"&amp;Y171&amp;"-"&amp;R171,INDEX('Planning and Target Times'!$A$74:$L$78,1,0),0),0)</f>
        <v>#N/A</v>
      </c>
      <c r="AB171" s="249" t="e">
        <f>VLOOKUP(T171,'Planning and Target Times'!$A$97:$L$101,MATCH(E171&amp;"-"&amp;Q171&amp;"-"&amp;Y171&amp;"-"&amp;R171,INDEX('Planning and Target Times'!$A$97:$L$101,1,0),0),0)</f>
        <v>#N/A</v>
      </c>
      <c r="AC171" s="250">
        <f t="shared" si="40"/>
        <v>0</v>
      </c>
      <c r="AD171" s="250">
        <f t="shared" si="41"/>
        <v>0</v>
      </c>
      <c r="AE171" s="248">
        <f t="shared" si="42"/>
        <v>9082.4120587427969</v>
      </c>
      <c r="AF171" s="248">
        <f t="shared" si="47"/>
        <v>1867.5879412572031</v>
      </c>
      <c r="AG171" s="248">
        <f t="shared" ca="1" si="36"/>
        <v>-5212.4120587427969</v>
      </c>
      <c r="AH171" s="248">
        <f t="shared" ca="1" si="37"/>
        <v>-7018.4120587427969</v>
      </c>
      <c r="AI171" s="248">
        <f t="shared" si="43"/>
        <v>7340.7819946665095</v>
      </c>
      <c r="AJ171" s="248">
        <f t="shared" ca="1" si="38"/>
        <v>-3470.7819946665095</v>
      </c>
      <c r="AK171" s="248">
        <f t="shared" ca="1" si="39"/>
        <v>-5276.7819946665095</v>
      </c>
    </row>
    <row r="172" spans="2:37" ht="15.95" customHeight="1" x14ac:dyDescent="0.25">
      <c r="B172" s="136">
        <v>19</v>
      </c>
      <c r="C172" s="145" t="s">
        <v>1101</v>
      </c>
      <c r="D172" s="156" t="s">
        <v>12</v>
      </c>
      <c r="E172" s="139" t="s">
        <v>42</v>
      </c>
      <c r="F172" s="140" t="s">
        <v>17</v>
      </c>
      <c r="G172" s="140" t="s">
        <v>1086</v>
      </c>
      <c r="H172" s="140" t="s">
        <v>1077</v>
      </c>
      <c r="I172" s="140" t="s">
        <v>1078</v>
      </c>
      <c r="J172" s="141" t="s">
        <v>1079</v>
      </c>
      <c r="K172" s="142"/>
      <c r="L172" s="142"/>
      <c r="M172" s="134"/>
      <c r="N172" s="140"/>
      <c r="O172" s="143"/>
      <c r="P172" s="143" t="s">
        <v>1080</v>
      </c>
      <c r="Q172" s="223" t="s">
        <v>18</v>
      </c>
      <c r="R172" s="223" t="s">
        <v>34</v>
      </c>
      <c r="S172" s="223" t="s">
        <v>17</v>
      </c>
      <c r="T172" s="224" t="str">
        <f t="shared" si="44"/>
        <v>MA</v>
      </c>
      <c r="U172" s="223" t="str">
        <f t="shared" si="45"/>
        <v>MA-ST-Inj</v>
      </c>
      <c r="V172" s="223" t="str">
        <f t="array" ref="V172">CONCATENATE(Q172,"-",R172)</f>
        <v>ST-Inj</v>
      </c>
      <c r="W172" s="239">
        <f>IF(ISERROR(VLOOKUP(T172,'15-16_DP_Tables'!$M$2:$V$8,MATCH(V172,INDEX('15-16_DP_Tables'!$M$2:$V$8,1,0),0),0)),0,VLOOKUP(T172,'15-16_DP_Tables'!$M$2:$V$8,MATCH(V172,INDEX('15-16_DP_Tables'!$M$2:$V$8,1,0),0),0))</f>
        <v>35.545833099999626</v>
      </c>
      <c r="X172" s="239">
        <f t="array" ref="X172">IF(ISERROR(VLOOKUP(T172,'15-16_DP_Tables'!$M$12:$V$18,MATCH(V172,INDEX('15-16_DP_Tables'!$M$12:$V$18,1,0),0),0)),0,VLOOKUP(T172,'15-16_DP_Tables'!$M$12:$V$18,MATCH(V172,INDEX('15-16_DP_Tables'!$M$12:$V$18,1,0),0),0))</f>
        <v>26.054166533332847</v>
      </c>
      <c r="Y172" s="223" t="str">
        <f t="shared" si="46"/>
        <v>Unknown</v>
      </c>
      <c r="Z172" s="223">
        <v>5</v>
      </c>
      <c r="AA172" s="249" t="e">
        <f>VLOOKUP(T172,'Planning and Target Times'!$A$74:$L$78,MATCH(E172&amp;"-"&amp;Q172&amp;"-"&amp;Y172&amp;"-"&amp;R172,INDEX('Planning and Target Times'!$A$74:$L$78,1,0),0),0)</f>
        <v>#N/A</v>
      </c>
      <c r="AB172" s="249" t="e">
        <f>VLOOKUP(T172,'Planning and Target Times'!$A$97:$L$101,MATCH(E172&amp;"-"&amp;Q172&amp;"-"&amp;Y172&amp;"-"&amp;R172,INDEX('Planning and Target Times'!$A$97:$L$101,1,0),0),0)</f>
        <v>#N/A</v>
      </c>
      <c r="AC172" s="250">
        <f t="shared" si="40"/>
        <v>0</v>
      </c>
      <c r="AD172" s="250">
        <f t="shared" si="41"/>
        <v>0</v>
      </c>
      <c r="AE172" s="248">
        <f t="shared" si="42"/>
        <v>9122.957891842796</v>
      </c>
      <c r="AF172" s="248">
        <f t="shared" si="47"/>
        <v>1827.042108157204</v>
      </c>
      <c r="AG172" s="248">
        <f t="shared" ca="1" si="36"/>
        <v>-5252.957891842796</v>
      </c>
      <c r="AH172" s="248">
        <f t="shared" ca="1" si="37"/>
        <v>-7058.957891842796</v>
      </c>
      <c r="AI172" s="248">
        <f t="shared" si="43"/>
        <v>7371.8361611998425</v>
      </c>
      <c r="AJ172" s="248">
        <f t="shared" ca="1" si="38"/>
        <v>-3501.8361611998425</v>
      </c>
      <c r="AK172" s="248">
        <f t="shared" ca="1" si="39"/>
        <v>-5307.8361611998425</v>
      </c>
    </row>
    <row r="173" spans="2:37" ht="15.95" customHeight="1" x14ac:dyDescent="0.25">
      <c r="B173" s="136">
        <v>24</v>
      </c>
      <c r="C173" s="145" t="s">
        <v>1106</v>
      </c>
      <c r="D173" s="157" t="s">
        <v>1107</v>
      </c>
      <c r="E173" s="139" t="s">
        <v>42</v>
      </c>
      <c r="F173" s="140" t="s">
        <v>17</v>
      </c>
      <c r="G173" s="140" t="s">
        <v>1086</v>
      </c>
      <c r="H173" s="140" t="s">
        <v>1077</v>
      </c>
      <c r="I173" s="140" t="s">
        <v>1078</v>
      </c>
      <c r="J173" s="141" t="s">
        <v>1079</v>
      </c>
      <c r="K173" s="142"/>
      <c r="L173" s="142"/>
      <c r="M173" s="134"/>
      <c r="N173" s="140"/>
      <c r="O173" s="143"/>
      <c r="P173" s="135" t="s">
        <v>1080</v>
      </c>
      <c r="Q173" s="223" t="s">
        <v>18</v>
      </c>
      <c r="R173" s="223" t="s">
        <v>34</v>
      </c>
      <c r="S173" s="223" t="s">
        <v>17</v>
      </c>
      <c r="T173" s="224" t="str">
        <f t="shared" si="44"/>
        <v>MA</v>
      </c>
      <c r="U173" s="223" t="str">
        <f t="shared" si="45"/>
        <v>MA-ST-Inj</v>
      </c>
      <c r="V173" s="223" t="str">
        <f t="array" ref="V173">CONCATENATE(Q173,"-",R173)</f>
        <v>ST-Inj</v>
      </c>
      <c r="W173" s="239">
        <f>IF(ISERROR(VLOOKUP(T173,'15-16_DP_Tables'!$M$2:$V$8,MATCH(V173,INDEX('15-16_DP_Tables'!$M$2:$V$8,1,0),0),0)),0,VLOOKUP(T173,'15-16_DP_Tables'!$M$2:$V$8,MATCH(V173,INDEX('15-16_DP_Tables'!$M$2:$V$8,1,0),0),0))</f>
        <v>35.545833099999626</v>
      </c>
      <c r="X173" s="239">
        <f t="array" ref="X173">IF(ISERROR(VLOOKUP(T173,'15-16_DP_Tables'!$M$12:$V$18,MATCH(V173,INDEX('15-16_DP_Tables'!$M$12:$V$18,1,0),0),0)),0,VLOOKUP(T173,'15-16_DP_Tables'!$M$12:$V$18,MATCH(V173,INDEX('15-16_DP_Tables'!$M$12:$V$18,1,0),0),0))</f>
        <v>26.054166533332847</v>
      </c>
      <c r="Y173" s="223" t="str">
        <f t="shared" si="46"/>
        <v>Horizontal</v>
      </c>
      <c r="Z173" s="223">
        <v>5</v>
      </c>
      <c r="AA173" s="249" t="e">
        <f>VLOOKUP(T173,'Planning and Target Times'!$A$74:$L$78,MATCH(E173&amp;"-"&amp;Q173&amp;"-"&amp;Y173&amp;"-"&amp;R173,INDEX('Planning and Target Times'!$A$74:$L$78,1,0),0),0)</f>
        <v>#N/A</v>
      </c>
      <c r="AB173" s="249" t="e">
        <f>VLOOKUP(T173,'Planning and Target Times'!$A$97:$L$101,MATCH(E173&amp;"-"&amp;Q173&amp;"-"&amp;Y173&amp;"-"&amp;R173,INDEX('Planning and Target Times'!$A$97:$L$101,1,0),0),0)</f>
        <v>#N/A</v>
      </c>
      <c r="AC173" s="250">
        <f t="shared" si="40"/>
        <v>0</v>
      </c>
      <c r="AD173" s="250">
        <f t="shared" si="41"/>
        <v>0</v>
      </c>
      <c r="AE173" s="248">
        <f t="shared" si="42"/>
        <v>9163.5037249427951</v>
      </c>
      <c r="AF173" s="248">
        <f t="shared" si="47"/>
        <v>1786.4962750572049</v>
      </c>
      <c r="AG173" s="248">
        <f t="shared" ca="1" si="36"/>
        <v>-5293.5037249427951</v>
      </c>
      <c r="AH173" s="248">
        <f t="shared" ca="1" si="37"/>
        <v>-7099.5037249427951</v>
      </c>
      <c r="AI173" s="248">
        <f t="shared" si="43"/>
        <v>7402.8903277331756</v>
      </c>
      <c r="AJ173" s="248">
        <f t="shared" ca="1" si="38"/>
        <v>-3532.8903277331756</v>
      </c>
      <c r="AK173" s="248">
        <f t="shared" ca="1" si="39"/>
        <v>-5338.8903277331756</v>
      </c>
    </row>
    <row r="174" spans="2:37" ht="15.95" customHeight="1" x14ac:dyDescent="0.25">
      <c r="B174" s="136">
        <v>25</v>
      </c>
      <c r="C174" s="158" t="s">
        <v>1108</v>
      </c>
      <c r="D174" s="157" t="s">
        <v>1107</v>
      </c>
      <c r="E174" s="159" t="s">
        <v>11</v>
      </c>
      <c r="F174" s="140" t="s">
        <v>17</v>
      </c>
      <c r="G174" s="140" t="s">
        <v>1076</v>
      </c>
      <c r="H174" s="140" t="s">
        <v>1077</v>
      </c>
      <c r="I174" s="140" t="s">
        <v>1078</v>
      </c>
      <c r="J174" s="141" t="s">
        <v>1079</v>
      </c>
      <c r="K174" s="142"/>
      <c r="L174" s="142"/>
      <c r="M174" s="134"/>
      <c r="N174" s="140"/>
      <c r="O174" s="143"/>
      <c r="P174" s="143" t="s">
        <v>1080</v>
      </c>
      <c r="Q174" s="223" t="s">
        <v>18</v>
      </c>
      <c r="R174" s="223" t="s">
        <v>298</v>
      </c>
      <c r="S174" s="223" t="s">
        <v>17</v>
      </c>
      <c r="T174" s="224" t="str">
        <f t="shared" si="44"/>
        <v>MA</v>
      </c>
      <c r="U174" s="223" t="str">
        <f t="shared" si="45"/>
        <v>MA-ST-Prod</v>
      </c>
      <c r="V174" s="223" t="str">
        <f t="array" ref="V174">CONCATENATE(Q174,"-",R174)</f>
        <v>ST-Prod</v>
      </c>
      <c r="W174" s="239">
        <f>IF(ISERROR(VLOOKUP(T174,'15-16_DP_Tables'!$M$2:$V$8,MATCH(V174,INDEX('15-16_DP_Tables'!$M$2:$V$8,1,0),0),0)),0,VLOOKUP(T174,'15-16_DP_Tables'!$M$2:$V$8,MATCH(V174,INDEX('15-16_DP_Tables'!$M$2:$V$8,1,0),0),0))</f>
        <v>47.881547142856107</v>
      </c>
      <c r="X174" s="239">
        <f t="array" ref="X174">IF(ISERROR(VLOOKUP(T174,'15-16_DP_Tables'!$M$12:$V$18,MATCH(V174,INDEX('15-16_DP_Tables'!$M$12:$V$18,1,0),0),0)),0,VLOOKUP(T174,'15-16_DP_Tables'!$M$12:$V$18,MATCH(V174,INDEX('15-16_DP_Tables'!$M$12:$V$18,1,0),0),0))</f>
        <v>41.770833333332121</v>
      </c>
      <c r="Y174" s="223" t="str">
        <f t="shared" si="46"/>
        <v>Unknown</v>
      </c>
      <c r="Z174" s="223">
        <v>5</v>
      </c>
      <c r="AA174" s="249" t="e">
        <f>VLOOKUP(T174,'Planning and Target Times'!$A$74:$L$78,MATCH(E174&amp;"-"&amp;Q174&amp;"-"&amp;Y174&amp;"-"&amp;R174,INDEX('Planning and Target Times'!$A$74:$L$78,1,0),0),0)</f>
        <v>#N/A</v>
      </c>
      <c r="AB174" s="249" t="e">
        <f>VLOOKUP(T174,'Planning and Target Times'!$A$97:$L$101,MATCH(E174&amp;"-"&amp;Q174&amp;"-"&amp;Y174&amp;"-"&amp;R174,INDEX('Planning and Target Times'!$A$97:$L$101,1,0),0),0)</f>
        <v>#N/A</v>
      </c>
      <c r="AC174" s="250">
        <f t="shared" si="40"/>
        <v>0</v>
      </c>
      <c r="AD174" s="250">
        <f t="shared" si="41"/>
        <v>0</v>
      </c>
      <c r="AE174" s="248">
        <f t="shared" si="42"/>
        <v>9216.3852720856521</v>
      </c>
      <c r="AF174" s="248">
        <f t="shared" si="47"/>
        <v>1733.6147279143479</v>
      </c>
      <c r="AG174" s="248">
        <f t="shared" ca="1" si="36"/>
        <v>-5346.3852720856521</v>
      </c>
      <c r="AH174" s="248">
        <f t="shared" ca="1" si="37"/>
        <v>-7152.3852720856521</v>
      </c>
      <c r="AI174" s="248">
        <f t="shared" si="43"/>
        <v>7449.6611610665077</v>
      </c>
      <c r="AJ174" s="248">
        <f t="shared" ca="1" si="38"/>
        <v>-3579.6611610665077</v>
      </c>
      <c r="AK174" s="248">
        <f t="shared" ca="1" si="39"/>
        <v>-5385.6611610665077</v>
      </c>
    </row>
    <row r="175" spans="2:37" ht="15.95" customHeight="1" x14ac:dyDescent="0.25">
      <c r="B175" s="136">
        <v>32</v>
      </c>
      <c r="C175" s="145" t="s">
        <v>1115</v>
      </c>
      <c r="D175" s="165" t="s">
        <v>1116</v>
      </c>
      <c r="E175" s="139" t="s">
        <v>11</v>
      </c>
      <c r="F175" s="140" t="s">
        <v>17</v>
      </c>
      <c r="G175" s="140" t="s">
        <v>599</v>
      </c>
      <c r="H175" s="140" t="s">
        <v>1082</v>
      </c>
      <c r="I175" s="140" t="s">
        <v>1078</v>
      </c>
      <c r="J175" s="141" t="s">
        <v>1079</v>
      </c>
      <c r="K175" s="142"/>
      <c r="L175" s="142"/>
      <c r="M175" s="134"/>
      <c r="N175" s="140"/>
      <c r="O175" s="143"/>
      <c r="P175" s="143" t="s">
        <v>1080</v>
      </c>
      <c r="Q175" s="223" t="s">
        <v>14</v>
      </c>
      <c r="R175" s="223" t="s">
        <v>599</v>
      </c>
      <c r="S175" s="223" t="s">
        <v>17</v>
      </c>
      <c r="T175" s="224" t="str">
        <f t="shared" si="44"/>
        <v>MA</v>
      </c>
      <c r="U175" s="223" t="str">
        <f t="shared" si="45"/>
        <v>MA-NW-EOR</v>
      </c>
      <c r="V175" s="223" t="str">
        <f t="array" ref="V175">CONCATENATE(Q175,"-",R175)</f>
        <v>NW-EOR</v>
      </c>
      <c r="W175" s="239">
        <f>IF(ISERROR(VLOOKUP(T175,'15-16_DP_Tables'!$M$2:$V$8,MATCH(V175,INDEX('15-16_DP_Tables'!$M$2:$V$8,1,0),0),0)),0,VLOOKUP(T175,'15-16_DP_Tables'!$M$2:$V$8,MATCH(V175,INDEX('15-16_DP_Tables'!$M$2:$V$8,1,0),0),0))</f>
        <v>0</v>
      </c>
      <c r="X175" s="239">
        <f t="array" ref="X175">IF(ISERROR(VLOOKUP(T175,'15-16_DP_Tables'!$M$12:$V$18,MATCH(V175,INDEX('15-16_DP_Tables'!$M$12:$V$18,1,0),0),0)),0,VLOOKUP(T175,'15-16_DP_Tables'!$M$12:$V$18,MATCH(V175,INDEX('15-16_DP_Tables'!$M$12:$V$18,1,0),0),0))</f>
        <v>0</v>
      </c>
      <c r="Y175" s="223" t="str">
        <f t="shared" si="46"/>
        <v>Unknown</v>
      </c>
      <c r="Z175" s="223">
        <v>5</v>
      </c>
      <c r="AA175" s="249" t="e">
        <f>VLOOKUP(T175,'Planning and Target Times'!$A$74:$L$78,MATCH(E175&amp;"-"&amp;Q175&amp;"-"&amp;Y175&amp;"-"&amp;R175,INDEX('Planning and Target Times'!$A$74:$L$78,1,0),0),0)</f>
        <v>#N/A</v>
      </c>
      <c r="AB175" s="249" t="e">
        <f>VLOOKUP(T175,'Planning and Target Times'!$A$97:$L$101,MATCH(E175&amp;"-"&amp;Q175&amp;"-"&amp;Y175&amp;"-"&amp;R175,INDEX('Planning and Target Times'!$A$97:$L$101,1,0),0),0)</f>
        <v>#N/A</v>
      </c>
      <c r="AC175" s="250">
        <f t="shared" si="40"/>
        <v>0</v>
      </c>
      <c r="AD175" s="250">
        <f t="shared" si="41"/>
        <v>0</v>
      </c>
      <c r="AE175" s="248">
        <f t="shared" si="42"/>
        <v>9221.3852720856521</v>
      </c>
      <c r="AF175" s="248">
        <f t="shared" si="47"/>
        <v>1728.6147279143479</v>
      </c>
      <c r="AG175" s="248">
        <f t="shared" ca="1" si="36"/>
        <v>-5351.3852720856521</v>
      </c>
      <c r="AH175" s="248">
        <f t="shared" ca="1" si="37"/>
        <v>-7157.3852720856521</v>
      </c>
      <c r="AI175" s="248">
        <f t="shared" si="43"/>
        <v>7454.6611610665077</v>
      </c>
      <c r="AJ175" s="248">
        <f t="shared" ca="1" si="38"/>
        <v>-3584.6611610665077</v>
      </c>
      <c r="AK175" s="248">
        <f t="shared" ca="1" si="39"/>
        <v>-5390.6611610665077</v>
      </c>
    </row>
    <row r="176" spans="2:37" ht="15.95" customHeight="1" x14ac:dyDescent="0.25">
      <c r="B176" s="136">
        <v>33</v>
      </c>
      <c r="C176" s="145" t="s">
        <v>1117</v>
      </c>
      <c r="D176" s="165" t="s">
        <v>1116</v>
      </c>
      <c r="E176" s="139" t="s">
        <v>11</v>
      </c>
      <c r="F176" s="140" t="s">
        <v>17</v>
      </c>
      <c r="G176" s="140" t="s">
        <v>599</v>
      </c>
      <c r="H176" s="140" t="s">
        <v>1082</v>
      </c>
      <c r="I176" s="140" t="s">
        <v>1078</v>
      </c>
      <c r="J176" s="141" t="s">
        <v>1079</v>
      </c>
      <c r="K176" s="142"/>
      <c r="L176" s="142"/>
      <c r="M176" s="134"/>
      <c r="N176" s="140"/>
      <c r="O176" s="143"/>
      <c r="P176" s="135" t="s">
        <v>1080</v>
      </c>
      <c r="Q176" s="223" t="s">
        <v>14</v>
      </c>
      <c r="R176" s="223" t="s">
        <v>599</v>
      </c>
      <c r="S176" s="223" t="s">
        <v>17</v>
      </c>
      <c r="T176" s="224" t="str">
        <f t="shared" si="44"/>
        <v>MA</v>
      </c>
      <c r="U176" s="223" t="str">
        <f t="shared" si="45"/>
        <v>MA-NW-EOR</v>
      </c>
      <c r="V176" s="223" t="str">
        <f t="array" ref="V176">CONCATENATE(Q176,"-",R176)</f>
        <v>NW-EOR</v>
      </c>
      <c r="W176" s="239">
        <f>IF(ISERROR(VLOOKUP(T176,'15-16_DP_Tables'!$M$2:$V$8,MATCH(V176,INDEX('15-16_DP_Tables'!$M$2:$V$8,1,0),0),0)),0,VLOOKUP(T176,'15-16_DP_Tables'!$M$2:$V$8,MATCH(V176,INDEX('15-16_DP_Tables'!$M$2:$V$8,1,0),0),0))</f>
        <v>0</v>
      </c>
      <c r="X176" s="239">
        <f t="array" ref="X176">IF(ISERROR(VLOOKUP(T176,'15-16_DP_Tables'!$M$12:$V$18,MATCH(V176,INDEX('15-16_DP_Tables'!$M$12:$V$18,1,0),0),0)),0,VLOOKUP(T176,'15-16_DP_Tables'!$M$12:$V$18,MATCH(V176,INDEX('15-16_DP_Tables'!$M$12:$V$18,1,0),0),0))</f>
        <v>0</v>
      </c>
      <c r="Y176" s="223" t="str">
        <f t="shared" si="46"/>
        <v>Unknown</v>
      </c>
      <c r="Z176" s="223">
        <v>5</v>
      </c>
      <c r="AA176" s="249" t="e">
        <f>VLOOKUP(T176,'Planning and Target Times'!$A$74:$L$78,MATCH(E176&amp;"-"&amp;Q176&amp;"-"&amp;Y176&amp;"-"&amp;R176,INDEX('Planning and Target Times'!$A$74:$L$78,1,0),0),0)</f>
        <v>#N/A</v>
      </c>
      <c r="AB176" s="249" t="e">
        <f>VLOOKUP(T176,'Planning and Target Times'!$A$97:$L$101,MATCH(E176&amp;"-"&amp;Q176&amp;"-"&amp;Y176&amp;"-"&amp;R176,INDEX('Planning and Target Times'!$A$97:$L$101,1,0),0),0)</f>
        <v>#N/A</v>
      </c>
      <c r="AC176" s="250">
        <f t="shared" si="40"/>
        <v>0</v>
      </c>
      <c r="AD176" s="250">
        <f t="shared" si="41"/>
        <v>0</v>
      </c>
      <c r="AE176" s="248">
        <f t="shared" si="42"/>
        <v>9226.3852720856521</v>
      </c>
      <c r="AF176" s="248">
        <f t="shared" si="47"/>
        <v>1723.6147279143479</v>
      </c>
      <c r="AG176" s="248">
        <f t="shared" ca="1" si="36"/>
        <v>-5356.3852720856521</v>
      </c>
      <c r="AH176" s="248">
        <f t="shared" ca="1" si="37"/>
        <v>-7162.3852720856521</v>
      </c>
      <c r="AI176" s="248">
        <f t="shared" si="43"/>
        <v>7459.6611610665077</v>
      </c>
      <c r="AJ176" s="248">
        <f t="shared" ca="1" si="38"/>
        <v>-3589.6611610665077</v>
      </c>
      <c r="AK176" s="248">
        <f t="shared" ca="1" si="39"/>
        <v>-5395.6611610665077</v>
      </c>
    </row>
    <row r="177" spans="2:37" ht="15.95" customHeight="1" x14ac:dyDescent="0.25">
      <c r="B177" s="136">
        <v>42</v>
      </c>
      <c r="C177" s="145" t="s">
        <v>482</v>
      </c>
      <c r="D177" s="171" t="s">
        <v>1126</v>
      </c>
      <c r="E177" s="139" t="s">
        <v>11</v>
      </c>
      <c r="F177" s="140" t="s">
        <v>22</v>
      </c>
      <c r="G177" s="140" t="s">
        <v>1076</v>
      </c>
      <c r="H177" s="140" t="s">
        <v>1082</v>
      </c>
      <c r="I177" s="140" t="s">
        <v>1078</v>
      </c>
      <c r="J177" s="141" t="s">
        <v>1079</v>
      </c>
      <c r="K177" s="142"/>
      <c r="L177" s="142"/>
      <c r="M177" s="134"/>
      <c r="N177" s="140"/>
      <c r="O177" s="143"/>
      <c r="P177" s="143" t="s">
        <v>1080</v>
      </c>
      <c r="Q177" s="223" t="s">
        <v>14</v>
      </c>
      <c r="R177" s="223" t="s">
        <v>298</v>
      </c>
      <c r="S177" s="223" t="s">
        <v>22</v>
      </c>
      <c r="T177" s="224" t="str">
        <f t="shared" si="44"/>
        <v>LB</v>
      </c>
      <c r="U177" s="223" t="str">
        <f t="shared" si="45"/>
        <v>LB-NW-Prod</v>
      </c>
      <c r="V177" s="223" t="str">
        <f t="array" ref="V177">CONCATENATE(Q177,"-",R177)</f>
        <v>NW-Prod</v>
      </c>
      <c r="W177" s="239">
        <f>IF(ISERROR(VLOOKUP(T177,'15-16_DP_Tables'!$M$2:$V$8,MATCH(V177,INDEX('15-16_DP_Tables'!$M$2:$V$8,1,0),0),0)),0,VLOOKUP(T177,'15-16_DP_Tables'!$M$2:$V$8,MATCH(V177,INDEX('15-16_DP_Tables'!$M$2:$V$8,1,0),0),0))</f>
        <v>55.81537142381022</v>
      </c>
      <c r="X177" s="239">
        <f t="array" ref="X177">IF(ISERROR(VLOOKUP(T177,'15-16_DP_Tables'!$M$12:$V$18,MATCH(V177,INDEX('15-16_DP_Tables'!$M$12:$V$18,1,0),0),0)),0,VLOOKUP(T177,'15-16_DP_Tables'!$M$12:$V$18,MATCH(V177,INDEX('15-16_DP_Tables'!$M$12:$V$18,1,0),0),0))</f>
        <v>45.207999999999998</v>
      </c>
      <c r="Y177" s="223" t="str">
        <f t="shared" si="46"/>
        <v>Unknown</v>
      </c>
      <c r="Z177" s="223">
        <v>5</v>
      </c>
      <c r="AA177" s="249" t="e">
        <f>VLOOKUP(T177,'Planning and Target Times'!$A$74:$L$78,MATCH(E177&amp;"-"&amp;Q177&amp;"-"&amp;Y177&amp;"-"&amp;R177,INDEX('Planning and Target Times'!$A$74:$L$78,1,0),0),0)</f>
        <v>#N/A</v>
      </c>
      <c r="AB177" s="249" t="e">
        <f>VLOOKUP(T177,'Planning and Target Times'!$A$97:$L$101,MATCH(E177&amp;"-"&amp;Q177&amp;"-"&amp;Y177&amp;"-"&amp;R177,INDEX('Planning and Target Times'!$A$97:$L$101,1,0),0),0)</f>
        <v>#N/A</v>
      </c>
      <c r="AC177" s="250">
        <f t="shared" si="40"/>
        <v>0</v>
      </c>
      <c r="AD177" s="250">
        <f t="shared" si="41"/>
        <v>0</v>
      </c>
      <c r="AE177" s="248">
        <f t="shared" si="42"/>
        <v>9287.2006435094627</v>
      </c>
      <c r="AF177" s="248">
        <f t="shared" si="47"/>
        <v>1662.7993564905373</v>
      </c>
      <c r="AG177" s="248">
        <f t="shared" ca="1" si="36"/>
        <v>-5417.2006435094627</v>
      </c>
      <c r="AH177" s="248">
        <f t="shared" ca="1" si="37"/>
        <v>-7223.2006435094627</v>
      </c>
      <c r="AI177" s="248">
        <f t="shared" si="43"/>
        <v>7509.8691610665073</v>
      </c>
      <c r="AJ177" s="248">
        <f t="shared" ca="1" si="38"/>
        <v>-3639.8691610665073</v>
      </c>
      <c r="AK177" s="248">
        <f t="shared" ca="1" si="39"/>
        <v>-5445.8691610665073</v>
      </c>
    </row>
    <row r="178" spans="2:37" ht="15.95" customHeight="1" x14ac:dyDescent="0.25">
      <c r="B178" s="136">
        <v>43</v>
      </c>
      <c r="C178" s="145" t="s">
        <v>1127</v>
      </c>
      <c r="D178" s="171" t="s">
        <v>1126</v>
      </c>
      <c r="E178" s="139" t="s">
        <v>11</v>
      </c>
      <c r="F178" s="140" t="s">
        <v>17</v>
      </c>
      <c r="G178" s="140" t="s">
        <v>1086</v>
      </c>
      <c r="H178" s="140" t="s">
        <v>1077</v>
      </c>
      <c r="I178" s="140" t="s">
        <v>1078</v>
      </c>
      <c r="J178" s="141" t="s">
        <v>1079</v>
      </c>
      <c r="K178" s="142"/>
      <c r="L178" s="142"/>
      <c r="M178" s="134"/>
      <c r="N178" s="140"/>
      <c r="O178" s="143"/>
      <c r="P178" s="143" t="s">
        <v>1080</v>
      </c>
      <c r="Q178" s="223" t="s">
        <v>18</v>
      </c>
      <c r="R178" s="223" t="s">
        <v>34</v>
      </c>
      <c r="S178" s="223" t="s">
        <v>17</v>
      </c>
      <c r="T178" s="224" t="str">
        <f t="shared" si="44"/>
        <v>MA</v>
      </c>
      <c r="U178" s="223" t="str">
        <f t="shared" si="45"/>
        <v>MA-ST-Inj</v>
      </c>
      <c r="V178" s="223" t="str">
        <f t="array" ref="V178">CONCATENATE(Q178,"-",R178)</f>
        <v>ST-Inj</v>
      </c>
      <c r="W178" s="239">
        <f>IF(ISERROR(VLOOKUP(T178,'15-16_DP_Tables'!$M$2:$V$8,MATCH(V178,INDEX('15-16_DP_Tables'!$M$2:$V$8,1,0),0),0)),0,VLOOKUP(T178,'15-16_DP_Tables'!$M$2:$V$8,MATCH(V178,INDEX('15-16_DP_Tables'!$M$2:$V$8,1,0),0),0))</f>
        <v>35.545833099999626</v>
      </c>
      <c r="X178" s="239">
        <f t="array" ref="X178">IF(ISERROR(VLOOKUP(T178,'15-16_DP_Tables'!$M$12:$V$18,MATCH(V178,INDEX('15-16_DP_Tables'!$M$12:$V$18,1,0),0),0)),0,VLOOKUP(T178,'15-16_DP_Tables'!$M$12:$V$18,MATCH(V178,INDEX('15-16_DP_Tables'!$M$12:$V$18,1,0),0),0))</f>
        <v>26.054166533332847</v>
      </c>
      <c r="Y178" s="223" t="str">
        <f t="shared" si="46"/>
        <v>Unknown</v>
      </c>
      <c r="Z178" s="223">
        <v>5</v>
      </c>
      <c r="AA178" s="249" t="e">
        <f>VLOOKUP(T178,'Planning and Target Times'!$A$74:$L$78,MATCH(E178&amp;"-"&amp;Q178&amp;"-"&amp;Y178&amp;"-"&amp;R178,INDEX('Planning and Target Times'!$A$74:$L$78,1,0),0),0)</f>
        <v>#N/A</v>
      </c>
      <c r="AB178" s="249" t="e">
        <f>VLOOKUP(T178,'Planning and Target Times'!$A$97:$L$101,MATCH(E178&amp;"-"&amp;Q178&amp;"-"&amp;Y178&amp;"-"&amp;R178,INDEX('Planning and Target Times'!$A$97:$L$101,1,0),0),0)</f>
        <v>#N/A</v>
      </c>
      <c r="AC178" s="250">
        <f t="shared" si="40"/>
        <v>0</v>
      </c>
      <c r="AD178" s="250">
        <f t="shared" si="41"/>
        <v>0</v>
      </c>
      <c r="AE178" s="248">
        <f t="shared" si="42"/>
        <v>9327.7464766094618</v>
      </c>
      <c r="AF178" s="248">
        <f t="shared" si="47"/>
        <v>1622.2535233905382</v>
      </c>
      <c r="AG178" s="248">
        <f t="shared" ca="1" si="36"/>
        <v>-5457.7464766094618</v>
      </c>
      <c r="AH178" s="248">
        <f t="shared" ca="1" si="37"/>
        <v>-7263.7464766094618</v>
      </c>
      <c r="AI178" s="248">
        <f t="shared" si="43"/>
        <v>7540.9233275998404</v>
      </c>
      <c r="AJ178" s="248">
        <f t="shared" ca="1" si="38"/>
        <v>-3670.9233275998404</v>
      </c>
      <c r="AK178" s="248">
        <f t="shared" ca="1" si="39"/>
        <v>-5476.9233275998404</v>
      </c>
    </row>
    <row r="179" spans="2:37" ht="15.95" customHeight="1" x14ac:dyDescent="0.25">
      <c r="B179" s="136">
        <v>44</v>
      </c>
      <c r="C179" s="145" t="s">
        <v>1128</v>
      </c>
      <c r="D179" s="171" t="s">
        <v>1126</v>
      </c>
      <c r="E179" s="139" t="s">
        <v>11</v>
      </c>
      <c r="F179" s="140" t="s">
        <v>17</v>
      </c>
      <c r="G179" s="140" t="s">
        <v>1086</v>
      </c>
      <c r="H179" s="140" t="s">
        <v>1077</v>
      </c>
      <c r="I179" s="140" t="s">
        <v>1078</v>
      </c>
      <c r="J179" s="141" t="s">
        <v>1079</v>
      </c>
      <c r="K179" s="142"/>
      <c r="L179" s="142"/>
      <c r="M179" s="134"/>
      <c r="N179" s="140"/>
      <c r="O179" s="143"/>
      <c r="P179" s="135" t="s">
        <v>1080</v>
      </c>
      <c r="Q179" s="223" t="s">
        <v>18</v>
      </c>
      <c r="R179" s="223" t="s">
        <v>34</v>
      </c>
      <c r="S179" s="223" t="s">
        <v>17</v>
      </c>
      <c r="T179" s="224" t="str">
        <f t="shared" si="44"/>
        <v>MA</v>
      </c>
      <c r="U179" s="223" t="str">
        <f t="shared" si="45"/>
        <v>MA-ST-Inj</v>
      </c>
      <c r="V179" s="223" t="str">
        <f t="array" ref="V179">CONCATENATE(Q179,"-",R179)</f>
        <v>ST-Inj</v>
      </c>
      <c r="W179" s="239">
        <f>IF(ISERROR(VLOOKUP(T179,'15-16_DP_Tables'!$M$2:$V$8,MATCH(V179,INDEX('15-16_DP_Tables'!$M$2:$V$8,1,0),0),0)),0,VLOOKUP(T179,'15-16_DP_Tables'!$M$2:$V$8,MATCH(V179,INDEX('15-16_DP_Tables'!$M$2:$V$8,1,0),0),0))</f>
        <v>35.545833099999626</v>
      </c>
      <c r="X179" s="239">
        <f t="array" ref="X179">IF(ISERROR(VLOOKUP(T179,'15-16_DP_Tables'!$M$12:$V$18,MATCH(V179,INDEX('15-16_DP_Tables'!$M$12:$V$18,1,0),0),0)),0,VLOOKUP(T179,'15-16_DP_Tables'!$M$12:$V$18,MATCH(V179,INDEX('15-16_DP_Tables'!$M$12:$V$18,1,0),0),0))</f>
        <v>26.054166533332847</v>
      </c>
      <c r="Y179" s="223" t="str">
        <f t="shared" si="46"/>
        <v>Unknown</v>
      </c>
      <c r="Z179" s="223">
        <v>5</v>
      </c>
      <c r="AA179" s="249" t="e">
        <f>VLOOKUP(T179,'Planning and Target Times'!$A$74:$L$78,MATCH(E179&amp;"-"&amp;Q179&amp;"-"&amp;Y179&amp;"-"&amp;R179,INDEX('Planning and Target Times'!$A$74:$L$78,1,0),0),0)</f>
        <v>#N/A</v>
      </c>
      <c r="AB179" s="249" t="e">
        <f>VLOOKUP(T179,'Planning and Target Times'!$A$97:$L$101,MATCH(E179&amp;"-"&amp;Q179&amp;"-"&amp;Y179&amp;"-"&amp;R179,INDEX('Planning and Target Times'!$A$97:$L$101,1,0),0),0)</f>
        <v>#N/A</v>
      </c>
      <c r="AC179" s="250">
        <f t="shared" si="40"/>
        <v>0</v>
      </c>
      <c r="AD179" s="250">
        <f t="shared" si="41"/>
        <v>0</v>
      </c>
      <c r="AE179" s="248">
        <f t="shared" si="42"/>
        <v>9368.2923097094608</v>
      </c>
      <c r="AF179" s="248">
        <f t="shared" si="47"/>
        <v>1581.7076902905392</v>
      </c>
      <c r="AG179" s="248">
        <f t="shared" ca="1" si="36"/>
        <v>-5498.2923097094608</v>
      </c>
      <c r="AH179" s="248">
        <f t="shared" ca="1" si="37"/>
        <v>-7304.2923097094608</v>
      </c>
      <c r="AI179" s="248">
        <f t="shared" si="43"/>
        <v>7571.9774941331734</v>
      </c>
      <c r="AJ179" s="248">
        <f t="shared" ca="1" si="38"/>
        <v>-3701.9774941331734</v>
      </c>
      <c r="AK179" s="248">
        <f t="shared" ca="1" si="39"/>
        <v>-5507.9774941331734</v>
      </c>
    </row>
    <row r="180" spans="2:37" ht="15.95" customHeight="1" x14ac:dyDescent="0.25">
      <c r="B180" s="136">
        <v>45</v>
      </c>
      <c r="C180" s="172" t="s">
        <v>1129</v>
      </c>
      <c r="D180" s="171" t="s">
        <v>1126</v>
      </c>
      <c r="E180" s="170" t="s">
        <v>42</v>
      </c>
      <c r="F180" s="140" t="s">
        <v>17</v>
      </c>
      <c r="G180" s="140" t="s">
        <v>1086</v>
      </c>
      <c r="H180" s="140" t="s">
        <v>1077</v>
      </c>
      <c r="I180" s="140" t="s">
        <v>1078</v>
      </c>
      <c r="J180" s="141" t="s">
        <v>1079</v>
      </c>
      <c r="K180" s="142"/>
      <c r="L180" s="142"/>
      <c r="M180" s="134"/>
      <c r="N180" s="140"/>
      <c r="O180" s="143"/>
      <c r="P180" s="143" t="s">
        <v>1080</v>
      </c>
      <c r="Q180" s="223" t="s">
        <v>18</v>
      </c>
      <c r="R180" s="223" t="s">
        <v>34</v>
      </c>
      <c r="S180" s="223" t="s">
        <v>17</v>
      </c>
      <c r="T180" s="224" t="str">
        <f t="shared" si="44"/>
        <v>MA</v>
      </c>
      <c r="U180" s="223" t="str">
        <f t="shared" si="45"/>
        <v>MA-ST-Inj</v>
      </c>
      <c r="V180" s="223" t="str">
        <f t="array" ref="V180">CONCATENATE(Q180,"-",R180)</f>
        <v>ST-Inj</v>
      </c>
      <c r="W180" s="239">
        <f>IF(ISERROR(VLOOKUP(T180,'15-16_DP_Tables'!$M$2:$V$8,MATCH(V180,INDEX('15-16_DP_Tables'!$M$2:$V$8,1,0),0),0)),0,VLOOKUP(T180,'15-16_DP_Tables'!$M$2:$V$8,MATCH(V180,INDEX('15-16_DP_Tables'!$M$2:$V$8,1,0),0),0))</f>
        <v>35.545833099999626</v>
      </c>
      <c r="X180" s="239">
        <f t="array" ref="X180">IF(ISERROR(VLOOKUP(T180,'15-16_DP_Tables'!$M$12:$V$18,MATCH(V180,INDEX('15-16_DP_Tables'!$M$12:$V$18,1,0),0),0)),0,VLOOKUP(T180,'15-16_DP_Tables'!$M$12:$V$18,MATCH(V180,INDEX('15-16_DP_Tables'!$M$12:$V$18,1,0),0),0))</f>
        <v>26.054166533332847</v>
      </c>
      <c r="Y180" s="223" t="str">
        <f t="shared" si="46"/>
        <v>Horizontal</v>
      </c>
      <c r="Z180" s="223">
        <v>5</v>
      </c>
      <c r="AA180" s="249" t="e">
        <f>VLOOKUP(T180,'Planning and Target Times'!$A$74:$L$78,MATCH(E180&amp;"-"&amp;Q180&amp;"-"&amp;Y180&amp;"-"&amp;R180,INDEX('Planning and Target Times'!$A$74:$L$78,1,0),0),0)</f>
        <v>#N/A</v>
      </c>
      <c r="AB180" s="249" t="e">
        <f>VLOOKUP(T180,'Planning and Target Times'!$A$97:$L$101,MATCH(E180&amp;"-"&amp;Q180&amp;"-"&amp;Y180&amp;"-"&amp;R180,INDEX('Planning and Target Times'!$A$97:$L$101,1,0),0),0)</f>
        <v>#N/A</v>
      </c>
      <c r="AC180" s="250">
        <f t="shared" si="40"/>
        <v>0</v>
      </c>
      <c r="AD180" s="250">
        <f t="shared" si="41"/>
        <v>0</v>
      </c>
      <c r="AE180" s="248">
        <f t="shared" si="42"/>
        <v>9408.8381428094599</v>
      </c>
      <c r="AF180" s="248">
        <f t="shared" si="47"/>
        <v>1541.1618571905401</v>
      </c>
      <c r="AG180" s="248">
        <f t="shared" ca="1" si="36"/>
        <v>-5538.8381428094599</v>
      </c>
      <c r="AH180" s="248">
        <f t="shared" ca="1" si="37"/>
        <v>-7344.8381428094599</v>
      </c>
      <c r="AI180" s="248">
        <f t="shared" si="43"/>
        <v>7603.0316606665065</v>
      </c>
      <c r="AJ180" s="248">
        <f t="shared" ca="1" si="38"/>
        <v>-3733.0316606665065</v>
      </c>
      <c r="AK180" s="248">
        <f t="shared" ca="1" si="39"/>
        <v>-5539.0316606665065</v>
      </c>
    </row>
    <row r="181" spans="2:37" ht="15.95" customHeight="1" x14ac:dyDescent="0.25">
      <c r="B181" s="136">
        <v>50</v>
      </c>
      <c r="C181" s="151" t="s">
        <v>1134</v>
      </c>
      <c r="D181" s="171" t="s">
        <v>1126</v>
      </c>
      <c r="E181" s="150" t="s">
        <v>42</v>
      </c>
      <c r="F181" s="174" t="s">
        <v>44</v>
      </c>
      <c r="G181" s="174" t="s">
        <v>1076</v>
      </c>
      <c r="H181" s="174" t="s">
        <v>1082</v>
      </c>
      <c r="I181" s="174" t="s">
        <v>1135</v>
      </c>
      <c r="J181" s="175" t="s">
        <v>1079</v>
      </c>
      <c r="K181" s="142"/>
      <c r="L181" s="142"/>
      <c r="M181" s="177"/>
      <c r="N181" s="174">
        <v>98</v>
      </c>
      <c r="O181" s="176">
        <v>2200</v>
      </c>
      <c r="P181" s="176" t="s">
        <v>1096</v>
      </c>
      <c r="Q181" s="223" t="s">
        <v>14</v>
      </c>
      <c r="R181" s="223" t="s">
        <v>298</v>
      </c>
      <c r="S181" s="223" t="s">
        <v>44</v>
      </c>
      <c r="T181" s="224" t="str">
        <f t="shared" si="44"/>
        <v>ZU/RT</v>
      </c>
      <c r="U181" s="223" t="str">
        <f t="shared" si="45"/>
        <v>ZU-NW-Prod</v>
      </c>
      <c r="V181" s="223" t="str">
        <f t="array" ref="V181">CONCATENATE(Q181,"-",R181)</f>
        <v>NW-Prod</v>
      </c>
      <c r="W181" s="239">
        <f>IF(ISERROR(VLOOKUP(T181,'15-16_DP_Tables'!$M$2:$V$8,MATCH(V181,INDEX('15-16_DP_Tables'!$M$2:$V$8,1,0),0),0)),0,VLOOKUP(T181,'15-16_DP_Tables'!$M$2:$V$8,MATCH(V181,INDEX('15-16_DP_Tables'!$M$2:$V$8,1,0),0),0))</f>
        <v>99.088549999999998</v>
      </c>
      <c r="X181" s="239">
        <f t="array" ref="X181">IF(ISERROR(VLOOKUP(T181,'15-16_DP_Tables'!$M$12:$V$18,MATCH(V181,INDEX('15-16_DP_Tables'!$M$12:$V$18,1,0),0),0)),0,VLOOKUP(T181,'15-16_DP_Tables'!$M$12:$V$18,MATCH(V181,INDEX('15-16_DP_Tables'!$M$12:$V$18,1,0),0),0))</f>
        <v>53.375</v>
      </c>
      <c r="Y181" s="223" t="str">
        <f t="shared" si="46"/>
        <v>Slant</v>
      </c>
      <c r="Z181" s="223">
        <v>5</v>
      </c>
      <c r="AA181" s="249" t="e">
        <f>VLOOKUP(T181,'Planning and Target Times'!$A$74:$L$78,MATCH(E181&amp;"-"&amp;Q181&amp;"-"&amp;Y181&amp;"-"&amp;R181,INDEX('Planning and Target Times'!$A$74:$L$78,1,0),0),0)</f>
        <v>#N/A</v>
      </c>
      <c r="AB181" s="249" t="e">
        <f>VLOOKUP(T181,'Planning and Target Times'!$A$97:$L$101,MATCH(E181&amp;"-"&amp;Q181&amp;"-"&amp;Y181&amp;"-"&amp;R181,INDEX('Planning and Target Times'!$A$97:$L$101,1,0),0),0)</f>
        <v>#N/A</v>
      </c>
      <c r="AC181" s="250">
        <f t="shared" si="40"/>
        <v>22.202363441588357</v>
      </c>
      <c r="AD181" s="250">
        <f t="shared" si="41"/>
        <v>41.217798594847778</v>
      </c>
      <c r="AE181" s="248">
        <f t="shared" si="42"/>
        <v>9512.9266928094603</v>
      </c>
      <c r="AF181" s="248">
        <f t="shared" si="47"/>
        <v>1437.0733071905397</v>
      </c>
      <c r="AG181" s="248">
        <f t="shared" ca="1" si="36"/>
        <v>-5642.9266928094603</v>
      </c>
      <c r="AH181" s="248">
        <f t="shared" ca="1" si="37"/>
        <v>-7448.9266928094603</v>
      </c>
      <c r="AI181" s="248">
        <f t="shared" si="43"/>
        <v>7661.4066606665065</v>
      </c>
      <c r="AJ181" s="248">
        <f t="shared" ca="1" si="38"/>
        <v>-3791.4066606665065</v>
      </c>
      <c r="AK181" s="248">
        <f t="shared" ca="1" si="39"/>
        <v>-5597.4066606665065</v>
      </c>
    </row>
    <row r="182" spans="2:37" ht="15.95" customHeight="1" x14ac:dyDescent="0.25">
      <c r="B182" s="136">
        <v>51</v>
      </c>
      <c r="C182" s="145" t="s">
        <v>1136</v>
      </c>
      <c r="D182" s="178" t="s">
        <v>1137</v>
      </c>
      <c r="E182" s="139" t="s">
        <v>11</v>
      </c>
      <c r="F182" s="140" t="s">
        <v>29</v>
      </c>
      <c r="G182" s="140" t="s">
        <v>1076</v>
      </c>
      <c r="H182" s="140" t="s">
        <v>1077</v>
      </c>
      <c r="I182" s="140" t="s">
        <v>1078</v>
      </c>
      <c r="J182" s="141" t="s">
        <v>1079</v>
      </c>
      <c r="K182" s="142"/>
      <c r="L182" s="142"/>
      <c r="M182" s="134"/>
      <c r="N182" s="140"/>
      <c r="O182" s="143"/>
      <c r="P182" s="135" t="s">
        <v>1080</v>
      </c>
      <c r="Q182" s="223" t="s">
        <v>18</v>
      </c>
      <c r="R182" s="223" t="s">
        <v>298</v>
      </c>
      <c r="S182" s="223" t="s">
        <v>29</v>
      </c>
      <c r="T182" s="224" t="str">
        <f t="shared" si="44"/>
        <v>UB</v>
      </c>
      <c r="U182" s="223" t="str">
        <f t="shared" si="45"/>
        <v>UB-ST-Prod</v>
      </c>
      <c r="V182" s="223" t="str">
        <f t="array" ref="V182">CONCATENATE(Q182,"-",R182)</f>
        <v>ST-Prod</v>
      </c>
      <c r="W182" s="239">
        <f>IF(ISERROR(VLOOKUP(T182,'15-16_DP_Tables'!$M$2:$V$8,MATCH(V182,INDEX('15-16_DP_Tables'!$M$2:$V$8,1,0),0),0)),0,VLOOKUP(T182,'15-16_DP_Tables'!$M$2:$V$8,MATCH(V182,INDEX('15-16_DP_Tables'!$M$2:$V$8,1,0),0),0))</f>
        <v>52.635414999999995</v>
      </c>
      <c r="X182" s="239">
        <f t="array" ref="X182">IF(ISERROR(VLOOKUP(T182,'15-16_DP_Tables'!$M$12:$V$18,MATCH(V182,INDEX('15-16_DP_Tables'!$M$12:$V$18,1,0),0),0)),0,VLOOKUP(T182,'15-16_DP_Tables'!$M$12:$V$18,MATCH(V182,INDEX('15-16_DP_Tables'!$M$12:$V$18,1,0),0),0))</f>
        <v>40.770829999999997</v>
      </c>
      <c r="Y182" s="223" t="str">
        <f t="shared" si="46"/>
        <v>Unknown</v>
      </c>
      <c r="Z182" s="223">
        <v>5</v>
      </c>
      <c r="AA182" s="249" t="e">
        <f>VLOOKUP(T182,'Planning and Target Times'!$A$74:$L$78,MATCH(E182&amp;"-"&amp;Q182&amp;"-"&amp;Y182&amp;"-"&amp;R182,INDEX('Planning and Target Times'!$A$74:$L$78,1,0),0),0)</f>
        <v>#N/A</v>
      </c>
      <c r="AB182" s="249" t="e">
        <f>VLOOKUP(T182,'Planning and Target Times'!$A$97:$L$101,MATCH(E182&amp;"-"&amp;Q182&amp;"-"&amp;Y182&amp;"-"&amp;R182,INDEX('Planning and Target Times'!$A$97:$L$101,1,0),0),0)</f>
        <v>#N/A</v>
      </c>
      <c r="AC182" s="250">
        <f t="shared" si="40"/>
        <v>0</v>
      </c>
      <c r="AD182" s="250">
        <f t="shared" si="41"/>
        <v>0</v>
      </c>
      <c r="AE182" s="248">
        <f t="shared" si="42"/>
        <v>9570.5621078094609</v>
      </c>
      <c r="AF182" s="248">
        <f t="shared" si="47"/>
        <v>1379.4378921905391</v>
      </c>
      <c r="AG182" s="248">
        <f t="shared" ca="1" si="36"/>
        <v>-5700.5621078094609</v>
      </c>
      <c r="AH182" s="248">
        <f t="shared" ca="1" si="37"/>
        <v>-7506.5621078094609</v>
      </c>
      <c r="AI182" s="248">
        <f t="shared" si="43"/>
        <v>7707.1774906665069</v>
      </c>
      <c r="AJ182" s="248">
        <f t="shared" ca="1" si="38"/>
        <v>-3837.1774906665069</v>
      </c>
      <c r="AK182" s="248">
        <f t="shared" ca="1" si="39"/>
        <v>-5643.1774906665069</v>
      </c>
    </row>
    <row r="183" spans="2:37" ht="15.95" customHeight="1" x14ac:dyDescent="0.25">
      <c r="B183" s="136">
        <v>52</v>
      </c>
      <c r="C183" s="145" t="s">
        <v>1138</v>
      </c>
      <c r="D183" s="178" t="s">
        <v>1137</v>
      </c>
      <c r="E183" s="139" t="s">
        <v>11</v>
      </c>
      <c r="F183" s="140" t="s">
        <v>17</v>
      </c>
      <c r="G183" s="140" t="s">
        <v>1076</v>
      </c>
      <c r="H183" s="140" t="s">
        <v>1077</v>
      </c>
      <c r="I183" s="140" t="s">
        <v>1078</v>
      </c>
      <c r="J183" s="141" t="s">
        <v>1079</v>
      </c>
      <c r="K183" s="142"/>
      <c r="L183" s="142"/>
      <c r="M183" s="134"/>
      <c r="N183" s="140"/>
      <c r="O183" s="143"/>
      <c r="P183" s="143" t="s">
        <v>1080</v>
      </c>
      <c r="Q183" s="223" t="s">
        <v>18</v>
      </c>
      <c r="R183" s="223" t="s">
        <v>298</v>
      </c>
      <c r="S183" s="223" t="s">
        <v>17</v>
      </c>
      <c r="T183" s="224" t="str">
        <f t="shared" si="44"/>
        <v>MA</v>
      </c>
      <c r="U183" s="223" t="str">
        <f t="shared" si="45"/>
        <v>MA-ST-Prod</v>
      </c>
      <c r="V183" s="223" t="str">
        <f t="array" ref="V183">CONCATENATE(Q183,"-",R183)</f>
        <v>ST-Prod</v>
      </c>
      <c r="W183" s="239">
        <f>IF(ISERROR(VLOOKUP(T183,'15-16_DP_Tables'!$M$2:$V$8,MATCH(V183,INDEX('15-16_DP_Tables'!$M$2:$V$8,1,0),0),0)),0,VLOOKUP(T183,'15-16_DP_Tables'!$M$2:$V$8,MATCH(V183,INDEX('15-16_DP_Tables'!$M$2:$V$8,1,0),0),0))</f>
        <v>47.881547142856107</v>
      </c>
      <c r="X183" s="239">
        <f t="array" ref="X183">IF(ISERROR(VLOOKUP(T183,'15-16_DP_Tables'!$M$12:$V$18,MATCH(V183,INDEX('15-16_DP_Tables'!$M$12:$V$18,1,0),0),0)),0,VLOOKUP(T183,'15-16_DP_Tables'!$M$12:$V$18,MATCH(V183,INDEX('15-16_DP_Tables'!$M$12:$V$18,1,0),0),0))</f>
        <v>41.770833333332121</v>
      </c>
      <c r="Y183" s="223" t="str">
        <f t="shared" si="46"/>
        <v>Unknown</v>
      </c>
      <c r="Z183" s="223">
        <v>5</v>
      </c>
      <c r="AA183" s="249" t="e">
        <f>VLOOKUP(T183,'Planning and Target Times'!$A$74:$L$78,MATCH(E183&amp;"-"&amp;Q183&amp;"-"&amp;Y183&amp;"-"&amp;R183,INDEX('Planning and Target Times'!$A$74:$L$78,1,0),0),0)</f>
        <v>#N/A</v>
      </c>
      <c r="AB183" s="249" t="e">
        <f>VLOOKUP(T183,'Planning and Target Times'!$A$97:$L$101,MATCH(E183&amp;"-"&amp;Q183&amp;"-"&amp;Y183&amp;"-"&amp;R183,INDEX('Planning and Target Times'!$A$97:$L$101,1,0),0),0)</f>
        <v>#N/A</v>
      </c>
      <c r="AC183" s="250">
        <f t="shared" si="40"/>
        <v>0</v>
      </c>
      <c r="AD183" s="250">
        <f t="shared" si="41"/>
        <v>0</v>
      </c>
      <c r="AE183" s="248">
        <f t="shared" si="42"/>
        <v>9623.4436549523161</v>
      </c>
      <c r="AF183" s="248">
        <f t="shared" si="47"/>
        <v>1326.5563450476839</v>
      </c>
      <c r="AG183" s="248">
        <f t="shared" ca="1" si="36"/>
        <v>-5753.4436549523161</v>
      </c>
      <c r="AH183" s="248">
        <f t="shared" ca="1" si="37"/>
        <v>-7559.4436549523161</v>
      </c>
      <c r="AI183" s="248">
        <f t="shared" si="43"/>
        <v>7753.948323999839</v>
      </c>
      <c r="AJ183" s="248">
        <f t="shared" ca="1" si="38"/>
        <v>-3883.948323999839</v>
      </c>
      <c r="AK183" s="248">
        <f t="shared" ca="1" si="39"/>
        <v>-5689.948323999839</v>
      </c>
    </row>
    <row r="184" spans="2:37" ht="15.95" customHeight="1" thickBot="1" x14ac:dyDescent="0.3">
      <c r="B184" s="200">
        <v>53</v>
      </c>
      <c r="C184" s="229" t="s">
        <v>1139</v>
      </c>
      <c r="D184" s="230" t="s">
        <v>1137</v>
      </c>
      <c r="E184" s="231" t="s">
        <v>11</v>
      </c>
      <c r="F184" s="201" t="s">
        <v>17</v>
      </c>
      <c r="G184" s="201" t="s">
        <v>1086</v>
      </c>
      <c r="H184" s="201" t="s">
        <v>1077</v>
      </c>
      <c r="I184" s="201" t="s">
        <v>1078</v>
      </c>
      <c r="J184" s="202" t="s">
        <v>1079</v>
      </c>
      <c r="K184" s="203"/>
      <c r="L184" s="203"/>
      <c r="M184" s="204"/>
      <c r="N184" s="201"/>
      <c r="O184" s="205"/>
      <c r="P184" s="205" t="s">
        <v>1080</v>
      </c>
      <c r="Q184" s="223" t="s">
        <v>18</v>
      </c>
      <c r="R184" s="223" t="s">
        <v>34</v>
      </c>
      <c r="S184" s="223" t="s">
        <v>17</v>
      </c>
      <c r="T184" s="224" t="str">
        <f t="shared" si="44"/>
        <v>MA</v>
      </c>
      <c r="U184" s="223" t="str">
        <f t="shared" si="45"/>
        <v>MA-ST-Inj</v>
      </c>
      <c r="V184" s="223" t="str">
        <f t="array" ref="V184">CONCATENATE(Q184,"-",R184)</f>
        <v>ST-Inj</v>
      </c>
      <c r="W184" s="239">
        <f>VLOOKUP(T184,'15-16_DP_Tables'!$M$2:$V$8,MATCH(V184,INDEX('15-16_DP_Tables'!$M$2:$V$8,1,0),0),0)</f>
        <v>35.545833099999626</v>
      </c>
      <c r="X184" s="240" t="e">
        <f>VLOOKUP(T184,'15-16_DP_Tables'!$N$12:$W$33,MATCH(V184,INDEX('15-16_DP_Tables'!$N$12:$W$33,1,0),0),0)</f>
        <v>#N/A</v>
      </c>
      <c r="Y184" s="223" t="str">
        <f t="shared" si="46"/>
        <v>Horizontal</v>
      </c>
      <c r="Z184" s="223"/>
      <c r="AA184" s="249" t="e">
        <f>VLOOKUP(T184,'Planning and Target Times'!$A$74:$L$78,MATCH(E184&amp;"-"&amp;Q184&amp;"-"&amp;Y184&amp;"-"&amp;R184,INDEX('Planning and Target Times'!$A$74:$L$78,1,0),0),0)</f>
        <v>#N/A</v>
      </c>
      <c r="AB184" s="249" t="e">
        <f>VLOOKUP(T184,'Planning and Target Times'!$A$97:$L$101,MATCH(E184&amp;"-"&amp;Q184&amp;"-"&amp;Y184&amp;"-"&amp;R184,INDEX('Planning and Target Times'!$A$97:$L$101,1,0),0),0)</f>
        <v>#N/A</v>
      </c>
      <c r="AC184" s="250">
        <f t="shared" si="40"/>
        <v>0</v>
      </c>
      <c r="AD184" s="250">
        <f>IF(ISERROR(O184/X184),0,(O184/X184))</f>
        <v>0</v>
      </c>
      <c r="AE184" s="248">
        <f>SUM(AE183,W184)</f>
        <v>9658.9894880523152</v>
      </c>
      <c r="AF184" s="248">
        <f t="shared" si="47"/>
        <v>1291.0105119476848</v>
      </c>
      <c r="AG184" s="248">
        <f ca="1">(30*$AG$3)-AE184</f>
        <v>-5788.9894880523152</v>
      </c>
      <c r="AH184" s="248">
        <f t="shared" ca="1" si="37"/>
        <v>-7594.9894880523152</v>
      </c>
      <c r="AI184" s="248" t="e">
        <f t="shared" ref="AI184" si="48">SUM(AI183,X184)</f>
        <v>#N/A</v>
      </c>
      <c r="AJ184" s="248" t="e">
        <f t="shared" ca="1" si="38"/>
        <v>#N/A</v>
      </c>
      <c r="AK184" s="248" t="e">
        <f t="shared" ca="1" si="39"/>
        <v>#N/A</v>
      </c>
    </row>
    <row r="185" spans="2:37" ht="15.95" customHeight="1" x14ac:dyDescent="0.2">
      <c r="C185" s="206"/>
      <c r="D185" s="207"/>
      <c r="E185" s="206"/>
    </row>
    <row r="186" spans="2:37" ht="15.95" customHeight="1" x14ac:dyDescent="0.2">
      <c r="C186" s="206"/>
      <c r="D186" s="207"/>
      <c r="E186" s="206"/>
    </row>
    <row r="187" spans="2:37" ht="15.95" customHeight="1" x14ac:dyDescent="0.2">
      <c r="C187" s="206"/>
      <c r="D187" s="207"/>
      <c r="E187" s="206"/>
    </row>
    <row r="188" spans="2:37" ht="15.95" customHeight="1" x14ac:dyDescent="0.2">
      <c r="C188" s="208"/>
      <c r="D188" s="207"/>
      <c r="E188" s="206"/>
    </row>
    <row r="189" spans="2:37" ht="15.95" customHeight="1" x14ac:dyDescent="0.2">
      <c r="C189" s="208"/>
      <c r="D189" s="207"/>
      <c r="E189" s="206"/>
    </row>
    <row r="190" spans="2:37" ht="15.95" customHeight="1" x14ac:dyDescent="0.2">
      <c r="C190" s="208"/>
      <c r="D190" s="207"/>
      <c r="E190" s="206"/>
    </row>
    <row r="191" spans="2:37" ht="15.95" customHeight="1" x14ac:dyDescent="0.2">
      <c r="C191" s="208"/>
      <c r="D191" s="207"/>
      <c r="E191" s="206"/>
    </row>
    <row r="192" spans="2:37" ht="15.95" customHeight="1" x14ac:dyDescent="0.2">
      <c r="C192" s="208"/>
      <c r="D192" s="207"/>
      <c r="E192" s="206"/>
    </row>
    <row r="193" spans="3:10" x14ac:dyDescent="0.2">
      <c r="C193" s="208"/>
      <c r="D193" s="207"/>
      <c r="E193" s="206"/>
      <c r="J193" s="124"/>
    </row>
    <row r="194" spans="3:10" x14ac:dyDescent="0.2">
      <c r="C194" s="208"/>
      <c r="D194" s="207"/>
      <c r="E194" s="206"/>
      <c r="J194" s="124"/>
    </row>
    <row r="195" spans="3:10" x14ac:dyDescent="0.2">
      <c r="C195" s="208"/>
      <c r="D195" s="207"/>
      <c r="E195" s="206"/>
      <c r="J195" s="124"/>
    </row>
    <row r="196" spans="3:10" x14ac:dyDescent="0.2">
      <c r="C196" s="208"/>
      <c r="D196" s="207"/>
      <c r="E196" s="206"/>
      <c r="J196" s="124"/>
    </row>
    <row r="197" spans="3:10" x14ac:dyDescent="0.2">
      <c r="C197" s="208"/>
      <c r="D197" s="207"/>
      <c r="E197" s="206"/>
      <c r="J197" s="124"/>
    </row>
    <row r="198" spans="3:10" x14ac:dyDescent="0.2">
      <c r="C198" s="208"/>
      <c r="D198" s="209"/>
      <c r="E198" s="206"/>
      <c r="J198" s="124"/>
    </row>
    <row r="199" spans="3:10" x14ac:dyDescent="0.2">
      <c r="C199" s="208"/>
      <c r="D199" s="209"/>
      <c r="E199" s="206"/>
      <c r="J199" s="124"/>
    </row>
    <row r="200" spans="3:10" x14ac:dyDescent="0.2">
      <c r="C200" s="208"/>
      <c r="D200" s="209"/>
      <c r="E200" s="207"/>
      <c r="J200" s="124"/>
    </row>
    <row r="201" spans="3:10" x14ac:dyDescent="0.2">
      <c r="C201" s="208"/>
      <c r="D201" s="209"/>
      <c r="E201" s="207"/>
      <c r="J201" s="124"/>
    </row>
    <row r="202" spans="3:10" x14ac:dyDescent="0.2">
      <c r="C202" s="208"/>
      <c r="D202" s="209"/>
      <c r="E202" s="207"/>
      <c r="J202" s="124"/>
    </row>
    <row r="203" spans="3:10" x14ac:dyDescent="0.2">
      <c r="C203" s="207"/>
      <c r="D203" s="209"/>
      <c r="E203" s="207"/>
      <c r="J203" s="124"/>
    </row>
    <row r="204" spans="3:10" x14ac:dyDescent="0.2">
      <c r="C204" s="207"/>
      <c r="D204" s="209"/>
      <c r="E204" s="207"/>
      <c r="J204" s="124"/>
    </row>
    <row r="205" spans="3:10" x14ac:dyDescent="0.2">
      <c r="C205" s="209"/>
      <c r="D205" s="209"/>
      <c r="E205" s="207"/>
      <c r="J205" s="124"/>
    </row>
    <row r="206" spans="3:10" x14ac:dyDescent="0.2">
      <c r="C206" s="209"/>
      <c r="D206" s="209"/>
      <c r="E206" s="209"/>
      <c r="J206" s="124"/>
    </row>
    <row r="207" spans="3:10" x14ac:dyDescent="0.2">
      <c r="C207" s="209"/>
      <c r="D207" s="209"/>
      <c r="E207" s="209"/>
      <c r="J207" s="124"/>
    </row>
    <row r="208" spans="3:10" x14ac:dyDescent="0.2">
      <c r="C208" s="209"/>
      <c r="D208" s="209"/>
      <c r="E208" s="209"/>
      <c r="J208" s="124"/>
    </row>
    <row r="209" spans="3:10" x14ac:dyDescent="0.2">
      <c r="C209" s="209"/>
      <c r="D209" s="209"/>
      <c r="E209" s="209"/>
      <c r="J209" s="124"/>
    </row>
    <row r="210" spans="3:10" x14ac:dyDescent="0.2">
      <c r="C210" s="209"/>
      <c r="D210" s="209"/>
      <c r="E210" s="209"/>
      <c r="J210" s="124"/>
    </row>
    <row r="211" spans="3:10" x14ac:dyDescent="0.2">
      <c r="C211" s="209"/>
      <c r="D211" s="209"/>
      <c r="E211" s="209"/>
      <c r="J211" s="124"/>
    </row>
    <row r="212" spans="3:10" x14ac:dyDescent="0.2">
      <c r="C212" s="209"/>
      <c r="D212" s="209"/>
      <c r="E212" s="209"/>
      <c r="J212" s="124"/>
    </row>
    <row r="213" spans="3:10" x14ac:dyDescent="0.2">
      <c r="C213" s="209"/>
      <c r="D213" s="209"/>
      <c r="E213" s="209"/>
      <c r="J213" s="124"/>
    </row>
    <row r="214" spans="3:10" x14ac:dyDescent="0.2">
      <c r="C214" s="209"/>
      <c r="D214" s="209"/>
      <c r="E214" s="209"/>
      <c r="J214" s="124"/>
    </row>
    <row r="215" spans="3:10" x14ac:dyDescent="0.2">
      <c r="C215" s="209"/>
      <c r="D215" s="209"/>
      <c r="E215" s="209"/>
      <c r="J215" s="124"/>
    </row>
    <row r="216" spans="3:10" x14ac:dyDescent="0.2">
      <c r="C216" s="209"/>
      <c r="D216" s="209"/>
      <c r="E216" s="209"/>
      <c r="J216" s="124"/>
    </row>
    <row r="217" spans="3:10" x14ac:dyDescent="0.2">
      <c r="C217" s="209"/>
      <c r="D217" s="209"/>
      <c r="E217" s="209"/>
      <c r="J217" s="124"/>
    </row>
    <row r="218" spans="3:10" x14ac:dyDescent="0.2">
      <c r="C218" s="209"/>
      <c r="D218" s="209"/>
      <c r="E218" s="209"/>
      <c r="J218" s="124"/>
    </row>
    <row r="219" spans="3:10" x14ac:dyDescent="0.2">
      <c r="C219" s="209"/>
      <c r="D219" s="209"/>
      <c r="E219" s="209"/>
      <c r="J219" s="124"/>
    </row>
    <row r="220" spans="3:10" x14ac:dyDescent="0.2">
      <c r="C220" s="209"/>
      <c r="D220" s="209"/>
      <c r="E220" s="209"/>
      <c r="J220" s="124"/>
    </row>
    <row r="221" spans="3:10" x14ac:dyDescent="0.2">
      <c r="C221" s="209"/>
      <c r="D221" s="209"/>
      <c r="E221" s="209"/>
      <c r="J221" s="124"/>
    </row>
    <row r="222" spans="3:10" x14ac:dyDescent="0.2">
      <c r="C222" s="209"/>
      <c r="D222" s="209"/>
      <c r="E222" s="209"/>
      <c r="J222" s="124"/>
    </row>
    <row r="223" spans="3:10" x14ac:dyDescent="0.2">
      <c r="C223" s="209"/>
      <c r="D223" s="209"/>
      <c r="E223" s="209"/>
      <c r="J223" s="124"/>
    </row>
    <row r="224" spans="3:10" x14ac:dyDescent="0.2">
      <c r="C224" s="209"/>
      <c r="D224" s="209"/>
      <c r="E224" s="209"/>
      <c r="J224" s="124"/>
    </row>
    <row r="225" spans="3:10" x14ac:dyDescent="0.2">
      <c r="C225" s="209"/>
      <c r="D225" s="209"/>
      <c r="E225" s="209"/>
      <c r="J225" s="124"/>
    </row>
    <row r="226" spans="3:10" x14ac:dyDescent="0.2">
      <c r="C226" s="209"/>
      <c r="D226" s="209"/>
      <c r="E226" s="209"/>
      <c r="J226" s="124"/>
    </row>
    <row r="227" spans="3:10" x14ac:dyDescent="0.2">
      <c r="C227" s="209"/>
      <c r="D227" s="209"/>
      <c r="E227" s="209"/>
      <c r="J227" s="124"/>
    </row>
    <row r="228" spans="3:10" x14ac:dyDescent="0.2">
      <c r="C228" s="209"/>
      <c r="D228" s="209"/>
      <c r="E228" s="209"/>
      <c r="J228" s="124"/>
    </row>
    <row r="229" spans="3:10" x14ac:dyDescent="0.2">
      <c r="C229" s="209"/>
      <c r="D229" s="209"/>
      <c r="E229" s="209"/>
      <c r="J229" s="124"/>
    </row>
    <row r="230" spans="3:10" x14ac:dyDescent="0.2">
      <c r="C230" s="209"/>
      <c r="D230" s="209"/>
      <c r="E230" s="209"/>
      <c r="J230" s="124"/>
    </row>
    <row r="231" spans="3:10" x14ac:dyDescent="0.2">
      <c r="C231" s="209"/>
      <c r="D231" s="209"/>
      <c r="E231" s="209"/>
      <c r="J231" s="124"/>
    </row>
    <row r="232" spans="3:10" x14ac:dyDescent="0.2">
      <c r="C232" s="209"/>
      <c r="D232" s="209"/>
      <c r="E232" s="209"/>
      <c r="J232" s="124"/>
    </row>
    <row r="233" spans="3:10" x14ac:dyDescent="0.2">
      <c r="C233" s="209"/>
      <c r="D233" s="209"/>
      <c r="E233" s="209"/>
      <c r="J233" s="124"/>
    </row>
    <row r="234" spans="3:10" x14ac:dyDescent="0.2">
      <c r="C234" s="209"/>
      <c r="D234" s="209"/>
      <c r="E234" s="209"/>
      <c r="J234" s="124"/>
    </row>
    <row r="235" spans="3:10" x14ac:dyDescent="0.2">
      <c r="C235" s="209"/>
      <c r="D235" s="209"/>
      <c r="E235" s="209"/>
      <c r="J235" s="124"/>
    </row>
    <row r="236" spans="3:10" x14ac:dyDescent="0.2">
      <c r="C236" s="209"/>
      <c r="D236" s="209"/>
      <c r="E236" s="209"/>
      <c r="J236" s="124"/>
    </row>
    <row r="237" spans="3:10" x14ac:dyDescent="0.2">
      <c r="C237" s="209"/>
      <c r="D237" s="209"/>
      <c r="E237" s="209"/>
      <c r="J237" s="124"/>
    </row>
    <row r="238" spans="3:10" x14ac:dyDescent="0.2">
      <c r="C238" s="209"/>
      <c r="D238" s="209"/>
      <c r="E238" s="209"/>
      <c r="J238" s="124"/>
    </row>
    <row r="239" spans="3:10" x14ac:dyDescent="0.2">
      <c r="C239" s="209"/>
      <c r="D239" s="209"/>
      <c r="E239" s="209"/>
      <c r="J239" s="124"/>
    </row>
    <row r="240" spans="3:10" x14ac:dyDescent="0.2">
      <c r="C240" s="209"/>
      <c r="D240" s="209"/>
      <c r="E240" s="209"/>
      <c r="J240" s="124"/>
    </row>
    <row r="241" spans="3:10" x14ac:dyDescent="0.2">
      <c r="C241" s="209"/>
      <c r="D241" s="209"/>
      <c r="E241" s="209"/>
      <c r="J241" s="124"/>
    </row>
    <row r="242" spans="3:10" x14ac:dyDescent="0.2">
      <c r="C242" s="209"/>
      <c r="D242" s="209"/>
      <c r="E242" s="209"/>
      <c r="J242" s="124"/>
    </row>
    <row r="243" spans="3:10" x14ac:dyDescent="0.2">
      <c r="C243" s="209"/>
      <c r="D243" s="209"/>
      <c r="E243" s="209"/>
      <c r="J243" s="124"/>
    </row>
    <row r="244" spans="3:10" x14ac:dyDescent="0.2">
      <c r="C244" s="209"/>
      <c r="D244" s="209"/>
      <c r="E244" s="209"/>
      <c r="J244" s="124"/>
    </row>
    <row r="245" spans="3:10" x14ac:dyDescent="0.2">
      <c r="C245" s="209"/>
      <c r="D245" s="209"/>
      <c r="E245" s="209"/>
      <c r="J245" s="124"/>
    </row>
    <row r="246" spans="3:10" x14ac:dyDescent="0.2">
      <c r="C246" s="209"/>
      <c r="D246" s="209"/>
      <c r="E246" s="209"/>
      <c r="J246" s="124"/>
    </row>
    <row r="247" spans="3:10" x14ac:dyDescent="0.2">
      <c r="C247" s="209"/>
      <c r="D247" s="209"/>
      <c r="E247" s="209"/>
      <c r="J247" s="124"/>
    </row>
    <row r="248" spans="3:10" x14ac:dyDescent="0.2">
      <c r="C248" s="209"/>
      <c r="D248" s="209"/>
      <c r="E248" s="209"/>
      <c r="J248" s="124"/>
    </row>
    <row r="249" spans="3:10" x14ac:dyDescent="0.2">
      <c r="C249" s="209"/>
      <c r="D249" s="209"/>
      <c r="E249" s="209"/>
      <c r="J249" s="124"/>
    </row>
    <row r="250" spans="3:10" x14ac:dyDescent="0.2">
      <c r="C250" s="209"/>
      <c r="D250" s="209"/>
      <c r="E250" s="209"/>
      <c r="J250" s="124"/>
    </row>
    <row r="251" spans="3:10" x14ac:dyDescent="0.2">
      <c r="C251" s="209"/>
      <c r="D251" s="209"/>
      <c r="E251" s="209"/>
      <c r="J251" s="124"/>
    </row>
    <row r="252" spans="3:10" x14ac:dyDescent="0.2">
      <c r="C252" s="209"/>
      <c r="D252" s="209"/>
      <c r="E252" s="209"/>
      <c r="J252" s="124"/>
    </row>
    <row r="253" spans="3:10" x14ac:dyDescent="0.2">
      <c r="C253" s="209"/>
      <c r="D253" s="209"/>
      <c r="E253" s="209"/>
      <c r="J253" s="124"/>
    </row>
    <row r="254" spans="3:10" x14ac:dyDescent="0.2">
      <c r="C254" s="209"/>
      <c r="D254" s="209"/>
      <c r="E254" s="209"/>
      <c r="J254" s="124"/>
    </row>
    <row r="255" spans="3:10" x14ac:dyDescent="0.2">
      <c r="C255" s="209"/>
      <c r="D255" s="209"/>
      <c r="E255" s="209"/>
      <c r="J255" s="124"/>
    </row>
    <row r="256" spans="3:10" x14ac:dyDescent="0.2">
      <c r="C256" s="209"/>
      <c r="D256" s="209"/>
      <c r="E256" s="209"/>
      <c r="J256" s="124"/>
    </row>
    <row r="257" spans="3:10" x14ac:dyDescent="0.2">
      <c r="C257" s="209"/>
      <c r="D257" s="209"/>
      <c r="E257" s="209"/>
      <c r="J257" s="124"/>
    </row>
    <row r="258" spans="3:10" x14ac:dyDescent="0.2">
      <c r="C258" s="209"/>
      <c r="D258" s="209"/>
      <c r="E258" s="209"/>
      <c r="J258" s="124"/>
    </row>
    <row r="259" spans="3:10" x14ac:dyDescent="0.2">
      <c r="C259" s="209"/>
      <c r="D259" s="209"/>
      <c r="E259" s="209"/>
      <c r="J259" s="124"/>
    </row>
    <row r="260" spans="3:10" x14ac:dyDescent="0.2">
      <c r="C260" s="209"/>
      <c r="D260" s="209"/>
      <c r="E260" s="209"/>
      <c r="J260" s="124"/>
    </row>
    <row r="261" spans="3:10" x14ac:dyDescent="0.2">
      <c r="C261" s="209"/>
      <c r="D261" s="209"/>
      <c r="E261" s="209"/>
      <c r="J261" s="124"/>
    </row>
    <row r="262" spans="3:10" x14ac:dyDescent="0.2">
      <c r="C262" s="209"/>
      <c r="D262" s="209"/>
      <c r="E262" s="209"/>
      <c r="J262" s="124"/>
    </row>
    <row r="263" spans="3:10" x14ac:dyDescent="0.2">
      <c r="C263" s="209"/>
      <c r="D263" s="209"/>
      <c r="E263" s="209"/>
      <c r="J263" s="124"/>
    </row>
    <row r="264" spans="3:10" x14ac:dyDescent="0.2">
      <c r="C264" s="209"/>
      <c r="D264" s="209"/>
      <c r="E264" s="209"/>
      <c r="J264" s="124"/>
    </row>
    <row r="265" spans="3:10" x14ac:dyDescent="0.2">
      <c r="C265" s="209"/>
      <c r="D265" s="209"/>
      <c r="E265" s="209"/>
      <c r="J265" s="124"/>
    </row>
    <row r="266" spans="3:10" x14ac:dyDescent="0.2">
      <c r="C266" s="209"/>
      <c r="D266" s="209"/>
      <c r="E266" s="209"/>
      <c r="J266" s="124"/>
    </row>
    <row r="267" spans="3:10" x14ac:dyDescent="0.2">
      <c r="C267" s="209"/>
      <c r="D267" s="209"/>
      <c r="E267" s="209"/>
      <c r="J267" s="124"/>
    </row>
    <row r="268" spans="3:10" x14ac:dyDescent="0.2">
      <c r="C268" s="209"/>
      <c r="D268" s="209"/>
      <c r="E268" s="209"/>
      <c r="J268" s="124"/>
    </row>
    <row r="269" spans="3:10" x14ac:dyDescent="0.2">
      <c r="C269" s="209"/>
      <c r="D269" s="209"/>
      <c r="E269" s="209"/>
      <c r="J269" s="124"/>
    </row>
    <row r="270" spans="3:10" x14ac:dyDescent="0.2">
      <c r="C270" s="209"/>
      <c r="D270" s="209"/>
      <c r="E270" s="209"/>
      <c r="J270" s="124"/>
    </row>
    <row r="271" spans="3:10" x14ac:dyDescent="0.2">
      <c r="C271" s="209"/>
      <c r="D271" s="209"/>
      <c r="E271" s="209"/>
      <c r="J271" s="124"/>
    </row>
    <row r="272" spans="3:10" x14ac:dyDescent="0.2">
      <c r="C272" s="209"/>
      <c r="D272" s="209"/>
      <c r="E272" s="209"/>
      <c r="J272" s="124"/>
    </row>
    <row r="273" spans="3:10" x14ac:dyDescent="0.2">
      <c r="C273" s="209"/>
      <c r="D273" s="209"/>
      <c r="E273" s="209"/>
      <c r="J273" s="124"/>
    </row>
    <row r="274" spans="3:10" x14ac:dyDescent="0.2">
      <c r="C274" s="209"/>
      <c r="D274" s="209"/>
      <c r="E274" s="209"/>
      <c r="J274" s="124"/>
    </row>
    <row r="275" spans="3:10" x14ac:dyDescent="0.2">
      <c r="C275" s="209"/>
      <c r="D275" s="209"/>
      <c r="E275" s="209"/>
      <c r="J275" s="124"/>
    </row>
    <row r="276" spans="3:10" x14ac:dyDescent="0.2">
      <c r="C276" s="209"/>
      <c r="D276" s="209"/>
      <c r="E276" s="209"/>
      <c r="J276" s="124"/>
    </row>
    <row r="277" spans="3:10" x14ac:dyDescent="0.2">
      <c r="C277" s="209"/>
      <c r="D277" s="209"/>
      <c r="E277" s="209"/>
      <c r="J277" s="124"/>
    </row>
    <row r="278" spans="3:10" x14ac:dyDescent="0.2">
      <c r="C278" s="209"/>
      <c r="D278" s="209"/>
      <c r="E278" s="209"/>
      <c r="J278" s="124"/>
    </row>
    <row r="279" spans="3:10" x14ac:dyDescent="0.2">
      <c r="C279" s="209"/>
      <c r="D279" s="209"/>
      <c r="E279" s="209"/>
      <c r="J279" s="124"/>
    </row>
    <row r="280" spans="3:10" x14ac:dyDescent="0.2">
      <c r="C280" s="209"/>
      <c r="D280" s="209"/>
      <c r="E280" s="209"/>
      <c r="J280" s="124"/>
    </row>
    <row r="281" spans="3:10" x14ac:dyDescent="0.2">
      <c r="C281" s="209"/>
      <c r="D281" s="209"/>
      <c r="E281" s="209"/>
      <c r="J281" s="124"/>
    </row>
    <row r="282" spans="3:10" x14ac:dyDescent="0.2">
      <c r="C282" s="209"/>
      <c r="D282" s="209"/>
      <c r="E282" s="209"/>
      <c r="J282" s="124"/>
    </row>
    <row r="283" spans="3:10" x14ac:dyDescent="0.2">
      <c r="C283" s="209"/>
      <c r="D283" s="209"/>
      <c r="E283" s="209"/>
      <c r="J283" s="124"/>
    </row>
    <row r="284" spans="3:10" x14ac:dyDescent="0.2">
      <c r="C284" s="209"/>
      <c r="D284" s="209"/>
      <c r="E284" s="209"/>
      <c r="J284" s="124"/>
    </row>
    <row r="285" spans="3:10" x14ac:dyDescent="0.2">
      <c r="C285" s="209"/>
      <c r="D285" s="209"/>
      <c r="E285" s="209"/>
      <c r="J285" s="124"/>
    </row>
    <row r="286" spans="3:10" x14ac:dyDescent="0.2">
      <c r="C286" s="209"/>
      <c r="D286" s="209"/>
      <c r="E286" s="209"/>
      <c r="J286" s="124"/>
    </row>
    <row r="287" spans="3:10" x14ac:dyDescent="0.2">
      <c r="C287" s="209"/>
      <c r="D287" s="209"/>
      <c r="E287" s="209"/>
      <c r="J287" s="124"/>
    </row>
    <row r="288" spans="3:10" x14ac:dyDescent="0.2">
      <c r="C288" s="209"/>
      <c r="D288" s="209"/>
      <c r="E288" s="209"/>
      <c r="J288" s="124"/>
    </row>
    <row r="289" spans="3:10" x14ac:dyDescent="0.2">
      <c r="C289" s="209"/>
      <c r="D289" s="209"/>
      <c r="E289" s="209"/>
      <c r="J289" s="124"/>
    </row>
    <row r="290" spans="3:10" x14ac:dyDescent="0.2">
      <c r="C290" s="209"/>
      <c r="D290" s="209"/>
      <c r="E290" s="209"/>
      <c r="J290" s="124"/>
    </row>
    <row r="291" spans="3:10" x14ac:dyDescent="0.2">
      <c r="C291" s="209"/>
      <c r="D291" s="209"/>
      <c r="E291" s="209"/>
      <c r="J291" s="124"/>
    </row>
    <row r="292" spans="3:10" x14ac:dyDescent="0.2">
      <c r="C292" s="209"/>
      <c r="D292" s="209"/>
      <c r="E292" s="209"/>
      <c r="J292" s="124"/>
    </row>
    <row r="293" spans="3:10" x14ac:dyDescent="0.2">
      <c r="C293" s="209"/>
      <c r="D293" s="209"/>
      <c r="E293" s="209"/>
      <c r="J293" s="124"/>
    </row>
    <row r="294" spans="3:10" x14ac:dyDescent="0.2">
      <c r="C294" s="209"/>
      <c r="D294" s="209"/>
      <c r="E294" s="209"/>
      <c r="J294" s="124"/>
    </row>
    <row r="295" spans="3:10" x14ac:dyDescent="0.2">
      <c r="C295" s="209"/>
      <c r="D295" s="209"/>
      <c r="E295" s="209"/>
      <c r="J295" s="124"/>
    </row>
    <row r="296" spans="3:10" x14ac:dyDescent="0.2">
      <c r="C296" s="209"/>
      <c r="D296" s="209"/>
      <c r="E296" s="209"/>
      <c r="J296" s="124"/>
    </row>
    <row r="297" spans="3:10" x14ac:dyDescent="0.2">
      <c r="C297" s="209"/>
      <c r="D297" s="209"/>
      <c r="E297" s="209"/>
      <c r="J297" s="124"/>
    </row>
    <row r="298" spans="3:10" x14ac:dyDescent="0.2">
      <c r="C298" s="209"/>
      <c r="D298" s="209"/>
      <c r="E298" s="209"/>
      <c r="J298" s="124"/>
    </row>
    <row r="299" spans="3:10" x14ac:dyDescent="0.2">
      <c r="C299" s="209"/>
      <c r="D299" s="209"/>
      <c r="E299" s="209"/>
      <c r="J299" s="124"/>
    </row>
    <row r="300" spans="3:10" x14ac:dyDescent="0.2">
      <c r="C300" s="209"/>
      <c r="D300" s="209"/>
      <c r="E300" s="209"/>
      <c r="J300" s="124"/>
    </row>
    <row r="301" spans="3:10" x14ac:dyDescent="0.2">
      <c r="C301" s="209"/>
      <c r="D301" s="209"/>
      <c r="E301" s="209"/>
      <c r="J301" s="124"/>
    </row>
    <row r="302" spans="3:10" x14ac:dyDescent="0.2">
      <c r="C302" s="209"/>
      <c r="D302" s="209"/>
      <c r="E302" s="209"/>
      <c r="J302" s="124"/>
    </row>
    <row r="303" spans="3:10" x14ac:dyDescent="0.2">
      <c r="C303" s="209"/>
      <c r="D303" s="209"/>
      <c r="E303" s="209"/>
      <c r="J303" s="124"/>
    </row>
    <row r="304" spans="3:10" x14ac:dyDescent="0.2">
      <c r="C304" s="209"/>
      <c r="D304" s="209"/>
      <c r="E304" s="209"/>
      <c r="J304" s="124"/>
    </row>
    <row r="305" spans="3:10" x14ac:dyDescent="0.2">
      <c r="C305" s="209"/>
      <c r="D305" s="209"/>
      <c r="E305" s="209"/>
      <c r="J305" s="124"/>
    </row>
    <row r="306" spans="3:10" x14ac:dyDescent="0.2">
      <c r="C306" s="209"/>
      <c r="D306" s="209"/>
      <c r="E306" s="209"/>
      <c r="J306" s="124"/>
    </row>
    <row r="307" spans="3:10" x14ac:dyDescent="0.2">
      <c r="C307" s="209"/>
      <c r="D307" s="209"/>
      <c r="E307" s="209"/>
      <c r="J307" s="124"/>
    </row>
    <row r="308" spans="3:10" x14ac:dyDescent="0.2">
      <c r="C308" s="209"/>
      <c r="D308" s="209"/>
      <c r="E308" s="209"/>
      <c r="J308" s="124"/>
    </row>
    <row r="309" spans="3:10" x14ac:dyDescent="0.2">
      <c r="C309" s="209"/>
      <c r="D309" s="209"/>
      <c r="E309" s="209"/>
      <c r="J309" s="124"/>
    </row>
    <row r="310" spans="3:10" x14ac:dyDescent="0.2">
      <c r="C310" s="209"/>
      <c r="D310" s="209"/>
      <c r="E310" s="209"/>
      <c r="J310" s="124"/>
    </row>
    <row r="311" spans="3:10" x14ac:dyDescent="0.2">
      <c r="C311" s="209"/>
      <c r="D311" s="209"/>
      <c r="E311" s="209"/>
      <c r="J311" s="124"/>
    </row>
    <row r="312" spans="3:10" x14ac:dyDescent="0.2">
      <c r="C312" s="209"/>
      <c r="D312" s="209"/>
      <c r="E312" s="209"/>
      <c r="J312" s="124"/>
    </row>
    <row r="313" spans="3:10" x14ac:dyDescent="0.2">
      <c r="C313" s="209"/>
      <c r="D313" s="209"/>
      <c r="E313" s="209"/>
      <c r="J313" s="124"/>
    </row>
    <row r="314" spans="3:10" x14ac:dyDescent="0.2">
      <c r="C314" s="209"/>
      <c r="D314" s="209"/>
      <c r="E314" s="209"/>
      <c r="J314" s="124"/>
    </row>
    <row r="315" spans="3:10" x14ac:dyDescent="0.2">
      <c r="C315" s="209"/>
      <c r="D315" s="209"/>
      <c r="E315" s="209"/>
      <c r="J315" s="124"/>
    </row>
    <row r="316" spans="3:10" x14ac:dyDescent="0.2">
      <c r="C316" s="209"/>
      <c r="D316" s="209"/>
      <c r="E316" s="209"/>
      <c r="J316" s="124"/>
    </row>
    <row r="317" spans="3:10" x14ac:dyDescent="0.2">
      <c r="C317" s="209"/>
      <c r="D317" s="209"/>
      <c r="E317" s="209"/>
      <c r="J317" s="124"/>
    </row>
    <row r="318" spans="3:10" x14ac:dyDescent="0.2">
      <c r="C318" s="209"/>
      <c r="D318" s="209"/>
      <c r="E318" s="209"/>
      <c r="J318" s="124"/>
    </row>
    <row r="319" spans="3:10" x14ac:dyDescent="0.2">
      <c r="C319" s="209"/>
      <c r="D319" s="209"/>
      <c r="E319" s="209"/>
      <c r="J319" s="124"/>
    </row>
    <row r="320" spans="3:10" x14ac:dyDescent="0.2">
      <c r="C320" s="209"/>
      <c r="D320" s="209"/>
      <c r="E320" s="209"/>
      <c r="J320" s="124"/>
    </row>
    <row r="321" spans="3:10" x14ac:dyDescent="0.2">
      <c r="C321" s="209"/>
      <c r="D321" s="209"/>
      <c r="E321" s="209"/>
      <c r="J321" s="124"/>
    </row>
    <row r="322" spans="3:10" x14ac:dyDescent="0.2">
      <c r="C322" s="209"/>
      <c r="D322" s="209"/>
      <c r="E322" s="209"/>
      <c r="J322" s="124"/>
    </row>
    <row r="323" spans="3:10" x14ac:dyDescent="0.2">
      <c r="C323" s="209"/>
      <c r="D323" s="209"/>
      <c r="E323" s="209"/>
      <c r="J323" s="124"/>
    </row>
    <row r="324" spans="3:10" x14ac:dyDescent="0.2">
      <c r="C324" s="209"/>
      <c r="D324" s="209"/>
      <c r="E324" s="209"/>
      <c r="J324" s="124"/>
    </row>
    <row r="325" spans="3:10" x14ac:dyDescent="0.2">
      <c r="C325" s="209"/>
      <c r="D325" s="209"/>
      <c r="E325" s="209"/>
      <c r="J325" s="124"/>
    </row>
    <row r="326" spans="3:10" x14ac:dyDescent="0.2">
      <c r="C326" s="209"/>
      <c r="D326" s="209"/>
      <c r="E326" s="209"/>
      <c r="J326" s="124"/>
    </row>
    <row r="327" spans="3:10" x14ac:dyDescent="0.2">
      <c r="C327" s="209"/>
      <c r="D327" s="209"/>
      <c r="E327" s="209"/>
      <c r="J327" s="124"/>
    </row>
    <row r="328" spans="3:10" x14ac:dyDescent="0.2">
      <c r="C328" s="209"/>
      <c r="D328" s="209"/>
      <c r="E328" s="209"/>
      <c r="J328" s="124"/>
    </row>
    <row r="329" spans="3:10" x14ac:dyDescent="0.2">
      <c r="C329" s="209"/>
      <c r="D329" s="209"/>
      <c r="E329" s="209"/>
      <c r="J329" s="124"/>
    </row>
    <row r="330" spans="3:10" x14ac:dyDescent="0.2">
      <c r="C330" s="209"/>
      <c r="D330" s="209"/>
      <c r="E330" s="209"/>
      <c r="J330" s="124"/>
    </row>
    <row r="331" spans="3:10" x14ac:dyDescent="0.2">
      <c r="C331" s="209"/>
      <c r="D331" s="209"/>
      <c r="E331" s="209"/>
      <c r="J331" s="124"/>
    </row>
    <row r="332" spans="3:10" x14ac:dyDescent="0.2">
      <c r="C332" s="209"/>
      <c r="D332" s="209"/>
      <c r="E332" s="209"/>
      <c r="J332" s="124"/>
    </row>
    <row r="333" spans="3:10" x14ac:dyDescent="0.2">
      <c r="C333" s="209"/>
      <c r="D333" s="209"/>
      <c r="E333" s="209"/>
      <c r="J333" s="124"/>
    </row>
    <row r="334" spans="3:10" x14ac:dyDescent="0.2">
      <c r="C334" s="209"/>
      <c r="D334" s="209"/>
      <c r="E334" s="209"/>
      <c r="J334" s="124"/>
    </row>
    <row r="335" spans="3:10" x14ac:dyDescent="0.2">
      <c r="C335" s="209"/>
      <c r="D335" s="209"/>
      <c r="E335" s="209"/>
      <c r="J335" s="124"/>
    </row>
    <row r="336" spans="3:10" x14ac:dyDescent="0.2">
      <c r="C336" s="209"/>
      <c r="D336" s="209"/>
      <c r="E336" s="209"/>
      <c r="J336" s="124"/>
    </row>
    <row r="337" spans="3:10" x14ac:dyDescent="0.2">
      <c r="C337" s="209"/>
      <c r="D337" s="209"/>
      <c r="E337" s="209"/>
      <c r="J337" s="124"/>
    </row>
    <row r="338" spans="3:10" x14ac:dyDescent="0.2">
      <c r="C338" s="209"/>
      <c r="D338" s="209"/>
      <c r="E338" s="209"/>
      <c r="J338" s="124"/>
    </row>
    <row r="339" spans="3:10" x14ac:dyDescent="0.2">
      <c r="C339" s="209"/>
      <c r="D339" s="209"/>
      <c r="E339" s="209"/>
      <c r="J339" s="124"/>
    </row>
    <row r="340" spans="3:10" x14ac:dyDescent="0.2">
      <c r="C340" s="209"/>
      <c r="D340" s="209"/>
      <c r="E340" s="209"/>
      <c r="J340" s="124"/>
    </row>
    <row r="341" spans="3:10" x14ac:dyDescent="0.2">
      <c r="C341" s="209"/>
      <c r="D341" s="209"/>
      <c r="E341" s="209"/>
      <c r="J341" s="124"/>
    </row>
    <row r="342" spans="3:10" x14ac:dyDescent="0.2">
      <c r="C342" s="209"/>
      <c r="D342" s="209"/>
      <c r="E342" s="209"/>
      <c r="J342" s="124"/>
    </row>
    <row r="343" spans="3:10" x14ac:dyDescent="0.2">
      <c r="C343" s="209"/>
      <c r="D343" s="209"/>
      <c r="E343" s="209"/>
      <c r="J343" s="124"/>
    </row>
    <row r="344" spans="3:10" x14ac:dyDescent="0.2">
      <c r="C344" s="209"/>
      <c r="D344" s="209"/>
      <c r="E344" s="209"/>
      <c r="J344" s="124"/>
    </row>
    <row r="345" spans="3:10" x14ac:dyDescent="0.2">
      <c r="C345" s="209"/>
      <c r="D345" s="209"/>
      <c r="E345" s="209"/>
      <c r="J345" s="124"/>
    </row>
    <row r="346" spans="3:10" x14ac:dyDescent="0.2">
      <c r="C346" s="209"/>
      <c r="D346" s="209"/>
      <c r="E346" s="209"/>
      <c r="J346" s="124"/>
    </row>
    <row r="347" spans="3:10" x14ac:dyDescent="0.2">
      <c r="C347" s="209"/>
      <c r="D347" s="209"/>
      <c r="E347" s="209"/>
      <c r="J347" s="124"/>
    </row>
    <row r="348" spans="3:10" x14ac:dyDescent="0.2">
      <c r="C348" s="209"/>
      <c r="D348" s="209"/>
      <c r="E348" s="209"/>
      <c r="J348" s="124"/>
    </row>
    <row r="349" spans="3:10" x14ac:dyDescent="0.2">
      <c r="C349" s="209"/>
      <c r="D349" s="209"/>
      <c r="E349" s="209"/>
      <c r="J349" s="124"/>
    </row>
    <row r="350" spans="3:10" x14ac:dyDescent="0.2">
      <c r="C350" s="209"/>
      <c r="D350" s="209"/>
      <c r="E350" s="209"/>
      <c r="J350" s="124"/>
    </row>
    <row r="351" spans="3:10" x14ac:dyDescent="0.2">
      <c r="C351" s="209"/>
      <c r="D351" s="209"/>
      <c r="E351" s="209"/>
      <c r="J351" s="124"/>
    </row>
    <row r="352" spans="3:10" x14ac:dyDescent="0.2">
      <c r="C352" s="209"/>
      <c r="D352" s="209"/>
      <c r="E352" s="209"/>
      <c r="J352" s="124"/>
    </row>
    <row r="353" spans="3:10" x14ac:dyDescent="0.2">
      <c r="C353" s="209"/>
      <c r="D353" s="209"/>
      <c r="E353" s="209"/>
      <c r="J353" s="124"/>
    </row>
    <row r="354" spans="3:10" x14ac:dyDescent="0.2">
      <c r="C354" s="209"/>
      <c r="D354" s="209"/>
      <c r="E354" s="209"/>
      <c r="J354" s="124"/>
    </row>
    <row r="355" spans="3:10" x14ac:dyDescent="0.2">
      <c r="C355" s="209"/>
      <c r="D355" s="209"/>
      <c r="E355" s="209"/>
      <c r="J355" s="124"/>
    </row>
    <row r="356" spans="3:10" x14ac:dyDescent="0.2">
      <c r="C356" s="209"/>
      <c r="D356" s="209"/>
      <c r="E356" s="209"/>
      <c r="J356" s="124"/>
    </row>
    <row r="357" spans="3:10" x14ac:dyDescent="0.2">
      <c r="C357" s="209"/>
      <c r="D357" s="209"/>
      <c r="E357" s="209"/>
      <c r="J357" s="124"/>
    </row>
    <row r="358" spans="3:10" x14ac:dyDescent="0.2">
      <c r="C358" s="209"/>
      <c r="D358" s="209"/>
      <c r="E358" s="209"/>
      <c r="J358" s="124"/>
    </row>
    <row r="359" spans="3:10" x14ac:dyDescent="0.2">
      <c r="C359" s="209"/>
      <c r="D359" s="209"/>
      <c r="E359" s="209"/>
      <c r="J359" s="124"/>
    </row>
    <row r="360" spans="3:10" x14ac:dyDescent="0.2">
      <c r="C360" s="209"/>
      <c r="D360" s="209"/>
      <c r="E360" s="209"/>
      <c r="J360" s="124"/>
    </row>
    <row r="361" spans="3:10" x14ac:dyDescent="0.2">
      <c r="C361" s="209"/>
      <c r="D361" s="209"/>
      <c r="E361" s="209"/>
      <c r="J361" s="124"/>
    </row>
    <row r="362" spans="3:10" x14ac:dyDescent="0.2">
      <c r="C362" s="209"/>
      <c r="D362" s="209"/>
      <c r="E362" s="209"/>
      <c r="J362" s="124"/>
    </row>
    <row r="363" spans="3:10" x14ac:dyDescent="0.2">
      <c r="C363" s="209"/>
      <c r="D363" s="209"/>
      <c r="E363" s="209"/>
      <c r="J363" s="124"/>
    </row>
    <row r="364" spans="3:10" x14ac:dyDescent="0.2">
      <c r="C364" s="209"/>
      <c r="D364" s="209"/>
      <c r="E364" s="209"/>
      <c r="J364" s="124"/>
    </row>
    <row r="365" spans="3:10" x14ac:dyDescent="0.2">
      <c r="C365" s="209"/>
      <c r="D365" s="209"/>
      <c r="E365" s="209"/>
      <c r="J365" s="124"/>
    </row>
    <row r="366" spans="3:10" x14ac:dyDescent="0.2">
      <c r="C366" s="209"/>
      <c r="D366" s="209"/>
      <c r="E366" s="209"/>
      <c r="J366" s="124"/>
    </row>
    <row r="367" spans="3:10" x14ac:dyDescent="0.2">
      <c r="C367" s="209"/>
      <c r="D367" s="209"/>
      <c r="E367" s="209"/>
      <c r="J367" s="124"/>
    </row>
    <row r="368" spans="3:10" x14ac:dyDescent="0.2">
      <c r="C368" s="209"/>
      <c r="D368" s="209"/>
      <c r="E368" s="209"/>
      <c r="J368" s="124"/>
    </row>
    <row r="369" spans="3:10" x14ac:dyDescent="0.2">
      <c r="C369" s="209"/>
      <c r="D369" s="209"/>
      <c r="E369" s="209"/>
      <c r="J369" s="124"/>
    </row>
    <row r="370" spans="3:10" x14ac:dyDescent="0.2">
      <c r="C370" s="209"/>
      <c r="D370" s="209"/>
      <c r="E370" s="209"/>
      <c r="J370" s="124"/>
    </row>
    <row r="371" spans="3:10" x14ac:dyDescent="0.2">
      <c r="C371" s="209"/>
      <c r="D371" s="209"/>
      <c r="E371" s="209"/>
      <c r="J371" s="124"/>
    </row>
    <row r="372" spans="3:10" x14ac:dyDescent="0.2">
      <c r="C372" s="209"/>
      <c r="D372" s="209"/>
      <c r="E372" s="209"/>
      <c r="J372" s="124"/>
    </row>
    <row r="373" spans="3:10" x14ac:dyDescent="0.2">
      <c r="C373" s="209"/>
      <c r="D373" s="209"/>
      <c r="E373" s="209"/>
      <c r="J373" s="124"/>
    </row>
    <row r="374" spans="3:10" x14ac:dyDescent="0.2">
      <c r="C374" s="209"/>
      <c r="D374" s="209"/>
      <c r="E374" s="209"/>
      <c r="J374" s="124"/>
    </row>
    <row r="375" spans="3:10" x14ac:dyDescent="0.2">
      <c r="C375" s="209"/>
      <c r="D375" s="209"/>
      <c r="E375" s="209"/>
      <c r="J375" s="124"/>
    </row>
    <row r="376" spans="3:10" x14ac:dyDescent="0.2">
      <c r="C376" s="209"/>
      <c r="D376" s="209"/>
      <c r="E376" s="209"/>
      <c r="J376" s="124"/>
    </row>
    <row r="377" spans="3:10" x14ac:dyDescent="0.2">
      <c r="C377" s="209"/>
      <c r="D377" s="209"/>
      <c r="E377" s="209"/>
      <c r="J377" s="124"/>
    </row>
    <row r="378" spans="3:10" x14ac:dyDescent="0.2">
      <c r="C378" s="209"/>
      <c r="D378" s="209"/>
      <c r="E378" s="209"/>
      <c r="J378" s="124"/>
    </row>
    <row r="379" spans="3:10" x14ac:dyDescent="0.2">
      <c r="C379" s="209"/>
      <c r="D379" s="209"/>
      <c r="E379" s="209"/>
      <c r="J379" s="124"/>
    </row>
    <row r="380" spans="3:10" x14ac:dyDescent="0.2">
      <c r="C380" s="209"/>
      <c r="D380" s="209"/>
      <c r="E380" s="209"/>
      <c r="J380" s="124"/>
    </row>
    <row r="381" spans="3:10" x14ac:dyDescent="0.2">
      <c r="C381" s="209"/>
      <c r="D381" s="209"/>
      <c r="E381" s="209"/>
      <c r="J381" s="124"/>
    </row>
    <row r="382" spans="3:10" x14ac:dyDescent="0.2">
      <c r="C382" s="209"/>
      <c r="D382" s="209"/>
      <c r="E382" s="209"/>
      <c r="J382" s="124"/>
    </row>
    <row r="383" spans="3:10" x14ac:dyDescent="0.2">
      <c r="C383" s="209"/>
      <c r="D383" s="209"/>
      <c r="E383" s="209"/>
      <c r="J383" s="124"/>
    </row>
    <row r="384" spans="3:10" x14ac:dyDescent="0.2">
      <c r="C384" s="209"/>
      <c r="D384" s="209"/>
      <c r="E384" s="209"/>
      <c r="J384" s="124"/>
    </row>
    <row r="385" spans="3:10" x14ac:dyDescent="0.2">
      <c r="C385" s="209"/>
      <c r="D385" s="209"/>
      <c r="E385" s="209"/>
      <c r="J385" s="124"/>
    </row>
    <row r="386" spans="3:10" x14ac:dyDescent="0.2">
      <c r="C386" s="209"/>
      <c r="D386" s="209"/>
      <c r="E386" s="209"/>
      <c r="J386" s="124"/>
    </row>
    <row r="387" spans="3:10" x14ac:dyDescent="0.2">
      <c r="C387" s="209"/>
      <c r="D387" s="209"/>
      <c r="E387" s="209"/>
      <c r="J387" s="124"/>
    </row>
    <row r="388" spans="3:10" x14ac:dyDescent="0.2">
      <c r="C388" s="209"/>
      <c r="D388" s="209"/>
      <c r="E388" s="209"/>
      <c r="J388" s="124"/>
    </row>
    <row r="389" spans="3:10" x14ac:dyDescent="0.2">
      <c r="C389" s="209"/>
      <c r="D389" s="209"/>
      <c r="E389" s="209"/>
      <c r="J389" s="124"/>
    </row>
    <row r="390" spans="3:10" x14ac:dyDescent="0.2">
      <c r="C390" s="209"/>
      <c r="D390" s="209"/>
      <c r="E390" s="209"/>
      <c r="J390" s="124"/>
    </row>
    <row r="391" spans="3:10" x14ac:dyDescent="0.2">
      <c r="C391" s="209"/>
      <c r="D391" s="209"/>
      <c r="E391" s="209"/>
      <c r="J391" s="124"/>
    </row>
    <row r="392" spans="3:10" x14ac:dyDescent="0.2">
      <c r="C392" s="209"/>
      <c r="D392" s="209"/>
      <c r="E392" s="209"/>
      <c r="J392" s="124"/>
    </row>
    <row r="393" spans="3:10" x14ac:dyDescent="0.2">
      <c r="C393" s="209"/>
      <c r="D393" s="209"/>
      <c r="E393" s="209"/>
      <c r="J393" s="124"/>
    </row>
    <row r="394" spans="3:10" x14ac:dyDescent="0.2">
      <c r="C394" s="209"/>
      <c r="D394" s="209"/>
      <c r="E394" s="209"/>
      <c r="J394" s="124"/>
    </row>
    <row r="395" spans="3:10" x14ac:dyDescent="0.2">
      <c r="C395" s="209"/>
      <c r="D395" s="209"/>
      <c r="E395" s="209"/>
      <c r="J395" s="124"/>
    </row>
    <row r="396" spans="3:10" x14ac:dyDescent="0.2">
      <c r="C396" s="209"/>
      <c r="D396" s="209"/>
      <c r="E396" s="209"/>
      <c r="J396" s="124"/>
    </row>
    <row r="397" spans="3:10" x14ac:dyDescent="0.2">
      <c r="C397" s="209"/>
      <c r="D397" s="209"/>
      <c r="E397" s="209"/>
      <c r="J397" s="124"/>
    </row>
    <row r="398" spans="3:10" x14ac:dyDescent="0.2">
      <c r="C398" s="209"/>
      <c r="D398" s="209"/>
      <c r="E398" s="209"/>
      <c r="J398" s="124"/>
    </row>
    <row r="399" spans="3:10" x14ac:dyDescent="0.2">
      <c r="C399" s="209"/>
      <c r="D399" s="209"/>
      <c r="E399" s="209"/>
      <c r="J399" s="124"/>
    </row>
    <row r="400" spans="3:10" x14ac:dyDescent="0.2">
      <c r="C400" s="209"/>
      <c r="D400" s="209"/>
      <c r="E400" s="209"/>
      <c r="J400" s="124"/>
    </row>
    <row r="401" spans="3:10" x14ac:dyDescent="0.2">
      <c r="C401" s="209"/>
      <c r="D401" s="209"/>
      <c r="E401" s="209"/>
      <c r="J401" s="124"/>
    </row>
    <row r="402" spans="3:10" x14ac:dyDescent="0.2">
      <c r="C402" s="209"/>
      <c r="D402" s="209"/>
      <c r="E402" s="209"/>
      <c r="J402" s="124"/>
    </row>
    <row r="403" spans="3:10" x14ac:dyDescent="0.2">
      <c r="C403" s="209"/>
      <c r="D403" s="209"/>
      <c r="E403" s="209"/>
      <c r="J403" s="124"/>
    </row>
    <row r="404" spans="3:10" x14ac:dyDescent="0.2">
      <c r="C404" s="209"/>
      <c r="D404" s="209"/>
      <c r="E404" s="209"/>
      <c r="J404" s="124"/>
    </row>
    <row r="405" spans="3:10" x14ac:dyDescent="0.2">
      <c r="C405" s="209"/>
      <c r="D405" s="209"/>
      <c r="E405" s="209"/>
      <c r="J405" s="124"/>
    </row>
    <row r="406" spans="3:10" x14ac:dyDescent="0.2">
      <c r="C406" s="209"/>
      <c r="D406" s="209"/>
      <c r="E406" s="209"/>
      <c r="J406" s="124"/>
    </row>
    <row r="407" spans="3:10" x14ac:dyDescent="0.2">
      <c r="C407" s="209"/>
      <c r="D407" s="209"/>
      <c r="E407" s="209"/>
      <c r="J407" s="124"/>
    </row>
    <row r="408" spans="3:10" x14ac:dyDescent="0.2">
      <c r="C408" s="209"/>
      <c r="D408" s="209"/>
      <c r="E408" s="209"/>
      <c r="J408" s="124"/>
    </row>
    <row r="409" spans="3:10" x14ac:dyDescent="0.2">
      <c r="C409" s="209"/>
      <c r="D409" s="209"/>
      <c r="E409" s="209"/>
      <c r="J409" s="124"/>
    </row>
    <row r="410" spans="3:10" x14ac:dyDescent="0.2">
      <c r="C410" s="209"/>
      <c r="D410" s="209"/>
      <c r="E410" s="209"/>
      <c r="J410" s="124"/>
    </row>
    <row r="411" spans="3:10" x14ac:dyDescent="0.2">
      <c r="C411" s="209"/>
      <c r="D411" s="209"/>
      <c r="E411" s="209"/>
      <c r="J411" s="124"/>
    </row>
    <row r="412" spans="3:10" x14ac:dyDescent="0.2">
      <c r="C412" s="209"/>
      <c r="D412" s="209"/>
      <c r="E412" s="209"/>
      <c r="J412" s="124"/>
    </row>
    <row r="413" spans="3:10" x14ac:dyDescent="0.2">
      <c r="C413" s="209"/>
      <c r="D413" s="209"/>
      <c r="E413" s="209"/>
      <c r="J413" s="124"/>
    </row>
    <row r="414" spans="3:10" x14ac:dyDescent="0.2">
      <c r="C414" s="209"/>
      <c r="D414" s="209"/>
      <c r="E414" s="209"/>
      <c r="J414" s="124"/>
    </row>
    <row r="415" spans="3:10" x14ac:dyDescent="0.2">
      <c r="C415" s="209"/>
      <c r="D415" s="209"/>
      <c r="E415" s="209"/>
      <c r="J415" s="124"/>
    </row>
    <row r="416" spans="3:10" x14ac:dyDescent="0.2">
      <c r="C416" s="209"/>
      <c r="D416" s="209"/>
      <c r="E416" s="209"/>
      <c r="J416" s="124"/>
    </row>
    <row r="417" spans="3:10" x14ac:dyDescent="0.2">
      <c r="C417" s="209"/>
      <c r="D417" s="209"/>
      <c r="E417" s="209"/>
      <c r="J417" s="124"/>
    </row>
    <row r="418" spans="3:10" x14ac:dyDescent="0.2">
      <c r="C418" s="209"/>
      <c r="D418" s="209"/>
      <c r="E418" s="209"/>
      <c r="J418" s="124"/>
    </row>
    <row r="419" spans="3:10" x14ac:dyDescent="0.2">
      <c r="C419" s="209"/>
      <c r="D419" s="209"/>
      <c r="E419" s="209"/>
      <c r="J419" s="124"/>
    </row>
    <row r="420" spans="3:10" x14ac:dyDescent="0.2">
      <c r="C420" s="209"/>
      <c r="D420" s="209"/>
      <c r="E420" s="209"/>
      <c r="J420" s="124"/>
    </row>
    <row r="421" spans="3:10" x14ac:dyDescent="0.2">
      <c r="C421" s="209"/>
      <c r="D421" s="209"/>
      <c r="E421" s="209"/>
      <c r="J421" s="124"/>
    </row>
    <row r="422" spans="3:10" x14ac:dyDescent="0.2">
      <c r="C422" s="209"/>
      <c r="D422" s="209"/>
      <c r="E422" s="209"/>
      <c r="J422" s="124"/>
    </row>
    <row r="423" spans="3:10" x14ac:dyDescent="0.2">
      <c r="C423" s="209"/>
      <c r="D423" s="209"/>
      <c r="E423" s="209"/>
      <c r="J423" s="124"/>
    </row>
    <row r="424" spans="3:10" x14ac:dyDescent="0.2">
      <c r="C424" s="209"/>
      <c r="D424" s="209"/>
      <c r="E424" s="209"/>
      <c r="J424" s="124"/>
    </row>
    <row r="425" spans="3:10" x14ac:dyDescent="0.2">
      <c r="C425" s="209"/>
      <c r="D425" s="209"/>
      <c r="E425" s="209"/>
      <c r="J425" s="124"/>
    </row>
    <row r="426" spans="3:10" x14ac:dyDescent="0.2">
      <c r="C426" s="209"/>
      <c r="D426" s="209"/>
      <c r="E426" s="209"/>
      <c r="J426" s="124"/>
    </row>
    <row r="427" spans="3:10" x14ac:dyDescent="0.2">
      <c r="C427" s="209"/>
      <c r="D427" s="209"/>
      <c r="E427" s="209"/>
      <c r="J427" s="124"/>
    </row>
    <row r="428" spans="3:10" x14ac:dyDescent="0.2">
      <c r="C428" s="209"/>
      <c r="D428" s="209"/>
      <c r="E428" s="209"/>
      <c r="J428" s="124"/>
    </row>
    <row r="429" spans="3:10" x14ac:dyDescent="0.2">
      <c r="C429" s="209"/>
      <c r="D429" s="209"/>
      <c r="E429" s="209"/>
      <c r="J429" s="124"/>
    </row>
    <row r="430" spans="3:10" x14ac:dyDescent="0.2">
      <c r="C430" s="209"/>
      <c r="D430" s="209"/>
      <c r="E430" s="209"/>
      <c r="J430" s="124"/>
    </row>
    <row r="431" spans="3:10" x14ac:dyDescent="0.2">
      <c r="C431" s="209"/>
      <c r="D431" s="209"/>
      <c r="E431" s="209"/>
      <c r="J431" s="124"/>
    </row>
    <row r="432" spans="3:10" x14ac:dyDescent="0.2">
      <c r="C432" s="209"/>
      <c r="D432" s="209"/>
      <c r="E432" s="209"/>
      <c r="J432" s="124"/>
    </row>
    <row r="433" spans="3:10" x14ac:dyDescent="0.2">
      <c r="C433" s="209"/>
      <c r="D433" s="209"/>
      <c r="E433" s="209"/>
      <c r="J433" s="124"/>
    </row>
    <row r="434" spans="3:10" x14ac:dyDescent="0.2">
      <c r="C434" s="209"/>
      <c r="D434" s="209"/>
      <c r="E434" s="209"/>
      <c r="J434" s="124"/>
    </row>
    <row r="435" spans="3:10" x14ac:dyDescent="0.2">
      <c r="C435" s="209"/>
      <c r="D435" s="209"/>
      <c r="E435" s="209"/>
      <c r="J435" s="124"/>
    </row>
    <row r="436" spans="3:10" x14ac:dyDescent="0.2">
      <c r="C436" s="209"/>
      <c r="D436" s="209"/>
      <c r="E436" s="209"/>
      <c r="J436" s="124"/>
    </row>
    <row r="437" spans="3:10" x14ac:dyDescent="0.2">
      <c r="C437" s="209"/>
      <c r="D437" s="209"/>
      <c r="E437" s="209"/>
      <c r="J437" s="124"/>
    </row>
    <row r="438" spans="3:10" x14ac:dyDescent="0.2">
      <c r="C438" s="209"/>
      <c r="D438" s="209"/>
      <c r="E438" s="209"/>
      <c r="J438" s="124"/>
    </row>
    <row r="439" spans="3:10" x14ac:dyDescent="0.2">
      <c r="C439" s="209"/>
      <c r="D439" s="209"/>
      <c r="E439" s="209"/>
      <c r="J439" s="124"/>
    </row>
    <row r="440" spans="3:10" x14ac:dyDescent="0.2">
      <c r="C440" s="209"/>
      <c r="D440" s="209"/>
      <c r="E440" s="209"/>
      <c r="J440" s="124"/>
    </row>
    <row r="441" spans="3:10" x14ac:dyDescent="0.2">
      <c r="C441" s="209"/>
      <c r="D441" s="209"/>
      <c r="E441" s="209"/>
      <c r="J441" s="124"/>
    </row>
    <row r="442" spans="3:10" x14ac:dyDescent="0.2">
      <c r="C442" s="209"/>
      <c r="D442" s="209"/>
      <c r="E442" s="209"/>
      <c r="J442" s="124"/>
    </row>
    <row r="443" spans="3:10" x14ac:dyDescent="0.2">
      <c r="C443" s="209"/>
      <c r="D443" s="209"/>
      <c r="E443" s="209"/>
      <c r="J443" s="124"/>
    </row>
    <row r="444" spans="3:10" x14ac:dyDescent="0.2">
      <c r="C444" s="209"/>
      <c r="D444" s="209"/>
      <c r="E444" s="209"/>
      <c r="J444" s="124"/>
    </row>
    <row r="445" spans="3:10" x14ac:dyDescent="0.2">
      <c r="C445" s="209"/>
      <c r="D445" s="209"/>
      <c r="E445" s="209"/>
      <c r="J445" s="124"/>
    </row>
    <row r="446" spans="3:10" x14ac:dyDescent="0.2">
      <c r="C446" s="209"/>
      <c r="D446" s="209"/>
      <c r="E446" s="209"/>
      <c r="J446" s="124"/>
    </row>
    <row r="447" spans="3:10" x14ac:dyDescent="0.2">
      <c r="C447" s="209"/>
      <c r="D447" s="209"/>
      <c r="E447" s="209"/>
      <c r="J447" s="124"/>
    </row>
    <row r="448" spans="3:10" x14ac:dyDescent="0.2">
      <c r="C448" s="209"/>
      <c r="D448" s="209"/>
      <c r="E448" s="209"/>
      <c r="J448" s="124"/>
    </row>
    <row r="449" spans="3:10" x14ac:dyDescent="0.2">
      <c r="C449" s="209"/>
      <c r="D449" s="209"/>
      <c r="E449" s="209"/>
      <c r="J449" s="124"/>
    </row>
    <row r="450" spans="3:10" x14ac:dyDescent="0.2">
      <c r="C450" s="209"/>
      <c r="D450" s="209"/>
      <c r="E450" s="209"/>
      <c r="J450" s="124"/>
    </row>
    <row r="451" spans="3:10" x14ac:dyDescent="0.2">
      <c r="C451" s="209"/>
      <c r="D451" s="209"/>
      <c r="E451" s="209"/>
      <c r="J451" s="124"/>
    </row>
    <row r="452" spans="3:10" x14ac:dyDescent="0.2">
      <c r="C452" s="209"/>
      <c r="D452" s="209"/>
      <c r="E452" s="209"/>
      <c r="J452" s="124"/>
    </row>
    <row r="453" spans="3:10" x14ac:dyDescent="0.2">
      <c r="C453" s="209"/>
      <c r="D453" s="209"/>
      <c r="E453" s="209"/>
      <c r="J453" s="124"/>
    </row>
    <row r="454" spans="3:10" x14ac:dyDescent="0.2">
      <c r="C454" s="209"/>
      <c r="D454" s="209"/>
      <c r="E454" s="209"/>
      <c r="J454" s="124"/>
    </row>
    <row r="455" spans="3:10" x14ac:dyDescent="0.2">
      <c r="C455" s="209"/>
      <c r="D455" s="209"/>
      <c r="E455" s="209"/>
      <c r="J455" s="124"/>
    </row>
    <row r="456" spans="3:10" x14ac:dyDescent="0.2">
      <c r="C456" s="209"/>
      <c r="D456" s="209"/>
      <c r="E456" s="209"/>
      <c r="J456" s="124"/>
    </row>
    <row r="457" spans="3:10" x14ac:dyDescent="0.2">
      <c r="C457" s="209"/>
      <c r="D457" s="209"/>
      <c r="E457" s="209"/>
      <c r="J457" s="124"/>
    </row>
    <row r="458" spans="3:10" x14ac:dyDescent="0.2">
      <c r="C458" s="209"/>
      <c r="D458" s="209"/>
      <c r="E458" s="209"/>
      <c r="J458" s="124"/>
    </row>
    <row r="459" spans="3:10" x14ac:dyDescent="0.2">
      <c r="C459" s="209"/>
      <c r="D459" s="209"/>
      <c r="E459" s="209"/>
      <c r="J459" s="124"/>
    </row>
    <row r="460" spans="3:10" x14ac:dyDescent="0.2">
      <c r="C460" s="209"/>
      <c r="D460" s="209"/>
      <c r="E460" s="209"/>
      <c r="J460" s="124"/>
    </row>
    <row r="461" spans="3:10" x14ac:dyDescent="0.2">
      <c r="C461" s="209"/>
      <c r="D461" s="209"/>
      <c r="E461" s="209"/>
      <c r="J461" s="124"/>
    </row>
    <row r="462" spans="3:10" x14ac:dyDescent="0.2">
      <c r="C462" s="209"/>
      <c r="D462" s="209"/>
      <c r="E462" s="209"/>
      <c r="J462" s="124"/>
    </row>
    <row r="463" spans="3:10" x14ac:dyDescent="0.2">
      <c r="C463" s="209"/>
      <c r="D463" s="209"/>
      <c r="E463" s="209"/>
      <c r="J463" s="124"/>
    </row>
    <row r="464" spans="3:10" x14ac:dyDescent="0.2">
      <c r="C464" s="209"/>
      <c r="D464" s="209"/>
      <c r="E464" s="209"/>
      <c r="J464" s="124"/>
    </row>
    <row r="465" spans="3:10" x14ac:dyDescent="0.2">
      <c r="C465" s="209"/>
      <c r="D465" s="209"/>
      <c r="E465" s="209"/>
      <c r="J465" s="124"/>
    </row>
    <row r="466" spans="3:10" x14ac:dyDescent="0.2">
      <c r="C466" s="209"/>
      <c r="D466" s="209"/>
      <c r="E466" s="209"/>
      <c r="J466" s="124"/>
    </row>
    <row r="467" spans="3:10" x14ac:dyDescent="0.2">
      <c r="C467" s="209"/>
      <c r="D467" s="209"/>
      <c r="E467" s="209"/>
      <c r="J467" s="124"/>
    </row>
    <row r="468" spans="3:10" x14ac:dyDescent="0.2">
      <c r="C468" s="209"/>
      <c r="D468" s="209"/>
      <c r="E468" s="209"/>
      <c r="J468" s="124"/>
    </row>
    <row r="469" spans="3:10" x14ac:dyDescent="0.2">
      <c r="C469" s="209"/>
      <c r="D469" s="209"/>
      <c r="E469" s="209"/>
      <c r="J469" s="124"/>
    </row>
    <row r="470" spans="3:10" x14ac:dyDescent="0.2">
      <c r="C470" s="209"/>
      <c r="D470" s="209"/>
      <c r="E470" s="209"/>
      <c r="J470" s="124"/>
    </row>
    <row r="471" spans="3:10" x14ac:dyDescent="0.2">
      <c r="C471" s="209"/>
      <c r="D471" s="209"/>
      <c r="E471" s="209"/>
      <c r="J471" s="124"/>
    </row>
    <row r="472" spans="3:10" x14ac:dyDescent="0.2">
      <c r="C472" s="209"/>
      <c r="D472" s="209"/>
      <c r="E472" s="209"/>
      <c r="J472" s="124"/>
    </row>
    <row r="473" spans="3:10" x14ac:dyDescent="0.2">
      <c r="C473" s="209"/>
      <c r="D473" s="209"/>
      <c r="E473" s="209"/>
      <c r="J473" s="124"/>
    </row>
    <row r="474" spans="3:10" x14ac:dyDescent="0.2">
      <c r="C474" s="209"/>
      <c r="D474" s="209"/>
      <c r="E474" s="209"/>
      <c r="J474" s="124"/>
    </row>
    <row r="475" spans="3:10" x14ac:dyDescent="0.2">
      <c r="C475" s="209"/>
      <c r="D475" s="209"/>
      <c r="E475" s="209"/>
      <c r="J475" s="124"/>
    </row>
    <row r="476" spans="3:10" x14ac:dyDescent="0.2">
      <c r="C476" s="209"/>
      <c r="D476" s="209"/>
      <c r="E476" s="209"/>
      <c r="J476" s="124"/>
    </row>
    <row r="477" spans="3:10" x14ac:dyDescent="0.2">
      <c r="C477" s="209"/>
      <c r="D477" s="209"/>
      <c r="E477" s="209"/>
      <c r="J477" s="124"/>
    </row>
    <row r="478" spans="3:10" x14ac:dyDescent="0.2">
      <c r="C478" s="209"/>
      <c r="D478" s="209"/>
      <c r="E478" s="209"/>
      <c r="J478" s="124"/>
    </row>
    <row r="479" spans="3:10" x14ac:dyDescent="0.2">
      <c r="C479" s="209"/>
      <c r="D479" s="209"/>
      <c r="E479" s="209"/>
      <c r="J479" s="124"/>
    </row>
    <row r="480" spans="3:10" x14ac:dyDescent="0.2">
      <c r="C480" s="209"/>
      <c r="D480" s="209"/>
      <c r="E480" s="209"/>
      <c r="J480" s="124"/>
    </row>
    <row r="481" spans="3:10" x14ac:dyDescent="0.2">
      <c r="C481" s="209"/>
      <c r="D481" s="209"/>
      <c r="E481" s="209"/>
      <c r="J481" s="124"/>
    </row>
    <row r="482" spans="3:10" x14ac:dyDescent="0.2">
      <c r="C482" s="209"/>
      <c r="D482" s="209"/>
      <c r="E482" s="209"/>
      <c r="J482" s="124"/>
    </row>
    <row r="483" spans="3:10" x14ac:dyDescent="0.2">
      <c r="C483" s="209"/>
      <c r="D483" s="209"/>
      <c r="E483" s="209"/>
      <c r="J483" s="124"/>
    </row>
    <row r="484" spans="3:10" x14ac:dyDescent="0.2">
      <c r="C484" s="209"/>
      <c r="D484" s="209"/>
      <c r="E484" s="209"/>
      <c r="J484" s="124"/>
    </row>
    <row r="485" spans="3:10" x14ac:dyDescent="0.2">
      <c r="C485" s="209"/>
      <c r="D485" s="209"/>
      <c r="E485" s="209"/>
      <c r="J485" s="124"/>
    </row>
    <row r="486" spans="3:10" x14ac:dyDescent="0.2">
      <c r="C486" s="209"/>
      <c r="D486" s="209"/>
      <c r="E486" s="209"/>
      <c r="J486" s="124"/>
    </row>
    <row r="487" spans="3:10" x14ac:dyDescent="0.2">
      <c r="C487" s="209"/>
      <c r="D487" s="209"/>
      <c r="E487" s="209"/>
      <c r="J487" s="124"/>
    </row>
    <row r="488" spans="3:10" x14ac:dyDescent="0.2">
      <c r="C488" s="209"/>
      <c r="D488" s="209"/>
      <c r="E488" s="209"/>
      <c r="J488" s="124"/>
    </row>
    <row r="489" spans="3:10" x14ac:dyDescent="0.2">
      <c r="C489" s="209"/>
      <c r="D489" s="209"/>
      <c r="E489" s="209"/>
      <c r="J489" s="124"/>
    </row>
    <row r="490" spans="3:10" x14ac:dyDescent="0.2">
      <c r="C490" s="209"/>
      <c r="D490" s="209"/>
      <c r="E490" s="209"/>
      <c r="J490" s="124"/>
    </row>
    <row r="491" spans="3:10" x14ac:dyDescent="0.2">
      <c r="C491" s="209"/>
      <c r="D491" s="209"/>
      <c r="E491" s="209"/>
      <c r="J491" s="124"/>
    </row>
    <row r="492" spans="3:10" x14ac:dyDescent="0.2">
      <c r="C492" s="209"/>
      <c r="D492" s="209"/>
      <c r="E492" s="209"/>
      <c r="J492" s="124"/>
    </row>
    <row r="493" spans="3:10" x14ac:dyDescent="0.2">
      <c r="C493" s="209"/>
      <c r="D493" s="209"/>
      <c r="E493" s="209"/>
      <c r="J493" s="124"/>
    </row>
    <row r="494" spans="3:10" x14ac:dyDescent="0.2">
      <c r="C494" s="209"/>
      <c r="D494" s="209"/>
      <c r="E494" s="209"/>
      <c r="J494" s="124"/>
    </row>
    <row r="495" spans="3:10" x14ac:dyDescent="0.2">
      <c r="C495" s="209"/>
      <c r="D495" s="209"/>
      <c r="E495" s="209"/>
      <c r="J495" s="124"/>
    </row>
    <row r="496" spans="3:10" x14ac:dyDescent="0.2">
      <c r="C496" s="209"/>
      <c r="D496" s="209"/>
      <c r="E496" s="209"/>
      <c r="J496" s="124"/>
    </row>
    <row r="497" spans="3:10" x14ac:dyDescent="0.2">
      <c r="C497" s="209"/>
      <c r="D497" s="209"/>
      <c r="E497" s="209"/>
      <c r="J497" s="124"/>
    </row>
    <row r="498" spans="3:10" x14ac:dyDescent="0.2">
      <c r="C498" s="209"/>
      <c r="D498" s="209"/>
      <c r="E498" s="209"/>
      <c r="J498" s="124"/>
    </row>
    <row r="499" spans="3:10" x14ac:dyDescent="0.2">
      <c r="C499" s="209"/>
      <c r="D499" s="209"/>
      <c r="E499" s="209"/>
      <c r="J499" s="124"/>
    </row>
    <row r="500" spans="3:10" x14ac:dyDescent="0.2">
      <c r="C500" s="209"/>
      <c r="D500" s="209"/>
      <c r="E500" s="209"/>
      <c r="J500" s="124"/>
    </row>
    <row r="501" spans="3:10" x14ac:dyDescent="0.2">
      <c r="C501" s="209"/>
      <c r="D501" s="209"/>
      <c r="E501" s="209"/>
      <c r="J501" s="124"/>
    </row>
    <row r="502" spans="3:10" x14ac:dyDescent="0.2">
      <c r="C502" s="209"/>
      <c r="D502" s="209"/>
      <c r="E502" s="209"/>
      <c r="J502" s="124"/>
    </row>
    <row r="503" spans="3:10" x14ac:dyDescent="0.2">
      <c r="C503" s="209"/>
      <c r="D503" s="209"/>
      <c r="E503" s="209"/>
      <c r="J503" s="124"/>
    </row>
    <row r="504" spans="3:10" x14ac:dyDescent="0.2">
      <c r="C504" s="209"/>
      <c r="D504" s="209"/>
      <c r="E504" s="209"/>
      <c r="J504" s="124"/>
    </row>
    <row r="505" spans="3:10" x14ac:dyDescent="0.2">
      <c r="C505" s="209"/>
      <c r="D505" s="209"/>
      <c r="E505" s="209"/>
      <c r="J505" s="124"/>
    </row>
    <row r="506" spans="3:10" x14ac:dyDescent="0.2">
      <c r="C506" s="209"/>
      <c r="D506" s="209"/>
      <c r="E506" s="209"/>
      <c r="J506" s="124"/>
    </row>
    <row r="507" spans="3:10" x14ac:dyDescent="0.2">
      <c r="C507" s="209"/>
      <c r="D507" s="209"/>
      <c r="E507" s="209"/>
      <c r="J507" s="124"/>
    </row>
    <row r="508" spans="3:10" x14ac:dyDescent="0.2">
      <c r="C508" s="209"/>
      <c r="D508" s="209"/>
      <c r="E508" s="209"/>
      <c r="J508" s="124"/>
    </row>
    <row r="509" spans="3:10" x14ac:dyDescent="0.2">
      <c r="C509" s="209"/>
      <c r="D509" s="209"/>
      <c r="E509" s="209"/>
      <c r="J509" s="124"/>
    </row>
    <row r="510" spans="3:10" x14ac:dyDescent="0.2">
      <c r="C510" s="209"/>
      <c r="D510" s="209"/>
      <c r="E510" s="209"/>
      <c r="J510" s="124"/>
    </row>
    <row r="511" spans="3:10" x14ac:dyDescent="0.2">
      <c r="C511" s="209"/>
      <c r="D511" s="209"/>
      <c r="E511" s="209"/>
      <c r="J511" s="124"/>
    </row>
    <row r="512" spans="3:10" x14ac:dyDescent="0.2">
      <c r="C512" s="209"/>
      <c r="D512" s="209"/>
      <c r="E512" s="209"/>
      <c r="J512" s="124"/>
    </row>
    <row r="513" spans="3:10" x14ac:dyDescent="0.2">
      <c r="C513" s="209"/>
      <c r="D513" s="209"/>
      <c r="E513" s="209"/>
      <c r="J513" s="124"/>
    </row>
    <row r="514" spans="3:10" x14ac:dyDescent="0.2">
      <c r="C514" s="209"/>
      <c r="D514" s="209"/>
      <c r="E514" s="209"/>
      <c r="J514" s="124"/>
    </row>
    <row r="515" spans="3:10" x14ac:dyDescent="0.2">
      <c r="C515" s="209"/>
      <c r="D515" s="209"/>
      <c r="E515" s="209"/>
      <c r="J515" s="124"/>
    </row>
    <row r="516" spans="3:10" x14ac:dyDescent="0.2">
      <c r="C516" s="209"/>
      <c r="D516" s="209"/>
      <c r="E516" s="209"/>
      <c r="J516" s="124"/>
    </row>
    <row r="517" spans="3:10" x14ac:dyDescent="0.2">
      <c r="C517" s="209"/>
      <c r="D517" s="209"/>
      <c r="E517" s="209"/>
      <c r="J517" s="124"/>
    </row>
    <row r="518" spans="3:10" x14ac:dyDescent="0.2">
      <c r="C518" s="209"/>
      <c r="D518" s="209"/>
      <c r="E518" s="209"/>
      <c r="J518" s="124"/>
    </row>
    <row r="519" spans="3:10" x14ac:dyDescent="0.2">
      <c r="C519" s="209"/>
      <c r="D519" s="209"/>
      <c r="E519" s="209"/>
      <c r="J519" s="124"/>
    </row>
    <row r="520" spans="3:10" x14ac:dyDescent="0.2">
      <c r="C520" s="209"/>
      <c r="D520" s="209"/>
      <c r="E520" s="209"/>
      <c r="J520" s="124"/>
    </row>
    <row r="521" spans="3:10" x14ac:dyDescent="0.2">
      <c r="C521" s="209"/>
      <c r="D521" s="209"/>
      <c r="E521" s="209"/>
      <c r="J521" s="124"/>
    </row>
    <row r="522" spans="3:10" x14ac:dyDescent="0.2">
      <c r="C522" s="209"/>
      <c r="D522" s="209"/>
      <c r="E522" s="209"/>
      <c r="J522" s="124"/>
    </row>
    <row r="523" spans="3:10" x14ac:dyDescent="0.2">
      <c r="C523" s="209"/>
      <c r="D523" s="209"/>
      <c r="E523" s="209"/>
      <c r="J523" s="124"/>
    </row>
    <row r="524" spans="3:10" x14ac:dyDescent="0.2">
      <c r="C524" s="209"/>
      <c r="D524" s="209"/>
      <c r="E524" s="209"/>
      <c r="J524" s="124"/>
    </row>
    <row r="525" spans="3:10" x14ac:dyDescent="0.2">
      <c r="C525" s="209"/>
      <c r="D525" s="209"/>
      <c r="E525" s="209"/>
      <c r="J525" s="124"/>
    </row>
    <row r="526" spans="3:10" x14ac:dyDescent="0.2">
      <c r="C526" s="209"/>
      <c r="D526" s="209"/>
      <c r="E526" s="209"/>
      <c r="J526" s="124"/>
    </row>
    <row r="527" spans="3:10" x14ac:dyDescent="0.2">
      <c r="C527" s="209"/>
      <c r="D527" s="209"/>
      <c r="E527" s="209"/>
      <c r="J527" s="124"/>
    </row>
    <row r="528" spans="3:10" x14ac:dyDescent="0.2">
      <c r="C528" s="209"/>
      <c r="D528" s="209"/>
      <c r="E528" s="209"/>
      <c r="J528" s="124"/>
    </row>
    <row r="529" spans="3:10" x14ac:dyDescent="0.2">
      <c r="C529" s="209"/>
      <c r="D529" s="209"/>
      <c r="E529" s="209"/>
      <c r="J529" s="124"/>
    </row>
    <row r="530" spans="3:10" x14ac:dyDescent="0.2">
      <c r="C530" s="209"/>
      <c r="D530" s="209"/>
      <c r="E530" s="209"/>
      <c r="J530" s="124"/>
    </row>
    <row r="531" spans="3:10" x14ac:dyDescent="0.2">
      <c r="C531" s="209"/>
      <c r="D531" s="209"/>
      <c r="E531" s="209"/>
      <c r="J531" s="124"/>
    </row>
    <row r="532" spans="3:10" x14ac:dyDescent="0.2">
      <c r="C532" s="209"/>
      <c r="D532" s="209"/>
      <c r="E532" s="209"/>
      <c r="J532" s="124"/>
    </row>
    <row r="533" spans="3:10" x14ac:dyDescent="0.2">
      <c r="C533" s="209"/>
      <c r="D533" s="209"/>
      <c r="E533" s="209"/>
      <c r="J533" s="124"/>
    </row>
    <row r="534" spans="3:10" x14ac:dyDescent="0.2">
      <c r="C534" s="209"/>
      <c r="D534" s="209"/>
      <c r="E534" s="209"/>
      <c r="J534" s="124"/>
    </row>
    <row r="535" spans="3:10" x14ac:dyDescent="0.2">
      <c r="C535" s="209"/>
      <c r="D535" s="209"/>
      <c r="E535" s="209"/>
      <c r="J535" s="124"/>
    </row>
    <row r="536" spans="3:10" x14ac:dyDescent="0.2">
      <c r="C536" s="209"/>
      <c r="D536" s="209"/>
      <c r="E536" s="209"/>
      <c r="J536" s="124"/>
    </row>
    <row r="537" spans="3:10" x14ac:dyDescent="0.2">
      <c r="C537" s="209"/>
      <c r="D537" s="209"/>
      <c r="E537" s="209"/>
      <c r="J537" s="124"/>
    </row>
    <row r="538" spans="3:10" x14ac:dyDescent="0.2">
      <c r="C538" s="209"/>
      <c r="D538" s="209"/>
      <c r="E538" s="209"/>
      <c r="J538" s="124"/>
    </row>
    <row r="539" spans="3:10" x14ac:dyDescent="0.2">
      <c r="C539" s="209"/>
      <c r="D539" s="209"/>
      <c r="E539" s="209"/>
      <c r="J539" s="124"/>
    </row>
    <row r="540" spans="3:10" x14ac:dyDescent="0.2">
      <c r="C540" s="209"/>
      <c r="D540" s="209"/>
      <c r="E540" s="209"/>
      <c r="J540" s="124"/>
    </row>
    <row r="541" spans="3:10" x14ac:dyDescent="0.2">
      <c r="C541" s="209"/>
      <c r="D541" s="209"/>
      <c r="E541" s="209"/>
      <c r="J541" s="124"/>
    </row>
    <row r="542" spans="3:10" x14ac:dyDescent="0.2">
      <c r="C542" s="209"/>
      <c r="D542" s="209"/>
      <c r="E542" s="209"/>
      <c r="J542" s="124"/>
    </row>
    <row r="543" spans="3:10" x14ac:dyDescent="0.2">
      <c r="C543" s="209"/>
      <c r="D543" s="209"/>
      <c r="E543" s="209"/>
      <c r="J543" s="124"/>
    </row>
    <row r="544" spans="3:10" x14ac:dyDescent="0.2">
      <c r="C544" s="209"/>
      <c r="D544" s="209"/>
      <c r="E544" s="209"/>
      <c r="J544" s="124"/>
    </row>
    <row r="545" spans="3:10" x14ac:dyDescent="0.2">
      <c r="C545" s="209"/>
      <c r="D545" s="209"/>
      <c r="E545" s="209"/>
      <c r="J545" s="124"/>
    </row>
    <row r="546" spans="3:10" x14ac:dyDescent="0.2">
      <c r="C546" s="209"/>
      <c r="D546" s="209"/>
      <c r="E546" s="209"/>
      <c r="J546" s="124"/>
    </row>
    <row r="547" spans="3:10" x14ac:dyDescent="0.2">
      <c r="C547" s="209"/>
      <c r="D547" s="209"/>
      <c r="E547" s="209"/>
      <c r="J547" s="124"/>
    </row>
    <row r="548" spans="3:10" x14ac:dyDescent="0.2">
      <c r="C548" s="209"/>
      <c r="D548" s="209"/>
      <c r="E548" s="209"/>
      <c r="J548" s="124"/>
    </row>
    <row r="549" spans="3:10" x14ac:dyDescent="0.2">
      <c r="C549" s="209"/>
      <c r="D549" s="209"/>
      <c r="E549" s="209"/>
      <c r="J549" s="124"/>
    </row>
    <row r="550" spans="3:10" x14ac:dyDescent="0.2">
      <c r="C550" s="209"/>
      <c r="D550" s="209"/>
      <c r="E550" s="209"/>
      <c r="J550" s="124"/>
    </row>
    <row r="551" spans="3:10" x14ac:dyDescent="0.2">
      <c r="C551" s="209"/>
      <c r="D551" s="209"/>
      <c r="E551" s="209"/>
      <c r="J551" s="124"/>
    </row>
    <row r="552" spans="3:10" x14ac:dyDescent="0.2">
      <c r="C552" s="209"/>
      <c r="D552" s="209"/>
      <c r="E552" s="209"/>
      <c r="J552" s="124"/>
    </row>
    <row r="553" spans="3:10" x14ac:dyDescent="0.2">
      <c r="C553" s="209"/>
      <c r="D553" s="209"/>
      <c r="E553" s="209"/>
      <c r="J553" s="124"/>
    </row>
    <row r="554" spans="3:10" x14ac:dyDescent="0.2">
      <c r="C554" s="209"/>
      <c r="D554" s="209"/>
      <c r="E554" s="209"/>
      <c r="J554" s="124"/>
    </row>
    <row r="555" spans="3:10" x14ac:dyDescent="0.2">
      <c r="C555" s="209"/>
      <c r="D555" s="209"/>
      <c r="E555" s="209"/>
      <c r="J555" s="124"/>
    </row>
    <row r="556" spans="3:10" x14ac:dyDescent="0.2">
      <c r="C556" s="209"/>
      <c r="D556" s="209"/>
      <c r="E556" s="209"/>
      <c r="J556" s="124"/>
    </row>
    <row r="557" spans="3:10" x14ac:dyDescent="0.2">
      <c r="C557" s="209"/>
      <c r="D557" s="209"/>
      <c r="E557" s="209"/>
      <c r="J557" s="124"/>
    </row>
    <row r="558" spans="3:10" x14ac:dyDescent="0.2">
      <c r="C558" s="209"/>
      <c r="D558" s="209"/>
      <c r="E558" s="209"/>
      <c r="J558" s="124"/>
    </row>
    <row r="559" spans="3:10" x14ac:dyDescent="0.2">
      <c r="C559" s="209"/>
      <c r="D559" s="209"/>
      <c r="E559" s="209"/>
      <c r="J559" s="124"/>
    </row>
    <row r="560" spans="3:10" x14ac:dyDescent="0.2">
      <c r="C560" s="209"/>
      <c r="D560" s="209"/>
      <c r="E560" s="209"/>
      <c r="J560" s="124"/>
    </row>
    <row r="561" spans="3:10" x14ac:dyDescent="0.2">
      <c r="C561" s="209"/>
      <c r="D561" s="209"/>
      <c r="E561" s="209"/>
      <c r="J561" s="124"/>
    </row>
    <row r="562" spans="3:10" x14ac:dyDescent="0.2">
      <c r="C562" s="209"/>
      <c r="D562" s="209"/>
      <c r="E562" s="209"/>
      <c r="J562" s="124"/>
    </row>
    <row r="563" spans="3:10" x14ac:dyDescent="0.2">
      <c r="C563" s="209"/>
      <c r="D563" s="209"/>
      <c r="E563" s="209"/>
      <c r="J563" s="124"/>
    </row>
    <row r="564" spans="3:10" x14ac:dyDescent="0.2">
      <c r="C564" s="209"/>
      <c r="D564" s="209"/>
      <c r="E564" s="209"/>
      <c r="J564" s="124"/>
    </row>
    <row r="565" spans="3:10" x14ac:dyDescent="0.2">
      <c r="C565" s="209"/>
      <c r="D565" s="209"/>
      <c r="E565" s="209"/>
      <c r="J565" s="124"/>
    </row>
    <row r="566" spans="3:10" x14ac:dyDescent="0.2">
      <c r="C566" s="209"/>
      <c r="D566" s="209"/>
      <c r="E566" s="209"/>
      <c r="J566" s="124"/>
    </row>
    <row r="567" spans="3:10" x14ac:dyDescent="0.2">
      <c r="C567" s="209"/>
      <c r="D567" s="209"/>
      <c r="E567" s="209"/>
      <c r="J567" s="124"/>
    </row>
    <row r="568" spans="3:10" x14ac:dyDescent="0.2">
      <c r="C568" s="209"/>
      <c r="D568" s="209"/>
      <c r="E568" s="209"/>
      <c r="J568" s="124"/>
    </row>
    <row r="569" spans="3:10" x14ac:dyDescent="0.2">
      <c r="C569" s="209"/>
      <c r="D569" s="209"/>
      <c r="E569" s="209"/>
      <c r="J569" s="124"/>
    </row>
    <row r="570" spans="3:10" x14ac:dyDescent="0.2">
      <c r="C570" s="209"/>
      <c r="D570" s="209"/>
      <c r="E570" s="209"/>
      <c r="J570" s="124"/>
    </row>
    <row r="571" spans="3:10" x14ac:dyDescent="0.2">
      <c r="C571" s="209"/>
      <c r="D571" s="209"/>
      <c r="E571" s="209"/>
      <c r="J571" s="124"/>
    </row>
    <row r="572" spans="3:10" x14ac:dyDescent="0.2">
      <c r="C572" s="209"/>
      <c r="D572" s="209"/>
      <c r="E572" s="209"/>
      <c r="J572" s="124"/>
    </row>
    <row r="573" spans="3:10" x14ac:dyDescent="0.2">
      <c r="C573" s="209"/>
      <c r="D573" s="209"/>
      <c r="E573" s="209"/>
      <c r="J573" s="124"/>
    </row>
    <row r="574" spans="3:10" x14ac:dyDescent="0.2">
      <c r="C574" s="209"/>
      <c r="D574" s="209"/>
      <c r="E574" s="209"/>
      <c r="J574" s="124"/>
    </row>
    <row r="575" spans="3:10" x14ac:dyDescent="0.2">
      <c r="C575" s="209"/>
      <c r="D575" s="209"/>
      <c r="E575" s="209"/>
      <c r="J575" s="124"/>
    </row>
    <row r="576" spans="3:10" x14ac:dyDescent="0.2">
      <c r="C576" s="209"/>
      <c r="D576" s="209"/>
      <c r="E576" s="209"/>
      <c r="J576" s="124"/>
    </row>
    <row r="577" spans="3:10" x14ac:dyDescent="0.2">
      <c r="C577" s="209"/>
      <c r="D577" s="209"/>
      <c r="E577" s="209"/>
      <c r="J577" s="124"/>
    </row>
    <row r="578" spans="3:10" x14ac:dyDescent="0.2">
      <c r="C578" s="209"/>
      <c r="D578" s="209"/>
      <c r="E578" s="209"/>
      <c r="J578" s="124"/>
    </row>
    <row r="579" spans="3:10" x14ac:dyDescent="0.2">
      <c r="C579" s="209"/>
      <c r="D579" s="209"/>
      <c r="E579" s="209"/>
      <c r="J579" s="124"/>
    </row>
    <row r="580" spans="3:10" x14ac:dyDescent="0.2">
      <c r="C580" s="209"/>
      <c r="D580" s="209"/>
      <c r="E580" s="209"/>
      <c r="J580" s="124"/>
    </row>
    <row r="581" spans="3:10" x14ac:dyDescent="0.2">
      <c r="C581" s="209"/>
      <c r="D581" s="209"/>
      <c r="E581" s="209"/>
      <c r="J581" s="124"/>
    </row>
    <row r="582" spans="3:10" x14ac:dyDescent="0.2">
      <c r="C582" s="209"/>
      <c r="D582" s="209"/>
      <c r="E582" s="209"/>
      <c r="J582" s="124"/>
    </row>
    <row r="583" spans="3:10" x14ac:dyDescent="0.2">
      <c r="C583" s="209"/>
      <c r="D583" s="209"/>
      <c r="E583" s="209"/>
      <c r="J583" s="124"/>
    </row>
    <row r="584" spans="3:10" x14ac:dyDescent="0.2">
      <c r="C584" s="209"/>
      <c r="D584" s="209"/>
      <c r="E584" s="209"/>
      <c r="J584" s="124"/>
    </row>
    <row r="585" spans="3:10" x14ac:dyDescent="0.2">
      <c r="C585" s="209"/>
      <c r="D585" s="209"/>
      <c r="E585" s="209"/>
      <c r="J585" s="124"/>
    </row>
    <row r="586" spans="3:10" x14ac:dyDescent="0.2">
      <c r="C586" s="209"/>
      <c r="D586" s="209"/>
      <c r="E586" s="209"/>
      <c r="J586" s="124"/>
    </row>
    <row r="587" spans="3:10" x14ac:dyDescent="0.2">
      <c r="C587" s="209"/>
      <c r="D587" s="209"/>
      <c r="E587" s="209"/>
      <c r="J587" s="124"/>
    </row>
    <row r="588" spans="3:10" x14ac:dyDescent="0.2">
      <c r="C588" s="209"/>
      <c r="D588" s="209"/>
      <c r="E588" s="209"/>
      <c r="J588" s="124"/>
    </row>
    <row r="589" spans="3:10" x14ac:dyDescent="0.2">
      <c r="C589" s="209"/>
      <c r="D589" s="209"/>
      <c r="E589" s="209"/>
      <c r="J589" s="124"/>
    </row>
    <row r="590" spans="3:10" x14ac:dyDescent="0.2">
      <c r="C590" s="209"/>
      <c r="D590" s="209"/>
      <c r="E590" s="209"/>
      <c r="J590" s="124"/>
    </row>
    <row r="591" spans="3:10" x14ac:dyDescent="0.2">
      <c r="C591" s="209"/>
      <c r="D591" s="209"/>
      <c r="E591" s="209"/>
      <c r="J591" s="124"/>
    </row>
    <row r="592" spans="3:10" x14ac:dyDescent="0.2">
      <c r="C592" s="209"/>
      <c r="D592" s="209"/>
      <c r="E592" s="209"/>
      <c r="J592" s="124"/>
    </row>
    <row r="593" spans="3:10" x14ac:dyDescent="0.2">
      <c r="C593" s="209"/>
      <c r="D593" s="209"/>
      <c r="E593" s="209"/>
      <c r="J593" s="124"/>
    </row>
    <row r="594" spans="3:10" x14ac:dyDescent="0.2">
      <c r="C594" s="209"/>
      <c r="D594" s="209"/>
      <c r="E594" s="209"/>
      <c r="J594" s="124"/>
    </row>
    <row r="595" spans="3:10" x14ac:dyDescent="0.2">
      <c r="C595" s="209"/>
      <c r="D595" s="209"/>
      <c r="E595" s="209"/>
      <c r="J595" s="124"/>
    </row>
    <row r="596" spans="3:10" x14ac:dyDescent="0.2">
      <c r="C596" s="209"/>
      <c r="D596" s="209"/>
      <c r="E596" s="209"/>
      <c r="J596" s="124"/>
    </row>
    <row r="597" spans="3:10" x14ac:dyDescent="0.2">
      <c r="C597" s="209"/>
      <c r="D597" s="209"/>
      <c r="E597" s="209"/>
      <c r="J597" s="124"/>
    </row>
    <row r="598" spans="3:10" x14ac:dyDescent="0.2">
      <c r="C598" s="209"/>
      <c r="D598" s="209"/>
      <c r="E598" s="209"/>
      <c r="J598" s="124"/>
    </row>
    <row r="599" spans="3:10" x14ac:dyDescent="0.2">
      <c r="C599" s="209"/>
      <c r="D599" s="209"/>
      <c r="E599" s="209"/>
      <c r="J599" s="124"/>
    </row>
    <row r="600" spans="3:10" x14ac:dyDescent="0.2">
      <c r="C600" s="209"/>
      <c r="D600" s="209"/>
      <c r="E600" s="209"/>
      <c r="J600" s="124"/>
    </row>
    <row r="601" spans="3:10" x14ac:dyDescent="0.2">
      <c r="C601" s="209"/>
      <c r="D601" s="209"/>
      <c r="E601" s="209"/>
      <c r="J601" s="124"/>
    </row>
    <row r="602" spans="3:10" x14ac:dyDescent="0.2">
      <c r="C602" s="209"/>
      <c r="D602" s="209"/>
      <c r="E602" s="209"/>
      <c r="J602" s="124"/>
    </row>
    <row r="603" spans="3:10" x14ac:dyDescent="0.2">
      <c r="C603" s="209"/>
      <c r="D603" s="209"/>
      <c r="E603" s="209"/>
      <c r="J603" s="124"/>
    </row>
    <row r="604" spans="3:10" x14ac:dyDescent="0.2">
      <c r="C604" s="209"/>
      <c r="D604" s="209"/>
      <c r="E604" s="209"/>
      <c r="J604" s="124"/>
    </row>
    <row r="605" spans="3:10" x14ac:dyDescent="0.2">
      <c r="C605" s="209"/>
      <c r="D605" s="209"/>
      <c r="E605" s="209"/>
      <c r="J605" s="124"/>
    </row>
    <row r="606" spans="3:10" x14ac:dyDescent="0.2">
      <c r="C606" s="209"/>
      <c r="D606" s="209"/>
      <c r="E606" s="209"/>
      <c r="J606" s="124"/>
    </row>
    <row r="607" spans="3:10" x14ac:dyDescent="0.2">
      <c r="C607" s="209"/>
      <c r="D607" s="209"/>
      <c r="E607" s="209"/>
      <c r="J607" s="124"/>
    </row>
    <row r="608" spans="3:10" x14ac:dyDescent="0.2">
      <c r="C608" s="209"/>
      <c r="D608" s="209"/>
      <c r="E608" s="209"/>
      <c r="J608" s="124"/>
    </row>
    <row r="609" spans="3:10" x14ac:dyDescent="0.2">
      <c r="C609" s="209"/>
      <c r="D609" s="209"/>
      <c r="E609" s="209"/>
      <c r="J609" s="124"/>
    </row>
    <row r="610" spans="3:10" x14ac:dyDescent="0.2">
      <c r="C610" s="209"/>
      <c r="D610" s="209"/>
      <c r="E610" s="209"/>
      <c r="J610" s="124"/>
    </row>
    <row r="611" spans="3:10" x14ac:dyDescent="0.2">
      <c r="C611" s="209"/>
      <c r="D611" s="209"/>
      <c r="E611" s="209"/>
      <c r="J611" s="124"/>
    </row>
    <row r="612" spans="3:10" x14ac:dyDescent="0.2">
      <c r="C612" s="209"/>
      <c r="D612" s="209"/>
      <c r="E612" s="209"/>
      <c r="J612" s="124"/>
    </row>
    <row r="613" spans="3:10" x14ac:dyDescent="0.2">
      <c r="C613" s="209"/>
      <c r="D613" s="209"/>
      <c r="E613" s="209"/>
      <c r="J613" s="124"/>
    </row>
    <row r="614" spans="3:10" x14ac:dyDescent="0.2">
      <c r="C614" s="209"/>
      <c r="D614" s="209"/>
      <c r="E614" s="209"/>
      <c r="J614" s="124"/>
    </row>
    <row r="615" spans="3:10" x14ac:dyDescent="0.2">
      <c r="C615" s="209"/>
      <c r="D615" s="209"/>
      <c r="E615" s="209"/>
      <c r="J615" s="124"/>
    </row>
    <row r="616" spans="3:10" x14ac:dyDescent="0.2">
      <c r="C616" s="209"/>
      <c r="D616" s="209"/>
      <c r="E616" s="209"/>
      <c r="J616" s="124"/>
    </row>
    <row r="617" spans="3:10" x14ac:dyDescent="0.2">
      <c r="C617" s="209"/>
      <c r="D617" s="209"/>
      <c r="E617" s="209"/>
      <c r="J617" s="124"/>
    </row>
    <row r="618" spans="3:10" x14ac:dyDescent="0.2">
      <c r="C618" s="209"/>
      <c r="D618" s="209"/>
      <c r="E618" s="209"/>
      <c r="J618" s="124"/>
    </row>
    <row r="619" spans="3:10" x14ac:dyDescent="0.2">
      <c r="C619" s="209"/>
      <c r="D619" s="209"/>
      <c r="E619" s="209"/>
      <c r="J619" s="124"/>
    </row>
    <row r="620" spans="3:10" x14ac:dyDescent="0.2">
      <c r="C620" s="209"/>
      <c r="D620" s="209"/>
      <c r="E620" s="209"/>
      <c r="J620" s="124"/>
    </row>
    <row r="621" spans="3:10" x14ac:dyDescent="0.2">
      <c r="C621" s="209"/>
      <c r="D621" s="209"/>
      <c r="E621" s="209"/>
      <c r="J621" s="124"/>
    </row>
    <row r="622" spans="3:10" x14ac:dyDescent="0.2">
      <c r="C622" s="209"/>
      <c r="D622" s="209"/>
      <c r="E622" s="209"/>
      <c r="J622" s="124"/>
    </row>
    <row r="623" spans="3:10" x14ac:dyDescent="0.2">
      <c r="C623" s="209"/>
      <c r="D623" s="209"/>
      <c r="E623" s="209"/>
      <c r="J623" s="124"/>
    </row>
    <row r="624" spans="3:10" x14ac:dyDescent="0.2">
      <c r="C624" s="209"/>
      <c r="D624" s="209"/>
      <c r="E624" s="209"/>
      <c r="J624" s="124"/>
    </row>
    <row r="625" spans="3:10" x14ac:dyDescent="0.2">
      <c r="C625" s="209"/>
      <c r="D625" s="209"/>
      <c r="E625" s="209"/>
      <c r="J625" s="124"/>
    </row>
    <row r="626" spans="3:10" x14ac:dyDescent="0.2">
      <c r="C626" s="209"/>
      <c r="D626" s="209"/>
      <c r="E626" s="209"/>
      <c r="J626" s="124"/>
    </row>
    <row r="627" spans="3:10" x14ac:dyDescent="0.2">
      <c r="C627" s="209"/>
      <c r="D627" s="209"/>
      <c r="E627" s="209"/>
      <c r="J627" s="124"/>
    </row>
    <row r="628" spans="3:10" x14ac:dyDescent="0.2">
      <c r="C628" s="209"/>
      <c r="D628" s="209"/>
      <c r="E628" s="209"/>
      <c r="J628" s="124"/>
    </row>
    <row r="629" spans="3:10" x14ac:dyDescent="0.2">
      <c r="C629" s="209"/>
      <c r="D629" s="209"/>
      <c r="E629" s="209"/>
      <c r="J629" s="124"/>
    </row>
    <row r="630" spans="3:10" x14ac:dyDescent="0.2">
      <c r="C630" s="209"/>
      <c r="D630" s="209"/>
      <c r="E630" s="209"/>
      <c r="J630" s="124"/>
    </row>
    <row r="631" spans="3:10" x14ac:dyDescent="0.2">
      <c r="C631" s="209"/>
      <c r="D631" s="209"/>
      <c r="E631" s="209"/>
      <c r="J631" s="124"/>
    </row>
    <row r="632" spans="3:10" x14ac:dyDescent="0.2">
      <c r="C632" s="209"/>
      <c r="D632" s="209"/>
      <c r="E632" s="209"/>
      <c r="J632" s="124"/>
    </row>
    <row r="633" spans="3:10" x14ac:dyDescent="0.2">
      <c r="C633" s="209"/>
      <c r="D633" s="209"/>
      <c r="E633" s="209"/>
      <c r="J633" s="124"/>
    </row>
    <row r="634" spans="3:10" x14ac:dyDescent="0.2">
      <c r="C634" s="209"/>
      <c r="D634" s="209"/>
      <c r="E634" s="209"/>
      <c r="J634" s="124"/>
    </row>
    <row r="635" spans="3:10" x14ac:dyDescent="0.2">
      <c r="C635" s="209"/>
      <c r="D635" s="209"/>
      <c r="E635" s="209"/>
      <c r="J635" s="124"/>
    </row>
    <row r="636" spans="3:10" x14ac:dyDescent="0.2">
      <c r="C636" s="209"/>
      <c r="D636" s="209"/>
      <c r="E636" s="209"/>
      <c r="J636" s="124"/>
    </row>
    <row r="637" spans="3:10" x14ac:dyDescent="0.2">
      <c r="C637" s="209"/>
      <c r="D637" s="209"/>
      <c r="E637" s="209"/>
      <c r="J637" s="124"/>
    </row>
    <row r="638" spans="3:10" x14ac:dyDescent="0.2">
      <c r="C638" s="209"/>
      <c r="D638" s="209"/>
      <c r="E638" s="209"/>
      <c r="J638" s="124"/>
    </row>
    <row r="639" spans="3:10" x14ac:dyDescent="0.2">
      <c r="C639" s="209"/>
      <c r="D639" s="209"/>
      <c r="E639" s="209"/>
      <c r="J639" s="124"/>
    </row>
    <row r="640" spans="3:10" x14ac:dyDescent="0.2">
      <c r="C640" s="209"/>
      <c r="D640" s="209"/>
      <c r="E640" s="209"/>
      <c r="J640" s="124"/>
    </row>
    <row r="641" spans="3:10" x14ac:dyDescent="0.2">
      <c r="C641" s="209"/>
      <c r="D641" s="209"/>
      <c r="E641" s="209"/>
      <c r="J641" s="124"/>
    </row>
    <row r="642" spans="3:10" x14ac:dyDescent="0.2">
      <c r="C642" s="209"/>
      <c r="D642" s="209"/>
      <c r="E642" s="209"/>
      <c r="J642" s="124"/>
    </row>
    <row r="643" spans="3:10" x14ac:dyDescent="0.2">
      <c r="C643" s="209"/>
      <c r="D643" s="209"/>
      <c r="E643" s="209"/>
      <c r="J643" s="124"/>
    </row>
    <row r="644" spans="3:10" x14ac:dyDescent="0.2">
      <c r="C644" s="209"/>
      <c r="D644" s="209"/>
      <c r="E644" s="209"/>
      <c r="J644" s="124"/>
    </row>
    <row r="645" spans="3:10" x14ac:dyDescent="0.2">
      <c r="C645" s="209"/>
      <c r="D645" s="209"/>
      <c r="E645" s="209"/>
      <c r="J645" s="124"/>
    </row>
    <row r="646" spans="3:10" x14ac:dyDescent="0.2">
      <c r="C646" s="209"/>
      <c r="D646" s="209"/>
      <c r="E646" s="209"/>
      <c r="J646" s="124"/>
    </row>
    <row r="647" spans="3:10" x14ac:dyDescent="0.2">
      <c r="C647" s="209"/>
      <c r="D647" s="209"/>
      <c r="E647" s="209"/>
      <c r="J647" s="124"/>
    </row>
    <row r="648" spans="3:10" x14ac:dyDescent="0.2">
      <c r="C648" s="209"/>
      <c r="D648" s="209"/>
      <c r="E648" s="209"/>
      <c r="J648" s="124"/>
    </row>
    <row r="649" spans="3:10" x14ac:dyDescent="0.2">
      <c r="C649" s="209"/>
      <c r="D649" s="209"/>
      <c r="E649" s="209"/>
      <c r="J649" s="124"/>
    </row>
    <row r="650" spans="3:10" x14ac:dyDescent="0.2">
      <c r="C650" s="209"/>
      <c r="D650" s="209"/>
      <c r="E650" s="209"/>
      <c r="J650" s="124"/>
    </row>
    <row r="651" spans="3:10" x14ac:dyDescent="0.2">
      <c r="C651" s="209"/>
      <c r="D651" s="209"/>
      <c r="E651" s="209"/>
      <c r="J651" s="124"/>
    </row>
    <row r="652" spans="3:10" x14ac:dyDescent="0.2">
      <c r="C652" s="209"/>
      <c r="D652" s="209"/>
      <c r="E652" s="209"/>
      <c r="J652" s="124"/>
    </row>
    <row r="653" spans="3:10" x14ac:dyDescent="0.2">
      <c r="C653" s="209"/>
      <c r="D653" s="209"/>
      <c r="E653" s="209"/>
      <c r="J653" s="124"/>
    </row>
    <row r="654" spans="3:10" x14ac:dyDescent="0.2">
      <c r="C654" s="209"/>
      <c r="D654" s="209"/>
      <c r="E654" s="209"/>
      <c r="J654" s="124"/>
    </row>
    <row r="655" spans="3:10" x14ac:dyDescent="0.2">
      <c r="C655" s="209"/>
      <c r="D655" s="209"/>
      <c r="E655" s="209"/>
      <c r="J655" s="124"/>
    </row>
    <row r="656" spans="3:10" x14ac:dyDescent="0.2">
      <c r="C656" s="209"/>
      <c r="D656" s="209"/>
      <c r="E656" s="209"/>
      <c r="J656" s="124"/>
    </row>
    <row r="657" spans="3:10" x14ac:dyDescent="0.2">
      <c r="C657" s="209"/>
      <c r="D657" s="209"/>
      <c r="E657" s="209"/>
      <c r="J657" s="124"/>
    </row>
    <row r="658" spans="3:10" x14ac:dyDescent="0.2">
      <c r="C658" s="209"/>
      <c r="D658" s="209"/>
      <c r="E658" s="209"/>
      <c r="J658" s="124"/>
    </row>
    <row r="659" spans="3:10" x14ac:dyDescent="0.2">
      <c r="C659" s="209"/>
      <c r="D659" s="209"/>
      <c r="E659" s="209"/>
      <c r="J659" s="124"/>
    </row>
    <row r="660" spans="3:10" x14ac:dyDescent="0.2">
      <c r="C660" s="209"/>
      <c r="D660" s="209"/>
      <c r="E660" s="209"/>
      <c r="J660" s="124"/>
    </row>
    <row r="661" spans="3:10" x14ac:dyDescent="0.2">
      <c r="C661" s="209"/>
      <c r="D661" s="209"/>
      <c r="E661" s="209"/>
      <c r="J661" s="124"/>
    </row>
    <row r="662" spans="3:10" x14ac:dyDescent="0.2">
      <c r="C662" s="209"/>
      <c r="D662" s="209"/>
      <c r="E662" s="209"/>
      <c r="J662" s="124"/>
    </row>
    <row r="663" spans="3:10" x14ac:dyDescent="0.2">
      <c r="C663" s="209"/>
      <c r="D663" s="209"/>
      <c r="E663" s="209"/>
      <c r="J663" s="124"/>
    </row>
    <row r="664" spans="3:10" x14ac:dyDescent="0.2">
      <c r="C664" s="209"/>
      <c r="D664" s="209"/>
      <c r="E664" s="209"/>
      <c r="J664" s="124"/>
    </row>
    <row r="665" spans="3:10" x14ac:dyDescent="0.2">
      <c r="C665" s="209"/>
      <c r="D665" s="209"/>
      <c r="E665" s="209"/>
      <c r="J665" s="124"/>
    </row>
    <row r="666" spans="3:10" x14ac:dyDescent="0.2">
      <c r="C666" s="209"/>
      <c r="D666" s="209"/>
      <c r="E666" s="209"/>
      <c r="J666" s="124"/>
    </row>
    <row r="667" spans="3:10" x14ac:dyDescent="0.2">
      <c r="C667" s="209"/>
      <c r="D667" s="209"/>
      <c r="E667" s="209"/>
      <c r="J667" s="124"/>
    </row>
    <row r="668" spans="3:10" x14ac:dyDescent="0.2">
      <c r="C668" s="209"/>
      <c r="D668" s="209"/>
      <c r="E668" s="209"/>
      <c r="J668" s="124"/>
    </row>
    <row r="669" spans="3:10" x14ac:dyDescent="0.2">
      <c r="C669" s="209"/>
      <c r="D669" s="209"/>
      <c r="E669" s="209"/>
      <c r="J669" s="124"/>
    </row>
    <row r="670" spans="3:10" x14ac:dyDescent="0.2">
      <c r="C670" s="209"/>
      <c r="D670" s="209"/>
      <c r="E670" s="209"/>
      <c r="J670" s="124"/>
    </row>
    <row r="671" spans="3:10" x14ac:dyDescent="0.2">
      <c r="C671" s="209"/>
      <c r="D671" s="209"/>
      <c r="E671" s="209"/>
      <c r="J671" s="124"/>
    </row>
    <row r="672" spans="3:10" x14ac:dyDescent="0.2">
      <c r="C672" s="209"/>
      <c r="D672" s="209"/>
      <c r="E672" s="209"/>
      <c r="J672" s="124"/>
    </row>
    <row r="673" spans="3:10" x14ac:dyDescent="0.2">
      <c r="C673" s="209"/>
      <c r="D673" s="209"/>
      <c r="E673" s="209"/>
      <c r="J673" s="124"/>
    </row>
    <row r="674" spans="3:10" x14ac:dyDescent="0.2">
      <c r="C674" s="209"/>
      <c r="D674" s="209"/>
      <c r="E674" s="209"/>
      <c r="J674" s="124"/>
    </row>
    <row r="675" spans="3:10" x14ac:dyDescent="0.2">
      <c r="C675" s="209"/>
      <c r="D675" s="209"/>
      <c r="E675" s="209"/>
      <c r="J675" s="124"/>
    </row>
    <row r="676" spans="3:10" x14ac:dyDescent="0.2">
      <c r="C676" s="209"/>
      <c r="D676" s="209"/>
      <c r="E676" s="209"/>
      <c r="J676" s="124"/>
    </row>
    <row r="677" spans="3:10" x14ac:dyDescent="0.2">
      <c r="C677" s="209"/>
      <c r="D677" s="209"/>
      <c r="E677" s="209"/>
      <c r="J677" s="124"/>
    </row>
    <row r="678" spans="3:10" x14ac:dyDescent="0.2">
      <c r="C678" s="209"/>
      <c r="D678" s="209"/>
      <c r="E678" s="209"/>
      <c r="J678" s="124"/>
    </row>
    <row r="679" spans="3:10" x14ac:dyDescent="0.2">
      <c r="C679" s="209"/>
      <c r="D679" s="209"/>
      <c r="E679" s="209"/>
      <c r="J679" s="124"/>
    </row>
    <row r="680" spans="3:10" x14ac:dyDescent="0.2">
      <c r="C680" s="209"/>
      <c r="D680" s="209"/>
      <c r="E680" s="209"/>
      <c r="J680" s="124"/>
    </row>
    <row r="681" spans="3:10" x14ac:dyDescent="0.2">
      <c r="C681" s="209"/>
      <c r="D681" s="209"/>
      <c r="E681" s="209"/>
      <c r="J681" s="124"/>
    </row>
    <row r="682" spans="3:10" x14ac:dyDescent="0.2">
      <c r="C682" s="209"/>
      <c r="D682" s="209"/>
      <c r="E682" s="209"/>
      <c r="J682" s="124"/>
    </row>
    <row r="683" spans="3:10" x14ac:dyDescent="0.2">
      <c r="C683" s="209"/>
      <c r="D683" s="209"/>
      <c r="E683" s="209"/>
      <c r="J683" s="124"/>
    </row>
    <row r="684" spans="3:10" x14ac:dyDescent="0.2">
      <c r="C684" s="209"/>
      <c r="D684" s="209"/>
      <c r="E684" s="209"/>
      <c r="J684" s="124"/>
    </row>
    <row r="685" spans="3:10" x14ac:dyDescent="0.2">
      <c r="C685" s="209"/>
      <c r="D685" s="209"/>
      <c r="E685" s="209"/>
      <c r="J685" s="124"/>
    </row>
    <row r="686" spans="3:10" x14ac:dyDescent="0.2">
      <c r="C686" s="209"/>
      <c r="D686" s="209"/>
      <c r="E686" s="209"/>
      <c r="J686" s="124"/>
    </row>
    <row r="687" spans="3:10" x14ac:dyDescent="0.2">
      <c r="C687" s="209"/>
      <c r="D687" s="209"/>
      <c r="E687" s="209"/>
      <c r="J687" s="124"/>
    </row>
    <row r="688" spans="3:10" x14ac:dyDescent="0.2">
      <c r="C688" s="209"/>
      <c r="D688" s="209"/>
      <c r="E688" s="209"/>
      <c r="J688" s="124"/>
    </row>
    <row r="689" spans="3:10" x14ac:dyDescent="0.2">
      <c r="C689" s="209"/>
      <c r="D689" s="209"/>
      <c r="E689" s="209"/>
      <c r="J689" s="124"/>
    </row>
    <row r="690" spans="3:10" x14ac:dyDescent="0.2">
      <c r="C690" s="209"/>
      <c r="D690" s="209"/>
      <c r="E690" s="209"/>
      <c r="J690" s="124"/>
    </row>
    <row r="691" spans="3:10" x14ac:dyDescent="0.2">
      <c r="C691" s="209"/>
      <c r="D691" s="209"/>
      <c r="E691" s="209"/>
      <c r="J691" s="124"/>
    </row>
    <row r="692" spans="3:10" x14ac:dyDescent="0.2">
      <c r="C692" s="209"/>
      <c r="D692" s="209"/>
      <c r="E692" s="209"/>
      <c r="J692" s="124"/>
    </row>
    <row r="693" spans="3:10" x14ac:dyDescent="0.2">
      <c r="C693" s="209"/>
      <c r="D693" s="209"/>
      <c r="E693" s="209"/>
      <c r="J693" s="124"/>
    </row>
    <row r="694" spans="3:10" x14ac:dyDescent="0.2">
      <c r="C694" s="209"/>
      <c r="D694" s="209"/>
      <c r="E694" s="209"/>
      <c r="J694" s="124"/>
    </row>
    <row r="695" spans="3:10" x14ac:dyDescent="0.2">
      <c r="C695" s="209"/>
      <c r="D695" s="209"/>
      <c r="E695" s="209"/>
      <c r="J695" s="124"/>
    </row>
    <row r="696" spans="3:10" x14ac:dyDescent="0.2">
      <c r="C696" s="209"/>
      <c r="D696" s="209"/>
      <c r="E696" s="209"/>
      <c r="J696" s="124"/>
    </row>
    <row r="697" spans="3:10" x14ac:dyDescent="0.2">
      <c r="C697" s="209"/>
      <c r="D697" s="209"/>
      <c r="E697" s="209"/>
      <c r="J697" s="124"/>
    </row>
    <row r="698" spans="3:10" x14ac:dyDescent="0.2">
      <c r="C698" s="209"/>
      <c r="D698" s="209"/>
      <c r="E698" s="209"/>
      <c r="J698" s="124"/>
    </row>
    <row r="699" spans="3:10" x14ac:dyDescent="0.2">
      <c r="C699" s="209"/>
      <c r="D699" s="209"/>
      <c r="E699" s="209"/>
      <c r="J699" s="124"/>
    </row>
    <row r="700" spans="3:10" x14ac:dyDescent="0.2">
      <c r="C700" s="209"/>
      <c r="D700" s="209"/>
      <c r="E700" s="209"/>
      <c r="J700" s="124"/>
    </row>
    <row r="701" spans="3:10" x14ac:dyDescent="0.2">
      <c r="C701" s="209"/>
      <c r="D701" s="209"/>
      <c r="E701" s="209"/>
      <c r="J701" s="124"/>
    </row>
    <row r="702" spans="3:10" x14ac:dyDescent="0.2">
      <c r="C702" s="209"/>
      <c r="D702" s="209"/>
      <c r="E702" s="209"/>
      <c r="J702" s="124"/>
    </row>
    <row r="703" spans="3:10" x14ac:dyDescent="0.2">
      <c r="C703" s="209"/>
      <c r="D703" s="209"/>
      <c r="E703" s="209"/>
      <c r="J703" s="124"/>
    </row>
    <row r="704" spans="3:10" x14ac:dyDescent="0.2">
      <c r="C704" s="209"/>
      <c r="D704" s="209"/>
      <c r="E704" s="209"/>
      <c r="J704" s="124"/>
    </row>
    <row r="705" spans="3:10" x14ac:dyDescent="0.2">
      <c r="C705" s="209"/>
      <c r="D705" s="209"/>
      <c r="E705" s="209"/>
      <c r="J705" s="124"/>
    </row>
    <row r="706" spans="3:10" x14ac:dyDescent="0.2">
      <c r="C706" s="209"/>
      <c r="D706" s="209"/>
      <c r="E706" s="209"/>
      <c r="J706" s="124"/>
    </row>
    <row r="707" spans="3:10" x14ac:dyDescent="0.2">
      <c r="C707" s="209"/>
      <c r="D707" s="209"/>
      <c r="E707" s="209"/>
      <c r="J707" s="124"/>
    </row>
    <row r="708" spans="3:10" x14ac:dyDescent="0.2">
      <c r="C708" s="209"/>
      <c r="D708" s="209"/>
      <c r="E708" s="209"/>
      <c r="J708" s="124"/>
    </row>
    <row r="709" spans="3:10" x14ac:dyDescent="0.2">
      <c r="C709" s="209"/>
      <c r="D709" s="209"/>
      <c r="E709" s="209"/>
      <c r="J709" s="124"/>
    </row>
    <row r="710" spans="3:10" x14ac:dyDescent="0.2">
      <c r="C710" s="209"/>
      <c r="D710" s="209"/>
      <c r="E710" s="209"/>
      <c r="J710" s="124"/>
    </row>
    <row r="711" spans="3:10" x14ac:dyDescent="0.2">
      <c r="C711" s="209"/>
      <c r="D711" s="209"/>
      <c r="E711" s="209"/>
      <c r="J711" s="124"/>
    </row>
    <row r="712" spans="3:10" x14ac:dyDescent="0.2">
      <c r="C712" s="209"/>
      <c r="D712" s="209"/>
      <c r="E712" s="209"/>
      <c r="J712" s="124"/>
    </row>
    <row r="713" spans="3:10" x14ac:dyDescent="0.2">
      <c r="C713" s="209"/>
      <c r="D713" s="209"/>
      <c r="E713" s="209"/>
      <c r="J713" s="124"/>
    </row>
    <row r="714" spans="3:10" x14ac:dyDescent="0.2">
      <c r="C714" s="209"/>
      <c r="D714" s="209"/>
      <c r="E714" s="209"/>
      <c r="J714" s="124"/>
    </row>
    <row r="715" spans="3:10" x14ac:dyDescent="0.2">
      <c r="C715" s="209"/>
      <c r="D715" s="209"/>
      <c r="E715" s="209"/>
      <c r="J715" s="124"/>
    </row>
    <row r="716" spans="3:10" x14ac:dyDescent="0.2">
      <c r="C716" s="209"/>
      <c r="D716" s="209"/>
      <c r="E716" s="209"/>
      <c r="J716" s="124"/>
    </row>
    <row r="717" spans="3:10" x14ac:dyDescent="0.2">
      <c r="C717" s="209"/>
      <c r="D717" s="209"/>
      <c r="E717" s="209"/>
      <c r="J717" s="124"/>
    </row>
    <row r="718" spans="3:10" x14ac:dyDescent="0.2">
      <c r="C718" s="209"/>
      <c r="D718" s="209"/>
      <c r="E718" s="209"/>
      <c r="J718" s="124"/>
    </row>
    <row r="719" spans="3:10" x14ac:dyDescent="0.2">
      <c r="C719" s="209"/>
      <c r="D719" s="209"/>
      <c r="E719" s="209"/>
      <c r="J719" s="124"/>
    </row>
    <row r="720" spans="3:10" x14ac:dyDescent="0.2">
      <c r="C720" s="209"/>
      <c r="D720" s="209"/>
      <c r="E720" s="209"/>
      <c r="J720" s="124"/>
    </row>
    <row r="721" spans="3:10" x14ac:dyDescent="0.2">
      <c r="C721" s="209"/>
      <c r="D721" s="209"/>
      <c r="E721" s="209"/>
      <c r="J721" s="124"/>
    </row>
    <row r="722" spans="3:10" x14ac:dyDescent="0.2">
      <c r="C722" s="209"/>
      <c r="D722" s="209"/>
      <c r="E722" s="209"/>
      <c r="J722" s="124"/>
    </row>
    <row r="723" spans="3:10" x14ac:dyDescent="0.2">
      <c r="C723" s="209"/>
      <c r="D723" s="209"/>
      <c r="E723" s="209"/>
      <c r="J723" s="124"/>
    </row>
    <row r="724" spans="3:10" x14ac:dyDescent="0.2">
      <c r="C724" s="209"/>
      <c r="D724" s="209"/>
      <c r="E724" s="209"/>
      <c r="J724" s="124"/>
    </row>
    <row r="725" spans="3:10" x14ac:dyDescent="0.2">
      <c r="C725" s="209"/>
      <c r="D725" s="209"/>
      <c r="E725" s="209"/>
      <c r="J725" s="124"/>
    </row>
    <row r="726" spans="3:10" x14ac:dyDescent="0.2">
      <c r="C726" s="209"/>
      <c r="D726" s="209"/>
      <c r="E726" s="209"/>
      <c r="J726" s="124"/>
    </row>
    <row r="727" spans="3:10" x14ac:dyDescent="0.2">
      <c r="C727" s="209"/>
      <c r="D727" s="209"/>
      <c r="E727" s="209"/>
      <c r="J727" s="124"/>
    </row>
    <row r="728" spans="3:10" x14ac:dyDescent="0.2">
      <c r="C728" s="209"/>
      <c r="D728" s="209"/>
      <c r="E728" s="209"/>
      <c r="J728" s="124"/>
    </row>
    <row r="729" spans="3:10" x14ac:dyDescent="0.2">
      <c r="C729" s="209"/>
      <c r="D729" s="209"/>
      <c r="E729" s="209"/>
      <c r="J729" s="124"/>
    </row>
    <row r="730" spans="3:10" x14ac:dyDescent="0.2">
      <c r="C730" s="209"/>
      <c r="D730" s="209"/>
      <c r="E730" s="209"/>
      <c r="J730" s="124"/>
    </row>
    <row r="731" spans="3:10" x14ac:dyDescent="0.2">
      <c r="C731" s="209"/>
      <c r="D731" s="209"/>
      <c r="E731" s="209"/>
      <c r="J731" s="124"/>
    </row>
    <row r="732" spans="3:10" x14ac:dyDescent="0.2">
      <c r="C732" s="209"/>
      <c r="D732" s="209"/>
      <c r="E732" s="209"/>
      <c r="J732" s="124"/>
    </row>
    <row r="733" spans="3:10" x14ac:dyDescent="0.2">
      <c r="C733" s="209"/>
      <c r="D733" s="209"/>
      <c r="E733" s="209"/>
      <c r="J733" s="124"/>
    </row>
    <row r="734" spans="3:10" x14ac:dyDescent="0.2">
      <c r="C734" s="209"/>
      <c r="D734" s="209"/>
      <c r="E734" s="209"/>
      <c r="J734" s="124"/>
    </row>
    <row r="735" spans="3:10" x14ac:dyDescent="0.2">
      <c r="C735" s="209"/>
      <c r="D735" s="209"/>
      <c r="E735" s="209"/>
      <c r="J735" s="124"/>
    </row>
    <row r="736" spans="3:10" x14ac:dyDescent="0.2">
      <c r="C736" s="209"/>
      <c r="D736" s="209"/>
      <c r="E736" s="209"/>
      <c r="J736" s="124"/>
    </row>
    <row r="737" spans="3:10" x14ac:dyDescent="0.2">
      <c r="C737" s="209"/>
      <c r="D737" s="209"/>
      <c r="E737" s="209"/>
      <c r="J737" s="124"/>
    </row>
    <row r="738" spans="3:10" x14ac:dyDescent="0.2">
      <c r="C738" s="209"/>
      <c r="D738" s="209"/>
      <c r="E738" s="209"/>
      <c r="J738" s="124"/>
    </row>
    <row r="739" spans="3:10" x14ac:dyDescent="0.2">
      <c r="C739" s="209"/>
      <c r="D739" s="209"/>
      <c r="E739" s="209"/>
      <c r="J739" s="124"/>
    </row>
    <row r="740" spans="3:10" x14ac:dyDescent="0.2">
      <c r="C740" s="209"/>
      <c r="D740" s="209"/>
      <c r="E740" s="209"/>
      <c r="J740" s="124"/>
    </row>
    <row r="741" spans="3:10" x14ac:dyDescent="0.2">
      <c r="C741" s="209"/>
      <c r="D741" s="209"/>
      <c r="E741" s="209"/>
      <c r="J741" s="124"/>
    </row>
    <row r="742" spans="3:10" x14ac:dyDescent="0.2">
      <c r="C742" s="209"/>
      <c r="D742" s="209"/>
      <c r="E742" s="209"/>
      <c r="J742" s="124"/>
    </row>
    <row r="743" spans="3:10" x14ac:dyDescent="0.2">
      <c r="C743" s="209"/>
      <c r="D743" s="209"/>
      <c r="E743" s="209"/>
      <c r="J743" s="124"/>
    </row>
    <row r="744" spans="3:10" x14ac:dyDescent="0.2">
      <c r="C744" s="209"/>
      <c r="D744" s="209"/>
      <c r="E744" s="209"/>
      <c r="J744" s="124"/>
    </row>
    <row r="745" spans="3:10" x14ac:dyDescent="0.2">
      <c r="C745" s="209"/>
      <c r="D745" s="209"/>
      <c r="E745" s="209"/>
      <c r="J745" s="124"/>
    </row>
    <row r="746" spans="3:10" x14ac:dyDescent="0.2">
      <c r="C746" s="209"/>
      <c r="D746" s="209"/>
      <c r="E746" s="209"/>
      <c r="J746" s="124"/>
    </row>
    <row r="747" spans="3:10" x14ac:dyDescent="0.2">
      <c r="C747" s="209"/>
      <c r="D747" s="209"/>
      <c r="E747" s="209"/>
      <c r="J747" s="124"/>
    </row>
    <row r="748" spans="3:10" x14ac:dyDescent="0.2">
      <c r="C748" s="209"/>
      <c r="D748" s="209"/>
      <c r="E748" s="209"/>
      <c r="J748" s="124"/>
    </row>
    <row r="749" spans="3:10" x14ac:dyDescent="0.2">
      <c r="C749" s="209"/>
      <c r="D749" s="209"/>
      <c r="E749" s="209"/>
      <c r="J749" s="124"/>
    </row>
    <row r="750" spans="3:10" x14ac:dyDescent="0.2">
      <c r="C750" s="209"/>
      <c r="D750" s="209"/>
      <c r="E750" s="209"/>
      <c r="J750" s="124"/>
    </row>
    <row r="751" spans="3:10" x14ac:dyDescent="0.2">
      <c r="C751" s="209"/>
      <c r="D751" s="209"/>
      <c r="E751" s="209"/>
      <c r="J751" s="124"/>
    </row>
    <row r="752" spans="3:10" x14ac:dyDescent="0.2">
      <c r="C752" s="209"/>
      <c r="D752" s="209"/>
      <c r="E752" s="209"/>
      <c r="J752" s="124"/>
    </row>
    <row r="753" spans="3:10" x14ac:dyDescent="0.2">
      <c r="C753" s="209"/>
      <c r="D753" s="209"/>
      <c r="E753" s="209"/>
      <c r="J753" s="124"/>
    </row>
    <row r="754" spans="3:10" x14ac:dyDescent="0.2">
      <c r="C754" s="209"/>
      <c r="D754" s="209"/>
      <c r="E754" s="209"/>
      <c r="J754" s="124"/>
    </row>
    <row r="755" spans="3:10" x14ac:dyDescent="0.2">
      <c r="C755" s="209"/>
      <c r="D755" s="209"/>
      <c r="E755" s="209"/>
      <c r="J755" s="124"/>
    </row>
    <row r="756" spans="3:10" x14ac:dyDescent="0.2">
      <c r="C756" s="209"/>
      <c r="D756" s="209"/>
      <c r="E756" s="209"/>
      <c r="J756" s="124"/>
    </row>
    <row r="757" spans="3:10" x14ac:dyDescent="0.2">
      <c r="C757" s="209"/>
      <c r="D757" s="209"/>
      <c r="E757" s="209"/>
      <c r="J757" s="124"/>
    </row>
    <row r="758" spans="3:10" x14ac:dyDescent="0.2">
      <c r="C758" s="209"/>
      <c r="D758" s="209"/>
      <c r="E758" s="209"/>
      <c r="J758" s="124"/>
    </row>
    <row r="759" spans="3:10" x14ac:dyDescent="0.2">
      <c r="C759" s="209"/>
      <c r="D759" s="209"/>
      <c r="E759" s="209"/>
      <c r="J759" s="124"/>
    </row>
    <row r="760" spans="3:10" x14ac:dyDescent="0.2">
      <c r="C760" s="209"/>
      <c r="D760" s="209"/>
      <c r="E760" s="209"/>
      <c r="J760" s="124"/>
    </row>
    <row r="761" spans="3:10" x14ac:dyDescent="0.2">
      <c r="C761" s="209"/>
      <c r="D761" s="209"/>
      <c r="E761" s="209"/>
      <c r="J761" s="124"/>
    </row>
    <row r="762" spans="3:10" x14ac:dyDescent="0.2">
      <c r="C762" s="209"/>
      <c r="D762" s="209"/>
      <c r="E762" s="209"/>
      <c r="J762" s="124"/>
    </row>
    <row r="763" spans="3:10" x14ac:dyDescent="0.2">
      <c r="C763" s="209"/>
      <c r="D763" s="209"/>
      <c r="E763" s="209"/>
      <c r="J763" s="124"/>
    </row>
    <row r="764" spans="3:10" x14ac:dyDescent="0.2">
      <c r="C764" s="209"/>
      <c r="D764" s="209"/>
      <c r="E764" s="209"/>
      <c r="J764" s="124"/>
    </row>
    <row r="765" spans="3:10" x14ac:dyDescent="0.2">
      <c r="C765" s="209"/>
      <c r="D765" s="209"/>
      <c r="E765" s="209"/>
      <c r="J765" s="124"/>
    </row>
    <row r="766" spans="3:10" x14ac:dyDescent="0.2">
      <c r="C766" s="209"/>
      <c r="D766" s="209"/>
      <c r="E766" s="209"/>
      <c r="J766" s="124"/>
    </row>
    <row r="767" spans="3:10" x14ac:dyDescent="0.2">
      <c r="C767" s="209"/>
      <c r="D767" s="209"/>
      <c r="E767" s="209"/>
      <c r="J767" s="124"/>
    </row>
    <row r="768" spans="3:10" x14ac:dyDescent="0.2">
      <c r="C768" s="209"/>
      <c r="D768" s="209"/>
      <c r="E768" s="209"/>
      <c r="J768" s="124"/>
    </row>
    <row r="769" spans="3:10" x14ac:dyDescent="0.2">
      <c r="C769" s="209"/>
      <c r="D769" s="209"/>
      <c r="E769" s="209"/>
      <c r="J769" s="124"/>
    </row>
    <row r="770" spans="3:10" x14ac:dyDescent="0.2">
      <c r="C770" s="209"/>
      <c r="D770" s="209"/>
      <c r="E770" s="209"/>
      <c r="J770" s="124"/>
    </row>
    <row r="771" spans="3:10" x14ac:dyDescent="0.2">
      <c r="C771" s="209"/>
      <c r="D771" s="209"/>
      <c r="E771" s="209"/>
      <c r="J771" s="124"/>
    </row>
    <row r="772" spans="3:10" x14ac:dyDescent="0.2">
      <c r="C772" s="209"/>
      <c r="D772" s="209"/>
      <c r="E772" s="209"/>
      <c r="J772" s="124"/>
    </row>
    <row r="773" spans="3:10" x14ac:dyDescent="0.2">
      <c r="C773" s="209"/>
      <c r="D773" s="209"/>
      <c r="E773" s="209"/>
      <c r="J773" s="124"/>
    </row>
    <row r="774" spans="3:10" x14ac:dyDescent="0.2">
      <c r="C774" s="209"/>
      <c r="D774" s="209"/>
      <c r="E774" s="209"/>
      <c r="J774" s="124"/>
    </row>
    <row r="775" spans="3:10" x14ac:dyDescent="0.2">
      <c r="C775" s="209"/>
      <c r="D775" s="209"/>
      <c r="E775" s="209"/>
      <c r="J775" s="124"/>
    </row>
    <row r="776" spans="3:10" x14ac:dyDescent="0.2">
      <c r="C776" s="209"/>
      <c r="D776" s="209"/>
      <c r="E776" s="209"/>
      <c r="J776" s="124"/>
    </row>
    <row r="777" spans="3:10" x14ac:dyDescent="0.2">
      <c r="C777" s="209"/>
      <c r="D777" s="209"/>
      <c r="E777" s="209"/>
      <c r="J777" s="124"/>
    </row>
    <row r="778" spans="3:10" x14ac:dyDescent="0.2">
      <c r="C778" s="209"/>
      <c r="D778" s="209"/>
      <c r="E778" s="209"/>
      <c r="J778" s="124"/>
    </row>
    <row r="779" spans="3:10" x14ac:dyDescent="0.2">
      <c r="C779" s="209"/>
      <c r="D779" s="209"/>
      <c r="E779" s="209"/>
      <c r="J779" s="124"/>
    </row>
    <row r="780" spans="3:10" x14ac:dyDescent="0.2">
      <c r="C780" s="209"/>
      <c r="D780" s="209"/>
      <c r="E780" s="209"/>
      <c r="J780" s="124"/>
    </row>
    <row r="781" spans="3:10" x14ac:dyDescent="0.2">
      <c r="C781" s="209"/>
      <c r="D781" s="209"/>
      <c r="E781" s="209"/>
      <c r="J781" s="124"/>
    </row>
    <row r="782" spans="3:10" x14ac:dyDescent="0.2">
      <c r="C782" s="209"/>
      <c r="D782" s="209"/>
      <c r="E782" s="209"/>
      <c r="J782" s="124"/>
    </row>
    <row r="783" spans="3:10" x14ac:dyDescent="0.2">
      <c r="C783" s="209"/>
      <c r="D783" s="209"/>
      <c r="E783" s="209"/>
      <c r="J783" s="124"/>
    </row>
    <row r="784" spans="3:10" x14ac:dyDescent="0.2">
      <c r="C784" s="209"/>
      <c r="D784" s="209"/>
      <c r="E784" s="209"/>
      <c r="J784" s="124"/>
    </row>
    <row r="785" spans="3:10" x14ac:dyDescent="0.2">
      <c r="C785" s="209"/>
      <c r="D785" s="209"/>
      <c r="E785" s="209"/>
      <c r="J785" s="124"/>
    </row>
    <row r="786" spans="3:10" x14ac:dyDescent="0.2">
      <c r="C786" s="209"/>
      <c r="D786" s="209"/>
      <c r="E786" s="209"/>
      <c r="J786" s="124"/>
    </row>
    <row r="787" spans="3:10" x14ac:dyDescent="0.2">
      <c r="C787" s="209"/>
      <c r="D787" s="209"/>
      <c r="E787" s="209"/>
      <c r="J787" s="124"/>
    </row>
    <row r="788" spans="3:10" x14ac:dyDescent="0.2">
      <c r="C788" s="209"/>
      <c r="D788" s="209"/>
      <c r="E788" s="209"/>
      <c r="J788" s="124"/>
    </row>
    <row r="789" spans="3:10" x14ac:dyDescent="0.2">
      <c r="C789" s="209"/>
      <c r="D789" s="209"/>
      <c r="E789" s="209"/>
      <c r="J789" s="124"/>
    </row>
    <row r="790" spans="3:10" x14ac:dyDescent="0.2">
      <c r="C790" s="209"/>
      <c r="D790" s="209"/>
      <c r="E790" s="209"/>
      <c r="J790" s="124"/>
    </row>
    <row r="791" spans="3:10" x14ac:dyDescent="0.2">
      <c r="C791" s="209"/>
      <c r="D791" s="209"/>
      <c r="E791" s="209"/>
      <c r="J791" s="124"/>
    </row>
    <row r="792" spans="3:10" x14ac:dyDescent="0.2">
      <c r="C792" s="209"/>
      <c r="D792" s="209"/>
      <c r="E792" s="209"/>
      <c r="J792" s="124"/>
    </row>
    <row r="793" spans="3:10" x14ac:dyDescent="0.2">
      <c r="C793" s="209"/>
      <c r="D793" s="209"/>
      <c r="E793" s="209"/>
      <c r="J793" s="124"/>
    </row>
    <row r="794" spans="3:10" x14ac:dyDescent="0.2">
      <c r="C794" s="209"/>
      <c r="D794" s="209"/>
      <c r="E794" s="209"/>
      <c r="J794" s="124"/>
    </row>
    <row r="795" spans="3:10" x14ac:dyDescent="0.2">
      <c r="C795" s="209"/>
      <c r="D795" s="209"/>
      <c r="E795" s="209"/>
      <c r="J795" s="124"/>
    </row>
    <row r="796" spans="3:10" x14ac:dyDescent="0.2">
      <c r="C796" s="209"/>
      <c r="D796" s="209"/>
      <c r="E796" s="209"/>
      <c r="J796" s="124"/>
    </row>
    <row r="797" spans="3:10" x14ac:dyDescent="0.2">
      <c r="C797" s="209"/>
      <c r="D797" s="209"/>
      <c r="E797" s="209"/>
      <c r="J797" s="124"/>
    </row>
    <row r="798" spans="3:10" x14ac:dyDescent="0.2">
      <c r="C798" s="209"/>
      <c r="D798" s="209"/>
      <c r="E798" s="209"/>
      <c r="J798" s="124"/>
    </row>
    <row r="799" spans="3:10" x14ac:dyDescent="0.2">
      <c r="C799" s="209"/>
      <c r="D799" s="209"/>
      <c r="E799" s="209"/>
      <c r="J799" s="124"/>
    </row>
    <row r="800" spans="3:10" x14ac:dyDescent="0.2">
      <c r="C800" s="209"/>
      <c r="D800" s="209"/>
      <c r="E800" s="209"/>
      <c r="J800" s="124"/>
    </row>
    <row r="801" spans="3:10" x14ac:dyDescent="0.2">
      <c r="C801" s="209"/>
      <c r="D801" s="209"/>
      <c r="E801" s="209"/>
      <c r="J801" s="124"/>
    </row>
    <row r="802" spans="3:10" x14ac:dyDescent="0.2">
      <c r="C802" s="209"/>
      <c r="D802" s="209"/>
      <c r="E802" s="209"/>
      <c r="J802" s="124"/>
    </row>
    <row r="803" spans="3:10" x14ac:dyDescent="0.2">
      <c r="C803" s="209"/>
      <c r="D803" s="209"/>
      <c r="E803" s="209"/>
      <c r="J803" s="124"/>
    </row>
    <row r="804" spans="3:10" x14ac:dyDescent="0.2">
      <c r="C804" s="209"/>
      <c r="D804" s="209"/>
      <c r="E804" s="209"/>
      <c r="J804" s="124"/>
    </row>
    <row r="805" spans="3:10" x14ac:dyDescent="0.2">
      <c r="C805" s="209"/>
      <c r="D805" s="209"/>
      <c r="E805" s="209"/>
      <c r="J805" s="124"/>
    </row>
    <row r="806" spans="3:10" x14ac:dyDescent="0.2">
      <c r="C806" s="209"/>
      <c r="D806" s="209"/>
      <c r="E806" s="209"/>
      <c r="J806" s="124"/>
    </row>
    <row r="807" spans="3:10" x14ac:dyDescent="0.2">
      <c r="C807" s="209"/>
      <c r="D807" s="209"/>
      <c r="E807" s="209"/>
      <c r="J807" s="124"/>
    </row>
    <row r="808" spans="3:10" x14ac:dyDescent="0.2">
      <c r="C808" s="209"/>
      <c r="D808" s="209"/>
      <c r="E808" s="209"/>
      <c r="J808" s="124"/>
    </row>
    <row r="809" spans="3:10" x14ac:dyDescent="0.2">
      <c r="C809" s="209"/>
      <c r="D809" s="209"/>
      <c r="E809" s="209"/>
      <c r="J809" s="124"/>
    </row>
    <row r="810" spans="3:10" x14ac:dyDescent="0.2">
      <c r="C810" s="209"/>
      <c r="D810" s="209"/>
      <c r="E810" s="209"/>
      <c r="J810" s="124"/>
    </row>
    <row r="811" spans="3:10" x14ac:dyDescent="0.2">
      <c r="C811" s="209"/>
      <c r="D811" s="209"/>
      <c r="E811" s="209"/>
      <c r="J811" s="124"/>
    </row>
    <row r="812" spans="3:10" x14ac:dyDescent="0.2">
      <c r="C812" s="209"/>
      <c r="D812" s="209"/>
      <c r="E812" s="209"/>
      <c r="J812" s="124"/>
    </row>
    <row r="813" spans="3:10" x14ac:dyDescent="0.2">
      <c r="C813" s="209"/>
      <c r="D813" s="209"/>
      <c r="E813" s="209"/>
      <c r="J813" s="124"/>
    </row>
    <row r="814" spans="3:10" x14ac:dyDescent="0.2">
      <c r="C814" s="209"/>
      <c r="D814" s="209"/>
      <c r="E814" s="209"/>
      <c r="J814" s="124"/>
    </row>
    <row r="815" spans="3:10" x14ac:dyDescent="0.2">
      <c r="C815" s="209"/>
      <c r="D815" s="209"/>
      <c r="E815" s="209"/>
      <c r="J815" s="124"/>
    </row>
    <row r="816" spans="3:10" x14ac:dyDescent="0.2">
      <c r="C816" s="209"/>
      <c r="D816" s="209"/>
      <c r="E816" s="209"/>
      <c r="J816" s="124"/>
    </row>
    <row r="817" spans="3:10" x14ac:dyDescent="0.2">
      <c r="C817" s="209"/>
      <c r="D817" s="209"/>
      <c r="E817" s="209"/>
      <c r="J817" s="124"/>
    </row>
    <row r="818" spans="3:10" x14ac:dyDescent="0.2">
      <c r="C818" s="209"/>
      <c r="D818" s="209"/>
      <c r="E818" s="209"/>
      <c r="J818" s="124"/>
    </row>
    <row r="819" spans="3:10" x14ac:dyDescent="0.2">
      <c r="C819" s="209"/>
      <c r="D819" s="209"/>
      <c r="E819" s="209"/>
      <c r="J819" s="124"/>
    </row>
    <row r="820" spans="3:10" x14ac:dyDescent="0.2">
      <c r="C820" s="209"/>
      <c r="D820" s="209"/>
      <c r="E820" s="209"/>
      <c r="J820" s="124"/>
    </row>
    <row r="821" spans="3:10" x14ac:dyDescent="0.2">
      <c r="C821" s="209"/>
      <c r="D821" s="209"/>
      <c r="E821" s="209"/>
      <c r="J821" s="124"/>
    </row>
    <row r="822" spans="3:10" x14ac:dyDescent="0.2">
      <c r="C822" s="209"/>
      <c r="D822" s="209"/>
      <c r="E822" s="209"/>
      <c r="J822" s="124"/>
    </row>
    <row r="823" spans="3:10" x14ac:dyDescent="0.2">
      <c r="C823" s="209"/>
      <c r="D823" s="209"/>
      <c r="E823" s="209"/>
      <c r="J823" s="124"/>
    </row>
    <row r="824" spans="3:10" x14ac:dyDescent="0.2">
      <c r="C824" s="209"/>
      <c r="D824" s="209"/>
      <c r="E824" s="209"/>
      <c r="J824" s="124"/>
    </row>
    <row r="825" spans="3:10" x14ac:dyDescent="0.2">
      <c r="C825" s="209"/>
      <c r="D825" s="209"/>
      <c r="E825" s="209"/>
      <c r="J825" s="124"/>
    </row>
    <row r="826" spans="3:10" x14ac:dyDescent="0.2">
      <c r="C826" s="209"/>
      <c r="D826" s="209"/>
      <c r="E826" s="209"/>
      <c r="J826" s="124"/>
    </row>
    <row r="827" spans="3:10" x14ac:dyDescent="0.2">
      <c r="C827" s="209"/>
      <c r="D827" s="209"/>
      <c r="E827" s="209"/>
      <c r="J827" s="124"/>
    </row>
    <row r="828" spans="3:10" x14ac:dyDescent="0.2">
      <c r="C828" s="209"/>
      <c r="D828" s="209"/>
      <c r="E828" s="209"/>
      <c r="J828" s="124"/>
    </row>
    <row r="829" spans="3:10" x14ac:dyDescent="0.2">
      <c r="C829" s="209"/>
      <c r="D829" s="209"/>
      <c r="E829" s="209"/>
      <c r="J829" s="124"/>
    </row>
    <row r="830" spans="3:10" x14ac:dyDescent="0.2">
      <c r="C830" s="209"/>
      <c r="D830" s="209"/>
      <c r="E830" s="209"/>
      <c r="J830" s="124"/>
    </row>
    <row r="831" spans="3:10" x14ac:dyDescent="0.2">
      <c r="C831" s="209"/>
      <c r="D831" s="209"/>
      <c r="E831" s="209"/>
      <c r="J831" s="124"/>
    </row>
    <row r="832" spans="3:10" x14ac:dyDescent="0.2">
      <c r="C832" s="209"/>
      <c r="D832" s="209"/>
      <c r="E832" s="209"/>
      <c r="J832" s="124"/>
    </row>
    <row r="833" spans="3:10" x14ac:dyDescent="0.2">
      <c r="C833" s="209"/>
      <c r="D833" s="209"/>
      <c r="E833" s="209"/>
      <c r="J833" s="124"/>
    </row>
    <row r="834" spans="3:10" x14ac:dyDescent="0.2">
      <c r="C834" s="209"/>
      <c r="D834" s="209"/>
      <c r="E834" s="209"/>
      <c r="J834" s="124"/>
    </row>
    <row r="835" spans="3:10" x14ac:dyDescent="0.2">
      <c r="C835" s="209"/>
      <c r="D835" s="209"/>
      <c r="E835" s="209"/>
      <c r="J835" s="124"/>
    </row>
    <row r="836" spans="3:10" x14ac:dyDescent="0.2">
      <c r="C836" s="209"/>
      <c r="D836" s="209"/>
      <c r="E836" s="209"/>
      <c r="J836" s="124"/>
    </row>
    <row r="837" spans="3:10" x14ac:dyDescent="0.2">
      <c r="C837" s="209"/>
      <c r="D837" s="209"/>
      <c r="E837" s="209"/>
      <c r="J837" s="124"/>
    </row>
    <row r="838" spans="3:10" x14ac:dyDescent="0.2">
      <c r="C838" s="209"/>
      <c r="D838" s="209"/>
      <c r="E838" s="209"/>
      <c r="J838" s="124"/>
    </row>
    <row r="839" spans="3:10" x14ac:dyDescent="0.2">
      <c r="C839" s="209"/>
      <c r="D839" s="209"/>
      <c r="E839" s="209"/>
      <c r="J839" s="124"/>
    </row>
    <row r="840" spans="3:10" x14ac:dyDescent="0.2">
      <c r="C840" s="209"/>
      <c r="D840" s="209"/>
      <c r="E840" s="209"/>
      <c r="J840" s="124"/>
    </row>
    <row r="841" spans="3:10" x14ac:dyDescent="0.2">
      <c r="C841" s="209"/>
      <c r="D841" s="209"/>
      <c r="E841" s="209"/>
      <c r="J841" s="124"/>
    </row>
    <row r="842" spans="3:10" x14ac:dyDescent="0.2">
      <c r="C842" s="209"/>
      <c r="D842" s="209"/>
      <c r="E842" s="209"/>
      <c r="J842" s="124"/>
    </row>
    <row r="843" spans="3:10" x14ac:dyDescent="0.2">
      <c r="C843" s="209"/>
      <c r="D843" s="209"/>
      <c r="E843" s="209"/>
      <c r="J843" s="124"/>
    </row>
    <row r="844" spans="3:10" x14ac:dyDescent="0.2">
      <c r="C844" s="209"/>
      <c r="D844" s="209"/>
      <c r="E844" s="209"/>
      <c r="J844" s="124"/>
    </row>
    <row r="845" spans="3:10" x14ac:dyDescent="0.2">
      <c r="C845" s="209"/>
      <c r="D845" s="209"/>
      <c r="E845" s="209"/>
      <c r="J845" s="124"/>
    </row>
    <row r="846" spans="3:10" x14ac:dyDescent="0.2">
      <c r="C846" s="209"/>
      <c r="D846" s="209"/>
      <c r="E846" s="209"/>
      <c r="J846" s="124"/>
    </row>
    <row r="847" spans="3:10" x14ac:dyDescent="0.2">
      <c r="C847" s="209"/>
      <c r="D847" s="209"/>
      <c r="E847" s="209"/>
      <c r="J847" s="124"/>
    </row>
    <row r="848" spans="3:10" x14ac:dyDescent="0.2">
      <c r="C848" s="209"/>
      <c r="D848" s="209"/>
      <c r="E848" s="209"/>
      <c r="J848" s="124"/>
    </row>
    <row r="849" spans="3:10" x14ac:dyDescent="0.2">
      <c r="C849" s="209"/>
      <c r="D849" s="209"/>
      <c r="E849" s="209"/>
      <c r="J849" s="124"/>
    </row>
    <row r="850" spans="3:10" x14ac:dyDescent="0.2">
      <c r="C850" s="209"/>
      <c r="D850" s="209"/>
      <c r="E850" s="209"/>
      <c r="J850" s="124"/>
    </row>
    <row r="851" spans="3:10" x14ac:dyDescent="0.2">
      <c r="C851" s="209"/>
      <c r="D851" s="209"/>
      <c r="E851" s="209"/>
      <c r="J851" s="124"/>
    </row>
    <row r="852" spans="3:10" x14ac:dyDescent="0.2">
      <c r="C852" s="209"/>
      <c r="D852" s="209"/>
      <c r="E852" s="209"/>
      <c r="J852" s="124"/>
    </row>
    <row r="853" spans="3:10" x14ac:dyDescent="0.2">
      <c r="C853" s="209"/>
      <c r="D853" s="209"/>
      <c r="E853" s="209"/>
      <c r="J853" s="124"/>
    </row>
    <row r="854" spans="3:10" x14ac:dyDescent="0.2">
      <c r="C854" s="209"/>
      <c r="D854" s="209"/>
      <c r="E854" s="209"/>
      <c r="J854" s="124"/>
    </row>
    <row r="855" spans="3:10" x14ac:dyDescent="0.2">
      <c r="C855" s="209"/>
      <c r="D855" s="209"/>
      <c r="E855" s="209"/>
      <c r="J855" s="124"/>
    </row>
    <row r="856" spans="3:10" x14ac:dyDescent="0.2">
      <c r="C856" s="209"/>
      <c r="D856" s="209"/>
      <c r="E856" s="209"/>
      <c r="J856" s="124"/>
    </row>
    <row r="857" spans="3:10" x14ac:dyDescent="0.2">
      <c r="C857" s="209"/>
      <c r="D857" s="209"/>
      <c r="E857" s="209"/>
      <c r="J857" s="124"/>
    </row>
    <row r="858" spans="3:10" x14ac:dyDescent="0.2">
      <c r="C858" s="209"/>
      <c r="D858" s="209"/>
      <c r="E858" s="209"/>
      <c r="J858" s="124"/>
    </row>
    <row r="859" spans="3:10" x14ac:dyDescent="0.2">
      <c r="C859" s="209"/>
      <c r="D859" s="209"/>
      <c r="E859" s="209"/>
      <c r="J859" s="124"/>
    </row>
    <row r="860" spans="3:10" x14ac:dyDescent="0.2">
      <c r="C860" s="209"/>
      <c r="D860" s="209"/>
      <c r="E860" s="209"/>
      <c r="J860" s="124"/>
    </row>
    <row r="861" spans="3:10" x14ac:dyDescent="0.2">
      <c r="C861" s="209"/>
      <c r="D861" s="209"/>
      <c r="E861" s="209"/>
      <c r="J861" s="124"/>
    </row>
    <row r="862" spans="3:10" x14ac:dyDescent="0.2">
      <c r="C862" s="209"/>
      <c r="D862" s="209"/>
      <c r="E862" s="209"/>
      <c r="J862" s="124"/>
    </row>
    <row r="863" spans="3:10" x14ac:dyDescent="0.2">
      <c r="C863" s="209"/>
      <c r="D863" s="209"/>
      <c r="E863" s="209"/>
      <c r="J863" s="124"/>
    </row>
    <row r="864" spans="3:10" x14ac:dyDescent="0.2">
      <c r="C864" s="209"/>
      <c r="D864" s="209"/>
      <c r="E864" s="209"/>
      <c r="J864" s="124"/>
    </row>
    <row r="865" spans="3:10" x14ac:dyDescent="0.2">
      <c r="C865" s="209"/>
      <c r="D865" s="209"/>
      <c r="E865" s="209"/>
      <c r="J865" s="124"/>
    </row>
    <row r="866" spans="3:10" x14ac:dyDescent="0.2">
      <c r="C866" s="209"/>
      <c r="D866" s="209"/>
      <c r="E866" s="209"/>
      <c r="J866" s="124"/>
    </row>
    <row r="867" spans="3:10" x14ac:dyDescent="0.2">
      <c r="C867" s="209"/>
      <c r="D867" s="209"/>
      <c r="E867" s="209"/>
      <c r="J867" s="124"/>
    </row>
    <row r="868" spans="3:10" x14ac:dyDescent="0.2">
      <c r="C868" s="209"/>
      <c r="D868" s="209"/>
      <c r="E868" s="209"/>
      <c r="J868" s="124"/>
    </row>
    <row r="869" spans="3:10" x14ac:dyDescent="0.2">
      <c r="C869" s="209"/>
      <c r="D869" s="209"/>
      <c r="E869" s="209"/>
      <c r="J869" s="124"/>
    </row>
    <row r="870" spans="3:10" x14ac:dyDescent="0.2">
      <c r="C870" s="209"/>
      <c r="D870" s="209"/>
      <c r="E870" s="209"/>
      <c r="J870" s="124"/>
    </row>
    <row r="871" spans="3:10" x14ac:dyDescent="0.2">
      <c r="C871" s="209"/>
      <c r="D871" s="209"/>
      <c r="E871" s="209"/>
      <c r="J871" s="124"/>
    </row>
    <row r="872" spans="3:10" x14ac:dyDescent="0.2">
      <c r="C872" s="209"/>
      <c r="D872" s="209"/>
      <c r="E872" s="209"/>
      <c r="J872" s="124"/>
    </row>
    <row r="873" spans="3:10" x14ac:dyDescent="0.2">
      <c r="C873" s="209"/>
      <c r="D873" s="209"/>
      <c r="E873" s="209"/>
      <c r="J873" s="124"/>
    </row>
    <row r="874" spans="3:10" x14ac:dyDescent="0.2">
      <c r="C874" s="209"/>
      <c r="D874" s="209"/>
      <c r="E874" s="209"/>
      <c r="J874" s="124"/>
    </row>
    <row r="875" spans="3:10" x14ac:dyDescent="0.2">
      <c r="C875" s="209"/>
      <c r="D875" s="209"/>
      <c r="E875" s="209"/>
      <c r="J875" s="124"/>
    </row>
    <row r="876" spans="3:10" x14ac:dyDescent="0.2">
      <c r="C876" s="209"/>
      <c r="D876" s="209"/>
      <c r="E876" s="209"/>
      <c r="J876" s="124"/>
    </row>
    <row r="877" spans="3:10" x14ac:dyDescent="0.2">
      <c r="C877" s="209"/>
      <c r="D877" s="209"/>
      <c r="E877" s="209"/>
      <c r="J877" s="124"/>
    </row>
    <row r="878" spans="3:10" x14ac:dyDescent="0.2">
      <c r="C878" s="209"/>
      <c r="D878" s="209"/>
      <c r="E878" s="209"/>
      <c r="J878" s="124"/>
    </row>
    <row r="879" spans="3:10" x14ac:dyDescent="0.2">
      <c r="C879" s="209"/>
      <c r="D879" s="209"/>
      <c r="E879" s="209"/>
      <c r="J879" s="124"/>
    </row>
    <row r="880" spans="3:10" x14ac:dyDescent="0.2">
      <c r="C880" s="209"/>
      <c r="D880" s="209"/>
      <c r="E880" s="209"/>
      <c r="J880" s="124"/>
    </row>
    <row r="881" spans="3:10" x14ac:dyDescent="0.2">
      <c r="C881" s="209"/>
      <c r="D881" s="209"/>
      <c r="E881" s="209"/>
      <c r="J881" s="124"/>
    </row>
    <row r="882" spans="3:10" x14ac:dyDescent="0.2">
      <c r="C882" s="209"/>
      <c r="D882" s="209"/>
      <c r="E882" s="209"/>
      <c r="J882" s="124"/>
    </row>
    <row r="883" spans="3:10" x14ac:dyDescent="0.2">
      <c r="C883" s="209"/>
      <c r="D883" s="209"/>
      <c r="E883" s="209"/>
      <c r="J883" s="124"/>
    </row>
    <row r="884" spans="3:10" x14ac:dyDescent="0.2">
      <c r="C884" s="209"/>
      <c r="D884" s="209"/>
      <c r="E884" s="209"/>
      <c r="J884" s="124"/>
    </row>
    <row r="885" spans="3:10" x14ac:dyDescent="0.2">
      <c r="C885" s="209"/>
      <c r="D885" s="209"/>
      <c r="E885" s="209"/>
      <c r="J885" s="124"/>
    </row>
    <row r="886" spans="3:10" x14ac:dyDescent="0.2">
      <c r="C886" s="209"/>
      <c r="D886" s="209"/>
      <c r="E886" s="209"/>
      <c r="J886" s="124"/>
    </row>
    <row r="887" spans="3:10" x14ac:dyDescent="0.2">
      <c r="C887" s="209"/>
      <c r="D887" s="209"/>
      <c r="E887" s="209"/>
      <c r="J887" s="124"/>
    </row>
    <row r="888" spans="3:10" x14ac:dyDescent="0.2">
      <c r="C888" s="209"/>
      <c r="D888" s="209"/>
      <c r="E888" s="209"/>
      <c r="J888" s="124"/>
    </row>
    <row r="889" spans="3:10" x14ac:dyDescent="0.2">
      <c r="C889" s="209"/>
      <c r="D889" s="209"/>
      <c r="E889" s="209"/>
      <c r="J889" s="124"/>
    </row>
    <row r="890" spans="3:10" x14ac:dyDescent="0.2">
      <c r="C890" s="209"/>
      <c r="D890" s="209"/>
      <c r="E890" s="209"/>
      <c r="J890" s="124"/>
    </row>
    <row r="891" spans="3:10" x14ac:dyDescent="0.2">
      <c r="C891" s="209"/>
      <c r="D891" s="209"/>
      <c r="E891" s="209"/>
      <c r="J891" s="124"/>
    </row>
    <row r="892" spans="3:10" x14ac:dyDescent="0.2">
      <c r="C892" s="209"/>
      <c r="D892" s="209"/>
      <c r="E892" s="209"/>
      <c r="J892" s="124"/>
    </row>
    <row r="893" spans="3:10" x14ac:dyDescent="0.2">
      <c r="C893" s="209"/>
      <c r="D893" s="209"/>
      <c r="E893" s="209"/>
      <c r="J893" s="124"/>
    </row>
    <row r="894" spans="3:10" x14ac:dyDescent="0.2">
      <c r="C894" s="209"/>
      <c r="D894" s="209"/>
      <c r="E894" s="209"/>
      <c r="J894" s="124"/>
    </row>
    <row r="895" spans="3:10" x14ac:dyDescent="0.2">
      <c r="C895" s="209"/>
      <c r="D895" s="209"/>
      <c r="E895" s="209"/>
      <c r="J895" s="124"/>
    </row>
    <row r="896" spans="3:10" x14ac:dyDescent="0.2">
      <c r="C896" s="209"/>
      <c r="D896" s="209"/>
      <c r="E896" s="209"/>
      <c r="J896" s="124"/>
    </row>
    <row r="897" spans="3:10" x14ac:dyDescent="0.2">
      <c r="C897" s="209"/>
      <c r="D897" s="209"/>
      <c r="E897" s="209"/>
      <c r="J897" s="124"/>
    </row>
    <row r="898" spans="3:10" x14ac:dyDescent="0.2">
      <c r="C898" s="209"/>
      <c r="D898" s="209"/>
      <c r="E898" s="209"/>
      <c r="J898" s="124"/>
    </row>
    <row r="899" spans="3:10" x14ac:dyDescent="0.2">
      <c r="C899" s="209"/>
      <c r="D899" s="209"/>
      <c r="E899" s="209"/>
      <c r="J899" s="124"/>
    </row>
    <row r="900" spans="3:10" x14ac:dyDescent="0.2">
      <c r="C900" s="209"/>
      <c r="D900" s="209"/>
      <c r="E900" s="209"/>
      <c r="J900" s="124"/>
    </row>
    <row r="901" spans="3:10" x14ac:dyDescent="0.2">
      <c r="C901" s="209"/>
      <c r="D901" s="209"/>
      <c r="E901" s="209"/>
      <c r="J901" s="124"/>
    </row>
    <row r="902" spans="3:10" x14ac:dyDescent="0.2">
      <c r="C902" s="209"/>
      <c r="D902" s="209"/>
      <c r="E902" s="209"/>
      <c r="J902" s="124"/>
    </row>
    <row r="903" spans="3:10" x14ac:dyDescent="0.2">
      <c r="C903" s="209"/>
      <c r="D903" s="209"/>
      <c r="E903" s="209"/>
      <c r="J903" s="124"/>
    </row>
    <row r="904" spans="3:10" x14ac:dyDescent="0.2">
      <c r="C904" s="209"/>
      <c r="D904" s="209"/>
      <c r="E904" s="209"/>
      <c r="J904" s="124"/>
    </row>
    <row r="905" spans="3:10" x14ac:dyDescent="0.2">
      <c r="C905" s="209"/>
      <c r="D905" s="209"/>
      <c r="E905" s="209"/>
      <c r="J905" s="124"/>
    </row>
    <row r="906" spans="3:10" x14ac:dyDescent="0.2">
      <c r="C906" s="209"/>
      <c r="D906" s="209"/>
      <c r="E906" s="209"/>
      <c r="J906" s="124"/>
    </row>
    <row r="907" spans="3:10" x14ac:dyDescent="0.2">
      <c r="C907" s="209"/>
      <c r="D907" s="209"/>
      <c r="E907" s="209"/>
      <c r="J907" s="124"/>
    </row>
    <row r="908" spans="3:10" x14ac:dyDescent="0.2">
      <c r="C908" s="209"/>
      <c r="D908" s="209"/>
      <c r="E908" s="209"/>
      <c r="J908" s="124"/>
    </row>
    <row r="909" spans="3:10" x14ac:dyDescent="0.2">
      <c r="C909" s="209"/>
      <c r="D909" s="209"/>
      <c r="E909" s="209"/>
      <c r="J909" s="124"/>
    </row>
    <row r="910" spans="3:10" x14ac:dyDescent="0.2">
      <c r="C910" s="209"/>
      <c r="D910" s="209"/>
      <c r="E910" s="209"/>
      <c r="J910" s="124"/>
    </row>
    <row r="911" spans="3:10" x14ac:dyDescent="0.2">
      <c r="C911" s="209"/>
      <c r="D911" s="209"/>
      <c r="E911" s="209"/>
      <c r="J911" s="124"/>
    </row>
    <row r="912" spans="3:10" x14ac:dyDescent="0.2">
      <c r="C912" s="209"/>
      <c r="D912" s="209"/>
      <c r="E912" s="209"/>
      <c r="J912" s="124"/>
    </row>
    <row r="913" spans="3:10" x14ac:dyDescent="0.2">
      <c r="C913" s="209"/>
      <c r="D913" s="209"/>
      <c r="E913" s="209"/>
      <c r="J913" s="124"/>
    </row>
    <row r="914" spans="3:10" x14ac:dyDescent="0.2">
      <c r="C914" s="209"/>
      <c r="D914" s="209"/>
      <c r="E914" s="209"/>
      <c r="J914" s="124"/>
    </row>
    <row r="915" spans="3:10" x14ac:dyDescent="0.2">
      <c r="C915" s="209"/>
      <c r="D915" s="209"/>
      <c r="E915" s="209"/>
      <c r="J915" s="124"/>
    </row>
    <row r="916" spans="3:10" x14ac:dyDescent="0.2">
      <c r="C916" s="209"/>
      <c r="D916" s="209"/>
      <c r="E916" s="209"/>
      <c r="J916" s="124"/>
    </row>
    <row r="917" spans="3:10" x14ac:dyDescent="0.2">
      <c r="C917" s="209"/>
      <c r="D917" s="209"/>
      <c r="E917" s="209"/>
      <c r="J917" s="124"/>
    </row>
    <row r="918" spans="3:10" x14ac:dyDescent="0.2">
      <c r="C918" s="209"/>
      <c r="D918" s="209"/>
      <c r="E918" s="209"/>
      <c r="J918" s="124"/>
    </row>
    <row r="919" spans="3:10" x14ac:dyDescent="0.2">
      <c r="C919" s="209"/>
      <c r="D919" s="209"/>
      <c r="E919" s="209"/>
      <c r="J919" s="124"/>
    </row>
    <row r="920" spans="3:10" x14ac:dyDescent="0.2">
      <c r="C920" s="209"/>
      <c r="D920" s="209"/>
      <c r="E920" s="209"/>
      <c r="J920" s="124"/>
    </row>
    <row r="921" spans="3:10" x14ac:dyDescent="0.2">
      <c r="C921" s="209"/>
      <c r="D921" s="209"/>
      <c r="E921" s="209"/>
      <c r="J921" s="124"/>
    </row>
    <row r="922" spans="3:10" x14ac:dyDescent="0.2">
      <c r="C922" s="209"/>
      <c r="D922" s="209"/>
      <c r="E922" s="209"/>
      <c r="J922" s="124"/>
    </row>
    <row r="923" spans="3:10" x14ac:dyDescent="0.2">
      <c r="C923" s="209"/>
      <c r="D923" s="209"/>
      <c r="E923" s="209"/>
      <c r="J923" s="124"/>
    </row>
    <row r="924" spans="3:10" x14ac:dyDescent="0.2">
      <c r="C924" s="209"/>
      <c r="D924" s="209"/>
      <c r="E924" s="209"/>
      <c r="J924" s="124"/>
    </row>
    <row r="925" spans="3:10" x14ac:dyDescent="0.2">
      <c r="C925" s="209"/>
      <c r="D925" s="209"/>
      <c r="E925" s="209"/>
      <c r="J925" s="124"/>
    </row>
    <row r="926" spans="3:10" x14ac:dyDescent="0.2">
      <c r="C926" s="209"/>
      <c r="D926" s="209"/>
      <c r="E926" s="209"/>
      <c r="J926" s="124"/>
    </row>
    <row r="927" spans="3:10" x14ac:dyDescent="0.2">
      <c r="C927" s="209"/>
      <c r="D927" s="209"/>
      <c r="E927" s="209"/>
      <c r="J927" s="124"/>
    </row>
    <row r="928" spans="3:10" x14ac:dyDescent="0.2">
      <c r="C928" s="209"/>
      <c r="D928" s="209"/>
      <c r="E928" s="209"/>
      <c r="J928" s="124"/>
    </row>
    <row r="929" spans="3:10" x14ac:dyDescent="0.2">
      <c r="C929" s="209"/>
      <c r="D929" s="209"/>
      <c r="E929" s="209"/>
      <c r="J929" s="124"/>
    </row>
    <row r="930" spans="3:10" x14ac:dyDescent="0.2">
      <c r="C930" s="209"/>
      <c r="D930" s="209"/>
      <c r="E930" s="209"/>
      <c r="J930" s="124"/>
    </row>
    <row r="931" spans="3:10" x14ac:dyDescent="0.2">
      <c r="C931" s="209"/>
      <c r="D931" s="209"/>
      <c r="E931" s="209"/>
      <c r="J931" s="124"/>
    </row>
    <row r="932" spans="3:10" x14ac:dyDescent="0.2">
      <c r="C932" s="209"/>
      <c r="D932" s="209"/>
      <c r="E932" s="209"/>
      <c r="J932" s="124"/>
    </row>
    <row r="933" spans="3:10" x14ac:dyDescent="0.2">
      <c r="C933" s="209"/>
      <c r="D933" s="209"/>
      <c r="E933" s="209"/>
      <c r="J933" s="124"/>
    </row>
    <row r="934" spans="3:10" x14ac:dyDescent="0.2">
      <c r="C934" s="209"/>
      <c r="D934" s="209"/>
      <c r="E934" s="209"/>
      <c r="J934" s="124"/>
    </row>
    <row r="935" spans="3:10" x14ac:dyDescent="0.2">
      <c r="C935" s="209"/>
      <c r="D935" s="209"/>
      <c r="E935" s="209"/>
      <c r="J935" s="124"/>
    </row>
    <row r="936" spans="3:10" x14ac:dyDescent="0.2">
      <c r="C936" s="209"/>
      <c r="D936" s="209"/>
      <c r="E936" s="209"/>
      <c r="J936" s="124"/>
    </row>
    <row r="937" spans="3:10" x14ac:dyDescent="0.2">
      <c r="C937" s="209"/>
      <c r="D937" s="209"/>
      <c r="E937" s="209"/>
      <c r="J937" s="124"/>
    </row>
    <row r="938" spans="3:10" x14ac:dyDescent="0.2">
      <c r="C938" s="209"/>
      <c r="D938" s="209"/>
      <c r="E938" s="209"/>
      <c r="J938" s="124"/>
    </row>
    <row r="939" spans="3:10" x14ac:dyDescent="0.2">
      <c r="C939" s="209"/>
      <c r="D939" s="209"/>
      <c r="E939" s="209"/>
      <c r="J939" s="124"/>
    </row>
    <row r="940" spans="3:10" x14ac:dyDescent="0.2">
      <c r="C940" s="209"/>
      <c r="D940" s="209"/>
      <c r="E940" s="209"/>
      <c r="J940" s="124"/>
    </row>
    <row r="941" spans="3:10" x14ac:dyDescent="0.2">
      <c r="C941" s="209"/>
      <c r="D941" s="209"/>
      <c r="E941" s="209"/>
      <c r="J941" s="124"/>
    </row>
    <row r="942" spans="3:10" x14ac:dyDescent="0.2">
      <c r="C942" s="209"/>
      <c r="D942" s="209"/>
      <c r="E942" s="209"/>
      <c r="J942" s="124"/>
    </row>
    <row r="943" spans="3:10" x14ac:dyDescent="0.2">
      <c r="C943" s="209"/>
      <c r="D943" s="209"/>
      <c r="E943" s="209"/>
      <c r="J943" s="124"/>
    </row>
    <row r="944" spans="3:10" x14ac:dyDescent="0.2">
      <c r="C944" s="209"/>
      <c r="D944" s="209"/>
      <c r="E944" s="209"/>
      <c r="J944" s="124"/>
    </row>
    <row r="945" spans="3:10" x14ac:dyDescent="0.2">
      <c r="C945" s="209"/>
      <c r="D945" s="209"/>
      <c r="E945" s="209"/>
      <c r="J945" s="124"/>
    </row>
    <row r="946" spans="3:10" x14ac:dyDescent="0.2">
      <c r="C946" s="209"/>
      <c r="D946" s="209"/>
      <c r="E946" s="209"/>
      <c r="J946" s="124"/>
    </row>
    <row r="947" spans="3:10" x14ac:dyDescent="0.2">
      <c r="C947" s="209"/>
      <c r="D947" s="209"/>
      <c r="E947" s="209"/>
      <c r="J947" s="124"/>
    </row>
    <row r="948" spans="3:10" x14ac:dyDescent="0.2">
      <c r="C948" s="209"/>
      <c r="D948" s="209"/>
      <c r="E948" s="209"/>
      <c r="J948" s="124"/>
    </row>
    <row r="949" spans="3:10" x14ac:dyDescent="0.2">
      <c r="C949" s="209"/>
      <c r="D949" s="209"/>
      <c r="E949" s="209"/>
      <c r="J949" s="124"/>
    </row>
    <row r="950" spans="3:10" x14ac:dyDescent="0.2">
      <c r="C950" s="209"/>
      <c r="D950" s="209"/>
      <c r="E950" s="209"/>
      <c r="J950" s="124"/>
    </row>
    <row r="951" spans="3:10" x14ac:dyDescent="0.2">
      <c r="C951" s="209"/>
      <c r="D951" s="209"/>
      <c r="E951" s="209"/>
      <c r="J951" s="124"/>
    </row>
    <row r="952" spans="3:10" x14ac:dyDescent="0.2">
      <c r="C952" s="209"/>
      <c r="D952" s="209"/>
      <c r="E952" s="209"/>
      <c r="J952" s="124"/>
    </row>
    <row r="953" spans="3:10" x14ac:dyDescent="0.2">
      <c r="C953" s="209"/>
      <c r="D953" s="209"/>
      <c r="E953" s="209"/>
      <c r="J953" s="124"/>
    </row>
    <row r="954" spans="3:10" x14ac:dyDescent="0.2">
      <c r="C954" s="209"/>
      <c r="D954" s="209"/>
      <c r="E954" s="209"/>
      <c r="J954" s="124"/>
    </row>
    <row r="955" spans="3:10" x14ac:dyDescent="0.2">
      <c r="C955" s="209"/>
      <c r="D955" s="209"/>
      <c r="E955" s="209"/>
      <c r="J955" s="124"/>
    </row>
    <row r="956" spans="3:10" x14ac:dyDescent="0.2">
      <c r="C956" s="209"/>
      <c r="D956" s="209"/>
      <c r="E956" s="209"/>
      <c r="J956" s="124"/>
    </row>
    <row r="957" spans="3:10" x14ac:dyDescent="0.2">
      <c r="C957" s="209"/>
      <c r="D957" s="209"/>
      <c r="E957" s="209"/>
      <c r="J957" s="124"/>
    </row>
    <row r="958" spans="3:10" x14ac:dyDescent="0.2">
      <c r="C958" s="209"/>
      <c r="D958" s="209"/>
      <c r="E958" s="209"/>
      <c r="J958" s="124"/>
    </row>
    <row r="959" spans="3:10" x14ac:dyDescent="0.2">
      <c r="C959" s="209"/>
      <c r="D959" s="209"/>
      <c r="E959" s="209"/>
      <c r="J959" s="124"/>
    </row>
    <row r="960" spans="3:10" x14ac:dyDescent="0.2">
      <c r="C960" s="209"/>
      <c r="D960" s="209"/>
      <c r="E960" s="209"/>
      <c r="J960" s="124"/>
    </row>
    <row r="961" spans="3:10" x14ac:dyDescent="0.2">
      <c r="C961" s="209"/>
      <c r="D961" s="209"/>
      <c r="E961" s="209"/>
      <c r="J961" s="124"/>
    </row>
    <row r="962" spans="3:10" x14ac:dyDescent="0.2">
      <c r="C962" s="209"/>
      <c r="D962" s="209"/>
      <c r="E962" s="209"/>
      <c r="J962" s="124"/>
    </row>
    <row r="963" spans="3:10" x14ac:dyDescent="0.2">
      <c r="C963" s="209"/>
      <c r="D963" s="209"/>
      <c r="E963" s="209"/>
      <c r="J963" s="124"/>
    </row>
    <row r="964" spans="3:10" x14ac:dyDescent="0.2">
      <c r="C964" s="209"/>
      <c r="D964" s="209"/>
      <c r="E964" s="209"/>
      <c r="J964" s="124"/>
    </row>
    <row r="965" spans="3:10" x14ac:dyDescent="0.2">
      <c r="C965" s="209"/>
      <c r="D965" s="209"/>
      <c r="E965" s="209"/>
      <c r="J965" s="124"/>
    </row>
    <row r="966" spans="3:10" x14ac:dyDescent="0.2">
      <c r="C966" s="209"/>
      <c r="D966" s="209"/>
      <c r="E966" s="209"/>
      <c r="J966" s="124"/>
    </row>
    <row r="967" spans="3:10" x14ac:dyDescent="0.2">
      <c r="C967" s="209"/>
      <c r="D967" s="209"/>
      <c r="E967" s="209"/>
      <c r="J967" s="124"/>
    </row>
    <row r="968" spans="3:10" x14ac:dyDescent="0.2">
      <c r="C968" s="209"/>
      <c r="D968" s="209"/>
      <c r="E968" s="209"/>
      <c r="J968" s="124"/>
    </row>
    <row r="969" spans="3:10" x14ac:dyDescent="0.2">
      <c r="C969" s="209"/>
      <c r="D969" s="209"/>
      <c r="E969" s="209"/>
      <c r="J969" s="124"/>
    </row>
    <row r="970" spans="3:10" x14ac:dyDescent="0.2">
      <c r="C970" s="209"/>
      <c r="D970" s="209"/>
      <c r="E970" s="209"/>
      <c r="J970" s="124"/>
    </row>
    <row r="971" spans="3:10" x14ac:dyDescent="0.2">
      <c r="C971" s="209"/>
      <c r="D971" s="209"/>
      <c r="E971" s="209"/>
      <c r="J971" s="124"/>
    </row>
    <row r="972" spans="3:10" x14ac:dyDescent="0.2">
      <c r="C972" s="209"/>
      <c r="D972" s="209"/>
      <c r="E972" s="209"/>
      <c r="J972" s="124"/>
    </row>
    <row r="973" spans="3:10" x14ac:dyDescent="0.2">
      <c r="C973" s="209"/>
      <c r="D973" s="209"/>
      <c r="E973" s="209"/>
      <c r="J973" s="124"/>
    </row>
    <row r="974" spans="3:10" x14ac:dyDescent="0.2">
      <c r="C974" s="209"/>
      <c r="D974" s="209"/>
      <c r="E974" s="209"/>
      <c r="J974" s="124"/>
    </row>
    <row r="975" spans="3:10" x14ac:dyDescent="0.2">
      <c r="C975" s="209"/>
      <c r="D975" s="209"/>
      <c r="E975" s="209"/>
      <c r="J975" s="124"/>
    </row>
    <row r="976" spans="3:10" x14ac:dyDescent="0.2">
      <c r="C976" s="209"/>
      <c r="D976" s="209"/>
      <c r="E976" s="209"/>
      <c r="J976" s="124"/>
    </row>
    <row r="977" spans="3:10" x14ac:dyDescent="0.2">
      <c r="C977" s="209"/>
      <c r="D977" s="209"/>
      <c r="E977" s="209"/>
      <c r="J977" s="124"/>
    </row>
    <row r="978" spans="3:10" x14ac:dyDescent="0.2">
      <c r="C978" s="209"/>
      <c r="D978" s="209"/>
      <c r="E978" s="209"/>
      <c r="J978" s="124"/>
    </row>
    <row r="979" spans="3:10" x14ac:dyDescent="0.2">
      <c r="C979" s="209"/>
      <c r="D979" s="209"/>
      <c r="E979" s="209"/>
      <c r="J979" s="124"/>
    </row>
    <row r="980" spans="3:10" x14ac:dyDescent="0.2">
      <c r="C980" s="209"/>
      <c r="D980" s="209"/>
      <c r="E980" s="209"/>
      <c r="J980" s="124"/>
    </row>
    <row r="981" spans="3:10" x14ac:dyDescent="0.2">
      <c r="C981" s="209"/>
      <c r="D981" s="209"/>
      <c r="E981" s="209"/>
      <c r="J981" s="124"/>
    </row>
    <row r="982" spans="3:10" x14ac:dyDescent="0.2">
      <c r="C982" s="209"/>
      <c r="D982" s="209"/>
      <c r="E982" s="209"/>
      <c r="J982" s="124"/>
    </row>
    <row r="983" spans="3:10" x14ac:dyDescent="0.2">
      <c r="C983" s="209"/>
      <c r="D983" s="209"/>
      <c r="E983" s="209"/>
      <c r="J983" s="124"/>
    </row>
    <row r="984" spans="3:10" x14ac:dyDescent="0.2">
      <c r="C984" s="209"/>
      <c r="D984" s="209"/>
      <c r="E984" s="209"/>
      <c r="J984" s="124"/>
    </row>
    <row r="985" spans="3:10" x14ac:dyDescent="0.2">
      <c r="C985" s="209"/>
      <c r="D985" s="209"/>
      <c r="E985" s="209"/>
      <c r="J985" s="124"/>
    </row>
    <row r="986" spans="3:10" x14ac:dyDescent="0.2">
      <c r="C986" s="209"/>
      <c r="D986" s="209"/>
      <c r="E986" s="209"/>
      <c r="J986" s="124"/>
    </row>
    <row r="987" spans="3:10" x14ac:dyDescent="0.2">
      <c r="C987" s="209"/>
      <c r="D987" s="209"/>
      <c r="E987" s="209"/>
      <c r="J987" s="124"/>
    </row>
    <row r="988" spans="3:10" x14ac:dyDescent="0.2">
      <c r="C988" s="209"/>
      <c r="D988" s="209"/>
      <c r="E988" s="209"/>
      <c r="J988" s="124"/>
    </row>
    <row r="989" spans="3:10" x14ac:dyDescent="0.2">
      <c r="C989" s="209"/>
      <c r="D989" s="209"/>
      <c r="E989" s="209"/>
      <c r="J989" s="124"/>
    </row>
    <row r="990" spans="3:10" x14ac:dyDescent="0.2">
      <c r="C990" s="209"/>
      <c r="D990" s="209"/>
      <c r="E990" s="209"/>
      <c r="J990" s="124"/>
    </row>
    <row r="991" spans="3:10" x14ac:dyDescent="0.2">
      <c r="C991" s="209"/>
      <c r="D991" s="209"/>
      <c r="E991" s="209"/>
      <c r="J991" s="124"/>
    </row>
    <row r="992" spans="3:10" x14ac:dyDescent="0.2">
      <c r="C992" s="209"/>
      <c r="D992" s="209"/>
      <c r="E992" s="209"/>
      <c r="J992" s="124"/>
    </row>
    <row r="993" spans="3:10" x14ac:dyDescent="0.2">
      <c r="C993" s="209"/>
      <c r="D993" s="209"/>
      <c r="E993" s="209"/>
      <c r="J993" s="124"/>
    </row>
    <row r="994" spans="3:10" x14ac:dyDescent="0.2">
      <c r="C994" s="209"/>
      <c r="D994" s="209"/>
      <c r="E994" s="209"/>
      <c r="J994" s="124"/>
    </row>
    <row r="995" spans="3:10" x14ac:dyDescent="0.2">
      <c r="C995" s="209"/>
      <c r="D995" s="209"/>
      <c r="E995" s="209"/>
      <c r="J995" s="124"/>
    </row>
    <row r="996" spans="3:10" x14ac:dyDescent="0.2">
      <c r="C996" s="209"/>
      <c r="D996" s="209"/>
      <c r="E996" s="209"/>
      <c r="J996" s="124"/>
    </row>
    <row r="997" spans="3:10" x14ac:dyDescent="0.2">
      <c r="C997" s="209"/>
      <c r="D997" s="209"/>
      <c r="E997" s="209"/>
      <c r="J997" s="124"/>
    </row>
    <row r="998" spans="3:10" x14ac:dyDescent="0.2">
      <c r="C998" s="209"/>
      <c r="D998" s="209"/>
      <c r="E998" s="209"/>
      <c r="J998" s="124"/>
    </row>
    <row r="999" spans="3:10" x14ac:dyDescent="0.2">
      <c r="C999" s="209"/>
      <c r="D999" s="209"/>
      <c r="E999" s="209"/>
      <c r="J999" s="124"/>
    </row>
    <row r="1000" spans="3:10" x14ac:dyDescent="0.2">
      <c r="C1000" s="209"/>
      <c r="D1000" s="209"/>
      <c r="E1000" s="209"/>
      <c r="J1000" s="124"/>
    </row>
    <row r="1001" spans="3:10" x14ac:dyDescent="0.2">
      <c r="C1001" s="209"/>
      <c r="D1001" s="209"/>
      <c r="E1001" s="209"/>
      <c r="J1001" s="124"/>
    </row>
    <row r="1002" spans="3:10" x14ac:dyDescent="0.2">
      <c r="C1002" s="209"/>
      <c r="D1002" s="209"/>
      <c r="E1002" s="209"/>
      <c r="J1002" s="124"/>
    </row>
    <row r="1003" spans="3:10" x14ac:dyDescent="0.2">
      <c r="C1003" s="209"/>
      <c r="D1003" s="209"/>
      <c r="E1003" s="209"/>
      <c r="J1003" s="124"/>
    </row>
    <row r="1004" spans="3:10" x14ac:dyDescent="0.2">
      <c r="C1004" s="209"/>
      <c r="D1004" s="209"/>
      <c r="E1004" s="209"/>
      <c r="J1004" s="124"/>
    </row>
    <row r="1005" spans="3:10" x14ac:dyDescent="0.2">
      <c r="C1005" s="209"/>
      <c r="D1005" s="209"/>
      <c r="E1005" s="209"/>
      <c r="J1005" s="124"/>
    </row>
    <row r="1006" spans="3:10" x14ac:dyDescent="0.2">
      <c r="C1006" s="209"/>
      <c r="D1006" s="209"/>
      <c r="E1006" s="209"/>
      <c r="J1006" s="124"/>
    </row>
    <row r="1007" spans="3:10" x14ac:dyDescent="0.2">
      <c r="C1007" s="209"/>
      <c r="D1007" s="209"/>
      <c r="E1007" s="209"/>
      <c r="J1007" s="124"/>
    </row>
    <row r="1008" spans="3:10" x14ac:dyDescent="0.2">
      <c r="C1008" s="209"/>
      <c r="D1008" s="209"/>
      <c r="E1008" s="209"/>
      <c r="J1008" s="124"/>
    </row>
    <row r="1009" spans="3:10" x14ac:dyDescent="0.2">
      <c r="C1009" s="209"/>
      <c r="D1009" s="209"/>
      <c r="E1009" s="209"/>
      <c r="J1009" s="124"/>
    </row>
    <row r="1010" spans="3:10" x14ac:dyDescent="0.2">
      <c r="C1010" s="209"/>
      <c r="D1010" s="209"/>
      <c r="E1010" s="209"/>
      <c r="J1010" s="124"/>
    </row>
    <row r="1011" spans="3:10" x14ac:dyDescent="0.2">
      <c r="C1011" s="209"/>
      <c r="D1011" s="209"/>
      <c r="E1011" s="209"/>
      <c r="J1011" s="124"/>
    </row>
    <row r="1012" spans="3:10" x14ac:dyDescent="0.2">
      <c r="C1012" s="209"/>
      <c r="D1012" s="209"/>
      <c r="E1012" s="209"/>
      <c r="J1012" s="124"/>
    </row>
    <row r="1013" spans="3:10" x14ac:dyDescent="0.2">
      <c r="C1013" s="209"/>
      <c r="D1013" s="209"/>
      <c r="E1013" s="209"/>
      <c r="J1013" s="124"/>
    </row>
    <row r="1014" spans="3:10" x14ac:dyDescent="0.2">
      <c r="C1014" s="209"/>
      <c r="D1014" s="209"/>
      <c r="E1014" s="209"/>
      <c r="J1014" s="124"/>
    </row>
    <row r="1015" spans="3:10" x14ac:dyDescent="0.2">
      <c r="C1015" s="209"/>
      <c r="D1015" s="209"/>
      <c r="E1015" s="209"/>
      <c r="J1015" s="124"/>
    </row>
    <row r="1016" spans="3:10" x14ac:dyDescent="0.2">
      <c r="C1016" s="209"/>
      <c r="D1016" s="209"/>
      <c r="E1016" s="209"/>
      <c r="J1016" s="124"/>
    </row>
    <row r="1017" spans="3:10" x14ac:dyDescent="0.2">
      <c r="C1017" s="209"/>
      <c r="D1017" s="209"/>
      <c r="E1017" s="209"/>
      <c r="J1017" s="124"/>
    </row>
    <row r="1018" spans="3:10" x14ac:dyDescent="0.2">
      <c r="C1018" s="209"/>
      <c r="D1018" s="209"/>
      <c r="E1018" s="209"/>
      <c r="J1018" s="124"/>
    </row>
    <row r="1019" spans="3:10" x14ac:dyDescent="0.2">
      <c r="C1019" s="209"/>
      <c r="D1019" s="209"/>
      <c r="E1019" s="209"/>
      <c r="J1019" s="124"/>
    </row>
    <row r="1020" spans="3:10" x14ac:dyDescent="0.2">
      <c r="C1020" s="209"/>
      <c r="D1020" s="209"/>
      <c r="E1020" s="209"/>
      <c r="J1020" s="124"/>
    </row>
    <row r="1021" spans="3:10" x14ac:dyDescent="0.2">
      <c r="C1021" s="209"/>
      <c r="D1021" s="209"/>
      <c r="E1021" s="209"/>
      <c r="J1021" s="124"/>
    </row>
    <row r="1022" spans="3:10" x14ac:dyDescent="0.2">
      <c r="C1022" s="209"/>
      <c r="D1022" s="209"/>
      <c r="E1022" s="209"/>
      <c r="J1022" s="124"/>
    </row>
    <row r="1023" spans="3:10" x14ac:dyDescent="0.2">
      <c r="C1023" s="209"/>
      <c r="D1023" s="209"/>
      <c r="E1023" s="209"/>
      <c r="J1023" s="124"/>
    </row>
    <row r="1024" spans="3:10" x14ac:dyDescent="0.2">
      <c r="C1024" s="209"/>
      <c r="D1024" s="209"/>
      <c r="E1024" s="209"/>
      <c r="J1024" s="124"/>
    </row>
    <row r="1025" spans="3:10" x14ac:dyDescent="0.2">
      <c r="C1025" s="209"/>
      <c r="D1025" s="209"/>
      <c r="E1025" s="209"/>
      <c r="J1025" s="124"/>
    </row>
    <row r="1026" spans="3:10" x14ac:dyDescent="0.2">
      <c r="C1026" s="209"/>
      <c r="D1026" s="209"/>
      <c r="E1026" s="209"/>
      <c r="J1026" s="124"/>
    </row>
    <row r="1027" spans="3:10" x14ac:dyDescent="0.2">
      <c r="C1027" s="209"/>
      <c r="D1027" s="209"/>
      <c r="E1027" s="209"/>
      <c r="J1027" s="124"/>
    </row>
    <row r="1028" spans="3:10" x14ac:dyDescent="0.2">
      <c r="C1028" s="209"/>
      <c r="D1028" s="209"/>
      <c r="E1028" s="209"/>
      <c r="J1028" s="124"/>
    </row>
    <row r="1029" spans="3:10" x14ac:dyDescent="0.2">
      <c r="C1029" s="209"/>
      <c r="D1029" s="209"/>
      <c r="E1029" s="209"/>
      <c r="J1029" s="124"/>
    </row>
    <row r="1030" spans="3:10" x14ac:dyDescent="0.2">
      <c r="C1030" s="209"/>
      <c r="D1030" s="209"/>
      <c r="E1030" s="209"/>
      <c r="J1030" s="124"/>
    </row>
    <row r="1031" spans="3:10" x14ac:dyDescent="0.2">
      <c r="C1031" s="209"/>
      <c r="D1031" s="209"/>
      <c r="E1031" s="209"/>
      <c r="J1031" s="124"/>
    </row>
    <row r="1032" spans="3:10" x14ac:dyDescent="0.2">
      <c r="C1032" s="209"/>
      <c r="D1032" s="209"/>
      <c r="E1032" s="209"/>
      <c r="J1032" s="124"/>
    </row>
    <row r="1033" spans="3:10" x14ac:dyDescent="0.2">
      <c r="C1033" s="209"/>
      <c r="D1033" s="209"/>
      <c r="E1033" s="209"/>
      <c r="J1033" s="124"/>
    </row>
    <row r="1034" spans="3:10" x14ac:dyDescent="0.2">
      <c r="C1034" s="209"/>
      <c r="D1034" s="209"/>
      <c r="E1034" s="209"/>
      <c r="J1034" s="124"/>
    </row>
    <row r="1035" spans="3:10" x14ac:dyDescent="0.2">
      <c r="C1035" s="209"/>
      <c r="D1035" s="209"/>
      <c r="E1035" s="209"/>
      <c r="J1035" s="124"/>
    </row>
    <row r="1036" spans="3:10" x14ac:dyDescent="0.2">
      <c r="C1036" s="209"/>
      <c r="D1036" s="209"/>
      <c r="E1036" s="209"/>
      <c r="J1036" s="124"/>
    </row>
    <row r="1037" spans="3:10" x14ac:dyDescent="0.2">
      <c r="C1037" s="209"/>
      <c r="D1037" s="209"/>
      <c r="E1037" s="209"/>
      <c r="J1037" s="124"/>
    </row>
    <row r="1038" spans="3:10" x14ac:dyDescent="0.2">
      <c r="C1038" s="209"/>
      <c r="D1038" s="209"/>
      <c r="E1038" s="209"/>
      <c r="J1038" s="124"/>
    </row>
    <row r="1039" spans="3:10" x14ac:dyDescent="0.2">
      <c r="C1039" s="209"/>
      <c r="D1039" s="209"/>
      <c r="E1039" s="209"/>
      <c r="J1039" s="124"/>
    </row>
    <row r="1040" spans="3:10" x14ac:dyDescent="0.2">
      <c r="C1040" s="209"/>
      <c r="D1040" s="209"/>
      <c r="E1040" s="209"/>
      <c r="J1040" s="124"/>
    </row>
    <row r="1041" spans="3:10" x14ac:dyDescent="0.2">
      <c r="C1041" s="209"/>
      <c r="D1041" s="209"/>
      <c r="E1041" s="209"/>
      <c r="J1041" s="124"/>
    </row>
    <row r="1042" spans="3:10" x14ac:dyDescent="0.2">
      <c r="C1042" s="209"/>
      <c r="D1042" s="209"/>
      <c r="E1042" s="209"/>
      <c r="J1042" s="124"/>
    </row>
    <row r="1043" spans="3:10" x14ac:dyDescent="0.2">
      <c r="C1043" s="209"/>
      <c r="D1043" s="209"/>
      <c r="E1043" s="209"/>
      <c r="J1043" s="124"/>
    </row>
    <row r="1044" spans="3:10" x14ac:dyDescent="0.2">
      <c r="C1044" s="209"/>
      <c r="D1044" s="209"/>
      <c r="E1044" s="209"/>
      <c r="J1044" s="124"/>
    </row>
    <row r="1045" spans="3:10" x14ac:dyDescent="0.2">
      <c r="C1045" s="209"/>
      <c r="D1045" s="209"/>
      <c r="E1045" s="209"/>
      <c r="J1045" s="124"/>
    </row>
    <row r="1046" spans="3:10" x14ac:dyDescent="0.2">
      <c r="C1046" s="209"/>
      <c r="D1046" s="209"/>
      <c r="E1046" s="209"/>
      <c r="J1046" s="124"/>
    </row>
    <row r="1047" spans="3:10" x14ac:dyDescent="0.2">
      <c r="C1047" s="209"/>
      <c r="D1047" s="209"/>
      <c r="E1047" s="209"/>
      <c r="J1047" s="124"/>
    </row>
    <row r="1048" spans="3:10" x14ac:dyDescent="0.2">
      <c r="C1048" s="209"/>
      <c r="D1048" s="209"/>
      <c r="E1048" s="209"/>
      <c r="J1048" s="124"/>
    </row>
    <row r="1049" spans="3:10" x14ac:dyDescent="0.2">
      <c r="C1049" s="209"/>
      <c r="D1049" s="209"/>
      <c r="E1049" s="209"/>
      <c r="J1049" s="124"/>
    </row>
    <row r="1050" spans="3:10" x14ac:dyDescent="0.2">
      <c r="C1050" s="209"/>
      <c r="D1050" s="209"/>
      <c r="E1050" s="209"/>
      <c r="J1050" s="124"/>
    </row>
    <row r="1051" spans="3:10" x14ac:dyDescent="0.2">
      <c r="C1051" s="209"/>
      <c r="D1051" s="209"/>
      <c r="E1051" s="209"/>
      <c r="J1051" s="124"/>
    </row>
    <row r="1052" spans="3:10" x14ac:dyDescent="0.2">
      <c r="C1052" s="209"/>
      <c r="D1052" s="209"/>
      <c r="E1052" s="209"/>
      <c r="J1052" s="124"/>
    </row>
    <row r="1053" spans="3:10" x14ac:dyDescent="0.2">
      <c r="C1053" s="209"/>
      <c r="D1053" s="209"/>
      <c r="E1053" s="209"/>
      <c r="J1053" s="124"/>
    </row>
    <row r="1054" spans="3:10" x14ac:dyDescent="0.2">
      <c r="C1054" s="209"/>
      <c r="D1054" s="209"/>
      <c r="E1054" s="209"/>
      <c r="J1054" s="124"/>
    </row>
    <row r="1055" spans="3:10" x14ac:dyDescent="0.2">
      <c r="C1055" s="209"/>
      <c r="D1055" s="209"/>
      <c r="E1055" s="209"/>
      <c r="J1055" s="124"/>
    </row>
    <row r="1056" spans="3:10" x14ac:dyDescent="0.2">
      <c r="C1056" s="209"/>
      <c r="D1056" s="209"/>
      <c r="E1056" s="209"/>
      <c r="J1056" s="124"/>
    </row>
    <row r="1057" spans="3:10" x14ac:dyDescent="0.2">
      <c r="C1057" s="209"/>
      <c r="D1057" s="209"/>
      <c r="E1057" s="209"/>
      <c r="J1057" s="124"/>
    </row>
    <row r="1058" spans="3:10" x14ac:dyDescent="0.2">
      <c r="C1058" s="209"/>
      <c r="D1058" s="209"/>
      <c r="E1058" s="209"/>
      <c r="J1058" s="124"/>
    </row>
    <row r="1059" spans="3:10" x14ac:dyDescent="0.2">
      <c r="C1059" s="209"/>
      <c r="D1059" s="209"/>
      <c r="E1059" s="209"/>
      <c r="J1059" s="124"/>
    </row>
    <row r="1060" spans="3:10" x14ac:dyDescent="0.2">
      <c r="C1060" s="209"/>
      <c r="D1060" s="209"/>
      <c r="E1060" s="209"/>
      <c r="J1060" s="124"/>
    </row>
    <row r="1061" spans="3:10" x14ac:dyDescent="0.2">
      <c r="C1061" s="209"/>
      <c r="D1061" s="209"/>
      <c r="E1061" s="209"/>
      <c r="J1061" s="124"/>
    </row>
    <row r="1062" spans="3:10" x14ac:dyDescent="0.2">
      <c r="C1062" s="209"/>
      <c r="D1062" s="209"/>
      <c r="E1062" s="209"/>
      <c r="J1062" s="124"/>
    </row>
    <row r="1063" spans="3:10" x14ac:dyDescent="0.2">
      <c r="C1063" s="209"/>
      <c r="D1063" s="209"/>
      <c r="E1063" s="209"/>
      <c r="J1063" s="124"/>
    </row>
    <row r="1064" spans="3:10" x14ac:dyDescent="0.2">
      <c r="C1064" s="209"/>
      <c r="D1064" s="209"/>
      <c r="E1064" s="209"/>
      <c r="J1064" s="124"/>
    </row>
    <row r="1065" spans="3:10" x14ac:dyDescent="0.2">
      <c r="C1065" s="209"/>
      <c r="D1065" s="209"/>
      <c r="E1065" s="209"/>
      <c r="J1065" s="124"/>
    </row>
    <row r="1066" spans="3:10" x14ac:dyDescent="0.2">
      <c r="C1066" s="209"/>
      <c r="D1066" s="209"/>
      <c r="E1066" s="209"/>
      <c r="J1066" s="124"/>
    </row>
    <row r="1067" spans="3:10" x14ac:dyDescent="0.2">
      <c r="C1067" s="209"/>
      <c r="D1067" s="209"/>
      <c r="E1067" s="209"/>
      <c r="J1067" s="124"/>
    </row>
    <row r="1068" spans="3:10" x14ac:dyDescent="0.2">
      <c r="C1068" s="209"/>
      <c r="D1068" s="209"/>
      <c r="E1068" s="209"/>
      <c r="J1068" s="124"/>
    </row>
    <row r="1069" spans="3:10" x14ac:dyDescent="0.2">
      <c r="C1069" s="209"/>
      <c r="D1069" s="209"/>
      <c r="E1069" s="209"/>
      <c r="J1069" s="124"/>
    </row>
    <row r="1070" spans="3:10" x14ac:dyDescent="0.2">
      <c r="C1070" s="209"/>
      <c r="D1070" s="209"/>
      <c r="E1070" s="209"/>
      <c r="J1070" s="124"/>
    </row>
    <row r="1071" spans="3:10" x14ac:dyDescent="0.2">
      <c r="C1071" s="209"/>
      <c r="D1071" s="209"/>
      <c r="E1071" s="209"/>
      <c r="J1071" s="124"/>
    </row>
    <row r="1072" spans="3:10" x14ac:dyDescent="0.2">
      <c r="C1072" s="209"/>
      <c r="D1072" s="209"/>
      <c r="E1072" s="209"/>
      <c r="J1072" s="124"/>
    </row>
    <row r="1073" spans="3:10" x14ac:dyDescent="0.2">
      <c r="C1073" s="209"/>
      <c r="D1073" s="209"/>
      <c r="E1073" s="209"/>
      <c r="J1073" s="124"/>
    </row>
    <row r="1074" spans="3:10" x14ac:dyDescent="0.2">
      <c r="C1074" s="209"/>
      <c r="D1074" s="209"/>
      <c r="E1074" s="209"/>
      <c r="J1074" s="124"/>
    </row>
    <row r="1075" spans="3:10" x14ac:dyDescent="0.2">
      <c r="C1075" s="209"/>
      <c r="D1075" s="209"/>
      <c r="E1075" s="209"/>
      <c r="J1075" s="124"/>
    </row>
    <row r="1076" spans="3:10" x14ac:dyDescent="0.2">
      <c r="C1076" s="209"/>
      <c r="D1076" s="209"/>
      <c r="E1076" s="209"/>
      <c r="J1076" s="124"/>
    </row>
    <row r="1077" spans="3:10" x14ac:dyDescent="0.2">
      <c r="C1077" s="209"/>
      <c r="D1077" s="209"/>
      <c r="E1077" s="209"/>
      <c r="J1077" s="124"/>
    </row>
    <row r="1078" spans="3:10" x14ac:dyDescent="0.2">
      <c r="C1078" s="209"/>
      <c r="D1078" s="209"/>
      <c r="E1078" s="209"/>
      <c r="J1078" s="124"/>
    </row>
    <row r="1079" spans="3:10" x14ac:dyDescent="0.2">
      <c r="C1079" s="209"/>
      <c r="D1079" s="209"/>
      <c r="E1079" s="209"/>
      <c r="J1079" s="124"/>
    </row>
    <row r="1080" spans="3:10" x14ac:dyDescent="0.2">
      <c r="C1080" s="209"/>
      <c r="D1080" s="209"/>
      <c r="E1080" s="209"/>
      <c r="J1080" s="124"/>
    </row>
    <row r="1081" spans="3:10" x14ac:dyDescent="0.2">
      <c r="C1081" s="209"/>
      <c r="D1081" s="209"/>
      <c r="E1081" s="209"/>
      <c r="J1081" s="124"/>
    </row>
    <row r="1082" spans="3:10" x14ac:dyDescent="0.2">
      <c r="C1082" s="209"/>
      <c r="D1082" s="209"/>
      <c r="E1082" s="209"/>
      <c r="J1082" s="124"/>
    </row>
    <row r="1083" spans="3:10" x14ac:dyDescent="0.2">
      <c r="C1083" s="209"/>
      <c r="D1083" s="209"/>
      <c r="E1083" s="209"/>
      <c r="J1083" s="124"/>
    </row>
    <row r="1084" spans="3:10" x14ac:dyDescent="0.2">
      <c r="C1084" s="209"/>
      <c r="D1084" s="209"/>
      <c r="E1084" s="209"/>
      <c r="J1084" s="124"/>
    </row>
    <row r="1085" spans="3:10" x14ac:dyDescent="0.2">
      <c r="C1085" s="209"/>
      <c r="D1085" s="209"/>
      <c r="E1085" s="209"/>
      <c r="J1085" s="124"/>
    </row>
    <row r="1086" spans="3:10" x14ac:dyDescent="0.2">
      <c r="C1086" s="209"/>
      <c r="D1086" s="209"/>
      <c r="E1086" s="209"/>
      <c r="J1086" s="124"/>
    </row>
    <row r="1087" spans="3:10" x14ac:dyDescent="0.2">
      <c r="C1087" s="209"/>
      <c r="D1087" s="209"/>
      <c r="E1087" s="209"/>
      <c r="J1087" s="124"/>
    </row>
    <row r="1088" spans="3:10" x14ac:dyDescent="0.2">
      <c r="C1088" s="209"/>
      <c r="D1088" s="209"/>
      <c r="E1088" s="209"/>
      <c r="J1088" s="124"/>
    </row>
    <row r="1089" spans="3:10" x14ac:dyDescent="0.2">
      <c r="C1089" s="209"/>
      <c r="D1089" s="209"/>
      <c r="E1089" s="209"/>
      <c r="J1089" s="124"/>
    </row>
    <row r="1090" spans="3:10" x14ac:dyDescent="0.2">
      <c r="C1090" s="209"/>
      <c r="D1090" s="209"/>
      <c r="E1090" s="209"/>
      <c r="J1090" s="124"/>
    </row>
    <row r="1091" spans="3:10" x14ac:dyDescent="0.2">
      <c r="C1091" s="209"/>
      <c r="D1091" s="209"/>
      <c r="E1091" s="209"/>
      <c r="J1091" s="124"/>
    </row>
    <row r="1092" spans="3:10" x14ac:dyDescent="0.2">
      <c r="C1092" s="209"/>
      <c r="D1092" s="209"/>
      <c r="E1092" s="209"/>
      <c r="J1092" s="124"/>
    </row>
    <row r="1093" spans="3:10" x14ac:dyDescent="0.2">
      <c r="C1093" s="209"/>
      <c r="D1093" s="209"/>
      <c r="E1093" s="209"/>
      <c r="J1093" s="124"/>
    </row>
    <row r="1094" spans="3:10" x14ac:dyDescent="0.2">
      <c r="C1094" s="209"/>
      <c r="D1094" s="209"/>
      <c r="E1094" s="209"/>
      <c r="J1094" s="124"/>
    </row>
    <row r="1095" spans="3:10" x14ac:dyDescent="0.2">
      <c r="C1095" s="209"/>
      <c r="D1095" s="209"/>
      <c r="E1095" s="209"/>
      <c r="J1095" s="124"/>
    </row>
    <row r="1096" spans="3:10" x14ac:dyDescent="0.2">
      <c r="C1096" s="209"/>
      <c r="D1096" s="209"/>
      <c r="E1096" s="209"/>
      <c r="J1096" s="124"/>
    </row>
    <row r="1097" spans="3:10" x14ac:dyDescent="0.2">
      <c r="C1097" s="209"/>
      <c r="D1097" s="209"/>
      <c r="E1097" s="209"/>
      <c r="J1097" s="124"/>
    </row>
    <row r="1098" spans="3:10" x14ac:dyDescent="0.2">
      <c r="C1098" s="209"/>
      <c r="D1098" s="209"/>
      <c r="E1098" s="209"/>
      <c r="J1098" s="124"/>
    </row>
    <row r="1099" spans="3:10" x14ac:dyDescent="0.2">
      <c r="C1099" s="209"/>
      <c r="D1099" s="209"/>
      <c r="E1099" s="209"/>
      <c r="J1099" s="124"/>
    </row>
    <row r="1100" spans="3:10" x14ac:dyDescent="0.2">
      <c r="C1100" s="209"/>
      <c r="D1100" s="209"/>
      <c r="E1100" s="209"/>
      <c r="J1100" s="124"/>
    </row>
    <row r="1101" spans="3:10" x14ac:dyDescent="0.2">
      <c r="C1101" s="209"/>
      <c r="D1101" s="209"/>
      <c r="E1101" s="209"/>
      <c r="J1101" s="124"/>
    </row>
    <row r="1102" spans="3:10" x14ac:dyDescent="0.2">
      <c r="C1102" s="209"/>
      <c r="D1102" s="209"/>
      <c r="E1102" s="209"/>
      <c r="J1102" s="124"/>
    </row>
    <row r="1103" spans="3:10" x14ac:dyDescent="0.2">
      <c r="C1103" s="209"/>
      <c r="D1103" s="209"/>
      <c r="E1103" s="209"/>
      <c r="J1103" s="124"/>
    </row>
    <row r="1104" spans="3:10" x14ac:dyDescent="0.2">
      <c r="C1104" s="209"/>
      <c r="D1104" s="209"/>
      <c r="E1104" s="209"/>
      <c r="J1104" s="124"/>
    </row>
    <row r="1105" spans="3:10" x14ac:dyDescent="0.2">
      <c r="C1105" s="209"/>
      <c r="D1105" s="209"/>
      <c r="E1105" s="209"/>
      <c r="J1105" s="124"/>
    </row>
    <row r="1106" spans="3:10" x14ac:dyDescent="0.2">
      <c r="C1106" s="209"/>
      <c r="D1106" s="209"/>
      <c r="E1106" s="209"/>
      <c r="J1106" s="124"/>
    </row>
    <row r="1107" spans="3:10" x14ac:dyDescent="0.2">
      <c r="C1107" s="209"/>
      <c r="D1107" s="209"/>
      <c r="E1107" s="209"/>
      <c r="J1107" s="124"/>
    </row>
    <row r="1108" spans="3:10" x14ac:dyDescent="0.2">
      <c r="C1108" s="209"/>
      <c r="D1108" s="209"/>
      <c r="E1108" s="209"/>
      <c r="J1108" s="124"/>
    </row>
    <row r="1109" spans="3:10" x14ac:dyDescent="0.2">
      <c r="C1109" s="209"/>
      <c r="D1109" s="209"/>
      <c r="E1109" s="209"/>
      <c r="J1109" s="124"/>
    </row>
    <row r="1110" spans="3:10" x14ac:dyDescent="0.2">
      <c r="C1110" s="209"/>
      <c r="D1110" s="209"/>
      <c r="E1110" s="209"/>
      <c r="J1110" s="124"/>
    </row>
    <row r="1111" spans="3:10" x14ac:dyDescent="0.2">
      <c r="C1111" s="209"/>
      <c r="D1111" s="209"/>
      <c r="E1111" s="209"/>
      <c r="J1111" s="124"/>
    </row>
    <row r="1112" spans="3:10" x14ac:dyDescent="0.2">
      <c r="C1112" s="209"/>
      <c r="D1112" s="209"/>
      <c r="E1112" s="209"/>
      <c r="J1112" s="124"/>
    </row>
    <row r="1113" spans="3:10" x14ac:dyDescent="0.2">
      <c r="C1113" s="209"/>
      <c r="D1113" s="209"/>
      <c r="E1113" s="209"/>
      <c r="J1113" s="124"/>
    </row>
    <row r="1114" spans="3:10" x14ac:dyDescent="0.2">
      <c r="C1114" s="209"/>
      <c r="D1114" s="209"/>
      <c r="E1114" s="209"/>
      <c r="J1114" s="124"/>
    </row>
    <row r="1115" spans="3:10" x14ac:dyDescent="0.2">
      <c r="C1115" s="209"/>
      <c r="D1115" s="209"/>
      <c r="E1115" s="209"/>
      <c r="J1115" s="124"/>
    </row>
    <row r="1116" spans="3:10" x14ac:dyDescent="0.2">
      <c r="C1116" s="209"/>
      <c r="D1116" s="209"/>
      <c r="E1116" s="209"/>
      <c r="J1116" s="124"/>
    </row>
    <row r="1117" spans="3:10" x14ac:dyDescent="0.2">
      <c r="C1117" s="209"/>
      <c r="D1117" s="209"/>
      <c r="E1117" s="209"/>
      <c r="J1117" s="124"/>
    </row>
    <row r="1118" spans="3:10" x14ac:dyDescent="0.2">
      <c r="C1118" s="209"/>
      <c r="D1118" s="209"/>
      <c r="E1118" s="209"/>
      <c r="J1118" s="124"/>
    </row>
    <row r="1119" spans="3:10" x14ac:dyDescent="0.2">
      <c r="C1119" s="209"/>
      <c r="D1119" s="209"/>
      <c r="E1119" s="209"/>
      <c r="J1119" s="124"/>
    </row>
    <row r="1120" spans="3:10" x14ac:dyDescent="0.2">
      <c r="C1120" s="209"/>
      <c r="D1120" s="209"/>
      <c r="E1120" s="209"/>
      <c r="J1120" s="124"/>
    </row>
    <row r="1121" spans="3:10" x14ac:dyDescent="0.2">
      <c r="C1121" s="209"/>
      <c r="D1121" s="209"/>
      <c r="E1121" s="209"/>
      <c r="J1121" s="124"/>
    </row>
    <row r="1122" spans="3:10" x14ac:dyDescent="0.2">
      <c r="C1122" s="209"/>
      <c r="D1122" s="209"/>
      <c r="E1122" s="209"/>
      <c r="J1122" s="124"/>
    </row>
    <row r="1123" spans="3:10" x14ac:dyDescent="0.2">
      <c r="C1123" s="209"/>
      <c r="D1123" s="209"/>
      <c r="E1123" s="209"/>
      <c r="J1123" s="124"/>
    </row>
    <row r="1124" spans="3:10" x14ac:dyDescent="0.2">
      <c r="C1124" s="209"/>
      <c r="D1124" s="209"/>
      <c r="E1124" s="209"/>
      <c r="J1124" s="124"/>
    </row>
    <row r="1125" spans="3:10" x14ac:dyDescent="0.2">
      <c r="C1125" s="209"/>
      <c r="D1125" s="209"/>
      <c r="E1125" s="209"/>
      <c r="J1125" s="124"/>
    </row>
    <row r="1126" spans="3:10" x14ac:dyDescent="0.2">
      <c r="C1126" s="209"/>
      <c r="D1126" s="209"/>
      <c r="E1126" s="209"/>
      <c r="J1126" s="124"/>
    </row>
    <row r="1127" spans="3:10" x14ac:dyDescent="0.2">
      <c r="C1127" s="209"/>
      <c r="D1127" s="209"/>
      <c r="E1127" s="209"/>
      <c r="J1127" s="124"/>
    </row>
    <row r="1128" spans="3:10" x14ac:dyDescent="0.2">
      <c r="C1128" s="209"/>
      <c r="D1128" s="209"/>
      <c r="E1128" s="209"/>
      <c r="J1128" s="124"/>
    </row>
    <row r="1129" spans="3:10" x14ac:dyDescent="0.2">
      <c r="C1129" s="209"/>
      <c r="D1129" s="209"/>
      <c r="E1129" s="209"/>
      <c r="J1129" s="124"/>
    </row>
    <row r="1130" spans="3:10" x14ac:dyDescent="0.2">
      <c r="C1130" s="209"/>
      <c r="D1130" s="209"/>
      <c r="E1130" s="209"/>
      <c r="J1130" s="124"/>
    </row>
    <row r="1131" spans="3:10" x14ac:dyDescent="0.2">
      <c r="C1131" s="209"/>
      <c r="D1131" s="209"/>
      <c r="E1131" s="209"/>
      <c r="J1131" s="124"/>
    </row>
    <row r="1132" spans="3:10" x14ac:dyDescent="0.2">
      <c r="C1132" s="209"/>
      <c r="D1132" s="209"/>
      <c r="E1132" s="209"/>
      <c r="J1132" s="124"/>
    </row>
    <row r="1133" spans="3:10" x14ac:dyDescent="0.2">
      <c r="C1133" s="209"/>
      <c r="D1133" s="209"/>
      <c r="E1133" s="209"/>
      <c r="J1133" s="124"/>
    </row>
    <row r="1134" spans="3:10" x14ac:dyDescent="0.2">
      <c r="C1134" s="209"/>
      <c r="D1134" s="209"/>
      <c r="E1134" s="209"/>
      <c r="J1134" s="124"/>
    </row>
    <row r="1135" spans="3:10" x14ac:dyDescent="0.2">
      <c r="C1135" s="209"/>
      <c r="D1135" s="209"/>
      <c r="E1135" s="209"/>
      <c r="J1135" s="124"/>
    </row>
    <row r="1136" spans="3:10" x14ac:dyDescent="0.2">
      <c r="C1136" s="209"/>
      <c r="D1136" s="209"/>
      <c r="E1136" s="209"/>
      <c r="J1136" s="124"/>
    </row>
    <row r="1137" spans="3:10" x14ac:dyDescent="0.2">
      <c r="C1137" s="209"/>
      <c r="D1137" s="209"/>
      <c r="E1137" s="209"/>
      <c r="J1137" s="124"/>
    </row>
    <row r="1138" spans="3:10" x14ac:dyDescent="0.2">
      <c r="C1138" s="209"/>
      <c r="D1138" s="209"/>
      <c r="E1138" s="209"/>
      <c r="J1138" s="124"/>
    </row>
    <row r="1139" spans="3:10" x14ac:dyDescent="0.2">
      <c r="C1139" s="209"/>
      <c r="D1139" s="209"/>
      <c r="E1139" s="209"/>
      <c r="J1139" s="124"/>
    </row>
    <row r="1140" spans="3:10" x14ac:dyDescent="0.2">
      <c r="C1140" s="209"/>
      <c r="D1140" s="209"/>
      <c r="E1140" s="209"/>
      <c r="J1140" s="124"/>
    </row>
    <row r="1141" spans="3:10" x14ac:dyDescent="0.2">
      <c r="C1141" s="209"/>
      <c r="D1141" s="209"/>
      <c r="E1141" s="209"/>
      <c r="J1141" s="124"/>
    </row>
    <row r="1142" spans="3:10" x14ac:dyDescent="0.2">
      <c r="C1142" s="209"/>
      <c r="D1142" s="209"/>
      <c r="E1142" s="209"/>
      <c r="J1142" s="124"/>
    </row>
    <row r="1143" spans="3:10" x14ac:dyDescent="0.2">
      <c r="C1143" s="209"/>
      <c r="D1143" s="209"/>
      <c r="E1143" s="209"/>
      <c r="J1143" s="124"/>
    </row>
    <row r="1144" spans="3:10" x14ac:dyDescent="0.2">
      <c r="C1144" s="209"/>
      <c r="D1144" s="209"/>
      <c r="E1144" s="209"/>
      <c r="J1144" s="124"/>
    </row>
    <row r="1145" spans="3:10" x14ac:dyDescent="0.2">
      <c r="C1145" s="209"/>
      <c r="D1145" s="209"/>
      <c r="E1145" s="209"/>
      <c r="J1145" s="124"/>
    </row>
    <row r="1146" spans="3:10" x14ac:dyDescent="0.2">
      <c r="C1146" s="209"/>
      <c r="D1146" s="209"/>
      <c r="E1146" s="209"/>
      <c r="J1146" s="124"/>
    </row>
    <row r="1147" spans="3:10" x14ac:dyDescent="0.2">
      <c r="C1147" s="209"/>
      <c r="D1147" s="209"/>
      <c r="E1147" s="209"/>
      <c r="J1147" s="124"/>
    </row>
    <row r="1148" spans="3:10" x14ac:dyDescent="0.2">
      <c r="C1148" s="209"/>
      <c r="D1148" s="209"/>
      <c r="E1148" s="209"/>
      <c r="J1148" s="124"/>
    </row>
    <row r="1149" spans="3:10" x14ac:dyDescent="0.2">
      <c r="C1149" s="209"/>
      <c r="D1149" s="209"/>
      <c r="E1149" s="209"/>
      <c r="J1149" s="124"/>
    </row>
    <row r="1150" spans="3:10" x14ac:dyDescent="0.2">
      <c r="C1150" s="209"/>
      <c r="D1150" s="209"/>
      <c r="E1150" s="209"/>
      <c r="J1150" s="124"/>
    </row>
    <row r="1151" spans="3:10" x14ac:dyDescent="0.2">
      <c r="C1151" s="209"/>
      <c r="D1151" s="209"/>
      <c r="E1151" s="209"/>
      <c r="J1151" s="124"/>
    </row>
    <row r="1152" spans="3:10" x14ac:dyDescent="0.2">
      <c r="C1152" s="209"/>
      <c r="D1152" s="209"/>
      <c r="E1152" s="209"/>
      <c r="J1152" s="124"/>
    </row>
    <row r="1153" spans="3:10" x14ac:dyDescent="0.2">
      <c r="C1153" s="209"/>
      <c r="D1153" s="209"/>
      <c r="E1153" s="209"/>
      <c r="J1153" s="124"/>
    </row>
    <row r="1154" spans="3:10" x14ac:dyDescent="0.2">
      <c r="C1154" s="209"/>
      <c r="D1154" s="209"/>
      <c r="E1154" s="209"/>
      <c r="J1154" s="124"/>
    </row>
    <row r="1155" spans="3:10" x14ac:dyDescent="0.2">
      <c r="C1155" s="209"/>
      <c r="D1155" s="209"/>
      <c r="E1155" s="209"/>
      <c r="J1155" s="124"/>
    </row>
    <row r="1156" spans="3:10" x14ac:dyDescent="0.2">
      <c r="C1156" s="209"/>
      <c r="D1156" s="209"/>
      <c r="E1156" s="209"/>
      <c r="J1156" s="124"/>
    </row>
    <row r="1157" spans="3:10" x14ac:dyDescent="0.2">
      <c r="C1157" s="209"/>
      <c r="D1157" s="209"/>
      <c r="E1157" s="209"/>
      <c r="J1157" s="124"/>
    </row>
    <row r="1158" spans="3:10" x14ac:dyDescent="0.2">
      <c r="C1158" s="209"/>
      <c r="D1158" s="209"/>
      <c r="E1158" s="209"/>
      <c r="J1158" s="124"/>
    </row>
    <row r="1159" spans="3:10" x14ac:dyDescent="0.2">
      <c r="C1159" s="209"/>
      <c r="D1159" s="209"/>
      <c r="E1159" s="209"/>
      <c r="J1159" s="124"/>
    </row>
    <row r="1160" spans="3:10" x14ac:dyDescent="0.2">
      <c r="C1160" s="209"/>
      <c r="D1160" s="209"/>
      <c r="E1160" s="209"/>
      <c r="J1160" s="124"/>
    </row>
    <row r="1161" spans="3:10" x14ac:dyDescent="0.2">
      <c r="C1161" s="209"/>
      <c r="D1161" s="209"/>
      <c r="E1161" s="209"/>
      <c r="J1161" s="124"/>
    </row>
    <row r="1162" spans="3:10" x14ac:dyDescent="0.2">
      <c r="C1162" s="209"/>
      <c r="D1162" s="209"/>
      <c r="E1162" s="209"/>
      <c r="J1162" s="124"/>
    </row>
    <row r="1163" spans="3:10" x14ac:dyDescent="0.2">
      <c r="C1163" s="209"/>
      <c r="D1163" s="209"/>
      <c r="E1163" s="209"/>
      <c r="J1163" s="124"/>
    </row>
    <row r="1164" spans="3:10" x14ac:dyDescent="0.2">
      <c r="C1164" s="209"/>
      <c r="D1164" s="209"/>
      <c r="E1164" s="209"/>
      <c r="J1164" s="124"/>
    </row>
    <row r="1165" spans="3:10" x14ac:dyDescent="0.2">
      <c r="C1165" s="209"/>
      <c r="D1165" s="209"/>
      <c r="E1165" s="209"/>
      <c r="J1165" s="124"/>
    </row>
    <row r="1166" spans="3:10" x14ac:dyDescent="0.2">
      <c r="C1166" s="209"/>
      <c r="D1166" s="209"/>
      <c r="E1166" s="209"/>
      <c r="J1166" s="124"/>
    </row>
    <row r="1167" spans="3:10" x14ac:dyDescent="0.2">
      <c r="C1167" s="209"/>
      <c r="D1167" s="209"/>
      <c r="E1167" s="209"/>
      <c r="J1167" s="124"/>
    </row>
    <row r="1168" spans="3:10" x14ac:dyDescent="0.2">
      <c r="C1168" s="209"/>
      <c r="D1168" s="209"/>
      <c r="E1168" s="209"/>
      <c r="J1168" s="124"/>
    </row>
    <row r="1169" spans="3:10" x14ac:dyDescent="0.2">
      <c r="C1169" s="209"/>
      <c r="D1169" s="209"/>
      <c r="E1169" s="209"/>
      <c r="J1169" s="124"/>
    </row>
    <row r="1170" spans="3:10" x14ac:dyDescent="0.2">
      <c r="C1170" s="209"/>
      <c r="D1170" s="209"/>
      <c r="E1170" s="209"/>
      <c r="J1170" s="124"/>
    </row>
    <row r="1171" spans="3:10" x14ac:dyDescent="0.2">
      <c r="C1171" s="209"/>
      <c r="D1171" s="209"/>
      <c r="E1171" s="209"/>
      <c r="J1171" s="124"/>
    </row>
    <row r="1172" spans="3:10" x14ac:dyDescent="0.2">
      <c r="C1172" s="209"/>
      <c r="D1172" s="209"/>
      <c r="E1172" s="209"/>
      <c r="J1172" s="124"/>
    </row>
    <row r="1173" spans="3:10" x14ac:dyDescent="0.2">
      <c r="C1173" s="209"/>
      <c r="D1173" s="209"/>
      <c r="E1173" s="209"/>
      <c r="J1173" s="124"/>
    </row>
    <row r="1174" spans="3:10" x14ac:dyDescent="0.2">
      <c r="C1174" s="209"/>
      <c r="D1174" s="209"/>
      <c r="E1174" s="209"/>
      <c r="J1174" s="124"/>
    </row>
    <row r="1175" spans="3:10" x14ac:dyDescent="0.2">
      <c r="C1175" s="209"/>
      <c r="D1175" s="209"/>
      <c r="E1175" s="209"/>
      <c r="J1175" s="124"/>
    </row>
    <row r="1176" spans="3:10" x14ac:dyDescent="0.2">
      <c r="C1176" s="209"/>
      <c r="D1176" s="209"/>
      <c r="E1176" s="209"/>
      <c r="J1176" s="124"/>
    </row>
    <row r="1177" spans="3:10" x14ac:dyDescent="0.2">
      <c r="C1177" s="209"/>
      <c r="D1177" s="209"/>
      <c r="E1177" s="209"/>
      <c r="J1177" s="124"/>
    </row>
    <row r="1178" spans="3:10" x14ac:dyDescent="0.2">
      <c r="C1178" s="209"/>
      <c r="D1178" s="209"/>
      <c r="E1178" s="209"/>
      <c r="J1178" s="124"/>
    </row>
    <row r="1179" spans="3:10" x14ac:dyDescent="0.2">
      <c r="C1179" s="209"/>
      <c r="D1179" s="209"/>
      <c r="E1179" s="209"/>
      <c r="J1179" s="124"/>
    </row>
    <row r="1180" spans="3:10" x14ac:dyDescent="0.2">
      <c r="C1180" s="209"/>
      <c r="D1180" s="209"/>
      <c r="E1180" s="209"/>
      <c r="J1180" s="124"/>
    </row>
    <row r="1181" spans="3:10" x14ac:dyDescent="0.2">
      <c r="C1181" s="209"/>
      <c r="D1181" s="209"/>
      <c r="E1181" s="209"/>
      <c r="J1181" s="124"/>
    </row>
    <row r="1182" spans="3:10" x14ac:dyDescent="0.2">
      <c r="C1182" s="209"/>
      <c r="D1182" s="209"/>
      <c r="E1182" s="209"/>
      <c r="J1182" s="124"/>
    </row>
    <row r="1183" spans="3:10" x14ac:dyDescent="0.2">
      <c r="C1183" s="209"/>
      <c r="D1183" s="209"/>
      <c r="E1183" s="209"/>
      <c r="J1183" s="124"/>
    </row>
    <row r="1184" spans="3:10" x14ac:dyDescent="0.2">
      <c r="C1184" s="209"/>
      <c r="D1184" s="209"/>
      <c r="E1184" s="209"/>
      <c r="J1184" s="124"/>
    </row>
    <row r="1185" spans="3:10" x14ac:dyDescent="0.2">
      <c r="C1185" s="209"/>
      <c r="D1185" s="209"/>
      <c r="E1185" s="209"/>
      <c r="J1185" s="124"/>
    </row>
    <row r="1186" spans="3:10" x14ac:dyDescent="0.2">
      <c r="C1186" s="209"/>
      <c r="D1186" s="209"/>
      <c r="E1186" s="209"/>
      <c r="J1186" s="124"/>
    </row>
    <row r="1187" spans="3:10" x14ac:dyDescent="0.2">
      <c r="C1187" s="209"/>
      <c r="D1187" s="209"/>
      <c r="E1187" s="209"/>
      <c r="J1187" s="124"/>
    </row>
    <row r="1188" spans="3:10" x14ac:dyDescent="0.2">
      <c r="C1188" s="209"/>
      <c r="D1188" s="209"/>
      <c r="E1188" s="209"/>
      <c r="J1188" s="124"/>
    </row>
    <row r="1189" spans="3:10" x14ac:dyDescent="0.2">
      <c r="C1189" s="209"/>
      <c r="D1189" s="209"/>
      <c r="E1189" s="209"/>
      <c r="J1189" s="124"/>
    </row>
    <row r="1190" spans="3:10" x14ac:dyDescent="0.2">
      <c r="C1190" s="209"/>
      <c r="D1190" s="209"/>
      <c r="E1190" s="209"/>
      <c r="J1190" s="124"/>
    </row>
    <row r="1191" spans="3:10" x14ac:dyDescent="0.2">
      <c r="C1191" s="209"/>
      <c r="D1191" s="209"/>
      <c r="E1191" s="209"/>
      <c r="J1191" s="124"/>
    </row>
    <row r="1192" spans="3:10" x14ac:dyDescent="0.2">
      <c r="C1192" s="209"/>
      <c r="D1192" s="209"/>
      <c r="E1192" s="209"/>
      <c r="J1192" s="124"/>
    </row>
    <row r="1193" spans="3:10" x14ac:dyDescent="0.2">
      <c r="C1193" s="209"/>
      <c r="D1193" s="209"/>
      <c r="E1193" s="209"/>
      <c r="J1193" s="124"/>
    </row>
    <row r="1194" spans="3:10" x14ac:dyDescent="0.2">
      <c r="C1194" s="209"/>
      <c r="D1194" s="209"/>
      <c r="E1194" s="209"/>
      <c r="J1194" s="124"/>
    </row>
    <row r="1195" spans="3:10" x14ac:dyDescent="0.2">
      <c r="C1195" s="209"/>
      <c r="D1195" s="209"/>
      <c r="E1195" s="209"/>
      <c r="J1195" s="124"/>
    </row>
    <row r="1196" spans="3:10" x14ac:dyDescent="0.2">
      <c r="C1196" s="209"/>
      <c r="D1196" s="209"/>
      <c r="E1196" s="209"/>
      <c r="J1196" s="124"/>
    </row>
    <row r="1197" spans="3:10" x14ac:dyDescent="0.2">
      <c r="C1197" s="209"/>
      <c r="D1197" s="209"/>
      <c r="E1197" s="209"/>
      <c r="J1197" s="124"/>
    </row>
    <row r="1198" spans="3:10" x14ac:dyDescent="0.2">
      <c r="C1198" s="209"/>
      <c r="D1198" s="209"/>
      <c r="E1198" s="209"/>
      <c r="J1198" s="124"/>
    </row>
    <row r="1199" spans="3:10" x14ac:dyDescent="0.2">
      <c r="C1199" s="209"/>
      <c r="D1199" s="209"/>
      <c r="E1199" s="209"/>
      <c r="J1199" s="124"/>
    </row>
    <row r="1200" spans="3:10" x14ac:dyDescent="0.2">
      <c r="C1200" s="209"/>
      <c r="D1200" s="209"/>
      <c r="E1200" s="209"/>
      <c r="J1200" s="124"/>
    </row>
    <row r="1201" spans="3:10" x14ac:dyDescent="0.2">
      <c r="C1201" s="209"/>
      <c r="D1201" s="209"/>
      <c r="E1201" s="209"/>
      <c r="J1201" s="124"/>
    </row>
    <row r="1202" spans="3:10" x14ac:dyDescent="0.2">
      <c r="C1202" s="209"/>
      <c r="D1202" s="209"/>
      <c r="E1202" s="209"/>
      <c r="J1202" s="124"/>
    </row>
    <row r="1203" spans="3:10" x14ac:dyDescent="0.2">
      <c r="C1203" s="209"/>
      <c r="D1203" s="209"/>
      <c r="E1203" s="209"/>
      <c r="J1203" s="124"/>
    </row>
    <row r="1204" spans="3:10" x14ac:dyDescent="0.2">
      <c r="C1204" s="209"/>
      <c r="D1204" s="209"/>
      <c r="E1204" s="209"/>
      <c r="J1204" s="124"/>
    </row>
    <row r="1205" spans="3:10" x14ac:dyDescent="0.2">
      <c r="C1205" s="209"/>
      <c r="D1205" s="209"/>
      <c r="E1205" s="209"/>
      <c r="J1205" s="124"/>
    </row>
    <row r="1206" spans="3:10" x14ac:dyDescent="0.2">
      <c r="C1206" s="209"/>
      <c r="D1206" s="209"/>
      <c r="E1206" s="209"/>
      <c r="J1206" s="124"/>
    </row>
    <row r="1207" spans="3:10" x14ac:dyDescent="0.2">
      <c r="C1207" s="209"/>
      <c r="D1207" s="209"/>
      <c r="E1207" s="209"/>
      <c r="J1207" s="124"/>
    </row>
    <row r="1208" spans="3:10" x14ac:dyDescent="0.2">
      <c r="C1208" s="209"/>
      <c r="D1208" s="209"/>
      <c r="E1208" s="209"/>
      <c r="J1208" s="124"/>
    </row>
    <row r="1209" spans="3:10" x14ac:dyDescent="0.2">
      <c r="C1209" s="209"/>
      <c r="D1209" s="209"/>
      <c r="E1209" s="209"/>
      <c r="J1209" s="124"/>
    </row>
    <row r="1210" spans="3:10" x14ac:dyDescent="0.2">
      <c r="C1210" s="209"/>
      <c r="D1210" s="209"/>
      <c r="E1210" s="209"/>
      <c r="J1210" s="124"/>
    </row>
    <row r="1211" spans="3:10" x14ac:dyDescent="0.2">
      <c r="C1211" s="209"/>
      <c r="D1211" s="209"/>
      <c r="E1211" s="209"/>
      <c r="J1211" s="124"/>
    </row>
    <row r="1212" spans="3:10" x14ac:dyDescent="0.2">
      <c r="C1212" s="209"/>
      <c r="D1212" s="209"/>
      <c r="E1212" s="209"/>
      <c r="J1212" s="124"/>
    </row>
    <row r="1213" spans="3:10" x14ac:dyDescent="0.2">
      <c r="C1213" s="209"/>
      <c r="D1213" s="209"/>
      <c r="E1213" s="209"/>
      <c r="J1213" s="124"/>
    </row>
    <row r="1214" spans="3:10" x14ac:dyDescent="0.2">
      <c r="C1214" s="209"/>
      <c r="D1214" s="209"/>
      <c r="E1214" s="209"/>
      <c r="J1214" s="124"/>
    </row>
    <row r="1215" spans="3:10" x14ac:dyDescent="0.2">
      <c r="C1215" s="209"/>
      <c r="D1215" s="209"/>
      <c r="E1215" s="209"/>
      <c r="J1215" s="124"/>
    </row>
    <row r="1216" spans="3:10" x14ac:dyDescent="0.2">
      <c r="C1216" s="209"/>
      <c r="D1216" s="209"/>
      <c r="E1216" s="209"/>
      <c r="J1216" s="124"/>
    </row>
    <row r="1217" spans="3:10" x14ac:dyDescent="0.2">
      <c r="C1217" s="209"/>
      <c r="D1217" s="209"/>
      <c r="E1217" s="209"/>
      <c r="J1217" s="124"/>
    </row>
    <row r="1218" spans="3:10" x14ac:dyDescent="0.2">
      <c r="C1218" s="209"/>
      <c r="D1218" s="209"/>
      <c r="E1218" s="209"/>
      <c r="J1218" s="124"/>
    </row>
    <row r="1219" spans="3:10" x14ac:dyDescent="0.2">
      <c r="C1219" s="209"/>
      <c r="D1219" s="209"/>
      <c r="E1219" s="209"/>
      <c r="J1219" s="124"/>
    </row>
    <row r="1220" spans="3:10" x14ac:dyDescent="0.2">
      <c r="C1220" s="209"/>
      <c r="D1220" s="209"/>
      <c r="E1220" s="209"/>
      <c r="J1220" s="124"/>
    </row>
    <row r="1221" spans="3:10" x14ac:dyDescent="0.2">
      <c r="C1221" s="209"/>
      <c r="D1221" s="209"/>
      <c r="E1221" s="209"/>
      <c r="J1221" s="124"/>
    </row>
    <row r="1222" spans="3:10" x14ac:dyDescent="0.2">
      <c r="C1222" s="209"/>
      <c r="D1222" s="209"/>
      <c r="E1222" s="209"/>
      <c r="J1222" s="124"/>
    </row>
    <row r="1223" spans="3:10" x14ac:dyDescent="0.2">
      <c r="C1223" s="209"/>
      <c r="D1223" s="209"/>
      <c r="E1223" s="209"/>
      <c r="J1223" s="124"/>
    </row>
    <row r="1224" spans="3:10" x14ac:dyDescent="0.2">
      <c r="C1224" s="209"/>
      <c r="D1224" s="209"/>
      <c r="E1224" s="209"/>
      <c r="J1224" s="124"/>
    </row>
    <row r="1225" spans="3:10" x14ac:dyDescent="0.2">
      <c r="C1225" s="209"/>
      <c r="D1225" s="209"/>
      <c r="E1225" s="209"/>
      <c r="J1225" s="124"/>
    </row>
    <row r="1226" spans="3:10" x14ac:dyDescent="0.2">
      <c r="C1226" s="209"/>
      <c r="D1226" s="209"/>
      <c r="E1226" s="209"/>
      <c r="J1226" s="124"/>
    </row>
    <row r="1227" spans="3:10" x14ac:dyDescent="0.2">
      <c r="C1227" s="209"/>
      <c r="D1227" s="209"/>
      <c r="E1227" s="209"/>
      <c r="J1227" s="124"/>
    </row>
    <row r="1228" spans="3:10" x14ac:dyDescent="0.2">
      <c r="C1228" s="209"/>
      <c r="D1228" s="209"/>
      <c r="E1228" s="209"/>
      <c r="J1228" s="124"/>
    </row>
    <row r="1229" spans="3:10" x14ac:dyDescent="0.2">
      <c r="C1229" s="209"/>
      <c r="D1229" s="209"/>
      <c r="E1229" s="209"/>
      <c r="J1229" s="124"/>
    </row>
    <row r="1230" spans="3:10" x14ac:dyDescent="0.2">
      <c r="C1230" s="209"/>
      <c r="D1230" s="209"/>
      <c r="E1230" s="209"/>
      <c r="J1230" s="124"/>
    </row>
    <row r="1231" spans="3:10" x14ac:dyDescent="0.2">
      <c r="C1231" s="209"/>
      <c r="D1231" s="209"/>
      <c r="E1231" s="209"/>
      <c r="J1231" s="124"/>
    </row>
    <row r="1232" spans="3:10" x14ac:dyDescent="0.2">
      <c r="C1232" s="209"/>
      <c r="D1232" s="209"/>
      <c r="E1232" s="209"/>
      <c r="J1232" s="124"/>
    </row>
    <row r="1233" spans="3:10" x14ac:dyDescent="0.2">
      <c r="C1233" s="209"/>
      <c r="D1233" s="209"/>
      <c r="E1233" s="209"/>
      <c r="J1233" s="124"/>
    </row>
    <row r="1234" spans="3:10" x14ac:dyDescent="0.2">
      <c r="C1234" s="209"/>
      <c r="D1234" s="209"/>
      <c r="E1234" s="209"/>
      <c r="J1234" s="124"/>
    </row>
    <row r="1235" spans="3:10" x14ac:dyDescent="0.2">
      <c r="C1235" s="209"/>
      <c r="D1235" s="209"/>
      <c r="E1235" s="209"/>
      <c r="J1235" s="124"/>
    </row>
    <row r="1236" spans="3:10" x14ac:dyDescent="0.2">
      <c r="C1236" s="209"/>
      <c r="D1236" s="209"/>
      <c r="E1236" s="209"/>
      <c r="J1236" s="124"/>
    </row>
    <row r="1237" spans="3:10" x14ac:dyDescent="0.2">
      <c r="C1237" s="209"/>
      <c r="D1237" s="209"/>
      <c r="E1237" s="209"/>
      <c r="J1237" s="124"/>
    </row>
    <row r="1238" spans="3:10" x14ac:dyDescent="0.2">
      <c r="C1238" s="209"/>
      <c r="D1238" s="209"/>
      <c r="E1238" s="209"/>
      <c r="J1238" s="124"/>
    </row>
    <row r="1239" spans="3:10" x14ac:dyDescent="0.2">
      <c r="C1239" s="209"/>
      <c r="D1239" s="209"/>
      <c r="E1239" s="209"/>
      <c r="J1239" s="124"/>
    </row>
    <row r="1240" spans="3:10" x14ac:dyDescent="0.2">
      <c r="C1240" s="209"/>
      <c r="D1240" s="209"/>
      <c r="E1240" s="209"/>
      <c r="J1240" s="124"/>
    </row>
    <row r="1241" spans="3:10" x14ac:dyDescent="0.2">
      <c r="C1241" s="209"/>
      <c r="D1241" s="209"/>
      <c r="E1241" s="209"/>
      <c r="J1241" s="124"/>
    </row>
    <row r="1242" spans="3:10" x14ac:dyDescent="0.2">
      <c r="C1242" s="209"/>
      <c r="D1242" s="209"/>
      <c r="E1242" s="209"/>
      <c r="J1242" s="124"/>
    </row>
    <row r="1243" spans="3:10" x14ac:dyDescent="0.2">
      <c r="C1243" s="209"/>
      <c r="D1243" s="209"/>
      <c r="E1243" s="209"/>
      <c r="J1243" s="124"/>
    </row>
    <row r="1244" spans="3:10" x14ac:dyDescent="0.2">
      <c r="C1244" s="209"/>
      <c r="D1244" s="209"/>
      <c r="E1244" s="209"/>
      <c r="J1244" s="124"/>
    </row>
    <row r="1245" spans="3:10" x14ac:dyDescent="0.2">
      <c r="C1245" s="209"/>
      <c r="D1245" s="209"/>
      <c r="E1245" s="209"/>
      <c r="J1245" s="124"/>
    </row>
    <row r="1246" spans="3:10" x14ac:dyDescent="0.2">
      <c r="C1246" s="209"/>
      <c r="D1246" s="209"/>
      <c r="E1246" s="209"/>
      <c r="J1246" s="124"/>
    </row>
    <row r="1247" spans="3:10" x14ac:dyDescent="0.2">
      <c r="C1247" s="209"/>
      <c r="D1247" s="209"/>
      <c r="E1247" s="209"/>
      <c r="J1247" s="124"/>
    </row>
    <row r="1248" spans="3:10" x14ac:dyDescent="0.2">
      <c r="C1248" s="209"/>
      <c r="D1248" s="209"/>
      <c r="E1248" s="209"/>
      <c r="J1248" s="124"/>
    </row>
    <row r="1249" spans="3:10" x14ac:dyDescent="0.2">
      <c r="C1249" s="209"/>
      <c r="D1249" s="209"/>
      <c r="E1249" s="209"/>
      <c r="J1249" s="124"/>
    </row>
    <row r="1250" spans="3:10" x14ac:dyDescent="0.2">
      <c r="C1250" s="209"/>
      <c r="D1250" s="209"/>
      <c r="E1250" s="209"/>
      <c r="J1250" s="124"/>
    </row>
    <row r="1251" spans="3:10" x14ac:dyDescent="0.2">
      <c r="C1251" s="209"/>
      <c r="D1251" s="209"/>
      <c r="E1251" s="209"/>
      <c r="J1251" s="124"/>
    </row>
    <row r="1252" spans="3:10" x14ac:dyDescent="0.2">
      <c r="C1252" s="209"/>
      <c r="D1252" s="209"/>
      <c r="E1252" s="209"/>
      <c r="J1252" s="124"/>
    </row>
    <row r="1253" spans="3:10" x14ac:dyDescent="0.2">
      <c r="C1253" s="209"/>
      <c r="D1253" s="209"/>
      <c r="E1253" s="209"/>
      <c r="J1253" s="124"/>
    </row>
    <row r="1254" spans="3:10" x14ac:dyDescent="0.2">
      <c r="C1254" s="209"/>
      <c r="D1254" s="209"/>
      <c r="E1254" s="209"/>
      <c r="J1254" s="124"/>
    </row>
    <row r="1255" spans="3:10" x14ac:dyDescent="0.2">
      <c r="C1255" s="209"/>
      <c r="D1255" s="209"/>
      <c r="E1255" s="209"/>
      <c r="J1255" s="124"/>
    </row>
    <row r="1256" spans="3:10" x14ac:dyDescent="0.2">
      <c r="C1256" s="209"/>
      <c r="D1256" s="209"/>
      <c r="E1256" s="209"/>
      <c r="J1256" s="124"/>
    </row>
    <row r="1257" spans="3:10" x14ac:dyDescent="0.2">
      <c r="C1257" s="209"/>
      <c r="D1257" s="209"/>
      <c r="E1257" s="209"/>
      <c r="J1257" s="124"/>
    </row>
    <row r="1258" spans="3:10" x14ac:dyDescent="0.2">
      <c r="C1258" s="209"/>
      <c r="D1258" s="209"/>
      <c r="E1258" s="209"/>
      <c r="J1258" s="124"/>
    </row>
    <row r="1259" spans="3:10" x14ac:dyDescent="0.2">
      <c r="C1259" s="209"/>
      <c r="D1259" s="209"/>
      <c r="E1259" s="209"/>
      <c r="J1259" s="124"/>
    </row>
    <row r="1260" spans="3:10" x14ac:dyDescent="0.2">
      <c r="C1260" s="209"/>
      <c r="D1260" s="209"/>
      <c r="E1260" s="209"/>
      <c r="J1260" s="124"/>
    </row>
    <row r="1261" spans="3:10" x14ac:dyDescent="0.2">
      <c r="C1261" s="209"/>
      <c r="D1261" s="209"/>
      <c r="E1261" s="209"/>
      <c r="J1261" s="124"/>
    </row>
    <row r="1262" spans="3:10" x14ac:dyDescent="0.2">
      <c r="C1262" s="209"/>
      <c r="D1262" s="209"/>
      <c r="E1262" s="209"/>
      <c r="J1262" s="124"/>
    </row>
    <row r="1263" spans="3:10" x14ac:dyDescent="0.2">
      <c r="C1263" s="209"/>
      <c r="D1263" s="209"/>
      <c r="E1263" s="209"/>
      <c r="J1263" s="124"/>
    </row>
    <row r="1264" spans="3:10" x14ac:dyDescent="0.2">
      <c r="C1264" s="209"/>
      <c r="D1264" s="209"/>
      <c r="E1264" s="209"/>
      <c r="J1264" s="124"/>
    </row>
    <row r="1265" spans="3:10" x14ac:dyDescent="0.2">
      <c r="C1265" s="209"/>
      <c r="D1265" s="209"/>
      <c r="E1265" s="209"/>
      <c r="J1265" s="124"/>
    </row>
    <row r="1266" spans="3:10" x14ac:dyDescent="0.2">
      <c r="C1266" s="209"/>
      <c r="D1266" s="209"/>
      <c r="E1266" s="209"/>
      <c r="J1266" s="124"/>
    </row>
    <row r="1267" spans="3:10" x14ac:dyDescent="0.2">
      <c r="C1267" s="209"/>
      <c r="D1267" s="209"/>
      <c r="E1267" s="209"/>
      <c r="J1267" s="124"/>
    </row>
    <row r="1268" spans="3:10" x14ac:dyDescent="0.2">
      <c r="C1268" s="209"/>
      <c r="D1268" s="209"/>
      <c r="E1268" s="209"/>
      <c r="J1268" s="124"/>
    </row>
    <row r="1269" spans="3:10" x14ac:dyDescent="0.2">
      <c r="C1269" s="209"/>
      <c r="D1269" s="209"/>
      <c r="E1269" s="209"/>
      <c r="J1269" s="124"/>
    </row>
    <row r="1270" spans="3:10" x14ac:dyDescent="0.2">
      <c r="C1270" s="209"/>
      <c r="D1270" s="209"/>
      <c r="E1270" s="209"/>
      <c r="J1270" s="124"/>
    </row>
    <row r="1271" spans="3:10" x14ac:dyDescent="0.2">
      <c r="C1271" s="209"/>
      <c r="D1271" s="209"/>
      <c r="E1271" s="209"/>
      <c r="J1271" s="124"/>
    </row>
    <row r="1272" spans="3:10" x14ac:dyDescent="0.2">
      <c r="C1272" s="209"/>
      <c r="D1272" s="209"/>
      <c r="E1272" s="209"/>
      <c r="J1272" s="124"/>
    </row>
    <row r="1273" spans="3:10" x14ac:dyDescent="0.2">
      <c r="C1273" s="209"/>
      <c r="D1273" s="209"/>
      <c r="E1273" s="209"/>
      <c r="J1273" s="124"/>
    </row>
    <row r="1274" spans="3:10" x14ac:dyDescent="0.2">
      <c r="C1274" s="209"/>
      <c r="D1274" s="209"/>
      <c r="E1274" s="209"/>
      <c r="J1274" s="124"/>
    </row>
    <row r="1275" spans="3:10" x14ac:dyDescent="0.2">
      <c r="C1275" s="209"/>
      <c r="D1275" s="209"/>
      <c r="E1275" s="209"/>
      <c r="J1275" s="124"/>
    </row>
    <row r="1276" spans="3:10" x14ac:dyDescent="0.2">
      <c r="C1276" s="209"/>
      <c r="D1276" s="209"/>
      <c r="E1276" s="209"/>
      <c r="J1276" s="124"/>
    </row>
    <row r="1277" spans="3:10" x14ac:dyDescent="0.2">
      <c r="C1277" s="209"/>
      <c r="D1277" s="209"/>
      <c r="E1277" s="209"/>
      <c r="J1277" s="124"/>
    </row>
    <row r="1278" spans="3:10" x14ac:dyDescent="0.2">
      <c r="C1278" s="209"/>
      <c r="D1278" s="209"/>
      <c r="E1278" s="209"/>
      <c r="J1278" s="124"/>
    </row>
    <row r="1279" spans="3:10" x14ac:dyDescent="0.2">
      <c r="C1279" s="209"/>
      <c r="D1279" s="209"/>
      <c r="E1279" s="209"/>
      <c r="J1279" s="124"/>
    </row>
    <row r="1280" spans="3:10" x14ac:dyDescent="0.2">
      <c r="C1280" s="209"/>
      <c r="D1280" s="209"/>
      <c r="E1280" s="209"/>
      <c r="J1280" s="124"/>
    </row>
    <row r="1281" spans="3:10" x14ac:dyDescent="0.2">
      <c r="C1281" s="209"/>
      <c r="D1281" s="209"/>
      <c r="E1281" s="209"/>
      <c r="J1281" s="124"/>
    </row>
    <row r="1282" spans="3:10" x14ac:dyDescent="0.2">
      <c r="C1282" s="209"/>
      <c r="D1282" s="209"/>
      <c r="E1282" s="209"/>
      <c r="J1282" s="124"/>
    </row>
    <row r="1283" spans="3:10" x14ac:dyDescent="0.2">
      <c r="C1283" s="209"/>
      <c r="D1283" s="209"/>
      <c r="E1283" s="209"/>
      <c r="J1283" s="124"/>
    </row>
    <row r="1284" spans="3:10" x14ac:dyDescent="0.2">
      <c r="C1284" s="209"/>
      <c r="D1284" s="209"/>
      <c r="E1284" s="209"/>
      <c r="J1284" s="124"/>
    </row>
    <row r="1285" spans="3:10" x14ac:dyDescent="0.2">
      <c r="C1285" s="209"/>
      <c r="D1285" s="209"/>
      <c r="E1285" s="209"/>
      <c r="J1285" s="124"/>
    </row>
    <row r="1286" spans="3:10" x14ac:dyDescent="0.2">
      <c r="C1286" s="209"/>
      <c r="D1286" s="209"/>
      <c r="E1286" s="209"/>
      <c r="J1286" s="124"/>
    </row>
    <row r="1287" spans="3:10" x14ac:dyDescent="0.2">
      <c r="C1287" s="209"/>
      <c r="D1287" s="209"/>
      <c r="E1287" s="209"/>
      <c r="J1287" s="124"/>
    </row>
    <row r="1288" spans="3:10" x14ac:dyDescent="0.2">
      <c r="C1288" s="209"/>
      <c r="D1288" s="209"/>
      <c r="E1288" s="209"/>
      <c r="J1288" s="124"/>
    </row>
    <row r="1289" spans="3:10" x14ac:dyDescent="0.2">
      <c r="C1289" s="209"/>
      <c r="D1289" s="209"/>
      <c r="E1289" s="209"/>
      <c r="J1289" s="124"/>
    </row>
    <row r="1290" spans="3:10" x14ac:dyDescent="0.2">
      <c r="C1290" s="209"/>
      <c r="D1290" s="209"/>
      <c r="E1290" s="209"/>
      <c r="J1290" s="124"/>
    </row>
    <row r="1291" spans="3:10" x14ac:dyDescent="0.2">
      <c r="C1291" s="209"/>
      <c r="D1291" s="209"/>
      <c r="E1291" s="209"/>
      <c r="J1291" s="124"/>
    </row>
    <row r="1292" spans="3:10" x14ac:dyDescent="0.2">
      <c r="C1292" s="209"/>
      <c r="D1292" s="209"/>
      <c r="E1292" s="209"/>
      <c r="J1292" s="124"/>
    </row>
    <row r="1293" spans="3:10" x14ac:dyDescent="0.2">
      <c r="C1293" s="209"/>
      <c r="D1293" s="209"/>
      <c r="E1293" s="209"/>
      <c r="J1293" s="124"/>
    </row>
    <row r="1294" spans="3:10" x14ac:dyDescent="0.2">
      <c r="C1294" s="209"/>
      <c r="D1294" s="209"/>
      <c r="E1294" s="209"/>
      <c r="J1294" s="124"/>
    </row>
    <row r="1295" spans="3:10" x14ac:dyDescent="0.2">
      <c r="C1295" s="209"/>
      <c r="D1295" s="209"/>
      <c r="E1295" s="209"/>
      <c r="J1295" s="124"/>
    </row>
    <row r="1296" spans="3:10" x14ac:dyDescent="0.2">
      <c r="C1296" s="209"/>
      <c r="D1296" s="209"/>
      <c r="E1296" s="209"/>
      <c r="J1296" s="124"/>
    </row>
    <row r="1297" spans="3:10" x14ac:dyDescent="0.2">
      <c r="C1297" s="209"/>
      <c r="D1297" s="209"/>
      <c r="E1297" s="209"/>
      <c r="J1297" s="124"/>
    </row>
    <row r="1298" spans="3:10" x14ac:dyDescent="0.2">
      <c r="C1298" s="209"/>
      <c r="D1298" s="209"/>
      <c r="E1298" s="209"/>
      <c r="J1298" s="124"/>
    </row>
    <row r="1299" spans="3:10" x14ac:dyDescent="0.2">
      <c r="C1299" s="209"/>
      <c r="D1299" s="209"/>
      <c r="E1299" s="209"/>
      <c r="J1299" s="124"/>
    </row>
    <row r="1300" spans="3:10" x14ac:dyDescent="0.2">
      <c r="C1300" s="209"/>
      <c r="D1300" s="209"/>
      <c r="E1300" s="209"/>
      <c r="J1300" s="124"/>
    </row>
    <row r="1301" spans="3:10" x14ac:dyDescent="0.2">
      <c r="C1301" s="209"/>
      <c r="D1301" s="209"/>
      <c r="E1301" s="209"/>
      <c r="J1301" s="124"/>
    </row>
    <row r="1302" spans="3:10" x14ac:dyDescent="0.2">
      <c r="C1302" s="209"/>
      <c r="D1302" s="209"/>
      <c r="E1302" s="209"/>
      <c r="J1302" s="124"/>
    </row>
    <row r="1303" spans="3:10" x14ac:dyDescent="0.2">
      <c r="C1303" s="209"/>
      <c r="D1303" s="209"/>
      <c r="E1303" s="209"/>
      <c r="J1303" s="124"/>
    </row>
    <row r="1304" spans="3:10" x14ac:dyDescent="0.2">
      <c r="C1304" s="209"/>
      <c r="D1304" s="209"/>
      <c r="E1304" s="209"/>
      <c r="J1304" s="124"/>
    </row>
    <row r="1305" spans="3:10" x14ac:dyDescent="0.2">
      <c r="C1305" s="209"/>
      <c r="D1305" s="209"/>
      <c r="E1305" s="209"/>
      <c r="J1305" s="124"/>
    </row>
    <row r="1306" spans="3:10" x14ac:dyDescent="0.2">
      <c r="C1306" s="209"/>
      <c r="D1306" s="209"/>
      <c r="E1306" s="209"/>
      <c r="J1306" s="124"/>
    </row>
    <row r="1307" spans="3:10" x14ac:dyDescent="0.2">
      <c r="C1307" s="209"/>
      <c r="D1307" s="209"/>
      <c r="E1307" s="209"/>
      <c r="J1307" s="124"/>
    </row>
    <row r="1308" spans="3:10" x14ac:dyDescent="0.2">
      <c r="C1308" s="209"/>
      <c r="D1308" s="209"/>
      <c r="E1308" s="209"/>
      <c r="J1308" s="124"/>
    </row>
    <row r="1309" spans="3:10" x14ac:dyDescent="0.2">
      <c r="C1309" s="209"/>
      <c r="D1309" s="209"/>
      <c r="E1309" s="209"/>
      <c r="J1309" s="124"/>
    </row>
    <row r="1310" spans="3:10" x14ac:dyDescent="0.2">
      <c r="C1310" s="209"/>
      <c r="D1310" s="209"/>
      <c r="E1310" s="209"/>
      <c r="J1310" s="124"/>
    </row>
    <row r="1311" spans="3:10" x14ac:dyDescent="0.2">
      <c r="C1311" s="209"/>
      <c r="D1311" s="209"/>
      <c r="E1311" s="209"/>
      <c r="J1311" s="124"/>
    </row>
    <row r="1312" spans="3:10" x14ac:dyDescent="0.2">
      <c r="C1312" s="209"/>
      <c r="D1312" s="209"/>
      <c r="E1312" s="209"/>
      <c r="J1312" s="124"/>
    </row>
    <row r="1313" spans="3:10" x14ac:dyDescent="0.2">
      <c r="C1313" s="209"/>
      <c r="D1313" s="209"/>
      <c r="E1313" s="209"/>
      <c r="J1313" s="124"/>
    </row>
    <row r="1314" spans="3:10" x14ac:dyDescent="0.2">
      <c r="C1314" s="209"/>
      <c r="D1314" s="209"/>
      <c r="E1314" s="209"/>
      <c r="J1314" s="124"/>
    </row>
    <row r="1315" spans="3:10" x14ac:dyDescent="0.2">
      <c r="C1315" s="209"/>
      <c r="D1315" s="209"/>
      <c r="E1315" s="209"/>
      <c r="J1315" s="124"/>
    </row>
    <row r="1316" spans="3:10" x14ac:dyDescent="0.2">
      <c r="C1316" s="209"/>
      <c r="D1316" s="209"/>
      <c r="E1316" s="209"/>
      <c r="J1316" s="124"/>
    </row>
    <row r="1317" spans="3:10" x14ac:dyDescent="0.2">
      <c r="C1317" s="209"/>
      <c r="D1317" s="209"/>
      <c r="E1317" s="209"/>
      <c r="J1317" s="124"/>
    </row>
    <row r="1318" spans="3:10" x14ac:dyDescent="0.2">
      <c r="C1318" s="209"/>
      <c r="D1318" s="209"/>
      <c r="E1318" s="209"/>
      <c r="J1318" s="124"/>
    </row>
    <row r="1319" spans="3:10" x14ac:dyDescent="0.2">
      <c r="C1319" s="209"/>
      <c r="D1319" s="209"/>
      <c r="E1319" s="209"/>
      <c r="J1319" s="124"/>
    </row>
    <row r="1320" spans="3:10" x14ac:dyDescent="0.2">
      <c r="C1320" s="209"/>
      <c r="D1320" s="209"/>
      <c r="E1320" s="209"/>
      <c r="J1320" s="124"/>
    </row>
    <row r="1321" spans="3:10" x14ac:dyDescent="0.2">
      <c r="C1321" s="209"/>
      <c r="D1321" s="209"/>
      <c r="E1321" s="209"/>
      <c r="J1321" s="124"/>
    </row>
    <row r="1322" spans="3:10" x14ac:dyDescent="0.2">
      <c r="C1322" s="209"/>
      <c r="D1322" s="209"/>
      <c r="E1322" s="209"/>
      <c r="J1322" s="124"/>
    </row>
    <row r="1323" spans="3:10" x14ac:dyDescent="0.2">
      <c r="C1323" s="209"/>
      <c r="D1323" s="209"/>
      <c r="E1323" s="209"/>
      <c r="J1323" s="124"/>
    </row>
    <row r="1324" spans="3:10" x14ac:dyDescent="0.2">
      <c r="C1324" s="209"/>
      <c r="D1324" s="209"/>
      <c r="E1324" s="209"/>
      <c r="J1324" s="124"/>
    </row>
    <row r="1325" spans="3:10" x14ac:dyDescent="0.2">
      <c r="C1325" s="209"/>
      <c r="D1325" s="209"/>
      <c r="E1325" s="209"/>
      <c r="J1325" s="124"/>
    </row>
    <row r="1326" spans="3:10" x14ac:dyDescent="0.2">
      <c r="C1326" s="209"/>
      <c r="D1326" s="209"/>
      <c r="E1326" s="209"/>
      <c r="J1326" s="124"/>
    </row>
    <row r="1327" spans="3:10" x14ac:dyDescent="0.2">
      <c r="C1327" s="209"/>
      <c r="D1327" s="209"/>
      <c r="E1327" s="209"/>
      <c r="J1327" s="124"/>
    </row>
    <row r="1328" spans="3:10" x14ac:dyDescent="0.2">
      <c r="C1328" s="209"/>
      <c r="D1328" s="209"/>
      <c r="E1328" s="209"/>
      <c r="J1328" s="124"/>
    </row>
    <row r="1329" spans="3:10" x14ac:dyDescent="0.2">
      <c r="C1329" s="209"/>
      <c r="D1329" s="209"/>
      <c r="E1329" s="209"/>
      <c r="J1329" s="124"/>
    </row>
    <row r="1330" spans="3:10" x14ac:dyDescent="0.2">
      <c r="C1330" s="209"/>
      <c r="D1330" s="209"/>
      <c r="E1330" s="209"/>
      <c r="J1330" s="124"/>
    </row>
    <row r="1331" spans="3:10" x14ac:dyDescent="0.2">
      <c r="C1331" s="209"/>
      <c r="D1331" s="209"/>
      <c r="E1331" s="209"/>
      <c r="J1331" s="124"/>
    </row>
    <row r="1332" spans="3:10" x14ac:dyDescent="0.2">
      <c r="C1332" s="209"/>
      <c r="D1332" s="209"/>
      <c r="E1332" s="209"/>
      <c r="J1332" s="124"/>
    </row>
    <row r="1333" spans="3:10" x14ac:dyDescent="0.2">
      <c r="C1333" s="209"/>
      <c r="D1333" s="209"/>
      <c r="E1333" s="209"/>
      <c r="J1333" s="124"/>
    </row>
    <row r="1334" spans="3:10" x14ac:dyDescent="0.2">
      <c r="C1334" s="209"/>
      <c r="D1334" s="209"/>
      <c r="E1334" s="209"/>
      <c r="J1334" s="124"/>
    </row>
    <row r="1335" spans="3:10" x14ac:dyDescent="0.2">
      <c r="C1335" s="209"/>
      <c r="D1335" s="209"/>
      <c r="E1335" s="209"/>
      <c r="J1335" s="124"/>
    </row>
    <row r="1336" spans="3:10" x14ac:dyDescent="0.2">
      <c r="C1336" s="209"/>
      <c r="D1336" s="209"/>
      <c r="E1336" s="209"/>
      <c r="J1336" s="124"/>
    </row>
    <row r="1337" spans="3:10" x14ac:dyDescent="0.2">
      <c r="C1337" s="209"/>
      <c r="D1337" s="209"/>
      <c r="E1337" s="209"/>
      <c r="J1337" s="124"/>
    </row>
    <row r="1338" spans="3:10" x14ac:dyDescent="0.2">
      <c r="C1338" s="209"/>
      <c r="D1338" s="209"/>
      <c r="E1338" s="209"/>
      <c r="J1338" s="124"/>
    </row>
    <row r="1339" spans="3:10" x14ac:dyDescent="0.2">
      <c r="C1339" s="209"/>
      <c r="D1339" s="209"/>
      <c r="E1339" s="209"/>
      <c r="J1339" s="124"/>
    </row>
    <row r="1340" spans="3:10" x14ac:dyDescent="0.2">
      <c r="C1340" s="209"/>
      <c r="D1340" s="209"/>
      <c r="E1340" s="209"/>
      <c r="J1340" s="124"/>
    </row>
    <row r="1341" spans="3:10" x14ac:dyDescent="0.2">
      <c r="C1341" s="209"/>
      <c r="D1341" s="209"/>
      <c r="E1341" s="209"/>
      <c r="J1341" s="124"/>
    </row>
    <row r="1342" spans="3:10" x14ac:dyDescent="0.2">
      <c r="C1342" s="209"/>
      <c r="D1342" s="209"/>
      <c r="E1342" s="209"/>
      <c r="J1342" s="124"/>
    </row>
    <row r="1343" spans="3:10" x14ac:dyDescent="0.2">
      <c r="C1343" s="209"/>
      <c r="D1343" s="209"/>
      <c r="E1343" s="209"/>
      <c r="J1343" s="124"/>
    </row>
    <row r="1344" spans="3:10" x14ac:dyDescent="0.2">
      <c r="C1344" s="209"/>
      <c r="D1344" s="209"/>
      <c r="E1344" s="209"/>
      <c r="J1344" s="124"/>
    </row>
    <row r="1345" spans="3:10" x14ac:dyDescent="0.2">
      <c r="C1345" s="209"/>
      <c r="D1345" s="209"/>
      <c r="E1345" s="209"/>
      <c r="J1345" s="124"/>
    </row>
    <row r="1346" spans="3:10" x14ac:dyDescent="0.2">
      <c r="C1346" s="209"/>
      <c r="D1346" s="209"/>
      <c r="E1346" s="209"/>
      <c r="J1346" s="124"/>
    </row>
    <row r="1347" spans="3:10" x14ac:dyDescent="0.2">
      <c r="C1347" s="209"/>
      <c r="D1347" s="209"/>
      <c r="E1347" s="209"/>
      <c r="J1347" s="124"/>
    </row>
    <row r="1348" spans="3:10" x14ac:dyDescent="0.2">
      <c r="C1348" s="209"/>
      <c r="D1348" s="209"/>
      <c r="E1348" s="209"/>
      <c r="J1348" s="124"/>
    </row>
    <row r="1349" spans="3:10" x14ac:dyDescent="0.2">
      <c r="C1349" s="209"/>
      <c r="D1349" s="209"/>
      <c r="E1349" s="209"/>
      <c r="J1349" s="124"/>
    </row>
    <row r="1350" spans="3:10" x14ac:dyDescent="0.2">
      <c r="C1350" s="209"/>
      <c r="D1350" s="209"/>
      <c r="E1350" s="209"/>
      <c r="J1350" s="124"/>
    </row>
    <row r="1351" spans="3:10" x14ac:dyDescent="0.2">
      <c r="C1351" s="209"/>
      <c r="D1351" s="209"/>
      <c r="E1351" s="209"/>
      <c r="J1351" s="124"/>
    </row>
    <row r="1352" spans="3:10" x14ac:dyDescent="0.2">
      <c r="C1352" s="209"/>
      <c r="D1352" s="209"/>
      <c r="E1352" s="209"/>
      <c r="J1352" s="124"/>
    </row>
    <row r="1353" spans="3:10" x14ac:dyDescent="0.2">
      <c r="C1353" s="209"/>
      <c r="D1353" s="209"/>
      <c r="E1353" s="209"/>
      <c r="J1353" s="124"/>
    </row>
    <row r="1354" spans="3:10" x14ac:dyDescent="0.2">
      <c r="C1354" s="209"/>
      <c r="D1354" s="209"/>
      <c r="E1354" s="209"/>
      <c r="J1354" s="124"/>
    </row>
    <row r="1355" spans="3:10" x14ac:dyDescent="0.2">
      <c r="C1355" s="209"/>
      <c r="D1355" s="209"/>
      <c r="E1355" s="209"/>
      <c r="J1355" s="124"/>
    </row>
    <row r="1356" spans="3:10" x14ac:dyDescent="0.2">
      <c r="C1356" s="209"/>
      <c r="D1356" s="209"/>
      <c r="E1356" s="209"/>
      <c r="J1356" s="124"/>
    </row>
    <row r="1357" spans="3:10" x14ac:dyDescent="0.2">
      <c r="C1357" s="209"/>
      <c r="D1357" s="209"/>
      <c r="E1357" s="209"/>
      <c r="J1357" s="124"/>
    </row>
    <row r="1358" spans="3:10" x14ac:dyDescent="0.2">
      <c r="C1358" s="209"/>
      <c r="D1358" s="209"/>
      <c r="E1358" s="209"/>
      <c r="J1358" s="124"/>
    </row>
    <row r="1359" spans="3:10" x14ac:dyDescent="0.2">
      <c r="C1359" s="209"/>
      <c r="D1359" s="209"/>
      <c r="E1359" s="209"/>
      <c r="J1359" s="124"/>
    </row>
    <row r="1360" spans="3:10" x14ac:dyDescent="0.2">
      <c r="C1360" s="209"/>
      <c r="D1360" s="209"/>
      <c r="E1360" s="209"/>
      <c r="J1360" s="124"/>
    </row>
    <row r="1361" spans="3:10" x14ac:dyDescent="0.2">
      <c r="C1361" s="209"/>
      <c r="D1361" s="209"/>
      <c r="E1361" s="209"/>
      <c r="J1361" s="124"/>
    </row>
    <row r="1362" spans="3:10" x14ac:dyDescent="0.2">
      <c r="C1362" s="209"/>
      <c r="D1362" s="209"/>
      <c r="E1362" s="209"/>
      <c r="J1362" s="124"/>
    </row>
    <row r="1363" spans="3:10" x14ac:dyDescent="0.2">
      <c r="C1363" s="209"/>
      <c r="D1363" s="209"/>
      <c r="E1363" s="209"/>
      <c r="J1363" s="124"/>
    </row>
    <row r="1364" spans="3:10" x14ac:dyDescent="0.2">
      <c r="C1364" s="209"/>
      <c r="D1364" s="209"/>
      <c r="E1364" s="209"/>
      <c r="J1364" s="124"/>
    </row>
    <row r="1365" spans="3:10" x14ac:dyDescent="0.2">
      <c r="C1365" s="209"/>
      <c r="D1365" s="209"/>
      <c r="E1365" s="209"/>
      <c r="J1365" s="124"/>
    </row>
    <row r="1366" spans="3:10" x14ac:dyDescent="0.2">
      <c r="C1366" s="209"/>
      <c r="D1366" s="209"/>
      <c r="E1366" s="209"/>
      <c r="J1366" s="124"/>
    </row>
    <row r="1367" spans="3:10" x14ac:dyDescent="0.2">
      <c r="C1367" s="209"/>
      <c r="D1367" s="209"/>
      <c r="E1367" s="209"/>
      <c r="J1367" s="124"/>
    </row>
    <row r="1368" spans="3:10" x14ac:dyDescent="0.2">
      <c r="C1368" s="209"/>
      <c r="D1368" s="209"/>
      <c r="E1368" s="209"/>
      <c r="J1368" s="124"/>
    </row>
    <row r="1369" spans="3:10" x14ac:dyDescent="0.2">
      <c r="C1369" s="209"/>
      <c r="D1369" s="209"/>
      <c r="E1369" s="209"/>
      <c r="J1369" s="124"/>
    </row>
    <row r="1370" spans="3:10" x14ac:dyDescent="0.2">
      <c r="C1370" s="209"/>
      <c r="D1370" s="209"/>
      <c r="E1370" s="209"/>
      <c r="J1370" s="124"/>
    </row>
    <row r="1371" spans="3:10" x14ac:dyDescent="0.2">
      <c r="C1371" s="209"/>
      <c r="D1371" s="209"/>
      <c r="E1371" s="209"/>
      <c r="J1371" s="124"/>
    </row>
    <row r="1372" spans="3:10" x14ac:dyDescent="0.2">
      <c r="C1372" s="209"/>
      <c r="D1372" s="209"/>
      <c r="E1372" s="209"/>
      <c r="J1372" s="124"/>
    </row>
    <row r="1373" spans="3:10" x14ac:dyDescent="0.2">
      <c r="C1373" s="209"/>
      <c r="D1373" s="209"/>
      <c r="E1373" s="209"/>
      <c r="J1373" s="124"/>
    </row>
    <row r="1374" spans="3:10" x14ac:dyDescent="0.2">
      <c r="C1374" s="209"/>
      <c r="D1374" s="209"/>
      <c r="E1374" s="209"/>
      <c r="J1374" s="124"/>
    </row>
    <row r="1375" spans="3:10" x14ac:dyDescent="0.2">
      <c r="C1375" s="209"/>
      <c r="D1375" s="209"/>
      <c r="E1375" s="209"/>
      <c r="J1375" s="124"/>
    </row>
    <row r="1376" spans="3:10" x14ac:dyDescent="0.2">
      <c r="C1376" s="209"/>
      <c r="D1376" s="209"/>
      <c r="E1376" s="209"/>
      <c r="J1376" s="124"/>
    </row>
    <row r="1377" spans="3:10" x14ac:dyDescent="0.2">
      <c r="C1377" s="209"/>
      <c r="D1377" s="209"/>
      <c r="E1377" s="209"/>
      <c r="J1377" s="124"/>
    </row>
    <row r="1378" spans="3:10" x14ac:dyDescent="0.2">
      <c r="C1378" s="209"/>
      <c r="D1378" s="209"/>
      <c r="E1378" s="209"/>
      <c r="J1378" s="124"/>
    </row>
    <row r="1379" spans="3:10" x14ac:dyDescent="0.2">
      <c r="C1379" s="209"/>
      <c r="D1379" s="209"/>
      <c r="E1379" s="209"/>
      <c r="J1379" s="124"/>
    </row>
    <row r="1380" spans="3:10" x14ac:dyDescent="0.2">
      <c r="C1380" s="209"/>
      <c r="D1380" s="209"/>
      <c r="E1380" s="209"/>
      <c r="J1380" s="124"/>
    </row>
    <row r="1381" spans="3:10" x14ac:dyDescent="0.2">
      <c r="C1381" s="209"/>
      <c r="D1381" s="209"/>
      <c r="E1381" s="209"/>
      <c r="J1381" s="124"/>
    </row>
    <row r="1382" spans="3:10" x14ac:dyDescent="0.2">
      <c r="C1382" s="209"/>
      <c r="D1382" s="209"/>
      <c r="E1382" s="209"/>
      <c r="J1382" s="124"/>
    </row>
    <row r="1383" spans="3:10" x14ac:dyDescent="0.2">
      <c r="C1383" s="209"/>
      <c r="D1383" s="209"/>
      <c r="E1383" s="209"/>
      <c r="J1383" s="124"/>
    </row>
    <row r="1384" spans="3:10" x14ac:dyDescent="0.2">
      <c r="C1384" s="209"/>
      <c r="D1384" s="209"/>
      <c r="E1384" s="209"/>
      <c r="J1384" s="124"/>
    </row>
    <row r="1385" spans="3:10" x14ac:dyDescent="0.2">
      <c r="C1385" s="209"/>
      <c r="D1385" s="209"/>
      <c r="E1385" s="209"/>
      <c r="J1385" s="124"/>
    </row>
    <row r="1386" spans="3:10" x14ac:dyDescent="0.2">
      <c r="C1386" s="209"/>
      <c r="D1386" s="209"/>
      <c r="E1386" s="209"/>
      <c r="J1386" s="124"/>
    </row>
    <row r="1387" spans="3:10" x14ac:dyDescent="0.2">
      <c r="C1387" s="209"/>
      <c r="D1387" s="209"/>
      <c r="E1387" s="209"/>
      <c r="J1387" s="124"/>
    </row>
    <row r="1388" spans="3:10" x14ac:dyDescent="0.2">
      <c r="C1388" s="209"/>
      <c r="D1388" s="209"/>
      <c r="E1388" s="209"/>
      <c r="J1388" s="124"/>
    </row>
    <row r="1389" spans="3:10" x14ac:dyDescent="0.2">
      <c r="C1389" s="209"/>
      <c r="D1389" s="209"/>
      <c r="E1389" s="209"/>
      <c r="J1389" s="124"/>
    </row>
    <row r="1390" spans="3:10" x14ac:dyDescent="0.2">
      <c r="C1390" s="209"/>
      <c r="D1390" s="209"/>
      <c r="E1390" s="209"/>
      <c r="J1390" s="124"/>
    </row>
    <row r="1391" spans="3:10" x14ac:dyDescent="0.2">
      <c r="C1391" s="209"/>
      <c r="D1391" s="209"/>
      <c r="E1391" s="209"/>
      <c r="J1391" s="124"/>
    </row>
    <row r="1392" spans="3:10" x14ac:dyDescent="0.2">
      <c r="C1392" s="209"/>
      <c r="D1392" s="209"/>
      <c r="E1392" s="209"/>
      <c r="J1392" s="124"/>
    </row>
    <row r="1393" spans="3:10" x14ac:dyDescent="0.2">
      <c r="C1393" s="209"/>
      <c r="D1393" s="209"/>
      <c r="E1393" s="209"/>
      <c r="J1393" s="124"/>
    </row>
    <row r="1394" spans="3:10" x14ac:dyDescent="0.2">
      <c r="C1394" s="209"/>
      <c r="D1394" s="209"/>
      <c r="E1394" s="209"/>
      <c r="J1394" s="124"/>
    </row>
    <row r="1395" spans="3:10" x14ac:dyDescent="0.2">
      <c r="C1395" s="209"/>
      <c r="D1395" s="209"/>
      <c r="E1395" s="209"/>
      <c r="J1395" s="124"/>
    </row>
    <row r="1396" spans="3:10" x14ac:dyDescent="0.2">
      <c r="C1396" s="209"/>
      <c r="D1396" s="209"/>
      <c r="E1396" s="209"/>
      <c r="J1396" s="124"/>
    </row>
    <row r="1397" spans="3:10" x14ac:dyDescent="0.2">
      <c r="C1397" s="209"/>
      <c r="D1397" s="209"/>
      <c r="E1397" s="209"/>
      <c r="J1397" s="124"/>
    </row>
    <row r="1398" spans="3:10" x14ac:dyDescent="0.2">
      <c r="C1398" s="209"/>
      <c r="D1398" s="209"/>
      <c r="E1398" s="209"/>
      <c r="J1398" s="124"/>
    </row>
    <row r="1399" spans="3:10" x14ac:dyDescent="0.2">
      <c r="C1399" s="209"/>
      <c r="D1399" s="209"/>
      <c r="E1399" s="209"/>
      <c r="J1399" s="124"/>
    </row>
    <row r="1400" spans="3:10" x14ac:dyDescent="0.2">
      <c r="C1400" s="209"/>
      <c r="D1400" s="209"/>
      <c r="E1400" s="209"/>
      <c r="J1400" s="124"/>
    </row>
    <row r="1401" spans="3:10" x14ac:dyDescent="0.2">
      <c r="C1401" s="209"/>
      <c r="D1401" s="209"/>
      <c r="E1401" s="209"/>
      <c r="J1401" s="124"/>
    </row>
    <row r="1402" spans="3:10" x14ac:dyDescent="0.2">
      <c r="C1402" s="209"/>
      <c r="D1402" s="209"/>
      <c r="E1402" s="209"/>
      <c r="J1402" s="124"/>
    </row>
    <row r="1403" spans="3:10" x14ac:dyDescent="0.2">
      <c r="C1403" s="209"/>
      <c r="D1403" s="209"/>
      <c r="E1403" s="209"/>
      <c r="J1403" s="124"/>
    </row>
    <row r="1404" spans="3:10" x14ac:dyDescent="0.2">
      <c r="C1404" s="209"/>
      <c r="D1404" s="209"/>
      <c r="E1404" s="209"/>
      <c r="J1404" s="124"/>
    </row>
    <row r="1405" spans="3:10" x14ac:dyDescent="0.2">
      <c r="C1405" s="209"/>
      <c r="D1405" s="209"/>
      <c r="E1405" s="209"/>
      <c r="J1405" s="124"/>
    </row>
    <row r="1406" spans="3:10" x14ac:dyDescent="0.2">
      <c r="C1406" s="209"/>
      <c r="D1406" s="209"/>
      <c r="E1406" s="209"/>
      <c r="J1406" s="124"/>
    </row>
    <row r="1407" spans="3:10" x14ac:dyDescent="0.2">
      <c r="C1407" s="209"/>
      <c r="D1407" s="209"/>
      <c r="E1407" s="209"/>
      <c r="J1407" s="124"/>
    </row>
    <row r="1408" spans="3:10" x14ac:dyDescent="0.2">
      <c r="C1408" s="209"/>
      <c r="D1408" s="209"/>
      <c r="E1408" s="209"/>
      <c r="J1408" s="124"/>
    </row>
    <row r="1409" spans="3:10" x14ac:dyDescent="0.2">
      <c r="C1409" s="209"/>
      <c r="D1409" s="209"/>
      <c r="E1409" s="209"/>
      <c r="J1409" s="124"/>
    </row>
    <row r="1410" spans="3:10" x14ac:dyDescent="0.2">
      <c r="C1410" s="209"/>
      <c r="D1410" s="209"/>
      <c r="E1410" s="209"/>
      <c r="J1410" s="124"/>
    </row>
    <row r="1411" spans="3:10" x14ac:dyDescent="0.2">
      <c r="C1411" s="209"/>
      <c r="D1411" s="209"/>
      <c r="E1411" s="209"/>
      <c r="J1411" s="124"/>
    </row>
    <row r="1412" spans="3:10" x14ac:dyDescent="0.2">
      <c r="C1412" s="209"/>
      <c r="D1412" s="209"/>
      <c r="E1412" s="209"/>
      <c r="J1412" s="124"/>
    </row>
    <row r="1413" spans="3:10" x14ac:dyDescent="0.2">
      <c r="C1413" s="209"/>
      <c r="D1413" s="209"/>
      <c r="E1413" s="209"/>
      <c r="J1413" s="124"/>
    </row>
    <row r="1414" spans="3:10" x14ac:dyDescent="0.2">
      <c r="C1414" s="209"/>
      <c r="D1414" s="209"/>
      <c r="E1414" s="209"/>
      <c r="J1414" s="124"/>
    </row>
    <row r="1415" spans="3:10" x14ac:dyDescent="0.2">
      <c r="C1415" s="209"/>
      <c r="D1415" s="209"/>
      <c r="E1415" s="209"/>
      <c r="J1415" s="124"/>
    </row>
    <row r="1416" spans="3:10" x14ac:dyDescent="0.2">
      <c r="C1416" s="209"/>
      <c r="D1416" s="209"/>
      <c r="E1416" s="209"/>
      <c r="J1416" s="124"/>
    </row>
    <row r="1417" spans="3:10" x14ac:dyDescent="0.2">
      <c r="C1417" s="209"/>
      <c r="D1417" s="209"/>
      <c r="E1417" s="209"/>
      <c r="J1417" s="124"/>
    </row>
    <row r="1418" spans="3:10" x14ac:dyDescent="0.2">
      <c r="C1418" s="209"/>
      <c r="D1418" s="209"/>
      <c r="E1418" s="209"/>
      <c r="J1418" s="124"/>
    </row>
    <row r="1419" spans="3:10" x14ac:dyDescent="0.2">
      <c r="C1419" s="209"/>
      <c r="D1419" s="209"/>
      <c r="E1419" s="209"/>
      <c r="J1419" s="124"/>
    </row>
    <row r="1420" spans="3:10" x14ac:dyDescent="0.2">
      <c r="C1420" s="209"/>
      <c r="D1420" s="209"/>
      <c r="E1420" s="209"/>
      <c r="J1420" s="124"/>
    </row>
    <row r="1421" spans="3:10" x14ac:dyDescent="0.2">
      <c r="C1421" s="209"/>
      <c r="D1421" s="209"/>
      <c r="E1421" s="209"/>
      <c r="J1421" s="124"/>
    </row>
    <row r="1422" spans="3:10" x14ac:dyDescent="0.2">
      <c r="C1422" s="209"/>
      <c r="D1422" s="209"/>
      <c r="E1422" s="209"/>
      <c r="J1422" s="124"/>
    </row>
    <row r="1423" spans="3:10" x14ac:dyDescent="0.2">
      <c r="C1423" s="209"/>
      <c r="D1423" s="209"/>
      <c r="E1423" s="209"/>
      <c r="J1423" s="124"/>
    </row>
    <row r="1424" spans="3:10" x14ac:dyDescent="0.2">
      <c r="C1424" s="209"/>
      <c r="D1424" s="209"/>
      <c r="E1424" s="209"/>
      <c r="J1424" s="124"/>
    </row>
    <row r="1425" spans="3:10" x14ac:dyDescent="0.2">
      <c r="C1425" s="209"/>
      <c r="D1425" s="209"/>
      <c r="E1425" s="209"/>
      <c r="J1425" s="124"/>
    </row>
    <row r="1426" spans="3:10" x14ac:dyDescent="0.2">
      <c r="C1426" s="209"/>
      <c r="D1426" s="209"/>
      <c r="E1426" s="209"/>
      <c r="J1426" s="124"/>
    </row>
    <row r="1427" spans="3:10" x14ac:dyDescent="0.2">
      <c r="C1427" s="209"/>
      <c r="D1427" s="209"/>
      <c r="E1427" s="209"/>
      <c r="J1427" s="124"/>
    </row>
    <row r="1428" spans="3:10" x14ac:dyDescent="0.2">
      <c r="C1428" s="209"/>
      <c r="D1428" s="209"/>
      <c r="E1428" s="209"/>
      <c r="J1428" s="124"/>
    </row>
    <row r="1429" spans="3:10" x14ac:dyDescent="0.2">
      <c r="C1429" s="209"/>
      <c r="D1429" s="209"/>
      <c r="E1429" s="209"/>
      <c r="J1429" s="124"/>
    </row>
    <row r="1430" spans="3:10" x14ac:dyDescent="0.2">
      <c r="C1430" s="209"/>
      <c r="D1430" s="209"/>
      <c r="E1430" s="209"/>
      <c r="J1430" s="124"/>
    </row>
    <row r="1431" spans="3:10" x14ac:dyDescent="0.2">
      <c r="C1431" s="209"/>
      <c r="D1431" s="209"/>
      <c r="E1431" s="209"/>
      <c r="J1431" s="124"/>
    </row>
    <row r="1432" spans="3:10" x14ac:dyDescent="0.2">
      <c r="C1432" s="209"/>
      <c r="D1432" s="209"/>
      <c r="E1432" s="209"/>
      <c r="J1432" s="124"/>
    </row>
    <row r="1433" spans="3:10" x14ac:dyDescent="0.2">
      <c r="C1433" s="209"/>
      <c r="D1433" s="209"/>
      <c r="E1433" s="209"/>
      <c r="J1433" s="124"/>
    </row>
    <row r="1434" spans="3:10" x14ac:dyDescent="0.2">
      <c r="C1434" s="209"/>
      <c r="D1434" s="209"/>
      <c r="E1434" s="209"/>
      <c r="J1434" s="124"/>
    </row>
    <row r="1435" spans="3:10" x14ac:dyDescent="0.2">
      <c r="C1435" s="209"/>
      <c r="D1435" s="209"/>
      <c r="E1435" s="209"/>
      <c r="J1435" s="124"/>
    </row>
    <row r="1436" spans="3:10" x14ac:dyDescent="0.2">
      <c r="C1436" s="209"/>
      <c r="D1436" s="209"/>
      <c r="E1436" s="209"/>
      <c r="J1436" s="124"/>
    </row>
    <row r="1437" spans="3:10" x14ac:dyDescent="0.2">
      <c r="C1437" s="209"/>
      <c r="D1437" s="209"/>
      <c r="E1437" s="209"/>
      <c r="J1437" s="124"/>
    </row>
    <row r="1438" spans="3:10" x14ac:dyDescent="0.2">
      <c r="C1438" s="209"/>
      <c r="D1438" s="209"/>
      <c r="E1438" s="209"/>
      <c r="J1438" s="124"/>
    </row>
    <row r="1439" spans="3:10" x14ac:dyDescent="0.2">
      <c r="C1439" s="209"/>
      <c r="D1439" s="209"/>
      <c r="E1439" s="209"/>
      <c r="J1439" s="124"/>
    </row>
    <row r="1440" spans="3:10" x14ac:dyDescent="0.2">
      <c r="C1440" s="209"/>
      <c r="D1440" s="209"/>
      <c r="E1440" s="209"/>
      <c r="J1440" s="124"/>
    </row>
    <row r="1441" spans="3:10" x14ac:dyDescent="0.2">
      <c r="C1441" s="209"/>
      <c r="D1441" s="209"/>
      <c r="E1441" s="209"/>
      <c r="J1441" s="124"/>
    </row>
    <row r="1442" spans="3:10" x14ac:dyDescent="0.2">
      <c r="C1442" s="209"/>
      <c r="D1442" s="209"/>
      <c r="E1442" s="209"/>
      <c r="J1442" s="124"/>
    </row>
    <row r="1443" spans="3:10" x14ac:dyDescent="0.2">
      <c r="C1443" s="209"/>
      <c r="D1443" s="209"/>
      <c r="E1443" s="209"/>
      <c r="J1443" s="124"/>
    </row>
    <row r="1444" spans="3:10" x14ac:dyDescent="0.2">
      <c r="C1444" s="209"/>
      <c r="D1444" s="209"/>
      <c r="E1444" s="209"/>
      <c r="J1444" s="124"/>
    </row>
    <row r="1445" spans="3:10" x14ac:dyDescent="0.2">
      <c r="C1445" s="209"/>
      <c r="D1445" s="209"/>
      <c r="E1445" s="209"/>
      <c r="J1445" s="124"/>
    </row>
    <row r="1446" spans="3:10" x14ac:dyDescent="0.2">
      <c r="C1446" s="209"/>
      <c r="D1446" s="209"/>
      <c r="E1446" s="209"/>
      <c r="J1446" s="124"/>
    </row>
    <row r="1447" spans="3:10" x14ac:dyDescent="0.2">
      <c r="C1447" s="209"/>
      <c r="D1447" s="209"/>
      <c r="E1447" s="209"/>
      <c r="J1447" s="124"/>
    </row>
    <row r="1448" spans="3:10" x14ac:dyDescent="0.2">
      <c r="C1448" s="209"/>
      <c r="D1448" s="209"/>
      <c r="E1448" s="209"/>
      <c r="J1448" s="124"/>
    </row>
    <row r="1449" spans="3:10" x14ac:dyDescent="0.2">
      <c r="C1449" s="209"/>
      <c r="D1449" s="209"/>
      <c r="E1449" s="209"/>
      <c r="J1449" s="124"/>
    </row>
    <row r="1450" spans="3:10" x14ac:dyDescent="0.2">
      <c r="C1450" s="209"/>
      <c r="D1450" s="209"/>
      <c r="E1450" s="209"/>
      <c r="J1450" s="124"/>
    </row>
    <row r="1451" spans="3:10" x14ac:dyDescent="0.2">
      <c r="C1451" s="209"/>
      <c r="D1451" s="209"/>
      <c r="E1451" s="209"/>
      <c r="J1451" s="124"/>
    </row>
    <row r="1452" spans="3:10" x14ac:dyDescent="0.2">
      <c r="C1452" s="209"/>
      <c r="D1452" s="209"/>
      <c r="E1452" s="209"/>
      <c r="J1452" s="124"/>
    </row>
    <row r="1453" spans="3:10" x14ac:dyDescent="0.2">
      <c r="C1453" s="209"/>
      <c r="D1453" s="209"/>
      <c r="E1453" s="209"/>
      <c r="J1453" s="124"/>
    </row>
    <row r="1454" spans="3:10" x14ac:dyDescent="0.2">
      <c r="C1454" s="209"/>
      <c r="D1454" s="209"/>
      <c r="E1454" s="209"/>
      <c r="J1454" s="124"/>
    </row>
    <row r="1455" spans="3:10" x14ac:dyDescent="0.2">
      <c r="C1455" s="209"/>
      <c r="D1455" s="209"/>
      <c r="E1455" s="209"/>
      <c r="J1455" s="124"/>
    </row>
    <row r="1456" spans="3:10" x14ac:dyDescent="0.2">
      <c r="C1456" s="209"/>
      <c r="D1456" s="209"/>
      <c r="E1456" s="209"/>
      <c r="J1456" s="124"/>
    </row>
    <row r="1457" spans="3:10" x14ac:dyDescent="0.2">
      <c r="C1457" s="209"/>
      <c r="D1457" s="209"/>
      <c r="E1457" s="209"/>
      <c r="J1457" s="124"/>
    </row>
    <row r="1458" spans="3:10" x14ac:dyDescent="0.2">
      <c r="C1458" s="209"/>
      <c r="D1458" s="209"/>
      <c r="E1458" s="209"/>
      <c r="J1458" s="124"/>
    </row>
    <row r="1459" spans="3:10" x14ac:dyDescent="0.2">
      <c r="C1459" s="209"/>
      <c r="D1459" s="209"/>
      <c r="E1459" s="209"/>
      <c r="J1459" s="124"/>
    </row>
    <row r="1460" spans="3:10" x14ac:dyDescent="0.2">
      <c r="C1460" s="209"/>
      <c r="D1460" s="209"/>
      <c r="E1460" s="209"/>
      <c r="J1460" s="124"/>
    </row>
    <row r="1461" spans="3:10" x14ac:dyDescent="0.2">
      <c r="C1461" s="209"/>
      <c r="D1461" s="209"/>
      <c r="E1461" s="209"/>
      <c r="J1461" s="124"/>
    </row>
    <row r="1462" spans="3:10" x14ac:dyDescent="0.2">
      <c r="C1462" s="209"/>
      <c r="D1462" s="209"/>
      <c r="E1462" s="209"/>
      <c r="J1462" s="124"/>
    </row>
    <row r="1463" spans="3:10" x14ac:dyDescent="0.2">
      <c r="C1463" s="209"/>
      <c r="D1463" s="209"/>
      <c r="E1463" s="209"/>
      <c r="J1463" s="124"/>
    </row>
    <row r="1464" spans="3:10" x14ac:dyDescent="0.2">
      <c r="C1464" s="209"/>
      <c r="D1464" s="209"/>
      <c r="E1464" s="209"/>
      <c r="J1464" s="124"/>
    </row>
    <row r="1465" spans="3:10" x14ac:dyDescent="0.2">
      <c r="C1465" s="209"/>
      <c r="D1465" s="209"/>
      <c r="E1465" s="209"/>
      <c r="J1465" s="124"/>
    </row>
    <row r="1466" spans="3:10" x14ac:dyDescent="0.2">
      <c r="C1466" s="209"/>
      <c r="D1466" s="209"/>
      <c r="E1466" s="209"/>
      <c r="J1466" s="124"/>
    </row>
    <row r="1467" spans="3:10" x14ac:dyDescent="0.2">
      <c r="C1467" s="209"/>
      <c r="D1467" s="209"/>
      <c r="E1467" s="209"/>
      <c r="J1467" s="124"/>
    </row>
    <row r="1468" spans="3:10" x14ac:dyDescent="0.2">
      <c r="C1468" s="209"/>
      <c r="D1468" s="209"/>
      <c r="E1468" s="209"/>
      <c r="J1468" s="124"/>
    </row>
    <row r="1469" spans="3:10" x14ac:dyDescent="0.2">
      <c r="C1469" s="209"/>
      <c r="D1469" s="209"/>
      <c r="E1469" s="209"/>
      <c r="J1469" s="124"/>
    </row>
    <row r="1470" spans="3:10" x14ac:dyDescent="0.2">
      <c r="C1470" s="209"/>
      <c r="D1470" s="209"/>
      <c r="E1470" s="209"/>
      <c r="J1470" s="124"/>
    </row>
    <row r="1471" spans="3:10" x14ac:dyDescent="0.2">
      <c r="C1471" s="209"/>
      <c r="D1471" s="209"/>
      <c r="E1471" s="209"/>
      <c r="J1471" s="124"/>
    </row>
    <row r="1472" spans="3:10" x14ac:dyDescent="0.2">
      <c r="C1472" s="209"/>
      <c r="D1472" s="209"/>
      <c r="E1472" s="209"/>
      <c r="J1472" s="124"/>
    </row>
    <row r="1473" spans="3:10" x14ac:dyDescent="0.2">
      <c r="C1473" s="209"/>
      <c r="D1473" s="209"/>
      <c r="E1473" s="209"/>
      <c r="J1473" s="124"/>
    </row>
    <row r="1474" spans="3:10" x14ac:dyDescent="0.2">
      <c r="C1474" s="209"/>
      <c r="D1474" s="209"/>
      <c r="E1474" s="209"/>
      <c r="J1474" s="124"/>
    </row>
    <row r="1475" spans="3:10" x14ac:dyDescent="0.2">
      <c r="C1475" s="209"/>
      <c r="D1475" s="209"/>
      <c r="E1475" s="209"/>
      <c r="J1475" s="124"/>
    </row>
    <row r="1476" spans="3:10" x14ac:dyDescent="0.2">
      <c r="C1476" s="209"/>
      <c r="D1476" s="209"/>
      <c r="E1476" s="209"/>
      <c r="J1476" s="124"/>
    </row>
    <row r="1477" spans="3:10" x14ac:dyDescent="0.2">
      <c r="C1477" s="209"/>
      <c r="D1477" s="209"/>
      <c r="E1477" s="209"/>
      <c r="J1477" s="124"/>
    </row>
    <row r="1478" spans="3:10" x14ac:dyDescent="0.2">
      <c r="C1478" s="209"/>
      <c r="D1478" s="209"/>
      <c r="E1478" s="209"/>
      <c r="J1478" s="124"/>
    </row>
    <row r="1479" spans="3:10" x14ac:dyDescent="0.2">
      <c r="C1479" s="209"/>
      <c r="D1479" s="209"/>
      <c r="E1479" s="209"/>
      <c r="J1479" s="124"/>
    </row>
    <row r="1480" spans="3:10" x14ac:dyDescent="0.2">
      <c r="C1480" s="209"/>
      <c r="D1480" s="209"/>
      <c r="E1480" s="209"/>
      <c r="J1480" s="124"/>
    </row>
    <row r="1481" spans="3:10" x14ac:dyDescent="0.2">
      <c r="C1481" s="209"/>
      <c r="D1481" s="209"/>
      <c r="E1481" s="209"/>
      <c r="J1481" s="124"/>
    </row>
    <row r="1482" spans="3:10" x14ac:dyDescent="0.2">
      <c r="C1482" s="209"/>
      <c r="D1482" s="209"/>
      <c r="E1482" s="209"/>
      <c r="J1482" s="124"/>
    </row>
    <row r="1483" spans="3:10" x14ac:dyDescent="0.2">
      <c r="C1483" s="209"/>
      <c r="D1483" s="209"/>
      <c r="E1483" s="209"/>
      <c r="J1483" s="124"/>
    </row>
    <row r="1484" spans="3:10" x14ac:dyDescent="0.2">
      <c r="C1484" s="209"/>
      <c r="D1484" s="209"/>
      <c r="E1484" s="209"/>
      <c r="J1484" s="124"/>
    </row>
    <row r="1485" spans="3:10" x14ac:dyDescent="0.2">
      <c r="C1485" s="209"/>
      <c r="D1485" s="209"/>
      <c r="E1485" s="209"/>
      <c r="J1485" s="124"/>
    </row>
    <row r="1486" spans="3:10" x14ac:dyDescent="0.2">
      <c r="C1486" s="209"/>
      <c r="D1486" s="209"/>
      <c r="E1486" s="209"/>
      <c r="J1486" s="124"/>
    </row>
    <row r="1487" spans="3:10" x14ac:dyDescent="0.2">
      <c r="C1487" s="209"/>
      <c r="D1487" s="209"/>
      <c r="E1487" s="209"/>
      <c r="J1487" s="124"/>
    </row>
    <row r="1488" spans="3:10" x14ac:dyDescent="0.2">
      <c r="C1488" s="209"/>
      <c r="D1488" s="209"/>
      <c r="E1488" s="209"/>
      <c r="J1488" s="124"/>
    </row>
    <row r="1489" spans="3:10" x14ac:dyDescent="0.2">
      <c r="C1489" s="209"/>
      <c r="D1489" s="209"/>
      <c r="E1489" s="209"/>
      <c r="J1489" s="124"/>
    </row>
    <row r="1490" spans="3:10" x14ac:dyDescent="0.2">
      <c r="C1490" s="209"/>
      <c r="D1490" s="209"/>
      <c r="E1490" s="209"/>
      <c r="J1490" s="124"/>
    </row>
    <row r="1491" spans="3:10" x14ac:dyDescent="0.2">
      <c r="C1491" s="209"/>
      <c r="D1491" s="209"/>
      <c r="E1491" s="209"/>
      <c r="J1491" s="124"/>
    </row>
    <row r="1492" spans="3:10" x14ac:dyDescent="0.2">
      <c r="C1492" s="209"/>
      <c r="D1492" s="209"/>
      <c r="E1492" s="209"/>
      <c r="J1492" s="124"/>
    </row>
    <row r="1493" spans="3:10" x14ac:dyDescent="0.2">
      <c r="C1493" s="209"/>
      <c r="D1493" s="209"/>
      <c r="E1493" s="209"/>
      <c r="J1493" s="124"/>
    </row>
    <row r="1494" spans="3:10" x14ac:dyDescent="0.2">
      <c r="C1494" s="209"/>
      <c r="D1494" s="209"/>
      <c r="E1494" s="209"/>
      <c r="J1494" s="124"/>
    </row>
    <row r="1495" spans="3:10" x14ac:dyDescent="0.2">
      <c r="C1495" s="209"/>
      <c r="D1495" s="209"/>
      <c r="E1495" s="209"/>
      <c r="J1495" s="124"/>
    </row>
    <row r="1496" spans="3:10" x14ac:dyDescent="0.2">
      <c r="C1496" s="209"/>
      <c r="D1496" s="209"/>
      <c r="E1496" s="209"/>
      <c r="J1496" s="124"/>
    </row>
    <row r="1497" spans="3:10" x14ac:dyDescent="0.2">
      <c r="C1497" s="209"/>
      <c r="D1497" s="209"/>
      <c r="E1497" s="209"/>
      <c r="J1497" s="124"/>
    </row>
    <row r="1498" spans="3:10" x14ac:dyDescent="0.2">
      <c r="C1498" s="209"/>
      <c r="D1498" s="209"/>
      <c r="E1498" s="209"/>
      <c r="J1498" s="124"/>
    </row>
    <row r="1499" spans="3:10" x14ac:dyDescent="0.2">
      <c r="C1499" s="209"/>
      <c r="D1499" s="209"/>
      <c r="E1499" s="209"/>
      <c r="J1499" s="124"/>
    </row>
    <row r="1500" spans="3:10" x14ac:dyDescent="0.2">
      <c r="C1500" s="209"/>
      <c r="D1500" s="209"/>
      <c r="E1500" s="209"/>
      <c r="J1500" s="124"/>
    </row>
    <row r="1501" spans="3:10" x14ac:dyDescent="0.2">
      <c r="C1501" s="209"/>
      <c r="D1501" s="209"/>
      <c r="E1501" s="209"/>
      <c r="J1501" s="124"/>
    </row>
    <row r="1502" spans="3:10" x14ac:dyDescent="0.2">
      <c r="C1502" s="209"/>
      <c r="D1502" s="209"/>
      <c r="E1502" s="209"/>
      <c r="J1502" s="124"/>
    </row>
    <row r="1503" spans="3:10" x14ac:dyDescent="0.2">
      <c r="C1503" s="209"/>
      <c r="D1503" s="209"/>
      <c r="E1503" s="209"/>
      <c r="J1503" s="124"/>
    </row>
    <row r="1504" spans="3:10" x14ac:dyDescent="0.2">
      <c r="C1504" s="209"/>
      <c r="D1504" s="209"/>
      <c r="E1504" s="209"/>
      <c r="J1504" s="124"/>
    </row>
    <row r="1505" spans="3:10" x14ac:dyDescent="0.2">
      <c r="C1505" s="209"/>
      <c r="D1505" s="209"/>
      <c r="E1505" s="209"/>
      <c r="J1505" s="124"/>
    </row>
    <row r="1506" spans="3:10" x14ac:dyDescent="0.2">
      <c r="C1506" s="209"/>
      <c r="D1506" s="209"/>
      <c r="E1506" s="209"/>
      <c r="J1506" s="124"/>
    </row>
    <row r="1507" spans="3:10" x14ac:dyDescent="0.2">
      <c r="C1507" s="209"/>
      <c r="D1507" s="209"/>
      <c r="E1507" s="209"/>
      <c r="J1507" s="124"/>
    </row>
    <row r="1508" spans="3:10" x14ac:dyDescent="0.2">
      <c r="C1508" s="209"/>
      <c r="D1508" s="209"/>
      <c r="E1508" s="209"/>
      <c r="J1508" s="124"/>
    </row>
    <row r="1509" spans="3:10" x14ac:dyDescent="0.2">
      <c r="C1509" s="209"/>
      <c r="D1509" s="209"/>
      <c r="E1509" s="209"/>
      <c r="J1509" s="124"/>
    </row>
    <row r="1510" spans="3:10" x14ac:dyDescent="0.2">
      <c r="C1510" s="209"/>
      <c r="D1510" s="209"/>
      <c r="E1510" s="209"/>
      <c r="J1510" s="124"/>
    </row>
    <row r="1511" spans="3:10" x14ac:dyDescent="0.2">
      <c r="C1511" s="209"/>
      <c r="D1511" s="209"/>
      <c r="E1511" s="209"/>
      <c r="J1511" s="124"/>
    </row>
    <row r="1512" spans="3:10" x14ac:dyDescent="0.2">
      <c r="C1512" s="209"/>
      <c r="D1512" s="209"/>
      <c r="E1512" s="209"/>
      <c r="J1512" s="124"/>
    </row>
    <row r="1513" spans="3:10" x14ac:dyDescent="0.2">
      <c r="C1513" s="209"/>
      <c r="D1513" s="209"/>
      <c r="E1513" s="209"/>
      <c r="J1513" s="124"/>
    </row>
    <row r="1514" spans="3:10" x14ac:dyDescent="0.2">
      <c r="C1514" s="209"/>
      <c r="D1514" s="209"/>
      <c r="E1514" s="209"/>
      <c r="J1514" s="124"/>
    </row>
    <row r="1515" spans="3:10" x14ac:dyDescent="0.2">
      <c r="C1515" s="209"/>
      <c r="D1515" s="209"/>
      <c r="E1515" s="209"/>
      <c r="J1515" s="124"/>
    </row>
    <row r="1516" spans="3:10" x14ac:dyDescent="0.2">
      <c r="C1516" s="209"/>
      <c r="D1516" s="209"/>
      <c r="E1516" s="209"/>
      <c r="J1516" s="124"/>
    </row>
    <row r="1517" spans="3:10" x14ac:dyDescent="0.2">
      <c r="C1517" s="209"/>
      <c r="D1517" s="209"/>
      <c r="E1517" s="209"/>
      <c r="J1517" s="124"/>
    </row>
    <row r="1518" spans="3:10" x14ac:dyDescent="0.2">
      <c r="C1518" s="209"/>
      <c r="D1518" s="209"/>
      <c r="E1518" s="209"/>
      <c r="J1518" s="124"/>
    </row>
    <row r="1519" spans="3:10" x14ac:dyDescent="0.2">
      <c r="C1519" s="209"/>
      <c r="D1519" s="209"/>
      <c r="E1519" s="209"/>
      <c r="J1519" s="124"/>
    </row>
    <row r="1520" spans="3:10" x14ac:dyDescent="0.2">
      <c r="C1520" s="209"/>
      <c r="D1520" s="209"/>
      <c r="E1520" s="209"/>
      <c r="J1520" s="124"/>
    </row>
    <row r="1521" spans="3:10" x14ac:dyDescent="0.2">
      <c r="C1521" s="209"/>
      <c r="D1521" s="209"/>
      <c r="E1521" s="209"/>
      <c r="J1521" s="124"/>
    </row>
    <row r="1522" spans="3:10" x14ac:dyDescent="0.2">
      <c r="C1522" s="209"/>
      <c r="D1522" s="209"/>
      <c r="E1522" s="209"/>
      <c r="J1522" s="124"/>
    </row>
    <row r="1523" spans="3:10" x14ac:dyDescent="0.2">
      <c r="C1523" s="209"/>
      <c r="D1523" s="209"/>
      <c r="E1523" s="209"/>
      <c r="J1523" s="124"/>
    </row>
    <row r="1524" spans="3:10" x14ac:dyDescent="0.2">
      <c r="C1524" s="209"/>
      <c r="D1524" s="209"/>
      <c r="E1524" s="209"/>
      <c r="J1524" s="124"/>
    </row>
    <row r="1525" spans="3:10" x14ac:dyDescent="0.2">
      <c r="C1525" s="209"/>
      <c r="D1525" s="209"/>
      <c r="E1525" s="209"/>
      <c r="J1525" s="124"/>
    </row>
    <row r="1526" spans="3:10" x14ac:dyDescent="0.2">
      <c r="C1526" s="209"/>
      <c r="D1526" s="209"/>
      <c r="E1526" s="209"/>
      <c r="J1526" s="124"/>
    </row>
    <row r="1527" spans="3:10" x14ac:dyDescent="0.2">
      <c r="C1527" s="209"/>
      <c r="D1527" s="209"/>
      <c r="E1527" s="209"/>
      <c r="J1527" s="124"/>
    </row>
    <row r="1528" spans="3:10" x14ac:dyDescent="0.2">
      <c r="C1528" s="209"/>
      <c r="D1528" s="209"/>
      <c r="E1528" s="209"/>
      <c r="J1528" s="124"/>
    </row>
    <row r="1529" spans="3:10" x14ac:dyDescent="0.2">
      <c r="C1529" s="209"/>
      <c r="D1529" s="209"/>
      <c r="E1529" s="209"/>
      <c r="J1529" s="124"/>
    </row>
    <row r="1530" spans="3:10" x14ac:dyDescent="0.2">
      <c r="C1530" s="209"/>
      <c r="D1530" s="209"/>
      <c r="E1530" s="209"/>
      <c r="J1530" s="124"/>
    </row>
    <row r="1531" spans="3:10" x14ac:dyDescent="0.2">
      <c r="C1531" s="209"/>
      <c r="D1531" s="209"/>
      <c r="E1531" s="209"/>
      <c r="J1531" s="124"/>
    </row>
    <row r="1532" spans="3:10" x14ac:dyDescent="0.2">
      <c r="C1532" s="209"/>
      <c r="D1532" s="209"/>
      <c r="E1532" s="209"/>
      <c r="J1532" s="124"/>
    </row>
    <row r="1533" spans="3:10" x14ac:dyDescent="0.2">
      <c r="C1533" s="209"/>
      <c r="D1533" s="209"/>
      <c r="E1533" s="209"/>
      <c r="J1533" s="124"/>
    </row>
    <row r="1534" spans="3:10" x14ac:dyDescent="0.2">
      <c r="C1534" s="209"/>
      <c r="D1534" s="209"/>
      <c r="E1534" s="209"/>
      <c r="J1534" s="124"/>
    </row>
    <row r="1535" spans="3:10" x14ac:dyDescent="0.2">
      <c r="C1535" s="209"/>
      <c r="D1535" s="209"/>
      <c r="E1535" s="209"/>
      <c r="J1535" s="124"/>
    </row>
    <row r="1536" spans="3:10" x14ac:dyDescent="0.2">
      <c r="C1536" s="209"/>
      <c r="D1536" s="209"/>
      <c r="E1536" s="209"/>
      <c r="J1536" s="124"/>
    </row>
    <row r="1537" spans="3:10" x14ac:dyDescent="0.2">
      <c r="C1537" s="209"/>
      <c r="D1537" s="209"/>
      <c r="E1537" s="209"/>
      <c r="J1537" s="124"/>
    </row>
    <row r="1538" spans="3:10" x14ac:dyDescent="0.2">
      <c r="C1538" s="209"/>
      <c r="D1538" s="209"/>
      <c r="E1538" s="209"/>
      <c r="J1538" s="124"/>
    </row>
    <row r="1539" spans="3:10" x14ac:dyDescent="0.2">
      <c r="C1539" s="209"/>
      <c r="D1539" s="209"/>
      <c r="E1539" s="209"/>
      <c r="J1539" s="124"/>
    </row>
    <row r="1540" spans="3:10" x14ac:dyDescent="0.2">
      <c r="C1540" s="209"/>
      <c r="D1540" s="209"/>
      <c r="E1540" s="209"/>
      <c r="J1540" s="124"/>
    </row>
    <row r="1541" spans="3:10" x14ac:dyDescent="0.2">
      <c r="C1541" s="209"/>
      <c r="D1541" s="209"/>
      <c r="E1541" s="209"/>
      <c r="J1541" s="124"/>
    </row>
    <row r="1542" spans="3:10" x14ac:dyDescent="0.2">
      <c r="C1542" s="209"/>
      <c r="D1542" s="209"/>
      <c r="E1542" s="209"/>
      <c r="J1542" s="124"/>
    </row>
    <row r="1543" spans="3:10" x14ac:dyDescent="0.2">
      <c r="C1543" s="209"/>
      <c r="D1543" s="209"/>
      <c r="E1543" s="209"/>
      <c r="J1543" s="124"/>
    </row>
    <row r="1544" spans="3:10" x14ac:dyDescent="0.2">
      <c r="C1544" s="209"/>
      <c r="D1544" s="209"/>
      <c r="E1544" s="209"/>
      <c r="J1544" s="124"/>
    </row>
    <row r="1545" spans="3:10" x14ac:dyDescent="0.2">
      <c r="C1545" s="209"/>
      <c r="D1545" s="209"/>
      <c r="E1545" s="209"/>
      <c r="J1545" s="124"/>
    </row>
    <row r="1546" spans="3:10" x14ac:dyDescent="0.2">
      <c r="C1546" s="209"/>
      <c r="D1546" s="209"/>
      <c r="E1546" s="209"/>
      <c r="J1546" s="124"/>
    </row>
    <row r="1547" spans="3:10" x14ac:dyDescent="0.2">
      <c r="C1547" s="209"/>
      <c r="D1547" s="209"/>
      <c r="E1547" s="209"/>
      <c r="J1547" s="124"/>
    </row>
    <row r="1548" spans="3:10" x14ac:dyDescent="0.2">
      <c r="C1548" s="209"/>
      <c r="D1548" s="209"/>
      <c r="E1548" s="209"/>
      <c r="J1548" s="124"/>
    </row>
    <row r="1549" spans="3:10" x14ac:dyDescent="0.2">
      <c r="C1549" s="209"/>
      <c r="D1549" s="209"/>
      <c r="E1549" s="209"/>
      <c r="J1549" s="124"/>
    </row>
    <row r="1550" spans="3:10" x14ac:dyDescent="0.2">
      <c r="C1550" s="209"/>
      <c r="D1550" s="209"/>
      <c r="E1550" s="209"/>
      <c r="J1550" s="124"/>
    </row>
    <row r="1551" spans="3:10" x14ac:dyDescent="0.2">
      <c r="C1551" s="209"/>
      <c r="D1551" s="209"/>
      <c r="E1551" s="209"/>
      <c r="J1551" s="124"/>
    </row>
    <row r="1552" spans="3:10" x14ac:dyDescent="0.2">
      <c r="C1552" s="209"/>
      <c r="D1552" s="209"/>
      <c r="E1552" s="209"/>
      <c r="J1552" s="124"/>
    </row>
    <row r="1553" spans="3:10" x14ac:dyDescent="0.2">
      <c r="C1553" s="209"/>
      <c r="D1553" s="209"/>
      <c r="E1553" s="209"/>
      <c r="J1553" s="124"/>
    </row>
    <row r="1554" spans="3:10" x14ac:dyDescent="0.2">
      <c r="C1554" s="209"/>
      <c r="D1554" s="209"/>
      <c r="E1554" s="209"/>
      <c r="J1554" s="124"/>
    </row>
    <row r="1555" spans="3:10" x14ac:dyDescent="0.2">
      <c r="C1555" s="209"/>
      <c r="D1555" s="209"/>
      <c r="E1555" s="209"/>
      <c r="J1555" s="124"/>
    </row>
    <row r="1556" spans="3:10" x14ac:dyDescent="0.2">
      <c r="C1556" s="209"/>
      <c r="D1556" s="209"/>
      <c r="E1556" s="209"/>
      <c r="J1556" s="124"/>
    </row>
    <row r="1557" spans="3:10" x14ac:dyDescent="0.2">
      <c r="C1557" s="209"/>
      <c r="D1557" s="209"/>
      <c r="E1557" s="209"/>
      <c r="J1557" s="124"/>
    </row>
    <row r="1558" spans="3:10" x14ac:dyDescent="0.2">
      <c r="C1558" s="209"/>
      <c r="D1558" s="209"/>
      <c r="E1558" s="209"/>
      <c r="J1558" s="124"/>
    </row>
    <row r="1559" spans="3:10" x14ac:dyDescent="0.2">
      <c r="C1559" s="209"/>
      <c r="D1559" s="209"/>
      <c r="E1559" s="209"/>
      <c r="J1559" s="124"/>
    </row>
    <row r="1560" spans="3:10" x14ac:dyDescent="0.2">
      <c r="C1560" s="209"/>
      <c r="D1560" s="209"/>
      <c r="E1560" s="209"/>
      <c r="J1560" s="124"/>
    </row>
    <row r="1561" spans="3:10" x14ac:dyDescent="0.2">
      <c r="C1561" s="209"/>
      <c r="D1561" s="209"/>
      <c r="E1561" s="209"/>
      <c r="J1561" s="124"/>
    </row>
    <row r="1562" spans="3:10" x14ac:dyDescent="0.2">
      <c r="C1562" s="209"/>
      <c r="D1562" s="209"/>
      <c r="E1562" s="209"/>
      <c r="J1562" s="124"/>
    </row>
    <row r="1563" spans="3:10" x14ac:dyDescent="0.2">
      <c r="C1563" s="209"/>
      <c r="D1563" s="209"/>
      <c r="E1563" s="209"/>
      <c r="J1563" s="124"/>
    </row>
    <row r="1564" spans="3:10" x14ac:dyDescent="0.2">
      <c r="C1564" s="209"/>
      <c r="D1564" s="209"/>
      <c r="E1564" s="209"/>
      <c r="J1564" s="124"/>
    </row>
    <row r="1565" spans="3:10" x14ac:dyDescent="0.2">
      <c r="C1565" s="209"/>
      <c r="D1565" s="209"/>
      <c r="E1565" s="209"/>
      <c r="J1565" s="124"/>
    </row>
    <row r="1566" spans="3:10" x14ac:dyDescent="0.2">
      <c r="C1566" s="209"/>
      <c r="D1566" s="209"/>
      <c r="E1566" s="209"/>
      <c r="J1566" s="124"/>
    </row>
    <row r="1567" spans="3:10" x14ac:dyDescent="0.2">
      <c r="C1567" s="209"/>
      <c r="D1567" s="209"/>
      <c r="E1567" s="209"/>
      <c r="J1567" s="124"/>
    </row>
    <row r="1568" spans="3:10" x14ac:dyDescent="0.2">
      <c r="C1568" s="209"/>
      <c r="D1568" s="209"/>
      <c r="E1568" s="209"/>
      <c r="J1568" s="124"/>
    </row>
    <row r="1569" spans="3:10" x14ac:dyDescent="0.2">
      <c r="C1569" s="209"/>
      <c r="D1569" s="209"/>
      <c r="E1569" s="209"/>
      <c r="J1569" s="124"/>
    </row>
    <row r="1570" spans="3:10" x14ac:dyDescent="0.2">
      <c r="C1570" s="209"/>
      <c r="D1570" s="209"/>
      <c r="E1570" s="209"/>
      <c r="J1570" s="124"/>
    </row>
    <row r="1571" spans="3:10" x14ac:dyDescent="0.2">
      <c r="C1571" s="209"/>
      <c r="D1571" s="209"/>
      <c r="E1571" s="209"/>
      <c r="J1571" s="124"/>
    </row>
    <row r="1572" spans="3:10" x14ac:dyDescent="0.2">
      <c r="C1572" s="209"/>
      <c r="D1572" s="209"/>
      <c r="E1572" s="209"/>
      <c r="J1572" s="124"/>
    </row>
    <row r="1573" spans="3:10" x14ac:dyDescent="0.2">
      <c r="C1573" s="209"/>
      <c r="D1573" s="209"/>
      <c r="E1573" s="209"/>
      <c r="J1573" s="124"/>
    </row>
    <row r="1574" spans="3:10" x14ac:dyDescent="0.2">
      <c r="C1574" s="209"/>
      <c r="D1574" s="209"/>
      <c r="E1574" s="209"/>
      <c r="J1574" s="124"/>
    </row>
    <row r="1575" spans="3:10" x14ac:dyDescent="0.2">
      <c r="C1575" s="209"/>
      <c r="D1575" s="209"/>
      <c r="E1575" s="209"/>
      <c r="J1575" s="124"/>
    </row>
    <row r="1576" spans="3:10" x14ac:dyDescent="0.2">
      <c r="C1576" s="209"/>
      <c r="D1576" s="209"/>
      <c r="E1576" s="209"/>
      <c r="J1576" s="124"/>
    </row>
    <row r="1577" spans="3:10" x14ac:dyDescent="0.2">
      <c r="C1577" s="209"/>
      <c r="D1577" s="209"/>
      <c r="E1577" s="209"/>
      <c r="J1577" s="124"/>
    </row>
    <row r="1578" spans="3:10" x14ac:dyDescent="0.2">
      <c r="C1578" s="209"/>
      <c r="D1578" s="209"/>
      <c r="E1578" s="209"/>
      <c r="J1578" s="124"/>
    </row>
    <row r="1579" spans="3:10" x14ac:dyDescent="0.2">
      <c r="C1579" s="209"/>
      <c r="D1579" s="209"/>
      <c r="E1579" s="209"/>
      <c r="J1579" s="124"/>
    </row>
    <row r="1580" spans="3:10" x14ac:dyDescent="0.2">
      <c r="C1580" s="209"/>
      <c r="D1580" s="209"/>
      <c r="E1580" s="209"/>
      <c r="J1580" s="124"/>
    </row>
    <row r="1581" spans="3:10" x14ac:dyDescent="0.2">
      <c r="C1581" s="209"/>
      <c r="D1581" s="209"/>
      <c r="E1581" s="209"/>
      <c r="J1581" s="124"/>
    </row>
    <row r="1582" spans="3:10" x14ac:dyDescent="0.2">
      <c r="C1582" s="209"/>
      <c r="D1582" s="209"/>
      <c r="E1582" s="209"/>
      <c r="J1582" s="124"/>
    </row>
    <row r="1583" spans="3:10" x14ac:dyDescent="0.2">
      <c r="C1583" s="209"/>
      <c r="D1583" s="209"/>
      <c r="E1583" s="209"/>
      <c r="J1583" s="124"/>
    </row>
    <row r="1584" spans="3:10" x14ac:dyDescent="0.2">
      <c r="C1584" s="209"/>
      <c r="D1584" s="209"/>
      <c r="E1584" s="209"/>
      <c r="J1584" s="124"/>
    </row>
    <row r="1585" spans="3:10" x14ac:dyDescent="0.2">
      <c r="C1585" s="209"/>
      <c r="D1585" s="209"/>
      <c r="E1585" s="209"/>
      <c r="J1585" s="124"/>
    </row>
    <row r="1586" spans="3:10" x14ac:dyDescent="0.2">
      <c r="C1586" s="209"/>
      <c r="D1586" s="209"/>
      <c r="E1586" s="209"/>
      <c r="J1586" s="124"/>
    </row>
    <row r="1587" spans="3:10" x14ac:dyDescent="0.2">
      <c r="C1587" s="209"/>
      <c r="D1587" s="209"/>
      <c r="E1587" s="209"/>
      <c r="J1587" s="124"/>
    </row>
    <row r="1588" spans="3:10" x14ac:dyDescent="0.2">
      <c r="C1588" s="209"/>
      <c r="D1588" s="209"/>
      <c r="E1588" s="209"/>
      <c r="J1588" s="124"/>
    </row>
    <row r="1589" spans="3:10" x14ac:dyDescent="0.2">
      <c r="C1589" s="209"/>
      <c r="D1589" s="209"/>
      <c r="E1589" s="209"/>
      <c r="J1589" s="124"/>
    </row>
    <row r="1590" spans="3:10" x14ac:dyDescent="0.2">
      <c r="C1590" s="209"/>
      <c r="D1590" s="209"/>
      <c r="E1590" s="209"/>
      <c r="J1590" s="124"/>
    </row>
    <row r="1591" spans="3:10" x14ac:dyDescent="0.2">
      <c r="C1591" s="209"/>
      <c r="D1591" s="209"/>
      <c r="E1591" s="209"/>
      <c r="J1591" s="124"/>
    </row>
    <row r="1592" spans="3:10" x14ac:dyDescent="0.2">
      <c r="C1592" s="209"/>
      <c r="D1592" s="209"/>
      <c r="E1592" s="209"/>
      <c r="J1592" s="124"/>
    </row>
    <row r="1593" spans="3:10" x14ac:dyDescent="0.2">
      <c r="C1593" s="209"/>
      <c r="D1593" s="209"/>
      <c r="E1593" s="209"/>
      <c r="J1593" s="124"/>
    </row>
    <row r="1594" spans="3:10" x14ac:dyDescent="0.2">
      <c r="C1594" s="209"/>
      <c r="D1594" s="209"/>
      <c r="E1594" s="209"/>
      <c r="J1594" s="124"/>
    </row>
    <row r="1595" spans="3:10" x14ac:dyDescent="0.2">
      <c r="C1595" s="209"/>
      <c r="D1595" s="209"/>
      <c r="E1595" s="209"/>
      <c r="J1595" s="124"/>
    </row>
    <row r="1596" spans="3:10" x14ac:dyDescent="0.2">
      <c r="C1596" s="209"/>
      <c r="D1596" s="209"/>
      <c r="E1596" s="209"/>
      <c r="J1596" s="124"/>
    </row>
    <row r="1597" spans="3:10" x14ac:dyDescent="0.2">
      <c r="C1597" s="209"/>
      <c r="D1597" s="209"/>
      <c r="E1597" s="209"/>
      <c r="J1597" s="124"/>
    </row>
    <row r="1598" spans="3:10" x14ac:dyDescent="0.2">
      <c r="C1598" s="209"/>
      <c r="D1598" s="209"/>
      <c r="E1598" s="209"/>
      <c r="J1598" s="124"/>
    </row>
    <row r="1599" spans="3:10" x14ac:dyDescent="0.2">
      <c r="C1599" s="209"/>
      <c r="D1599" s="209"/>
      <c r="E1599" s="209"/>
      <c r="J1599" s="124"/>
    </row>
    <row r="1600" spans="3:10" x14ac:dyDescent="0.2">
      <c r="C1600" s="209"/>
      <c r="D1600" s="209"/>
      <c r="E1600" s="209"/>
      <c r="J1600" s="124"/>
    </row>
    <row r="1601" spans="3:10" x14ac:dyDescent="0.2">
      <c r="C1601" s="209"/>
      <c r="D1601" s="209"/>
      <c r="E1601" s="209"/>
      <c r="J1601" s="124"/>
    </row>
    <row r="1602" spans="3:10" x14ac:dyDescent="0.2">
      <c r="C1602" s="209"/>
      <c r="D1602" s="209"/>
      <c r="E1602" s="209"/>
      <c r="J1602" s="124"/>
    </row>
    <row r="1603" spans="3:10" x14ac:dyDescent="0.2">
      <c r="C1603" s="209"/>
      <c r="D1603" s="209"/>
      <c r="E1603" s="209"/>
      <c r="J1603" s="124"/>
    </row>
    <row r="1604" spans="3:10" x14ac:dyDescent="0.2">
      <c r="C1604" s="209"/>
      <c r="D1604" s="209"/>
      <c r="E1604" s="209"/>
      <c r="J1604" s="124"/>
    </row>
    <row r="1605" spans="3:10" x14ac:dyDescent="0.2">
      <c r="C1605" s="209"/>
      <c r="D1605" s="209"/>
      <c r="E1605" s="209"/>
      <c r="J1605" s="124"/>
    </row>
    <row r="1606" spans="3:10" x14ac:dyDescent="0.2">
      <c r="C1606" s="209"/>
      <c r="D1606" s="209"/>
      <c r="E1606" s="209"/>
      <c r="J1606" s="124"/>
    </row>
    <row r="1607" spans="3:10" x14ac:dyDescent="0.2">
      <c r="C1607" s="209"/>
      <c r="D1607" s="209"/>
      <c r="E1607" s="209"/>
      <c r="J1607" s="124"/>
    </row>
    <row r="1608" spans="3:10" x14ac:dyDescent="0.2">
      <c r="C1608" s="209"/>
      <c r="D1608" s="209"/>
      <c r="E1608" s="209"/>
      <c r="J1608" s="124"/>
    </row>
    <row r="1609" spans="3:10" x14ac:dyDescent="0.2">
      <c r="C1609" s="209"/>
      <c r="D1609" s="209"/>
      <c r="E1609" s="209"/>
      <c r="J1609" s="124"/>
    </row>
    <row r="1610" spans="3:10" x14ac:dyDescent="0.2">
      <c r="C1610" s="209"/>
      <c r="D1610" s="209"/>
      <c r="E1610" s="209"/>
      <c r="J1610" s="124"/>
    </row>
    <row r="1611" spans="3:10" x14ac:dyDescent="0.2">
      <c r="C1611" s="209"/>
      <c r="D1611" s="209"/>
      <c r="E1611" s="209"/>
      <c r="J1611" s="124"/>
    </row>
    <row r="1612" spans="3:10" x14ac:dyDescent="0.2">
      <c r="C1612" s="209"/>
      <c r="D1612" s="209"/>
      <c r="E1612" s="209"/>
      <c r="J1612" s="124"/>
    </row>
    <row r="1613" spans="3:10" x14ac:dyDescent="0.2">
      <c r="C1613" s="209"/>
      <c r="D1613" s="209"/>
      <c r="E1613" s="209"/>
      <c r="J1613" s="124"/>
    </row>
    <row r="1614" spans="3:10" x14ac:dyDescent="0.2">
      <c r="C1614" s="209"/>
      <c r="D1614" s="209"/>
      <c r="E1614" s="209"/>
      <c r="J1614" s="124"/>
    </row>
    <row r="1615" spans="3:10" x14ac:dyDescent="0.2">
      <c r="C1615" s="209"/>
      <c r="D1615" s="209"/>
      <c r="E1615" s="209"/>
      <c r="J1615" s="124"/>
    </row>
    <row r="1616" spans="3:10" x14ac:dyDescent="0.2">
      <c r="C1616" s="209"/>
      <c r="D1616" s="209"/>
      <c r="E1616" s="209"/>
      <c r="J1616" s="124"/>
    </row>
    <row r="1617" spans="3:10" x14ac:dyDescent="0.2">
      <c r="C1617" s="209"/>
      <c r="D1617" s="209"/>
      <c r="E1617" s="209"/>
      <c r="J1617" s="124"/>
    </row>
    <row r="1618" spans="3:10" x14ac:dyDescent="0.2">
      <c r="C1618" s="209"/>
      <c r="D1618" s="209"/>
      <c r="E1618" s="209"/>
      <c r="J1618" s="124"/>
    </row>
    <row r="1619" spans="3:10" x14ac:dyDescent="0.2">
      <c r="C1619" s="209"/>
      <c r="D1619" s="209"/>
      <c r="E1619" s="209"/>
      <c r="J1619" s="124"/>
    </row>
    <row r="1620" spans="3:10" x14ac:dyDescent="0.2">
      <c r="C1620" s="209"/>
      <c r="D1620" s="209"/>
      <c r="E1620" s="209"/>
      <c r="J1620" s="124"/>
    </row>
    <row r="1621" spans="3:10" x14ac:dyDescent="0.2">
      <c r="C1621" s="209"/>
      <c r="D1621" s="209"/>
      <c r="E1621" s="209"/>
      <c r="J1621" s="124"/>
    </row>
    <row r="1622" spans="3:10" x14ac:dyDescent="0.2">
      <c r="C1622" s="209"/>
      <c r="D1622" s="209"/>
      <c r="E1622" s="209"/>
      <c r="J1622" s="124"/>
    </row>
    <row r="1623" spans="3:10" x14ac:dyDescent="0.2">
      <c r="C1623" s="209"/>
      <c r="D1623" s="209"/>
      <c r="E1623" s="209"/>
      <c r="J1623" s="124"/>
    </row>
    <row r="1624" spans="3:10" x14ac:dyDescent="0.2">
      <c r="C1624" s="209"/>
      <c r="D1624" s="209"/>
      <c r="E1624" s="209"/>
      <c r="J1624" s="124"/>
    </row>
    <row r="1625" spans="3:10" x14ac:dyDescent="0.2">
      <c r="C1625" s="209"/>
      <c r="D1625" s="209"/>
      <c r="E1625" s="209"/>
      <c r="J1625" s="124"/>
    </row>
    <row r="1626" spans="3:10" x14ac:dyDescent="0.2">
      <c r="C1626" s="209"/>
      <c r="D1626" s="209"/>
      <c r="E1626" s="209"/>
      <c r="J1626" s="124"/>
    </row>
    <row r="1627" spans="3:10" x14ac:dyDescent="0.2">
      <c r="C1627" s="209"/>
      <c r="D1627" s="209"/>
      <c r="E1627" s="209"/>
      <c r="J1627" s="124"/>
    </row>
    <row r="1628" spans="3:10" x14ac:dyDescent="0.2">
      <c r="C1628" s="209"/>
      <c r="D1628" s="209"/>
      <c r="E1628" s="209"/>
      <c r="J1628" s="124"/>
    </row>
    <row r="1629" spans="3:10" x14ac:dyDescent="0.2">
      <c r="C1629" s="209"/>
      <c r="D1629" s="209"/>
      <c r="E1629" s="209"/>
      <c r="J1629" s="124"/>
    </row>
    <row r="1630" spans="3:10" x14ac:dyDescent="0.2">
      <c r="C1630" s="209"/>
      <c r="D1630" s="209"/>
      <c r="E1630" s="209"/>
      <c r="J1630" s="124"/>
    </row>
    <row r="1631" spans="3:10" x14ac:dyDescent="0.2">
      <c r="C1631" s="209"/>
      <c r="D1631" s="209"/>
      <c r="E1631" s="209"/>
      <c r="J1631" s="124"/>
    </row>
    <row r="1632" spans="3:10" x14ac:dyDescent="0.2">
      <c r="C1632" s="209"/>
      <c r="D1632" s="209"/>
      <c r="E1632" s="209"/>
      <c r="J1632" s="124"/>
    </row>
    <row r="1633" spans="3:10" x14ac:dyDescent="0.2">
      <c r="C1633" s="209"/>
      <c r="D1633" s="209"/>
      <c r="E1633" s="209"/>
      <c r="J1633" s="124"/>
    </row>
    <row r="1634" spans="3:10" x14ac:dyDescent="0.2">
      <c r="C1634" s="209"/>
      <c r="D1634" s="209"/>
      <c r="E1634" s="209"/>
      <c r="J1634" s="124"/>
    </row>
    <row r="1635" spans="3:10" x14ac:dyDescent="0.2">
      <c r="C1635" s="209"/>
      <c r="D1635" s="209"/>
      <c r="E1635" s="209"/>
      <c r="J1635" s="124"/>
    </row>
    <row r="1636" spans="3:10" x14ac:dyDescent="0.2">
      <c r="C1636" s="209"/>
      <c r="D1636" s="209"/>
      <c r="E1636" s="209"/>
      <c r="J1636" s="124"/>
    </row>
    <row r="1637" spans="3:10" x14ac:dyDescent="0.2">
      <c r="C1637" s="209"/>
      <c r="D1637" s="209"/>
      <c r="E1637" s="209"/>
      <c r="J1637" s="124"/>
    </row>
    <row r="1638" spans="3:10" x14ac:dyDescent="0.2">
      <c r="C1638" s="209"/>
      <c r="D1638" s="209"/>
      <c r="E1638" s="209"/>
      <c r="J1638" s="124"/>
    </row>
    <row r="1639" spans="3:10" x14ac:dyDescent="0.2">
      <c r="C1639" s="209"/>
      <c r="D1639" s="209"/>
      <c r="E1639" s="209"/>
      <c r="J1639" s="124"/>
    </row>
    <row r="1640" spans="3:10" x14ac:dyDescent="0.2">
      <c r="C1640" s="209"/>
      <c r="D1640" s="209"/>
      <c r="E1640" s="209"/>
      <c r="J1640" s="124"/>
    </row>
    <row r="1641" spans="3:10" x14ac:dyDescent="0.2">
      <c r="C1641" s="209"/>
      <c r="D1641" s="209"/>
      <c r="E1641" s="209"/>
      <c r="J1641" s="124"/>
    </row>
    <row r="1642" spans="3:10" x14ac:dyDescent="0.2">
      <c r="C1642" s="209"/>
      <c r="D1642" s="209"/>
      <c r="E1642" s="209"/>
      <c r="J1642" s="124"/>
    </row>
    <row r="1643" spans="3:10" x14ac:dyDescent="0.2">
      <c r="C1643" s="209"/>
      <c r="D1643" s="209"/>
      <c r="E1643" s="209"/>
      <c r="J1643" s="124"/>
    </row>
    <row r="1644" spans="3:10" x14ac:dyDescent="0.2">
      <c r="C1644" s="209"/>
      <c r="D1644" s="209"/>
      <c r="E1644" s="209"/>
      <c r="J1644" s="124"/>
    </row>
    <row r="1645" spans="3:10" x14ac:dyDescent="0.2">
      <c r="C1645" s="209"/>
      <c r="D1645" s="209"/>
      <c r="E1645" s="209"/>
      <c r="J1645" s="124"/>
    </row>
    <row r="1646" spans="3:10" x14ac:dyDescent="0.2">
      <c r="C1646" s="209"/>
      <c r="D1646" s="209"/>
      <c r="E1646" s="209"/>
      <c r="J1646" s="124"/>
    </row>
    <row r="1647" spans="3:10" x14ac:dyDescent="0.2">
      <c r="C1647" s="209"/>
      <c r="D1647" s="209"/>
      <c r="E1647" s="209"/>
      <c r="J1647" s="124"/>
    </row>
    <row r="1648" spans="3:10" x14ac:dyDescent="0.2">
      <c r="C1648" s="209"/>
      <c r="D1648" s="209"/>
      <c r="E1648" s="209"/>
      <c r="J1648" s="124"/>
    </row>
    <row r="1649" spans="3:10" x14ac:dyDescent="0.2">
      <c r="C1649" s="209"/>
      <c r="D1649" s="209"/>
      <c r="E1649" s="209"/>
      <c r="J1649" s="124"/>
    </row>
    <row r="1650" spans="3:10" x14ac:dyDescent="0.2">
      <c r="C1650" s="209"/>
      <c r="D1650" s="209"/>
      <c r="E1650" s="209"/>
      <c r="J1650" s="124"/>
    </row>
    <row r="1651" spans="3:10" x14ac:dyDescent="0.2">
      <c r="C1651" s="209"/>
      <c r="D1651" s="209"/>
      <c r="E1651" s="209"/>
      <c r="J1651" s="124"/>
    </row>
    <row r="1652" spans="3:10" x14ac:dyDescent="0.2">
      <c r="C1652" s="209"/>
      <c r="D1652" s="209"/>
      <c r="E1652" s="209"/>
      <c r="J1652" s="124"/>
    </row>
    <row r="1653" spans="3:10" x14ac:dyDescent="0.2">
      <c r="C1653" s="209"/>
      <c r="D1653" s="209"/>
      <c r="E1653" s="209"/>
      <c r="J1653" s="124"/>
    </row>
    <row r="1654" spans="3:10" x14ac:dyDescent="0.2">
      <c r="C1654" s="209"/>
      <c r="D1654" s="209"/>
      <c r="E1654" s="209"/>
      <c r="J1654" s="124"/>
    </row>
    <row r="1655" spans="3:10" x14ac:dyDescent="0.2">
      <c r="C1655" s="209"/>
      <c r="D1655" s="209"/>
      <c r="E1655" s="209"/>
      <c r="J1655" s="124"/>
    </row>
    <row r="1656" spans="3:10" x14ac:dyDescent="0.2">
      <c r="C1656" s="209"/>
      <c r="D1656" s="209"/>
      <c r="E1656" s="209"/>
      <c r="J1656" s="124"/>
    </row>
    <row r="1657" spans="3:10" x14ac:dyDescent="0.2">
      <c r="C1657" s="209"/>
      <c r="D1657" s="209"/>
      <c r="E1657" s="209"/>
      <c r="J1657" s="124"/>
    </row>
    <row r="1658" spans="3:10" x14ac:dyDescent="0.2">
      <c r="C1658" s="209"/>
      <c r="D1658" s="209"/>
      <c r="E1658" s="209"/>
      <c r="J1658" s="124"/>
    </row>
    <row r="1659" spans="3:10" x14ac:dyDescent="0.2">
      <c r="C1659" s="209"/>
      <c r="D1659" s="209"/>
      <c r="E1659" s="209"/>
      <c r="J1659" s="124"/>
    </row>
    <row r="1660" spans="3:10" x14ac:dyDescent="0.2">
      <c r="C1660" s="209"/>
      <c r="D1660" s="209"/>
      <c r="E1660" s="209"/>
      <c r="J1660" s="124"/>
    </row>
    <row r="1661" spans="3:10" x14ac:dyDescent="0.2">
      <c r="C1661" s="209"/>
      <c r="D1661" s="209"/>
      <c r="E1661" s="209"/>
      <c r="J1661" s="124"/>
    </row>
    <row r="1662" spans="3:10" x14ac:dyDescent="0.2">
      <c r="C1662" s="209"/>
      <c r="D1662" s="209"/>
      <c r="E1662" s="209"/>
      <c r="J1662" s="124"/>
    </row>
    <row r="1663" spans="3:10" x14ac:dyDescent="0.2">
      <c r="C1663" s="209"/>
      <c r="D1663" s="209"/>
      <c r="E1663" s="209"/>
      <c r="J1663" s="124"/>
    </row>
    <row r="1664" spans="3:10" x14ac:dyDescent="0.2">
      <c r="C1664" s="209"/>
      <c r="D1664" s="209"/>
      <c r="E1664" s="209"/>
      <c r="J1664" s="124"/>
    </row>
    <row r="1665" spans="3:10" x14ac:dyDescent="0.2">
      <c r="C1665" s="209"/>
      <c r="D1665" s="209"/>
      <c r="E1665" s="209"/>
      <c r="J1665" s="124"/>
    </row>
    <row r="1666" spans="3:10" x14ac:dyDescent="0.2">
      <c r="C1666" s="209"/>
      <c r="D1666" s="209"/>
      <c r="E1666" s="209"/>
      <c r="J1666" s="124"/>
    </row>
    <row r="1667" spans="3:10" x14ac:dyDescent="0.2">
      <c r="C1667" s="209"/>
      <c r="D1667" s="209"/>
      <c r="E1667" s="209"/>
      <c r="J1667" s="124"/>
    </row>
    <row r="1668" spans="3:10" x14ac:dyDescent="0.2">
      <c r="C1668" s="209"/>
      <c r="D1668" s="209"/>
      <c r="E1668" s="209"/>
      <c r="J1668" s="124"/>
    </row>
    <row r="1669" spans="3:10" x14ac:dyDescent="0.2">
      <c r="C1669" s="209"/>
      <c r="D1669" s="209"/>
      <c r="E1669" s="209"/>
      <c r="J1669" s="124"/>
    </row>
    <row r="1670" spans="3:10" x14ac:dyDescent="0.2">
      <c r="C1670" s="209"/>
      <c r="D1670" s="209"/>
      <c r="E1670" s="209"/>
      <c r="J1670" s="124"/>
    </row>
    <row r="1671" spans="3:10" x14ac:dyDescent="0.2">
      <c r="C1671" s="209"/>
      <c r="D1671" s="209"/>
      <c r="E1671" s="209"/>
      <c r="J1671" s="124"/>
    </row>
    <row r="1672" spans="3:10" x14ac:dyDescent="0.2">
      <c r="C1672" s="209"/>
      <c r="D1672" s="209"/>
      <c r="E1672" s="209"/>
      <c r="J1672" s="124"/>
    </row>
    <row r="1673" spans="3:10" x14ac:dyDescent="0.2">
      <c r="C1673" s="209"/>
      <c r="D1673" s="209"/>
      <c r="E1673" s="209"/>
      <c r="J1673" s="124"/>
    </row>
    <row r="1674" spans="3:10" x14ac:dyDescent="0.2">
      <c r="C1674" s="209"/>
      <c r="D1674" s="209"/>
      <c r="E1674" s="209"/>
      <c r="J1674" s="124"/>
    </row>
    <row r="1675" spans="3:10" x14ac:dyDescent="0.2">
      <c r="C1675" s="209"/>
      <c r="D1675" s="209"/>
      <c r="E1675" s="209"/>
      <c r="J1675" s="124"/>
    </row>
    <row r="1676" spans="3:10" x14ac:dyDescent="0.2">
      <c r="C1676" s="209"/>
      <c r="D1676" s="209"/>
      <c r="E1676" s="209"/>
      <c r="J1676" s="124"/>
    </row>
    <row r="1677" spans="3:10" x14ac:dyDescent="0.2">
      <c r="C1677" s="209"/>
      <c r="D1677" s="209"/>
      <c r="E1677" s="209"/>
      <c r="J1677" s="124"/>
    </row>
    <row r="1678" spans="3:10" x14ac:dyDescent="0.2">
      <c r="C1678" s="209"/>
      <c r="D1678" s="209"/>
      <c r="E1678" s="209"/>
      <c r="J1678" s="124"/>
    </row>
    <row r="1679" spans="3:10" x14ac:dyDescent="0.2">
      <c r="C1679" s="209"/>
      <c r="D1679" s="209"/>
      <c r="E1679" s="209"/>
      <c r="J1679" s="124"/>
    </row>
    <row r="1680" spans="3:10" x14ac:dyDescent="0.2">
      <c r="C1680" s="209"/>
      <c r="D1680" s="209"/>
      <c r="E1680" s="209"/>
      <c r="J1680" s="124"/>
    </row>
    <row r="1681" spans="3:10" x14ac:dyDescent="0.2">
      <c r="C1681" s="209"/>
      <c r="D1681" s="209"/>
      <c r="E1681" s="209"/>
      <c r="J1681" s="124"/>
    </row>
    <row r="1682" spans="3:10" x14ac:dyDescent="0.2">
      <c r="C1682" s="209"/>
      <c r="D1682" s="209"/>
      <c r="E1682" s="209"/>
      <c r="J1682" s="124"/>
    </row>
    <row r="1683" spans="3:10" x14ac:dyDescent="0.2">
      <c r="C1683" s="209"/>
      <c r="D1683" s="209"/>
      <c r="E1683" s="209"/>
      <c r="J1683" s="124"/>
    </row>
    <row r="1684" spans="3:10" x14ac:dyDescent="0.2">
      <c r="C1684" s="209"/>
      <c r="D1684" s="209"/>
      <c r="E1684" s="209"/>
      <c r="J1684" s="124"/>
    </row>
    <row r="1685" spans="3:10" x14ac:dyDescent="0.2">
      <c r="C1685" s="209"/>
      <c r="D1685" s="209"/>
      <c r="E1685" s="209"/>
      <c r="J1685" s="124"/>
    </row>
    <row r="1686" spans="3:10" x14ac:dyDescent="0.2">
      <c r="C1686" s="209"/>
      <c r="D1686" s="209"/>
      <c r="E1686" s="209"/>
      <c r="J1686" s="124"/>
    </row>
    <row r="1687" spans="3:10" x14ac:dyDescent="0.2">
      <c r="C1687" s="209"/>
      <c r="D1687" s="209"/>
      <c r="E1687" s="209"/>
      <c r="J1687" s="124"/>
    </row>
    <row r="1688" spans="3:10" x14ac:dyDescent="0.2">
      <c r="C1688" s="209"/>
      <c r="D1688" s="209"/>
      <c r="E1688" s="209"/>
      <c r="J1688" s="124"/>
    </row>
    <row r="1689" spans="3:10" x14ac:dyDescent="0.2">
      <c r="C1689" s="209"/>
      <c r="D1689" s="209"/>
      <c r="E1689" s="209"/>
      <c r="J1689" s="124"/>
    </row>
    <row r="1690" spans="3:10" x14ac:dyDescent="0.2">
      <c r="C1690" s="209"/>
      <c r="D1690" s="209"/>
      <c r="E1690" s="209"/>
      <c r="J1690" s="124"/>
    </row>
    <row r="1691" spans="3:10" x14ac:dyDescent="0.2">
      <c r="C1691" s="209"/>
      <c r="D1691" s="209"/>
      <c r="E1691" s="209"/>
      <c r="J1691" s="124"/>
    </row>
    <row r="1692" spans="3:10" x14ac:dyDescent="0.2">
      <c r="C1692" s="209"/>
      <c r="D1692" s="209"/>
      <c r="E1692" s="209"/>
      <c r="J1692" s="124"/>
    </row>
    <row r="1693" spans="3:10" x14ac:dyDescent="0.2">
      <c r="C1693" s="209"/>
      <c r="D1693" s="209"/>
      <c r="E1693" s="209"/>
      <c r="J1693" s="124"/>
    </row>
    <row r="1694" spans="3:10" x14ac:dyDescent="0.2">
      <c r="C1694" s="209"/>
      <c r="D1694" s="209"/>
      <c r="E1694" s="209"/>
      <c r="J1694" s="124"/>
    </row>
    <row r="1695" spans="3:10" x14ac:dyDescent="0.2">
      <c r="C1695" s="209"/>
      <c r="D1695" s="209"/>
      <c r="E1695" s="209"/>
      <c r="J1695" s="124"/>
    </row>
    <row r="1696" spans="3:10" x14ac:dyDescent="0.2">
      <c r="C1696" s="209"/>
      <c r="D1696" s="209"/>
      <c r="E1696" s="209"/>
      <c r="J1696" s="124"/>
    </row>
    <row r="1697" spans="3:10" x14ac:dyDescent="0.2">
      <c r="C1697" s="209"/>
      <c r="D1697" s="209"/>
      <c r="E1697" s="209"/>
      <c r="J1697" s="124"/>
    </row>
    <row r="1698" spans="3:10" x14ac:dyDescent="0.2">
      <c r="C1698" s="209"/>
      <c r="D1698" s="209"/>
      <c r="E1698" s="209"/>
      <c r="J1698" s="124"/>
    </row>
    <row r="1699" spans="3:10" x14ac:dyDescent="0.2">
      <c r="C1699" s="209"/>
      <c r="D1699" s="209"/>
      <c r="E1699" s="209"/>
      <c r="J1699" s="124"/>
    </row>
    <row r="1700" spans="3:10" x14ac:dyDescent="0.2">
      <c r="C1700" s="209"/>
      <c r="D1700" s="209"/>
      <c r="E1700" s="209"/>
      <c r="J1700" s="124"/>
    </row>
    <row r="1701" spans="3:10" x14ac:dyDescent="0.2">
      <c r="C1701" s="209"/>
      <c r="D1701" s="209"/>
      <c r="E1701" s="209"/>
      <c r="J1701" s="124"/>
    </row>
    <row r="1702" spans="3:10" x14ac:dyDescent="0.2">
      <c r="C1702" s="209"/>
      <c r="D1702" s="209"/>
      <c r="E1702" s="209"/>
      <c r="J1702" s="124"/>
    </row>
    <row r="1703" spans="3:10" x14ac:dyDescent="0.2">
      <c r="C1703" s="209"/>
      <c r="D1703" s="209"/>
      <c r="E1703" s="209"/>
      <c r="J1703" s="124"/>
    </row>
    <row r="1704" spans="3:10" x14ac:dyDescent="0.2">
      <c r="C1704" s="209"/>
      <c r="D1704" s="209"/>
      <c r="E1704" s="209"/>
      <c r="J1704" s="124"/>
    </row>
    <row r="1705" spans="3:10" x14ac:dyDescent="0.2">
      <c r="C1705" s="209"/>
      <c r="D1705" s="209"/>
      <c r="E1705" s="209"/>
      <c r="J1705" s="124"/>
    </row>
    <row r="1706" spans="3:10" x14ac:dyDescent="0.2">
      <c r="C1706" s="209"/>
      <c r="D1706" s="209"/>
      <c r="E1706" s="209"/>
      <c r="J1706" s="124"/>
    </row>
    <row r="1707" spans="3:10" x14ac:dyDescent="0.2">
      <c r="C1707" s="209"/>
      <c r="D1707" s="209"/>
      <c r="E1707" s="209"/>
      <c r="J1707" s="124"/>
    </row>
    <row r="1708" spans="3:10" x14ac:dyDescent="0.2">
      <c r="C1708" s="209"/>
      <c r="D1708" s="209"/>
      <c r="E1708" s="209"/>
      <c r="J1708" s="124"/>
    </row>
    <row r="1709" spans="3:10" x14ac:dyDescent="0.2">
      <c r="C1709" s="209"/>
      <c r="D1709" s="209"/>
      <c r="E1709" s="209"/>
      <c r="J1709" s="124"/>
    </row>
    <row r="1710" spans="3:10" x14ac:dyDescent="0.2">
      <c r="C1710" s="209"/>
      <c r="D1710" s="209"/>
      <c r="E1710" s="209"/>
      <c r="J1710" s="124"/>
    </row>
    <row r="1711" spans="3:10" x14ac:dyDescent="0.2">
      <c r="C1711" s="209"/>
      <c r="D1711" s="209"/>
      <c r="E1711" s="209"/>
      <c r="J1711" s="124"/>
    </row>
    <row r="1712" spans="3:10" x14ac:dyDescent="0.2">
      <c r="C1712" s="209"/>
      <c r="D1712" s="209"/>
      <c r="E1712" s="209"/>
      <c r="J1712" s="124"/>
    </row>
    <row r="1713" spans="3:10" x14ac:dyDescent="0.2">
      <c r="C1713" s="209"/>
      <c r="D1713" s="209"/>
      <c r="E1713" s="209"/>
      <c r="J1713" s="124"/>
    </row>
    <row r="1714" spans="3:10" x14ac:dyDescent="0.2">
      <c r="C1714" s="209"/>
      <c r="D1714" s="209"/>
      <c r="E1714" s="209"/>
      <c r="J1714" s="124"/>
    </row>
    <row r="1715" spans="3:10" x14ac:dyDescent="0.2">
      <c r="C1715" s="209"/>
      <c r="D1715" s="209"/>
      <c r="E1715" s="209"/>
      <c r="J1715" s="124"/>
    </row>
    <row r="1716" spans="3:10" x14ac:dyDescent="0.2">
      <c r="C1716" s="209"/>
      <c r="D1716" s="209"/>
      <c r="E1716" s="209"/>
      <c r="J1716" s="124"/>
    </row>
    <row r="1717" spans="3:10" x14ac:dyDescent="0.2">
      <c r="C1717" s="209"/>
      <c r="D1717" s="209"/>
      <c r="E1717" s="209"/>
      <c r="J1717" s="124"/>
    </row>
    <row r="1718" spans="3:10" x14ac:dyDescent="0.2">
      <c r="C1718" s="209"/>
      <c r="D1718" s="209"/>
      <c r="E1718" s="209"/>
      <c r="J1718" s="124"/>
    </row>
    <row r="1719" spans="3:10" x14ac:dyDescent="0.2">
      <c r="C1719" s="209"/>
      <c r="D1719" s="209"/>
      <c r="E1719" s="209"/>
      <c r="J1719" s="124"/>
    </row>
    <row r="1720" spans="3:10" x14ac:dyDescent="0.2">
      <c r="C1720" s="209"/>
      <c r="D1720" s="209"/>
      <c r="E1720" s="209"/>
      <c r="J1720" s="124"/>
    </row>
    <row r="1721" spans="3:10" x14ac:dyDescent="0.2">
      <c r="C1721" s="209"/>
      <c r="D1721" s="209"/>
      <c r="E1721" s="209"/>
      <c r="J1721" s="124"/>
    </row>
    <row r="1722" spans="3:10" x14ac:dyDescent="0.2">
      <c r="C1722" s="209"/>
      <c r="D1722" s="209"/>
      <c r="E1722" s="209"/>
      <c r="J1722" s="124"/>
    </row>
    <row r="1723" spans="3:10" x14ac:dyDescent="0.2">
      <c r="C1723" s="209"/>
      <c r="D1723" s="209"/>
      <c r="E1723" s="209"/>
      <c r="J1723" s="124"/>
    </row>
    <row r="1724" spans="3:10" x14ac:dyDescent="0.2">
      <c r="C1724" s="209"/>
      <c r="D1724" s="209"/>
      <c r="E1724" s="209"/>
      <c r="J1724" s="124"/>
    </row>
    <row r="1725" spans="3:10" x14ac:dyDescent="0.2">
      <c r="C1725" s="209"/>
      <c r="D1725" s="209"/>
      <c r="E1725" s="209"/>
      <c r="J1725" s="124"/>
    </row>
    <row r="1726" spans="3:10" x14ac:dyDescent="0.2">
      <c r="C1726" s="209"/>
      <c r="D1726" s="209"/>
      <c r="E1726" s="209"/>
      <c r="J1726" s="124"/>
    </row>
    <row r="1727" spans="3:10" x14ac:dyDescent="0.2">
      <c r="C1727" s="209"/>
      <c r="D1727" s="209"/>
      <c r="E1727" s="209"/>
      <c r="J1727" s="124"/>
    </row>
    <row r="1728" spans="3:10" x14ac:dyDescent="0.2">
      <c r="C1728" s="209"/>
      <c r="D1728" s="209"/>
      <c r="E1728" s="209"/>
      <c r="J1728" s="124"/>
    </row>
    <row r="1729" spans="3:10" x14ac:dyDescent="0.2">
      <c r="C1729" s="209"/>
      <c r="D1729" s="209"/>
      <c r="E1729" s="209"/>
      <c r="J1729" s="124"/>
    </row>
    <row r="1730" spans="3:10" x14ac:dyDescent="0.2">
      <c r="C1730" s="209"/>
      <c r="D1730" s="209"/>
      <c r="E1730" s="209"/>
      <c r="J1730" s="124"/>
    </row>
    <row r="1731" spans="3:10" x14ac:dyDescent="0.2">
      <c r="C1731" s="209"/>
      <c r="D1731" s="209"/>
      <c r="E1731" s="209"/>
      <c r="J1731" s="124"/>
    </row>
    <row r="1732" spans="3:10" x14ac:dyDescent="0.2">
      <c r="C1732" s="209"/>
      <c r="D1732" s="209"/>
      <c r="E1732" s="209"/>
      <c r="J1732" s="124"/>
    </row>
    <row r="1733" spans="3:10" x14ac:dyDescent="0.2">
      <c r="C1733" s="209"/>
      <c r="D1733" s="209"/>
      <c r="E1733" s="209"/>
      <c r="J1733" s="124"/>
    </row>
    <row r="1734" spans="3:10" x14ac:dyDescent="0.2">
      <c r="C1734" s="209"/>
      <c r="D1734" s="209"/>
      <c r="E1734" s="209"/>
      <c r="J1734" s="124"/>
    </row>
    <row r="1735" spans="3:10" x14ac:dyDescent="0.2">
      <c r="C1735" s="209"/>
      <c r="D1735" s="209"/>
      <c r="E1735" s="209"/>
      <c r="J1735" s="124"/>
    </row>
    <row r="1736" spans="3:10" x14ac:dyDescent="0.2">
      <c r="C1736" s="209"/>
      <c r="D1736" s="209"/>
      <c r="E1736" s="209"/>
      <c r="J1736" s="124"/>
    </row>
    <row r="1737" spans="3:10" x14ac:dyDescent="0.2">
      <c r="C1737" s="209"/>
      <c r="D1737" s="209"/>
      <c r="E1737" s="209"/>
      <c r="J1737" s="124"/>
    </row>
    <row r="1738" spans="3:10" x14ac:dyDescent="0.2">
      <c r="C1738" s="209"/>
      <c r="D1738" s="209"/>
      <c r="E1738" s="209"/>
      <c r="J1738" s="124"/>
    </row>
    <row r="1739" spans="3:10" x14ac:dyDescent="0.2">
      <c r="C1739" s="209"/>
      <c r="D1739" s="209"/>
      <c r="E1739" s="209"/>
      <c r="J1739" s="124"/>
    </row>
    <row r="1740" spans="3:10" x14ac:dyDescent="0.2">
      <c r="C1740" s="209"/>
      <c r="D1740" s="209"/>
      <c r="E1740" s="209"/>
      <c r="J1740" s="124"/>
    </row>
    <row r="1741" spans="3:10" x14ac:dyDescent="0.2">
      <c r="C1741" s="209"/>
      <c r="D1741" s="209"/>
      <c r="E1741" s="209"/>
      <c r="J1741" s="124"/>
    </row>
    <row r="1742" spans="3:10" x14ac:dyDescent="0.2">
      <c r="C1742" s="209"/>
      <c r="D1742" s="209"/>
      <c r="E1742" s="209"/>
      <c r="J1742" s="124"/>
    </row>
    <row r="1743" spans="3:10" x14ac:dyDescent="0.2">
      <c r="C1743" s="209"/>
      <c r="D1743" s="209"/>
      <c r="E1743" s="209"/>
      <c r="J1743" s="124"/>
    </row>
    <row r="1744" spans="3:10" x14ac:dyDescent="0.2">
      <c r="C1744" s="209"/>
      <c r="D1744" s="209"/>
      <c r="E1744" s="209"/>
      <c r="J1744" s="124"/>
    </row>
    <row r="1745" spans="3:10" x14ac:dyDescent="0.2">
      <c r="C1745" s="209"/>
      <c r="D1745" s="209"/>
      <c r="E1745" s="209"/>
      <c r="J1745" s="124"/>
    </row>
    <row r="1746" spans="3:10" x14ac:dyDescent="0.2">
      <c r="C1746" s="209"/>
      <c r="D1746" s="209"/>
      <c r="E1746" s="209"/>
      <c r="J1746" s="124"/>
    </row>
    <row r="1747" spans="3:10" x14ac:dyDescent="0.2">
      <c r="C1747" s="209"/>
      <c r="D1747" s="209"/>
      <c r="E1747" s="209"/>
      <c r="J1747" s="124"/>
    </row>
    <row r="1748" spans="3:10" x14ac:dyDescent="0.2">
      <c r="C1748" s="209"/>
      <c r="D1748" s="209"/>
      <c r="E1748" s="209"/>
      <c r="J1748" s="124"/>
    </row>
    <row r="1749" spans="3:10" x14ac:dyDescent="0.2">
      <c r="C1749" s="209"/>
      <c r="D1749" s="209"/>
      <c r="E1749" s="209"/>
      <c r="J1749" s="124"/>
    </row>
    <row r="1750" spans="3:10" x14ac:dyDescent="0.2">
      <c r="C1750" s="209"/>
      <c r="D1750" s="209"/>
      <c r="E1750" s="209"/>
      <c r="J1750" s="124"/>
    </row>
    <row r="1751" spans="3:10" x14ac:dyDescent="0.2">
      <c r="C1751" s="209"/>
      <c r="D1751" s="209"/>
      <c r="E1751" s="209"/>
      <c r="J1751" s="124"/>
    </row>
    <row r="1752" spans="3:10" x14ac:dyDescent="0.2">
      <c r="C1752" s="209"/>
      <c r="D1752" s="209"/>
      <c r="E1752" s="209"/>
      <c r="J1752" s="124"/>
    </row>
    <row r="1753" spans="3:10" x14ac:dyDescent="0.2">
      <c r="C1753" s="209"/>
      <c r="D1753" s="209"/>
      <c r="E1753" s="209"/>
      <c r="J1753" s="124"/>
    </row>
    <row r="1754" spans="3:10" x14ac:dyDescent="0.2">
      <c r="C1754" s="209"/>
      <c r="D1754" s="209"/>
      <c r="E1754" s="209"/>
      <c r="J1754" s="124"/>
    </row>
    <row r="1755" spans="3:10" x14ac:dyDescent="0.2">
      <c r="C1755" s="209"/>
      <c r="D1755" s="209"/>
      <c r="E1755" s="209"/>
      <c r="J1755" s="124"/>
    </row>
    <row r="1756" spans="3:10" x14ac:dyDescent="0.2">
      <c r="C1756" s="209"/>
      <c r="D1756" s="209"/>
      <c r="E1756" s="209"/>
      <c r="J1756" s="124"/>
    </row>
    <row r="1757" spans="3:10" x14ac:dyDescent="0.2">
      <c r="C1757" s="209"/>
      <c r="D1757" s="209"/>
      <c r="E1757" s="209"/>
      <c r="J1757" s="124"/>
    </row>
    <row r="1758" spans="3:10" x14ac:dyDescent="0.2">
      <c r="C1758" s="209"/>
      <c r="D1758" s="209"/>
      <c r="E1758" s="209"/>
      <c r="J1758" s="124"/>
    </row>
    <row r="1759" spans="3:10" x14ac:dyDescent="0.2">
      <c r="C1759" s="209"/>
      <c r="D1759" s="209"/>
      <c r="E1759" s="209"/>
      <c r="J1759" s="124"/>
    </row>
    <row r="1760" spans="3:10" x14ac:dyDescent="0.2">
      <c r="C1760" s="209"/>
      <c r="D1760" s="209"/>
      <c r="E1760" s="209"/>
      <c r="J1760" s="124"/>
    </row>
    <row r="1761" spans="3:10" x14ac:dyDescent="0.2">
      <c r="C1761" s="209"/>
      <c r="D1761" s="209"/>
      <c r="E1761" s="209"/>
      <c r="J1761" s="124"/>
    </row>
    <row r="1762" spans="3:10" x14ac:dyDescent="0.2">
      <c r="C1762" s="209"/>
      <c r="D1762" s="209"/>
      <c r="E1762" s="209"/>
      <c r="J1762" s="124"/>
    </row>
    <row r="1763" spans="3:10" x14ac:dyDescent="0.2">
      <c r="C1763" s="209"/>
      <c r="D1763" s="209"/>
      <c r="E1763" s="209"/>
      <c r="J1763" s="124"/>
    </row>
    <row r="1764" spans="3:10" x14ac:dyDescent="0.2">
      <c r="C1764" s="209"/>
      <c r="D1764" s="209"/>
      <c r="E1764" s="209"/>
      <c r="J1764" s="124"/>
    </row>
    <row r="1765" spans="3:10" x14ac:dyDescent="0.2">
      <c r="C1765" s="209"/>
      <c r="D1765" s="209"/>
      <c r="E1765" s="209"/>
      <c r="J1765" s="124"/>
    </row>
    <row r="1766" spans="3:10" x14ac:dyDescent="0.2">
      <c r="C1766" s="209"/>
      <c r="D1766" s="209"/>
      <c r="E1766" s="209"/>
      <c r="J1766" s="124"/>
    </row>
    <row r="1767" spans="3:10" x14ac:dyDescent="0.2">
      <c r="C1767" s="209"/>
      <c r="D1767" s="209"/>
      <c r="E1767" s="209"/>
      <c r="J1767" s="124"/>
    </row>
    <row r="1768" spans="3:10" x14ac:dyDescent="0.2">
      <c r="C1768" s="209"/>
      <c r="D1768" s="209"/>
      <c r="E1768" s="209"/>
      <c r="J1768" s="124"/>
    </row>
    <row r="1769" spans="3:10" x14ac:dyDescent="0.2">
      <c r="C1769" s="209"/>
      <c r="D1769" s="209"/>
      <c r="E1769" s="209"/>
      <c r="J1769" s="124"/>
    </row>
    <row r="1770" spans="3:10" x14ac:dyDescent="0.2">
      <c r="C1770" s="209"/>
      <c r="D1770" s="209"/>
      <c r="E1770" s="209"/>
      <c r="J1770" s="124"/>
    </row>
    <row r="1771" spans="3:10" x14ac:dyDescent="0.2">
      <c r="C1771" s="209"/>
      <c r="D1771" s="209"/>
      <c r="E1771" s="209"/>
      <c r="J1771" s="124"/>
    </row>
    <row r="1772" spans="3:10" x14ac:dyDescent="0.2">
      <c r="C1772" s="209"/>
      <c r="D1772" s="209"/>
      <c r="E1772" s="209"/>
      <c r="J1772" s="124"/>
    </row>
    <row r="1773" spans="3:10" x14ac:dyDescent="0.2">
      <c r="C1773" s="209"/>
      <c r="D1773" s="209"/>
      <c r="E1773" s="209"/>
      <c r="J1773" s="124"/>
    </row>
    <row r="1774" spans="3:10" x14ac:dyDescent="0.2">
      <c r="C1774" s="209"/>
      <c r="D1774" s="209"/>
      <c r="E1774" s="209"/>
      <c r="J1774" s="124"/>
    </row>
    <row r="1775" spans="3:10" x14ac:dyDescent="0.2">
      <c r="C1775" s="209"/>
      <c r="D1775" s="209"/>
      <c r="E1775" s="209"/>
      <c r="J1775" s="124"/>
    </row>
    <row r="1776" spans="3:10" x14ac:dyDescent="0.2">
      <c r="C1776" s="209"/>
      <c r="D1776" s="209"/>
      <c r="E1776" s="209"/>
      <c r="J1776" s="124"/>
    </row>
    <row r="1777" spans="3:10" x14ac:dyDescent="0.2">
      <c r="C1777" s="209"/>
      <c r="D1777" s="209"/>
      <c r="E1777" s="209"/>
      <c r="J1777" s="124"/>
    </row>
    <row r="1778" spans="3:10" x14ac:dyDescent="0.2">
      <c r="C1778" s="209"/>
      <c r="D1778" s="209"/>
      <c r="E1778" s="209"/>
      <c r="J1778" s="124"/>
    </row>
    <row r="1779" spans="3:10" x14ac:dyDescent="0.2">
      <c r="C1779" s="209"/>
      <c r="D1779" s="209"/>
      <c r="E1779" s="209"/>
      <c r="J1779" s="124"/>
    </row>
    <row r="1780" spans="3:10" x14ac:dyDescent="0.2">
      <c r="C1780" s="209"/>
      <c r="D1780" s="209"/>
      <c r="E1780" s="209"/>
      <c r="J1780" s="124"/>
    </row>
    <row r="1781" spans="3:10" x14ac:dyDescent="0.2">
      <c r="C1781" s="209"/>
      <c r="D1781" s="209"/>
      <c r="E1781" s="209"/>
      <c r="J1781" s="124"/>
    </row>
    <row r="1782" spans="3:10" x14ac:dyDescent="0.2">
      <c r="C1782" s="209"/>
      <c r="D1782" s="209"/>
      <c r="E1782" s="209"/>
      <c r="J1782" s="124"/>
    </row>
    <row r="1783" spans="3:10" x14ac:dyDescent="0.2">
      <c r="C1783" s="209"/>
      <c r="D1783" s="209"/>
      <c r="E1783" s="209"/>
      <c r="J1783" s="124"/>
    </row>
    <row r="1784" spans="3:10" x14ac:dyDescent="0.2">
      <c r="C1784" s="209"/>
      <c r="D1784" s="209"/>
      <c r="E1784" s="209"/>
      <c r="J1784" s="124"/>
    </row>
    <row r="1785" spans="3:10" x14ac:dyDescent="0.2">
      <c r="C1785" s="209"/>
      <c r="D1785" s="209"/>
      <c r="E1785" s="209"/>
      <c r="J1785" s="124"/>
    </row>
    <row r="1786" spans="3:10" x14ac:dyDescent="0.2">
      <c r="C1786" s="209"/>
      <c r="D1786" s="209"/>
      <c r="E1786" s="209"/>
      <c r="J1786" s="124"/>
    </row>
    <row r="1787" spans="3:10" x14ac:dyDescent="0.2">
      <c r="C1787" s="209"/>
      <c r="D1787" s="209"/>
      <c r="E1787" s="209"/>
      <c r="J1787" s="124"/>
    </row>
    <row r="1788" spans="3:10" x14ac:dyDescent="0.2">
      <c r="C1788" s="209"/>
      <c r="D1788" s="209"/>
      <c r="E1788" s="209"/>
      <c r="J1788" s="124"/>
    </row>
    <row r="1789" spans="3:10" x14ac:dyDescent="0.2">
      <c r="C1789" s="209"/>
      <c r="D1789" s="209"/>
      <c r="E1789" s="209"/>
      <c r="J1789" s="124"/>
    </row>
    <row r="1790" spans="3:10" x14ac:dyDescent="0.2">
      <c r="C1790" s="209"/>
      <c r="D1790" s="209"/>
      <c r="E1790" s="209"/>
      <c r="J1790" s="124"/>
    </row>
    <row r="1791" spans="3:10" x14ac:dyDescent="0.2">
      <c r="C1791" s="209"/>
      <c r="D1791" s="209"/>
      <c r="E1791" s="209"/>
      <c r="J1791" s="124"/>
    </row>
    <row r="1792" spans="3:10" x14ac:dyDescent="0.2">
      <c r="C1792" s="209"/>
      <c r="D1792" s="209"/>
      <c r="E1792" s="209"/>
      <c r="J1792" s="124"/>
    </row>
    <row r="1793" spans="3:10" x14ac:dyDescent="0.2">
      <c r="C1793" s="209"/>
      <c r="D1793" s="209"/>
      <c r="E1793" s="209"/>
      <c r="J1793" s="124"/>
    </row>
    <row r="1794" spans="3:10" x14ac:dyDescent="0.2">
      <c r="C1794" s="209"/>
      <c r="D1794" s="209"/>
      <c r="E1794" s="209"/>
      <c r="J1794" s="124"/>
    </row>
    <row r="1795" spans="3:10" x14ac:dyDescent="0.2">
      <c r="C1795" s="209"/>
      <c r="D1795" s="209"/>
      <c r="E1795" s="209"/>
      <c r="J1795" s="124"/>
    </row>
    <row r="1796" spans="3:10" x14ac:dyDescent="0.2">
      <c r="C1796" s="209"/>
      <c r="D1796" s="209"/>
      <c r="E1796" s="209"/>
      <c r="J1796" s="124"/>
    </row>
    <row r="1797" spans="3:10" x14ac:dyDescent="0.2">
      <c r="C1797" s="209"/>
      <c r="D1797" s="209"/>
      <c r="E1797" s="209"/>
      <c r="J1797" s="124"/>
    </row>
    <row r="1798" spans="3:10" x14ac:dyDescent="0.2">
      <c r="C1798" s="209"/>
      <c r="D1798" s="209"/>
      <c r="E1798" s="209"/>
      <c r="J1798" s="124"/>
    </row>
    <row r="1799" spans="3:10" x14ac:dyDescent="0.2">
      <c r="C1799" s="209"/>
      <c r="D1799" s="209"/>
      <c r="E1799" s="209"/>
      <c r="J1799" s="124"/>
    </row>
    <row r="1800" spans="3:10" x14ac:dyDescent="0.2">
      <c r="C1800" s="209"/>
      <c r="D1800" s="209"/>
      <c r="E1800" s="209"/>
      <c r="J1800" s="124"/>
    </row>
    <row r="1801" spans="3:10" x14ac:dyDescent="0.2">
      <c r="C1801" s="209"/>
      <c r="D1801" s="209"/>
      <c r="E1801" s="209"/>
      <c r="J1801" s="124"/>
    </row>
    <row r="1802" spans="3:10" x14ac:dyDescent="0.2">
      <c r="C1802" s="209"/>
      <c r="D1802" s="209"/>
      <c r="E1802" s="209"/>
      <c r="J1802" s="124"/>
    </row>
    <row r="1803" spans="3:10" x14ac:dyDescent="0.2">
      <c r="C1803" s="209"/>
      <c r="D1803" s="209"/>
      <c r="E1803" s="209"/>
      <c r="J1803" s="124"/>
    </row>
    <row r="1804" spans="3:10" x14ac:dyDescent="0.2">
      <c r="C1804" s="209"/>
      <c r="D1804" s="209"/>
      <c r="E1804" s="209"/>
      <c r="J1804" s="124"/>
    </row>
    <row r="1805" spans="3:10" x14ac:dyDescent="0.2">
      <c r="C1805" s="209"/>
      <c r="D1805" s="209"/>
      <c r="E1805" s="209"/>
      <c r="J1805" s="124"/>
    </row>
    <row r="1806" spans="3:10" x14ac:dyDescent="0.2">
      <c r="C1806" s="209"/>
      <c r="D1806" s="209"/>
      <c r="E1806" s="209"/>
      <c r="J1806" s="124"/>
    </row>
    <row r="1807" spans="3:10" x14ac:dyDescent="0.2">
      <c r="C1807" s="209"/>
      <c r="D1807" s="209"/>
      <c r="E1807" s="209"/>
      <c r="J1807" s="124"/>
    </row>
    <row r="1808" spans="3:10" x14ac:dyDescent="0.2">
      <c r="C1808" s="209"/>
      <c r="D1808" s="209"/>
      <c r="E1808" s="209"/>
      <c r="J1808" s="124"/>
    </row>
    <row r="1809" spans="3:10" x14ac:dyDescent="0.2">
      <c r="C1809" s="209"/>
      <c r="D1809" s="209"/>
      <c r="E1809" s="209"/>
      <c r="J1809" s="124"/>
    </row>
    <row r="1810" spans="3:10" x14ac:dyDescent="0.2">
      <c r="C1810" s="209"/>
      <c r="D1810" s="209"/>
      <c r="E1810" s="209"/>
      <c r="J1810" s="124"/>
    </row>
    <row r="1811" spans="3:10" x14ac:dyDescent="0.2">
      <c r="C1811" s="209"/>
      <c r="D1811" s="209"/>
      <c r="E1811" s="209"/>
      <c r="J1811" s="124"/>
    </row>
    <row r="1812" spans="3:10" x14ac:dyDescent="0.2">
      <c r="C1812" s="209"/>
      <c r="D1812" s="209"/>
      <c r="E1812" s="209"/>
      <c r="J1812" s="124"/>
    </row>
    <row r="1813" spans="3:10" x14ac:dyDescent="0.2">
      <c r="C1813" s="209"/>
      <c r="D1813" s="209"/>
      <c r="E1813" s="209"/>
      <c r="J1813" s="124"/>
    </row>
    <row r="1814" spans="3:10" x14ac:dyDescent="0.2">
      <c r="C1814" s="209"/>
      <c r="D1814" s="209"/>
      <c r="E1814" s="209"/>
      <c r="J1814" s="124"/>
    </row>
    <row r="1815" spans="3:10" x14ac:dyDescent="0.2">
      <c r="C1815" s="209"/>
      <c r="D1815" s="209"/>
      <c r="E1815" s="209"/>
      <c r="J1815" s="124"/>
    </row>
    <row r="1816" spans="3:10" x14ac:dyDescent="0.2">
      <c r="C1816" s="209"/>
      <c r="D1816" s="209"/>
      <c r="E1816" s="209"/>
      <c r="J1816" s="124"/>
    </row>
    <row r="1817" spans="3:10" x14ac:dyDescent="0.2">
      <c r="C1817" s="209"/>
      <c r="D1817" s="209"/>
      <c r="E1817" s="209"/>
      <c r="J1817" s="124"/>
    </row>
    <row r="1818" spans="3:10" x14ac:dyDescent="0.2">
      <c r="C1818" s="209"/>
      <c r="D1818" s="209"/>
      <c r="E1818" s="209"/>
      <c r="J1818" s="124"/>
    </row>
    <row r="1819" spans="3:10" x14ac:dyDescent="0.2">
      <c r="C1819" s="209"/>
      <c r="D1819" s="209"/>
      <c r="E1819" s="209"/>
      <c r="J1819" s="124"/>
    </row>
    <row r="1820" spans="3:10" x14ac:dyDescent="0.2">
      <c r="C1820" s="209"/>
      <c r="D1820" s="209"/>
      <c r="E1820" s="209"/>
      <c r="J1820" s="124"/>
    </row>
    <row r="1821" spans="3:10" x14ac:dyDescent="0.2">
      <c r="C1821" s="209"/>
      <c r="D1821" s="209"/>
      <c r="E1821" s="209"/>
      <c r="J1821" s="124"/>
    </row>
    <row r="1822" spans="3:10" x14ac:dyDescent="0.2">
      <c r="C1822" s="209"/>
      <c r="D1822" s="209"/>
      <c r="E1822" s="209"/>
      <c r="J1822" s="124"/>
    </row>
    <row r="1823" spans="3:10" x14ac:dyDescent="0.2">
      <c r="C1823" s="209"/>
      <c r="D1823" s="209"/>
      <c r="E1823" s="209"/>
      <c r="J1823" s="124"/>
    </row>
    <row r="1824" spans="3:10" x14ac:dyDescent="0.2">
      <c r="C1824" s="209"/>
      <c r="D1824" s="209"/>
      <c r="E1824" s="209"/>
      <c r="J1824" s="124"/>
    </row>
    <row r="1825" spans="3:10" x14ac:dyDescent="0.2">
      <c r="C1825" s="209"/>
      <c r="D1825" s="209"/>
      <c r="E1825" s="209"/>
      <c r="J1825" s="124"/>
    </row>
    <row r="1826" spans="3:10" x14ac:dyDescent="0.2">
      <c r="C1826" s="209"/>
      <c r="D1826" s="209"/>
      <c r="E1826" s="209"/>
      <c r="J1826" s="124"/>
    </row>
    <row r="1827" spans="3:10" x14ac:dyDescent="0.2">
      <c r="C1827" s="209"/>
      <c r="D1827" s="209"/>
      <c r="E1827" s="209"/>
      <c r="J1827" s="124"/>
    </row>
    <row r="1828" spans="3:10" x14ac:dyDescent="0.2">
      <c r="C1828" s="209"/>
      <c r="D1828" s="209"/>
      <c r="E1828" s="209"/>
      <c r="J1828" s="124"/>
    </row>
    <row r="1829" spans="3:10" x14ac:dyDescent="0.2">
      <c r="C1829" s="209"/>
      <c r="D1829" s="209"/>
      <c r="E1829" s="209"/>
      <c r="J1829" s="124"/>
    </row>
    <row r="1830" spans="3:10" x14ac:dyDescent="0.2">
      <c r="C1830" s="209"/>
      <c r="D1830" s="209"/>
      <c r="E1830" s="209"/>
      <c r="J1830" s="124"/>
    </row>
    <row r="1831" spans="3:10" x14ac:dyDescent="0.2">
      <c r="C1831" s="209"/>
      <c r="D1831" s="209"/>
      <c r="E1831" s="209"/>
      <c r="J1831" s="124"/>
    </row>
    <row r="1832" spans="3:10" x14ac:dyDescent="0.2">
      <c r="C1832" s="209"/>
      <c r="D1832" s="209"/>
      <c r="E1832" s="209"/>
      <c r="J1832" s="124"/>
    </row>
    <row r="1833" spans="3:10" x14ac:dyDescent="0.2">
      <c r="C1833" s="209"/>
      <c r="D1833" s="209"/>
      <c r="E1833" s="209"/>
      <c r="J1833" s="124"/>
    </row>
    <row r="1834" spans="3:10" x14ac:dyDescent="0.2">
      <c r="C1834" s="209"/>
      <c r="D1834" s="209"/>
      <c r="E1834" s="209"/>
      <c r="J1834" s="124"/>
    </row>
    <row r="1835" spans="3:10" x14ac:dyDescent="0.2">
      <c r="C1835" s="209"/>
      <c r="D1835" s="209"/>
      <c r="E1835" s="209"/>
      <c r="J1835" s="124"/>
    </row>
    <row r="1836" spans="3:10" x14ac:dyDescent="0.2">
      <c r="C1836" s="209"/>
      <c r="D1836" s="209"/>
      <c r="E1836" s="209"/>
      <c r="J1836" s="124"/>
    </row>
    <row r="1837" spans="3:10" x14ac:dyDescent="0.2">
      <c r="C1837" s="209"/>
      <c r="D1837" s="209"/>
      <c r="E1837" s="209"/>
      <c r="J1837" s="124"/>
    </row>
    <row r="1838" spans="3:10" x14ac:dyDescent="0.2">
      <c r="C1838" s="209"/>
      <c r="D1838" s="209"/>
      <c r="E1838" s="209"/>
      <c r="J1838" s="124"/>
    </row>
    <row r="1839" spans="3:10" x14ac:dyDescent="0.2">
      <c r="C1839" s="209"/>
      <c r="D1839" s="209"/>
      <c r="E1839" s="209"/>
      <c r="J1839" s="124"/>
    </row>
    <row r="1840" spans="3:10" x14ac:dyDescent="0.2">
      <c r="C1840" s="209"/>
      <c r="D1840" s="209"/>
      <c r="E1840" s="209"/>
      <c r="J1840" s="124"/>
    </row>
    <row r="1841" spans="3:10" x14ac:dyDescent="0.2">
      <c r="C1841" s="209"/>
      <c r="D1841" s="209"/>
      <c r="E1841" s="209"/>
      <c r="J1841" s="124"/>
    </row>
    <row r="1842" spans="3:10" x14ac:dyDescent="0.2">
      <c r="C1842" s="209"/>
      <c r="D1842" s="209"/>
      <c r="E1842" s="209"/>
      <c r="J1842" s="124"/>
    </row>
    <row r="1843" spans="3:10" x14ac:dyDescent="0.2">
      <c r="C1843" s="209"/>
      <c r="D1843" s="209"/>
      <c r="E1843" s="209"/>
      <c r="J1843" s="124"/>
    </row>
    <row r="1844" spans="3:10" x14ac:dyDescent="0.2">
      <c r="C1844" s="209"/>
      <c r="D1844" s="209"/>
      <c r="E1844" s="209"/>
      <c r="J1844" s="124"/>
    </row>
    <row r="1845" spans="3:10" x14ac:dyDescent="0.2">
      <c r="C1845" s="209"/>
      <c r="D1845" s="209"/>
      <c r="E1845" s="209"/>
      <c r="J1845" s="124"/>
    </row>
    <row r="1846" spans="3:10" x14ac:dyDescent="0.2">
      <c r="C1846" s="209"/>
      <c r="D1846" s="209"/>
      <c r="E1846" s="209"/>
      <c r="J1846" s="124"/>
    </row>
    <row r="1847" spans="3:10" x14ac:dyDescent="0.2">
      <c r="C1847" s="209"/>
      <c r="D1847" s="209"/>
      <c r="E1847" s="209"/>
      <c r="J1847" s="124"/>
    </row>
    <row r="1848" spans="3:10" x14ac:dyDescent="0.2">
      <c r="C1848" s="209"/>
      <c r="D1848" s="209"/>
      <c r="E1848" s="209"/>
      <c r="J1848" s="124"/>
    </row>
    <row r="1849" spans="3:10" x14ac:dyDescent="0.2">
      <c r="C1849" s="209"/>
      <c r="D1849" s="209"/>
      <c r="E1849" s="209"/>
      <c r="J1849" s="124"/>
    </row>
    <row r="1850" spans="3:10" x14ac:dyDescent="0.2">
      <c r="C1850" s="209"/>
      <c r="D1850" s="209"/>
      <c r="E1850" s="209"/>
      <c r="J1850" s="124"/>
    </row>
    <row r="1851" spans="3:10" x14ac:dyDescent="0.2">
      <c r="C1851" s="209"/>
      <c r="D1851" s="209"/>
      <c r="E1851" s="209"/>
      <c r="J1851" s="124"/>
    </row>
    <row r="1852" spans="3:10" x14ac:dyDescent="0.2">
      <c r="C1852" s="209"/>
      <c r="D1852" s="209"/>
      <c r="E1852" s="209"/>
      <c r="J1852" s="124"/>
    </row>
    <row r="1853" spans="3:10" x14ac:dyDescent="0.2">
      <c r="C1853" s="209"/>
      <c r="D1853" s="209"/>
      <c r="E1853" s="209"/>
      <c r="J1853" s="124"/>
    </row>
    <row r="1854" spans="3:10" x14ac:dyDescent="0.2">
      <c r="C1854" s="209"/>
      <c r="D1854" s="209"/>
      <c r="E1854" s="209"/>
      <c r="J1854" s="124"/>
    </row>
    <row r="1855" spans="3:10" x14ac:dyDescent="0.2">
      <c r="C1855" s="209"/>
      <c r="D1855" s="209"/>
      <c r="E1855" s="209"/>
      <c r="J1855" s="124"/>
    </row>
    <row r="1856" spans="3:10" x14ac:dyDescent="0.2">
      <c r="C1856" s="209"/>
      <c r="D1856" s="209"/>
      <c r="E1856" s="209"/>
      <c r="J1856" s="124"/>
    </row>
    <row r="1857" spans="3:10" x14ac:dyDescent="0.2">
      <c r="C1857" s="209"/>
      <c r="D1857" s="209"/>
      <c r="E1857" s="209"/>
      <c r="J1857" s="124"/>
    </row>
    <row r="1858" spans="3:10" x14ac:dyDescent="0.2">
      <c r="C1858" s="209"/>
      <c r="D1858" s="209"/>
      <c r="E1858" s="209"/>
      <c r="J1858" s="124"/>
    </row>
    <row r="1859" spans="3:10" x14ac:dyDescent="0.2">
      <c r="C1859" s="209"/>
      <c r="D1859" s="209"/>
      <c r="E1859" s="209"/>
      <c r="J1859" s="124"/>
    </row>
    <row r="1860" spans="3:10" x14ac:dyDescent="0.2">
      <c r="C1860" s="209"/>
      <c r="D1860" s="209"/>
      <c r="E1860" s="209"/>
      <c r="J1860" s="124"/>
    </row>
    <row r="1861" spans="3:10" x14ac:dyDescent="0.2">
      <c r="C1861" s="209"/>
      <c r="D1861" s="209"/>
      <c r="E1861" s="209"/>
      <c r="J1861" s="124"/>
    </row>
    <row r="1862" spans="3:10" x14ac:dyDescent="0.2">
      <c r="C1862" s="209"/>
      <c r="D1862" s="209"/>
      <c r="E1862" s="209"/>
      <c r="J1862" s="124"/>
    </row>
    <row r="1863" spans="3:10" x14ac:dyDescent="0.2">
      <c r="C1863" s="209"/>
      <c r="D1863" s="209"/>
      <c r="E1863" s="209"/>
      <c r="J1863" s="124"/>
    </row>
    <row r="1864" spans="3:10" x14ac:dyDescent="0.2">
      <c r="C1864" s="209"/>
      <c r="D1864" s="209"/>
      <c r="E1864" s="209"/>
      <c r="J1864" s="124"/>
    </row>
    <row r="1865" spans="3:10" x14ac:dyDescent="0.2">
      <c r="C1865" s="209"/>
      <c r="D1865" s="209"/>
      <c r="E1865" s="209"/>
      <c r="J1865" s="124"/>
    </row>
    <row r="1866" spans="3:10" x14ac:dyDescent="0.2">
      <c r="C1866" s="209"/>
      <c r="D1866" s="209"/>
      <c r="E1866" s="209"/>
      <c r="J1866" s="124"/>
    </row>
    <row r="1867" spans="3:10" x14ac:dyDescent="0.2">
      <c r="C1867" s="209"/>
      <c r="D1867" s="209"/>
      <c r="E1867" s="209"/>
      <c r="J1867" s="124"/>
    </row>
    <row r="1868" spans="3:10" x14ac:dyDescent="0.2">
      <c r="C1868" s="209"/>
      <c r="D1868" s="209"/>
      <c r="E1868" s="209"/>
      <c r="J1868" s="124"/>
    </row>
    <row r="1869" spans="3:10" x14ac:dyDescent="0.2">
      <c r="C1869" s="209"/>
      <c r="D1869" s="209"/>
      <c r="E1869" s="209"/>
      <c r="J1869" s="124"/>
    </row>
    <row r="1870" spans="3:10" x14ac:dyDescent="0.2">
      <c r="C1870" s="209"/>
      <c r="D1870" s="209"/>
      <c r="E1870" s="209"/>
      <c r="J1870" s="124"/>
    </row>
    <row r="1871" spans="3:10" x14ac:dyDescent="0.2">
      <c r="C1871" s="209"/>
      <c r="D1871" s="209"/>
      <c r="E1871" s="209"/>
      <c r="J1871" s="124"/>
    </row>
    <row r="1872" spans="3:10" x14ac:dyDescent="0.2">
      <c r="C1872" s="209"/>
      <c r="D1872" s="209"/>
      <c r="E1872" s="209"/>
      <c r="J1872" s="124"/>
    </row>
    <row r="1873" spans="3:10" x14ac:dyDescent="0.2">
      <c r="C1873" s="209"/>
      <c r="D1873" s="209"/>
      <c r="E1873" s="209"/>
      <c r="J1873" s="124"/>
    </row>
    <row r="1874" spans="3:10" x14ac:dyDescent="0.2">
      <c r="C1874" s="209"/>
      <c r="D1874" s="209"/>
      <c r="E1874" s="209"/>
      <c r="J1874" s="124"/>
    </row>
    <row r="1875" spans="3:10" x14ac:dyDescent="0.2">
      <c r="C1875" s="209"/>
      <c r="D1875" s="209"/>
      <c r="E1875" s="209"/>
      <c r="J1875" s="124"/>
    </row>
    <row r="1876" spans="3:10" x14ac:dyDescent="0.2">
      <c r="C1876" s="209"/>
      <c r="D1876" s="209"/>
      <c r="E1876" s="209"/>
      <c r="J1876" s="124"/>
    </row>
    <row r="1877" spans="3:10" x14ac:dyDescent="0.2">
      <c r="C1877" s="209"/>
      <c r="D1877" s="209"/>
      <c r="E1877" s="209"/>
      <c r="J1877" s="124"/>
    </row>
    <row r="1878" spans="3:10" x14ac:dyDescent="0.2">
      <c r="C1878" s="209"/>
      <c r="D1878" s="209"/>
      <c r="E1878" s="209"/>
      <c r="J1878" s="124"/>
    </row>
    <row r="1879" spans="3:10" x14ac:dyDescent="0.2">
      <c r="C1879" s="209"/>
      <c r="D1879" s="209"/>
      <c r="E1879" s="209"/>
      <c r="J1879" s="124"/>
    </row>
    <row r="1880" spans="3:10" x14ac:dyDescent="0.2">
      <c r="C1880" s="209"/>
      <c r="D1880" s="209"/>
      <c r="E1880" s="209"/>
      <c r="J1880" s="124"/>
    </row>
    <row r="1881" spans="3:10" x14ac:dyDescent="0.2">
      <c r="C1881" s="209"/>
      <c r="D1881" s="209"/>
      <c r="E1881" s="209"/>
      <c r="J1881" s="124"/>
    </row>
    <row r="1882" spans="3:10" x14ac:dyDescent="0.2">
      <c r="C1882" s="209"/>
      <c r="D1882" s="209"/>
      <c r="E1882" s="209"/>
      <c r="J1882" s="124"/>
    </row>
    <row r="1883" spans="3:10" x14ac:dyDescent="0.2">
      <c r="C1883" s="209"/>
      <c r="D1883" s="209"/>
      <c r="E1883" s="209"/>
      <c r="J1883" s="124"/>
    </row>
    <row r="1884" spans="3:10" x14ac:dyDescent="0.2">
      <c r="C1884" s="209"/>
      <c r="D1884" s="209"/>
      <c r="E1884" s="209"/>
      <c r="J1884" s="124"/>
    </row>
    <row r="1885" spans="3:10" x14ac:dyDescent="0.2">
      <c r="C1885" s="209"/>
      <c r="D1885" s="209"/>
      <c r="E1885" s="209"/>
      <c r="J1885" s="124"/>
    </row>
    <row r="1886" spans="3:10" x14ac:dyDescent="0.2">
      <c r="C1886" s="209"/>
      <c r="D1886" s="209"/>
      <c r="E1886" s="209"/>
      <c r="J1886" s="124"/>
    </row>
    <row r="1887" spans="3:10" x14ac:dyDescent="0.2">
      <c r="C1887" s="209"/>
      <c r="D1887" s="209"/>
      <c r="E1887" s="209"/>
      <c r="J1887" s="124"/>
    </row>
    <row r="1888" spans="3:10" x14ac:dyDescent="0.2">
      <c r="C1888" s="209"/>
      <c r="D1888" s="209"/>
      <c r="E1888" s="209"/>
      <c r="J1888" s="124"/>
    </row>
    <row r="1889" spans="3:10" x14ac:dyDescent="0.2">
      <c r="C1889" s="209"/>
      <c r="D1889" s="209"/>
      <c r="E1889" s="209"/>
      <c r="J1889" s="124"/>
    </row>
    <row r="1890" spans="3:10" x14ac:dyDescent="0.2">
      <c r="C1890" s="209"/>
      <c r="D1890" s="209"/>
      <c r="E1890" s="209"/>
      <c r="J1890" s="124"/>
    </row>
    <row r="1891" spans="3:10" x14ac:dyDescent="0.2">
      <c r="C1891" s="209"/>
      <c r="D1891" s="209"/>
      <c r="E1891" s="209"/>
      <c r="J1891" s="124"/>
    </row>
    <row r="1892" spans="3:10" x14ac:dyDescent="0.2">
      <c r="C1892" s="209"/>
      <c r="D1892" s="209"/>
      <c r="E1892" s="209"/>
      <c r="J1892" s="124"/>
    </row>
    <row r="1893" spans="3:10" x14ac:dyDescent="0.2">
      <c r="C1893" s="209"/>
      <c r="D1893" s="209"/>
      <c r="E1893" s="209"/>
      <c r="J1893" s="124"/>
    </row>
    <row r="1894" spans="3:10" x14ac:dyDescent="0.2">
      <c r="C1894" s="209"/>
      <c r="D1894" s="209"/>
      <c r="E1894" s="209"/>
      <c r="J1894" s="124"/>
    </row>
    <row r="1895" spans="3:10" x14ac:dyDescent="0.2">
      <c r="C1895" s="209"/>
      <c r="D1895" s="209"/>
      <c r="E1895" s="209"/>
      <c r="J1895" s="124"/>
    </row>
    <row r="1896" spans="3:10" x14ac:dyDescent="0.2">
      <c r="C1896" s="209"/>
      <c r="D1896" s="209"/>
      <c r="E1896" s="209"/>
      <c r="J1896" s="124"/>
    </row>
    <row r="1897" spans="3:10" x14ac:dyDescent="0.2">
      <c r="C1897" s="209"/>
      <c r="D1897" s="209"/>
      <c r="E1897" s="209"/>
      <c r="J1897" s="124"/>
    </row>
    <row r="1898" spans="3:10" x14ac:dyDescent="0.2">
      <c r="C1898" s="209"/>
      <c r="D1898" s="209"/>
      <c r="E1898" s="209"/>
      <c r="J1898" s="124"/>
    </row>
    <row r="1899" spans="3:10" x14ac:dyDescent="0.2">
      <c r="C1899" s="209"/>
      <c r="D1899" s="209"/>
      <c r="E1899" s="209"/>
      <c r="J1899" s="124"/>
    </row>
    <row r="1900" spans="3:10" x14ac:dyDescent="0.2">
      <c r="C1900" s="209"/>
      <c r="D1900" s="209"/>
      <c r="E1900" s="209"/>
      <c r="J1900" s="124"/>
    </row>
    <row r="1901" spans="3:10" x14ac:dyDescent="0.2">
      <c r="C1901" s="209"/>
      <c r="D1901" s="209"/>
      <c r="E1901" s="209"/>
      <c r="J1901" s="124"/>
    </row>
    <row r="1902" spans="3:10" x14ac:dyDescent="0.2">
      <c r="C1902" s="209"/>
      <c r="D1902" s="209"/>
      <c r="E1902" s="209"/>
      <c r="J1902" s="124"/>
    </row>
    <row r="1903" spans="3:10" x14ac:dyDescent="0.2">
      <c r="C1903" s="209"/>
      <c r="D1903" s="209"/>
      <c r="E1903" s="209"/>
      <c r="J1903" s="124"/>
    </row>
    <row r="1904" spans="3:10" x14ac:dyDescent="0.2">
      <c r="C1904" s="209"/>
      <c r="D1904" s="209"/>
      <c r="E1904" s="209"/>
      <c r="J1904" s="124"/>
    </row>
    <row r="1905" spans="3:10" x14ac:dyDescent="0.2">
      <c r="C1905" s="209"/>
      <c r="D1905" s="209"/>
      <c r="E1905" s="209"/>
      <c r="J1905" s="124"/>
    </row>
    <row r="1906" spans="3:10" x14ac:dyDescent="0.2">
      <c r="C1906" s="209"/>
      <c r="D1906" s="209"/>
      <c r="E1906" s="209"/>
      <c r="J1906" s="124"/>
    </row>
    <row r="1907" spans="3:10" x14ac:dyDescent="0.2">
      <c r="C1907" s="209"/>
      <c r="D1907" s="209"/>
      <c r="E1907" s="209"/>
      <c r="J1907" s="124"/>
    </row>
    <row r="1908" spans="3:10" x14ac:dyDescent="0.2">
      <c r="C1908" s="209"/>
      <c r="D1908" s="209"/>
      <c r="E1908" s="209"/>
      <c r="J1908" s="124"/>
    </row>
    <row r="1909" spans="3:10" x14ac:dyDescent="0.2">
      <c r="C1909" s="209"/>
      <c r="D1909" s="209"/>
      <c r="E1909" s="209"/>
      <c r="J1909" s="124"/>
    </row>
    <row r="1910" spans="3:10" x14ac:dyDescent="0.2">
      <c r="C1910" s="209"/>
      <c r="D1910" s="209"/>
      <c r="E1910" s="209"/>
      <c r="J1910" s="124"/>
    </row>
    <row r="1911" spans="3:10" x14ac:dyDescent="0.2">
      <c r="C1911" s="209"/>
      <c r="D1911" s="209"/>
      <c r="E1911" s="209"/>
      <c r="J1911" s="124"/>
    </row>
    <row r="1912" spans="3:10" x14ac:dyDescent="0.2">
      <c r="C1912" s="209"/>
      <c r="D1912" s="209"/>
      <c r="E1912" s="209"/>
      <c r="J1912" s="124"/>
    </row>
    <row r="1913" spans="3:10" x14ac:dyDescent="0.2">
      <c r="C1913" s="209"/>
      <c r="D1913" s="209"/>
      <c r="E1913" s="209"/>
      <c r="J1913" s="124"/>
    </row>
    <row r="1914" spans="3:10" x14ac:dyDescent="0.2">
      <c r="C1914" s="209"/>
      <c r="D1914" s="209"/>
      <c r="E1914" s="209"/>
      <c r="J1914" s="124"/>
    </row>
    <row r="1915" spans="3:10" x14ac:dyDescent="0.2">
      <c r="C1915" s="209"/>
      <c r="D1915" s="209"/>
      <c r="E1915" s="209"/>
      <c r="J1915" s="124"/>
    </row>
    <row r="1916" spans="3:10" x14ac:dyDescent="0.2">
      <c r="C1916" s="209"/>
      <c r="D1916" s="209"/>
      <c r="E1916" s="209"/>
      <c r="J1916" s="124"/>
    </row>
    <row r="1917" spans="3:10" x14ac:dyDescent="0.2">
      <c r="C1917" s="209"/>
      <c r="D1917" s="209"/>
      <c r="E1917" s="209"/>
      <c r="J1917" s="124"/>
    </row>
    <row r="1918" spans="3:10" x14ac:dyDescent="0.2">
      <c r="C1918" s="209"/>
      <c r="D1918" s="209"/>
      <c r="E1918" s="209"/>
      <c r="J1918" s="124"/>
    </row>
    <row r="1919" spans="3:10" x14ac:dyDescent="0.2">
      <c r="C1919" s="209"/>
      <c r="D1919" s="209"/>
      <c r="E1919" s="209"/>
      <c r="J1919" s="124"/>
    </row>
    <row r="1920" spans="3:10" x14ac:dyDescent="0.2">
      <c r="C1920" s="209"/>
      <c r="D1920" s="209"/>
      <c r="E1920" s="209"/>
      <c r="J1920" s="124"/>
    </row>
    <row r="1921" spans="3:10" x14ac:dyDescent="0.2">
      <c r="C1921" s="209"/>
      <c r="D1921" s="209"/>
      <c r="E1921" s="209"/>
      <c r="J1921" s="124"/>
    </row>
    <row r="1922" spans="3:10" x14ac:dyDescent="0.2">
      <c r="C1922" s="209"/>
      <c r="D1922" s="209"/>
      <c r="E1922" s="209"/>
      <c r="J1922" s="124"/>
    </row>
    <row r="1923" spans="3:10" x14ac:dyDescent="0.2">
      <c r="C1923" s="209"/>
      <c r="D1923" s="209"/>
      <c r="E1923" s="209"/>
      <c r="J1923" s="124"/>
    </row>
    <row r="1924" spans="3:10" x14ac:dyDescent="0.2">
      <c r="C1924" s="209"/>
      <c r="D1924" s="209"/>
      <c r="E1924" s="209"/>
      <c r="J1924" s="124"/>
    </row>
    <row r="1925" spans="3:10" x14ac:dyDescent="0.2">
      <c r="C1925" s="209"/>
      <c r="D1925" s="209"/>
      <c r="E1925" s="209"/>
      <c r="J1925" s="124"/>
    </row>
    <row r="1926" spans="3:10" x14ac:dyDescent="0.2">
      <c r="C1926" s="209"/>
      <c r="D1926" s="209"/>
      <c r="E1926" s="209"/>
      <c r="J1926" s="124"/>
    </row>
    <row r="1927" spans="3:10" x14ac:dyDescent="0.2">
      <c r="C1927" s="209"/>
      <c r="D1927" s="209"/>
      <c r="E1927" s="209"/>
      <c r="J1927" s="124"/>
    </row>
    <row r="1928" spans="3:10" x14ac:dyDescent="0.2">
      <c r="C1928" s="209"/>
      <c r="D1928" s="209"/>
      <c r="E1928" s="209"/>
      <c r="J1928" s="124"/>
    </row>
    <row r="1929" spans="3:10" x14ac:dyDescent="0.2">
      <c r="C1929" s="209"/>
      <c r="D1929" s="209"/>
      <c r="E1929" s="209"/>
      <c r="J1929" s="124"/>
    </row>
    <row r="1930" spans="3:10" x14ac:dyDescent="0.2">
      <c r="C1930" s="209"/>
      <c r="D1930" s="209"/>
      <c r="E1930" s="209"/>
      <c r="J1930" s="124"/>
    </row>
    <row r="1931" spans="3:10" x14ac:dyDescent="0.2">
      <c r="C1931" s="209"/>
      <c r="D1931" s="209"/>
      <c r="E1931" s="209"/>
      <c r="J1931" s="124"/>
    </row>
    <row r="1932" spans="3:10" x14ac:dyDescent="0.2">
      <c r="C1932" s="209"/>
      <c r="D1932" s="209"/>
      <c r="E1932" s="209"/>
      <c r="J1932" s="124"/>
    </row>
    <row r="1933" spans="3:10" x14ac:dyDescent="0.2">
      <c r="C1933" s="209"/>
      <c r="D1933" s="209"/>
      <c r="E1933" s="209"/>
      <c r="J1933" s="124"/>
    </row>
    <row r="1934" spans="3:10" x14ac:dyDescent="0.2">
      <c r="C1934" s="209"/>
      <c r="D1934" s="209"/>
      <c r="E1934" s="209"/>
      <c r="J1934" s="124"/>
    </row>
    <row r="1935" spans="3:10" x14ac:dyDescent="0.2">
      <c r="C1935" s="209"/>
      <c r="D1935" s="209"/>
      <c r="E1935" s="209"/>
      <c r="J1935" s="124"/>
    </row>
    <row r="1936" spans="3:10" x14ac:dyDescent="0.2">
      <c r="C1936" s="209"/>
      <c r="D1936" s="209"/>
      <c r="E1936" s="209"/>
      <c r="J1936" s="124"/>
    </row>
    <row r="1937" spans="3:10" x14ac:dyDescent="0.2">
      <c r="C1937" s="209"/>
      <c r="D1937" s="209"/>
      <c r="E1937" s="209"/>
      <c r="J1937" s="124"/>
    </row>
    <row r="1938" spans="3:10" x14ac:dyDescent="0.2">
      <c r="C1938" s="209"/>
      <c r="D1938" s="209"/>
      <c r="E1938" s="209"/>
      <c r="J1938" s="124"/>
    </row>
    <row r="1939" spans="3:10" x14ac:dyDescent="0.2">
      <c r="C1939" s="209"/>
      <c r="D1939" s="209"/>
      <c r="E1939" s="209"/>
      <c r="J1939" s="124"/>
    </row>
    <row r="1940" spans="3:10" x14ac:dyDescent="0.2">
      <c r="C1940" s="209"/>
      <c r="D1940" s="209"/>
      <c r="E1940" s="209"/>
      <c r="J1940" s="124"/>
    </row>
    <row r="1941" spans="3:10" x14ac:dyDescent="0.2">
      <c r="C1941" s="209"/>
      <c r="D1941" s="209"/>
      <c r="E1941" s="209"/>
      <c r="J1941" s="124"/>
    </row>
    <row r="1942" spans="3:10" x14ac:dyDescent="0.2">
      <c r="C1942" s="209"/>
      <c r="D1942" s="209"/>
      <c r="E1942" s="209"/>
      <c r="J1942" s="124"/>
    </row>
    <row r="1943" spans="3:10" x14ac:dyDescent="0.2">
      <c r="C1943" s="209"/>
      <c r="D1943" s="209"/>
      <c r="E1943" s="209"/>
      <c r="J1943" s="124"/>
    </row>
    <row r="1944" spans="3:10" x14ac:dyDescent="0.2">
      <c r="C1944" s="209"/>
      <c r="D1944" s="209"/>
      <c r="E1944" s="209"/>
      <c r="J1944" s="124"/>
    </row>
    <row r="1945" spans="3:10" x14ac:dyDescent="0.2">
      <c r="C1945" s="209"/>
      <c r="D1945" s="209"/>
      <c r="E1945" s="209"/>
      <c r="J1945" s="124"/>
    </row>
    <row r="1946" spans="3:10" x14ac:dyDescent="0.2">
      <c r="C1946" s="209"/>
      <c r="D1946" s="209"/>
      <c r="E1946" s="209"/>
      <c r="J1946" s="124"/>
    </row>
    <row r="1947" spans="3:10" x14ac:dyDescent="0.2">
      <c r="C1947" s="209"/>
      <c r="D1947" s="209"/>
      <c r="E1947" s="209"/>
      <c r="J1947" s="124"/>
    </row>
    <row r="1948" spans="3:10" x14ac:dyDescent="0.2">
      <c r="C1948" s="209"/>
      <c r="D1948" s="209"/>
      <c r="E1948" s="209"/>
      <c r="J1948" s="124"/>
    </row>
    <row r="1949" spans="3:10" x14ac:dyDescent="0.2">
      <c r="C1949" s="209"/>
      <c r="D1949" s="209"/>
      <c r="E1949" s="209"/>
      <c r="J1949" s="124"/>
    </row>
    <row r="1950" spans="3:10" x14ac:dyDescent="0.2">
      <c r="C1950" s="209"/>
      <c r="D1950" s="209"/>
      <c r="E1950" s="209"/>
      <c r="J1950" s="124"/>
    </row>
    <row r="1951" spans="3:10" x14ac:dyDescent="0.2">
      <c r="C1951" s="209"/>
      <c r="D1951" s="209"/>
      <c r="E1951" s="209"/>
      <c r="J1951" s="124"/>
    </row>
    <row r="1952" spans="3:10" x14ac:dyDescent="0.2">
      <c r="C1952" s="209"/>
      <c r="D1952" s="209"/>
      <c r="E1952" s="209"/>
      <c r="J1952" s="124"/>
    </row>
    <row r="1953" spans="3:10" x14ac:dyDescent="0.2">
      <c r="C1953" s="209"/>
      <c r="D1953" s="209"/>
      <c r="E1953" s="209"/>
      <c r="J1953" s="124"/>
    </row>
    <row r="1954" spans="3:10" x14ac:dyDescent="0.2">
      <c r="C1954" s="209"/>
      <c r="D1954" s="209"/>
      <c r="E1954" s="209"/>
      <c r="J1954" s="124"/>
    </row>
    <row r="1955" spans="3:10" x14ac:dyDescent="0.2">
      <c r="C1955" s="209"/>
      <c r="D1955" s="209"/>
      <c r="E1955" s="209"/>
      <c r="J1955" s="124"/>
    </row>
    <row r="1956" spans="3:10" x14ac:dyDescent="0.2">
      <c r="C1956" s="209"/>
      <c r="D1956" s="209"/>
      <c r="E1956" s="209"/>
      <c r="J1956" s="124"/>
    </row>
    <row r="1957" spans="3:10" x14ac:dyDescent="0.2">
      <c r="C1957" s="209"/>
      <c r="D1957" s="209"/>
      <c r="E1957" s="209"/>
      <c r="J1957" s="124"/>
    </row>
    <row r="1958" spans="3:10" x14ac:dyDescent="0.2">
      <c r="C1958" s="209"/>
      <c r="D1958" s="209"/>
      <c r="E1958" s="209"/>
      <c r="J1958" s="124"/>
    </row>
    <row r="1959" spans="3:10" x14ac:dyDescent="0.2">
      <c r="C1959" s="209"/>
      <c r="D1959" s="209"/>
      <c r="E1959" s="209"/>
      <c r="J1959" s="124"/>
    </row>
    <row r="1960" spans="3:10" x14ac:dyDescent="0.2">
      <c r="C1960" s="209"/>
      <c r="D1960" s="209"/>
      <c r="E1960" s="209"/>
      <c r="J1960" s="124"/>
    </row>
    <row r="1961" spans="3:10" x14ac:dyDescent="0.2">
      <c r="C1961" s="209"/>
      <c r="D1961" s="209"/>
      <c r="E1961" s="209"/>
      <c r="J1961" s="124"/>
    </row>
    <row r="1962" spans="3:10" x14ac:dyDescent="0.2">
      <c r="C1962" s="209"/>
      <c r="D1962" s="209"/>
      <c r="E1962" s="209"/>
      <c r="J1962" s="124"/>
    </row>
    <row r="1963" spans="3:10" x14ac:dyDescent="0.2">
      <c r="C1963" s="209"/>
      <c r="D1963" s="209"/>
      <c r="E1963" s="209"/>
      <c r="J1963" s="124"/>
    </row>
    <row r="1964" spans="3:10" x14ac:dyDescent="0.2">
      <c r="C1964" s="209"/>
      <c r="D1964" s="209"/>
      <c r="E1964" s="209"/>
      <c r="J1964" s="124"/>
    </row>
    <row r="1965" spans="3:10" x14ac:dyDescent="0.2">
      <c r="C1965" s="209"/>
      <c r="D1965" s="209"/>
      <c r="E1965" s="209"/>
      <c r="J1965" s="124"/>
    </row>
    <row r="1966" spans="3:10" x14ac:dyDescent="0.2">
      <c r="C1966" s="209"/>
      <c r="D1966" s="209"/>
      <c r="E1966" s="209"/>
      <c r="J1966" s="124"/>
    </row>
    <row r="1967" spans="3:10" x14ac:dyDescent="0.2">
      <c r="C1967" s="209"/>
      <c r="D1967" s="209"/>
      <c r="E1967" s="209"/>
      <c r="J1967" s="124"/>
    </row>
    <row r="1968" spans="3:10" x14ac:dyDescent="0.2">
      <c r="C1968" s="209"/>
      <c r="D1968" s="209"/>
      <c r="E1968" s="209"/>
      <c r="J1968" s="124"/>
    </row>
    <row r="1969" spans="3:10" x14ac:dyDescent="0.2">
      <c r="C1969" s="209"/>
      <c r="D1969" s="209"/>
      <c r="E1969" s="209"/>
      <c r="J1969" s="124"/>
    </row>
    <row r="1970" spans="3:10" x14ac:dyDescent="0.2">
      <c r="C1970" s="209"/>
      <c r="D1970" s="209"/>
      <c r="E1970" s="209"/>
      <c r="J1970" s="124"/>
    </row>
    <row r="1971" spans="3:10" x14ac:dyDescent="0.2">
      <c r="C1971" s="209"/>
      <c r="D1971" s="209"/>
      <c r="E1971" s="209"/>
      <c r="J1971" s="124"/>
    </row>
    <row r="1972" spans="3:10" x14ac:dyDescent="0.2">
      <c r="C1972" s="209"/>
      <c r="D1972" s="209"/>
      <c r="E1972" s="209"/>
      <c r="J1972" s="124"/>
    </row>
    <row r="1973" spans="3:10" x14ac:dyDescent="0.2">
      <c r="C1973" s="209"/>
      <c r="D1973" s="209"/>
      <c r="E1973" s="209"/>
      <c r="J1973" s="124"/>
    </row>
    <row r="1974" spans="3:10" x14ac:dyDescent="0.2">
      <c r="C1974" s="209"/>
      <c r="D1974" s="209"/>
      <c r="E1974" s="209"/>
      <c r="J1974" s="124"/>
    </row>
    <row r="1975" spans="3:10" x14ac:dyDescent="0.2">
      <c r="C1975" s="209"/>
      <c r="D1975" s="209"/>
      <c r="E1975" s="209"/>
      <c r="J1975" s="124"/>
    </row>
    <row r="1976" spans="3:10" x14ac:dyDescent="0.2">
      <c r="C1976" s="209"/>
      <c r="D1976" s="209"/>
      <c r="E1976" s="209"/>
      <c r="J1976" s="124"/>
    </row>
    <row r="1977" spans="3:10" x14ac:dyDescent="0.2">
      <c r="C1977" s="209"/>
      <c r="D1977" s="209"/>
      <c r="E1977" s="209"/>
      <c r="J1977" s="124"/>
    </row>
    <row r="1978" spans="3:10" x14ac:dyDescent="0.2">
      <c r="C1978" s="209"/>
      <c r="D1978" s="209"/>
      <c r="E1978" s="209"/>
      <c r="J1978" s="124"/>
    </row>
    <row r="1979" spans="3:10" x14ac:dyDescent="0.2">
      <c r="C1979" s="209"/>
      <c r="D1979" s="209"/>
      <c r="E1979" s="209"/>
      <c r="J1979" s="124"/>
    </row>
    <row r="1980" spans="3:10" x14ac:dyDescent="0.2">
      <c r="C1980" s="209"/>
      <c r="D1980" s="209"/>
      <c r="E1980" s="209"/>
      <c r="J1980" s="124"/>
    </row>
    <row r="1981" spans="3:10" x14ac:dyDescent="0.2">
      <c r="C1981" s="209"/>
      <c r="D1981" s="209"/>
      <c r="E1981" s="209"/>
      <c r="J1981" s="124"/>
    </row>
    <row r="1982" spans="3:10" x14ac:dyDescent="0.2">
      <c r="C1982" s="209"/>
      <c r="D1982" s="209"/>
      <c r="E1982" s="209"/>
      <c r="J1982" s="124"/>
    </row>
    <row r="1983" spans="3:10" x14ac:dyDescent="0.2">
      <c r="C1983" s="209"/>
      <c r="D1983" s="209"/>
      <c r="E1983" s="209"/>
      <c r="J1983" s="124"/>
    </row>
    <row r="1984" spans="3:10" x14ac:dyDescent="0.2">
      <c r="C1984" s="209"/>
      <c r="D1984" s="209"/>
      <c r="E1984" s="209"/>
      <c r="J1984" s="124"/>
    </row>
    <row r="1985" spans="3:10" x14ac:dyDescent="0.2">
      <c r="C1985" s="209"/>
      <c r="D1985" s="209"/>
      <c r="E1985" s="209"/>
      <c r="J1985" s="124"/>
    </row>
    <row r="1986" spans="3:10" x14ac:dyDescent="0.2">
      <c r="C1986" s="209"/>
      <c r="D1986" s="209"/>
      <c r="E1986" s="209"/>
      <c r="J1986" s="124"/>
    </row>
    <row r="1987" spans="3:10" x14ac:dyDescent="0.2">
      <c r="C1987" s="209"/>
      <c r="D1987" s="209"/>
      <c r="E1987" s="209"/>
      <c r="J1987" s="124"/>
    </row>
    <row r="1988" spans="3:10" x14ac:dyDescent="0.2">
      <c r="C1988" s="209"/>
      <c r="D1988" s="209"/>
      <c r="E1988" s="209"/>
      <c r="J1988" s="124"/>
    </row>
    <row r="1989" spans="3:10" x14ac:dyDescent="0.2">
      <c r="C1989" s="209"/>
      <c r="D1989" s="209"/>
      <c r="E1989" s="209"/>
      <c r="J1989" s="124"/>
    </row>
    <row r="1990" spans="3:10" x14ac:dyDescent="0.2">
      <c r="C1990" s="209"/>
      <c r="D1990" s="209"/>
      <c r="E1990" s="209"/>
      <c r="J1990" s="124"/>
    </row>
    <row r="1991" spans="3:10" x14ac:dyDescent="0.2">
      <c r="C1991" s="209"/>
      <c r="D1991" s="209"/>
      <c r="E1991" s="209"/>
      <c r="J1991" s="124"/>
    </row>
    <row r="1992" spans="3:10" x14ac:dyDescent="0.2">
      <c r="C1992" s="209"/>
      <c r="D1992" s="209"/>
      <c r="E1992" s="209"/>
      <c r="J1992" s="124"/>
    </row>
    <row r="1993" spans="3:10" x14ac:dyDescent="0.2">
      <c r="C1993" s="209"/>
      <c r="D1993" s="209"/>
      <c r="E1993" s="209"/>
      <c r="J1993" s="124"/>
    </row>
    <row r="1994" spans="3:10" x14ac:dyDescent="0.2">
      <c r="C1994" s="209"/>
      <c r="D1994" s="209"/>
      <c r="E1994" s="209"/>
      <c r="J1994" s="124"/>
    </row>
    <row r="1995" spans="3:10" x14ac:dyDescent="0.2">
      <c r="C1995" s="209"/>
      <c r="D1995" s="209"/>
      <c r="E1995" s="209"/>
      <c r="J1995" s="124"/>
    </row>
    <row r="1996" spans="3:10" x14ac:dyDescent="0.2">
      <c r="C1996" s="209"/>
      <c r="D1996" s="209"/>
      <c r="E1996" s="209"/>
      <c r="J1996" s="124"/>
    </row>
    <row r="1997" spans="3:10" x14ac:dyDescent="0.2">
      <c r="C1997" s="209"/>
      <c r="D1997" s="209"/>
      <c r="E1997" s="209"/>
      <c r="J1997" s="124"/>
    </row>
    <row r="1998" spans="3:10" x14ac:dyDescent="0.2">
      <c r="C1998" s="209"/>
      <c r="D1998" s="209"/>
      <c r="E1998" s="209"/>
      <c r="J1998" s="124"/>
    </row>
    <row r="1999" spans="3:10" x14ac:dyDescent="0.2">
      <c r="C1999" s="209"/>
      <c r="D1999" s="209"/>
      <c r="E1999" s="209"/>
      <c r="J1999" s="124"/>
    </row>
    <row r="2000" spans="3:10" x14ac:dyDescent="0.2">
      <c r="C2000" s="209"/>
      <c r="D2000" s="209"/>
      <c r="E2000" s="209"/>
      <c r="J2000" s="124"/>
    </row>
    <row r="2001" spans="3:10" x14ac:dyDescent="0.2">
      <c r="C2001" s="209"/>
      <c r="D2001" s="209"/>
      <c r="E2001" s="209"/>
      <c r="J2001" s="124"/>
    </row>
    <row r="2002" spans="3:10" x14ac:dyDescent="0.2">
      <c r="C2002" s="209"/>
      <c r="D2002" s="209"/>
      <c r="E2002" s="209"/>
      <c r="J2002" s="124"/>
    </row>
    <row r="2003" spans="3:10" x14ac:dyDescent="0.2">
      <c r="C2003" s="209"/>
      <c r="D2003" s="209"/>
      <c r="E2003" s="209"/>
      <c r="J2003" s="124"/>
    </row>
    <row r="2004" spans="3:10" x14ac:dyDescent="0.2">
      <c r="C2004" s="209"/>
      <c r="D2004" s="209"/>
      <c r="E2004" s="209"/>
      <c r="J2004" s="124"/>
    </row>
    <row r="2005" spans="3:10" x14ac:dyDescent="0.2">
      <c r="C2005" s="209"/>
      <c r="D2005" s="209"/>
      <c r="E2005" s="209"/>
      <c r="J2005" s="124"/>
    </row>
    <row r="2006" spans="3:10" x14ac:dyDescent="0.2">
      <c r="C2006" s="209"/>
      <c r="D2006" s="209"/>
      <c r="E2006" s="209"/>
      <c r="J2006" s="124"/>
    </row>
    <row r="2007" spans="3:10" x14ac:dyDescent="0.2">
      <c r="C2007" s="209"/>
      <c r="D2007" s="209"/>
      <c r="E2007" s="209"/>
      <c r="J2007" s="124"/>
    </row>
    <row r="2008" spans="3:10" x14ac:dyDescent="0.2">
      <c r="C2008" s="209"/>
      <c r="D2008" s="209"/>
      <c r="E2008" s="209"/>
      <c r="J2008" s="124"/>
    </row>
    <row r="2009" spans="3:10" x14ac:dyDescent="0.2">
      <c r="C2009" s="209"/>
      <c r="D2009" s="209"/>
      <c r="E2009" s="209"/>
      <c r="J2009" s="124"/>
    </row>
    <row r="2010" spans="3:10" x14ac:dyDescent="0.2">
      <c r="C2010" s="209"/>
      <c r="D2010" s="209"/>
      <c r="E2010" s="209"/>
      <c r="J2010" s="124"/>
    </row>
    <row r="2011" spans="3:10" x14ac:dyDescent="0.2">
      <c r="C2011" s="209"/>
      <c r="D2011" s="209"/>
      <c r="E2011" s="209"/>
      <c r="J2011" s="124"/>
    </row>
    <row r="2012" spans="3:10" x14ac:dyDescent="0.2">
      <c r="C2012" s="209"/>
      <c r="D2012" s="209"/>
      <c r="E2012" s="209"/>
      <c r="J2012" s="124"/>
    </row>
    <row r="2013" spans="3:10" x14ac:dyDescent="0.2">
      <c r="C2013" s="209"/>
      <c r="D2013" s="209"/>
      <c r="E2013" s="209"/>
      <c r="J2013" s="124"/>
    </row>
    <row r="2014" spans="3:10" x14ac:dyDescent="0.2">
      <c r="C2014" s="209"/>
      <c r="D2014" s="209"/>
      <c r="E2014" s="209"/>
      <c r="J2014" s="124"/>
    </row>
    <row r="2015" spans="3:10" x14ac:dyDescent="0.2">
      <c r="C2015" s="209"/>
      <c r="D2015" s="209"/>
      <c r="E2015" s="209"/>
      <c r="J2015" s="124"/>
    </row>
    <row r="2016" spans="3:10" x14ac:dyDescent="0.2">
      <c r="C2016" s="209"/>
      <c r="D2016" s="209"/>
      <c r="E2016" s="209"/>
      <c r="J2016" s="124"/>
    </row>
    <row r="2017" spans="3:10" x14ac:dyDescent="0.2">
      <c r="C2017" s="209"/>
      <c r="D2017" s="209"/>
      <c r="E2017" s="209"/>
      <c r="J2017" s="124"/>
    </row>
    <row r="2018" spans="3:10" x14ac:dyDescent="0.2">
      <c r="C2018" s="209"/>
      <c r="D2018" s="209"/>
      <c r="E2018" s="209"/>
      <c r="J2018" s="124"/>
    </row>
    <row r="2019" spans="3:10" x14ac:dyDescent="0.2">
      <c r="C2019" s="209"/>
      <c r="D2019" s="209"/>
      <c r="E2019" s="209"/>
      <c r="J2019" s="124"/>
    </row>
    <row r="2020" spans="3:10" x14ac:dyDescent="0.2">
      <c r="C2020" s="209"/>
      <c r="D2020" s="209"/>
      <c r="E2020" s="209"/>
      <c r="J2020" s="124"/>
    </row>
    <row r="2021" spans="3:10" x14ac:dyDescent="0.2">
      <c r="C2021" s="209"/>
      <c r="D2021" s="209"/>
      <c r="E2021" s="209"/>
      <c r="J2021" s="124"/>
    </row>
    <row r="2022" spans="3:10" x14ac:dyDescent="0.2">
      <c r="C2022" s="209"/>
      <c r="D2022" s="209"/>
      <c r="E2022" s="209"/>
      <c r="J2022" s="124"/>
    </row>
    <row r="2023" spans="3:10" x14ac:dyDescent="0.2">
      <c r="C2023" s="209"/>
      <c r="D2023" s="209"/>
      <c r="E2023" s="209"/>
      <c r="J2023" s="124"/>
    </row>
    <row r="2024" spans="3:10" x14ac:dyDescent="0.2">
      <c r="C2024" s="209"/>
      <c r="D2024" s="209"/>
      <c r="E2024" s="209"/>
      <c r="J2024" s="124"/>
    </row>
    <row r="2025" spans="3:10" x14ac:dyDescent="0.2">
      <c r="C2025" s="209"/>
      <c r="D2025" s="209"/>
      <c r="E2025" s="209"/>
      <c r="J2025" s="124"/>
    </row>
    <row r="2026" spans="3:10" x14ac:dyDescent="0.2">
      <c r="C2026" s="209"/>
      <c r="D2026" s="209"/>
      <c r="E2026" s="209"/>
      <c r="J2026" s="124"/>
    </row>
    <row r="2027" spans="3:10" x14ac:dyDescent="0.2">
      <c r="C2027" s="209"/>
      <c r="D2027" s="209"/>
      <c r="E2027" s="209"/>
      <c r="J2027" s="124"/>
    </row>
    <row r="2028" spans="3:10" x14ac:dyDescent="0.2">
      <c r="C2028" s="209"/>
      <c r="D2028" s="209"/>
      <c r="E2028" s="209"/>
      <c r="J2028" s="124"/>
    </row>
    <row r="2029" spans="3:10" x14ac:dyDescent="0.2">
      <c r="C2029" s="209"/>
      <c r="D2029" s="209"/>
      <c r="E2029" s="209"/>
      <c r="J2029" s="124"/>
    </row>
    <row r="2030" spans="3:10" x14ac:dyDescent="0.2">
      <c r="C2030" s="209"/>
      <c r="D2030" s="209"/>
      <c r="E2030" s="209"/>
      <c r="J2030" s="124"/>
    </row>
    <row r="2031" spans="3:10" x14ac:dyDescent="0.2">
      <c r="C2031" s="209"/>
      <c r="D2031" s="209"/>
      <c r="E2031" s="209"/>
      <c r="J2031" s="124"/>
    </row>
    <row r="2032" spans="3:10" x14ac:dyDescent="0.2">
      <c r="C2032" s="209"/>
      <c r="D2032" s="209"/>
      <c r="E2032" s="209"/>
      <c r="J2032" s="124"/>
    </row>
    <row r="2033" spans="3:10" x14ac:dyDescent="0.2">
      <c r="C2033" s="209"/>
      <c r="D2033" s="209"/>
      <c r="E2033" s="209"/>
      <c r="J2033" s="124"/>
    </row>
    <row r="2034" spans="3:10" x14ac:dyDescent="0.2">
      <c r="C2034" s="209"/>
      <c r="D2034" s="209"/>
      <c r="E2034" s="209"/>
      <c r="J2034" s="124"/>
    </row>
    <row r="2035" spans="3:10" x14ac:dyDescent="0.2">
      <c r="C2035" s="209"/>
      <c r="D2035" s="209"/>
      <c r="E2035" s="209"/>
      <c r="J2035" s="124"/>
    </row>
    <row r="2036" spans="3:10" x14ac:dyDescent="0.2">
      <c r="C2036" s="209"/>
      <c r="D2036" s="209"/>
      <c r="E2036" s="209"/>
      <c r="J2036" s="124"/>
    </row>
    <row r="2037" spans="3:10" x14ac:dyDescent="0.2">
      <c r="C2037" s="209"/>
      <c r="D2037" s="209"/>
      <c r="E2037" s="209"/>
      <c r="J2037" s="124"/>
    </row>
    <row r="2038" spans="3:10" x14ac:dyDescent="0.2">
      <c r="C2038" s="209"/>
      <c r="D2038" s="209"/>
      <c r="E2038" s="209"/>
      <c r="J2038" s="124"/>
    </row>
    <row r="2039" spans="3:10" x14ac:dyDescent="0.2">
      <c r="C2039" s="209"/>
      <c r="D2039" s="209"/>
      <c r="E2039" s="209"/>
      <c r="J2039" s="124"/>
    </row>
    <row r="2040" spans="3:10" x14ac:dyDescent="0.2">
      <c r="C2040" s="209"/>
      <c r="D2040" s="209"/>
      <c r="E2040" s="209"/>
      <c r="J2040" s="124"/>
    </row>
    <row r="2041" spans="3:10" x14ac:dyDescent="0.2">
      <c r="C2041" s="209"/>
      <c r="D2041" s="209"/>
      <c r="E2041" s="209"/>
      <c r="J2041" s="124"/>
    </row>
    <row r="2042" spans="3:10" x14ac:dyDescent="0.2">
      <c r="C2042" s="209"/>
      <c r="D2042" s="209"/>
      <c r="E2042" s="209"/>
      <c r="J2042" s="124"/>
    </row>
    <row r="2043" spans="3:10" x14ac:dyDescent="0.2">
      <c r="C2043" s="209"/>
      <c r="D2043" s="209"/>
      <c r="E2043" s="209"/>
      <c r="J2043" s="124"/>
    </row>
    <row r="2044" spans="3:10" x14ac:dyDescent="0.2">
      <c r="C2044" s="209"/>
      <c r="D2044" s="209"/>
      <c r="E2044" s="209"/>
      <c r="J2044" s="124"/>
    </row>
    <row r="2045" spans="3:10" x14ac:dyDescent="0.2">
      <c r="C2045" s="209"/>
      <c r="D2045" s="209"/>
      <c r="E2045" s="209"/>
      <c r="J2045" s="124"/>
    </row>
    <row r="2046" spans="3:10" x14ac:dyDescent="0.2">
      <c r="C2046" s="209"/>
      <c r="D2046" s="209"/>
      <c r="E2046" s="209"/>
      <c r="J2046" s="124"/>
    </row>
    <row r="2047" spans="3:10" x14ac:dyDescent="0.2">
      <c r="C2047" s="209"/>
      <c r="D2047" s="209"/>
      <c r="E2047" s="209"/>
      <c r="J2047" s="124"/>
    </row>
    <row r="2048" spans="3:10" x14ac:dyDescent="0.2">
      <c r="C2048" s="209"/>
      <c r="D2048" s="209"/>
      <c r="E2048" s="209"/>
      <c r="J2048" s="124"/>
    </row>
    <row r="2049" spans="3:10" x14ac:dyDescent="0.2">
      <c r="C2049" s="209"/>
      <c r="D2049" s="209"/>
      <c r="E2049" s="209"/>
      <c r="J2049" s="124"/>
    </row>
    <row r="2050" spans="3:10" x14ac:dyDescent="0.2">
      <c r="C2050" s="209"/>
      <c r="D2050" s="209"/>
      <c r="E2050" s="209"/>
      <c r="J2050" s="124"/>
    </row>
    <row r="2051" spans="3:10" x14ac:dyDescent="0.2">
      <c r="C2051" s="209"/>
      <c r="D2051" s="209"/>
      <c r="E2051" s="209"/>
      <c r="J2051" s="124"/>
    </row>
    <row r="2052" spans="3:10" x14ac:dyDescent="0.2">
      <c r="C2052" s="209"/>
      <c r="D2052" s="209"/>
      <c r="E2052" s="209"/>
      <c r="J2052" s="124"/>
    </row>
    <row r="2053" spans="3:10" x14ac:dyDescent="0.2">
      <c r="C2053" s="209"/>
      <c r="D2053" s="209"/>
      <c r="E2053" s="209"/>
      <c r="J2053" s="124"/>
    </row>
    <row r="2054" spans="3:10" x14ac:dyDescent="0.2">
      <c r="C2054" s="209"/>
      <c r="D2054" s="209"/>
      <c r="E2054" s="209"/>
      <c r="J2054" s="124"/>
    </row>
    <row r="2055" spans="3:10" x14ac:dyDescent="0.2">
      <c r="C2055" s="209"/>
      <c r="D2055" s="209"/>
      <c r="E2055" s="209"/>
      <c r="J2055" s="124"/>
    </row>
    <row r="2056" spans="3:10" x14ac:dyDescent="0.2">
      <c r="C2056" s="209"/>
      <c r="D2056" s="209"/>
      <c r="E2056" s="209"/>
      <c r="J2056" s="124"/>
    </row>
    <row r="2057" spans="3:10" x14ac:dyDescent="0.2">
      <c r="C2057" s="209"/>
      <c r="D2057" s="209"/>
      <c r="E2057" s="209"/>
      <c r="J2057" s="124"/>
    </row>
    <row r="2058" spans="3:10" x14ac:dyDescent="0.2">
      <c r="C2058" s="209"/>
      <c r="D2058" s="209"/>
      <c r="E2058" s="209"/>
      <c r="J2058" s="124"/>
    </row>
    <row r="2059" spans="3:10" x14ac:dyDescent="0.2">
      <c r="C2059" s="209"/>
      <c r="D2059" s="209"/>
      <c r="E2059" s="209"/>
      <c r="J2059" s="124"/>
    </row>
    <row r="2060" spans="3:10" x14ac:dyDescent="0.2">
      <c r="C2060" s="209"/>
      <c r="D2060" s="209"/>
      <c r="E2060" s="209"/>
      <c r="J2060" s="124"/>
    </row>
    <row r="2061" spans="3:10" x14ac:dyDescent="0.2">
      <c r="C2061" s="209"/>
      <c r="D2061" s="209"/>
      <c r="E2061" s="209"/>
      <c r="J2061" s="124"/>
    </row>
    <row r="2062" spans="3:10" x14ac:dyDescent="0.2">
      <c r="C2062" s="209"/>
      <c r="D2062" s="209"/>
      <c r="E2062" s="209"/>
      <c r="J2062" s="124"/>
    </row>
    <row r="2063" spans="3:10" x14ac:dyDescent="0.2">
      <c r="C2063" s="209"/>
      <c r="D2063" s="209"/>
      <c r="E2063" s="209"/>
      <c r="J2063" s="124"/>
    </row>
    <row r="2064" spans="3:10" x14ac:dyDescent="0.2">
      <c r="C2064" s="209"/>
      <c r="D2064" s="209"/>
      <c r="E2064" s="209"/>
      <c r="J2064" s="124"/>
    </row>
    <row r="2065" spans="3:10" x14ac:dyDescent="0.2">
      <c r="C2065" s="209"/>
      <c r="D2065" s="209"/>
      <c r="E2065" s="209"/>
      <c r="J2065" s="124"/>
    </row>
    <row r="2066" spans="3:10" x14ac:dyDescent="0.2">
      <c r="C2066" s="209"/>
      <c r="D2066" s="209"/>
      <c r="E2066" s="209"/>
      <c r="J2066" s="124"/>
    </row>
    <row r="2067" spans="3:10" x14ac:dyDescent="0.2">
      <c r="C2067" s="209"/>
      <c r="D2067" s="209"/>
      <c r="E2067" s="209"/>
      <c r="J2067" s="124"/>
    </row>
    <row r="2068" spans="3:10" x14ac:dyDescent="0.2">
      <c r="C2068" s="209"/>
      <c r="D2068" s="209"/>
      <c r="E2068" s="209"/>
      <c r="J2068" s="124"/>
    </row>
    <row r="2069" spans="3:10" x14ac:dyDescent="0.2">
      <c r="C2069" s="209"/>
      <c r="D2069" s="209"/>
      <c r="E2069" s="209"/>
      <c r="J2069" s="124"/>
    </row>
    <row r="2070" spans="3:10" x14ac:dyDescent="0.2">
      <c r="C2070" s="209"/>
      <c r="D2070" s="209"/>
      <c r="E2070" s="209"/>
      <c r="J2070" s="124"/>
    </row>
    <row r="2071" spans="3:10" x14ac:dyDescent="0.2">
      <c r="C2071" s="209"/>
      <c r="D2071" s="209"/>
      <c r="E2071" s="209"/>
      <c r="J2071" s="124"/>
    </row>
    <row r="2072" spans="3:10" x14ac:dyDescent="0.2">
      <c r="C2072" s="209"/>
      <c r="D2072" s="209"/>
      <c r="E2072" s="209"/>
      <c r="J2072" s="124"/>
    </row>
    <row r="2073" spans="3:10" x14ac:dyDescent="0.2">
      <c r="C2073" s="209"/>
      <c r="D2073" s="209"/>
      <c r="E2073" s="209"/>
      <c r="J2073" s="124"/>
    </row>
    <row r="2074" spans="3:10" x14ac:dyDescent="0.2">
      <c r="C2074" s="209"/>
      <c r="D2074" s="209"/>
      <c r="E2074" s="209"/>
      <c r="J2074" s="124"/>
    </row>
    <row r="2075" spans="3:10" x14ac:dyDescent="0.2">
      <c r="C2075" s="209"/>
      <c r="D2075" s="209"/>
      <c r="E2075" s="209"/>
      <c r="J2075" s="124"/>
    </row>
    <row r="2076" spans="3:10" x14ac:dyDescent="0.2">
      <c r="C2076" s="209"/>
      <c r="D2076" s="209"/>
      <c r="E2076" s="209"/>
      <c r="J2076" s="124"/>
    </row>
    <row r="2077" spans="3:10" x14ac:dyDescent="0.2">
      <c r="C2077" s="209"/>
      <c r="D2077" s="209"/>
      <c r="E2077" s="209"/>
      <c r="J2077" s="124"/>
    </row>
    <row r="2078" spans="3:10" x14ac:dyDescent="0.2">
      <c r="C2078" s="209"/>
      <c r="D2078" s="209"/>
      <c r="E2078" s="209"/>
      <c r="J2078" s="124"/>
    </row>
    <row r="2079" spans="3:10" x14ac:dyDescent="0.2">
      <c r="C2079" s="209"/>
      <c r="D2079" s="209"/>
      <c r="E2079" s="209"/>
      <c r="J2079" s="124"/>
    </row>
    <row r="2080" spans="3:10" x14ac:dyDescent="0.2">
      <c r="C2080" s="209"/>
      <c r="D2080" s="209"/>
      <c r="E2080" s="209"/>
      <c r="J2080" s="124"/>
    </row>
    <row r="2081" spans="3:10" x14ac:dyDescent="0.2">
      <c r="C2081" s="209"/>
      <c r="D2081" s="209"/>
      <c r="E2081" s="209"/>
      <c r="J2081" s="124"/>
    </row>
    <row r="2082" spans="3:10" x14ac:dyDescent="0.2">
      <c r="C2082" s="209"/>
      <c r="D2082" s="209"/>
      <c r="E2082" s="209"/>
      <c r="J2082" s="124"/>
    </row>
    <row r="2083" spans="3:10" x14ac:dyDescent="0.2">
      <c r="C2083" s="209"/>
      <c r="D2083" s="209"/>
      <c r="E2083" s="209"/>
      <c r="J2083" s="124"/>
    </row>
    <row r="2084" spans="3:10" x14ac:dyDescent="0.2">
      <c r="C2084" s="209"/>
      <c r="D2084" s="209"/>
      <c r="E2084" s="209"/>
      <c r="J2084" s="124"/>
    </row>
    <row r="2085" spans="3:10" x14ac:dyDescent="0.2">
      <c r="C2085" s="209"/>
      <c r="D2085" s="209"/>
      <c r="E2085" s="209"/>
      <c r="J2085" s="124"/>
    </row>
    <row r="2086" spans="3:10" x14ac:dyDescent="0.2">
      <c r="C2086" s="209"/>
      <c r="D2086" s="209"/>
      <c r="E2086" s="209"/>
      <c r="J2086" s="124"/>
    </row>
    <row r="2087" spans="3:10" x14ac:dyDescent="0.2">
      <c r="C2087" s="209"/>
      <c r="D2087" s="209"/>
      <c r="E2087" s="209"/>
      <c r="J2087" s="124"/>
    </row>
    <row r="2088" spans="3:10" x14ac:dyDescent="0.2">
      <c r="C2088" s="209"/>
      <c r="D2088" s="209"/>
      <c r="E2088" s="209"/>
      <c r="J2088" s="124"/>
    </row>
    <row r="2089" spans="3:10" x14ac:dyDescent="0.2">
      <c r="C2089" s="209"/>
      <c r="D2089" s="209"/>
      <c r="E2089" s="209"/>
      <c r="J2089" s="124"/>
    </row>
    <row r="2090" spans="3:10" x14ac:dyDescent="0.2">
      <c r="C2090" s="209"/>
      <c r="D2090" s="209"/>
      <c r="E2090" s="209"/>
      <c r="J2090" s="124"/>
    </row>
    <row r="2091" spans="3:10" x14ac:dyDescent="0.2">
      <c r="C2091" s="209"/>
      <c r="D2091" s="209"/>
      <c r="E2091" s="209"/>
      <c r="J2091" s="124"/>
    </row>
    <row r="2092" spans="3:10" x14ac:dyDescent="0.2">
      <c r="C2092" s="209"/>
      <c r="D2092" s="209"/>
      <c r="E2092" s="209"/>
      <c r="J2092" s="124"/>
    </row>
    <row r="2093" spans="3:10" x14ac:dyDescent="0.2">
      <c r="C2093" s="209"/>
      <c r="D2093" s="209"/>
      <c r="E2093" s="209"/>
      <c r="J2093" s="124"/>
    </row>
    <row r="2094" spans="3:10" x14ac:dyDescent="0.2">
      <c r="C2094" s="209"/>
      <c r="D2094" s="209"/>
      <c r="E2094" s="209"/>
      <c r="J2094" s="124"/>
    </row>
    <row r="2095" spans="3:10" x14ac:dyDescent="0.2">
      <c r="C2095" s="209"/>
      <c r="D2095" s="209"/>
      <c r="E2095" s="209"/>
      <c r="J2095" s="124"/>
    </row>
    <row r="2096" spans="3:10" x14ac:dyDescent="0.2">
      <c r="C2096" s="209"/>
      <c r="D2096" s="209"/>
      <c r="E2096" s="209"/>
      <c r="J2096" s="124"/>
    </row>
    <row r="2097" spans="3:10" x14ac:dyDescent="0.2">
      <c r="C2097" s="209"/>
      <c r="D2097" s="209"/>
      <c r="E2097" s="209"/>
      <c r="J2097" s="124"/>
    </row>
    <row r="2098" spans="3:10" x14ac:dyDescent="0.2">
      <c r="C2098" s="209"/>
      <c r="D2098" s="209"/>
      <c r="E2098" s="209"/>
      <c r="J2098" s="124"/>
    </row>
    <row r="2099" spans="3:10" x14ac:dyDescent="0.2">
      <c r="C2099" s="209"/>
      <c r="D2099" s="209"/>
      <c r="E2099" s="209"/>
      <c r="J2099" s="124"/>
    </row>
    <row r="2100" spans="3:10" x14ac:dyDescent="0.2">
      <c r="C2100" s="209"/>
      <c r="D2100" s="209"/>
      <c r="E2100" s="209"/>
      <c r="J2100" s="124"/>
    </row>
    <row r="2101" spans="3:10" x14ac:dyDescent="0.2">
      <c r="C2101" s="209"/>
      <c r="D2101" s="209"/>
      <c r="E2101" s="209"/>
      <c r="J2101" s="124"/>
    </row>
    <row r="2102" spans="3:10" x14ac:dyDescent="0.2">
      <c r="C2102" s="209"/>
      <c r="D2102" s="209"/>
      <c r="E2102" s="209"/>
      <c r="J2102" s="124"/>
    </row>
    <row r="2103" spans="3:10" x14ac:dyDescent="0.2">
      <c r="C2103" s="209"/>
      <c r="D2103" s="209"/>
      <c r="E2103" s="209"/>
      <c r="J2103" s="124"/>
    </row>
    <row r="2104" spans="3:10" x14ac:dyDescent="0.2">
      <c r="C2104" s="209"/>
      <c r="D2104" s="209"/>
      <c r="E2104" s="209"/>
      <c r="J2104" s="124"/>
    </row>
    <row r="2105" spans="3:10" x14ac:dyDescent="0.2">
      <c r="C2105" s="209"/>
      <c r="D2105" s="209"/>
      <c r="E2105" s="209"/>
      <c r="J2105" s="124"/>
    </row>
    <row r="2106" spans="3:10" x14ac:dyDescent="0.2">
      <c r="C2106" s="209"/>
      <c r="D2106" s="209"/>
      <c r="E2106" s="209"/>
      <c r="J2106" s="124"/>
    </row>
    <row r="2107" spans="3:10" x14ac:dyDescent="0.2">
      <c r="C2107" s="209"/>
      <c r="D2107" s="209"/>
      <c r="E2107" s="209"/>
      <c r="J2107" s="124"/>
    </row>
    <row r="2108" spans="3:10" x14ac:dyDescent="0.2">
      <c r="C2108" s="209"/>
      <c r="D2108" s="209"/>
      <c r="E2108" s="209"/>
      <c r="J2108" s="124"/>
    </row>
    <row r="2109" spans="3:10" x14ac:dyDescent="0.2">
      <c r="C2109" s="209"/>
      <c r="D2109" s="209"/>
      <c r="E2109" s="209"/>
      <c r="J2109" s="124"/>
    </row>
    <row r="2110" spans="3:10" x14ac:dyDescent="0.2">
      <c r="C2110" s="209"/>
      <c r="D2110" s="209"/>
      <c r="E2110" s="209"/>
      <c r="J2110" s="124"/>
    </row>
    <row r="2111" spans="3:10" x14ac:dyDescent="0.2">
      <c r="C2111" s="209"/>
      <c r="D2111" s="209"/>
      <c r="E2111" s="209"/>
      <c r="J2111" s="124"/>
    </row>
    <row r="2112" spans="3:10" x14ac:dyDescent="0.2">
      <c r="C2112" s="209"/>
      <c r="D2112" s="209"/>
      <c r="E2112" s="209"/>
      <c r="J2112" s="124"/>
    </row>
    <row r="2113" spans="3:10" x14ac:dyDescent="0.2">
      <c r="C2113" s="209"/>
      <c r="D2113" s="209"/>
      <c r="E2113" s="209"/>
      <c r="J2113" s="124"/>
    </row>
    <row r="2114" spans="3:10" x14ac:dyDescent="0.2">
      <c r="C2114" s="209"/>
      <c r="D2114" s="209"/>
      <c r="E2114" s="209"/>
      <c r="J2114" s="124"/>
    </row>
    <row r="2115" spans="3:10" x14ac:dyDescent="0.2">
      <c r="C2115" s="209"/>
      <c r="D2115" s="209"/>
      <c r="E2115" s="209"/>
      <c r="J2115" s="124"/>
    </row>
    <row r="2116" spans="3:10" x14ac:dyDescent="0.2">
      <c r="C2116" s="209"/>
      <c r="D2116" s="209"/>
      <c r="E2116" s="209"/>
      <c r="J2116" s="124"/>
    </row>
    <row r="2117" spans="3:10" x14ac:dyDescent="0.2">
      <c r="C2117" s="209"/>
      <c r="D2117" s="209"/>
      <c r="E2117" s="209"/>
      <c r="J2117" s="124"/>
    </row>
    <row r="2118" spans="3:10" x14ac:dyDescent="0.2">
      <c r="C2118" s="209"/>
      <c r="D2118" s="209"/>
      <c r="E2118" s="209"/>
      <c r="J2118" s="124"/>
    </row>
    <row r="2119" spans="3:10" x14ac:dyDescent="0.2">
      <c r="C2119" s="209"/>
      <c r="D2119" s="209"/>
      <c r="E2119" s="209"/>
      <c r="J2119" s="124"/>
    </row>
    <row r="2120" spans="3:10" x14ac:dyDescent="0.2">
      <c r="C2120" s="209"/>
      <c r="D2120" s="209"/>
      <c r="E2120" s="209"/>
      <c r="J2120" s="124"/>
    </row>
    <row r="2121" spans="3:10" x14ac:dyDescent="0.2">
      <c r="C2121" s="209"/>
      <c r="D2121" s="209"/>
      <c r="E2121" s="209"/>
      <c r="J2121" s="124"/>
    </row>
    <row r="2122" spans="3:10" x14ac:dyDescent="0.2">
      <c r="C2122" s="209"/>
      <c r="D2122" s="209"/>
      <c r="E2122" s="209"/>
      <c r="J2122" s="124"/>
    </row>
    <row r="2123" spans="3:10" x14ac:dyDescent="0.2">
      <c r="C2123" s="209"/>
      <c r="D2123" s="209"/>
      <c r="E2123" s="209"/>
      <c r="J2123" s="124"/>
    </row>
    <row r="2124" spans="3:10" x14ac:dyDescent="0.2">
      <c r="C2124" s="209"/>
      <c r="D2124" s="209"/>
      <c r="E2124" s="209"/>
      <c r="J2124" s="124"/>
    </row>
    <row r="2125" spans="3:10" x14ac:dyDescent="0.2">
      <c r="C2125" s="209"/>
      <c r="D2125" s="209"/>
      <c r="E2125" s="209"/>
      <c r="J2125" s="124"/>
    </row>
    <row r="2126" spans="3:10" x14ac:dyDescent="0.2">
      <c r="C2126" s="209"/>
      <c r="D2126" s="209"/>
      <c r="E2126" s="209"/>
      <c r="J2126" s="124"/>
    </row>
    <row r="2127" spans="3:10" x14ac:dyDescent="0.2">
      <c r="C2127" s="209"/>
      <c r="D2127" s="209"/>
      <c r="E2127" s="209"/>
      <c r="J2127" s="124"/>
    </row>
    <row r="2128" spans="3:10" x14ac:dyDescent="0.2">
      <c r="C2128" s="209"/>
      <c r="D2128" s="209"/>
      <c r="E2128" s="209"/>
      <c r="J2128" s="124"/>
    </row>
    <row r="2129" spans="3:10" x14ac:dyDescent="0.2">
      <c r="C2129" s="209"/>
      <c r="D2129" s="209"/>
      <c r="E2129" s="209"/>
      <c r="J2129" s="124"/>
    </row>
    <row r="2130" spans="3:10" x14ac:dyDescent="0.2">
      <c r="C2130" s="209"/>
      <c r="D2130" s="209"/>
      <c r="E2130" s="209"/>
      <c r="J2130" s="124"/>
    </row>
    <row r="2131" spans="3:10" x14ac:dyDescent="0.2">
      <c r="C2131" s="209"/>
      <c r="D2131" s="209"/>
      <c r="E2131" s="209"/>
      <c r="J2131" s="124"/>
    </row>
    <row r="2132" spans="3:10" x14ac:dyDescent="0.2">
      <c r="C2132" s="209"/>
      <c r="D2132" s="209"/>
      <c r="E2132" s="209"/>
      <c r="J2132" s="124"/>
    </row>
    <row r="2133" spans="3:10" x14ac:dyDescent="0.2">
      <c r="C2133" s="209"/>
      <c r="D2133" s="209"/>
      <c r="E2133" s="209"/>
      <c r="J2133" s="124"/>
    </row>
    <row r="2134" spans="3:10" x14ac:dyDescent="0.2">
      <c r="C2134" s="209"/>
      <c r="D2134" s="209"/>
      <c r="E2134" s="209"/>
      <c r="J2134" s="124"/>
    </row>
    <row r="2135" spans="3:10" x14ac:dyDescent="0.2">
      <c r="C2135" s="209"/>
      <c r="D2135" s="209"/>
      <c r="E2135" s="209"/>
      <c r="J2135" s="124"/>
    </row>
    <row r="2136" spans="3:10" x14ac:dyDescent="0.2">
      <c r="C2136" s="209"/>
      <c r="D2136" s="209"/>
      <c r="E2136" s="209"/>
      <c r="J2136" s="124"/>
    </row>
    <row r="2137" spans="3:10" x14ac:dyDescent="0.2">
      <c r="C2137" s="209"/>
      <c r="D2137" s="209"/>
      <c r="E2137" s="209"/>
      <c r="J2137" s="124"/>
    </row>
    <row r="2138" spans="3:10" x14ac:dyDescent="0.2">
      <c r="C2138" s="209"/>
      <c r="D2138" s="209"/>
      <c r="E2138" s="209"/>
      <c r="J2138" s="124"/>
    </row>
    <row r="2139" spans="3:10" x14ac:dyDescent="0.2">
      <c r="C2139" s="209"/>
      <c r="D2139" s="209"/>
      <c r="E2139" s="209"/>
      <c r="J2139" s="124"/>
    </row>
    <row r="2140" spans="3:10" x14ac:dyDescent="0.2">
      <c r="C2140" s="209"/>
      <c r="D2140" s="209"/>
      <c r="E2140" s="209"/>
      <c r="J2140" s="124"/>
    </row>
    <row r="2141" spans="3:10" x14ac:dyDescent="0.2">
      <c r="C2141" s="209"/>
      <c r="D2141" s="209"/>
      <c r="E2141" s="209"/>
      <c r="J2141" s="124"/>
    </row>
    <row r="2142" spans="3:10" x14ac:dyDescent="0.2">
      <c r="C2142" s="209"/>
      <c r="D2142" s="209"/>
      <c r="E2142" s="209"/>
      <c r="J2142" s="124"/>
    </row>
    <row r="2143" spans="3:10" x14ac:dyDescent="0.2">
      <c r="C2143" s="209"/>
      <c r="D2143" s="209"/>
      <c r="E2143" s="209"/>
      <c r="J2143" s="124"/>
    </row>
    <row r="2144" spans="3:10" x14ac:dyDescent="0.2">
      <c r="C2144" s="209"/>
      <c r="D2144" s="209"/>
      <c r="E2144" s="209"/>
      <c r="J2144" s="124"/>
    </row>
    <row r="2145" spans="3:10" x14ac:dyDescent="0.2">
      <c r="C2145" s="209"/>
      <c r="D2145" s="209"/>
      <c r="E2145" s="209"/>
      <c r="J2145" s="124"/>
    </row>
    <row r="2146" spans="3:10" x14ac:dyDescent="0.2">
      <c r="C2146" s="209"/>
      <c r="D2146" s="209"/>
      <c r="E2146" s="209"/>
      <c r="J2146" s="124"/>
    </row>
    <row r="2147" spans="3:10" x14ac:dyDescent="0.2">
      <c r="C2147" s="209"/>
      <c r="D2147" s="209"/>
      <c r="E2147" s="209"/>
      <c r="J2147" s="124"/>
    </row>
    <row r="2148" spans="3:10" x14ac:dyDescent="0.2">
      <c r="C2148" s="209"/>
      <c r="D2148" s="209"/>
      <c r="E2148" s="209"/>
      <c r="J2148" s="124"/>
    </row>
    <row r="2149" spans="3:10" x14ac:dyDescent="0.2">
      <c r="C2149" s="209"/>
      <c r="D2149" s="209"/>
      <c r="E2149" s="209"/>
      <c r="J2149" s="124"/>
    </row>
    <row r="2150" spans="3:10" x14ac:dyDescent="0.2">
      <c r="C2150" s="209"/>
      <c r="D2150" s="209"/>
      <c r="E2150" s="209"/>
      <c r="J2150" s="124"/>
    </row>
    <row r="2151" spans="3:10" x14ac:dyDescent="0.2">
      <c r="C2151" s="209"/>
      <c r="D2151" s="209"/>
      <c r="E2151" s="209"/>
      <c r="J2151" s="124"/>
    </row>
    <row r="2152" spans="3:10" x14ac:dyDescent="0.2">
      <c r="C2152" s="209"/>
      <c r="D2152" s="209"/>
      <c r="E2152" s="209"/>
      <c r="J2152" s="124"/>
    </row>
    <row r="2153" spans="3:10" x14ac:dyDescent="0.2">
      <c r="C2153" s="209"/>
      <c r="D2153" s="209"/>
      <c r="E2153" s="209"/>
      <c r="J2153" s="124"/>
    </row>
    <row r="2154" spans="3:10" x14ac:dyDescent="0.2">
      <c r="C2154" s="209"/>
      <c r="D2154" s="209"/>
      <c r="E2154" s="209"/>
      <c r="J2154" s="124"/>
    </row>
    <row r="2155" spans="3:10" x14ac:dyDescent="0.2">
      <c r="C2155" s="209"/>
      <c r="D2155" s="209"/>
      <c r="E2155" s="209"/>
      <c r="J2155" s="124"/>
    </row>
    <row r="2156" spans="3:10" x14ac:dyDescent="0.2">
      <c r="C2156" s="209"/>
      <c r="D2156" s="209"/>
      <c r="E2156" s="209"/>
      <c r="J2156" s="124"/>
    </row>
    <row r="2157" spans="3:10" x14ac:dyDescent="0.2">
      <c r="C2157" s="209"/>
      <c r="D2157" s="209"/>
      <c r="E2157" s="209"/>
      <c r="J2157" s="124"/>
    </row>
    <row r="2158" spans="3:10" x14ac:dyDescent="0.2">
      <c r="C2158" s="209"/>
      <c r="D2158" s="209"/>
      <c r="E2158" s="209"/>
      <c r="J2158" s="124"/>
    </row>
    <row r="2159" spans="3:10" x14ac:dyDescent="0.2">
      <c r="C2159" s="209"/>
      <c r="D2159" s="209"/>
      <c r="E2159" s="209"/>
      <c r="J2159" s="124"/>
    </row>
    <row r="2160" spans="3:10" x14ac:dyDescent="0.2">
      <c r="C2160" s="209"/>
      <c r="D2160" s="209"/>
      <c r="E2160" s="209"/>
      <c r="J2160" s="124"/>
    </row>
    <row r="2161" spans="3:10" x14ac:dyDescent="0.2">
      <c r="C2161" s="209"/>
      <c r="D2161" s="209"/>
      <c r="E2161" s="209"/>
      <c r="J2161" s="124"/>
    </row>
    <row r="2162" spans="3:10" x14ac:dyDescent="0.2">
      <c r="C2162" s="209"/>
      <c r="D2162" s="209"/>
      <c r="E2162" s="209"/>
      <c r="J2162" s="124"/>
    </row>
    <row r="2163" spans="3:10" x14ac:dyDescent="0.2">
      <c r="C2163" s="209"/>
      <c r="D2163" s="209"/>
      <c r="E2163" s="209"/>
      <c r="J2163" s="124"/>
    </row>
    <row r="2164" spans="3:10" x14ac:dyDescent="0.2">
      <c r="C2164" s="209"/>
      <c r="D2164" s="209"/>
      <c r="E2164" s="209"/>
      <c r="J2164" s="124"/>
    </row>
    <row r="2165" spans="3:10" x14ac:dyDescent="0.2">
      <c r="C2165" s="209"/>
      <c r="D2165" s="209"/>
      <c r="E2165" s="209"/>
      <c r="J2165" s="124"/>
    </row>
    <row r="2166" spans="3:10" x14ac:dyDescent="0.2">
      <c r="C2166" s="209"/>
      <c r="D2166" s="209"/>
      <c r="E2166" s="209"/>
      <c r="J2166" s="124"/>
    </row>
    <row r="2167" spans="3:10" x14ac:dyDescent="0.2">
      <c r="C2167" s="209"/>
      <c r="D2167" s="209"/>
      <c r="E2167" s="209"/>
      <c r="J2167" s="124"/>
    </row>
    <row r="2168" spans="3:10" x14ac:dyDescent="0.2">
      <c r="C2168" s="209"/>
      <c r="D2168" s="209"/>
      <c r="E2168" s="209"/>
      <c r="J2168" s="124"/>
    </row>
    <row r="2169" spans="3:10" x14ac:dyDescent="0.2">
      <c r="C2169" s="209"/>
      <c r="D2169" s="209"/>
      <c r="E2169" s="209"/>
      <c r="J2169" s="124"/>
    </row>
    <row r="2170" spans="3:10" x14ac:dyDescent="0.2">
      <c r="C2170" s="209"/>
      <c r="D2170" s="209"/>
      <c r="E2170" s="209"/>
      <c r="J2170" s="124"/>
    </row>
    <row r="2171" spans="3:10" x14ac:dyDescent="0.2">
      <c r="C2171" s="209"/>
      <c r="D2171" s="209"/>
      <c r="E2171" s="209"/>
      <c r="J2171" s="124"/>
    </row>
    <row r="2172" spans="3:10" x14ac:dyDescent="0.2">
      <c r="C2172" s="209"/>
      <c r="D2172" s="209"/>
      <c r="E2172" s="209"/>
      <c r="J2172" s="124"/>
    </row>
    <row r="2173" spans="3:10" x14ac:dyDescent="0.2">
      <c r="C2173" s="209"/>
      <c r="D2173" s="209"/>
      <c r="E2173" s="209"/>
      <c r="J2173" s="124"/>
    </row>
    <row r="2174" spans="3:10" x14ac:dyDescent="0.2">
      <c r="C2174" s="209"/>
      <c r="D2174" s="209"/>
      <c r="E2174" s="209"/>
      <c r="J2174" s="124"/>
    </row>
    <row r="2175" spans="3:10" x14ac:dyDescent="0.2">
      <c r="C2175" s="209"/>
      <c r="D2175" s="209"/>
      <c r="E2175" s="209"/>
      <c r="J2175" s="124"/>
    </row>
    <row r="2176" spans="3:10" x14ac:dyDescent="0.2">
      <c r="C2176" s="209"/>
      <c r="D2176" s="209"/>
      <c r="E2176" s="209"/>
      <c r="J2176" s="124"/>
    </row>
    <row r="2177" spans="3:10" x14ac:dyDescent="0.2">
      <c r="C2177" s="209"/>
      <c r="D2177" s="209"/>
      <c r="E2177" s="209"/>
      <c r="J2177" s="124"/>
    </row>
    <row r="2178" spans="3:10" x14ac:dyDescent="0.2">
      <c r="C2178" s="209"/>
      <c r="D2178" s="209"/>
      <c r="E2178" s="209"/>
      <c r="J2178" s="124"/>
    </row>
    <row r="2179" spans="3:10" x14ac:dyDescent="0.2">
      <c r="C2179" s="209"/>
      <c r="D2179" s="209"/>
      <c r="E2179" s="209"/>
      <c r="J2179" s="124"/>
    </row>
    <row r="2180" spans="3:10" x14ac:dyDescent="0.2">
      <c r="C2180" s="209"/>
      <c r="D2180" s="209"/>
      <c r="E2180" s="209"/>
      <c r="J2180" s="124"/>
    </row>
    <row r="2181" spans="3:10" x14ac:dyDescent="0.2">
      <c r="C2181" s="209"/>
      <c r="D2181" s="209"/>
      <c r="E2181" s="209"/>
      <c r="J2181" s="124"/>
    </row>
    <row r="2182" spans="3:10" x14ac:dyDescent="0.2">
      <c r="C2182" s="209"/>
      <c r="D2182" s="209"/>
      <c r="E2182" s="209"/>
      <c r="J2182" s="124"/>
    </row>
    <row r="2183" spans="3:10" x14ac:dyDescent="0.2">
      <c r="C2183" s="209"/>
      <c r="D2183" s="209"/>
      <c r="E2183" s="209"/>
      <c r="J2183" s="124"/>
    </row>
    <row r="2184" spans="3:10" x14ac:dyDescent="0.2">
      <c r="C2184" s="209"/>
      <c r="D2184" s="209"/>
      <c r="E2184" s="209"/>
      <c r="J2184" s="124"/>
    </row>
    <row r="2185" spans="3:10" x14ac:dyDescent="0.2">
      <c r="C2185" s="209"/>
      <c r="D2185" s="209"/>
      <c r="E2185" s="209"/>
      <c r="J2185" s="124"/>
    </row>
    <row r="2186" spans="3:10" x14ac:dyDescent="0.2">
      <c r="C2186" s="209"/>
      <c r="D2186" s="209"/>
      <c r="E2186" s="209"/>
      <c r="J2186" s="124"/>
    </row>
    <row r="2187" spans="3:10" x14ac:dyDescent="0.2">
      <c r="C2187" s="209"/>
      <c r="D2187" s="209"/>
      <c r="E2187" s="209"/>
      <c r="J2187" s="124"/>
    </row>
    <row r="2188" spans="3:10" x14ac:dyDescent="0.2">
      <c r="C2188" s="209"/>
      <c r="D2188" s="209"/>
      <c r="E2188" s="209"/>
      <c r="J2188" s="124"/>
    </row>
    <row r="2189" spans="3:10" x14ac:dyDescent="0.2">
      <c r="C2189" s="209"/>
      <c r="D2189" s="209"/>
      <c r="E2189" s="209"/>
      <c r="J2189" s="124"/>
    </row>
    <row r="2190" spans="3:10" x14ac:dyDescent="0.2">
      <c r="C2190" s="209"/>
      <c r="D2190" s="209"/>
      <c r="E2190" s="209"/>
      <c r="J2190" s="124"/>
    </row>
    <row r="2191" spans="3:10" x14ac:dyDescent="0.2">
      <c r="C2191" s="209"/>
      <c r="D2191" s="209"/>
      <c r="E2191" s="209"/>
      <c r="J2191" s="124"/>
    </row>
    <row r="2192" spans="3:10" x14ac:dyDescent="0.2">
      <c r="C2192" s="209"/>
      <c r="D2192" s="209"/>
      <c r="E2192" s="209"/>
      <c r="J2192" s="124"/>
    </row>
    <row r="2193" spans="3:10" x14ac:dyDescent="0.2">
      <c r="C2193" s="209"/>
      <c r="D2193" s="209"/>
      <c r="E2193" s="209"/>
      <c r="J2193" s="124"/>
    </row>
    <row r="2194" spans="3:10" x14ac:dyDescent="0.2">
      <c r="C2194" s="209"/>
      <c r="D2194" s="209"/>
      <c r="E2194" s="209"/>
      <c r="J2194" s="124"/>
    </row>
    <row r="2195" spans="3:10" x14ac:dyDescent="0.2">
      <c r="C2195" s="209"/>
      <c r="D2195" s="209"/>
      <c r="E2195" s="209"/>
      <c r="J2195" s="124"/>
    </row>
    <row r="2196" spans="3:10" x14ac:dyDescent="0.2">
      <c r="C2196" s="209"/>
      <c r="D2196" s="209"/>
      <c r="E2196" s="209"/>
      <c r="J2196" s="124"/>
    </row>
    <row r="2197" spans="3:10" x14ac:dyDescent="0.2">
      <c r="C2197" s="209"/>
      <c r="D2197" s="209"/>
      <c r="E2197" s="209"/>
      <c r="J2197" s="124"/>
    </row>
    <row r="2198" spans="3:10" x14ac:dyDescent="0.2">
      <c r="C2198" s="209"/>
      <c r="D2198" s="209"/>
      <c r="E2198" s="209"/>
      <c r="J2198" s="124"/>
    </row>
    <row r="2199" spans="3:10" x14ac:dyDescent="0.2">
      <c r="C2199" s="209"/>
      <c r="D2199" s="209"/>
      <c r="E2199" s="209"/>
      <c r="J2199" s="124"/>
    </row>
    <row r="2200" spans="3:10" x14ac:dyDescent="0.2">
      <c r="C2200" s="209"/>
      <c r="D2200" s="209"/>
      <c r="E2200" s="209"/>
      <c r="J2200" s="124"/>
    </row>
    <row r="2201" spans="3:10" x14ac:dyDescent="0.2">
      <c r="C2201" s="209"/>
      <c r="D2201" s="209"/>
      <c r="E2201" s="209"/>
      <c r="J2201" s="124"/>
    </row>
    <row r="2202" spans="3:10" x14ac:dyDescent="0.2">
      <c r="C2202" s="209"/>
      <c r="D2202" s="209"/>
      <c r="E2202" s="209"/>
      <c r="J2202" s="124"/>
    </row>
    <row r="2203" spans="3:10" x14ac:dyDescent="0.2">
      <c r="C2203" s="209"/>
      <c r="D2203" s="209"/>
      <c r="E2203" s="209"/>
      <c r="J2203" s="124"/>
    </row>
    <row r="2204" spans="3:10" x14ac:dyDescent="0.2">
      <c r="C2204" s="209"/>
      <c r="D2204" s="209"/>
      <c r="E2204" s="209"/>
      <c r="J2204" s="124"/>
    </row>
    <row r="2205" spans="3:10" x14ac:dyDescent="0.2">
      <c r="C2205" s="209"/>
      <c r="D2205" s="209"/>
      <c r="E2205" s="209"/>
      <c r="J2205" s="124"/>
    </row>
    <row r="2206" spans="3:10" x14ac:dyDescent="0.2">
      <c r="C2206" s="209"/>
      <c r="D2206" s="209"/>
      <c r="E2206" s="209"/>
      <c r="J2206" s="124"/>
    </row>
    <row r="2207" spans="3:10" x14ac:dyDescent="0.2">
      <c r="C2207" s="209"/>
      <c r="D2207" s="209"/>
      <c r="E2207" s="209"/>
      <c r="J2207" s="124"/>
    </row>
    <row r="2208" spans="3:10" x14ac:dyDescent="0.2">
      <c r="C2208" s="209"/>
      <c r="D2208" s="209"/>
      <c r="E2208" s="209"/>
      <c r="J2208" s="124"/>
    </row>
    <row r="2209" spans="3:10" x14ac:dyDescent="0.2">
      <c r="C2209" s="209"/>
      <c r="D2209" s="209"/>
      <c r="E2209" s="209"/>
      <c r="J2209" s="124"/>
    </row>
    <row r="2210" spans="3:10" x14ac:dyDescent="0.2">
      <c r="C2210" s="209"/>
      <c r="D2210" s="209"/>
      <c r="E2210" s="209"/>
      <c r="J2210" s="124"/>
    </row>
    <row r="2211" spans="3:10" x14ac:dyDescent="0.2">
      <c r="C2211" s="209"/>
      <c r="D2211" s="209"/>
      <c r="E2211" s="209"/>
      <c r="J2211" s="124"/>
    </row>
    <row r="2212" spans="3:10" x14ac:dyDescent="0.2">
      <c r="C2212" s="209"/>
      <c r="D2212" s="209"/>
      <c r="E2212" s="209"/>
      <c r="J2212" s="124"/>
    </row>
    <row r="2213" spans="3:10" x14ac:dyDescent="0.2">
      <c r="C2213" s="209"/>
      <c r="D2213" s="209"/>
      <c r="E2213" s="209"/>
      <c r="J2213" s="124"/>
    </row>
    <row r="2214" spans="3:10" x14ac:dyDescent="0.2">
      <c r="C2214" s="209"/>
      <c r="D2214" s="209"/>
      <c r="E2214" s="209"/>
      <c r="J2214" s="124"/>
    </row>
    <row r="2215" spans="3:10" x14ac:dyDescent="0.2">
      <c r="C2215" s="209"/>
      <c r="D2215" s="209"/>
      <c r="E2215" s="209"/>
      <c r="J2215" s="124"/>
    </row>
    <row r="2216" spans="3:10" x14ac:dyDescent="0.2">
      <c r="C2216" s="209"/>
      <c r="D2216" s="209"/>
      <c r="E2216" s="209"/>
      <c r="J2216" s="124"/>
    </row>
    <row r="2217" spans="3:10" x14ac:dyDescent="0.2">
      <c r="C2217" s="209"/>
      <c r="D2217" s="209"/>
      <c r="E2217" s="209"/>
      <c r="J2217" s="124"/>
    </row>
    <row r="2218" spans="3:10" x14ac:dyDescent="0.2">
      <c r="C2218" s="209"/>
      <c r="D2218" s="209"/>
      <c r="E2218" s="209"/>
      <c r="J2218" s="124"/>
    </row>
    <row r="2219" spans="3:10" x14ac:dyDescent="0.2">
      <c r="C2219" s="209"/>
      <c r="D2219" s="209"/>
      <c r="E2219" s="209"/>
      <c r="J2219" s="124"/>
    </row>
    <row r="2220" spans="3:10" x14ac:dyDescent="0.2">
      <c r="C2220" s="209"/>
      <c r="D2220" s="209"/>
      <c r="E2220" s="209"/>
      <c r="J2220" s="124"/>
    </row>
    <row r="2221" spans="3:10" x14ac:dyDescent="0.2">
      <c r="C2221" s="209"/>
      <c r="D2221" s="209"/>
      <c r="E2221" s="209"/>
      <c r="J2221" s="124"/>
    </row>
    <row r="2222" spans="3:10" x14ac:dyDescent="0.2">
      <c r="C2222" s="209"/>
      <c r="D2222" s="209"/>
      <c r="E2222" s="209"/>
      <c r="J2222" s="124"/>
    </row>
    <row r="2223" spans="3:10" x14ac:dyDescent="0.2">
      <c r="C2223" s="209"/>
      <c r="D2223" s="209"/>
      <c r="E2223" s="209"/>
      <c r="J2223" s="124"/>
    </row>
    <row r="2224" spans="3:10" x14ac:dyDescent="0.2">
      <c r="C2224" s="209"/>
      <c r="D2224" s="209"/>
      <c r="E2224" s="209"/>
      <c r="J2224" s="124"/>
    </row>
    <row r="2225" spans="3:10" x14ac:dyDescent="0.2">
      <c r="C2225" s="209"/>
      <c r="D2225" s="209"/>
      <c r="E2225" s="209"/>
      <c r="J2225" s="124"/>
    </row>
    <row r="2226" spans="3:10" x14ac:dyDescent="0.2">
      <c r="C2226" s="209"/>
      <c r="D2226" s="209"/>
      <c r="E2226" s="209"/>
      <c r="J2226" s="124"/>
    </row>
    <row r="2227" spans="3:10" x14ac:dyDescent="0.2">
      <c r="C2227" s="209"/>
      <c r="D2227" s="209"/>
      <c r="E2227" s="209"/>
      <c r="J2227" s="124"/>
    </row>
    <row r="2228" spans="3:10" x14ac:dyDescent="0.2">
      <c r="C2228" s="209"/>
      <c r="D2228" s="209"/>
      <c r="E2228" s="209"/>
      <c r="J2228" s="124"/>
    </row>
    <row r="2229" spans="3:10" x14ac:dyDescent="0.2">
      <c r="C2229" s="209"/>
      <c r="D2229" s="209"/>
      <c r="E2229" s="209"/>
      <c r="J2229" s="124"/>
    </row>
    <row r="2230" spans="3:10" x14ac:dyDescent="0.2">
      <c r="C2230" s="209"/>
      <c r="D2230" s="209"/>
      <c r="E2230" s="209"/>
      <c r="J2230" s="124"/>
    </row>
    <row r="2231" spans="3:10" x14ac:dyDescent="0.2">
      <c r="C2231" s="209"/>
      <c r="D2231" s="209"/>
      <c r="E2231" s="209"/>
      <c r="J2231" s="124"/>
    </row>
    <row r="2232" spans="3:10" x14ac:dyDescent="0.2">
      <c r="C2232" s="209"/>
      <c r="D2232" s="209"/>
      <c r="E2232" s="209"/>
      <c r="J2232" s="124"/>
    </row>
    <row r="2233" spans="3:10" x14ac:dyDescent="0.2">
      <c r="C2233" s="209"/>
      <c r="D2233" s="209"/>
      <c r="E2233" s="209"/>
      <c r="J2233" s="124"/>
    </row>
    <row r="2234" spans="3:10" x14ac:dyDescent="0.2">
      <c r="C2234" s="209"/>
      <c r="D2234" s="209"/>
      <c r="E2234" s="209"/>
      <c r="J2234" s="124"/>
    </row>
    <row r="2235" spans="3:10" x14ac:dyDescent="0.2">
      <c r="C2235" s="209"/>
      <c r="D2235" s="209"/>
      <c r="E2235" s="209"/>
      <c r="J2235" s="124"/>
    </row>
    <row r="2236" spans="3:10" x14ac:dyDescent="0.2">
      <c r="C2236" s="209"/>
      <c r="D2236" s="209"/>
      <c r="E2236" s="209"/>
      <c r="J2236" s="124"/>
    </row>
    <row r="2237" spans="3:10" x14ac:dyDescent="0.2">
      <c r="C2237" s="209"/>
      <c r="D2237" s="209"/>
      <c r="E2237" s="209"/>
      <c r="J2237" s="124"/>
    </row>
    <row r="2238" spans="3:10" x14ac:dyDescent="0.2">
      <c r="C2238" s="209"/>
      <c r="D2238" s="209"/>
      <c r="E2238" s="209"/>
      <c r="J2238" s="124"/>
    </row>
    <row r="2239" spans="3:10" x14ac:dyDescent="0.2">
      <c r="C2239" s="209"/>
      <c r="D2239" s="209"/>
      <c r="E2239" s="209"/>
      <c r="J2239" s="124"/>
    </row>
    <row r="2240" spans="3:10" x14ac:dyDescent="0.2">
      <c r="C2240" s="209"/>
      <c r="D2240" s="209"/>
      <c r="E2240" s="209"/>
      <c r="J2240" s="124"/>
    </row>
    <row r="2241" spans="3:10" x14ac:dyDescent="0.2">
      <c r="C2241" s="209"/>
      <c r="D2241" s="209"/>
      <c r="E2241" s="209"/>
      <c r="J2241" s="124"/>
    </row>
    <row r="2242" spans="3:10" x14ac:dyDescent="0.2">
      <c r="C2242" s="209"/>
      <c r="D2242" s="209"/>
      <c r="E2242" s="209"/>
      <c r="J2242" s="124"/>
    </row>
    <row r="2243" spans="3:10" x14ac:dyDescent="0.2">
      <c r="C2243" s="209"/>
      <c r="D2243" s="209"/>
      <c r="E2243" s="209"/>
      <c r="J2243" s="124"/>
    </row>
    <row r="2244" spans="3:10" x14ac:dyDescent="0.2">
      <c r="C2244" s="209"/>
      <c r="D2244" s="209"/>
      <c r="E2244" s="209"/>
      <c r="J2244" s="124"/>
    </row>
    <row r="2245" spans="3:10" x14ac:dyDescent="0.2">
      <c r="C2245" s="209"/>
      <c r="D2245" s="209"/>
      <c r="E2245" s="209"/>
      <c r="J2245" s="124"/>
    </row>
    <row r="2246" spans="3:10" x14ac:dyDescent="0.2">
      <c r="C2246" s="209"/>
      <c r="D2246" s="209"/>
      <c r="E2246" s="209"/>
      <c r="J2246" s="124"/>
    </row>
    <row r="2247" spans="3:10" x14ac:dyDescent="0.2">
      <c r="C2247" s="209"/>
      <c r="D2247" s="209"/>
      <c r="E2247" s="209"/>
      <c r="J2247" s="124"/>
    </row>
    <row r="2248" spans="3:10" x14ac:dyDescent="0.2">
      <c r="C2248" s="209"/>
      <c r="D2248" s="209"/>
      <c r="E2248" s="209"/>
      <c r="J2248" s="124"/>
    </row>
    <row r="2249" spans="3:10" x14ac:dyDescent="0.2">
      <c r="C2249" s="209"/>
      <c r="D2249" s="209"/>
      <c r="E2249" s="209"/>
      <c r="J2249" s="124"/>
    </row>
    <row r="2250" spans="3:10" x14ac:dyDescent="0.2">
      <c r="C2250" s="209"/>
      <c r="D2250" s="209"/>
      <c r="E2250" s="209"/>
      <c r="J2250" s="124"/>
    </row>
    <row r="2251" spans="3:10" x14ac:dyDescent="0.2">
      <c r="C2251" s="209"/>
      <c r="D2251" s="209"/>
      <c r="E2251" s="209"/>
      <c r="J2251" s="124"/>
    </row>
    <row r="2252" spans="3:10" x14ac:dyDescent="0.2">
      <c r="C2252" s="209"/>
      <c r="D2252" s="209"/>
      <c r="E2252" s="209"/>
      <c r="J2252" s="124"/>
    </row>
    <row r="2253" spans="3:10" x14ac:dyDescent="0.2">
      <c r="C2253" s="209"/>
      <c r="D2253" s="209"/>
      <c r="E2253" s="209"/>
      <c r="J2253" s="124"/>
    </row>
    <row r="2254" spans="3:10" x14ac:dyDescent="0.2">
      <c r="C2254" s="209"/>
      <c r="D2254" s="209"/>
      <c r="E2254" s="209"/>
      <c r="J2254" s="124"/>
    </row>
    <row r="2255" spans="3:10" x14ac:dyDescent="0.2">
      <c r="C2255" s="209"/>
      <c r="D2255" s="209"/>
      <c r="E2255" s="209"/>
      <c r="J2255" s="124"/>
    </row>
    <row r="2256" spans="3:10" x14ac:dyDescent="0.2">
      <c r="C2256" s="209"/>
      <c r="D2256" s="209"/>
      <c r="E2256" s="209"/>
      <c r="J2256" s="124"/>
    </row>
    <row r="2257" spans="3:10" x14ac:dyDescent="0.2">
      <c r="C2257" s="209"/>
      <c r="D2257" s="209"/>
      <c r="E2257" s="209"/>
      <c r="J2257" s="124"/>
    </row>
    <row r="2258" spans="3:10" x14ac:dyDescent="0.2">
      <c r="C2258" s="209"/>
      <c r="D2258" s="209"/>
      <c r="E2258" s="209"/>
      <c r="J2258" s="124"/>
    </row>
    <row r="2259" spans="3:10" x14ac:dyDescent="0.2">
      <c r="C2259" s="209"/>
      <c r="D2259" s="209"/>
      <c r="E2259" s="209"/>
      <c r="J2259" s="124"/>
    </row>
    <row r="2260" spans="3:10" x14ac:dyDescent="0.2">
      <c r="C2260" s="209"/>
      <c r="D2260" s="209"/>
      <c r="E2260" s="209"/>
      <c r="J2260" s="124"/>
    </row>
    <row r="2261" spans="3:10" x14ac:dyDescent="0.2">
      <c r="C2261" s="209"/>
      <c r="D2261" s="209"/>
      <c r="E2261" s="209"/>
      <c r="J2261" s="124"/>
    </row>
    <row r="2262" spans="3:10" x14ac:dyDescent="0.2">
      <c r="C2262" s="209"/>
      <c r="D2262" s="209"/>
      <c r="E2262" s="209"/>
      <c r="J2262" s="124"/>
    </row>
    <row r="2263" spans="3:10" x14ac:dyDescent="0.2">
      <c r="C2263" s="209"/>
      <c r="D2263" s="209"/>
      <c r="E2263" s="209"/>
      <c r="J2263" s="124"/>
    </row>
    <row r="2264" spans="3:10" x14ac:dyDescent="0.2">
      <c r="C2264" s="209"/>
      <c r="D2264" s="209"/>
      <c r="E2264" s="209"/>
      <c r="J2264" s="124"/>
    </row>
    <row r="2265" spans="3:10" x14ac:dyDescent="0.2">
      <c r="C2265" s="209"/>
      <c r="D2265" s="209"/>
      <c r="E2265" s="209"/>
      <c r="J2265" s="124"/>
    </row>
    <row r="2266" spans="3:10" x14ac:dyDescent="0.2">
      <c r="C2266" s="209"/>
      <c r="D2266" s="209"/>
      <c r="E2266" s="209"/>
      <c r="J2266" s="124"/>
    </row>
    <row r="2267" spans="3:10" x14ac:dyDescent="0.2">
      <c r="C2267" s="209"/>
      <c r="D2267" s="209"/>
      <c r="E2267" s="209"/>
      <c r="J2267" s="124"/>
    </row>
    <row r="2268" spans="3:10" x14ac:dyDescent="0.2">
      <c r="C2268" s="209"/>
      <c r="D2268" s="209"/>
      <c r="E2268" s="209"/>
      <c r="J2268" s="124"/>
    </row>
    <row r="2269" spans="3:10" x14ac:dyDescent="0.2">
      <c r="C2269" s="209"/>
      <c r="D2269" s="209"/>
      <c r="E2269" s="209"/>
      <c r="J2269" s="124"/>
    </row>
    <row r="2270" spans="3:10" x14ac:dyDescent="0.2">
      <c r="C2270" s="209"/>
      <c r="D2270" s="209"/>
      <c r="E2270" s="209"/>
      <c r="J2270" s="124"/>
    </row>
    <row r="2271" spans="3:10" x14ac:dyDescent="0.2">
      <c r="C2271" s="209"/>
      <c r="D2271" s="209"/>
      <c r="E2271" s="209"/>
      <c r="J2271" s="124"/>
    </row>
    <row r="2272" spans="3:10" x14ac:dyDescent="0.2">
      <c r="C2272" s="209"/>
      <c r="D2272" s="209"/>
      <c r="E2272" s="209"/>
      <c r="J2272" s="124"/>
    </row>
    <row r="2273" spans="3:10" x14ac:dyDescent="0.2">
      <c r="C2273" s="209"/>
      <c r="D2273" s="209"/>
      <c r="E2273" s="209"/>
      <c r="J2273" s="124"/>
    </row>
    <row r="2274" spans="3:10" x14ac:dyDescent="0.2">
      <c r="C2274" s="209"/>
      <c r="D2274" s="209"/>
      <c r="E2274" s="209"/>
      <c r="J2274" s="124"/>
    </row>
    <row r="2275" spans="3:10" x14ac:dyDescent="0.2">
      <c r="C2275" s="209"/>
      <c r="D2275" s="209"/>
      <c r="E2275" s="209"/>
      <c r="J2275" s="124"/>
    </row>
    <row r="2276" spans="3:10" x14ac:dyDescent="0.2">
      <c r="C2276" s="209"/>
      <c r="D2276" s="209"/>
      <c r="E2276" s="209"/>
      <c r="J2276" s="124"/>
    </row>
    <row r="2277" spans="3:10" x14ac:dyDescent="0.2">
      <c r="C2277" s="209"/>
      <c r="D2277" s="209"/>
      <c r="E2277" s="209"/>
      <c r="J2277" s="124"/>
    </row>
    <row r="2278" spans="3:10" x14ac:dyDescent="0.2">
      <c r="C2278" s="209"/>
      <c r="D2278" s="209"/>
      <c r="E2278" s="209"/>
      <c r="J2278" s="124"/>
    </row>
    <row r="2279" spans="3:10" x14ac:dyDescent="0.2">
      <c r="C2279" s="209"/>
      <c r="D2279" s="209"/>
      <c r="E2279" s="209"/>
      <c r="J2279" s="124"/>
    </row>
    <row r="2280" spans="3:10" x14ac:dyDescent="0.2">
      <c r="C2280" s="209"/>
      <c r="D2280" s="209"/>
      <c r="E2280" s="209"/>
      <c r="J2280" s="124"/>
    </row>
    <row r="2281" spans="3:10" x14ac:dyDescent="0.2">
      <c r="C2281" s="209"/>
      <c r="D2281" s="209"/>
      <c r="E2281" s="209"/>
      <c r="J2281" s="124"/>
    </row>
    <row r="2282" spans="3:10" x14ac:dyDescent="0.2">
      <c r="C2282" s="209"/>
      <c r="D2282" s="209"/>
      <c r="E2282" s="209"/>
      <c r="J2282" s="124"/>
    </row>
    <row r="2283" spans="3:10" x14ac:dyDescent="0.2">
      <c r="C2283" s="209"/>
      <c r="D2283" s="209"/>
      <c r="E2283" s="209"/>
      <c r="J2283" s="124"/>
    </row>
    <row r="2284" spans="3:10" x14ac:dyDescent="0.2">
      <c r="C2284" s="209"/>
      <c r="D2284" s="209"/>
      <c r="E2284" s="209"/>
      <c r="J2284" s="124"/>
    </row>
    <row r="2285" spans="3:10" x14ac:dyDescent="0.2">
      <c r="C2285" s="209"/>
      <c r="D2285" s="209"/>
      <c r="E2285" s="209"/>
      <c r="J2285" s="124"/>
    </row>
    <row r="2286" spans="3:10" x14ac:dyDescent="0.2">
      <c r="C2286" s="209"/>
      <c r="D2286" s="209"/>
      <c r="E2286" s="209"/>
      <c r="J2286" s="124"/>
    </row>
    <row r="2287" spans="3:10" x14ac:dyDescent="0.2">
      <c r="C2287" s="209"/>
      <c r="D2287" s="209"/>
      <c r="E2287" s="209"/>
      <c r="J2287" s="124"/>
    </row>
    <row r="2288" spans="3:10" x14ac:dyDescent="0.2">
      <c r="C2288" s="209"/>
      <c r="D2288" s="209"/>
      <c r="E2288" s="209"/>
      <c r="J2288" s="124"/>
    </row>
    <row r="2289" spans="3:10" x14ac:dyDescent="0.2">
      <c r="C2289" s="209"/>
      <c r="D2289" s="209"/>
      <c r="E2289" s="209"/>
      <c r="J2289" s="124"/>
    </row>
    <row r="2290" spans="3:10" x14ac:dyDescent="0.2">
      <c r="C2290" s="209"/>
      <c r="D2290" s="209"/>
      <c r="E2290" s="209"/>
      <c r="J2290" s="124"/>
    </row>
    <row r="2291" spans="3:10" x14ac:dyDescent="0.2">
      <c r="C2291" s="209"/>
      <c r="D2291" s="209"/>
      <c r="E2291" s="209"/>
      <c r="J2291" s="124"/>
    </row>
    <row r="2292" spans="3:10" x14ac:dyDescent="0.2">
      <c r="C2292" s="209"/>
      <c r="D2292" s="209"/>
      <c r="E2292" s="209"/>
      <c r="J2292" s="124"/>
    </row>
    <row r="2293" spans="3:10" x14ac:dyDescent="0.2">
      <c r="C2293" s="209"/>
      <c r="D2293" s="209"/>
      <c r="E2293" s="209"/>
      <c r="J2293" s="124"/>
    </row>
    <row r="2294" spans="3:10" x14ac:dyDescent="0.2">
      <c r="C2294" s="209"/>
      <c r="D2294" s="209"/>
      <c r="E2294" s="209"/>
      <c r="J2294" s="124"/>
    </row>
    <row r="2295" spans="3:10" x14ac:dyDescent="0.2">
      <c r="C2295" s="209"/>
      <c r="D2295" s="209"/>
      <c r="E2295" s="209"/>
      <c r="J2295" s="124"/>
    </row>
    <row r="2296" spans="3:10" x14ac:dyDescent="0.2">
      <c r="C2296" s="209"/>
      <c r="D2296" s="209"/>
      <c r="E2296" s="209"/>
      <c r="J2296" s="124"/>
    </row>
    <row r="2297" spans="3:10" x14ac:dyDescent="0.2">
      <c r="C2297" s="209"/>
      <c r="D2297" s="209"/>
      <c r="E2297" s="209"/>
      <c r="J2297" s="124"/>
    </row>
    <row r="2298" spans="3:10" x14ac:dyDescent="0.2">
      <c r="C2298" s="209"/>
      <c r="D2298" s="209"/>
      <c r="E2298" s="209"/>
      <c r="J2298" s="124"/>
    </row>
    <row r="2299" spans="3:10" x14ac:dyDescent="0.2">
      <c r="C2299" s="209"/>
      <c r="D2299" s="209"/>
      <c r="E2299" s="209"/>
      <c r="J2299" s="124"/>
    </row>
    <row r="2300" spans="3:10" x14ac:dyDescent="0.2">
      <c r="C2300" s="209"/>
      <c r="D2300" s="209"/>
      <c r="E2300" s="209"/>
      <c r="J2300" s="124"/>
    </row>
    <row r="2301" spans="3:10" x14ac:dyDescent="0.2">
      <c r="C2301" s="209"/>
      <c r="D2301" s="209"/>
      <c r="E2301" s="209"/>
      <c r="J2301" s="124"/>
    </row>
    <row r="2302" spans="3:10" x14ac:dyDescent="0.2">
      <c r="C2302" s="209"/>
      <c r="D2302" s="209"/>
      <c r="E2302" s="209"/>
      <c r="J2302" s="124"/>
    </row>
    <row r="2303" spans="3:10" x14ac:dyDescent="0.2">
      <c r="C2303" s="209"/>
      <c r="D2303" s="209"/>
      <c r="E2303" s="209"/>
      <c r="J2303" s="124"/>
    </row>
    <row r="2304" spans="3:10" x14ac:dyDescent="0.2">
      <c r="C2304" s="209"/>
      <c r="D2304" s="209"/>
      <c r="E2304" s="209"/>
      <c r="J2304" s="124"/>
    </row>
    <row r="2305" spans="3:10" x14ac:dyDescent="0.2">
      <c r="C2305" s="209"/>
      <c r="D2305" s="209"/>
      <c r="E2305" s="209"/>
      <c r="J2305" s="124"/>
    </row>
    <row r="2306" spans="3:10" x14ac:dyDescent="0.2">
      <c r="C2306" s="209"/>
      <c r="D2306" s="209"/>
      <c r="E2306" s="209"/>
      <c r="J2306" s="124"/>
    </row>
    <row r="2307" spans="3:10" x14ac:dyDescent="0.2">
      <c r="C2307" s="209"/>
      <c r="D2307" s="209"/>
      <c r="E2307" s="209"/>
      <c r="J2307" s="124"/>
    </row>
    <row r="2308" spans="3:10" x14ac:dyDescent="0.2">
      <c r="C2308" s="209"/>
      <c r="D2308" s="209"/>
      <c r="E2308" s="209"/>
      <c r="J2308" s="124"/>
    </row>
    <row r="2309" spans="3:10" x14ac:dyDescent="0.2">
      <c r="C2309" s="209"/>
      <c r="D2309" s="209"/>
      <c r="E2309" s="209"/>
      <c r="J2309" s="124"/>
    </row>
    <row r="2310" spans="3:10" x14ac:dyDescent="0.2">
      <c r="C2310" s="209"/>
      <c r="D2310" s="209"/>
      <c r="E2310" s="209"/>
      <c r="J2310" s="124"/>
    </row>
    <row r="2311" spans="3:10" x14ac:dyDescent="0.2">
      <c r="C2311" s="209"/>
      <c r="D2311" s="209"/>
      <c r="E2311" s="209"/>
      <c r="J2311" s="124"/>
    </row>
    <row r="2312" spans="3:10" x14ac:dyDescent="0.2">
      <c r="C2312" s="209"/>
      <c r="D2312" s="209"/>
      <c r="E2312" s="209"/>
      <c r="J2312" s="124"/>
    </row>
    <row r="2313" spans="3:10" x14ac:dyDescent="0.2">
      <c r="C2313" s="209"/>
      <c r="D2313" s="209"/>
      <c r="E2313" s="209"/>
      <c r="J2313" s="124"/>
    </row>
    <row r="2314" spans="3:10" x14ac:dyDescent="0.2">
      <c r="C2314" s="209"/>
      <c r="D2314" s="209"/>
      <c r="E2314" s="209"/>
      <c r="J2314" s="124"/>
    </row>
    <row r="2315" spans="3:10" x14ac:dyDescent="0.2">
      <c r="C2315" s="209"/>
      <c r="D2315" s="209"/>
      <c r="E2315" s="209"/>
      <c r="J2315" s="124"/>
    </row>
    <row r="2316" spans="3:10" x14ac:dyDescent="0.2">
      <c r="C2316" s="209"/>
      <c r="D2316" s="209"/>
      <c r="E2316" s="209"/>
      <c r="J2316" s="124"/>
    </row>
    <row r="2317" spans="3:10" x14ac:dyDescent="0.2">
      <c r="C2317" s="209"/>
      <c r="D2317" s="209"/>
      <c r="E2317" s="209"/>
      <c r="J2317" s="124"/>
    </row>
    <row r="2318" spans="3:10" x14ac:dyDescent="0.2">
      <c r="C2318" s="209"/>
      <c r="D2318" s="209"/>
      <c r="E2318" s="209"/>
      <c r="J2318" s="124"/>
    </row>
    <row r="2319" spans="3:10" x14ac:dyDescent="0.2">
      <c r="C2319" s="209"/>
      <c r="D2319" s="209"/>
      <c r="E2319" s="209"/>
      <c r="J2319" s="124"/>
    </row>
    <row r="2320" spans="3:10" x14ac:dyDescent="0.2">
      <c r="C2320" s="209"/>
      <c r="D2320" s="209"/>
      <c r="E2320" s="209"/>
      <c r="J2320" s="124"/>
    </row>
    <row r="2321" spans="3:10" x14ac:dyDescent="0.2">
      <c r="C2321" s="209"/>
      <c r="D2321" s="209"/>
      <c r="E2321" s="209"/>
      <c r="J2321" s="124"/>
    </row>
    <row r="2322" spans="3:10" x14ac:dyDescent="0.2">
      <c r="C2322" s="209"/>
      <c r="D2322" s="209"/>
      <c r="E2322" s="209"/>
      <c r="J2322" s="124"/>
    </row>
    <row r="2323" spans="3:10" x14ac:dyDescent="0.2">
      <c r="C2323" s="209"/>
      <c r="D2323" s="209"/>
      <c r="E2323" s="209"/>
      <c r="J2323" s="124"/>
    </row>
    <row r="2324" spans="3:10" x14ac:dyDescent="0.2">
      <c r="C2324" s="209"/>
      <c r="D2324" s="209"/>
      <c r="E2324" s="209"/>
      <c r="J2324" s="124"/>
    </row>
    <row r="2325" spans="3:10" x14ac:dyDescent="0.2">
      <c r="C2325" s="209"/>
      <c r="D2325" s="209"/>
      <c r="E2325" s="209"/>
      <c r="J2325" s="124"/>
    </row>
    <row r="2326" spans="3:10" x14ac:dyDescent="0.2">
      <c r="C2326" s="209"/>
      <c r="D2326" s="209"/>
      <c r="E2326" s="209"/>
      <c r="J2326" s="124"/>
    </row>
    <row r="2327" spans="3:10" x14ac:dyDescent="0.2">
      <c r="C2327" s="209"/>
      <c r="D2327" s="209"/>
      <c r="E2327" s="209"/>
      <c r="J2327" s="124"/>
    </row>
    <row r="2328" spans="3:10" x14ac:dyDescent="0.2">
      <c r="C2328" s="209"/>
      <c r="D2328" s="209"/>
      <c r="E2328" s="209"/>
      <c r="J2328" s="124"/>
    </row>
    <row r="2329" spans="3:10" x14ac:dyDescent="0.2">
      <c r="C2329" s="209"/>
      <c r="D2329" s="209"/>
      <c r="E2329" s="209"/>
      <c r="J2329" s="124"/>
    </row>
    <row r="2330" spans="3:10" x14ac:dyDescent="0.2">
      <c r="C2330" s="209"/>
      <c r="D2330" s="209"/>
      <c r="E2330" s="209"/>
      <c r="J2330" s="124"/>
    </row>
    <row r="2331" spans="3:10" x14ac:dyDescent="0.2">
      <c r="C2331" s="209"/>
      <c r="D2331" s="209"/>
      <c r="E2331" s="209"/>
      <c r="J2331" s="124"/>
    </row>
    <row r="2332" spans="3:10" x14ac:dyDescent="0.2">
      <c r="C2332" s="209"/>
      <c r="D2332" s="209"/>
      <c r="E2332" s="209"/>
      <c r="J2332" s="124"/>
    </row>
    <row r="2333" spans="3:10" x14ac:dyDescent="0.2">
      <c r="C2333" s="209"/>
      <c r="D2333" s="209"/>
      <c r="E2333" s="209"/>
      <c r="J2333" s="124"/>
    </row>
    <row r="2334" spans="3:10" x14ac:dyDescent="0.2">
      <c r="C2334" s="209"/>
      <c r="D2334" s="209"/>
      <c r="E2334" s="209"/>
      <c r="J2334" s="124"/>
    </row>
    <row r="2335" spans="3:10" x14ac:dyDescent="0.2">
      <c r="C2335" s="209"/>
      <c r="D2335" s="209"/>
      <c r="E2335" s="209"/>
      <c r="J2335" s="124"/>
    </row>
    <row r="2336" spans="3:10" x14ac:dyDescent="0.2">
      <c r="C2336" s="209"/>
      <c r="D2336" s="209"/>
      <c r="E2336" s="209"/>
      <c r="J2336" s="124"/>
    </row>
    <row r="2337" spans="3:10" x14ac:dyDescent="0.2">
      <c r="C2337" s="209"/>
      <c r="D2337" s="209"/>
      <c r="E2337" s="209"/>
      <c r="J2337" s="124"/>
    </row>
    <row r="2338" spans="3:10" x14ac:dyDescent="0.2">
      <c r="C2338" s="209"/>
      <c r="D2338" s="209"/>
      <c r="E2338" s="209"/>
      <c r="J2338" s="124"/>
    </row>
    <row r="2339" spans="3:10" x14ac:dyDescent="0.2">
      <c r="C2339" s="209"/>
      <c r="D2339" s="209"/>
      <c r="E2339" s="209"/>
      <c r="J2339" s="124"/>
    </row>
    <row r="2340" spans="3:10" x14ac:dyDescent="0.2">
      <c r="C2340" s="209"/>
      <c r="D2340" s="209"/>
      <c r="E2340" s="209"/>
      <c r="J2340" s="124"/>
    </row>
    <row r="2341" spans="3:10" x14ac:dyDescent="0.2">
      <c r="C2341" s="209"/>
      <c r="D2341" s="209"/>
      <c r="E2341" s="209"/>
      <c r="J2341" s="124"/>
    </row>
    <row r="2342" spans="3:10" x14ac:dyDescent="0.2">
      <c r="C2342" s="209"/>
      <c r="D2342" s="209"/>
      <c r="E2342" s="209"/>
      <c r="J2342" s="124"/>
    </row>
    <row r="2343" spans="3:10" x14ac:dyDescent="0.2">
      <c r="C2343" s="209"/>
      <c r="D2343" s="209"/>
      <c r="E2343" s="209"/>
      <c r="J2343" s="124"/>
    </row>
    <row r="2344" spans="3:10" x14ac:dyDescent="0.2">
      <c r="C2344" s="209"/>
      <c r="D2344" s="209"/>
      <c r="E2344" s="209"/>
      <c r="J2344" s="124"/>
    </row>
    <row r="2345" spans="3:10" x14ac:dyDescent="0.2">
      <c r="C2345" s="209"/>
      <c r="D2345" s="209"/>
      <c r="E2345" s="209"/>
      <c r="J2345" s="124"/>
    </row>
    <row r="2346" spans="3:10" x14ac:dyDescent="0.2">
      <c r="C2346" s="209"/>
      <c r="D2346" s="209"/>
      <c r="E2346" s="209"/>
      <c r="J2346" s="124"/>
    </row>
    <row r="2347" spans="3:10" x14ac:dyDescent="0.2">
      <c r="C2347" s="209"/>
      <c r="D2347" s="209"/>
      <c r="E2347" s="209"/>
      <c r="J2347" s="124"/>
    </row>
    <row r="2348" spans="3:10" x14ac:dyDescent="0.2">
      <c r="C2348" s="209"/>
      <c r="D2348" s="209"/>
      <c r="E2348" s="209"/>
      <c r="J2348" s="124"/>
    </row>
    <row r="2349" spans="3:10" x14ac:dyDescent="0.2">
      <c r="C2349" s="209"/>
      <c r="D2349" s="209"/>
      <c r="E2349" s="209"/>
      <c r="J2349" s="124"/>
    </row>
    <row r="2350" spans="3:10" x14ac:dyDescent="0.2">
      <c r="C2350" s="209"/>
      <c r="D2350" s="209"/>
      <c r="E2350" s="209"/>
      <c r="J2350" s="124"/>
    </row>
    <row r="2351" spans="3:10" x14ac:dyDescent="0.2">
      <c r="C2351" s="209"/>
      <c r="D2351" s="209"/>
      <c r="E2351" s="209"/>
      <c r="J2351" s="124"/>
    </row>
    <row r="2352" spans="3:10" x14ac:dyDescent="0.2">
      <c r="C2352" s="209"/>
      <c r="D2352" s="209"/>
      <c r="E2352" s="209"/>
      <c r="J2352" s="124"/>
    </row>
    <row r="2353" spans="3:10" x14ac:dyDescent="0.2">
      <c r="C2353" s="209"/>
      <c r="D2353" s="209"/>
      <c r="E2353" s="209"/>
      <c r="J2353" s="124"/>
    </row>
    <row r="2354" spans="3:10" x14ac:dyDescent="0.2">
      <c r="C2354" s="209"/>
      <c r="D2354" s="209"/>
      <c r="E2354" s="209"/>
      <c r="J2354" s="124"/>
    </row>
    <row r="2355" spans="3:10" x14ac:dyDescent="0.2">
      <c r="C2355" s="209"/>
      <c r="D2355" s="209"/>
      <c r="E2355" s="209"/>
      <c r="J2355" s="124"/>
    </row>
    <row r="2356" spans="3:10" x14ac:dyDescent="0.2">
      <c r="C2356" s="209"/>
      <c r="D2356" s="209"/>
      <c r="E2356" s="209"/>
      <c r="J2356" s="124"/>
    </row>
    <row r="2357" spans="3:10" x14ac:dyDescent="0.2">
      <c r="C2357" s="209"/>
      <c r="D2357" s="209"/>
      <c r="E2357" s="209"/>
      <c r="J2357" s="124"/>
    </row>
    <row r="2358" spans="3:10" x14ac:dyDescent="0.2">
      <c r="C2358" s="209"/>
      <c r="D2358" s="209"/>
      <c r="E2358" s="209"/>
      <c r="J2358" s="124"/>
    </row>
    <row r="2359" spans="3:10" x14ac:dyDescent="0.2">
      <c r="C2359" s="209"/>
      <c r="D2359" s="209"/>
      <c r="E2359" s="209"/>
      <c r="J2359" s="124"/>
    </row>
    <row r="2360" spans="3:10" x14ac:dyDescent="0.2">
      <c r="C2360" s="209"/>
      <c r="D2360" s="209"/>
      <c r="E2360" s="209"/>
      <c r="J2360" s="124"/>
    </row>
    <row r="2361" spans="3:10" x14ac:dyDescent="0.2">
      <c r="C2361" s="209"/>
      <c r="D2361" s="209"/>
      <c r="E2361" s="209"/>
      <c r="J2361" s="124"/>
    </row>
    <row r="2362" spans="3:10" x14ac:dyDescent="0.2">
      <c r="C2362" s="209"/>
      <c r="D2362" s="209"/>
      <c r="E2362" s="209"/>
      <c r="J2362" s="124"/>
    </row>
    <row r="2363" spans="3:10" x14ac:dyDescent="0.2">
      <c r="C2363" s="209"/>
      <c r="D2363" s="209"/>
      <c r="E2363" s="209"/>
      <c r="J2363" s="124"/>
    </row>
    <row r="2364" spans="3:10" x14ac:dyDescent="0.2">
      <c r="C2364" s="209"/>
      <c r="D2364" s="209"/>
      <c r="E2364" s="209"/>
      <c r="J2364" s="124"/>
    </row>
    <row r="2365" spans="3:10" x14ac:dyDescent="0.2">
      <c r="C2365" s="209"/>
      <c r="D2365" s="209"/>
      <c r="E2365" s="209"/>
      <c r="J2365" s="124"/>
    </row>
    <row r="2366" spans="3:10" x14ac:dyDescent="0.2">
      <c r="C2366" s="209"/>
      <c r="D2366" s="209"/>
      <c r="E2366" s="209"/>
      <c r="J2366" s="124"/>
    </row>
    <row r="2367" spans="3:10" x14ac:dyDescent="0.2">
      <c r="C2367" s="209"/>
      <c r="D2367" s="209"/>
      <c r="E2367" s="209"/>
      <c r="J2367" s="124"/>
    </row>
    <row r="2368" spans="3:10" x14ac:dyDescent="0.2">
      <c r="C2368" s="209"/>
      <c r="D2368" s="209"/>
      <c r="E2368" s="209"/>
      <c r="J2368" s="124"/>
    </row>
    <row r="2369" spans="3:10" x14ac:dyDescent="0.2">
      <c r="C2369" s="209"/>
      <c r="D2369" s="209"/>
      <c r="E2369" s="209"/>
      <c r="J2369" s="124"/>
    </row>
    <row r="2370" spans="3:10" x14ac:dyDescent="0.2">
      <c r="C2370" s="209"/>
      <c r="D2370" s="209"/>
      <c r="E2370" s="209"/>
      <c r="J2370" s="124"/>
    </row>
    <row r="2371" spans="3:10" x14ac:dyDescent="0.2">
      <c r="C2371" s="209"/>
      <c r="D2371" s="209"/>
      <c r="E2371" s="209"/>
      <c r="J2371" s="124"/>
    </row>
    <row r="2372" spans="3:10" x14ac:dyDescent="0.2">
      <c r="C2372" s="209"/>
      <c r="D2372" s="209"/>
      <c r="E2372" s="209"/>
      <c r="J2372" s="124"/>
    </row>
    <row r="2373" spans="3:10" x14ac:dyDescent="0.2">
      <c r="C2373" s="209"/>
      <c r="D2373" s="209"/>
      <c r="E2373" s="209"/>
      <c r="J2373" s="124"/>
    </row>
    <row r="2374" spans="3:10" x14ac:dyDescent="0.2">
      <c r="C2374" s="209"/>
      <c r="D2374" s="209"/>
      <c r="E2374" s="209"/>
      <c r="J2374" s="124"/>
    </row>
    <row r="2375" spans="3:10" x14ac:dyDescent="0.2">
      <c r="C2375" s="209"/>
      <c r="D2375" s="209"/>
      <c r="E2375" s="209"/>
      <c r="J2375" s="124"/>
    </row>
    <row r="2376" spans="3:10" x14ac:dyDescent="0.2">
      <c r="C2376" s="209"/>
      <c r="D2376" s="209"/>
      <c r="E2376" s="209"/>
      <c r="J2376" s="124"/>
    </row>
    <row r="2377" spans="3:10" x14ac:dyDescent="0.2">
      <c r="C2377" s="209"/>
      <c r="D2377" s="209"/>
      <c r="E2377" s="209"/>
      <c r="J2377" s="124"/>
    </row>
    <row r="2378" spans="3:10" x14ac:dyDescent="0.2">
      <c r="C2378" s="209"/>
      <c r="D2378" s="209"/>
      <c r="E2378" s="209"/>
      <c r="J2378" s="124"/>
    </row>
    <row r="2379" spans="3:10" x14ac:dyDescent="0.2">
      <c r="C2379" s="209"/>
      <c r="D2379" s="209"/>
      <c r="E2379" s="209"/>
      <c r="J2379" s="124"/>
    </row>
    <row r="2380" spans="3:10" x14ac:dyDescent="0.2">
      <c r="C2380" s="209"/>
      <c r="D2380" s="209"/>
      <c r="E2380" s="209"/>
      <c r="J2380" s="124"/>
    </row>
    <row r="2381" spans="3:10" x14ac:dyDescent="0.2">
      <c r="C2381" s="209"/>
      <c r="D2381" s="209"/>
      <c r="E2381" s="209"/>
      <c r="J2381" s="124"/>
    </row>
    <row r="2382" spans="3:10" x14ac:dyDescent="0.2">
      <c r="C2382" s="209"/>
      <c r="D2382" s="209"/>
      <c r="E2382" s="209"/>
      <c r="J2382" s="124"/>
    </row>
    <row r="2383" spans="3:10" x14ac:dyDescent="0.2">
      <c r="C2383" s="209"/>
      <c r="D2383" s="209"/>
      <c r="E2383" s="209"/>
      <c r="J2383" s="124"/>
    </row>
    <row r="2384" spans="3:10" x14ac:dyDescent="0.2">
      <c r="C2384" s="209"/>
      <c r="D2384" s="209"/>
      <c r="E2384" s="209"/>
      <c r="J2384" s="124"/>
    </row>
    <row r="2385" spans="3:10" x14ac:dyDescent="0.2">
      <c r="C2385" s="209"/>
      <c r="D2385" s="209"/>
      <c r="E2385" s="209"/>
      <c r="J2385" s="124"/>
    </row>
    <row r="2386" spans="3:10" x14ac:dyDescent="0.2">
      <c r="C2386" s="209"/>
      <c r="D2386" s="209"/>
      <c r="E2386" s="209"/>
      <c r="J2386" s="124"/>
    </row>
    <row r="2387" spans="3:10" x14ac:dyDescent="0.2">
      <c r="C2387" s="209"/>
      <c r="D2387" s="209"/>
      <c r="E2387" s="209"/>
      <c r="J2387" s="124"/>
    </row>
    <row r="2388" spans="3:10" x14ac:dyDescent="0.2">
      <c r="C2388" s="209"/>
      <c r="D2388" s="209"/>
      <c r="E2388" s="209"/>
      <c r="J2388" s="124"/>
    </row>
    <row r="2389" spans="3:10" x14ac:dyDescent="0.2">
      <c r="C2389" s="209"/>
      <c r="D2389" s="209"/>
      <c r="E2389" s="209"/>
      <c r="J2389" s="124"/>
    </row>
    <row r="2390" spans="3:10" x14ac:dyDescent="0.2">
      <c r="C2390" s="209"/>
      <c r="D2390" s="209"/>
      <c r="E2390" s="209"/>
      <c r="J2390" s="124"/>
    </row>
    <row r="2391" spans="3:10" x14ac:dyDescent="0.2">
      <c r="C2391" s="209"/>
      <c r="D2391" s="209"/>
      <c r="E2391" s="209"/>
      <c r="J2391" s="124"/>
    </row>
    <row r="2392" spans="3:10" x14ac:dyDescent="0.2">
      <c r="C2392" s="209"/>
      <c r="D2392" s="209"/>
      <c r="E2392" s="209"/>
      <c r="J2392" s="124"/>
    </row>
    <row r="2393" spans="3:10" x14ac:dyDescent="0.2">
      <c r="C2393" s="209"/>
      <c r="D2393" s="209"/>
      <c r="E2393" s="209"/>
      <c r="J2393" s="124"/>
    </row>
    <row r="2394" spans="3:10" x14ac:dyDescent="0.2">
      <c r="C2394" s="209"/>
      <c r="D2394" s="209"/>
      <c r="E2394" s="209"/>
      <c r="J2394" s="124"/>
    </row>
    <row r="2395" spans="3:10" x14ac:dyDescent="0.2">
      <c r="C2395" s="209"/>
      <c r="D2395" s="209"/>
      <c r="E2395" s="209"/>
      <c r="J2395" s="124"/>
    </row>
    <row r="2396" spans="3:10" x14ac:dyDescent="0.2">
      <c r="C2396" s="209"/>
      <c r="D2396" s="209"/>
      <c r="E2396" s="209"/>
      <c r="J2396" s="124"/>
    </row>
    <row r="2397" spans="3:10" x14ac:dyDescent="0.2">
      <c r="C2397" s="209"/>
      <c r="D2397" s="209"/>
      <c r="E2397" s="209"/>
      <c r="J2397" s="124"/>
    </row>
    <row r="2398" spans="3:10" x14ac:dyDescent="0.2">
      <c r="C2398" s="209"/>
      <c r="D2398" s="209"/>
      <c r="E2398" s="209"/>
      <c r="J2398" s="124"/>
    </row>
    <row r="2399" spans="3:10" x14ac:dyDescent="0.2">
      <c r="C2399" s="209"/>
      <c r="D2399" s="209"/>
      <c r="E2399" s="209"/>
      <c r="J2399" s="124"/>
    </row>
    <row r="2400" spans="3:10" x14ac:dyDescent="0.2">
      <c r="C2400" s="209"/>
      <c r="D2400" s="209"/>
      <c r="E2400" s="209"/>
      <c r="J2400" s="124"/>
    </row>
    <row r="2401" spans="3:10" x14ac:dyDescent="0.2">
      <c r="C2401" s="209"/>
      <c r="D2401" s="209"/>
      <c r="E2401" s="209"/>
      <c r="J2401" s="124"/>
    </row>
    <row r="2402" spans="3:10" x14ac:dyDescent="0.2">
      <c r="C2402" s="209"/>
      <c r="D2402" s="209"/>
      <c r="E2402" s="209"/>
      <c r="J2402" s="124"/>
    </row>
    <row r="2403" spans="3:10" x14ac:dyDescent="0.2">
      <c r="C2403" s="209"/>
      <c r="D2403" s="209"/>
      <c r="E2403" s="209"/>
      <c r="J2403" s="124"/>
    </row>
    <row r="2404" spans="3:10" x14ac:dyDescent="0.2">
      <c r="C2404" s="209"/>
      <c r="D2404" s="209"/>
      <c r="E2404" s="209"/>
      <c r="J2404" s="124"/>
    </row>
    <row r="2405" spans="3:10" x14ac:dyDescent="0.2">
      <c r="C2405" s="209"/>
      <c r="D2405" s="209"/>
      <c r="E2405" s="209"/>
      <c r="J2405" s="124"/>
    </row>
    <row r="2406" spans="3:10" x14ac:dyDescent="0.2">
      <c r="C2406" s="209"/>
      <c r="D2406" s="209"/>
      <c r="E2406" s="209"/>
      <c r="J2406" s="124"/>
    </row>
    <row r="2407" spans="3:10" x14ac:dyDescent="0.2">
      <c r="C2407" s="209"/>
      <c r="D2407" s="209"/>
      <c r="E2407" s="209"/>
      <c r="J2407" s="124"/>
    </row>
    <row r="2408" spans="3:10" x14ac:dyDescent="0.2">
      <c r="C2408" s="209"/>
      <c r="D2408" s="209"/>
      <c r="E2408" s="209"/>
      <c r="J2408" s="124"/>
    </row>
    <row r="2409" spans="3:10" x14ac:dyDescent="0.2">
      <c r="C2409" s="209"/>
      <c r="D2409" s="209"/>
      <c r="E2409" s="209"/>
      <c r="J2409" s="124"/>
    </row>
    <row r="2410" spans="3:10" x14ac:dyDescent="0.2">
      <c r="C2410" s="209"/>
      <c r="D2410" s="209"/>
      <c r="E2410" s="209"/>
      <c r="J2410" s="124"/>
    </row>
    <row r="2411" spans="3:10" x14ac:dyDescent="0.2">
      <c r="C2411" s="209"/>
      <c r="D2411" s="209"/>
      <c r="E2411" s="209"/>
      <c r="J2411" s="124"/>
    </row>
    <row r="2412" spans="3:10" x14ac:dyDescent="0.2">
      <c r="C2412" s="209"/>
      <c r="D2412" s="209"/>
      <c r="E2412" s="209"/>
      <c r="J2412" s="124"/>
    </row>
    <row r="2413" spans="3:10" x14ac:dyDescent="0.2">
      <c r="C2413" s="209"/>
      <c r="D2413" s="209"/>
      <c r="E2413" s="209"/>
      <c r="J2413" s="124"/>
    </row>
    <row r="2414" spans="3:10" x14ac:dyDescent="0.2">
      <c r="C2414" s="209"/>
      <c r="D2414" s="209"/>
      <c r="E2414" s="209"/>
      <c r="J2414" s="124"/>
    </row>
    <row r="2415" spans="3:10" x14ac:dyDescent="0.2">
      <c r="C2415" s="209"/>
      <c r="D2415" s="209"/>
      <c r="E2415" s="209"/>
      <c r="J2415" s="124"/>
    </row>
    <row r="2416" spans="3:10" x14ac:dyDescent="0.2">
      <c r="C2416" s="209"/>
      <c r="D2416" s="209"/>
      <c r="E2416" s="209"/>
      <c r="J2416" s="124"/>
    </row>
    <row r="2417" spans="3:10" x14ac:dyDescent="0.2">
      <c r="C2417" s="209"/>
      <c r="D2417" s="209"/>
      <c r="E2417" s="209"/>
      <c r="J2417" s="124"/>
    </row>
    <row r="2418" spans="3:10" x14ac:dyDescent="0.2">
      <c r="C2418" s="209"/>
      <c r="D2418" s="209"/>
      <c r="E2418" s="209"/>
      <c r="J2418" s="124"/>
    </row>
    <row r="2419" spans="3:10" x14ac:dyDescent="0.2">
      <c r="C2419" s="209"/>
      <c r="D2419" s="209"/>
      <c r="E2419" s="209"/>
      <c r="J2419" s="124"/>
    </row>
    <row r="2420" spans="3:10" x14ac:dyDescent="0.2">
      <c r="C2420" s="209"/>
      <c r="D2420" s="209"/>
      <c r="E2420" s="209"/>
      <c r="J2420" s="124"/>
    </row>
    <row r="2421" spans="3:10" x14ac:dyDescent="0.2">
      <c r="C2421" s="209"/>
      <c r="D2421" s="209"/>
      <c r="E2421" s="209"/>
      <c r="J2421" s="124"/>
    </row>
    <row r="2422" spans="3:10" x14ac:dyDescent="0.2">
      <c r="C2422" s="209"/>
      <c r="D2422" s="209"/>
      <c r="E2422" s="209"/>
      <c r="J2422" s="124"/>
    </row>
    <row r="2423" spans="3:10" x14ac:dyDescent="0.2">
      <c r="C2423" s="209"/>
      <c r="D2423" s="209"/>
      <c r="E2423" s="209"/>
      <c r="J2423" s="124"/>
    </row>
    <row r="2424" spans="3:10" x14ac:dyDescent="0.2">
      <c r="C2424" s="209"/>
      <c r="D2424" s="209"/>
      <c r="E2424" s="209"/>
      <c r="J2424" s="124"/>
    </row>
    <row r="2425" spans="3:10" x14ac:dyDescent="0.2">
      <c r="C2425" s="209"/>
      <c r="D2425" s="209"/>
      <c r="E2425" s="209"/>
      <c r="J2425" s="124"/>
    </row>
    <row r="2426" spans="3:10" x14ac:dyDescent="0.2">
      <c r="C2426" s="209"/>
      <c r="D2426" s="209"/>
      <c r="E2426" s="209"/>
      <c r="J2426" s="124"/>
    </row>
    <row r="2427" spans="3:10" x14ac:dyDescent="0.2">
      <c r="C2427" s="209"/>
      <c r="D2427" s="209"/>
      <c r="E2427" s="209"/>
      <c r="J2427" s="124"/>
    </row>
    <row r="2428" spans="3:10" x14ac:dyDescent="0.2">
      <c r="C2428" s="209"/>
      <c r="D2428" s="209"/>
      <c r="E2428" s="209"/>
      <c r="J2428" s="124"/>
    </row>
    <row r="2429" spans="3:10" x14ac:dyDescent="0.2">
      <c r="C2429" s="209"/>
      <c r="D2429" s="209"/>
      <c r="E2429" s="209"/>
      <c r="J2429" s="124"/>
    </row>
    <row r="2430" spans="3:10" x14ac:dyDescent="0.2">
      <c r="C2430" s="209"/>
      <c r="D2430" s="209"/>
      <c r="E2430" s="209"/>
      <c r="J2430" s="124"/>
    </row>
    <row r="2431" spans="3:10" x14ac:dyDescent="0.2">
      <c r="C2431" s="209"/>
      <c r="D2431" s="209"/>
      <c r="E2431" s="209"/>
      <c r="J2431" s="124"/>
    </row>
    <row r="2432" spans="3:10" x14ac:dyDescent="0.2">
      <c r="C2432" s="209"/>
      <c r="D2432" s="209"/>
      <c r="E2432" s="209"/>
      <c r="J2432" s="124"/>
    </row>
    <row r="2433" spans="3:10" x14ac:dyDescent="0.2">
      <c r="C2433" s="209"/>
      <c r="D2433" s="209"/>
      <c r="E2433" s="209"/>
      <c r="J2433" s="124"/>
    </row>
    <row r="2434" spans="3:10" x14ac:dyDescent="0.2">
      <c r="C2434" s="209"/>
      <c r="D2434" s="209"/>
      <c r="E2434" s="209"/>
      <c r="J2434" s="124"/>
    </row>
    <row r="2435" spans="3:10" x14ac:dyDescent="0.2">
      <c r="C2435" s="209"/>
      <c r="D2435" s="209"/>
      <c r="E2435" s="209"/>
      <c r="J2435" s="124"/>
    </row>
    <row r="2436" spans="3:10" x14ac:dyDescent="0.2">
      <c r="C2436" s="209"/>
      <c r="D2436" s="209"/>
      <c r="E2436" s="209"/>
      <c r="J2436" s="124"/>
    </row>
    <row r="2437" spans="3:10" x14ac:dyDescent="0.2">
      <c r="C2437" s="209"/>
      <c r="D2437" s="209"/>
      <c r="E2437" s="209"/>
      <c r="J2437" s="124"/>
    </row>
    <row r="2438" spans="3:10" x14ac:dyDescent="0.2">
      <c r="C2438" s="209"/>
      <c r="D2438" s="209"/>
      <c r="E2438" s="209"/>
      <c r="J2438" s="124"/>
    </row>
    <row r="2439" spans="3:10" x14ac:dyDescent="0.2">
      <c r="C2439" s="209"/>
      <c r="D2439" s="209"/>
      <c r="E2439" s="209"/>
      <c r="J2439" s="124"/>
    </row>
    <row r="2440" spans="3:10" x14ac:dyDescent="0.2">
      <c r="C2440" s="209"/>
      <c r="D2440" s="209"/>
      <c r="E2440" s="209"/>
      <c r="J2440" s="124"/>
    </row>
    <row r="2441" spans="3:10" x14ac:dyDescent="0.2">
      <c r="C2441" s="209"/>
      <c r="D2441" s="209"/>
      <c r="E2441" s="209"/>
      <c r="J2441" s="124"/>
    </row>
    <row r="2442" spans="3:10" x14ac:dyDescent="0.2">
      <c r="C2442" s="209"/>
      <c r="D2442" s="209"/>
      <c r="E2442" s="209"/>
      <c r="J2442" s="124"/>
    </row>
    <row r="2443" spans="3:10" x14ac:dyDescent="0.2">
      <c r="C2443" s="209"/>
      <c r="D2443" s="209"/>
      <c r="E2443" s="209"/>
      <c r="J2443" s="124"/>
    </row>
    <row r="2444" spans="3:10" x14ac:dyDescent="0.2">
      <c r="C2444" s="209"/>
      <c r="D2444" s="209"/>
      <c r="E2444" s="209"/>
      <c r="J2444" s="124"/>
    </row>
    <row r="2445" spans="3:10" x14ac:dyDescent="0.2">
      <c r="C2445" s="209"/>
      <c r="D2445" s="209"/>
      <c r="E2445" s="209"/>
      <c r="J2445" s="124"/>
    </row>
    <row r="2446" spans="3:10" x14ac:dyDescent="0.2">
      <c r="C2446" s="209"/>
      <c r="D2446" s="209"/>
      <c r="E2446" s="209"/>
      <c r="J2446" s="124"/>
    </row>
    <row r="2447" spans="3:10" x14ac:dyDescent="0.2">
      <c r="C2447" s="209"/>
      <c r="D2447" s="209"/>
      <c r="E2447" s="209"/>
      <c r="J2447" s="124"/>
    </row>
    <row r="2448" spans="3:10" x14ac:dyDescent="0.2">
      <c r="C2448" s="209"/>
      <c r="D2448" s="209"/>
      <c r="E2448" s="209"/>
      <c r="J2448" s="124"/>
    </row>
    <row r="2449" spans="3:10" x14ac:dyDescent="0.2">
      <c r="C2449" s="209"/>
      <c r="D2449" s="209"/>
      <c r="E2449" s="209"/>
      <c r="J2449" s="124"/>
    </row>
    <row r="2450" spans="3:10" x14ac:dyDescent="0.2">
      <c r="C2450" s="209"/>
      <c r="D2450" s="209"/>
      <c r="E2450" s="209"/>
      <c r="J2450" s="124"/>
    </row>
    <row r="2451" spans="3:10" x14ac:dyDescent="0.2">
      <c r="C2451" s="209"/>
      <c r="D2451" s="209"/>
      <c r="E2451" s="209"/>
      <c r="J2451" s="124"/>
    </row>
    <row r="2452" spans="3:10" x14ac:dyDescent="0.2">
      <c r="C2452" s="209"/>
      <c r="D2452" s="209"/>
      <c r="E2452" s="209"/>
      <c r="J2452" s="124"/>
    </row>
    <row r="2453" spans="3:10" x14ac:dyDescent="0.2">
      <c r="C2453" s="209"/>
      <c r="D2453" s="209"/>
      <c r="E2453" s="209"/>
      <c r="J2453" s="124"/>
    </row>
    <row r="2454" spans="3:10" x14ac:dyDescent="0.2">
      <c r="C2454" s="209"/>
      <c r="D2454" s="209"/>
      <c r="E2454" s="209"/>
      <c r="J2454" s="124"/>
    </row>
    <row r="2455" spans="3:10" x14ac:dyDescent="0.2">
      <c r="C2455" s="209"/>
      <c r="D2455" s="209"/>
      <c r="E2455" s="209"/>
      <c r="J2455" s="124"/>
    </row>
    <row r="2456" spans="3:10" x14ac:dyDescent="0.2">
      <c r="C2456" s="209"/>
      <c r="D2456" s="209"/>
      <c r="E2456" s="209"/>
      <c r="J2456" s="124"/>
    </row>
    <row r="2457" spans="3:10" x14ac:dyDescent="0.2">
      <c r="C2457" s="209"/>
      <c r="D2457" s="209"/>
      <c r="E2457" s="209"/>
      <c r="J2457" s="124"/>
    </row>
    <row r="2458" spans="3:10" x14ac:dyDescent="0.2">
      <c r="C2458" s="209"/>
      <c r="D2458" s="209"/>
      <c r="E2458" s="209"/>
      <c r="J2458" s="124"/>
    </row>
    <row r="2459" spans="3:10" x14ac:dyDescent="0.2">
      <c r="C2459" s="209"/>
      <c r="D2459" s="209"/>
      <c r="E2459" s="209"/>
      <c r="J2459" s="124"/>
    </row>
    <row r="2460" spans="3:10" x14ac:dyDescent="0.2">
      <c r="C2460" s="209"/>
      <c r="D2460" s="209"/>
      <c r="E2460" s="209"/>
      <c r="J2460" s="124"/>
    </row>
    <row r="2461" spans="3:10" x14ac:dyDescent="0.2">
      <c r="C2461" s="209"/>
      <c r="D2461" s="209"/>
      <c r="E2461" s="209"/>
      <c r="J2461" s="124"/>
    </row>
    <row r="2462" spans="3:10" x14ac:dyDescent="0.2">
      <c r="C2462" s="209"/>
      <c r="D2462" s="209"/>
      <c r="E2462" s="209"/>
      <c r="J2462" s="124"/>
    </row>
    <row r="2463" spans="3:10" x14ac:dyDescent="0.2">
      <c r="C2463" s="209"/>
      <c r="D2463" s="209"/>
      <c r="E2463" s="209"/>
      <c r="J2463" s="124"/>
    </row>
    <row r="2464" spans="3:10" x14ac:dyDescent="0.2">
      <c r="C2464" s="209"/>
      <c r="D2464" s="209"/>
      <c r="E2464" s="209"/>
      <c r="J2464" s="124"/>
    </row>
    <row r="2465" spans="3:10" x14ac:dyDescent="0.2">
      <c r="C2465" s="209"/>
      <c r="D2465" s="209"/>
      <c r="E2465" s="209"/>
      <c r="J2465" s="124"/>
    </row>
    <row r="2466" spans="3:10" x14ac:dyDescent="0.2">
      <c r="C2466" s="209"/>
      <c r="D2466" s="209"/>
      <c r="E2466" s="209"/>
      <c r="J2466" s="124"/>
    </row>
    <row r="2467" spans="3:10" x14ac:dyDescent="0.2">
      <c r="C2467" s="209"/>
      <c r="D2467" s="209"/>
      <c r="E2467" s="209"/>
      <c r="J2467" s="124"/>
    </row>
    <row r="2468" spans="3:10" x14ac:dyDescent="0.2">
      <c r="C2468" s="209"/>
      <c r="D2468" s="209"/>
      <c r="E2468" s="209"/>
      <c r="J2468" s="124"/>
    </row>
    <row r="2469" spans="3:10" x14ac:dyDescent="0.2">
      <c r="C2469" s="209"/>
      <c r="D2469" s="209"/>
      <c r="E2469" s="209"/>
      <c r="J2469" s="124"/>
    </row>
    <row r="2470" spans="3:10" x14ac:dyDescent="0.2">
      <c r="C2470" s="209"/>
      <c r="D2470" s="209"/>
      <c r="E2470" s="209"/>
      <c r="J2470" s="124"/>
    </row>
    <row r="2471" spans="3:10" x14ac:dyDescent="0.2">
      <c r="C2471" s="209"/>
      <c r="D2471" s="209"/>
      <c r="E2471" s="209"/>
      <c r="J2471" s="124"/>
    </row>
    <row r="2472" spans="3:10" x14ac:dyDescent="0.2">
      <c r="C2472" s="209"/>
      <c r="D2472" s="209"/>
      <c r="E2472" s="209"/>
      <c r="J2472" s="124"/>
    </row>
    <row r="2473" spans="3:10" x14ac:dyDescent="0.2">
      <c r="C2473" s="209"/>
      <c r="D2473" s="209"/>
      <c r="E2473" s="209"/>
      <c r="J2473" s="124"/>
    </row>
    <row r="2474" spans="3:10" x14ac:dyDescent="0.2">
      <c r="C2474" s="209"/>
      <c r="D2474" s="209"/>
      <c r="E2474" s="209"/>
      <c r="J2474" s="124"/>
    </row>
    <row r="2475" spans="3:10" x14ac:dyDescent="0.2">
      <c r="C2475" s="209"/>
      <c r="D2475" s="209"/>
      <c r="E2475" s="209"/>
      <c r="J2475" s="124"/>
    </row>
    <row r="2476" spans="3:10" x14ac:dyDescent="0.2">
      <c r="C2476" s="209"/>
      <c r="D2476" s="209"/>
      <c r="E2476" s="209"/>
      <c r="J2476" s="124"/>
    </row>
    <row r="2477" spans="3:10" x14ac:dyDescent="0.2">
      <c r="C2477" s="209"/>
      <c r="D2477" s="209"/>
      <c r="E2477" s="209"/>
      <c r="J2477" s="124"/>
    </row>
    <row r="2478" spans="3:10" x14ac:dyDescent="0.2">
      <c r="C2478" s="209"/>
      <c r="D2478" s="209"/>
      <c r="E2478" s="209"/>
      <c r="J2478" s="124"/>
    </row>
    <row r="2479" spans="3:10" x14ac:dyDescent="0.2">
      <c r="C2479" s="209"/>
      <c r="D2479" s="209"/>
      <c r="E2479" s="209"/>
      <c r="J2479" s="124"/>
    </row>
    <row r="2480" spans="3:10" x14ac:dyDescent="0.2">
      <c r="C2480" s="209"/>
      <c r="D2480" s="209"/>
      <c r="E2480" s="209"/>
      <c r="J2480" s="124"/>
    </row>
    <row r="2481" spans="3:10" x14ac:dyDescent="0.2">
      <c r="C2481" s="209"/>
      <c r="D2481" s="209"/>
      <c r="E2481" s="209"/>
      <c r="J2481" s="124"/>
    </row>
    <row r="2482" spans="3:10" x14ac:dyDescent="0.2">
      <c r="C2482" s="209"/>
      <c r="D2482" s="209"/>
      <c r="E2482" s="209"/>
      <c r="J2482" s="124"/>
    </row>
    <row r="2483" spans="3:10" x14ac:dyDescent="0.2">
      <c r="C2483" s="209"/>
      <c r="D2483" s="209"/>
      <c r="E2483" s="209"/>
      <c r="J2483" s="124"/>
    </row>
    <row r="2484" spans="3:10" x14ac:dyDescent="0.2">
      <c r="C2484" s="209"/>
      <c r="D2484" s="209"/>
      <c r="E2484" s="209"/>
      <c r="J2484" s="124"/>
    </row>
    <row r="2485" spans="3:10" x14ac:dyDescent="0.2">
      <c r="C2485" s="209"/>
      <c r="D2485" s="209"/>
      <c r="E2485" s="209"/>
      <c r="J2485" s="124"/>
    </row>
    <row r="2486" spans="3:10" x14ac:dyDescent="0.2">
      <c r="C2486" s="209"/>
      <c r="D2486" s="209"/>
      <c r="E2486" s="209"/>
      <c r="J2486" s="124"/>
    </row>
    <row r="2487" spans="3:10" x14ac:dyDescent="0.2">
      <c r="C2487" s="209"/>
      <c r="D2487" s="209"/>
      <c r="E2487" s="209"/>
      <c r="J2487" s="124"/>
    </row>
    <row r="2488" spans="3:10" x14ac:dyDescent="0.2">
      <c r="C2488" s="209"/>
      <c r="D2488" s="209"/>
      <c r="E2488" s="209"/>
      <c r="J2488" s="124"/>
    </row>
    <row r="2489" spans="3:10" x14ac:dyDescent="0.2">
      <c r="C2489" s="209"/>
      <c r="D2489" s="209"/>
      <c r="E2489" s="209"/>
      <c r="J2489" s="124"/>
    </row>
    <row r="2490" spans="3:10" x14ac:dyDescent="0.2">
      <c r="C2490" s="209"/>
      <c r="D2490" s="209"/>
      <c r="E2490" s="209"/>
      <c r="J2490" s="124"/>
    </row>
    <row r="2491" spans="3:10" x14ac:dyDescent="0.2">
      <c r="C2491" s="209"/>
      <c r="D2491" s="209"/>
      <c r="E2491" s="209"/>
      <c r="J2491" s="124"/>
    </row>
    <row r="2492" spans="3:10" x14ac:dyDescent="0.2">
      <c r="C2492" s="209"/>
      <c r="D2492" s="209"/>
      <c r="E2492" s="209"/>
      <c r="J2492" s="124"/>
    </row>
    <row r="2493" spans="3:10" x14ac:dyDescent="0.2">
      <c r="C2493" s="209"/>
      <c r="D2493" s="209"/>
      <c r="E2493" s="209"/>
      <c r="J2493" s="124"/>
    </row>
    <row r="2494" spans="3:10" x14ac:dyDescent="0.2">
      <c r="C2494" s="209"/>
      <c r="D2494" s="209"/>
      <c r="E2494" s="209"/>
      <c r="J2494" s="124"/>
    </row>
    <row r="2495" spans="3:10" x14ac:dyDescent="0.2">
      <c r="C2495" s="209"/>
      <c r="D2495" s="209"/>
      <c r="E2495" s="209"/>
      <c r="J2495" s="124"/>
    </row>
    <row r="2496" spans="3:10" x14ac:dyDescent="0.2">
      <c r="C2496" s="209"/>
      <c r="D2496" s="209"/>
      <c r="E2496" s="209"/>
      <c r="J2496" s="124"/>
    </row>
    <row r="2497" spans="3:10" x14ac:dyDescent="0.2">
      <c r="C2497" s="209"/>
      <c r="D2497" s="209"/>
      <c r="E2497" s="209"/>
      <c r="J2497" s="124"/>
    </row>
    <row r="2498" spans="3:10" x14ac:dyDescent="0.2">
      <c r="C2498" s="209"/>
      <c r="D2498" s="209"/>
      <c r="E2498" s="209"/>
      <c r="J2498" s="124"/>
    </row>
    <row r="2499" spans="3:10" x14ac:dyDescent="0.2">
      <c r="C2499" s="209"/>
      <c r="D2499" s="209"/>
      <c r="E2499" s="209"/>
      <c r="J2499" s="124"/>
    </row>
    <row r="2500" spans="3:10" x14ac:dyDescent="0.2">
      <c r="C2500" s="209"/>
      <c r="D2500" s="209"/>
      <c r="E2500" s="209"/>
      <c r="J2500" s="124"/>
    </row>
    <row r="2501" spans="3:10" x14ac:dyDescent="0.2">
      <c r="C2501" s="209"/>
      <c r="D2501" s="209"/>
      <c r="E2501" s="209"/>
      <c r="J2501" s="124"/>
    </row>
    <row r="2502" spans="3:10" x14ac:dyDescent="0.2">
      <c r="C2502" s="209"/>
      <c r="D2502" s="209"/>
      <c r="E2502" s="209"/>
      <c r="J2502" s="124"/>
    </row>
    <row r="2503" spans="3:10" x14ac:dyDescent="0.2">
      <c r="C2503" s="209"/>
      <c r="D2503" s="209"/>
      <c r="E2503" s="209"/>
      <c r="J2503" s="124"/>
    </row>
    <row r="2504" spans="3:10" x14ac:dyDescent="0.2">
      <c r="C2504" s="209"/>
      <c r="D2504" s="209"/>
      <c r="E2504" s="209"/>
      <c r="J2504" s="124"/>
    </row>
    <row r="2505" spans="3:10" x14ac:dyDescent="0.2">
      <c r="C2505" s="209"/>
      <c r="D2505" s="209"/>
      <c r="E2505" s="209"/>
      <c r="J2505" s="124"/>
    </row>
    <row r="2506" spans="3:10" x14ac:dyDescent="0.2">
      <c r="C2506" s="209"/>
      <c r="D2506" s="209"/>
      <c r="E2506" s="209"/>
      <c r="J2506" s="124"/>
    </row>
    <row r="2507" spans="3:10" x14ac:dyDescent="0.2">
      <c r="C2507" s="209"/>
      <c r="D2507" s="209"/>
      <c r="E2507" s="209"/>
      <c r="J2507" s="124"/>
    </row>
    <row r="2508" spans="3:10" x14ac:dyDescent="0.2">
      <c r="C2508" s="209"/>
      <c r="D2508" s="209"/>
      <c r="E2508" s="209"/>
      <c r="J2508" s="124"/>
    </row>
    <row r="2509" spans="3:10" x14ac:dyDescent="0.2">
      <c r="C2509" s="209"/>
      <c r="D2509" s="209"/>
      <c r="E2509" s="209"/>
      <c r="J2509" s="124"/>
    </row>
    <row r="2510" spans="3:10" x14ac:dyDescent="0.2">
      <c r="C2510" s="209"/>
      <c r="D2510" s="209"/>
      <c r="E2510" s="209"/>
      <c r="J2510" s="124"/>
    </row>
    <row r="2511" spans="3:10" x14ac:dyDescent="0.2">
      <c r="C2511" s="209"/>
      <c r="D2511" s="209"/>
      <c r="E2511" s="209"/>
      <c r="J2511" s="124"/>
    </row>
    <row r="2512" spans="3:10" x14ac:dyDescent="0.2">
      <c r="C2512" s="209"/>
      <c r="D2512" s="209"/>
      <c r="E2512" s="209"/>
      <c r="J2512" s="124"/>
    </row>
    <row r="2513" spans="3:10" x14ac:dyDescent="0.2">
      <c r="C2513" s="209"/>
      <c r="D2513" s="209"/>
      <c r="E2513" s="209"/>
      <c r="J2513" s="124"/>
    </row>
    <row r="2514" spans="3:10" x14ac:dyDescent="0.2">
      <c r="C2514" s="209"/>
      <c r="D2514" s="209"/>
      <c r="E2514" s="209"/>
      <c r="J2514" s="124"/>
    </row>
    <row r="2515" spans="3:10" x14ac:dyDescent="0.2">
      <c r="C2515" s="209"/>
      <c r="D2515" s="209"/>
      <c r="E2515" s="209"/>
      <c r="J2515" s="124"/>
    </row>
    <row r="2516" spans="3:10" x14ac:dyDescent="0.2">
      <c r="C2516" s="209"/>
      <c r="D2516" s="209"/>
      <c r="E2516" s="209"/>
      <c r="J2516" s="124"/>
    </row>
    <row r="2517" spans="3:10" x14ac:dyDescent="0.2">
      <c r="C2517" s="209"/>
      <c r="D2517" s="209"/>
      <c r="E2517" s="209"/>
      <c r="J2517" s="124"/>
    </row>
    <row r="2518" spans="3:10" x14ac:dyDescent="0.2">
      <c r="C2518" s="209"/>
      <c r="D2518" s="209"/>
      <c r="E2518" s="209"/>
      <c r="J2518" s="124"/>
    </row>
    <row r="2519" spans="3:10" x14ac:dyDescent="0.2">
      <c r="C2519" s="209"/>
      <c r="D2519" s="209"/>
      <c r="E2519" s="209"/>
      <c r="J2519" s="124"/>
    </row>
    <row r="2520" spans="3:10" x14ac:dyDescent="0.2">
      <c r="C2520" s="209"/>
      <c r="D2520" s="209"/>
      <c r="E2520" s="209"/>
      <c r="J2520" s="124"/>
    </row>
    <row r="2521" spans="3:10" x14ac:dyDescent="0.2">
      <c r="C2521" s="209"/>
      <c r="D2521" s="209"/>
      <c r="E2521" s="209"/>
      <c r="J2521" s="124"/>
    </row>
    <row r="2522" spans="3:10" x14ac:dyDescent="0.2">
      <c r="C2522" s="209"/>
      <c r="D2522" s="209"/>
      <c r="E2522" s="209"/>
      <c r="J2522" s="124"/>
    </row>
    <row r="2523" spans="3:10" x14ac:dyDescent="0.2">
      <c r="C2523" s="209"/>
      <c r="D2523" s="209"/>
      <c r="E2523" s="209"/>
      <c r="J2523" s="124"/>
    </row>
    <row r="2524" spans="3:10" x14ac:dyDescent="0.2">
      <c r="C2524" s="209"/>
      <c r="D2524" s="209"/>
      <c r="E2524" s="209"/>
      <c r="J2524" s="124"/>
    </row>
    <row r="2525" spans="3:10" x14ac:dyDescent="0.2">
      <c r="C2525" s="209"/>
      <c r="D2525" s="209"/>
      <c r="E2525" s="209"/>
      <c r="J2525" s="124"/>
    </row>
    <row r="2526" spans="3:10" x14ac:dyDescent="0.2">
      <c r="C2526" s="209"/>
      <c r="D2526" s="209"/>
      <c r="E2526" s="209"/>
      <c r="J2526" s="124"/>
    </row>
    <row r="2527" spans="3:10" x14ac:dyDescent="0.2">
      <c r="C2527" s="209"/>
      <c r="D2527" s="209"/>
      <c r="E2527" s="209"/>
      <c r="J2527" s="124"/>
    </row>
    <row r="2528" spans="3:10" x14ac:dyDescent="0.2">
      <c r="C2528" s="209"/>
      <c r="D2528" s="209"/>
      <c r="E2528" s="209"/>
      <c r="J2528" s="124"/>
    </row>
    <row r="2529" spans="3:10" x14ac:dyDescent="0.2">
      <c r="C2529" s="209"/>
      <c r="D2529" s="209"/>
      <c r="E2529" s="209"/>
      <c r="J2529" s="124"/>
    </row>
    <row r="2530" spans="3:10" x14ac:dyDescent="0.2">
      <c r="C2530" s="209"/>
      <c r="D2530" s="209"/>
      <c r="E2530" s="209"/>
      <c r="J2530" s="124"/>
    </row>
    <row r="2531" spans="3:10" x14ac:dyDescent="0.2">
      <c r="C2531" s="209"/>
      <c r="D2531" s="209"/>
      <c r="E2531" s="209"/>
      <c r="J2531" s="124"/>
    </row>
    <row r="2532" spans="3:10" x14ac:dyDescent="0.2">
      <c r="C2532" s="209"/>
      <c r="D2532" s="209"/>
      <c r="E2532" s="209"/>
      <c r="J2532" s="124"/>
    </row>
    <row r="2533" spans="3:10" x14ac:dyDescent="0.2">
      <c r="C2533" s="209"/>
      <c r="D2533" s="209"/>
      <c r="E2533" s="209"/>
      <c r="J2533" s="124"/>
    </row>
    <row r="2534" spans="3:10" x14ac:dyDescent="0.2">
      <c r="C2534" s="209"/>
      <c r="D2534" s="209"/>
      <c r="E2534" s="209"/>
      <c r="J2534" s="124"/>
    </row>
    <row r="2535" spans="3:10" x14ac:dyDescent="0.2">
      <c r="C2535" s="209"/>
      <c r="D2535" s="209"/>
      <c r="E2535" s="209"/>
      <c r="J2535" s="124"/>
    </row>
    <row r="2536" spans="3:10" x14ac:dyDescent="0.2">
      <c r="C2536" s="209"/>
      <c r="D2536" s="209"/>
      <c r="E2536" s="209"/>
      <c r="J2536" s="124"/>
    </row>
    <row r="2537" spans="3:10" x14ac:dyDescent="0.2">
      <c r="C2537" s="209"/>
      <c r="D2537" s="209"/>
      <c r="E2537" s="209"/>
      <c r="J2537" s="124"/>
    </row>
    <row r="2538" spans="3:10" x14ac:dyDescent="0.2">
      <c r="C2538" s="209"/>
      <c r="D2538" s="209"/>
      <c r="E2538" s="209"/>
      <c r="J2538" s="124"/>
    </row>
    <row r="2539" spans="3:10" x14ac:dyDescent="0.2">
      <c r="C2539" s="209"/>
      <c r="D2539" s="209"/>
      <c r="E2539" s="209"/>
      <c r="J2539" s="124"/>
    </row>
    <row r="2540" spans="3:10" x14ac:dyDescent="0.2">
      <c r="C2540" s="209"/>
      <c r="D2540" s="209"/>
      <c r="E2540" s="209"/>
      <c r="J2540" s="124"/>
    </row>
    <row r="2541" spans="3:10" x14ac:dyDescent="0.2">
      <c r="C2541" s="209"/>
      <c r="D2541" s="209"/>
      <c r="E2541" s="209"/>
      <c r="J2541" s="124"/>
    </row>
    <row r="2542" spans="3:10" x14ac:dyDescent="0.2">
      <c r="C2542" s="209"/>
      <c r="D2542" s="209"/>
      <c r="E2542" s="209"/>
      <c r="J2542" s="124"/>
    </row>
    <row r="2543" spans="3:10" x14ac:dyDescent="0.2">
      <c r="C2543" s="209"/>
      <c r="D2543" s="209"/>
      <c r="E2543" s="209"/>
      <c r="J2543" s="124"/>
    </row>
    <row r="2544" spans="3:10" x14ac:dyDescent="0.2">
      <c r="C2544" s="209"/>
      <c r="D2544" s="209"/>
      <c r="E2544" s="209"/>
      <c r="J2544" s="124"/>
    </row>
    <row r="2545" spans="3:10" x14ac:dyDescent="0.2">
      <c r="C2545" s="209"/>
      <c r="D2545" s="209"/>
      <c r="E2545" s="209"/>
      <c r="J2545" s="124"/>
    </row>
    <row r="2546" spans="3:10" x14ac:dyDescent="0.2">
      <c r="C2546" s="209"/>
      <c r="D2546" s="209"/>
      <c r="E2546" s="209"/>
      <c r="J2546" s="124"/>
    </row>
    <row r="2547" spans="3:10" x14ac:dyDescent="0.2">
      <c r="C2547" s="209"/>
      <c r="D2547" s="209"/>
      <c r="E2547" s="209"/>
      <c r="J2547" s="124"/>
    </row>
    <row r="2548" spans="3:10" x14ac:dyDescent="0.2">
      <c r="C2548" s="209"/>
      <c r="D2548" s="209"/>
      <c r="E2548" s="209"/>
      <c r="J2548" s="124"/>
    </row>
    <row r="2549" spans="3:10" x14ac:dyDescent="0.2">
      <c r="C2549" s="209"/>
      <c r="D2549" s="209"/>
      <c r="E2549" s="209"/>
      <c r="J2549" s="124"/>
    </row>
    <row r="2550" spans="3:10" x14ac:dyDescent="0.2">
      <c r="C2550" s="209"/>
      <c r="D2550" s="209"/>
      <c r="E2550" s="209"/>
      <c r="J2550" s="124"/>
    </row>
    <row r="2551" spans="3:10" x14ac:dyDescent="0.2">
      <c r="C2551" s="209"/>
      <c r="D2551" s="209"/>
      <c r="E2551" s="209"/>
      <c r="J2551" s="124"/>
    </row>
    <row r="2552" spans="3:10" x14ac:dyDescent="0.2">
      <c r="C2552" s="209"/>
      <c r="D2552" s="209"/>
      <c r="E2552" s="209"/>
      <c r="J2552" s="124"/>
    </row>
    <row r="2553" spans="3:10" x14ac:dyDescent="0.2">
      <c r="C2553" s="209"/>
      <c r="D2553" s="209"/>
      <c r="E2553" s="209"/>
      <c r="J2553" s="124"/>
    </row>
    <row r="2554" spans="3:10" x14ac:dyDescent="0.2">
      <c r="C2554" s="209"/>
      <c r="D2554" s="209"/>
      <c r="E2554" s="209"/>
      <c r="J2554" s="124"/>
    </row>
    <row r="2555" spans="3:10" x14ac:dyDescent="0.2">
      <c r="C2555" s="209"/>
      <c r="D2555" s="209"/>
      <c r="E2555" s="209"/>
      <c r="J2555" s="124"/>
    </row>
    <row r="2556" spans="3:10" x14ac:dyDescent="0.2">
      <c r="C2556" s="209"/>
      <c r="D2556" s="209"/>
      <c r="E2556" s="209"/>
      <c r="J2556" s="124"/>
    </row>
    <row r="2557" spans="3:10" x14ac:dyDescent="0.2">
      <c r="C2557" s="209"/>
      <c r="D2557" s="209"/>
      <c r="E2557" s="209"/>
      <c r="J2557" s="124"/>
    </row>
    <row r="2558" spans="3:10" x14ac:dyDescent="0.2">
      <c r="C2558" s="209"/>
      <c r="D2558" s="209"/>
      <c r="E2558" s="209"/>
      <c r="J2558" s="124"/>
    </row>
    <row r="2559" spans="3:10" x14ac:dyDescent="0.2">
      <c r="C2559" s="209"/>
      <c r="D2559" s="209"/>
      <c r="E2559" s="209"/>
      <c r="J2559" s="124"/>
    </row>
    <row r="2560" spans="3:10" x14ac:dyDescent="0.2">
      <c r="C2560" s="209"/>
      <c r="D2560" s="209"/>
      <c r="E2560" s="209"/>
      <c r="J2560" s="124"/>
    </row>
    <row r="2561" spans="3:10" x14ac:dyDescent="0.2">
      <c r="C2561" s="209"/>
      <c r="D2561" s="209"/>
      <c r="E2561" s="209"/>
      <c r="J2561" s="124"/>
    </row>
    <row r="2562" spans="3:10" x14ac:dyDescent="0.2">
      <c r="C2562" s="209"/>
      <c r="D2562" s="209"/>
      <c r="E2562" s="209"/>
      <c r="J2562" s="124"/>
    </row>
    <row r="2563" spans="3:10" x14ac:dyDescent="0.2">
      <c r="C2563" s="209"/>
      <c r="D2563" s="209"/>
      <c r="E2563" s="209"/>
      <c r="J2563" s="124"/>
    </row>
    <row r="2564" spans="3:10" x14ac:dyDescent="0.2">
      <c r="C2564" s="209"/>
      <c r="D2564" s="209"/>
      <c r="E2564" s="209"/>
      <c r="J2564" s="124"/>
    </row>
    <row r="2565" spans="3:10" x14ac:dyDescent="0.2">
      <c r="C2565" s="209"/>
      <c r="D2565" s="209"/>
      <c r="E2565" s="209"/>
      <c r="J2565" s="124"/>
    </row>
    <row r="2566" spans="3:10" x14ac:dyDescent="0.2">
      <c r="C2566" s="209"/>
      <c r="D2566" s="209"/>
      <c r="E2566" s="209"/>
      <c r="J2566" s="124"/>
    </row>
    <row r="2567" spans="3:10" x14ac:dyDescent="0.2">
      <c r="C2567" s="209"/>
      <c r="D2567" s="209"/>
      <c r="E2567" s="209"/>
      <c r="J2567" s="124"/>
    </row>
    <row r="2568" spans="3:10" x14ac:dyDescent="0.2">
      <c r="C2568" s="209"/>
      <c r="D2568" s="209"/>
      <c r="E2568" s="209"/>
      <c r="J2568" s="124"/>
    </row>
    <row r="2569" spans="3:10" x14ac:dyDescent="0.2">
      <c r="C2569" s="209"/>
      <c r="D2569" s="209"/>
      <c r="E2569" s="209"/>
      <c r="J2569" s="124"/>
    </row>
    <row r="2570" spans="3:10" x14ac:dyDescent="0.2">
      <c r="C2570" s="209"/>
      <c r="D2570" s="209"/>
      <c r="E2570" s="209"/>
      <c r="J2570" s="124"/>
    </row>
    <row r="2571" spans="3:10" x14ac:dyDescent="0.2">
      <c r="C2571" s="209"/>
      <c r="D2571" s="209"/>
      <c r="E2571" s="209"/>
      <c r="J2571" s="124"/>
    </row>
    <row r="2572" spans="3:10" x14ac:dyDescent="0.2">
      <c r="C2572" s="209"/>
      <c r="D2572" s="209"/>
      <c r="E2572" s="209"/>
      <c r="J2572" s="124"/>
    </row>
    <row r="2573" spans="3:10" x14ac:dyDescent="0.2">
      <c r="C2573" s="209"/>
      <c r="D2573" s="209"/>
      <c r="E2573" s="209"/>
      <c r="J2573" s="124"/>
    </row>
    <row r="2574" spans="3:10" x14ac:dyDescent="0.2">
      <c r="C2574" s="209"/>
      <c r="D2574" s="209"/>
      <c r="E2574" s="209"/>
      <c r="J2574" s="124"/>
    </row>
    <row r="2575" spans="3:10" x14ac:dyDescent="0.2">
      <c r="C2575" s="209"/>
      <c r="D2575" s="209"/>
      <c r="E2575" s="209"/>
      <c r="J2575" s="124"/>
    </row>
    <row r="2576" spans="3:10" x14ac:dyDescent="0.2">
      <c r="C2576" s="209"/>
      <c r="D2576" s="209"/>
      <c r="E2576" s="209"/>
      <c r="J2576" s="124"/>
    </row>
    <row r="2577" spans="3:10" x14ac:dyDescent="0.2">
      <c r="C2577" s="209"/>
      <c r="D2577" s="209"/>
      <c r="E2577" s="209"/>
      <c r="J2577" s="124"/>
    </row>
    <row r="2578" spans="3:10" x14ac:dyDescent="0.2">
      <c r="C2578" s="209"/>
      <c r="D2578" s="209"/>
      <c r="E2578" s="209"/>
      <c r="J2578" s="124"/>
    </row>
    <row r="2579" spans="3:10" x14ac:dyDescent="0.2">
      <c r="C2579" s="209"/>
      <c r="D2579" s="209"/>
      <c r="E2579" s="209"/>
      <c r="J2579" s="124"/>
    </row>
    <row r="2580" spans="3:10" x14ac:dyDescent="0.2">
      <c r="C2580" s="209"/>
      <c r="D2580" s="209"/>
      <c r="E2580" s="209"/>
      <c r="J2580" s="124"/>
    </row>
    <row r="2581" spans="3:10" x14ac:dyDescent="0.2">
      <c r="C2581" s="209"/>
      <c r="D2581" s="209"/>
      <c r="E2581" s="209"/>
      <c r="J2581" s="124"/>
    </row>
    <row r="2582" spans="3:10" x14ac:dyDescent="0.2">
      <c r="C2582" s="209"/>
      <c r="D2582" s="209"/>
      <c r="E2582" s="209"/>
      <c r="J2582" s="124"/>
    </row>
    <row r="2583" spans="3:10" x14ac:dyDescent="0.2">
      <c r="C2583" s="209"/>
      <c r="D2583" s="209"/>
      <c r="E2583" s="209"/>
      <c r="J2583" s="124"/>
    </row>
    <row r="2584" spans="3:10" x14ac:dyDescent="0.2">
      <c r="C2584" s="209"/>
      <c r="D2584" s="209"/>
      <c r="E2584" s="209"/>
      <c r="J2584" s="124"/>
    </row>
    <row r="2585" spans="3:10" x14ac:dyDescent="0.2">
      <c r="C2585" s="209"/>
      <c r="D2585" s="209"/>
      <c r="E2585" s="209"/>
      <c r="J2585" s="124"/>
    </row>
    <row r="2586" spans="3:10" x14ac:dyDescent="0.2">
      <c r="C2586" s="209"/>
      <c r="D2586" s="209"/>
      <c r="E2586" s="209"/>
      <c r="J2586" s="124"/>
    </row>
    <row r="2587" spans="3:10" x14ac:dyDescent="0.2">
      <c r="C2587" s="209"/>
      <c r="D2587" s="209"/>
      <c r="E2587" s="209"/>
      <c r="J2587" s="124"/>
    </row>
    <row r="2588" spans="3:10" x14ac:dyDescent="0.2">
      <c r="C2588" s="209"/>
      <c r="D2588" s="209"/>
      <c r="E2588" s="209"/>
      <c r="J2588" s="124"/>
    </row>
    <row r="2589" spans="3:10" x14ac:dyDescent="0.2">
      <c r="C2589" s="209"/>
      <c r="D2589" s="209"/>
      <c r="E2589" s="209"/>
      <c r="J2589" s="124"/>
    </row>
    <row r="2590" spans="3:10" x14ac:dyDescent="0.2">
      <c r="C2590" s="209"/>
      <c r="D2590" s="209"/>
      <c r="E2590" s="209"/>
      <c r="J2590" s="124"/>
    </row>
    <row r="2591" spans="3:10" x14ac:dyDescent="0.2">
      <c r="C2591" s="209"/>
      <c r="D2591" s="209"/>
      <c r="E2591" s="209"/>
      <c r="J2591" s="124"/>
    </row>
    <row r="2592" spans="3:10" x14ac:dyDescent="0.2">
      <c r="C2592" s="209"/>
      <c r="D2592" s="209"/>
      <c r="E2592" s="209"/>
      <c r="J2592" s="124"/>
    </row>
    <row r="2593" spans="3:10" x14ac:dyDescent="0.2">
      <c r="C2593" s="209"/>
      <c r="D2593" s="209"/>
      <c r="E2593" s="209"/>
      <c r="J2593" s="124"/>
    </row>
    <row r="2594" spans="3:10" x14ac:dyDescent="0.2">
      <c r="C2594" s="209"/>
      <c r="D2594" s="209"/>
      <c r="E2594" s="209"/>
      <c r="J2594" s="124"/>
    </row>
    <row r="2595" spans="3:10" x14ac:dyDescent="0.2">
      <c r="C2595" s="209"/>
      <c r="D2595" s="209"/>
      <c r="E2595" s="209"/>
      <c r="J2595" s="124"/>
    </row>
    <row r="2596" spans="3:10" x14ac:dyDescent="0.2">
      <c r="C2596" s="209"/>
      <c r="D2596" s="209"/>
      <c r="E2596" s="209"/>
      <c r="J2596" s="124"/>
    </row>
    <row r="2597" spans="3:10" x14ac:dyDescent="0.2">
      <c r="C2597" s="209"/>
      <c r="D2597" s="209"/>
      <c r="E2597" s="209"/>
      <c r="J2597" s="124"/>
    </row>
    <row r="2598" spans="3:10" x14ac:dyDescent="0.2">
      <c r="C2598" s="209"/>
      <c r="D2598" s="209"/>
      <c r="E2598" s="209"/>
      <c r="J2598" s="124"/>
    </row>
    <row r="2599" spans="3:10" x14ac:dyDescent="0.2">
      <c r="C2599" s="209"/>
      <c r="D2599" s="209"/>
      <c r="E2599" s="209"/>
      <c r="J2599" s="124"/>
    </row>
    <row r="2600" spans="3:10" x14ac:dyDescent="0.2">
      <c r="C2600" s="209"/>
      <c r="D2600" s="209"/>
      <c r="E2600" s="209"/>
      <c r="J2600" s="124"/>
    </row>
    <row r="2601" spans="3:10" x14ac:dyDescent="0.2">
      <c r="C2601" s="209"/>
      <c r="D2601" s="209"/>
      <c r="E2601" s="209"/>
      <c r="J2601" s="124"/>
    </row>
    <row r="2602" spans="3:10" x14ac:dyDescent="0.2">
      <c r="C2602" s="209"/>
      <c r="D2602" s="209"/>
      <c r="E2602" s="209"/>
      <c r="J2602" s="124"/>
    </row>
    <row r="2603" spans="3:10" x14ac:dyDescent="0.2">
      <c r="C2603" s="209"/>
      <c r="D2603" s="209"/>
      <c r="E2603" s="209"/>
      <c r="J2603" s="124"/>
    </row>
    <row r="2604" spans="3:10" x14ac:dyDescent="0.2">
      <c r="C2604" s="209"/>
      <c r="D2604" s="209"/>
      <c r="E2604" s="209"/>
      <c r="J2604" s="124"/>
    </row>
    <row r="2605" spans="3:10" x14ac:dyDescent="0.2">
      <c r="C2605" s="209"/>
      <c r="D2605" s="209"/>
      <c r="E2605" s="209"/>
      <c r="J2605" s="124"/>
    </row>
    <row r="2606" spans="3:10" x14ac:dyDescent="0.2">
      <c r="C2606" s="209"/>
      <c r="D2606" s="209"/>
      <c r="E2606" s="209"/>
      <c r="J2606" s="124"/>
    </row>
    <row r="2607" spans="3:10" x14ac:dyDescent="0.2">
      <c r="C2607" s="209"/>
      <c r="D2607" s="209"/>
      <c r="E2607" s="209"/>
      <c r="J2607" s="124"/>
    </row>
    <row r="2608" spans="3:10" x14ac:dyDescent="0.2">
      <c r="C2608" s="209"/>
      <c r="D2608" s="209"/>
      <c r="E2608" s="209"/>
      <c r="J2608" s="124"/>
    </row>
    <row r="2609" spans="3:10" x14ac:dyDescent="0.2">
      <c r="C2609" s="209"/>
      <c r="D2609" s="209"/>
      <c r="E2609" s="209"/>
      <c r="J2609" s="124"/>
    </row>
    <row r="2610" spans="3:10" x14ac:dyDescent="0.2">
      <c r="C2610" s="209"/>
      <c r="D2610" s="209"/>
      <c r="E2610" s="209"/>
      <c r="J2610" s="124"/>
    </row>
    <row r="2611" spans="3:10" x14ac:dyDescent="0.2">
      <c r="C2611" s="209"/>
      <c r="D2611" s="209"/>
      <c r="E2611" s="209"/>
      <c r="J2611" s="124"/>
    </row>
    <row r="2612" spans="3:10" x14ac:dyDescent="0.2">
      <c r="C2612" s="209"/>
      <c r="D2612" s="209"/>
      <c r="E2612" s="209"/>
      <c r="J2612" s="124"/>
    </row>
    <row r="2613" spans="3:10" x14ac:dyDescent="0.2">
      <c r="C2613" s="209"/>
      <c r="D2613" s="209"/>
      <c r="E2613" s="209"/>
      <c r="J2613" s="124"/>
    </row>
    <row r="2614" spans="3:10" x14ac:dyDescent="0.2">
      <c r="C2614" s="209"/>
      <c r="D2614" s="209"/>
      <c r="E2614" s="209"/>
      <c r="J2614" s="124"/>
    </row>
    <row r="2615" spans="3:10" x14ac:dyDescent="0.2">
      <c r="C2615" s="209"/>
      <c r="D2615" s="209"/>
      <c r="E2615" s="209"/>
      <c r="J2615" s="124"/>
    </row>
    <row r="2616" spans="3:10" x14ac:dyDescent="0.2">
      <c r="C2616" s="209"/>
      <c r="D2616" s="209"/>
      <c r="E2616" s="209"/>
      <c r="J2616" s="124"/>
    </row>
    <row r="2617" spans="3:10" x14ac:dyDescent="0.2">
      <c r="C2617" s="209"/>
      <c r="D2617" s="209"/>
      <c r="E2617" s="209"/>
      <c r="J2617" s="124"/>
    </row>
    <row r="2618" spans="3:10" x14ac:dyDescent="0.2">
      <c r="C2618" s="209"/>
      <c r="D2618" s="209"/>
      <c r="E2618" s="209"/>
      <c r="J2618" s="124"/>
    </row>
    <row r="2619" spans="3:10" x14ac:dyDescent="0.2">
      <c r="C2619" s="209"/>
      <c r="D2619" s="209"/>
      <c r="E2619" s="209"/>
      <c r="J2619" s="124"/>
    </row>
    <row r="2620" spans="3:10" x14ac:dyDescent="0.2">
      <c r="C2620" s="209"/>
      <c r="D2620" s="209"/>
      <c r="E2620" s="209"/>
      <c r="J2620" s="124"/>
    </row>
    <row r="2621" spans="3:10" x14ac:dyDescent="0.2">
      <c r="C2621" s="209"/>
      <c r="D2621" s="209"/>
      <c r="E2621" s="209"/>
      <c r="J2621" s="124"/>
    </row>
    <row r="2622" spans="3:10" x14ac:dyDescent="0.2">
      <c r="C2622" s="209"/>
      <c r="D2622" s="209"/>
      <c r="E2622" s="209"/>
      <c r="J2622" s="124"/>
    </row>
    <row r="2623" spans="3:10" x14ac:dyDescent="0.2">
      <c r="C2623" s="209"/>
      <c r="D2623" s="209"/>
      <c r="E2623" s="209"/>
      <c r="J2623" s="124"/>
    </row>
    <row r="2624" spans="3:10" x14ac:dyDescent="0.2">
      <c r="C2624" s="209"/>
      <c r="D2624" s="209"/>
      <c r="E2624" s="209"/>
      <c r="J2624" s="124"/>
    </row>
    <row r="2625" spans="3:10" x14ac:dyDescent="0.2">
      <c r="C2625" s="209"/>
      <c r="D2625" s="209"/>
      <c r="E2625" s="209"/>
      <c r="J2625" s="124"/>
    </row>
    <row r="2626" spans="3:10" x14ac:dyDescent="0.2">
      <c r="C2626" s="209"/>
      <c r="D2626" s="209"/>
      <c r="E2626" s="209"/>
      <c r="J2626" s="124"/>
    </row>
    <row r="2627" spans="3:10" x14ac:dyDescent="0.2">
      <c r="C2627" s="209"/>
      <c r="D2627" s="209"/>
      <c r="E2627" s="209"/>
      <c r="J2627" s="124"/>
    </row>
    <row r="2628" spans="3:10" x14ac:dyDescent="0.2">
      <c r="C2628" s="209"/>
      <c r="D2628" s="209"/>
      <c r="E2628" s="209"/>
      <c r="J2628" s="124"/>
    </row>
    <row r="2629" spans="3:10" x14ac:dyDescent="0.2">
      <c r="C2629" s="209"/>
      <c r="D2629" s="209"/>
      <c r="E2629" s="209"/>
      <c r="J2629" s="124"/>
    </row>
    <row r="2630" spans="3:10" x14ac:dyDescent="0.2">
      <c r="C2630" s="209"/>
      <c r="D2630" s="209"/>
      <c r="E2630" s="209"/>
      <c r="J2630" s="124"/>
    </row>
    <row r="2631" spans="3:10" x14ac:dyDescent="0.2">
      <c r="C2631" s="209"/>
      <c r="D2631" s="209"/>
      <c r="E2631" s="209"/>
      <c r="J2631" s="124"/>
    </row>
    <row r="2632" spans="3:10" x14ac:dyDescent="0.2">
      <c r="C2632" s="209"/>
      <c r="D2632" s="209"/>
      <c r="E2632" s="209"/>
      <c r="J2632" s="124"/>
    </row>
    <row r="2633" spans="3:10" x14ac:dyDescent="0.2">
      <c r="C2633" s="209"/>
      <c r="D2633" s="209"/>
      <c r="E2633" s="209"/>
      <c r="J2633" s="124"/>
    </row>
    <row r="2634" spans="3:10" x14ac:dyDescent="0.2">
      <c r="C2634" s="209"/>
      <c r="D2634" s="209"/>
      <c r="E2634" s="209"/>
      <c r="J2634" s="124"/>
    </row>
    <row r="2635" spans="3:10" x14ac:dyDescent="0.2">
      <c r="C2635" s="209"/>
      <c r="D2635" s="209"/>
      <c r="E2635" s="209"/>
      <c r="J2635" s="124"/>
    </row>
    <row r="2636" spans="3:10" x14ac:dyDescent="0.2">
      <c r="C2636" s="209"/>
      <c r="D2636" s="209"/>
      <c r="E2636" s="209"/>
      <c r="J2636" s="124"/>
    </row>
    <row r="2637" spans="3:10" x14ac:dyDescent="0.2">
      <c r="C2637" s="209"/>
      <c r="D2637" s="209"/>
      <c r="E2637" s="209"/>
      <c r="J2637" s="124"/>
    </row>
    <row r="2638" spans="3:10" x14ac:dyDescent="0.2">
      <c r="C2638" s="209"/>
      <c r="D2638" s="209"/>
      <c r="E2638" s="209"/>
      <c r="J2638" s="124"/>
    </row>
    <row r="2639" spans="3:10" x14ac:dyDescent="0.2">
      <c r="C2639" s="209"/>
      <c r="D2639" s="209"/>
      <c r="E2639" s="209"/>
      <c r="J2639" s="124"/>
    </row>
    <row r="2640" spans="3:10" x14ac:dyDescent="0.2">
      <c r="C2640" s="209"/>
      <c r="D2640" s="209"/>
      <c r="E2640" s="209"/>
      <c r="J2640" s="124"/>
    </row>
    <row r="2641" spans="3:10" x14ac:dyDescent="0.2">
      <c r="C2641" s="209"/>
      <c r="D2641" s="209"/>
      <c r="E2641" s="209"/>
      <c r="J2641" s="124"/>
    </row>
    <row r="2642" spans="3:10" x14ac:dyDescent="0.2">
      <c r="C2642" s="209"/>
      <c r="D2642" s="209"/>
      <c r="E2642" s="209"/>
      <c r="J2642" s="124"/>
    </row>
    <row r="2643" spans="3:10" x14ac:dyDescent="0.2">
      <c r="C2643" s="209"/>
      <c r="D2643" s="209"/>
      <c r="E2643" s="209"/>
      <c r="J2643" s="124"/>
    </row>
    <row r="2644" spans="3:10" x14ac:dyDescent="0.2">
      <c r="C2644" s="209"/>
      <c r="D2644" s="209"/>
      <c r="E2644" s="209"/>
      <c r="J2644" s="124"/>
    </row>
    <row r="2645" spans="3:10" x14ac:dyDescent="0.2">
      <c r="C2645" s="209"/>
      <c r="D2645" s="209"/>
      <c r="E2645" s="209"/>
      <c r="J2645" s="124"/>
    </row>
    <row r="2646" spans="3:10" x14ac:dyDescent="0.2">
      <c r="C2646" s="209"/>
      <c r="D2646" s="209"/>
      <c r="E2646" s="209"/>
      <c r="J2646" s="124"/>
    </row>
    <row r="2647" spans="3:10" x14ac:dyDescent="0.2">
      <c r="C2647" s="209"/>
      <c r="D2647" s="209"/>
      <c r="E2647" s="209"/>
      <c r="J2647" s="124"/>
    </row>
    <row r="2648" spans="3:10" x14ac:dyDescent="0.2">
      <c r="C2648" s="209"/>
      <c r="D2648" s="209"/>
      <c r="E2648" s="209"/>
      <c r="J2648" s="124"/>
    </row>
    <row r="2649" spans="3:10" x14ac:dyDescent="0.2">
      <c r="C2649" s="209"/>
      <c r="D2649" s="209"/>
      <c r="E2649" s="209"/>
      <c r="J2649" s="124"/>
    </row>
    <row r="2650" spans="3:10" x14ac:dyDescent="0.2">
      <c r="C2650" s="209"/>
      <c r="D2650" s="209"/>
      <c r="E2650" s="209"/>
      <c r="J2650" s="124"/>
    </row>
    <row r="2651" spans="3:10" x14ac:dyDescent="0.2">
      <c r="C2651" s="209"/>
      <c r="D2651" s="209"/>
      <c r="E2651" s="209"/>
      <c r="J2651" s="124"/>
    </row>
    <row r="2652" spans="3:10" x14ac:dyDescent="0.2">
      <c r="C2652" s="209"/>
      <c r="D2652" s="209"/>
      <c r="E2652" s="209"/>
      <c r="J2652" s="124"/>
    </row>
    <row r="2653" spans="3:10" x14ac:dyDescent="0.2">
      <c r="C2653" s="209"/>
      <c r="D2653" s="209"/>
      <c r="E2653" s="209"/>
      <c r="J2653" s="124"/>
    </row>
    <row r="2654" spans="3:10" x14ac:dyDescent="0.2">
      <c r="C2654" s="209"/>
      <c r="D2654" s="209"/>
      <c r="E2654" s="209"/>
      <c r="J2654" s="124"/>
    </row>
    <row r="2655" spans="3:10" x14ac:dyDescent="0.2">
      <c r="C2655" s="209"/>
      <c r="D2655" s="209"/>
      <c r="E2655" s="209"/>
      <c r="J2655" s="124"/>
    </row>
    <row r="2656" spans="3:10" x14ac:dyDescent="0.2">
      <c r="C2656" s="209"/>
      <c r="D2656" s="209"/>
      <c r="E2656" s="209"/>
      <c r="J2656" s="124"/>
    </row>
    <row r="2657" spans="3:10" x14ac:dyDescent="0.2">
      <c r="C2657" s="209"/>
      <c r="D2657" s="209"/>
      <c r="E2657" s="209"/>
      <c r="J2657" s="124"/>
    </row>
    <row r="2658" spans="3:10" x14ac:dyDescent="0.2">
      <c r="C2658" s="209"/>
      <c r="D2658" s="209"/>
      <c r="E2658" s="209"/>
      <c r="J2658" s="124"/>
    </row>
    <row r="2659" spans="3:10" x14ac:dyDescent="0.2">
      <c r="C2659" s="209"/>
      <c r="D2659" s="209"/>
      <c r="E2659" s="209"/>
      <c r="J2659" s="124"/>
    </row>
    <row r="2660" spans="3:10" x14ac:dyDescent="0.2">
      <c r="C2660" s="209"/>
      <c r="D2660" s="209"/>
      <c r="E2660" s="209"/>
      <c r="J2660" s="124"/>
    </row>
    <row r="2661" spans="3:10" x14ac:dyDescent="0.2">
      <c r="C2661" s="209"/>
      <c r="D2661" s="209"/>
      <c r="E2661" s="209"/>
      <c r="J2661" s="124"/>
    </row>
    <row r="2662" spans="3:10" x14ac:dyDescent="0.2">
      <c r="C2662" s="209"/>
      <c r="D2662" s="209"/>
      <c r="E2662" s="209"/>
      <c r="J2662" s="124"/>
    </row>
    <row r="2663" spans="3:10" x14ac:dyDescent="0.2">
      <c r="C2663" s="209"/>
      <c r="D2663" s="209"/>
      <c r="E2663" s="209"/>
      <c r="J2663" s="124"/>
    </row>
    <row r="2664" spans="3:10" x14ac:dyDescent="0.2">
      <c r="C2664" s="209"/>
      <c r="D2664" s="209"/>
      <c r="E2664" s="209"/>
      <c r="J2664" s="124"/>
    </row>
    <row r="2665" spans="3:10" x14ac:dyDescent="0.2">
      <c r="C2665" s="209"/>
      <c r="D2665" s="209"/>
      <c r="E2665" s="209"/>
      <c r="J2665" s="124"/>
    </row>
    <row r="2666" spans="3:10" x14ac:dyDescent="0.2">
      <c r="C2666" s="209"/>
      <c r="D2666" s="209"/>
      <c r="E2666" s="209"/>
      <c r="J2666" s="124"/>
    </row>
    <row r="2667" spans="3:10" x14ac:dyDescent="0.2">
      <c r="C2667" s="209"/>
      <c r="D2667" s="209"/>
      <c r="E2667" s="209"/>
      <c r="J2667" s="124"/>
    </row>
    <row r="2668" spans="3:10" x14ac:dyDescent="0.2">
      <c r="C2668" s="209"/>
      <c r="D2668" s="209"/>
      <c r="E2668" s="209"/>
      <c r="J2668" s="124"/>
    </row>
    <row r="2669" spans="3:10" x14ac:dyDescent="0.2">
      <c r="C2669" s="209"/>
      <c r="D2669" s="209"/>
      <c r="E2669" s="209"/>
      <c r="J2669" s="124"/>
    </row>
    <row r="2670" spans="3:10" x14ac:dyDescent="0.2">
      <c r="C2670" s="209"/>
      <c r="D2670" s="209"/>
      <c r="E2670" s="209"/>
      <c r="J2670" s="124"/>
    </row>
    <row r="2671" spans="3:10" x14ac:dyDescent="0.2">
      <c r="C2671" s="209"/>
      <c r="D2671" s="209"/>
      <c r="E2671" s="209"/>
      <c r="J2671" s="124"/>
    </row>
    <row r="2672" spans="3:10" x14ac:dyDescent="0.2">
      <c r="C2672" s="209"/>
      <c r="D2672" s="209"/>
      <c r="E2672" s="209"/>
      <c r="J2672" s="124"/>
    </row>
    <row r="2673" spans="3:10" x14ac:dyDescent="0.2">
      <c r="C2673" s="209"/>
      <c r="D2673" s="209"/>
      <c r="E2673" s="209"/>
      <c r="J2673" s="124"/>
    </row>
    <row r="2674" spans="3:10" x14ac:dyDescent="0.2">
      <c r="C2674" s="209"/>
      <c r="D2674" s="209"/>
      <c r="E2674" s="209"/>
      <c r="J2674" s="124"/>
    </row>
    <row r="2675" spans="3:10" x14ac:dyDescent="0.2">
      <c r="C2675" s="209"/>
      <c r="D2675" s="209"/>
      <c r="E2675" s="209"/>
      <c r="J2675" s="124"/>
    </row>
    <row r="2676" spans="3:10" x14ac:dyDescent="0.2">
      <c r="C2676" s="209"/>
      <c r="D2676" s="209"/>
      <c r="E2676" s="209"/>
      <c r="J2676" s="124"/>
    </row>
    <row r="2677" spans="3:10" x14ac:dyDescent="0.2">
      <c r="C2677" s="209"/>
      <c r="D2677" s="209"/>
      <c r="E2677" s="209"/>
      <c r="J2677" s="124"/>
    </row>
    <row r="2678" spans="3:10" x14ac:dyDescent="0.2">
      <c r="C2678" s="209"/>
      <c r="D2678" s="209"/>
      <c r="E2678" s="209"/>
      <c r="J2678" s="124"/>
    </row>
    <row r="2679" spans="3:10" x14ac:dyDescent="0.2">
      <c r="C2679" s="209"/>
      <c r="D2679" s="209"/>
      <c r="E2679" s="209"/>
      <c r="J2679" s="124"/>
    </row>
    <row r="2680" spans="3:10" x14ac:dyDescent="0.2">
      <c r="C2680" s="209"/>
      <c r="D2680" s="209"/>
      <c r="E2680" s="209"/>
      <c r="J2680" s="124"/>
    </row>
    <row r="2681" spans="3:10" x14ac:dyDescent="0.2">
      <c r="C2681" s="209"/>
      <c r="D2681" s="209"/>
      <c r="E2681" s="209"/>
      <c r="J2681" s="124"/>
    </row>
    <row r="2682" spans="3:10" x14ac:dyDescent="0.2">
      <c r="C2682" s="209"/>
      <c r="D2682" s="209"/>
      <c r="E2682" s="209"/>
      <c r="J2682" s="124"/>
    </row>
    <row r="2683" spans="3:10" x14ac:dyDescent="0.2">
      <c r="C2683" s="209"/>
      <c r="D2683" s="209"/>
      <c r="E2683" s="209"/>
      <c r="J2683" s="124"/>
    </row>
    <row r="2684" spans="3:10" x14ac:dyDescent="0.2">
      <c r="C2684" s="209"/>
      <c r="D2684" s="209"/>
      <c r="E2684" s="209"/>
      <c r="J2684" s="124"/>
    </row>
    <row r="2685" spans="3:10" x14ac:dyDescent="0.2">
      <c r="C2685" s="209"/>
      <c r="D2685" s="209"/>
      <c r="E2685" s="209"/>
      <c r="J2685" s="124"/>
    </row>
    <row r="2686" spans="3:10" x14ac:dyDescent="0.2">
      <c r="C2686" s="209"/>
      <c r="D2686" s="209"/>
      <c r="E2686" s="209"/>
      <c r="J2686" s="124"/>
    </row>
    <row r="2687" spans="3:10" x14ac:dyDescent="0.2">
      <c r="C2687" s="209"/>
      <c r="D2687" s="209"/>
      <c r="E2687" s="209"/>
      <c r="J2687" s="124"/>
    </row>
    <row r="2688" spans="3:10" x14ac:dyDescent="0.2">
      <c r="C2688" s="209"/>
      <c r="D2688" s="209"/>
      <c r="E2688" s="209"/>
      <c r="J2688" s="124"/>
    </row>
    <row r="2689" spans="3:10" x14ac:dyDescent="0.2">
      <c r="C2689" s="209"/>
      <c r="D2689" s="209"/>
      <c r="E2689" s="209"/>
      <c r="J2689" s="124"/>
    </row>
    <row r="2690" spans="3:10" x14ac:dyDescent="0.2">
      <c r="C2690" s="209"/>
      <c r="D2690" s="209"/>
      <c r="E2690" s="209"/>
      <c r="J2690" s="124"/>
    </row>
    <row r="2691" spans="3:10" x14ac:dyDescent="0.2">
      <c r="C2691" s="209"/>
      <c r="D2691" s="209"/>
      <c r="E2691" s="209"/>
      <c r="J2691" s="124"/>
    </row>
    <row r="2692" spans="3:10" x14ac:dyDescent="0.2">
      <c r="C2692" s="209"/>
      <c r="D2692" s="209"/>
      <c r="E2692" s="209"/>
      <c r="J2692" s="124"/>
    </row>
    <row r="2693" spans="3:10" x14ac:dyDescent="0.2">
      <c r="C2693" s="209"/>
      <c r="D2693" s="209"/>
      <c r="E2693" s="209"/>
      <c r="J2693" s="124"/>
    </row>
    <row r="2694" spans="3:10" x14ac:dyDescent="0.2">
      <c r="C2694" s="209"/>
      <c r="D2694" s="209"/>
      <c r="E2694" s="209"/>
      <c r="J2694" s="124"/>
    </row>
    <row r="2695" spans="3:10" x14ac:dyDescent="0.2">
      <c r="C2695" s="209"/>
      <c r="D2695" s="209"/>
      <c r="E2695" s="209"/>
      <c r="J2695" s="124"/>
    </row>
    <row r="2696" spans="3:10" x14ac:dyDescent="0.2">
      <c r="C2696" s="209"/>
      <c r="D2696" s="209"/>
      <c r="E2696" s="209"/>
      <c r="J2696" s="124"/>
    </row>
    <row r="2697" spans="3:10" x14ac:dyDescent="0.2">
      <c r="C2697" s="209"/>
      <c r="D2697" s="209"/>
      <c r="E2697" s="209"/>
      <c r="J2697" s="124"/>
    </row>
    <row r="2698" spans="3:10" x14ac:dyDescent="0.2">
      <c r="C2698" s="209"/>
      <c r="D2698" s="209"/>
      <c r="E2698" s="209"/>
      <c r="J2698" s="124"/>
    </row>
    <row r="2699" spans="3:10" x14ac:dyDescent="0.2">
      <c r="C2699" s="209"/>
      <c r="D2699" s="209"/>
      <c r="E2699" s="209"/>
      <c r="J2699" s="124"/>
    </row>
    <row r="2700" spans="3:10" x14ac:dyDescent="0.2">
      <c r="C2700" s="209"/>
      <c r="D2700" s="209"/>
      <c r="E2700" s="209"/>
      <c r="J2700" s="124"/>
    </row>
    <row r="2701" spans="3:10" x14ac:dyDescent="0.2">
      <c r="C2701" s="209"/>
      <c r="D2701" s="209"/>
      <c r="E2701" s="209"/>
      <c r="J2701" s="124"/>
    </row>
    <row r="2702" spans="3:10" x14ac:dyDescent="0.2">
      <c r="C2702" s="209"/>
      <c r="D2702" s="209"/>
      <c r="E2702" s="209"/>
      <c r="J2702" s="124"/>
    </row>
    <row r="2703" spans="3:10" x14ac:dyDescent="0.2">
      <c r="C2703" s="209"/>
      <c r="D2703" s="209"/>
      <c r="E2703" s="209"/>
      <c r="J2703" s="124"/>
    </row>
    <row r="2704" spans="3:10" x14ac:dyDescent="0.2">
      <c r="C2704" s="209"/>
      <c r="D2704" s="209"/>
      <c r="E2704" s="209"/>
      <c r="J2704" s="124"/>
    </row>
    <row r="2705" spans="3:10" x14ac:dyDescent="0.2">
      <c r="C2705" s="209"/>
      <c r="D2705" s="209"/>
      <c r="E2705" s="209"/>
      <c r="J2705" s="124"/>
    </row>
    <row r="2706" spans="3:10" x14ac:dyDescent="0.2">
      <c r="C2706" s="209"/>
      <c r="D2706" s="209"/>
      <c r="E2706" s="209"/>
      <c r="J2706" s="124"/>
    </row>
    <row r="2707" spans="3:10" x14ac:dyDescent="0.2">
      <c r="C2707" s="209"/>
      <c r="D2707" s="209"/>
      <c r="E2707" s="209"/>
      <c r="J2707" s="124"/>
    </row>
    <row r="2708" spans="3:10" x14ac:dyDescent="0.2">
      <c r="C2708" s="209"/>
      <c r="D2708" s="209"/>
      <c r="E2708" s="209"/>
      <c r="J2708" s="124"/>
    </row>
    <row r="2709" spans="3:10" x14ac:dyDescent="0.2">
      <c r="C2709" s="209"/>
      <c r="D2709" s="209"/>
      <c r="E2709" s="209"/>
      <c r="J2709" s="124"/>
    </row>
    <row r="2710" spans="3:10" x14ac:dyDescent="0.2">
      <c r="C2710" s="209"/>
      <c r="D2710" s="209"/>
      <c r="E2710" s="209"/>
      <c r="J2710" s="124"/>
    </row>
    <row r="2711" spans="3:10" x14ac:dyDescent="0.2">
      <c r="C2711" s="209"/>
      <c r="D2711" s="209"/>
      <c r="E2711" s="209"/>
      <c r="J2711" s="124"/>
    </row>
    <row r="2712" spans="3:10" x14ac:dyDescent="0.2">
      <c r="C2712" s="209"/>
      <c r="D2712" s="209"/>
      <c r="E2712" s="209"/>
      <c r="J2712" s="124"/>
    </row>
    <row r="2713" spans="3:10" x14ac:dyDescent="0.2">
      <c r="C2713" s="209"/>
      <c r="D2713" s="209"/>
      <c r="E2713" s="209"/>
      <c r="J2713" s="124"/>
    </row>
    <row r="2714" spans="3:10" x14ac:dyDescent="0.2">
      <c r="C2714" s="209"/>
      <c r="D2714" s="209"/>
      <c r="E2714" s="209"/>
      <c r="J2714" s="124"/>
    </row>
    <row r="2715" spans="3:10" x14ac:dyDescent="0.2">
      <c r="C2715" s="209"/>
      <c r="D2715" s="209"/>
      <c r="E2715" s="209"/>
      <c r="J2715" s="124"/>
    </row>
    <row r="2716" spans="3:10" x14ac:dyDescent="0.2">
      <c r="C2716" s="209"/>
      <c r="D2716" s="209"/>
      <c r="E2716" s="209"/>
      <c r="J2716" s="124"/>
    </row>
    <row r="2717" spans="3:10" x14ac:dyDescent="0.2">
      <c r="C2717" s="209"/>
      <c r="D2717" s="209"/>
      <c r="E2717" s="209"/>
      <c r="J2717" s="124"/>
    </row>
    <row r="2718" spans="3:10" x14ac:dyDescent="0.2">
      <c r="C2718" s="209"/>
      <c r="D2718" s="209"/>
      <c r="E2718" s="209"/>
      <c r="J2718" s="124"/>
    </row>
    <row r="2719" spans="3:10" x14ac:dyDescent="0.2">
      <c r="C2719" s="209"/>
      <c r="D2719" s="209"/>
      <c r="E2719" s="209"/>
      <c r="J2719" s="124"/>
    </row>
    <row r="2720" spans="3:10" x14ac:dyDescent="0.2">
      <c r="C2720" s="209"/>
      <c r="D2720" s="209"/>
      <c r="E2720" s="209"/>
      <c r="J2720" s="124"/>
    </row>
    <row r="2721" spans="3:10" x14ac:dyDescent="0.2">
      <c r="C2721" s="209"/>
      <c r="D2721" s="209"/>
      <c r="E2721" s="209"/>
      <c r="J2721" s="124"/>
    </row>
    <row r="2722" spans="3:10" x14ac:dyDescent="0.2">
      <c r="C2722" s="209"/>
      <c r="D2722" s="209"/>
      <c r="E2722" s="209"/>
      <c r="J2722" s="124"/>
    </row>
    <row r="2723" spans="3:10" x14ac:dyDescent="0.2">
      <c r="C2723" s="209"/>
      <c r="D2723" s="209"/>
      <c r="E2723" s="209"/>
      <c r="J2723" s="124"/>
    </row>
    <row r="2724" spans="3:10" x14ac:dyDescent="0.2">
      <c r="C2724" s="209"/>
      <c r="D2724" s="209"/>
      <c r="E2724" s="209"/>
      <c r="J2724" s="124"/>
    </row>
    <row r="2725" spans="3:10" x14ac:dyDescent="0.2">
      <c r="C2725" s="209"/>
      <c r="D2725" s="209"/>
      <c r="E2725" s="209"/>
      <c r="J2725" s="124"/>
    </row>
    <row r="2726" spans="3:10" x14ac:dyDescent="0.2">
      <c r="C2726" s="209"/>
      <c r="D2726" s="209"/>
      <c r="E2726" s="209"/>
      <c r="J2726" s="124"/>
    </row>
    <row r="2727" spans="3:10" x14ac:dyDescent="0.2">
      <c r="C2727" s="209"/>
      <c r="D2727" s="209"/>
      <c r="E2727" s="209"/>
      <c r="J2727" s="124"/>
    </row>
    <row r="2728" spans="3:10" x14ac:dyDescent="0.2">
      <c r="C2728" s="209"/>
      <c r="D2728" s="209"/>
      <c r="E2728" s="209"/>
      <c r="J2728" s="124"/>
    </row>
    <row r="2729" spans="3:10" x14ac:dyDescent="0.2">
      <c r="C2729" s="209"/>
      <c r="D2729" s="209"/>
      <c r="E2729" s="209"/>
      <c r="J2729" s="124"/>
    </row>
    <row r="2730" spans="3:10" x14ac:dyDescent="0.2">
      <c r="C2730" s="209"/>
      <c r="D2730" s="209"/>
      <c r="E2730" s="209"/>
      <c r="J2730" s="124"/>
    </row>
    <row r="2731" spans="3:10" x14ac:dyDescent="0.2">
      <c r="C2731" s="209"/>
      <c r="D2731" s="209"/>
      <c r="E2731" s="209"/>
      <c r="J2731" s="124"/>
    </row>
    <row r="2732" spans="3:10" x14ac:dyDescent="0.2">
      <c r="C2732" s="209"/>
      <c r="D2732" s="209"/>
      <c r="E2732" s="209"/>
      <c r="J2732" s="124"/>
    </row>
    <row r="2733" spans="3:10" x14ac:dyDescent="0.2">
      <c r="C2733" s="209"/>
      <c r="D2733" s="209"/>
      <c r="E2733" s="209"/>
      <c r="J2733" s="124"/>
    </row>
    <row r="2734" spans="3:10" x14ac:dyDescent="0.2">
      <c r="C2734" s="209"/>
      <c r="D2734" s="209"/>
      <c r="E2734" s="209"/>
      <c r="J2734" s="124"/>
    </row>
    <row r="2735" spans="3:10" x14ac:dyDescent="0.2">
      <c r="C2735" s="209"/>
      <c r="D2735" s="209"/>
      <c r="E2735" s="209"/>
      <c r="J2735" s="124"/>
    </row>
    <row r="2736" spans="3:10" x14ac:dyDescent="0.2">
      <c r="C2736" s="209"/>
      <c r="D2736" s="209"/>
      <c r="E2736" s="209"/>
      <c r="J2736" s="124"/>
    </row>
    <row r="2737" spans="3:10" x14ac:dyDescent="0.2">
      <c r="C2737" s="209"/>
      <c r="D2737" s="209"/>
      <c r="E2737" s="209"/>
      <c r="J2737" s="124"/>
    </row>
    <row r="2738" spans="3:10" x14ac:dyDescent="0.2">
      <c r="C2738" s="209"/>
      <c r="D2738" s="209"/>
      <c r="E2738" s="209"/>
      <c r="J2738" s="124"/>
    </row>
    <row r="2739" spans="3:10" x14ac:dyDescent="0.2">
      <c r="C2739" s="209"/>
      <c r="D2739" s="209"/>
      <c r="E2739" s="209"/>
      <c r="J2739" s="124"/>
    </row>
    <row r="2740" spans="3:10" x14ac:dyDescent="0.2">
      <c r="C2740" s="209"/>
      <c r="D2740" s="209"/>
      <c r="E2740" s="209"/>
      <c r="J2740" s="124"/>
    </row>
    <row r="2741" spans="3:10" x14ac:dyDescent="0.2">
      <c r="C2741" s="209"/>
      <c r="D2741" s="209"/>
      <c r="E2741" s="209"/>
      <c r="J2741" s="124"/>
    </row>
    <row r="2742" spans="3:10" x14ac:dyDescent="0.2">
      <c r="C2742" s="209"/>
      <c r="D2742" s="209"/>
      <c r="E2742" s="209"/>
      <c r="J2742" s="124"/>
    </row>
    <row r="2743" spans="3:10" x14ac:dyDescent="0.2">
      <c r="C2743" s="209"/>
      <c r="D2743" s="209"/>
      <c r="E2743" s="209"/>
      <c r="J2743" s="124"/>
    </row>
    <row r="2744" spans="3:10" x14ac:dyDescent="0.2">
      <c r="C2744" s="209"/>
      <c r="D2744" s="209"/>
      <c r="E2744" s="209"/>
      <c r="J2744" s="124"/>
    </row>
    <row r="2745" spans="3:10" x14ac:dyDescent="0.2">
      <c r="C2745" s="209"/>
      <c r="D2745" s="209"/>
      <c r="E2745" s="209"/>
      <c r="J2745" s="124"/>
    </row>
    <row r="2746" spans="3:10" x14ac:dyDescent="0.2">
      <c r="C2746" s="209"/>
      <c r="D2746" s="209"/>
      <c r="E2746" s="209"/>
      <c r="J2746" s="124"/>
    </row>
    <row r="2747" spans="3:10" x14ac:dyDescent="0.2">
      <c r="C2747" s="209"/>
      <c r="D2747" s="209"/>
      <c r="E2747" s="209"/>
      <c r="J2747" s="124"/>
    </row>
    <row r="2748" spans="3:10" x14ac:dyDescent="0.2">
      <c r="C2748" s="209"/>
      <c r="D2748" s="209"/>
      <c r="E2748" s="209"/>
      <c r="J2748" s="124"/>
    </row>
    <row r="2749" spans="3:10" x14ac:dyDescent="0.2">
      <c r="C2749" s="209"/>
      <c r="D2749" s="209"/>
      <c r="E2749" s="209"/>
      <c r="J2749" s="124"/>
    </row>
    <row r="2750" spans="3:10" x14ac:dyDescent="0.2">
      <c r="C2750" s="209"/>
      <c r="D2750" s="209"/>
      <c r="E2750" s="209"/>
      <c r="J2750" s="124"/>
    </row>
    <row r="2751" spans="3:10" x14ac:dyDescent="0.2">
      <c r="C2751" s="209"/>
      <c r="D2751" s="209"/>
      <c r="E2751" s="209"/>
      <c r="J2751" s="124"/>
    </row>
    <row r="2752" spans="3:10" x14ac:dyDescent="0.2">
      <c r="C2752" s="209"/>
      <c r="D2752" s="209"/>
      <c r="E2752" s="209"/>
      <c r="J2752" s="124"/>
    </row>
    <row r="2753" spans="3:10" x14ac:dyDescent="0.2">
      <c r="C2753" s="209"/>
      <c r="D2753" s="209"/>
      <c r="E2753" s="209"/>
      <c r="J2753" s="124"/>
    </row>
    <row r="2754" spans="3:10" x14ac:dyDescent="0.2">
      <c r="C2754" s="209"/>
      <c r="D2754" s="209"/>
      <c r="E2754" s="209"/>
      <c r="J2754" s="124"/>
    </row>
    <row r="2755" spans="3:10" x14ac:dyDescent="0.2">
      <c r="C2755" s="209"/>
      <c r="D2755" s="209"/>
      <c r="E2755" s="209"/>
      <c r="J2755" s="124"/>
    </row>
    <row r="2756" spans="3:10" x14ac:dyDescent="0.2">
      <c r="C2756" s="209"/>
      <c r="D2756" s="209"/>
      <c r="E2756" s="209"/>
      <c r="J2756" s="124"/>
    </row>
    <row r="2757" spans="3:10" x14ac:dyDescent="0.2">
      <c r="C2757" s="209"/>
      <c r="D2757" s="209"/>
      <c r="E2757" s="209"/>
      <c r="J2757" s="124"/>
    </row>
    <row r="2758" spans="3:10" x14ac:dyDescent="0.2">
      <c r="C2758" s="209"/>
      <c r="D2758" s="209"/>
      <c r="E2758" s="209"/>
      <c r="J2758" s="124"/>
    </row>
    <row r="2759" spans="3:10" x14ac:dyDescent="0.2">
      <c r="C2759" s="209"/>
      <c r="D2759" s="209"/>
      <c r="E2759" s="209"/>
      <c r="J2759" s="124"/>
    </row>
    <row r="2760" spans="3:10" x14ac:dyDescent="0.2">
      <c r="C2760" s="209"/>
      <c r="D2760" s="209"/>
      <c r="E2760" s="209"/>
      <c r="J2760" s="124"/>
    </row>
    <row r="2761" spans="3:10" x14ac:dyDescent="0.2">
      <c r="C2761" s="209"/>
      <c r="D2761" s="209"/>
      <c r="E2761" s="209"/>
      <c r="J2761" s="124"/>
    </row>
    <row r="2762" spans="3:10" x14ac:dyDescent="0.2">
      <c r="C2762" s="209"/>
      <c r="D2762" s="209"/>
      <c r="E2762" s="209"/>
      <c r="J2762" s="124"/>
    </row>
    <row r="2763" spans="3:10" x14ac:dyDescent="0.2">
      <c r="C2763" s="209"/>
      <c r="D2763" s="209"/>
      <c r="E2763" s="209"/>
      <c r="J2763" s="124"/>
    </row>
    <row r="2764" spans="3:10" x14ac:dyDescent="0.2">
      <c r="C2764" s="209"/>
      <c r="D2764" s="209"/>
      <c r="E2764" s="209"/>
      <c r="J2764" s="124"/>
    </row>
    <row r="2765" spans="3:10" x14ac:dyDescent="0.2">
      <c r="C2765" s="209"/>
      <c r="D2765" s="209"/>
      <c r="E2765" s="209"/>
      <c r="J2765" s="124"/>
    </row>
    <row r="2766" spans="3:10" x14ac:dyDescent="0.2">
      <c r="C2766" s="209"/>
      <c r="D2766" s="209"/>
      <c r="E2766" s="209"/>
      <c r="J2766" s="124"/>
    </row>
    <row r="2767" spans="3:10" x14ac:dyDescent="0.2">
      <c r="C2767" s="209"/>
      <c r="D2767" s="209"/>
      <c r="E2767" s="209"/>
      <c r="J2767" s="124"/>
    </row>
    <row r="2768" spans="3:10" x14ac:dyDescent="0.2">
      <c r="C2768" s="209"/>
      <c r="D2768" s="209"/>
      <c r="E2768" s="209"/>
      <c r="J2768" s="124"/>
    </row>
    <row r="2769" spans="3:10" x14ac:dyDescent="0.2">
      <c r="C2769" s="209"/>
      <c r="D2769" s="209"/>
      <c r="E2769" s="209"/>
      <c r="J2769" s="124"/>
    </row>
    <row r="2770" spans="3:10" x14ac:dyDescent="0.2">
      <c r="C2770" s="209"/>
      <c r="D2770" s="209"/>
      <c r="E2770" s="209"/>
      <c r="J2770" s="124"/>
    </row>
    <row r="2771" spans="3:10" x14ac:dyDescent="0.2">
      <c r="C2771" s="209"/>
      <c r="D2771" s="209"/>
      <c r="E2771" s="209"/>
      <c r="J2771" s="124"/>
    </row>
    <row r="2772" spans="3:10" x14ac:dyDescent="0.2">
      <c r="C2772" s="209"/>
      <c r="D2772" s="209"/>
      <c r="E2772" s="209"/>
      <c r="J2772" s="124"/>
    </row>
    <row r="2773" spans="3:10" x14ac:dyDescent="0.2">
      <c r="C2773" s="209"/>
      <c r="D2773" s="209"/>
      <c r="E2773" s="209"/>
      <c r="J2773" s="124"/>
    </row>
    <row r="2774" spans="3:10" x14ac:dyDescent="0.2">
      <c r="C2774" s="209"/>
      <c r="D2774" s="209"/>
      <c r="E2774" s="209"/>
      <c r="J2774" s="124"/>
    </row>
    <row r="2775" spans="3:10" x14ac:dyDescent="0.2">
      <c r="C2775" s="209"/>
      <c r="D2775" s="209"/>
      <c r="E2775" s="209"/>
      <c r="J2775" s="124"/>
    </row>
    <row r="2776" spans="3:10" x14ac:dyDescent="0.2">
      <c r="C2776" s="209"/>
      <c r="D2776" s="209"/>
      <c r="E2776" s="209"/>
      <c r="J2776" s="124"/>
    </row>
    <row r="2777" spans="3:10" x14ac:dyDescent="0.2">
      <c r="C2777" s="209"/>
      <c r="D2777" s="209"/>
      <c r="E2777" s="209"/>
      <c r="J2777" s="124"/>
    </row>
    <row r="2778" spans="3:10" x14ac:dyDescent="0.2">
      <c r="C2778" s="209"/>
      <c r="D2778" s="209"/>
      <c r="E2778" s="209"/>
      <c r="J2778" s="124"/>
    </row>
    <row r="2779" spans="3:10" x14ac:dyDescent="0.2">
      <c r="C2779" s="209"/>
      <c r="D2779" s="209"/>
      <c r="E2779" s="209"/>
      <c r="J2779" s="124"/>
    </row>
    <row r="2780" spans="3:10" x14ac:dyDescent="0.2">
      <c r="C2780" s="209"/>
      <c r="D2780" s="209"/>
      <c r="E2780" s="209"/>
      <c r="J2780" s="124"/>
    </row>
    <row r="2781" spans="3:10" x14ac:dyDescent="0.2">
      <c r="C2781" s="209"/>
      <c r="D2781" s="209"/>
      <c r="E2781" s="209"/>
      <c r="J2781" s="124"/>
    </row>
    <row r="2782" spans="3:10" x14ac:dyDescent="0.2">
      <c r="C2782" s="209"/>
      <c r="D2782" s="209"/>
      <c r="E2782" s="209"/>
      <c r="J2782" s="124"/>
    </row>
    <row r="2783" spans="3:10" x14ac:dyDescent="0.2">
      <c r="C2783" s="209"/>
      <c r="D2783" s="209"/>
      <c r="E2783" s="209"/>
      <c r="J2783" s="124"/>
    </row>
    <row r="2784" spans="3:10" x14ac:dyDescent="0.2">
      <c r="C2784" s="209"/>
      <c r="D2784" s="209"/>
      <c r="E2784" s="209"/>
      <c r="J2784" s="124"/>
    </row>
    <row r="2785" spans="3:10" x14ac:dyDescent="0.2">
      <c r="C2785" s="209"/>
      <c r="D2785" s="209"/>
      <c r="E2785" s="209"/>
      <c r="J2785" s="124"/>
    </row>
    <row r="2786" spans="3:10" x14ac:dyDescent="0.2">
      <c r="C2786" s="209"/>
      <c r="D2786" s="209"/>
      <c r="E2786" s="209"/>
      <c r="J2786" s="124"/>
    </row>
    <row r="2787" spans="3:10" x14ac:dyDescent="0.2">
      <c r="C2787" s="209"/>
      <c r="D2787" s="209"/>
      <c r="E2787" s="209"/>
      <c r="J2787" s="124"/>
    </row>
    <row r="2788" spans="3:10" x14ac:dyDescent="0.2">
      <c r="C2788" s="209"/>
      <c r="D2788" s="209"/>
      <c r="E2788" s="209"/>
      <c r="J2788" s="124"/>
    </row>
    <row r="2789" spans="3:10" x14ac:dyDescent="0.2">
      <c r="C2789" s="209"/>
      <c r="D2789" s="209"/>
      <c r="E2789" s="209"/>
      <c r="J2789" s="124"/>
    </row>
    <row r="2790" spans="3:10" x14ac:dyDescent="0.2">
      <c r="C2790" s="209"/>
      <c r="D2790" s="209"/>
      <c r="E2790" s="209"/>
      <c r="J2790" s="124"/>
    </row>
    <row r="2791" spans="3:10" x14ac:dyDescent="0.2">
      <c r="C2791" s="209"/>
      <c r="D2791" s="209"/>
      <c r="E2791" s="209"/>
      <c r="J2791" s="124"/>
    </row>
    <row r="2792" spans="3:10" x14ac:dyDescent="0.2">
      <c r="C2792" s="209"/>
      <c r="D2792" s="209"/>
      <c r="E2792" s="209"/>
      <c r="J2792" s="124"/>
    </row>
    <row r="2793" spans="3:10" x14ac:dyDescent="0.2">
      <c r="C2793" s="209"/>
      <c r="D2793" s="209"/>
      <c r="E2793" s="209"/>
      <c r="J2793" s="124"/>
    </row>
    <row r="2794" spans="3:10" x14ac:dyDescent="0.2">
      <c r="C2794" s="209"/>
      <c r="D2794" s="209"/>
      <c r="E2794" s="209"/>
      <c r="J2794" s="124"/>
    </row>
    <row r="2795" spans="3:10" x14ac:dyDescent="0.2">
      <c r="C2795" s="209"/>
      <c r="D2795" s="209"/>
      <c r="E2795" s="209"/>
      <c r="J2795" s="124"/>
    </row>
    <row r="2796" spans="3:10" x14ac:dyDescent="0.2">
      <c r="C2796" s="209"/>
      <c r="D2796" s="209"/>
      <c r="E2796" s="209"/>
      <c r="J2796" s="124"/>
    </row>
    <row r="2797" spans="3:10" x14ac:dyDescent="0.2">
      <c r="C2797" s="209"/>
      <c r="D2797" s="209"/>
      <c r="E2797" s="209"/>
      <c r="J2797" s="124"/>
    </row>
    <row r="2798" spans="3:10" x14ac:dyDescent="0.2">
      <c r="C2798" s="209"/>
      <c r="D2798" s="209"/>
      <c r="E2798" s="209"/>
      <c r="J2798" s="124"/>
    </row>
    <row r="2799" spans="3:10" x14ac:dyDescent="0.2">
      <c r="C2799" s="209"/>
      <c r="D2799" s="209"/>
      <c r="E2799" s="209"/>
      <c r="J2799" s="124"/>
    </row>
    <row r="2800" spans="3:10" x14ac:dyDescent="0.2">
      <c r="C2800" s="209"/>
      <c r="D2800" s="209"/>
      <c r="E2800" s="209"/>
      <c r="J2800" s="124"/>
    </row>
    <row r="2801" spans="3:10" x14ac:dyDescent="0.2">
      <c r="C2801" s="209"/>
      <c r="D2801" s="209"/>
      <c r="E2801" s="209"/>
      <c r="J2801" s="124"/>
    </row>
    <row r="2802" spans="3:10" x14ac:dyDescent="0.2">
      <c r="C2802" s="209"/>
      <c r="D2802" s="209"/>
      <c r="E2802" s="209"/>
      <c r="J2802" s="124"/>
    </row>
    <row r="2803" spans="3:10" x14ac:dyDescent="0.2">
      <c r="C2803" s="209"/>
      <c r="D2803" s="209"/>
      <c r="E2803" s="209"/>
      <c r="J2803" s="124"/>
    </row>
    <row r="2804" spans="3:10" x14ac:dyDescent="0.2">
      <c r="C2804" s="209"/>
      <c r="D2804" s="209"/>
      <c r="E2804" s="209"/>
      <c r="J2804" s="124"/>
    </row>
    <row r="2805" spans="3:10" x14ac:dyDescent="0.2">
      <c r="C2805" s="209"/>
      <c r="D2805" s="209"/>
      <c r="E2805" s="209"/>
      <c r="J2805" s="124"/>
    </row>
    <row r="2806" spans="3:10" x14ac:dyDescent="0.2">
      <c r="C2806" s="209"/>
      <c r="D2806" s="209"/>
      <c r="E2806" s="209"/>
      <c r="J2806" s="124"/>
    </row>
    <row r="2807" spans="3:10" x14ac:dyDescent="0.2">
      <c r="C2807" s="209"/>
      <c r="D2807" s="209"/>
      <c r="E2807" s="209"/>
      <c r="J2807" s="124"/>
    </row>
    <row r="2808" spans="3:10" x14ac:dyDescent="0.2">
      <c r="C2808" s="209"/>
      <c r="D2808" s="209"/>
      <c r="E2808" s="209"/>
      <c r="J2808" s="124"/>
    </row>
    <row r="2809" spans="3:10" x14ac:dyDescent="0.2">
      <c r="C2809" s="209"/>
      <c r="D2809" s="209"/>
      <c r="E2809" s="209"/>
      <c r="J2809" s="124"/>
    </row>
    <row r="2810" spans="3:10" x14ac:dyDescent="0.2">
      <c r="C2810" s="209"/>
      <c r="D2810" s="209"/>
      <c r="E2810" s="209"/>
      <c r="J2810" s="124"/>
    </row>
    <row r="2811" spans="3:10" x14ac:dyDescent="0.2">
      <c r="C2811" s="209"/>
      <c r="D2811" s="209"/>
      <c r="E2811" s="209"/>
      <c r="J2811" s="124"/>
    </row>
    <row r="2812" spans="3:10" x14ac:dyDescent="0.2">
      <c r="C2812" s="209"/>
      <c r="D2812" s="209"/>
      <c r="E2812" s="209"/>
      <c r="J2812" s="124"/>
    </row>
    <row r="2813" spans="3:10" x14ac:dyDescent="0.2">
      <c r="C2813" s="209"/>
      <c r="D2813" s="209"/>
      <c r="E2813" s="209"/>
      <c r="J2813" s="124"/>
    </row>
    <row r="2814" spans="3:10" x14ac:dyDescent="0.2">
      <c r="C2814" s="209"/>
      <c r="D2814" s="209"/>
      <c r="E2814" s="209"/>
      <c r="J2814" s="124"/>
    </row>
    <row r="2815" spans="3:10" x14ac:dyDescent="0.2">
      <c r="C2815" s="209"/>
      <c r="D2815" s="209"/>
      <c r="E2815" s="209"/>
      <c r="J2815" s="124"/>
    </row>
    <row r="2816" spans="3:10" x14ac:dyDescent="0.2">
      <c r="C2816" s="209"/>
      <c r="D2816" s="209"/>
      <c r="E2816" s="209"/>
      <c r="J2816" s="124"/>
    </row>
    <row r="2817" spans="3:10" x14ac:dyDescent="0.2">
      <c r="C2817" s="209"/>
      <c r="D2817" s="209"/>
      <c r="E2817" s="209"/>
      <c r="J2817" s="124"/>
    </row>
    <row r="2818" spans="3:10" x14ac:dyDescent="0.2">
      <c r="C2818" s="209"/>
      <c r="D2818" s="209"/>
      <c r="E2818" s="209"/>
      <c r="J2818" s="124"/>
    </row>
    <row r="2819" spans="3:10" x14ac:dyDescent="0.2">
      <c r="C2819" s="209"/>
      <c r="D2819" s="209"/>
      <c r="E2819" s="209"/>
      <c r="J2819" s="124"/>
    </row>
    <row r="2820" spans="3:10" x14ac:dyDescent="0.2">
      <c r="C2820" s="209"/>
      <c r="D2820" s="209"/>
      <c r="E2820" s="209"/>
      <c r="J2820" s="124"/>
    </row>
    <row r="2821" spans="3:10" x14ac:dyDescent="0.2">
      <c r="C2821" s="209"/>
      <c r="D2821" s="209"/>
      <c r="E2821" s="209"/>
      <c r="J2821" s="124"/>
    </row>
    <row r="2822" spans="3:10" x14ac:dyDescent="0.2">
      <c r="C2822" s="209"/>
      <c r="D2822" s="209"/>
      <c r="E2822" s="209"/>
      <c r="J2822" s="124"/>
    </row>
    <row r="2823" spans="3:10" x14ac:dyDescent="0.2">
      <c r="C2823" s="209"/>
      <c r="D2823" s="209"/>
      <c r="E2823" s="209"/>
      <c r="J2823" s="124"/>
    </row>
    <row r="2824" spans="3:10" x14ac:dyDescent="0.2">
      <c r="C2824" s="209"/>
      <c r="D2824" s="209"/>
      <c r="E2824" s="209"/>
      <c r="J2824" s="124"/>
    </row>
    <row r="2825" spans="3:10" x14ac:dyDescent="0.2">
      <c r="C2825" s="209"/>
      <c r="D2825" s="209"/>
      <c r="E2825" s="209"/>
      <c r="J2825" s="124"/>
    </row>
    <row r="2826" spans="3:10" x14ac:dyDescent="0.2">
      <c r="C2826" s="209"/>
      <c r="D2826" s="209"/>
      <c r="E2826" s="209"/>
      <c r="J2826" s="124"/>
    </row>
    <row r="2827" spans="3:10" x14ac:dyDescent="0.2">
      <c r="C2827" s="209"/>
      <c r="D2827" s="209"/>
      <c r="E2827" s="209"/>
      <c r="J2827" s="124"/>
    </row>
    <row r="2828" spans="3:10" x14ac:dyDescent="0.2">
      <c r="C2828" s="209"/>
      <c r="D2828" s="209"/>
      <c r="E2828" s="209"/>
      <c r="J2828" s="124"/>
    </row>
    <row r="2829" spans="3:10" x14ac:dyDescent="0.2">
      <c r="C2829" s="209"/>
      <c r="D2829" s="209"/>
      <c r="E2829" s="209"/>
      <c r="J2829" s="124"/>
    </row>
    <row r="2830" spans="3:10" x14ac:dyDescent="0.2">
      <c r="C2830" s="209"/>
      <c r="D2830" s="209"/>
      <c r="E2830" s="209"/>
      <c r="J2830" s="124"/>
    </row>
    <row r="2831" spans="3:10" x14ac:dyDescent="0.2">
      <c r="C2831" s="209"/>
      <c r="D2831" s="209"/>
      <c r="E2831" s="209"/>
      <c r="J2831" s="124"/>
    </row>
    <row r="2832" spans="3:10" x14ac:dyDescent="0.2">
      <c r="C2832" s="209"/>
      <c r="D2832" s="209"/>
      <c r="E2832" s="209"/>
      <c r="J2832" s="124"/>
    </row>
    <row r="2833" spans="3:10" x14ac:dyDescent="0.2">
      <c r="C2833" s="209"/>
      <c r="D2833" s="209"/>
      <c r="E2833" s="209"/>
      <c r="J2833" s="124"/>
    </row>
    <row r="2834" spans="3:10" x14ac:dyDescent="0.2">
      <c r="C2834" s="209"/>
      <c r="D2834" s="209"/>
      <c r="E2834" s="209"/>
      <c r="J2834" s="124"/>
    </row>
    <row r="2835" spans="3:10" x14ac:dyDescent="0.2">
      <c r="C2835" s="209"/>
      <c r="D2835" s="209"/>
      <c r="E2835" s="209"/>
      <c r="J2835" s="124"/>
    </row>
    <row r="2836" spans="3:10" x14ac:dyDescent="0.2">
      <c r="C2836" s="209"/>
      <c r="D2836" s="209"/>
      <c r="E2836" s="209"/>
      <c r="J2836" s="124"/>
    </row>
    <row r="2837" spans="3:10" x14ac:dyDescent="0.2">
      <c r="C2837" s="209"/>
      <c r="D2837" s="209"/>
      <c r="E2837" s="209"/>
      <c r="J2837" s="124"/>
    </row>
    <row r="2838" spans="3:10" x14ac:dyDescent="0.2">
      <c r="C2838" s="209"/>
      <c r="D2838" s="209"/>
      <c r="E2838" s="209"/>
      <c r="J2838" s="124"/>
    </row>
    <row r="2839" spans="3:10" x14ac:dyDescent="0.2">
      <c r="C2839" s="209"/>
      <c r="D2839" s="209"/>
      <c r="E2839" s="209"/>
      <c r="J2839" s="124"/>
    </row>
    <row r="2840" spans="3:10" x14ac:dyDescent="0.2">
      <c r="C2840" s="209"/>
      <c r="D2840" s="209"/>
      <c r="E2840" s="209"/>
      <c r="J2840" s="124"/>
    </row>
    <row r="2841" spans="3:10" x14ac:dyDescent="0.2">
      <c r="C2841" s="209"/>
      <c r="D2841" s="209"/>
      <c r="E2841" s="209"/>
      <c r="J2841" s="124"/>
    </row>
    <row r="2842" spans="3:10" x14ac:dyDescent="0.2">
      <c r="C2842" s="209"/>
      <c r="D2842" s="209"/>
      <c r="E2842" s="209"/>
      <c r="J2842" s="124"/>
    </row>
    <row r="2843" spans="3:10" x14ac:dyDescent="0.2">
      <c r="C2843" s="209"/>
      <c r="D2843" s="209"/>
      <c r="E2843" s="209"/>
      <c r="J2843" s="124"/>
    </row>
    <row r="2844" spans="3:10" x14ac:dyDescent="0.2">
      <c r="C2844" s="209"/>
      <c r="D2844" s="209"/>
      <c r="E2844" s="209"/>
      <c r="J2844" s="124"/>
    </row>
    <row r="2845" spans="3:10" x14ac:dyDescent="0.2">
      <c r="C2845" s="209"/>
      <c r="D2845" s="209"/>
      <c r="E2845" s="209"/>
      <c r="J2845" s="124"/>
    </row>
    <row r="2846" spans="3:10" x14ac:dyDescent="0.2">
      <c r="C2846" s="209"/>
      <c r="D2846" s="209"/>
      <c r="E2846" s="209"/>
      <c r="J2846" s="124"/>
    </row>
    <row r="2847" spans="3:10" x14ac:dyDescent="0.2">
      <c r="C2847" s="209"/>
      <c r="D2847" s="209"/>
      <c r="E2847" s="209"/>
      <c r="J2847" s="124"/>
    </row>
    <row r="2848" spans="3:10" x14ac:dyDescent="0.2">
      <c r="C2848" s="209"/>
      <c r="D2848" s="209"/>
      <c r="E2848" s="209"/>
      <c r="J2848" s="124"/>
    </row>
    <row r="2849" spans="3:10" x14ac:dyDescent="0.2">
      <c r="C2849" s="209"/>
      <c r="D2849" s="209"/>
      <c r="E2849" s="209"/>
      <c r="J2849" s="124"/>
    </row>
    <row r="2850" spans="3:10" x14ac:dyDescent="0.2">
      <c r="C2850" s="209"/>
      <c r="D2850" s="209"/>
      <c r="E2850" s="209"/>
      <c r="J2850" s="124"/>
    </row>
    <row r="2851" spans="3:10" x14ac:dyDescent="0.2">
      <c r="C2851" s="209"/>
      <c r="D2851" s="209"/>
      <c r="E2851" s="209"/>
      <c r="J2851" s="124"/>
    </row>
    <row r="2852" spans="3:10" x14ac:dyDescent="0.2">
      <c r="C2852" s="209"/>
      <c r="D2852" s="209"/>
      <c r="E2852" s="209"/>
      <c r="J2852" s="124"/>
    </row>
    <row r="2853" spans="3:10" x14ac:dyDescent="0.2">
      <c r="C2853" s="209"/>
      <c r="D2853" s="209"/>
      <c r="E2853" s="209"/>
      <c r="J2853" s="124"/>
    </row>
    <row r="2854" spans="3:10" x14ac:dyDescent="0.2">
      <c r="C2854" s="209"/>
      <c r="D2854" s="209"/>
      <c r="E2854" s="209"/>
      <c r="J2854" s="124"/>
    </row>
    <row r="2855" spans="3:10" x14ac:dyDescent="0.2">
      <c r="C2855" s="209"/>
      <c r="D2855" s="209"/>
      <c r="E2855" s="209"/>
      <c r="J2855" s="124"/>
    </row>
    <row r="2856" spans="3:10" x14ac:dyDescent="0.2">
      <c r="C2856" s="209"/>
      <c r="D2856" s="209"/>
      <c r="E2856" s="209"/>
      <c r="J2856" s="124"/>
    </row>
    <row r="2857" spans="3:10" x14ac:dyDescent="0.2">
      <c r="C2857" s="209"/>
      <c r="D2857" s="209"/>
      <c r="E2857" s="209"/>
      <c r="J2857" s="124"/>
    </row>
    <row r="2858" spans="3:10" x14ac:dyDescent="0.2">
      <c r="C2858" s="209"/>
      <c r="D2858" s="209"/>
      <c r="E2858" s="209"/>
      <c r="J2858" s="124"/>
    </row>
    <row r="2859" spans="3:10" x14ac:dyDescent="0.2">
      <c r="C2859" s="209"/>
      <c r="D2859" s="209"/>
      <c r="E2859" s="209"/>
      <c r="J2859" s="124"/>
    </row>
    <row r="2860" spans="3:10" x14ac:dyDescent="0.2">
      <c r="C2860" s="209"/>
      <c r="D2860" s="209"/>
      <c r="E2860" s="209"/>
      <c r="J2860" s="124"/>
    </row>
    <row r="2861" spans="3:10" x14ac:dyDescent="0.2">
      <c r="C2861" s="209"/>
      <c r="D2861" s="209"/>
      <c r="E2861" s="209"/>
      <c r="J2861" s="124"/>
    </row>
    <row r="2862" spans="3:10" x14ac:dyDescent="0.2">
      <c r="C2862" s="209"/>
      <c r="D2862" s="209"/>
      <c r="E2862" s="209"/>
      <c r="J2862" s="124"/>
    </row>
    <row r="2863" spans="3:10" x14ac:dyDescent="0.2">
      <c r="C2863" s="209"/>
      <c r="D2863" s="209"/>
      <c r="E2863" s="209"/>
      <c r="J2863" s="124"/>
    </row>
    <row r="2864" spans="3:10" x14ac:dyDescent="0.2">
      <c r="C2864" s="209"/>
      <c r="D2864" s="209"/>
      <c r="E2864" s="209"/>
      <c r="J2864" s="124"/>
    </row>
    <row r="2865" spans="3:10" x14ac:dyDescent="0.2">
      <c r="C2865" s="209"/>
      <c r="D2865" s="209"/>
      <c r="E2865" s="209"/>
      <c r="J2865" s="124"/>
    </row>
    <row r="2866" spans="3:10" x14ac:dyDescent="0.2">
      <c r="C2866" s="209"/>
      <c r="D2866" s="209"/>
      <c r="E2866" s="209"/>
      <c r="J2866" s="124"/>
    </row>
    <row r="2867" spans="3:10" x14ac:dyDescent="0.2">
      <c r="C2867" s="209"/>
      <c r="D2867" s="209"/>
      <c r="E2867" s="209"/>
      <c r="J2867" s="124"/>
    </row>
    <row r="2868" spans="3:10" x14ac:dyDescent="0.2">
      <c r="C2868" s="209"/>
      <c r="D2868" s="209"/>
      <c r="E2868" s="209"/>
      <c r="J2868" s="124"/>
    </row>
    <row r="2869" spans="3:10" x14ac:dyDescent="0.2">
      <c r="C2869" s="209"/>
      <c r="D2869" s="209"/>
      <c r="E2869" s="209"/>
      <c r="J2869" s="124"/>
    </row>
    <row r="2870" spans="3:10" x14ac:dyDescent="0.2">
      <c r="C2870" s="209"/>
      <c r="D2870" s="209"/>
      <c r="E2870" s="209"/>
      <c r="J2870" s="124"/>
    </row>
    <row r="2871" spans="3:10" x14ac:dyDescent="0.2">
      <c r="C2871" s="209"/>
      <c r="D2871" s="209"/>
      <c r="E2871" s="209"/>
      <c r="J2871" s="124"/>
    </row>
    <row r="2872" spans="3:10" x14ac:dyDescent="0.2">
      <c r="C2872" s="209"/>
      <c r="D2872" s="209"/>
      <c r="E2872" s="209"/>
      <c r="J2872" s="124"/>
    </row>
    <row r="2873" spans="3:10" x14ac:dyDescent="0.2">
      <c r="C2873" s="209"/>
      <c r="D2873" s="209"/>
      <c r="E2873" s="209"/>
      <c r="J2873" s="124"/>
    </row>
    <row r="2874" spans="3:10" x14ac:dyDescent="0.2">
      <c r="C2874" s="209"/>
      <c r="D2874" s="209"/>
      <c r="E2874" s="209"/>
      <c r="J2874" s="124"/>
    </row>
    <row r="2875" spans="3:10" x14ac:dyDescent="0.2">
      <c r="C2875" s="209"/>
      <c r="D2875" s="209"/>
      <c r="E2875" s="209"/>
      <c r="J2875" s="124"/>
    </row>
    <row r="2876" spans="3:10" x14ac:dyDescent="0.2">
      <c r="C2876" s="209"/>
      <c r="D2876" s="209"/>
      <c r="E2876" s="209"/>
      <c r="J2876" s="124"/>
    </row>
    <row r="2877" spans="3:10" x14ac:dyDescent="0.2">
      <c r="C2877" s="209"/>
      <c r="D2877" s="209"/>
      <c r="E2877" s="209"/>
      <c r="J2877" s="124"/>
    </row>
    <row r="2878" spans="3:10" x14ac:dyDescent="0.2">
      <c r="C2878" s="209"/>
      <c r="D2878" s="209"/>
      <c r="E2878" s="209"/>
      <c r="J2878" s="124"/>
    </row>
    <row r="2879" spans="3:10" x14ac:dyDescent="0.2">
      <c r="C2879" s="209"/>
      <c r="D2879" s="209"/>
      <c r="E2879" s="209"/>
      <c r="J2879" s="124"/>
    </row>
    <row r="2880" spans="3:10" x14ac:dyDescent="0.2">
      <c r="C2880" s="209"/>
      <c r="D2880" s="209"/>
      <c r="E2880" s="209"/>
      <c r="J2880" s="124"/>
    </row>
    <row r="2881" spans="3:10" x14ac:dyDescent="0.2">
      <c r="C2881" s="209"/>
      <c r="D2881" s="209"/>
      <c r="E2881" s="209"/>
      <c r="J2881" s="124"/>
    </row>
    <row r="2882" spans="3:10" x14ac:dyDescent="0.2">
      <c r="C2882" s="209"/>
      <c r="D2882" s="209"/>
      <c r="E2882" s="209"/>
      <c r="J2882" s="124"/>
    </row>
    <row r="2883" spans="3:10" x14ac:dyDescent="0.2">
      <c r="C2883" s="209"/>
      <c r="D2883" s="209"/>
      <c r="E2883" s="209"/>
      <c r="J2883" s="124"/>
    </row>
    <row r="2884" spans="3:10" x14ac:dyDescent="0.2">
      <c r="C2884" s="209"/>
      <c r="D2884" s="209"/>
      <c r="E2884" s="209"/>
      <c r="J2884" s="124"/>
    </row>
    <row r="2885" spans="3:10" x14ac:dyDescent="0.2">
      <c r="C2885" s="209"/>
      <c r="D2885" s="209"/>
      <c r="E2885" s="209"/>
      <c r="J2885" s="124"/>
    </row>
    <row r="2886" spans="3:10" x14ac:dyDescent="0.2">
      <c r="C2886" s="209"/>
      <c r="D2886" s="209"/>
      <c r="E2886" s="209"/>
      <c r="J2886" s="124"/>
    </row>
    <row r="2887" spans="3:10" x14ac:dyDescent="0.2">
      <c r="C2887" s="209"/>
      <c r="D2887" s="209"/>
      <c r="E2887" s="209"/>
      <c r="J2887" s="124"/>
    </row>
    <row r="2888" spans="3:10" x14ac:dyDescent="0.2">
      <c r="C2888" s="209"/>
      <c r="D2888" s="209"/>
      <c r="E2888" s="209"/>
      <c r="J2888" s="124"/>
    </row>
    <row r="2889" spans="3:10" x14ac:dyDescent="0.2">
      <c r="C2889" s="209"/>
      <c r="D2889" s="209"/>
      <c r="E2889" s="209"/>
      <c r="J2889" s="124"/>
    </row>
    <row r="2890" spans="3:10" x14ac:dyDescent="0.2">
      <c r="C2890" s="209"/>
      <c r="D2890" s="209"/>
      <c r="E2890" s="209"/>
      <c r="J2890" s="124"/>
    </row>
    <row r="2891" spans="3:10" x14ac:dyDescent="0.2">
      <c r="C2891" s="209"/>
      <c r="D2891" s="209"/>
      <c r="E2891" s="209"/>
      <c r="J2891" s="124"/>
    </row>
    <row r="2892" spans="3:10" x14ac:dyDescent="0.2">
      <c r="C2892" s="209"/>
      <c r="D2892" s="209"/>
      <c r="E2892" s="209"/>
      <c r="J2892" s="124"/>
    </row>
    <row r="2893" spans="3:10" x14ac:dyDescent="0.2">
      <c r="C2893" s="209"/>
      <c r="D2893" s="209"/>
      <c r="E2893" s="209"/>
      <c r="J2893" s="124"/>
    </row>
    <row r="2894" spans="3:10" x14ac:dyDescent="0.2">
      <c r="C2894" s="209"/>
      <c r="D2894" s="209"/>
      <c r="E2894" s="209"/>
      <c r="J2894" s="124"/>
    </row>
    <row r="2895" spans="3:10" x14ac:dyDescent="0.2">
      <c r="C2895" s="209"/>
      <c r="D2895" s="209"/>
      <c r="E2895" s="209"/>
      <c r="J2895" s="124"/>
    </row>
    <row r="2896" spans="3:10" x14ac:dyDescent="0.2">
      <c r="C2896" s="209"/>
      <c r="D2896" s="209"/>
      <c r="E2896" s="209"/>
      <c r="J2896" s="124"/>
    </row>
    <row r="2897" spans="3:10" x14ac:dyDescent="0.2">
      <c r="C2897" s="209"/>
      <c r="D2897" s="209"/>
      <c r="E2897" s="209"/>
      <c r="J2897" s="124"/>
    </row>
    <row r="2898" spans="3:10" x14ac:dyDescent="0.2">
      <c r="C2898" s="209"/>
      <c r="D2898" s="209"/>
      <c r="E2898" s="209"/>
      <c r="J2898" s="124"/>
    </row>
    <row r="2899" spans="3:10" x14ac:dyDescent="0.2">
      <c r="C2899" s="209"/>
      <c r="D2899" s="209"/>
      <c r="E2899" s="209"/>
      <c r="J2899" s="124"/>
    </row>
    <row r="2900" spans="3:10" x14ac:dyDescent="0.2">
      <c r="C2900" s="209"/>
      <c r="D2900" s="209"/>
      <c r="E2900" s="209"/>
      <c r="J2900" s="124"/>
    </row>
    <row r="2901" spans="3:10" x14ac:dyDescent="0.2">
      <c r="C2901" s="209"/>
      <c r="D2901" s="209"/>
      <c r="E2901" s="209"/>
      <c r="J2901" s="124"/>
    </row>
    <row r="2902" spans="3:10" x14ac:dyDescent="0.2">
      <c r="C2902" s="209"/>
      <c r="D2902" s="209"/>
      <c r="E2902" s="209"/>
      <c r="J2902" s="124"/>
    </row>
    <row r="2903" spans="3:10" x14ac:dyDescent="0.2">
      <c r="C2903" s="209"/>
      <c r="D2903" s="209"/>
      <c r="E2903" s="209"/>
      <c r="J2903" s="124"/>
    </row>
    <row r="2904" spans="3:10" x14ac:dyDescent="0.2">
      <c r="C2904" s="209"/>
      <c r="D2904" s="209"/>
      <c r="E2904" s="209"/>
      <c r="J2904" s="124"/>
    </row>
    <row r="2905" spans="3:10" x14ac:dyDescent="0.2">
      <c r="C2905" s="209"/>
      <c r="D2905" s="209"/>
      <c r="E2905" s="209"/>
      <c r="J2905" s="124"/>
    </row>
    <row r="2906" spans="3:10" x14ac:dyDescent="0.2">
      <c r="C2906" s="209"/>
      <c r="D2906" s="209"/>
      <c r="E2906" s="209"/>
      <c r="J2906" s="124"/>
    </row>
    <row r="2907" spans="3:10" x14ac:dyDescent="0.2">
      <c r="C2907" s="209"/>
      <c r="D2907" s="209"/>
      <c r="E2907" s="209"/>
      <c r="J2907" s="124"/>
    </row>
    <row r="2908" spans="3:10" x14ac:dyDescent="0.2">
      <c r="C2908" s="209"/>
      <c r="D2908" s="209"/>
      <c r="E2908" s="209"/>
      <c r="J2908" s="124"/>
    </row>
    <row r="2909" spans="3:10" x14ac:dyDescent="0.2">
      <c r="C2909" s="209"/>
      <c r="D2909" s="209"/>
      <c r="E2909" s="209"/>
      <c r="J2909" s="124"/>
    </row>
    <row r="2910" spans="3:10" x14ac:dyDescent="0.2">
      <c r="C2910" s="209"/>
      <c r="D2910" s="209"/>
      <c r="E2910" s="209"/>
      <c r="J2910" s="124"/>
    </row>
    <row r="2911" spans="3:10" x14ac:dyDescent="0.2">
      <c r="C2911" s="209"/>
      <c r="D2911" s="209"/>
      <c r="E2911" s="209"/>
      <c r="J2911" s="124"/>
    </row>
    <row r="2912" spans="3:10" x14ac:dyDescent="0.2">
      <c r="C2912" s="209"/>
      <c r="D2912" s="209"/>
      <c r="E2912" s="209"/>
      <c r="J2912" s="124"/>
    </row>
    <row r="2913" spans="3:10" x14ac:dyDescent="0.2">
      <c r="C2913" s="209"/>
      <c r="D2913" s="209"/>
      <c r="E2913" s="209"/>
      <c r="J2913" s="124"/>
    </row>
    <row r="2914" spans="3:10" x14ac:dyDescent="0.2">
      <c r="C2914" s="209"/>
      <c r="D2914" s="209"/>
      <c r="E2914" s="209"/>
      <c r="J2914" s="124"/>
    </row>
    <row r="2915" spans="3:10" x14ac:dyDescent="0.2">
      <c r="C2915" s="209"/>
      <c r="D2915" s="209"/>
      <c r="E2915" s="209"/>
      <c r="J2915" s="124"/>
    </row>
    <row r="2916" spans="3:10" x14ac:dyDescent="0.2">
      <c r="C2916" s="209"/>
      <c r="D2916" s="209"/>
      <c r="E2916" s="209"/>
      <c r="J2916" s="124"/>
    </row>
    <row r="2917" spans="3:10" x14ac:dyDescent="0.2">
      <c r="C2917" s="209"/>
      <c r="D2917" s="209"/>
      <c r="E2917" s="209"/>
      <c r="J2917" s="124"/>
    </row>
    <row r="2918" spans="3:10" x14ac:dyDescent="0.2">
      <c r="C2918" s="209"/>
      <c r="D2918" s="209"/>
      <c r="E2918" s="209"/>
      <c r="J2918" s="124"/>
    </row>
    <row r="2919" spans="3:10" x14ac:dyDescent="0.2">
      <c r="C2919" s="209"/>
      <c r="D2919" s="209"/>
      <c r="E2919" s="209"/>
      <c r="J2919" s="124"/>
    </row>
    <row r="2920" spans="3:10" x14ac:dyDescent="0.2">
      <c r="C2920" s="209"/>
      <c r="D2920" s="209"/>
      <c r="E2920" s="209"/>
      <c r="J2920" s="124"/>
    </row>
    <row r="2921" spans="3:10" x14ac:dyDescent="0.2">
      <c r="C2921" s="209"/>
      <c r="D2921" s="209"/>
      <c r="E2921" s="209"/>
      <c r="J2921" s="124"/>
    </row>
    <row r="2922" spans="3:10" x14ac:dyDescent="0.2">
      <c r="C2922" s="209"/>
      <c r="D2922" s="209"/>
      <c r="E2922" s="209"/>
      <c r="J2922" s="124"/>
    </row>
    <row r="2923" spans="3:10" x14ac:dyDescent="0.2">
      <c r="C2923" s="209"/>
      <c r="D2923" s="209"/>
      <c r="E2923" s="209"/>
      <c r="J2923" s="124"/>
    </row>
    <row r="2924" spans="3:10" x14ac:dyDescent="0.2">
      <c r="C2924" s="209"/>
      <c r="D2924" s="209"/>
      <c r="E2924" s="209"/>
      <c r="J2924" s="124"/>
    </row>
    <row r="2925" spans="3:10" x14ac:dyDescent="0.2">
      <c r="C2925" s="209"/>
      <c r="D2925" s="209"/>
      <c r="E2925" s="209"/>
      <c r="J2925" s="124"/>
    </row>
    <row r="2926" spans="3:10" x14ac:dyDescent="0.2">
      <c r="C2926" s="209"/>
      <c r="D2926" s="209"/>
      <c r="E2926" s="209"/>
      <c r="J2926" s="124"/>
    </row>
    <row r="2927" spans="3:10" x14ac:dyDescent="0.2">
      <c r="C2927" s="209"/>
      <c r="D2927" s="209"/>
      <c r="E2927" s="209"/>
      <c r="J2927" s="124"/>
    </row>
    <row r="2928" spans="3:10" x14ac:dyDescent="0.2">
      <c r="C2928" s="209"/>
      <c r="D2928" s="209"/>
      <c r="E2928" s="209"/>
      <c r="J2928" s="124"/>
    </row>
    <row r="2929" spans="3:10" x14ac:dyDescent="0.2">
      <c r="C2929" s="209"/>
      <c r="D2929" s="209"/>
      <c r="E2929" s="209"/>
      <c r="J2929" s="124"/>
    </row>
    <row r="2930" spans="3:10" x14ac:dyDescent="0.2">
      <c r="C2930" s="209"/>
      <c r="D2930" s="209"/>
      <c r="E2930" s="209"/>
      <c r="J2930" s="124"/>
    </row>
    <row r="2931" spans="3:10" x14ac:dyDescent="0.2">
      <c r="C2931" s="209"/>
      <c r="D2931" s="209"/>
      <c r="E2931" s="209"/>
      <c r="J2931" s="124"/>
    </row>
    <row r="2932" spans="3:10" x14ac:dyDescent="0.2">
      <c r="C2932" s="209"/>
      <c r="D2932" s="209"/>
      <c r="E2932" s="209"/>
      <c r="J2932" s="124"/>
    </row>
    <row r="2933" spans="3:10" x14ac:dyDescent="0.2">
      <c r="C2933" s="209"/>
      <c r="D2933" s="209"/>
      <c r="E2933" s="209"/>
      <c r="J2933" s="124"/>
    </row>
    <row r="2934" spans="3:10" x14ac:dyDescent="0.2">
      <c r="C2934" s="209"/>
      <c r="D2934" s="209"/>
      <c r="E2934" s="209"/>
      <c r="J2934" s="124"/>
    </row>
    <row r="2935" spans="3:10" x14ac:dyDescent="0.2">
      <c r="C2935" s="209"/>
      <c r="D2935" s="209"/>
      <c r="E2935" s="209"/>
      <c r="J2935" s="124"/>
    </row>
    <row r="2936" spans="3:10" x14ac:dyDescent="0.2">
      <c r="C2936" s="209"/>
      <c r="D2936" s="209"/>
      <c r="E2936" s="209"/>
      <c r="J2936" s="124"/>
    </row>
    <row r="2937" spans="3:10" x14ac:dyDescent="0.2">
      <c r="C2937" s="209"/>
      <c r="D2937" s="209"/>
      <c r="E2937" s="209"/>
      <c r="J2937" s="124"/>
    </row>
    <row r="2938" spans="3:10" x14ac:dyDescent="0.2">
      <c r="C2938" s="209"/>
      <c r="D2938" s="209"/>
      <c r="E2938" s="209"/>
      <c r="J2938" s="124"/>
    </row>
    <row r="2939" spans="3:10" x14ac:dyDescent="0.2">
      <c r="C2939" s="209"/>
      <c r="D2939" s="209"/>
      <c r="E2939" s="209"/>
      <c r="J2939" s="124"/>
    </row>
    <row r="2940" spans="3:10" x14ac:dyDescent="0.2">
      <c r="C2940" s="209"/>
      <c r="D2940" s="209"/>
      <c r="E2940" s="209"/>
      <c r="J2940" s="124"/>
    </row>
    <row r="2941" spans="3:10" x14ac:dyDescent="0.2">
      <c r="C2941" s="209"/>
      <c r="D2941" s="209"/>
      <c r="E2941" s="209"/>
      <c r="J2941" s="124"/>
    </row>
    <row r="2942" spans="3:10" x14ac:dyDescent="0.2">
      <c r="C2942" s="209"/>
      <c r="D2942" s="209"/>
      <c r="E2942" s="209"/>
      <c r="J2942" s="124"/>
    </row>
    <row r="2943" spans="3:10" x14ac:dyDescent="0.2">
      <c r="C2943" s="209"/>
      <c r="D2943" s="209"/>
      <c r="E2943" s="209"/>
      <c r="J2943" s="124"/>
    </row>
    <row r="2944" spans="3:10" x14ac:dyDescent="0.2">
      <c r="C2944" s="209"/>
      <c r="D2944" s="209"/>
      <c r="E2944" s="209"/>
      <c r="J2944" s="124"/>
    </row>
    <row r="2945" spans="3:10" x14ac:dyDescent="0.2">
      <c r="C2945" s="209"/>
      <c r="D2945" s="209"/>
      <c r="E2945" s="209"/>
      <c r="J2945" s="124"/>
    </row>
    <row r="2946" spans="3:10" x14ac:dyDescent="0.2">
      <c r="C2946" s="209"/>
      <c r="D2946" s="209"/>
      <c r="E2946" s="209"/>
      <c r="J2946" s="124"/>
    </row>
    <row r="2947" spans="3:10" x14ac:dyDescent="0.2">
      <c r="C2947" s="209"/>
      <c r="D2947" s="209"/>
      <c r="E2947" s="209"/>
      <c r="J2947" s="124"/>
    </row>
    <row r="2948" spans="3:10" x14ac:dyDescent="0.2">
      <c r="C2948" s="209"/>
      <c r="D2948" s="209"/>
      <c r="E2948" s="209"/>
      <c r="J2948" s="124"/>
    </row>
    <row r="2949" spans="3:10" x14ac:dyDescent="0.2">
      <c r="C2949" s="209"/>
      <c r="D2949" s="209"/>
      <c r="E2949" s="209"/>
      <c r="J2949" s="124"/>
    </row>
    <row r="2950" spans="3:10" x14ac:dyDescent="0.2">
      <c r="C2950" s="209"/>
      <c r="D2950" s="209"/>
      <c r="E2950" s="209"/>
      <c r="J2950" s="124"/>
    </row>
    <row r="2951" spans="3:10" x14ac:dyDescent="0.2">
      <c r="C2951" s="209"/>
      <c r="D2951" s="209"/>
      <c r="E2951" s="209"/>
      <c r="J2951" s="124"/>
    </row>
    <row r="2952" spans="3:10" x14ac:dyDescent="0.2">
      <c r="C2952" s="209"/>
      <c r="D2952" s="209"/>
      <c r="E2952" s="209"/>
      <c r="J2952" s="124"/>
    </row>
    <row r="2953" spans="3:10" x14ac:dyDescent="0.2">
      <c r="C2953" s="209"/>
      <c r="D2953" s="209"/>
      <c r="E2953" s="209"/>
      <c r="J2953" s="124"/>
    </row>
    <row r="2954" spans="3:10" x14ac:dyDescent="0.2">
      <c r="C2954" s="209"/>
      <c r="D2954" s="209"/>
      <c r="E2954" s="209"/>
      <c r="J2954" s="124"/>
    </row>
    <row r="2955" spans="3:10" x14ac:dyDescent="0.2">
      <c r="C2955" s="209"/>
      <c r="D2955" s="209"/>
      <c r="E2955" s="209"/>
      <c r="J2955" s="124"/>
    </row>
    <row r="2956" spans="3:10" x14ac:dyDescent="0.2">
      <c r="C2956" s="209"/>
      <c r="D2956" s="209"/>
      <c r="E2956" s="209"/>
      <c r="J2956" s="124"/>
    </row>
    <row r="2957" spans="3:10" x14ac:dyDescent="0.2">
      <c r="C2957" s="209"/>
      <c r="D2957" s="209"/>
      <c r="E2957" s="209"/>
      <c r="J2957" s="124"/>
    </row>
    <row r="2958" spans="3:10" x14ac:dyDescent="0.2">
      <c r="C2958" s="209"/>
      <c r="D2958" s="209"/>
      <c r="E2958" s="209"/>
      <c r="J2958" s="124"/>
    </row>
    <row r="2959" spans="3:10" x14ac:dyDescent="0.2">
      <c r="C2959" s="209"/>
      <c r="D2959" s="209"/>
      <c r="E2959" s="209"/>
      <c r="J2959" s="124"/>
    </row>
    <row r="2960" spans="3:10" x14ac:dyDescent="0.2">
      <c r="C2960" s="209"/>
      <c r="D2960" s="209"/>
      <c r="E2960" s="209"/>
      <c r="J2960" s="124"/>
    </row>
    <row r="2961" spans="3:10" x14ac:dyDescent="0.2">
      <c r="C2961" s="209"/>
      <c r="D2961" s="209"/>
      <c r="E2961" s="209"/>
      <c r="J2961" s="124"/>
    </row>
    <row r="2962" spans="3:10" x14ac:dyDescent="0.2">
      <c r="C2962" s="209"/>
      <c r="D2962" s="209"/>
      <c r="E2962" s="209"/>
      <c r="J2962" s="124"/>
    </row>
    <row r="2963" spans="3:10" x14ac:dyDescent="0.2">
      <c r="C2963" s="209"/>
      <c r="D2963" s="209"/>
      <c r="E2963" s="209"/>
      <c r="J2963" s="124"/>
    </row>
    <row r="2964" spans="3:10" x14ac:dyDescent="0.2">
      <c r="C2964" s="209"/>
      <c r="D2964" s="209"/>
      <c r="E2964" s="209"/>
      <c r="J2964" s="124"/>
    </row>
    <row r="2965" spans="3:10" x14ac:dyDescent="0.2">
      <c r="C2965" s="209"/>
      <c r="D2965" s="209"/>
      <c r="E2965" s="209"/>
      <c r="J2965" s="124"/>
    </row>
    <row r="2966" spans="3:10" x14ac:dyDescent="0.2">
      <c r="C2966" s="209"/>
      <c r="D2966" s="209"/>
      <c r="E2966" s="209"/>
      <c r="J2966" s="124"/>
    </row>
    <row r="2967" spans="3:10" x14ac:dyDescent="0.2">
      <c r="C2967" s="209"/>
      <c r="D2967" s="209"/>
      <c r="E2967" s="209"/>
      <c r="J2967" s="124"/>
    </row>
    <row r="2968" spans="3:10" x14ac:dyDescent="0.2">
      <c r="C2968" s="209"/>
      <c r="D2968" s="209"/>
      <c r="E2968" s="209"/>
      <c r="J2968" s="124"/>
    </row>
    <row r="2969" spans="3:10" x14ac:dyDescent="0.2">
      <c r="C2969" s="209"/>
      <c r="D2969" s="209"/>
      <c r="E2969" s="209"/>
      <c r="J2969" s="124"/>
    </row>
    <row r="2970" spans="3:10" x14ac:dyDescent="0.2">
      <c r="C2970" s="209"/>
      <c r="D2970" s="209"/>
      <c r="E2970" s="209"/>
      <c r="J2970" s="124"/>
    </row>
    <row r="2971" spans="3:10" x14ac:dyDescent="0.2">
      <c r="C2971" s="209"/>
      <c r="D2971" s="209"/>
      <c r="E2971" s="209"/>
      <c r="J2971" s="124"/>
    </row>
    <row r="2972" spans="3:10" x14ac:dyDescent="0.2">
      <c r="C2972" s="209"/>
      <c r="D2972" s="209"/>
      <c r="E2972" s="209"/>
      <c r="J2972" s="124"/>
    </row>
    <row r="2973" spans="3:10" x14ac:dyDescent="0.2">
      <c r="C2973" s="209"/>
      <c r="D2973" s="209"/>
      <c r="E2973" s="209"/>
      <c r="J2973" s="124"/>
    </row>
    <row r="2974" spans="3:10" x14ac:dyDescent="0.2">
      <c r="C2974" s="209"/>
      <c r="D2974" s="209"/>
      <c r="E2974" s="209"/>
      <c r="J2974" s="124"/>
    </row>
    <row r="2975" spans="3:10" x14ac:dyDescent="0.2">
      <c r="C2975" s="209"/>
      <c r="D2975" s="209"/>
      <c r="E2975" s="209"/>
      <c r="J2975" s="124"/>
    </row>
    <row r="2976" spans="3:10" x14ac:dyDescent="0.2">
      <c r="C2976" s="209"/>
      <c r="D2976" s="209"/>
      <c r="E2976" s="209"/>
      <c r="J2976" s="124"/>
    </row>
    <row r="2977" spans="3:10" x14ac:dyDescent="0.2">
      <c r="C2977" s="209"/>
      <c r="D2977" s="209"/>
      <c r="E2977" s="209"/>
      <c r="J2977" s="124"/>
    </row>
    <row r="2978" spans="3:10" x14ac:dyDescent="0.2">
      <c r="C2978" s="209"/>
      <c r="D2978" s="209"/>
      <c r="E2978" s="209"/>
      <c r="J2978" s="124"/>
    </row>
    <row r="2979" spans="3:10" x14ac:dyDescent="0.2">
      <c r="C2979" s="209"/>
      <c r="D2979" s="209"/>
      <c r="E2979" s="209"/>
      <c r="J2979" s="124"/>
    </row>
    <row r="2980" spans="3:10" x14ac:dyDescent="0.2">
      <c r="C2980" s="209"/>
      <c r="D2980" s="209"/>
      <c r="E2980" s="209"/>
      <c r="J2980" s="124"/>
    </row>
    <row r="2981" spans="3:10" x14ac:dyDescent="0.2">
      <c r="C2981" s="209"/>
      <c r="D2981" s="209"/>
      <c r="E2981" s="209"/>
      <c r="J2981" s="124"/>
    </row>
    <row r="2982" spans="3:10" x14ac:dyDescent="0.2">
      <c r="C2982" s="209"/>
      <c r="D2982" s="209"/>
      <c r="E2982" s="209"/>
      <c r="J2982" s="124"/>
    </row>
    <row r="2983" spans="3:10" x14ac:dyDescent="0.2">
      <c r="C2983" s="209"/>
      <c r="D2983" s="209"/>
      <c r="E2983" s="209"/>
      <c r="J2983" s="124"/>
    </row>
    <row r="2984" spans="3:10" x14ac:dyDescent="0.2">
      <c r="C2984" s="209"/>
      <c r="D2984" s="209"/>
      <c r="E2984" s="209"/>
      <c r="J2984" s="124"/>
    </row>
    <row r="2985" spans="3:10" x14ac:dyDescent="0.2">
      <c r="C2985" s="209"/>
      <c r="D2985" s="209"/>
      <c r="E2985" s="209"/>
      <c r="J2985" s="124"/>
    </row>
    <row r="2986" spans="3:10" x14ac:dyDescent="0.2">
      <c r="C2986" s="209"/>
      <c r="D2986" s="209"/>
      <c r="E2986" s="209"/>
      <c r="J2986" s="124"/>
    </row>
    <row r="2987" spans="3:10" x14ac:dyDescent="0.2">
      <c r="C2987" s="209"/>
      <c r="D2987" s="209"/>
      <c r="E2987" s="209"/>
      <c r="J2987" s="124"/>
    </row>
    <row r="2988" spans="3:10" x14ac:dyDescent="0.2">
      <c r="C2988" s="209"/>
      <c r="D2988" s="209"/>
      <c r="E2988" s="209"/>
      <c r="J2988" s="124"/>
    </row>
    <row r="2989" spans="3:10" x14ac:dyDescent="0.2">
      <c r="C2989" s="209"/>
      <c r="D2989" s="209"/>
      <c r="E2989" s="209"/>
      <c r="J2989" s="124"/>
    </row>
    <row r="2990" spans="3:10" x14ac:dyDescent="0.2">
      <c r="C2990" s="209"/>
      <c r="D2990" s="209"/>
      <c r="E2990" s="209"/>
      <c r="J2990" s="124"/>
    </row>
    <row r="2991" spans="3:10" x14ac:dyDescent="0.2">
      <c r="C2991" s="209"/>
      <c r="D2991" s="209"/>
      <c r="E2991" s="209"/>
      <c r="J2991" s="124"/>
    </row>
    <row r="2992" spans="3:10" x14ac:dyDescent="0.2">
      <c r="C2992" s="209"/>
      <c r="D2992" s="209"/>
      <c r="E2992" s="209"/>
      <c r="J2992" s="124"/>
    </row>
    <row r="2993" spans="3:10" x14ac:dyDescent="0.2">
      <c r="C2993" s="209"/>
      <c r="D2993" s="209"/>
      <c r="E2993" s="209"/>
      <c r="J2993" s="124"/>
    </row>
    <row r="2994" spans="3:10" x14ac:dyDescent="0.2">
      <c r="C2994" s="209"/>
      <c r="D2994" s="209"/>
      <c r="E2994" s="209"/>
      <c r="J2994" s="124"/>
    </row>
    <row r="2995" spans="3:10" x14ac:dyDescent="0.2">
      <c r="C2995" s="209"/>
      <c r="D2995" s="209"/>
      <c r="E2995" s="209"/>
      <c r="J2995" s="124"/>
    </row>
    <row r="2996" spans="3:10" x14ac:dyDescent="0.2">
      <c r="C2996" s="209"/>
      <c r="D2996" s="209"/>
      <c r="E2996" s="209"/>
      <c r="J2996" s="124"/>
    </row>
    <row r="2997" spans="3:10" x14ac:dyDescent="0.2">
      <c r="C2997" s="209"/>
      <c r="D2997" s="209"/>
      <c r="E2997" s="209"/>
      <c r="J2997" s="124"/>
    </row>
    <row r="2998" spans="3:10" x14ac:dyDescent="0.2">
      <c r="C2998" s="209"/>
      <c r="D2998" s="209"/>
      <c r="E2998" s="209"/>
      <c r="J2998" s="124"/>
    </row>
    <row r="2999" spans="3:10" x14ac:dyDescent="0.2">
      <c r="C2999" s="209"/>
      <c r="D2999" s="209"/>
      <c r="E2999" s="209"/>
      <c r="J2999" s="124"/>
    </row>
    <row r="3000" spans="3:10" x14ac:dyDescent="0.2">
      <c r="C3000" s="209"/>
      <c r="D3000" s="209"/>
      <c r="E3000" s="209"/>
      <c r="J3000" s="124"/>
    </row>
    <row r="3001" spans="3:10" x14ac:dyDescent="0.2">
      <c r="C3001" s="209"/>
      <c r="D3001" s="209"/>
      <c r="E3001" s="209"/>
      <c r="J3001" s="124"/>
    </row>
    <row r="3002" spans="3:10" x14ac:dyDescent="0.2">
      <c r="C3002" s="209"/>
      <c r="D3002" s="209"/>
      <c r="E3002" s="209"/>
      <c r="J3002" s="124"/>
    </row>
    <row r="3003" spans="3:10" x14ac:dyDescent="0.2">
      <c r="C3003" s="209"/>
      <c r="D3003" s="209"/>
      <c r="E3003" s="209"/>
      <c r="J3003" s="124"/>
    </row>
    <row r="3004" spans="3:10" x14ac:dyDescent="0.2">
      <c r="C3004" s="209"/>
      <c r="D3004" s="209"/>
      <c r="E3004" s="209"/>
      <c r="J3004" s="124"/>
    </row>
    <row r="3005" spans="3:10" x14ac:dyDescent="0.2">
      <c r="C3005" s="209"/>
      <c r="D3005" s="209"/>
      <c r="E3005" s="209"/>
      <c r="J3005" s="124"/>
    </row>
    <row r="3006" spans="3:10" x14ac:dyDescent="0.2">
      <c r="C3006" s="209"/>
      <c r="D3006" s="209"/>
      <c r="E3006" s="209"/>
      <c r="J3006" s="124"/>
    </row>
    <row r="3007" spans="3:10" x14ac:dyDescent="0.2">
      <c r="C3007" s="209"/>
      <c r="D3007" s="209"/>
      <c r="E3007" s="209"/>
      <c r="J3007" s="124"/>
    </row>
    <row r="3008" spans="3:10" x14ac:dyDescent="0.2">
      <c r="C3008" s="209"/>
      <c r="D3008" s="209"/>
      <c r="E3008" s="209"/>
      <c r="J3008" s="124"/>
    </row>
    <row r="3009" spans="3:10" x14ac:dyDescent="0.2">
      <c r="C3009" s="209"/>
      <c r="D3009" s="209"/>
      <c r="E3009" s="209"/>
      <c r="J3009" s="124"/>
    </row>
    <row r="3010" spans="3:10" x14ac:dyDescent="0.2">
      <c r="C3010" s="209"/>
      <c r="D3010" s="209"/>
      <c r="E3010" s="209"/>
      <c r="J3010" s="124"/>
    </row>
    <row r="3011" spans="3:10" x14ac:dyDescent="0.2">
      <c r="C3011" s="209"/>
      <c r="D3011" s="209"/>
      <c r="E3011" s="209"/>
      <c r="J3011" s="124"/>
    </row>
    <row r="3012" spans="3:10" x14ac:dyDescent="0.2">
      <c r="C3012" s="209"/>
      <c r="D3012" s="209"/>
      <c r="E3012" s="209"/>
      <c r="J3012" s="124"/>
    </row>
    <row r="3013" spans="3:10" x14ac:dyDescent="0.2">
      <c r="C3013" s="209"/>
      <c r="D3013" s="209"/>
      <c r="E3013" s="209"/>
      <c r="J3013" s="124"/>
    </row>
    <row r="3014" spans="3:10" x14ac:dyDescent="0.2">
      <c r="C3014" s="209"/>
      <c r="D3014" s="209"/>
      <c r="E3014" s="209"/>
      <c r="J3014" s="124"/>
    </row>
    <row r="3015" spans="3:10" x14ac:dyDescent="0.2">
      <c r="C3015" s="209"/>
      <c r="D3015" s="209"/>
      <c r="E3015" s="209"/>
      <c r="J3015" s="124"/>
    </row>
    <row r="3016" spans="3:10" x14ac:dyDescent="0.2">
      <c r="C3016" s="209"/>
      <c r="D3016" s="209"/>
      <c r="E3016" s="209"/>
      <c r="J3016" s="124"/>
    </row>
    <row r="3017" spans="3:10" x14ac:dyDescent="0.2">
      <c r="C3017" s="209"/>
      <c r="D3017" s="209"/>
      <c r="E3017" s="209"/>
      <c r="J3017" s="124"/>
    </row>
    <row r="3018" spans="3:10" x14ac:dyDescent="0.2">
      <c r="C3018" s="209"/>
      <c r="D3018" s="209"/>
      <c r="E3018" s="209"/>
      <c r="J3018" s="124"/>
    </row>
    <row r="3019" spans="3:10" x14ac:dyDescent="0.2">
      <c r="C3019" s="209"/>
      <c r="D3019" s="209"/>
      <c r="E3019" s="209"/>
      <c r="J3019" s="124"/>
    </row>
    <row r="3020" spans="3:10" x14ac:dyDescent="0.2">
      <c r="C3020" s="209"/>
      <c r="D3020" s="209"/>
      <c r="E3020" s="209"/>
      <c r="J3020" s="124"/>
    </row>
    <row r="3021" spans="3:10" x14ac:dyDescent="0.2">
      <c r="C3021" s="209"/>
      <c r="D3021" s="209"/>
      <c r="E3021" s="209"/>
      <c r="J3021" s="124"/>
    </row>
    <row r="3022" spans="3:10" x14ac:dyDescent="0.2">
      <c r="C3022" s="209"/>
      <c r="D3022" s="209"/>
      <c r="E3022" s="209"/>
      <c r="J3022" s="124"/>
    </row>
    <row r="3023" spans="3:10" x14ac:dyDescent="0.2">
      <c r="C3023" s="209"/>
      <c r="D3023" s="209"/>
      <c r="E3023" s="209"/>
      <c r="J3023" s="124"/>
    </row>
    <row r="3024" spans="3:10" x14ac:dyDescent="0.2">
      <c r="C3024" s="209"/>
      <c r="D3024" s="209"/>
      <c r="E3024" s="209"/>
      <c r="J3024" s="124"/>
    </row>
    <row r="3025" spans="3:10" x14ac:dyDescent="0.2">
      <c r="C3025" s="209"/>
      <c r="D3025" s="209"/>
      <c r="E3025" s="209"/>
      <c r="J3025" s="124"/>
    </row>
    <row r="3026" spans="3:10" x14ac:dyDescent="0.2">
      <c r="C3026" s="209"/>
      <c r="D3026" s="209"/>
      <c r="E3026" s="209"/>
      <c r="J3026" s="124"/>
    </row>
    <row r="3027" spans="3:10" x14ac:dyDescent="0.2">
      <c r="C3027" s="209"/>
      <c r="D3027" s="209"/>
      <c r="E3027" s="209"/>
      <c r="J3027" s="124"/>
    </row>
    <row r="3028" spans="3:10" x14ac:dyDescent="0.2">
      <c r="C3028" s="209"/>
      <c r="D3028" s="209"/>
      <c r="E3028" s="209"/>
      <c r="J3028" s="124"/>
    </row>
    <row r="3029" spans="3:10" x14ac:dyDescent="0.2">
      <c r="C3029" s="209"/>
      <c r="D3029" s="209"/>
      <c r="E3029" s="209"/>
      <c r="J3029" s="124"/>
    </row>
    <row r="3030" spans="3:10" x14ac:dyDescent="0.2">
      <c r="C3030" s="209"/>
      <c r="D3030" s="209"/>
      <c r="E3030" s="209"/>
      <c r="J3030" s="124"/>
    </row>
    <row r="3031" spans="3:10" x14ac:dyDescent="0.2">
      <c r="C3031" s="209"/>
      <c r="D3031" s="209"/>
      <c r="E3031" s="209"/>
      <c r="J3031" s="124"/>
    </row>
    <row r="3032" spans="3:10" x14ac:dyDescent="0.2">
      <c r="C3032" s="209"/>
      <c r="D3032" s="209"/>
      <c r="E3032" s="209"/>
      <c r="J3032" s="124"/>
    </row>
    <row r="3033" spans="3:10" x14ac:dyDescent="0.2">
      <c r="C3033" s="209"/>
      <c r="D3033" s="209"/>
      <c r="E3033" s="209"/>
      <c r="J3033" s="124"/>
    </row>
    <row r="3034" spans="3:10" x14ac:dyDescent="0.2">
      <c r="C3034" s="209"/>
      <c r="D3034" s="209"/>
      <c r="E3034" s="209"/>
      <c r="J3034" s="124"/>
    </row>
    <row r="3035" spans="3:10" x14ac:dyDescent="0.2">
      <c r="C3035" s="209"/>
      <c r="D3035" s="209"/>
      <c r="E3035" s="209"/>
      <c r="J3035" s="124"/>
    </row>
    <row r="3036" spans="3:10" x14ac:dyDescent="0.2">
      <c r="C3036" s="209"/>
      <c r="D3036" s="209"/>
      <c r="E3036" s="209"/>
      <c r="J3036" s="124"/>
    </row>
    <row r="3037" spans="3:10" x14ac:dyDescent="0.2">
      <c r="C3037" s="209"/>
      <c r="D3037" s="209"/>
      <c r="E3037" s="209"/>
      <c r="J3037" s="124"/>
    </row>
    <row r="3038" spans="3:10" x14ac:dyDescent="0.2">
      <c r="C3038" s="209"/>
      <c r="D3038" s="209"/>
      <c r="E3038" s="209"/>
      <c r="J3038" s="124"/>
    </row>
    <row r="3039" spans="3:10" x14ac:dyDescent="0.2">
      <c r="C3039" s="209"/>
      <c r="D3039" s="209"/>
      <c r="E3039" s="209"/>
      <c r="J3039" s="124"/>
    </row>
    <row r="3040" spans="3:10" x14ac:dyDescent="0.2">
      <c r="C3040" s="209"/>
      <c r="D3040" s="209"/>
      <c r="E3040" s="209"/>
      <c r="J3040" s="124"/>
    </row>
    <row r="3041" spans="3:10" x14ac:dyDescent="0.2">
      <c r="C3041" s="209"/>
      <c r="D3041" s="209"/>
      <c r="E3041" s="209"/>
      <c r="J3041" s="124"/>
    </row>
    <row r="3042" spans="3:10" x14ac:dyDescent="0.2">
      <c r="C3042" s="209"/>
      <c r="D3042" s="209"/>
      <c r="E3042" s="209"/>
      <c r="J3042" s="124"/>
    </row>
    <row r="3043" spans="3:10" x14ac:dyDescent="0.2">
      <c r="C3043" s="209"/>
      <c r="D3043" s="209"/>
      <c r="E3043" s="209"/>
      <c r="J3043" s="124"/>
    </row>
    <row r="3044" spans="3:10" x14ac:dyDescent="0.2">
      <c r="C3044" s="209"/>
      <c r="D3044" s="209"/>
      <c r="E3044" s="209"/>
      <c r="J3044" s="124"/>
    </row>
    <row r="3045" spans="3:10" x14ac:dyDescent="0.2">
      <c r="C3045" s="209"/>
      <c r="D3045" s="209"/>
      <c r="E3045" s="209"/>
      <c r="J3045" s="124"/>
    </row>
    <row r="3046" spans="3:10" x14ac:dyDescent="0.2">
      <c r="C3046" s="209"/>
      <c r="D3046" s="209"/>
      <c r="E3046" s="209"/>
      <c r="J3046" s="124"/>
    </row>
    <row r="3047" spans="3:10" x14ac:dyDescent="0.2">
      <c r="C3047" s="209"/>
      <c r="D3047" s="209"/>
      <c r="E3047" s="209"/>
      <c r="J3047" s="124"/>
    </row>
    <row r="3048" spans="3:10" x14ac:dyDescent="0.2">
      <c r="C3048" s="209"/>
      <c r="D3048" s="209"/>
      <c r="E3048" s="209"/>
      <c r="J3048" s="124"/>
    </row>
    <row r="3049" spans="3:10" x14ac:dyDescent="0.2">
      <c r="C3049" s="209"/>
      <c r="D3049" s="209"/>
      <c r="E3049" s="209"/>
      <c r="J3049" s="124"/>
    </row>
    <row r="3050" spans="3:10" x14ac:dyDescent="0.2">
      <c r="C3050" s="209"/>
      <c r="D3050" s="209"/>
      <c r="E3050" s="209"/>
      <c r="J3050" s="124"/>
    </row>
    <row r="3051" spans="3:10" x14ac:dyDescent="0.2">
      <c r="C3051" s="209"/>
      <c r="D3051" s="209"/>
      <c r="E3051" s="209"/>
      <c r="J3051" s="124"/>
    </row>
    <row r="3052" spans="3:10" x14ac:dyDescent="0.2">
      <c r="C3052" s="209"/>
      <c r="D3052" s="209"/>
      <c r="E3052" s="209"/>
      <c r="J3052" s="124"/>
    </row>
    <row r="3053" spans="3:10" x14ac:dyDescent="0.2">
      <c r="C3053" s="209"/>
      <c r="D3053" s="209"/>
      <c r="E3053" s="209"/>
      <c r="J3053" s="124"/>
    </row>
    <row r="3054" spans="3:10" x14ac:dyDescent="0.2">
      <c r="C3054" s="209"/>
      <c r="D3054" s="209"/>
      <c r="E3054" s="209"/>
      <c r="J3054" s="124"/>
    </row>
    <row r="3055" spans="3:10" x14ac:dyDescent="0.2">
      <c r="C3055" s="209"/>
      <c r="D3055" s="209"/>
      <c r="E3055" s="209"/>
      <c r="J3055" s="124"/>
    </row>
    <row r="3056" spans="3:10" x14ac:dyDescent="0.2">
      <c r="C3056" s="209"/>
      <c r="D3056" s="209"/>
      <c r="E3056" s="209"/>
      <c r="J3056" s="124"/>
    </row>
    <row r="3057" spans="3:10" x14ac:dyDescent="0.2">
      <c r="C3057" s="209"/>
      <c r="D3057" s="209"/>
      <c r="E3057" s="209"/>
      <c r="J3057" s="124"/>
    </row>
    <row r="3058" spans="3:10" x14ac:dyDescent="0.2">
      <c r="C3058" s="209"/>
      <c r="D3058" s="209"/>
      <c r="E3058" s="209"/>
      <c r="J3058" s="124"/>
    </row>
    <row r="3059" spans="3:10" x14ac:dyDescent="0.2">
      <c r="C3059" s="209"/>
      <c r="D3059" s="209"/>
      <c r="E3059" s="209"/>
      <c r="J3059" s="124"/>
    </row>
    <row r="3060" spans="3:10" x14ac:dyDescent="0.2">
      <c r="C3060" s="209"/>
      <c r="D3060" s="209"/>
      <c r="E3060" s="209"/>
      <c r="J3060" s="124"/>
    </row>
    <row r="3061" spans="3:10" x14ac:dyDescent="0.2">
      <c r="C3061" s="209"/>
      <c r="D3061" s="209"/>
      <c r="E3061" s="209"/>
      <c r="J3061" s="124"/>
    </row>
    <row r="3062" spans="3:10" x14ac:dyDescent="0.2">
      <c r="C3062" s="209"/>
      <c r="D3062" s="209"/>
      <c r="E3062" s="209"/>
      <c r="J3062" s="124"/>
    </row>
    <row r="3063" spans="3:10" x14ac:dyDescent="0.2">
      <c r="C3063" s="209"/>
      <c r="D3063" s="209"/>
      <c r="E3063" s="209"/>
      <c r="J3063" s="124"/>
    </row>
    <row r="3064" spans="3:10" x14ac:dyDescent="0.2">
      <c r="C3064" s="209"/>
      <c r="D3064" s="209"/>
      <c r="E3064" s="209"/>
      <c r="J3064" s="124"/>
    </row>
    <row r="3065" spans="3:10" x14ac:dyDescent="0.2">
      <c r="C3065" s="209"/>
      <c r="D3065" s="209"/>
      <c r="E3065" s="209"/>
      <c r="J3065" s="124"/>
    </row>
    <row r="3066" spans="3:10" x14ac:dyDescent="0.2">
      <c r="C3066" s="209"/>
      <c r="D3066" s="209"/>
      <c r="E3066" s="209"/>
      <c r="J3066" s="124"/>
    </row>
    <row r="3067" spans="3:10" x14ac:dyDescent="0.2">
      <c r="C3067" s="209"/>
      <c r="D3067" s="209"/>
      <c r="E3067" s="209"/>
      <c r="J3067" s="124"/>
    </row>
    <row r="3068" spans="3:10" x14ac:dyDescent="0.2">
      <c r="C3068" s="209"/>
      <c r="D3068" s="209"/>
      <c r="E3068" s="209"/>
      <c r="J3068" s="124"/>
    </row>
    <row r="3069" spans="3:10" x14ac:dyDescent="0.2">
      <c r="C3069" s="209"/>
      <c r="D3069" s="209"/>
      <c r="E3069" s="209"/>
      <c r="J3069" s="124"/>
    </row>
    <row r="3070" spans="3:10" x14ac:dyDescent="0.2">
      <c r="C3070" s="209"/>
      <c r="D3070" s="209"/>
      <c r="E3070" s="209"/>
      <c r="J3070" s="124"/>
    </row>
    <row r="3071" spans="3:10" x14ac:dyDescent="0.2">
      <c r="C3071" s="209"/>
      <c r="D3071" s="209"/>
      <c r="E3071" s="209"/>
      <c r="J3071" s="124"/>
    </row>
    <row r="3072" spans="3:10" x14ac:dyDescent="0.2">
      <c r="C3072" s="209"/>
      <c r="D3072" s="209"/>
      <c r="E3072" s="209"/>
      <c r="J3072" s="124"/>
    </row>
    <row r="3073" spans="3:10" x14ac:dyDescent="0.2">
      <c r="C3073" s="209"/>
      <c r="D3073" s="209"/>
      <c r="E3073" s="209"/>
      <c r="J3073" s="124"/>
    </row>
    <row r="3074" spans="3:10" x14ac:dyDescent="0.2">
      <c r="C3074" s="209"/>
      <c r="D3074" s="209"/>
      <c r="E3074" s="209"/>
      <c r="J3074" s="124"/>
    </row>
    <row r="3075" spans="3:10" x14ac:dyDescent="0.2">
      <c r="C3075" s="209"/>
      <c r="D3075" s="209"/>
      <c r="E3075" s="209"/>
      <c r="J3075" s="124"/>
    </row>
    <row r="3076" spans="3:10" x14ac:dyDescent="0.2">
      <c r="C3076" s="209"/>
      <c r="D3076" s="209"/>
      <c r="E3076" s="209"/>
      <c r="J3076" s="124"/>
    </row>
    <row r="3077" spans="3:10" x14ac:dyDescent="0.2">
      <c r="C3077" s="209"/>
      <c r="D3077" s="209"/>
      <c r="E3077" s="209"/>
      <c r="J3077" s="124"/>
    </row>
    <row r="3078" spans="3:10" x14ac:dyDescent="0.2">
      <c r="C3078" s="209"/>
      <c r="D3078" s="209"/>
      <c r="E3078" s="209"/>
      <c r="J3078" s="124"/>
    </row>
    <row r="3079" spans="3:10" x14ac:dyDescent="0.2">
      <c r="C3079" s="209"/>
      <c r="D3079" s="209"/>
      <c r="E3079" s="209"/>
      <c r="J3079" s="124"/>
    </row>
    <row r="3080" spans="3:10" x14ac:dyDescent="0.2">
      <c r="C3080" s="209"/>
      <c r="D3080" s="209"/>
      <c r="E3080" s="209"/>
      <c r="J3080" s="124"/>
    </row>
    <row r="3081" spans="3:10" x14ac:dyDescent="0.2">
      <c r="C3081" s="209"/>
      <c r="D3081" s="209"/>
      <c r="E3081" s="209"/>
      <c r="J3081" s="124"/>
    </row>
    <row r="3082" spans="3:10" x14ac:dyDescent="0.2">
      <c r="C3082" s="209"/>
      <c r="D3082" s="209"/>
      <c r="E3082" s="209"/>
      <c r="J3082" s="124"/>
    </row>
    <row r="3083" spans="3:10" x14ac:dyDescent="0.2">
      <c r="C3083" s="209"/>
      <c r="D3083" s="209"/>
      <c r="E3083" s="209"/>
      <c r="J3083" s="124"/>
    </row>
    <row r="3084" spans="3:10" x14ac:dyDescent="0.2">
      <c r="C3084" s="209"/>
      <c r="D3084" s="209"/>
      <c r="E3084" s="209"/>
      <c r="J3084" s="124"/>
    </row>
    <row r="3085" spans="3:10" x14ac:dyDescent="0.2">
      <c r="C3085" s="209"/>
      <c r="D3085" s="209"/>
      <c r="E3085" s="209"/>
      <c r="J3085" s="124"/>
    </row>
    <row r="3086" spans="3:10" x14ac:dyDescent="0.2">
      <c r="C3086" s="209"/>
      <c r="D3086" s="209"/>
      <c r="E3086" s="209"/>
      <c r="J3086" s="124"/>
    </row>
    <row r="3087" spans="3:10" x14ac:dyDescent="0.2">
      <c r="C3087" s="209"/>
      <c r="D3087" s="209"/>
      <c r="E3087" s="209"/>
      <c r="J3087" s="124"/>
    </row>
    <row r="3088" spans="3:10" x14ac:dyDescent="0.2">
      <c r="C3088" s="209"/>
      <c r="D3088" s="209"/>
      <c r="E3088" s="209"/>
      <c r="J3088" s="124"/>
    </row>
    <row r="3089" spans="3:10" x14ac:dyDescent="0.2">
      <c r="C3089" s="209"/>
      <c r="D3089" s="209"/>
      <c r="E3089" s="209"/>
      <c r="J3089" s="124"/>
    </row>
    <row r="3090" spans="3:10" x14ac:dyDescent="0.2">
      <c r="C3090" s="209"/>
      <c r="D3090" s="209"/>
      <c r="E3090" s="209"/>
      <c r="J3090" s="124"/>
    </row>
    <row r="3091" spans="3:10" x14ac:dyDescent="0.2">
      <c r="C3091" s="209"/>
      <c r="D3091" s="209"/>
      <c r="E3091" s="209"/>
      <c r="J3091" s="124"/>
    </row>
    <row r="3092" spans="3:10" x14ac:dyDescent="0.2">
      <c r="C3092" s="209"/>
      <c r="D3092" s="209"/>
      <c r="E3092" s="209"/>
      <c r="J3092" s="124"/>
    </row>
    <row r="3093" spans="3:10" x14ac:dyDescent="0.2">
      <c r="C3093" s="209"/>
      <c r="D3093" s="209"/>
      <c r="E3093" s="209"/>
      <c r="J3093" s="124"/>
    </row>
    <row r="3094" spans="3:10" x14ac:dyDescent="0.2">
      <c r="C3094" s="209"/>
      <c r="D3094" s="209"/>
      <c r="E3094" s="209"/>
      <c r="J3094" s="124"/>
    </row>
    <row r="3095" spans="3:10" x14ac:dyDescent="0.2">
      <c r="C3095" s="209"/>
      <c r="D3095" s="209"/>
      <c r="E3095" s="209"/>
      <c r="J3095" s="124"/>
    </row>
    <row r="3096" spans="3:10" x14ac:dyDescent="0.2">
      <c r="C3096" s="209"/>
      <c r="D3096" s="209"/>
      <c r="E3096" s="209"/>
      <c r="J3096" s="124"/>
    </row>
    <row r="3097" spans="3:10" x14ac:dyDescent="0.2">
      <c r="C3097" s="209"/>
      <c r="D3097" s="209"/>
      <c r="E3097" s="209"/>
      <c r="J3097" s="124"/>
    </row>
    <row r="3098" spans="3:10" x14ac:dyDescent="0.2">
      <c r="C3098" s="209"/>
      <c r="D3098" s="209"/>
      <c r="E3098" s="209"/>
      <c r="J3098" s="124"/>
    </row>
    <row r="3099" spans="3:10" x14ac:dyDescent="0.2">
      <c r="C3099" s="209"/>
      <c r="D3099" s="209"/>
      <c r="E3099" s="209"/>
      <c r="J3099" s="124"/>
    </row>
    <row r="3100" spans="3:10" x14ac:dyDescent="0.2">
      <c r="C3100" s="209"/>
      <c r="D3100" s="209"/>
      <c r="E3100" s="209"/>
      <c r="J3100" s="124"/>
    </row>
    <row r="3101" spans="3:10" x14ac:dyDescent="0.2">
      <c r="C3101" s="209"/>
      <c r="D3101" s="209"/>
      <c r="E3101" s="209"/>
      <c r="J3101" s="124"/>
    </row>
    <row r="3102" spans="3:10" x14ac:dyDescent="0.2">
      <c r="C3102" s="209"/>
      <c r="D3102" s="209"/>
      <c r="E3102" s="209"/>
      <c r="J3102" s="124"/>
    </row>
    <row r="3103" spans="3:10" x14ac:dyDescent="0.2">
      <c r="C3103" s="209"/>
      <c r="D3103" s="209"/>
      <c r="E3103" s="209"/>
      <c r="J3103" s="124"/>
    </row>
    <row r="3104" spans="3:10" x14ac:dyDescent="0.2">
      <c r="C3104" s="209"/>
      <c r="D3104" s="209"/>
      <c r="E3104" s="209"/>
      <c r="J3104" s="124"/>
    </row>
    <row r="3105" spans="3:10" x14ac:dyDescent="0.2">
      <c r="C3105" s="209"/>
      <c r="D3105" s="209"/>
      <c r="E3105" s="209"/>
      <c r="J3105" s="124"/>
    </row>
    <row r="3106" spans="3:10" x14ac:dyDescent="0.2">
      <c r="C3106" s="209"/>
      <c r="D3106" s="209"/>
      <c r="E3106" s="209"/>
      <c r="J3106" s="124"/>
    </row>
    <row r="3107" spans="3:10" x14ac:dyDescent="0.2">
      <c r="C3107" s="209"/>
      <c r="D3107" s="209"/>
      <c r="E3107" s="209"/>
      <c r="J3107" s="124"/>
    </row>
    <row r="3108" spans="3:10" x14ac:dyDescent="0.2">
      <c r="C3108" s="209"/>
      <c r="D3108" s="209"/>
      <c r="E3108" s="209"/>
      <c r="J3108" s="124"/>
    </row>
    <row r="3109" spans="3:10" x14ac:dyDescent="0.2">
      <c r="C3109" s="209"/>
      <c r="D3109" s="209"/>
      <c r="E3109" s="209"/>
      <c r="J3109" s="124"/>
    </row>
    <row r="3110" spans="3:10" x14ac:dyDescent="0.2">
      <c r="C3110" s="209"/>
      <c r="D3110" s="209"/>
      <c r="E3110" s="209"/>
      <c r="J3110" s="124"/>
    </row>
    <row r="3111" spans="3:10" x14ac:dyDescent="0.2">
      <c r="C3111" s="209"/>
      <c r="D3111" s="209"/>
      <c r="E3111" s="209"/>
      <c r="J3111" s="124"/>
    </row>
    <row r="3112" spans="3:10" x14ac:dyDescent="0.2">
      <c r="C3112" s="209"/>
      <c r="D3112" s="209"/>
      <c r="E3112" s="209"/>
      <c r="J3112" s="124"/>
    </row>
    <row r="3113" spans="3:10" x14ac:dyDescent="0.2">
      <c r="C3113" s="209"/>
      <c r="D3113" s="209"/>
      <c r="E3113" s="209"/>
      <c r="J3113" s="124"/>
    </row>
    <row r="3114" spans="3:10" x14ac:dyDescent="0.2">
      <c r="C3114" s="209"/>
      <c r="D3114" s="209"/>
      <c r="E3114" s="209"/>
      <c r="J3114" s="124"/>
    </row>
    <row r="3115" spans="3:10" x14ac:dyDescent="0.2">
      <c r="C3115" s="209"/>
      <c r="D3115" s="209"/>
      <c r="E3115" s="209"/>
      <c r="J3115" s="124"/>
    </row>
    <row r="3116" spans="3:10" x14ac:dyDescent="0.2">
      <c r="C3116" s="209"/>
      <c r="D3116" s="209"/>
      <c r="E3116" s="209"/>
      <c r="J3116" s="124"/>
    </row>
    <row r="3117" spans="3:10" x14ac:dyDescent="0.2">
      <c r="C3117" s="209"/>
      <c r="D3117" s="209"/>
      <c r="E3117" s="209"/>
      <c r="J3117" s="124"/>
    </row>
    <row r="3118" spans="3:10" x14ac:dyDescent="0.2">
      <c r="C3118" s="209"/>
      <c r="D3118" s="209"/>
      <c r="E3118" s="209"/>
      <c r="J3118" s="124"/>
    </row>
    <row r="3119" spans="3:10" x14ac:dyDescent="0.2">
      <c r="C3119" s="209"/>
      <c r="D3119" s="209"/>
      <c r="E3119" s="209"/>
      <c r="J3119" s="124"/>
    </row>
    <row r="3120" spans="3:10" x14ac:dyDescent="0.2">
      <c r="C3120" s="209"/>
      <c r="D3120" s="209"/>
      <c r="E3120" s="209"/>
      <c r="J3120" s="124"/>
    </row>
    <row r="3121" spans="3:10" x14ac:dyDescent="0.2">
      <c r="C3121" s="209"/>
      <c r="D3121" s="209"/>
      <c r="E3121" s="209"/>
      <c r="J3121" s="124"/>
    </row>
    <row r="3122" spans="3:10" x14ac:dyDescent="0.2">
      <c r="C3122" s="209"/>
      <c r="D3122" s="209"/>
      <c r="E3122" s="209"/>
      <c r="J3122" s="124"/>
    </row>
    <row r="3123" spans="3:10" x14ac:dyDescent="0.2">
      <c r="C3123" s="209"/>
      <c r="D3123" s="209"/>
      <c r="E3123" s="209"/>
      <c r="J3123" s="124"/>
    </row>
    <row r="3124" spans="3:10" x14ac:dyDescent="0.2">
      <c r="C3124" s="209"/>
      <c r="D3124" s="209"/>
      <c r="E3124" s="209"/>
      <c r="J3124" s="124"/>
    </row>
    <row r="3125" spans="3:10" x14ac:dyDescent="0.2">
      <c r="C3125" s="209"/>
      <c r="D3125" s="209"/>
      <c r="E3125" s="209"/>
      <c r="J3125" s="124"/>
    </row>
    <row r="3126" spans="3:10" x14ac:dyDescent="0.2">
      <c r="C3126" s="209"/>
      <c r="D3126" s="209"/>
      <c r="E3126" s="209"/>
      <c r="J3126" s="124"/>
    </row>
    <row r="3127" spans="3:10" x14ac:dyDescent="0.2">
      <c r="C3127" s="209"/>
      <c r="D3127" s="209"/>
      <c r="E3127" s="209"/>
      <c r="J3127" s="124"/>
    </row>
    <row r="3128" spans="3:10" x14ac:dyDescent="0.2">
      <c r="C3128" s="209"/>
      <c r="D3128" s="209"/>
      <c r="E3128" s="209"/>
      <c r="J3128" s="124"/>
    </row>
    <row r="3129" spans="3:10" x14ac:dyDescent="0.2">
      <c r="C3129" s="209"/>
      <c r="D3129" s="209"/>
      <c r="E3129" s="209"/>
      <c r="J3129" s="124"/>
    </row>
    <row r="3130" spans="3:10" x14ac:dyDescent="0.2">
      <c r="C3130" s="209"/>
      <c r="D3130" s="209"/>
      <c r="E3130" s="209"/>
      <c r="J3130" s="124"/>
    </row>
    <row r="3131" spans="3:10" x14ac:dyDescent="0.2">
      <c r="C3131" s="209"/>
      <c r="D3131" s="209"/>
      <c r="E3131" s="209"/>
      <c r="J3131" s="124"/>
    </row>
    <row r="3132" spans="3:10" x14ac:dyDescent="0.2">
      <c r="C3132" s="209"/>
      <c r="D3132" s="209"/>
      <c r="E3132" s="209"/>
      <c r="J3132" s="124"/>
    </row>
    <row r="3133" spans="3:10" x14ac:dyDescent="0.2">
      <c r="C3133" s="209"/>
      <c r="D3133" s="209"/>
      <c r="E3133" s="209"/>
      <c r="J3133" s="124"/>
    </row>
    <row r="3134" spans="3:10" x14ac:dyDescent="0.2">
      <c r="C3134" s="209"/>
      <c r="D3134" s="209"/>
      <c r="E3134" s="209"/>
      <c r="J3134" s="124"/>
    </row>
    <row r="3135" spans="3:10" x14ac:dyDescent="0.2">
      <c r="C3135" s="209"/>
      <c r="D3135" s="209"/>
      <c r="E3135" s="209"/>
      <c r="J3135" s="124"/>
    </row>
    <row r="3136" spans="3:10" x14ac:dyDescent="0.2">
      <c r="C3136" s="209"/>
      <c r="D3136" s="209"/>
      <c r="E3136" s="209"/>
      <c r="J3136" s="124"/>
    </row>
    <row r="3137" spans="3:10" x14ac:dyDescent="0.2">
      <c r="C3137" s="209"/>
      <c r="D3137" s="209"/>
      <c r="E3137" s="209"/>
      <c r="J3137" s="124"/>
    </row>
    <row r="3138" spans="3:10" x14ac:dyDescent="0.2">
      <c r="C3138" s="209"/>
      <c r="D3138" s="209"/>
      <c r="E3138" s="209"/>
      <c r="J3138" s="124"/>
    </row>
    <row r="3139" spans="3:10" x14ac:dyDescent="0.2">
      <c r="C3139" s="209"/>
      <c r="D3139" s="209"/>
      <c r="E3139" s="209"/>
      <c r="J3139" s="124"/>
    </row>
    <row r="3140" spans="3:10" x14ac:dyDescent="0.2">
      <c r="C3140" s="209"/>
      <c r="D3140" s="209"/>
      <c r="E3140" s="209"/>
      <c r="J3140" s="124"/>
    </row>
    <row r="3141" spans="3:10" x14ac:dyDescent="0.2">
      <c r="C3141" s="209"/>
      <c r="D3141" s="209"/>
      <c r="E3141" s="209"/>
      <c r="J3141" s="124"/>
    </row>
    <row r="3142" spans="3:10" x14ac:dyDescent="0.2">
      <c r="C3142" s="209"/>
      <c r="D3142" s="209"/>
      <c r="E3142" s="209"/>
      <c r="J3142" s="124"/>
    </row>
    <row r="3143" spans="3:10" x14ac:dyDescent="0.2">
      <c r="C3143" s="209"/>
      <c r="D3143" s="209"/>
      <c r="E3143" s="209"/>
      <c r="J3143" s="124"/>
    </row>
    <row r="3144" spans="3:10" x14ac:dyDescent="0.2">
      <c r="C3144" s="209"/>
      <c r="D3144" s="209"/>
      <c r="E3144" s="209"/>
      <c r="J3144" s="124"/>
    </row>
    <row r="3145" spans="3:10" x14ac:dyDescent="0.2">
      <c r="C3145" s="209"/>
      <c r="D3145" s="209"/>
      <c r="E3145" s="209"/>
      <c r="J3145" s="124"/>
    </row>
    <row r="3146" spans="3:10" x14ac:dyDescent="0.2">
      <c r="C3146" s="209"/>
      <c r="D3146" s="209"/>
      <c r="E3146" s="209"/>
      <c r="J3146" s="124"/>
    </row>
    <row r="3147" spans="3:10" x14ac:dyDescent="0.2">
      <c r="C3147" s="209"/>
      <c r="D3147" s="209"/>
      <c r="E3147" s="209"/>
      <c r="J3147" s="124"/>
    </row>
    <row r="3148" spans="3:10" x14ac:dyDescent="0.2">
      <c r="C3148" s="209"/>
      <c r="D3148" s="209"/>
      <c r="E3148" s="209"/>
      <c r="J3148" s="124"/>
    </row>
    <row r="3149" spans="3:10" x14ac:dyDescent="0.2">
      <c r="C3149" s="209"/>
      <c r="D3149" s="209"/>
      <c r="E3149" s="209"/>
      <c r="J3149" s="124"/>
    </row>
    <row r="3150" spans="3:10" x14ac:dyDescent="0.2">
      <c r="C3150" s="209"/>
      <c r="D3150" s="209"/>
      <c r="E3150" s="209"/>
      <c r="J3150" s="124"/>
    </row>
    <row r="3151" spans="3:10" x14ac:dyDescent="0.2">
      <c r="C3151" s="209"/>
      <c r="D3151" s="209"/>
      <c r="E3151" s="209"/>
      <c r="J3151" s="124"/>
    </row>
    <row r="3152" spans="3:10" x14ac:dyDescent="0.2">
      <c r="C3152" s="209"/>
      <c r="D3152" s="209"/>
      <c r="E3152" s="209"/>
      <c r="J3152" s="124"/>
    </row>
    <row r="3153" spans="3:10" x14ac:dyDescent="0.2">
      <c r="C3153" s="209"/>
      <c r="D3153" s="209"/>
      <c r="E3153" s="209"/>
      <c r="J3153" s="124"/>
    </row>
    <row r="3154" spans="3:10" x14ac:dyDescent="0.2">
      <c r="C3154" s="209"/>
      <c r="D3154" s="209"/>
      <c r="E3154" s="209"/>
      <c r="J3154" s="124"/>
    </row>
    <row r="3155" spans="3:10" x14ac:dyDescent="0.2">
      <c r="C3155" s="209"/>
      <c r="D3155" s="209"/>
      <c r="E3155" s="209"/>
      <c r="J3155" s="124"/>
    </row>
    <row r="3156" spans="3:10" x14ac:dyDescent="0.2">
      <c r="C3156" s="209"/>
      <c r="D3156" s="209"/>
      <c r="E3156" s="209"/>
      <c r="J3156" s="124"/>
    </row>
    <row r="3157" spans="3:10" x14ac:dyDescent="0.2">
      <c r="C3157" s="209"/>
      <c r="D3157" s="209"/>
      <c r="E3157" s="209"/>
      <c r="J3157" s="124"/>
    </row>
    <row r="3158" spans="3:10" x14ac:dyDescent="0.2">
      <c r="C3158" s="209"/>
      <c r="D3158" s="209"/>
      <c r="E3158" s="209"/>
      <c r="J3158" s="124"/>
    </row>
    <row r="3159" spans="3:10" x14ac:dyDescent="0.2">
      <c r="C3159" s="209"/>
      <c r="D3159" s="209"/>
      <c r="E3159" s="209"/>
      <c r="J3159" s="124"/>
    </row>
    <row r="3160" spans="3:10" x14ac:dyDescent="0.2">
      <c r="C3160" s="209"/>
      <c r="D3160" s="209"/>
      <c r="E3160" s="209"/>
      <c r="J3160" s="124"/>
    </row>
    <row r="3161" spans="3:10" x14ac:dyDescent="0.2">
      <c r="C3161" s="209"/>
      <c r="D3161" s="209"/>
      <c r="E3161" s="209"/>
      <c r="J3161" s="124"/>
    </row>
    <row r="3162" spans="3:10" x14ac:dyDescent="0.2">
      <c r="C3162" s="209"/>
      <c r="D3162" s="209"/>
      <c r="E3162" s="209"/>
      <c r="J3162" s="124"/>
    </row>
    <row r="3163" spans="3:10" x14ac:dyDescent="0.2">
      <c r="C3163" s="209"/>
      <c r="D3163" s="209"/>
      <c r="E3163" s="209"/>
      <c r="J3163" s="124"/>
    </row>
    <row r="3164" spans="3:10" x14ac:dyDescent="0.2">
      <c r="C3164" s="209"/>
      <c r="D3164" s="209"/>
      <c r="E3164" s="209"/>
      <c r="J3164" s="124"/>
    </row>
    <row r="3165" spans="3:10" x14ac:dyDescent="0.2">
      <c r="C3165" s="209"/>
      <c r="D3165" s="209"/>
      <c r="E3165" s="209"/>
      <c r="J3165" s="124"/>
    </row>
    <row r="3166" spans="3:10" x14ac:dyDescent="0.2">
      <c r="C3166" s="209"/>
      <c r="D3166" s="209"/>
      <c r="E3166" s="209"/>
      <c r="J3166" s="124"/>
    </row>
    <row r="3167" spans="3:10" x14ac:dyDescent="0.2">
      <c r="C3167" s="209"/>
      <c r="D3167" s="209"/>
      <c r="E3167" s="209"/>
      <c r="J3167" s="124"/>
    </row>
    <row r="3168" spans="3:10" x14ac:dyDescent="0.2">
      <c r="C3168" s="209"/>
      <c r="D3168" s="209"/>
      <c r="E3168" s="209"/>
      <c r="J3168" s="124"/>
    </row>
    <row r="3169" spans="3:10" x14ac:dyDescent="0.2">
      <c r="C3169" s="209"/>
      <c r="D3169" s="209"/>
      <c r="E3169" s="209"/>
      <c r="J3169" s="124"/>
    </row>
    <row r="3170" spans="3:10" x14ac:dyDescent="0.2">
      <c r="C3170" s="209"/>
      <c r="D3170" s="209"/>
      <c r="E3170" s="209"/>
      <c r="J3170" s="124"/>
    </row>
    <row r="3171" spans="3:10" x14ac:dyDescent="0.2">
      <c r="C3171" s="209"/>
      <c r="D3171" s="209"/>
      <c r="E3171" s="209"/>
      <c r="J3171" s="124"/>
    </row>
    <row r="3172" spans="3:10" x14ac:dyDescent="0.2">
      <c r="C3172" s="209"/>
      <c r="D3172" s="209"/>
      <c r="E3172" s="209"/>
      <c r="J3172" s="124"/>
    </row>
    <row r="3173" spans="3:10" x14ac:dyDescent="0.2">
      <c r="C3173" s="209"/>
      <c r="D3173" s="209"/>
      <c r="E3173" s="209"/>
      <c r="J3173" s="124"/>
    </row>
    <row r="3174" spans="3:10" x14ac:dyDescent="0.2">
      <c r="C3174" s="209"/>
      <c r="D3174" s="209"/>
      <c r="E3174" s="209"/>
      <c r="J3174" s="124"/>
    </row>
    <row r="3175" spans="3:10" x14ac:dyDescent="0.2">
      <c r="C3175" s="209"/>
      <c r="D3175" s="209"/>
      <c r="E3175" s="209"/>
      <c r="J3175" s="124"/>
    </row>
    <row r="3176" spans="3:10" x14ac:dyDescent="0.2">
      <c r="C3176" s="209"/>
      <c r="D3176" s="209"/>
      <c r="E3176" s="209"/>
      <c r="J3176" s="124"/>
    </row>
    <row r="3177" spans="3:10" x14ac:dyDescent="0.2">
      <c r="C3177" s="209"/>
      <c r="D3177" s="209"/>
      <c r="E3177" s="209"/>
      <c r="J3177" s="124"/>
    </row>
    <row r="3178" spans="3:10" x14ac:dyDescent="0.2">
      <c r="C3178" s="209"/>
      <c r="D3178" s="209"/>
      <c r="E3178" s="209"/>
      <c r="J3178" s="124"/>
    </row>
    <row r="3179" spans="3:10" x14ac:dyDescent="0.2">
      <c r="C3179" s="209"/>
      <c r="D3179" s="209"/>
      <c r="E3179" s="209"/>
      <c r="J3179" s="124"/>
    </row>
    <row r="3180" spans="3:10" x14ac:dyDescent="0.2">
      <c r="C3180" s="209"/>
      <c r="D3180" s="209"/>
      <c r="E3180" s="209"/>
      <c r="J3180" s="124"/>
    </row>
    <row r="3181" spans="3:10" x14ac:dyDescent="0.2">
      <c r="C3181" s="209"/>
      <c r="D3181" s="209"/>
      <c r="E3181" s="209"/>
      <c r="J3181" s="124"/>
    </row>
    <row r="3182" spans="3:10" x14ac:dyDescent="0.2">
      <c r="C3182" s="209"/>
      <c r="D3182" s="209"/>
      <c r="E3182" s="209"/>
      <c r="J3182" s="124"/>
    </row>
    <row r="3183" spans="3:10" x14ac:dyDescent="0.2">
      <c r="C3183" s="209"/>
      <c r="D3183" s="209"/>
      <c r="E3183" s="209"/>
      <c r="J3183" s="124"/>
    </row>
    <row r="3184" spans="3:10" x14ac:dyDescent="0.2">
      <c r="C3184" s="209"/>
      <c r="D3184" s="209"/>
      <c r="E3184" s="209"/>
      <c r="J3184" s="124"/>
    </row>
    <row r="3185" spans="3:10" x14ac:dyDescent="0.2">
      <c r="C3185" s="209"/>
      <c r="D3185" s="209"/>
      <c r="E3185" s="209"/>
      <c r="J3185" s="124"/>
    </row>
    <row r="3186" spans="3:10" x14ac:dyDescent="0.2">
      <c r="C3186" s="209"/>
      <c r="D3186" s="209"/>
      <c r="E3186" s="209"/>
      <c r="J3186" s="124"/>
    </row>
    <row r="3187" spans="3:10" x14ac:dyDescent="0.2">
      <c r="C3187" s="209"/>
      <c r="D3187" s="209"/>
      <c r="E3187" s="209"/>
      <c r="J3187" s="124"/>
    </row>
    <row r="3188" spans="3:10" x14ac:dyDescent="0.2">
      <c r="C3188" s="209"/>
      <c r="D3188" s="209"/>
      <c r="E3188" s="209"/>
      <c r="J3188" s="124"/>
    </row>
    <row r="3189" spans="3:10" x14ac:dyDescent="0.2">
      <c r="C3189" s="209"/>
      <c r="D3189" s="209"/>
      <c r="E3189" s="209"/>
      <c r="J3189" s="124"/>
    </row>
    <row r="3190" spans="3:10" x14ac:dyDescent="0.2">
      <c r="C3190" s="209"/>
      <c r="D3190" s="209"/>
      <c r="E3190" s="209"/>
      <c r="J3190" s="124"/>
    </row>
    <row r="3191" spans="3:10" x14ac:dyDescent="0.2">
      <c r="C3191" s="209"/>
      <c r="D3191" s="209"/>
      <c r="E3191" s="209"/>
      <c r="J3191" s="124"/>
    </row>
    <row r="3192" spans="3:10" x14ac:dyDescent="0.2">
      <c r="C3192" s="209"/>
      <c r="D3192" s="209"/>
      <c r="E3192" s="209"/>
      <c r="J3192" s="124"/>
    </row>
    <row r="3193" spans="3:10" x14ac:dyDescent="0.2">
      <c r="C3193" s="209"/>
      <c r="D3193" s="209"/>
      <c r="E3193" s="209"/>
      <c r="J3193" s="124"/>
    </row>
    <row r="3194" spans="3:10" x14ac:dyDescent="0.2">
      <c r="C3194" s="209"/>
      <c r="D3194" s="209"/>
      <c r="E3194" s="209"/>
      <c r="J3194" s="124"/>
    </row>
    <row r="3195" spans="3:10" x14ac:dyDescent="0.2">
      <c r="C3195" s="209"/>
      <c r="D3195" s="209"/>
      <c r="E3195" s="209"/>
      <c r="J3195" s="124"/>
    </row>
    <row r="3196" spans="3:10" x14ac:dyDescent="0.2">
      <c r="C3196" s="209"/>
      <c r="D3196" s="209"/>
      <c r="E3196" s="209"/>
      <c r="J3196" s="124"/>
    </row>
    <row r="3197" spans="3:10" x14ac:dyDescent="0.2">
      <c r="C3197" s="209"/>
      <c r="D3197" s="209"/>
      <c r="E3197" s="209"/>
      <c r="J3197" s="124"/>
    </row>
    <row r="3198" spans="3:10" x14ac:dyDescent="0.2">
      <c r="C3198" s="209"/>
      <c r="D3198" s="209"/>
      <c r="E3198" s="209"/>
      <c r="J3198" s="124"/>
    </row>
    <row r="3199" spans="3:10" x14ac:dyDescent="0.2">
      <c r="C3199" s="209"/>
      <c r="D3199" s="209"/>
      <c r="E3199" s="209"/>
      <c r="J3199" s="124"/>
    </row>
    <row r="3200" spans="3:10" x14ac:dyDescent="0.2">
      <c r="C3200" s="209"/>
      <c r="D3200" s="209"/>
      <c r="E3200" s="209"/>
      <c r="J3200" s="124"/>
    </row>
    <row r="3201" spans="3:10" x14ac:dyDescent="0.2">
      <c r="C3201" s="209"/>
      <c r="D3201" s="209"/>
      <c r="E3201" s="209"/>
      <c r="J3201" s="124"/>
    </row>
    <row r="3202" spans="3:10" x14ac:dyDescent="0.2">
      <c r="C3202" s="209"/>
      <c r="D3202" s="209"/>
      <c r="E3202" s="209"/>
      <c r="J3202" s="124"/>
    </row>
    <row r="3203" spans="3:10" x14ac:dyDescent="0.2">
      <c r="C3203" s="209"/>
      <c r="D3203" s="209"/>
      <c r="E3203" s="209"/>
      <c r="J3203" s="124"/>
    </row>
    <row r="3204" spans="3:10" x14ac:dyDescent="0.2">
      <c r="C3204" s="209"/>
      <c r="D3204" s="209"/>
      <c r="E3204" s="209"/>
      <c r="J3204" s="124"/>
    </row>
    <row r="3205" spans="3:10" x14ac:dyDescent="0.2">
      <c r="C3205" s="209"/>
      <c r="D3205" s="209"/>
      <c r="E3205" s="209"/>
      <c r="J3205" s="124"/>
    </row>
    <row r="3206" spans="3:10" x14ac:dyDescent="0.2">
      <c r="C3206" s="209"/>
      <c r="D3206" s="209"/>
      <c r="E3206" s="209"/>
      <c r="J3206" s="124"/>
    </row>
    <row r="3207" spans="3:10" x14ac:dyDescent="0.2">
      <c r="C3207" s="209"/>
      <c r="D3207" s="209"/>
      <c r="E3207" s="209"/>
      <c r="J3207" s="124"/>
    </row>
    <row r="3208" spans="3:10" x14ac:dyDescent="0.2">
      <c r="C3208" s="209"/>
      <c r="D3208" s="209"/>
      <c r="E3208" s="209"/>
      <c r="J3208" s="124"/>
    </row>
    <row r="3209" spans="3:10" x14ac:dyDescent="0.2">
      <c r="C3209" s="209"/>
      <c r="D3209" s="209"/>
      <c r="E3209" s="209"/>
      <c r="J3209" s="124"/>
    </row>
    <row r="3210" spans="3:10" x14ac:dyDescent="0.2">
      <c r="C3210" s="209"/>
      <c r="D3210" s="209"/>
      <c r="E3210" s="209"/>
      <c r="J3210" s="124"/>
    </row>
    <row r="3211" spans="3:10" x14ac:dyDescent="0.2">
      <c r="C3211" s="209"/>
      <c r="D3211" s="209"/>
      <c r="E3211" s="209"/>
      <c r="J3211" s="124"/>
    </row>
    <row r="3212" spans="3:10" x14ac:dyDescent="0.2">
      <c r="C3212" s="209"/>
      <c r="D3212" s="209"/>
      <c r="E3212" s="209"/>
      <c r="J3212" s="124"/>
    </row>
    <row r="3213" spans="3:10" x14ac:dyDescent="0.2">
      <c r="C3213" s="209"/>
      <c r="D3213" s="209"/>
      <c r="E3213" s="209"/>
      <c r="J3213" s="124"/>
    </row>
    <row r="3214" spans="3:10" x14ac:dyDescent="0.2">
      <c r="C3214" s="209"/>
      <c r="D3214" s="209"/>
      <c r="E3214" s="209"/>
      <c r="J3214" s="124"/>
    </row>
    <row r="3215" spans="3:10" x14ac:dyDescent="0.2">
      <c r="C3215" s="209"/>
      <c r="D3215" s="209"/>
      <c r="E3215" s="209"/>
      <c r="J3215" s="124"/>
    </row>
    <row r="3216" spans="3:10" x14ac:dyDescent="0.2">
      <c r="C3216" s="209"/>
      <c r="D3216" s="209"/>
      <c r="E3216" s="209"/>
      <c r="J3216" s="124"/>
    </row>
    <row r="3217" spans="3:10" x14ac:dyDescent="0.2">
      <c r="C3217" s="209"/>
      <c r="D3217" s="209"/>
      <c r="E3217" s="209"/>
      <c r="J3217" s="124"/>
    </row>
    <row r="3218" spans="3:10" x14ac:dyDescent="0.2">
      <c r="C3218" s="209"/>
      <c r="D3218" s="209"/>
      <c r="E3218" s="209"/>
      <c r="J3218" s="124"/>
    </row>
    <row r="3219" spans="3:10" x14ac:dyDescent="0.2">
      <c r="C3219" s="209"/>
      <c r="D3219" s="209"/>
      <c r="E3219" s="209"/>
      <c r="J3219" s="124"/>
    </row>
    <row r="3220" spans="3:10" x14ac:dyDescent="0.2">
      <c r="C3220" s="209"/>
      <c r="D3220" s="209"/>
      <c r="E3220" s="209"/>
      <c r="J3220" s="124"/>
    </row>
    <row r="3221" spans="3:10" x14ac:dyDescent="0.2">
      <c r="C3221" s="209"/>
      <c r="D3221" s="209"/>
      <c r="E3221" s="209"/>
      <c r="J3221" s="124"/>
    </row>
    <row r="3222" spans="3:10" x14ac:dyDescent="0.2">
      <c r="C3222" s="209"/>
      <c r="D3222" s="209"/>
      <c r="E3222" s="209"/>
      <c r="J3222" s="124"/>
    </row>
    <row r="3223" spans="3:10" x14ac:dyDescent="0.2">
      <c r="C3223" s="209"/>
      <c r="D3223" s="209"/>
      <c r="E3223" s="209"/>
      <c r="J3223" s="124"/>
    </row>
    <row r="3224" spans="3:10" x14ac:dyDescent="0.2">
      <c r="C3224" s="209"/>
      <c r="D3224" s="209"/>
      <c r="E3224" s="209"/>
      <c r="J3224" s="124"/>
    </row>
    <row r="3225" spans="3:10" x14ac:dyDescent="0.2">
      <c r="C3225" s="209"/>
      <c r="D3225" s="209"/>
      <c r="E3225" s="209"/>
      <c r="J3225" s="124"/>
    </row>
    <row r="3226" spans="3:10" x14ac:dyDescent="0.2">
      <c r="C3226" s="209"/>
      <c r="D3226" s="209"/>
      <c r="E3226" s="209"/>
      <c r="J3226" s="124"/>
    </row>
    <row r="3227" spans="3:10" x14ac:dyDescent="0.2">
      <c r="C3227" s="209"/>
      <c r="D3227" s="209"/>
      <c r="E3227" s="209"/>
      <c r="J3227" s="124"/>
    </row>
    <row r="3228" spans="3:10" x14ac:dyDescent="0.2">
      <c r="C3228" s="209"/>
      <c r="D3228" s="209"/>
      <c r="E3228" s="209"/>
      <c r="J3228" s="124"/>
    </row>
    <row r="3229" spans="3:10" x14ac:dyDescent="0.2">
      <c r="C3229" s="209"/>
      <c r="D3229" s="209"/>
      <c r="E3229" s="209"/>
      <c r="J3229" s="124"/>
    </row>
    <row r="3230" spans="3:10" x14ac:dyDescent="0.2">
      <c r="C3230" s="209"/>
      <c r="D3230" s="209"/>
      <c r="E3230" s="209"/>
      <c r="J3230" s="124"/>
    </row>
    <row r="3231" spans="3:10" x14ac:dyDescent="0.2">
      <c r="C3231" s="209"/>
      <c r="D3231" s="209"/>
      <c r="E3231" s="209"/>
      <c r="J3231" s="124"/>
    </row>
    <row r="3232" spans="3:10" x14ac:dyDescent="0.2">
      <c r="C3232" s="209"/>
      <c r="D3232" s="209"/>
      <c r="E3232" s="209"/>
      <c r="J3232" s="124"/>
    </row>
    <row r="3233" spans="3:10" x14ac:dyDescent="0.2">
      <c r="C3233" s="209"/>
      <c r="D3233" s="209"/>
      <c r="E3233" s="209"/>
      <c r="J3233" s="124"/>
    </row>
    <row r="3234" spans="3:10" x14ac:dyDescent="0.2">
      <c r="C3234" s="209"/>
      <c r="D3234" s="209"/>
      <c r="E3234" s="209"/>
      <c r="J3234" s="124"/>
    </row>
    <row r="3235" spans="3:10" x14ac:dyDescent="0.2">
      <c r="C3235" s="209"/>
      <c r="D3235" s="209"/>
      <c r="E3235" s="209"/>
      <c r="J3235" s="124"/>
    </row>
    <row r="3236" spans="3:10" x14ac:dyDescent="0.2">
      <c r="C3236" s="209"/>
      <c r="D3236" s="209"/>
      <c r="E3236" s="209"/>
      <c r="J3236" s="124"/>
    </row>
    <row r="3237" spans="3:10" x14ac:dyDescent="0.2">
      <c r="C3237" s="209"/>
      <c r="D3237" s="209"/>
      <c r="E3237" s="209"/>
      <c r="J3237" s="124"/>
    </row>
    <row r="3238" spans="3:10" x14ac:dyDescent="0.2">
      <c r="C3238" s="209"/>
      <c r="D3238" s="209"/>
      <c r="E3238" s="209"/>
      <c r="J3238" s="124"/>
    </row>
    <row r="3239" spans="3:10" x14ac:dyDescent="0.2">
      <c r="C3239" s="209"/>
      <c r="D3239" s="209"/>
      <c r="E3239" s="209"/>
      <c r="J3239" s="124"/>
    </row>
    <row r="3240" spans="3:10" x14ac:dyDescent="0.2">
      <c r="C3240" s="209"/>
      <c r="D3240" s="209"/>
      <c r="E3240" s="209"/>
      <c r="J3240" s="124"/>
    </row>
    <row r="3241" spans="3:10" x14ac:dyDescent="0.2">
      <c r="C3241" s="209"/>
      <c r="D3241" s="209"/>
      <c r="E3241" s="209"/>
      <c r="J3241" s="124"/>
    </row>
    <row r="3242" spans="3:10" x14ac:dyDescent="0.2">
      <c r="C3242" s="209"/>
      <c r="D3242" s="209"/>
      <c r="E3242" s="209"/>
      <c r="J3242" s="124"/>
    </row>
    <row r="3243" spans="3:10" x14ac:dyDescent="0.2">
      <c r="C3243" s="209"/>
      <c r="D3243" s="209"/>
      <c r="E3243" s="209"/>
      <c r="J3243" s="124"/>
    </row>
    <row r="3244" spans="3:10" x14ac:dyDescent="0.2">
      <c r="C3244" s="209"/>
      <c r="D3244" s="209"/>
      <c r="E3244" s="209"/>
      <c r="J3244" s="124"/>
    </row>
    <row r="3245" spans="3:10" x14ac:dyDescent="0.2">
      <c r="C3245" s="209"/>
      <c r="D3245" s="209"/>
      <c r="E3245" s="209"/>
      <c r="J3245" s="124"/>
    </row>
    <row r="3246" spans="3:10" x14ac:dyDescent="0.2">
      <c r="C3246" s="209"/>
      <c r="D3246" s="209"/>
      <c r="E3246" s="209"/>
      <c r="J3246" s="124"/>
    </row>
    <row r="3247" spans="3:10" x14ac:dyDescent="0.2">
      <c r="C3247" s="209"/>
      <c r="D3247" s="209"/>
      <c r="E3247" s="209"/>
      <c r="J3247" s="124"/>
    </row>
    <row r="3248" spans="3:10" x14ac:dyDescent="0.2">
      <c r="C3248" s="209"/>
      <c r="D3248" s="209"/>
      <c r="E3248" s="209"/>
      <c r="J3248" s="124"/>
    </row>
    <row r="3249" spans="3:10" x14ac:dyDescent="0.2">
      <c r="C3249" s="209"/>
      <c r="D3249" s="209"/>
      <c r="E3249" s="209"/>
      <c r="J3249" s="124"/>
    </row>
    <row r="3250" spans="3:10" x14ac:dyDescent="0.2">
      <c r="C3250" s="209"/>
      <c r="D3250" s="209"/>
      <c r="E3250" s="209"/>
      <c r="J3250" s="124"/>
    </row>
    <row r="3251" spans="3:10" x14ac:dyDescent="0.2">
      <c r="C3251" s="209"/>
      <c r="D3251" s="209"/>
      <c r="E3251" s="209"/>
      <c r="J3251" s="124"/>
    </row>
    <row r="3252" spans="3:10" x14ac:dyDescent="0.2">
      <c r="C3252" s="209"/>
      <c r="D3252" s="209"/>
      <c r="E3252" s="209"/>
      <c r="J3252" s="124"/>
    </row>
    <row r="3253" spans="3:10" x14ac:dyDescent="0.2">
      <c r="C3253" s="209"/>
      <c r="D3253" s="209"/>
      <c r="E3253" s="209"/>
      <c r="J3253" s="124"/>
    </row>
    <row r="3254" spans="3:10" x14ac:dyDescent="0.2">
      <c r="C3254" s="209"/>
      <c r="D3254" s="209"/>
      <c r="E3254" s="209"/>
      <c r="J3254" s="124"/>
    </row>
    <row r="3255" spans="3:10" x14ac:dyDescent="0.2">
      <c r="C3255" s="209"/>
      <c r="D3255" s="209"/>
      <c r="E3255" s="209"/>
      <c r="J3255" s="124"/>
    </row>
    <row r="3256" spans="3:10" x14ac:dyDescent="0.2">
      <c r="C3256" s="209"/>
      <c r="D3256" s="209"/>
      <c r="E3256" s="209"/>
      <c r="J3256" s="124"/>
    </row>
    <row r="3257" spans="3:10" x14ac:dyDescent="0.2">
      <c r="C3257" s="209"/>
      <c r="D3257" s="209"/>
      <c r="E3257" s="209"/>
      <c r="J3257" s="124"/>
    </row>
    <row r="3258" spans="3:10" x14ac:dyDescent="0.2">
      <c r="C3258" s="209"/>
      <c r="D3258" s="209"/>
      <c r="E3258" s="209"/>
      <c r="J3258" s="124"/>
    </row>
    <row r="3259" spans="3:10" x14ac:dyDescent="0.2">
      <c r="C3259" s="209"/>
      <c r="D3259" s="209"/>
      <c r="E3259" s="209"/>
      <c r="J3259" s="124"/>
    </row>
    <row r="3260" spans="3:10" x14ac:dyDescent="0.2">
      <c r="C3260" s="209"/>
      <c r="D3260" s="209"/>
      <c r="E3260" s="209"/>
      <c r="J3260" s="124"/>
    </row>
    <row r="3261" spans="3:10" x14ac:dyDescent="0.2">
      <c r="C3261" s="209"/>
      <c r="D3261" s="209"/>
      <c r="E3261" s="209"/>
      <c r="J3261" s="124"/>
    </row>
    <row r="3262" spans="3:10" x14ac:dyDescent="0.2">
      <c r="C3262" s="209"/>
      <c r="D3262" s="209"/>
      <c r="E3262" s="209"/>
      <c r="J3262" s="124"/>
    </row>
    <row r="3263" spans="3:10" x14ac:dyDescent="0.2">
      <c r="C3263" s="209"/>
      <c r="D3263" s="209"/>
      <c r="E3263" s="209"/>
      <c r="J3263" s="124"/>
    </row>
    <row r="3264" spans="3:10" x14ac:dyDescent="0.2">
      <c r="C3264" s="209"/>
      <c r="D3264" s="209"/>
      <c r="E3264" s="209"/>
      <c r="J3264" s="124"/>
    </row>
    <row r="3265" spans="3:10" x14ac:dyDescent="0.2">
      <c r="C3265" s="209"/>
      <c r="D3265" s="209"/>
      <c r="E3265" s="209"/>
      <c r="J3265" s="124"/>
    </row>
    <row r="3266" spans="3:10" x14ac:dyDescent="0.2">
      <c r="C3266" s="209"/>
      <c r="D3266" s="209"/>
      <c r="E3266" s="209"/>
      <c r="J3266" s="124"/>
    </row>
    <row r="3267" spans="3:10" x14ac:dyDescent="0.2">
      <c r="C3267" s="209"/>
      <c r="D3267" s="209"/>
      <c r="E3267" s="209"/>
      <c r="J3267" s="124"/>
    </row>
    <row r="3268" spans="3:10" x14ac:dyDescent="0.2">
      <c r="C3268" s="209"/>
      <c r="D3268" s="209"/>
      <c r="E3268" s="209"/>
      <c r="J3268" s="124"/>
    </row>
    <row r="3269" spans="3:10" x14ac:dyDescent="0.2">
      <c r="C3269" s="209"/>
      <c r="D3269" s="209"/>
      <c r="E3269" s="209"/>
      <c r="J3269" s="124"/>
    </row>
    <row r="3270" spans="3:10" x14ac:dyDescent="0.2">
      <c r="C3270" s="209"/>
      <c r="D3270" s="209"/>
      <c r="E3270" s="209"/>
      <c r="J3270" s="124"/>
    </row>
    <row r="3271" spans="3:10" x14ac:dyDescent="0.2">
      <c r="C3271" s="209"/>
      <c r="D3271" s="209"/>
      <c r="E3271" s="209"/>
      <c r="J3271" s="124"/>
    </row>
    <row r="3272" spans="3:10" x14ac:dyDescent="0.2">
      <c r="C3272" s="209"/>
      <c r="D3272" s="209"/>
      <c r="E3272" s="209"/>
      <c r="J3272" s="124"/>
    </row>
    <row r="3273" spans="3:10" x14ac:dyDescent="0.2">
      <c r="C3273" s="209"/>
      <c r="D3273" s="209"/>
      <c r="E3273" s="209"/>
      <c r="J3273" s="124"/>
    </row>
    <row r="3274" spans="3:10" x14ac:dyDescent="0.2">
      <c r="C3274" s="209"/>
      <c r="D3274" s="209"/>
      <c r="E3274" s="209"/>
      <c r="J3274" s="124"/>
    </row>
    <row r="3275" spans="3:10" x14ac:dyDescent="0.2">
      <c r="C3275" s="209"/>
      <c r="D3275" s="209"/>
      <c r="E3275" s="209"/>
      <c r="J3275" s="124"/>
    </row>
    <row r="3276" spans="3:10" x14ac:dyDescent="0.2">
      <c r="C3276" s="209"/>
      <c r="D3276" s="209"/>
      <c r="E3276" s="209"/>
      <c r="J3276" s="124"/>
    </row>
    <row r="3277" spans="3:10" x14ac:dyDescent="0.2">
      <c r="C3277" s="209"/>
      <c r="D3277" s="209"/>
      <c r="E3277" s="209"/>
      <c r="J3277" s="124"/>
    </row>
    <row r="3278" spans="3:10" x14ac:dyDescent="0.2">
      <c r="C3278" s="209"/>
      <c r="D3278" s="209"/>
      <c r="E3278" s="209"/>
      <c r="J3278" s="124"/>
    </row>
    <row r="3279" spans="3:10" x14ac:dyDescent="0.2">
      <c r="C3279" s="209"/>
      <c r="D3279" s="209"/>
      <c r="E3279" s="209"/>
      <c r="J3279" s="124"/>
    </row>
    <row r="3280" spans="3:10" x14ac:dyDescent="0.2">
      <c r="C3280" s="209"/>
      <c r="D3280" s="209"/>
      <c r="E3280" s="209"/>
      <c r="J3280" s="124"/>
    </row>
    <row r="3281" spans="3:10" x14ac:dyDescent="0.2">
      <c r="C3281" s="209"/>
      <c r="D3281" s="209"/>
      <c r="E3281" s="209"/>
      <c r="J3281" s="124"/>
    </row>
    <row r="3282" spans="3:10" x14ac:dyDescent="0.2">
      <c r="C3282" s="209"/>
      <c r="D3282" s="209"/>
      <c r="E3282" s="209"/>
      <c r="J3282" s="124"/>
    </row>
    <row r="3283" spans="3:10" x14ac:dyDescent="0.2">
      <c r="C3283" s="209"/>
      <c r="D3283" s="209"/>
      <c r="E3283" s="209"/>
      <c r="J3283" s="124"/>
    </row>
    <row r="3284" spans="3:10" x14ac:dyDescent="0.2">
      <c r="C3284" s="209"/>
      <c r="D3284" s="209"/>
      <c r="E3284" s="209"/>
      <c r="J3284" s="124"/>
    </row>
    <row r="3285" spans="3:10" x14ac:dyDescent="0.2">
      <c r="C3285" s="209"/>
      <c r="D3285" s="209"/>
      <c r="E3285" s="209"/>
      <c r="J3285" s="124"/>
    </row>
    <row r="3286" spans="3:10" x14ac:dyDescent="0.2">
      <c r="C3286" s="209"/>
      <c r="D3286" s="209"/>
      <c r="E3286" s="209"/>
      <c r="J3286" s="124"/>
    </row>
    <row r="3287" spans="3:10" x14ac:dyDescent="0.2">
      <c r="C3287" s="209"/>
      <c r="D3287" s="209"/>
      <c r="E3287" s="209"/>
      <c r="J3287" s="124"/>
    </row>
    <row r="3288" spans="3:10" x14ac:dyDescent="0.2">
      <c r="C3288" s="209"/>
      <c r="D3288" s="209"/>
      <c r="E3288" s="209"/>
      <c r="J3288" s="124"/>
    </row>
    <row r="3289" spans="3:10" x14ac:dyDescent="0.2">
      <c r="C3289" s="209"/>
      <c r="D3289" s="209"/>
      <c r="E3289" s="209"/>
      <c r="J3289" s="124"/>
    </row>
    <row r="3290" spans="3:10" x14ac:dyDescent="0.2">
      <c r="C3290" s="209"/>
      <c r="D3290" s="209"/>
      <c r="E3290" s="209"/>
      <c r="J3290" s="124"/>
    </row>
    <row r="3291" spans="3:10" x14ac:dyDescent="0.2">
      <c r="C3291" s="209"/>
      <c r="D3291" s="209"/>
      <c r="E3291" s="209"/>
      <c r="J3291" s="124"/>
    </row>
    <row r="3292" spans="3:10" x14ac:dyDescent="0.2">
      <c r="C3292" s="209"/>
      <c r="D3292" s="209"/>
      <c r="E3292" s="209"/>
      <c r="J3292" s="124"/>
    </row>
    <row r="3293" spans="3:10" x14ac:dyDescent="0.2">
      <c r="C3293" s="209"/>
      <c r="D3293" s="209"/>
      <c r="E3293" s="209"/>
      <c r="J3293" s="124"/>
    </row>
    <row r="3294" spans="3:10" x14ac:dyDescent="0.2">
      <c r="C3294" s="209"/>
      <c r="D3294" s="209"/>
      <c r="E3294" s="209"/>
      <c r="J3294" s="124"/>
    </row>
    <row r="3295" spans="3:10" x14ac:dyDescent="0.2">
      <c r="C3295" s="209"/>
      <c r="D3295" s="209"/>
      <c r="E3295" s="209"/>
      <c r="J3295" s="124"/>
    </row>
    <row r="3296" spans="3:10" x14ac:dyDescent="0.2">
      <c r="C3296" s="209"/>
      <c r="D3296" s="209"/>
      <c r="E3296" s="209"/>
      <c r="J3296" s="124"/>
    </row>
    <row r="3297" spans="3:10" x14ac:dyDescent="0.2">
      <c r="C3297" s="209"/>
      <c r="D3297" s="209"/>
      <c r="E3297" s="209"/>
      <c r="J3297" s="124"/>
    </row>
    <row r="3298" spans="3:10" x14ac:dyDescent="0.2">
      <c r="C3298" s="209"/>
      <c r="D3298" s="209"/>
      <c r="E3298" s="209"/>
      <c r="J3298" s="124"/>
    </row>
    <row r="3299" spans="3:10" x14ac:dyDescent="0.2">
      <c r="C3299" s="209"/>
      <c r="D3299" s="209"/>
      <c r="E3299" s="209"/>
      <c r="J3299" s="124"/>
    </row>
    <row r="3300" spans="3:10" x14ac:dyDescent="0.2">
      <c r="C3300" s="209"/>
      <c r="D3300" s="209"/>
      <c r="E3300" s="209"/>
      <c r="J3300" s="124"/>
    </row>
    <row r="3301" spans="3:10" x14ac:dyDescent="0.2">
      <c r="C3301" s="209"/>
      <c r="D3301" s="209"/>
      <c r="E3301" s="209"/>
      <c r="J3301" s="124"/>
    </row>
    <row r="3302" spans="3:10" x14ac:dyDescent="0.2">
      <c r="C3302" s="209"/>
      <c r="D3302" s="209"/>
      <c r="E3302" s="209"/>
      <c r="J3302" s="124"/>
    </row>
    <row r="3303" spans="3:10" x14ac:dyDescent="0.2">
      <c r="C3303" s="209"/>
      <c r="D3303" s="209"/>
      <c r="E3303" s="209"/>
      <c r="J3303" s="124"/>
    </row>
    <row r="3304" spans="3:10" x14ac:dyDescent="0.2">
      <c r="C3304" s="209"/>
      <c r="D3304" s="209"/>
      <c r="E3304" s="209"/>
      <c r="J3304" s="124"/>
    </row>
    <row r="3305" spans="3:10" x14ac:dyDescent="0.2">
      <c r="C3305" s="209"/>
      <c r="D3305" s="209"/>
      <c r="E3305" s="209"/>
      <c r="J3305" s="124"/>
    </row>
    <row r="3306" spans="3:10" x14ac:dyDescent="0.2">
      <c r="C3306" s="209"/>
      <c r="D3306" s="209"/>
      <c r="E3306" s="209"/>
      <c r="J3306" s="124"/>
    </row>
    <row r="3307" spans="3:10" x14ac:dyDescent="0.2">
      <c r="C3307" s="209"/>
      <c r="D3307" s="209"/>
      <c r="E3307" s="209"/>
      <c r="J3307" s="124"/>
    </row>
    <row r="3308" spans="3:10" x14ac:dyDescent="0.2">
      <c r="C3308" s="209"/>
      <c r="D3308" s="209"/>
      <c r="E3308" s="209"/>
      <c r="J3308" s="124"/>
    </row>
    <row r="3309" spans="3:10" x14ac:dyDescent="0.2">
      <c r="C3309" s="209"/>
      <c r="D3309" s="209"/>
      <c r="E3309" s="209"/>
      <c r="J3309" s="124"/>
    </row>
    <row r="3310" spans="3:10" x14ac:dyDescent="0.2">
      <c r="C3310" s="209"/>
      <c r="D3310" s="209"/>
      <c r="E3310" s="209"/>
      <c r="J3310" s="124"/>
    </row>
    <row r="3311" spans="3:10" x14ac:dyDescent="0.2">
      <c r="C3311" s="209"/>
      <c r="D3311" s="209"/>
      <c r="E3311" s="209"/>
      <c r="J3311" s="124"/>
    </row>
    <row r="3312" spans="3:10" x14ac:dyDescent="0.2">
      <c r="C3312" s="209"/>
      <c r="D3312" s="209"/>
      <c r="E3312" s="209"/>
      <c r="J3312" s="124"/>
    </row>
    <row r="3313" spans="3:10" x14ac:dyDescent="0.2">
      <c r="C3313" s="209"/>
      <c r="D3313" s="209"/>
      <c r="E3313" s="209"/>
      <c r="J3313" s="124"/>
    </row>
    <row r="3314" spans="3:10" x14ac:dyDescent="0.2">
      <c r="C3314" s="209"/>
      <c r="D3314" s="209"/>
      <c r="E3314" s="209"/>
      <c r="J3314" s="124"/>
    </row>
    <row r="3315" spans="3:10" x14ac:dyDescent="0.2">
      <c r="C3315" s="209"/>
      <c r="D3315" s="209"/>
      <c r="E3315" s="209"/>
      <c r="J3315" s="124"/>
    </row>
    <row r="3316" spans="3:10" x14ac:dyDescent="0.2">
      <c r="C3316" s="209"/>
      <c r="D3316" s="209"/>
      <c r="E3316" s="209"/>
      <c r="J3316" s="124"/>
    </row>
    <row r="3317" spans="3:10" x14ac:dyDescent="0.2">
      <c r="C3317" s="209"/>
      <c r="D3317" s="209"/>
      <c r="E3317" s="209"/>
      <c r="J3317" s="124"/>
    </row>
    <row r="3318" spans="3:10" x14ac:dyDescent="0.2">
      <c r="C3318" s="209"/>
      <c r="D3318" s="209"/>
      <c r="E3318" s="209"/>
      <c r="J3318" s="124"/>
    </row>
    <row r="3319" spans="3:10" x14ac:dyDescent="0.2">
      <c r="C3319" s="209"/>
      <c r="D3319" s="209"/>
      <c r="E3319" s="209"/>
      <c r="J3319" s="124"/>
    </row>
    <row r="3320" spans="3:10" x14ac:dyDescent="0.2">
      <c r="C3320" s="209"/>
      <c r="D3320" s="209"/>
      <c r="E3320" s="209"/>
      <c r="J3320" s="124"/>
    </row>
    <row r="3321" spans="3:10" x14ac:dyDescent="0.2">
      <c r="C3321" s="209"/>
      <c r="D3321" s="209"/>
      <c r="E3321" s="209"/>
      <c r="J3321" s="124"/>
    </row>
    <row r="3322" spans="3:10" x14ac:dyDescent="0.2">
      <c r="C3322" s="209"/>
      <c r="D3322" s="209"/>
      <c r="E3322" s="209"/>
      <c r="J3322" s="124"/>
    </row>
    <row r="3323" spans="3:10" x14ac:dyDescent="0.2">
      <c r="C3323" s="209"/>
      <c r="D3323" s="209"/>
      <c r="E3323" s="209"/>
      <c r="J3323" s="124"/>
    </row>
    <row r="3324" spans="3:10" x14ac:dyDescent="0.2">
      <c r="C3324" s="209"/>
      <c r="D3324" s="209"/>
      <c r="E3324" s="209"/>
      <c r="J3324" s="124"/>
    </row>
    <row r="3325" spans="3:10" x14ac:dyDescent="0.2">
      <c r="C3325" s="209"/>
      <c r="D3325" s="209"/>
      <c r="E3325" s="209"/>
      <c r="J3325" s="124"/>
    </row>
    <row r="3326" spans="3:10" x14ac:dyDescent="0.2">
      <c r="C3326" s="209"/>
      <c r="D3326" s="209"/>
      <c r="E3326" s="209"/>
      <c r="J3326" s="124"/>
    </row>
    <row r="3327" spans="3:10" x14ac:dyDescent="0.2">
      <c r="C3327" s="209"/>
      <c r="D3327" s="209"/>
      <c r="E3327" s="209"/>
      <c r="J3327" s="124"/>
    </row>
    <row r="3328" spans="3:10" x14ac:dyDescent="0.2">
      <c r="C3328" s="209"/>
      <c r="D3328" s="209"/>
      <c r="E3328" s="209"/>
      <c r="J3328" s="124"/>
    </row>
    <row r="3329" spans="3:10" x14ac:dyDescent="0.2">
      <c r="C3329" s="209"/>
      <c r="D3329" s="209"/>
      <c r="E3329" s="209"/>
      <c r="J3329" s="124"/>
    </row>
    <row r="3330" spans="3:10" x14ac:dyDescent="0.2">
      <c r="C3330" s="209"/>
      <c r="D3330" s="209"/>
      <c r="E3330" s="209"/>
      <c r="J3330" s="124"/>
    </row>
    <row r="3331" spans="3:10" x14ac:dyDescent="0.2">
      <c r="C3331" s="209"/>
      <c r="D3331" s="209"/>
      <c r="E3331" s="209"/>
      <c r="J3331" s="124"/>
    </row>
    <row r="3332" spans="3:10" x14ac:dyDescent="0.2">
      <c r="C3332" s="209"/>
      <c r="D3332" s="209"/>
      <c r="E3332" s="209"/>
      <c r="J3332" s="124"/>
    </row>
    <row r="3333" spans="3:10" x14ac:dyDescent="0.2">
      <c r="C3333" s="209"/>
      <c r="D3333" s="209"/>
      <c r="E3333" s="209"/>
      <c r="J3333" s="124"/>
    </row>
    <row r="3334" spans="3:10" x14ac:dyDescent="0.2">
      <c r="C3334" s="209"/>
      <c r="D3334" s="209"/>
      <c r="E3334" s="209"/>
      <c r="J3334" s="124"/>
    </row>
    <row r="3335" spans="3:10" x14ac:dyDescent="0.2">
      <c r="C3335" s="209"/>
      <c r="D3335" s="209"/>
      <c r="E3335" s="209"/>
      <c r="J3335" s="124"/>
    </row>
    <row r="3336" spans="3:10" x14ac:dyDescent="0.2">
      <c r="C3336" s="209"/>
      <c r="D3336" s="209"/>
      <c r="E3336" s="209"/>
      <c r="J3336" s="124"/>
    </row>
    <row r="3337" spans="3:10" x14ac:dyDescent="0.2">
      <c r="C3337" s="209"/>
      <c r="D3337" s="209"/>
      <c r="E3337" s="209"/>
      <c r="J3337" s="124"/>
    </row>
    <row r="3338" spans="3:10" x14ac:dyDescent="0.2">
      <c r="C3338" s="209"/>
      <c r="D3338" s="209"/>
      <c r="E3338" s="209"/>
      <c r="J3338" s="124"/>
    </row>
    <row r="3339" spans="3:10" x14ac:dyDescent="0.2">
      <c r="C3339" s="209"/>
      <c r="D3339" s="209"/>
      <c r="E3339" s="209"/>
      <c r="J3339" s="124"/>
    </row>
    <row r="3340" spans="3:10" x14ac:dyDescent="0.2">
      <c r="C3340" s="209"/>
      <c r="D3340" s="209"/>
      <c r="E3340" s="209"/>
      <c r="J3340" s="124"/>
    </row>
    <row r="3341" spans="3:10" x14ac:dyDescent="0.2">
      <c r="C3341" s="209"/>
      <c r="D3341" s="209"/>
      <c r="E3341" s="209"/>
      <c r="J3341" s="124"/>
    </row>
    <row r="3342" spans="3:10" x14ac:dyDescent="0.2">
      <c r="C3342" s="209"/>
      <c r="D3342" s="209"/>
      <c r="E3342" s="209"/>
      <c r="J3342" s="124"/>
    </row>
    <row r="3343" spans="3:10" x14ac:dyDescent="0.2">
      <c r="C3343" s="209"/>
      <c r="D3343" s="209"/>
      <c r="E3343" s="209"/>
      <c r="J3343" s="124"/>
    </row>
    <row r="3344" spans="3:10" x14ac:dyDescent="0.2">
      <c r="C3344" s="209"/>
      <c r="D3344" s="209"/>
      <c r="E3344" s="209"/>
      <c r="J3344" s="124"/>
    </row>
    <row r="3345" spans="3:10" x14ac:dyDescent="0.2">
      <c r="C3345" s="209"/>
      <c r="D3345" s="209"/>
      <c r="E3345" s="209"/>
      <c r="J3345" s="124"/>
    </row>
    <row r="3346" spans="3:10" x14ac:dyDescent="0.2">
      <c r="C3346" s="209"/>
      <c r="D3346" s="209"/>
      <c r="E3346" s="209"/>
      <c r="J3346" s="124"/>
    </row>
    <row r="3347" spans="3:10" x14ac:dyDescent="0.2">
      <c r="C3347" s="209"/>
      <c r="D3347" s="209"/>
      <c r="E3347" s="209"/>
      <c r="J3347" s="124"/>
    </row>
    <row r="3348" spans="3:10" x14ac:dyDescent="0.2">
      <c r="C3348" s="209"/>
      <c r="D3348" s="209"/>
      <c r="E3348" s="209"/>
      <c r="J3348" s="124"/>
    </row>
    <row r="3349" spans="3:10" x14ac:dyDescent="0.2">
      <c r="C3349" s="209"/>
      <c r="D3349" s="209"/>
      <c r="E3349" s="209"/>
      <c r="J3349" s="124"/>
    </row>
    <row r="3350" spans="3:10" x14ac:dyDescent="0.2">
      <c r="C3350" s="209"/>
      <c r="D3350" s="209"/>
      <c r="E3350" s="209"/>
      <c r="J3350" s="124"/>
    </row>
    <row r="3351" spans="3:10" x14ac:dyDescent="0.2">
      <c r="C3351" s="209"/>
      <c r="D3351" s="209"/>
      <c r="E3351" s="209"/>
      <c r="J3351" s="124"/>
    </row>
    <row r="3352" spans="3:10" x14ac:dyDescent="0.2">
      <c r="C3352" s="209"/>
      <c r="D3352" s="209"/>
      <c r="E3352" s="209"/>
      <c r="J3352" s="124"/>
    </row>
    <row r="3353" spans="3:10" x14ac:dyDescent="0.2">
      <c r="C3353" s="209"/>
      <c r="D3353" s="209"/>
      <c r="E3353" s="209"/>
      <c r="J3353" s="124"/>
    </row>
    <row r="3354" spans="3:10" x14ac:dyDescent="0.2">
      <c r="C3354" s="209"/>
      <c r="D3354" s="209"/>
      <c r="E3354" s="209"/>
      <c r="J3354" s="124"/>
    </row>
    <row r="3355" spans="3:10" x14ac:dyDescent="0.2">
      <c r="C3355" s="209"/>
      <c r="D3355" s="209"/>
      <c r="E3355" s="209"/>
      <c r="J3355" s="124"/>
    </row>
    <row r="3356" spans="3:10" x14ac:dyDescent="0.2">
      <c r="C3356" s="209"/>
      <c r="D3356" s="209"/>
      <c r="E3356" s="209"/>
      <c r="J3356" s="124"/>
    </row>
    <row r="3357" spans="3:10" x14ac:dyDescent="0.2">
      <c r="C3357" s="209"/>
      <c r="D3357" s="209"/>
      <c r="E3357" s="209"/>
      <c r="J3357" s="124"/>
    </row>
    <row r="3358" spans="3:10" x14ac:dyDescent="0.2">
      <c r="C3358" s="209"/>
      <c r="D3358" s="209"/>
      <c r="E3358" s="209"/>
      <c r="J3358" s="124"/>
    </row>
    <row r="3359" spans="3:10" x14ac:dyDescent="0.2">
      <c r="C3359" s="209"/>
      <c r="D3359" s="209"/>
      <c r="E3359" s="209"/>
      <c r="J3359" s="124"/>
    </row>
    <row r="3360" spans="3:10" x14ac:dyDescent="0.2">
      <c r="C3360" s="209"/>
      <c r="D3360" s="209"/>
      <c r="E3360" s="209"/>
      <c r="J3360" s="124"/>
    </row>
    <row r="3361" spans="3:10" x14ac:dyDescent="0.2">
      <c r="C3361" s="209"/>
      <c r="D3361" s="209"/>
      <c r="E3361" s="209"/>
      <c r="J3361" s="124"/>
    </row>
    <row r="3362" spans="3:10" x14ac:dyDescent="0.2">
      <c r="C3362" s="209"/>
      <c r="D3362" s="209"/>
      <c r="E3362" s="209"/>
      <c r="J3362" s="124"/>
    </row>
    <row r="3363" spans="3:10" x14ac:dyDescent="0.2">
      <c r="C3363" s="209"/>
      <c r="D3363" s="209"/>
      <c r="E3363" s="209"/>
      <c r="J3363" s="124"/>
    </row>
    <row r="3364" spans="3:10" x14ac:dyDescent="0.2">
      <c r="C3364" s="209"/>
      <c r="D3364" s="209"/>
      <c r="E3364" s="209"/>
      <c r="J3364" s="124"/>
    </row>
    <row r="3365" spans="3:10" x14ac:dyDescent="0.2">
      <c r="C3365" s="209"/>
      <c r="D3365" s="209"/>
      <c r="E3365" s="209"/>
      <c r="J3365" s="124"/>
    </row>
    <row r="3366" spans="3:10" x14ac:dyDescent="0.2">
      <c r="C3366" s="209"/>
      <c r="D3366" s="209"/>
      <c r="E3366" s="209"/>
      <c r="J3366" s="124"/>
    </row>
    <row r="3367" spans="3:10" x14ac:dyDescent="0.2">
      <c r="C3367" s="209"/>
      <c r="D3367" s="209"/>
      <c r="E3367" s="209"/>
      <c r="J3367" s="124"/>
    </row>
    <row r="3368" spans="3:10" x14ac:dyDescent="0.2">
      <c r="C3368" s="209"/>
      <c r="D3368" s="209"/>
      <c r="E3368" s="209"/>
      <c r="J3368" s="124"/>
    </row>
    <row r="3369" spans="3:10" x14ac:dyDescent="0.2">
      <c r="C3369" s="209"/>
      <c r="D3369" s="209"/>
      <c r="E3369" s="209"/>
      <c r="J3369" s="124"/>
    </row>
    <row r="3370" spans="3:10" x14ac:dyDescent="0.2">
      <c r="C3370" s="209"/>
      <c r="D3370" s="209"/>
      <c r="E3370" s="209"/>
      <c r="J3370" s="124"/>
    </row>
    <row r="3371" spans="3:10" x14ac:dyDescent="0.2">
      <c r="C3371" s="209"/>
      <c r="D3371" s="209"/>
      <c r="E3371" s="209"/>
      <c r="J3371" s="124"/>
    </row>
    <row r="3372" spans="3:10" x14ac:dyDescent="0.2">
      <c r="C3372" s="209"/>
      <c r="D3372" s="209"/>
      <c r="E3372" s="209"/>
      <c r="J3372" s="124"/>
    </row>
    <row r="3373" spans="3:10" x14ac:dyDescent="0.2">
      <c r="C3373" s="209"/>
      <c r="D3373" s="209"/>
      <c r="E3373" s="209"/>
      <c r="J3373" s="124"/>
    </row>
    <row r="3374" spans="3:10" x14ac:dyDescent="0.2">
      <c r="C3374" s="209"/>
      <c r="D3374" s="209"/>
      <c r="E3374" s="209"/>
      <c r="J3374" s="124"/>
    </row>
    <row r="3375" spans="3:10" x14ac:dyDescent="0.2">
      <c r="C3375" s="209"/>
      <c r="D3375" s="209"/>
      <c r="E3375" s="209"/>
      <c r="J3375" s="124"/>
    </row>
    <row r="3376" spans="3:10" x14ac:dyDescent="0.2">
      <c r="C3376" s="209"/>
      <c r="D3376" s="209"/>
      <c r="E3376" s="209"/>
      <c r="J3376" s="124"/>
    </row>
    <row r="3377" spans="3:10" x14ac:dyDescent="0.2">
      <c r="C3377" s="209"/>
      <c r="D3377" s="209"/>
      <c r="E3377" s="209"/>
      <c r="J3377" s="124"/>
    </row>
    <row r="3378" spans="3:10" x14ac:dyDescent="0.2">
      <c r="C3378" s="209"/>
      <c r="D3378" s="209"/>
      <c r="E3378" s="209"/>
      <c r="J3378" s="124"/>
    </row>
    <row r="3379" spans="3:10" x14ac:dyDescent="0.2">
      <c r="C3379" s="209"/>
      <c r="D3379" s="209"/>
      <c r="E3379" s="209"/>
      <c r="J3379" s="124"/>
    </row>
    <row r="3380" spans="3:10" x14ac:dyDescent="0.2">
      <c r="C3380" s="209"/>
      <c r="D3380" s="209"/>
      <c r="E3380" s="209"/>
      <c r="J3380" s="124"/>
    </row>
    <row r="3381" spans="3:10" x14ac:dyDescent="0.2">
      <c r="C3381" s="209"/>
      <c r="D3381" s="209"/>
      <c r="E3381" s="209"/>
      <c r="J3381" s="124"/>
    </row>
    <row r="3382" spans="3:10" x14ac:dyDescent="0.2">
      <c r="C3382" s="209"/>
      <c r="D3382" s="209"/>
      <c r="E3382" s="209"/>
      <c r="J3382" s="124"/>
    </row>
    <row r="3383" spans="3:10" x14ac:dyDescent="0.2">
      <c r="C3383" s="209"/>
      <c r="D3383" s="209"/>
      <c r="E3383" s="209"/>
      <c r="J3383" s="124"/>
    </row>
    <row r="3384" spans="3:10" x14ac:dyDescent="0.2">
      <c r="C3384" s="209"/>
      <c r="D3384" s="209"/>
      <c r="E3384" s="209"/>
      <c r="J3384" s="124"/>
    </row>
    <row r="3385" spans="3:10" x14ac:dyDescent="0.2">
      <c r="C3385" s="209"/>
      <c r="D3385" s="209"/>
      <c r="E3385" s="209"/>
      <c r="J3385" s="124"/>
    </row>
    <row r="3386" spans="3:10" x14ac:dyDescent="0.2">
      <c r="C3386" s="209"/>
      <c r="D3386" s="209"/>
      <c r="E3386" s="209"/>
      <c r="J3386" s="124"/>
    </row>
    <row r="3387" spans="3:10" x14ac:dyDescent="0.2">
      <c r="C3387" s="209"/>
      <c r="D3387" s="209"/>
      <c r="E3387" s="209"/>
      <c r="J3387" s="124"/>
    </row>
    <row r="3388" spans="3:10" x14ac:dyDescent="0.2">
      <c r="C3388" s="209"/>
      <c r="D3388" s="209"/>
      <c r="E3388" s="209"/>
      <c r="J3388" s="124"/>
    </row>
    <row r="3389" spans="3:10" x14ac:dyDescent="0.2">
      <c r="C3389" s="209"/>
      <c r="D3389" s="209"/>
      <c r="E3389" s="209"/>
      <c r="J3389" s="124"/>
    </row>
    <row r="3390" spans="3:10" x14ac:dyDescent="0.2">
      <c r="C3390" s="209"/>
      <c r="D3390" s="209"/>
      <c r="E3390" s="209"/>
      <c r="J3390" s="124"/>
    </row>
    <row r="3391" spans="3:10" x14ac:dyDescent="0.2">
      <c r="C3391" s="209"/>
      <c r="D3391" s="209"/>
      <c r="E3391" s="209"/>
      <c r="J3391" s="124"/>
    </row>
    <row r="3392" spans="3:10" x14ac:dyDescent="0.2">
      <c r="C3392" s="209"/>
      <c r="D3392" s="209"/>
      <c r="E3392" s="209"/>
      <c r="J3392" s="124"/>
    </row>
    <row r="3393" spans="3:10" x14ac:dyDescent="0.2">
      <c r="C3393" s="209"/>
      <c r="D3393" s="209"/>
      <c r="E3393" s="209"/>
      <c r="J3393" s="124"/>
    </row>
    <row r="3394" spans="3:10" x14ac:dyDescent="0.2">
      <c r="C3394" s="209"/>
      <c r="D3394" s="209"/>
      <c r="E3394" s="209"/>
      <c r="J3394" s="124"/>
    </row>
    <row r="3395" spans="3:10" x14ac:dyDescent="0.2">
      <c r="C3395" s="209"/>
      <c r="D3395" s="209"/>
      <c r="E3395" s="209"/>
      <c r="J3395" s="124"/>
    </row>
    <row r="3396" spans="3:10" x14ac:dyDescent="0.2">
      <c r="C3396" s="209"/>
      <c r="D3396" s="209"/>
      <c r="E3396" s="209"/>
      <c r="J3396" s="124"/>
    </row>
    <row r="3397" spans="3:10" x14ac:dyDescent="0.2">
      <c r="C3397" s="209"/>
      <c r="D3397" s="209"/>
      <c r="E3397" s="209"/>
      <c r="J3397" s="124"/>
    </row>
    <row r="3398" spans="3:10" x14ac:dyDescent="0.2">
      <c r="C3398" s="209"/>
      <c r="D3398" s="209"/>
      <c r="E3398" s="209"/>
      <c r="J3398" s="124"/>
    </row>
    <row r="3399" spans="3:10" x14ac:dyDescent="0.2">
      <c r="C3399" s="209"/>
      <c r="D3399" s="209"/>
      <c r="E3399" s="209"/>
      <c r="J3399" s="124"/>
    </row>
    <row r="3400" spans="3:10" x14ac:dyDescent="0.2">
      <c r="C3400" s="209"/>
      <c r="D3400" s="209"/>
      <c r="E3400" s="209"/>
      <c r="J3400" s="124"/>
    </row>
    <row r="3401" spans="3:10" x14ac:dyDescent="0.2">
      <c r="C3401" s="209"/>
      <c r="D3401" s="209"/>
      <c r="E3401" s="209"/>
      <c r="J3401" s="124"/>
    </row>
    <row r="3402" spans="3:10" x14ac:dyDescent="0.2">
      <c r="C3402" s="209"/>
      <c r="D3402" s="209"/>
      <c r="E3402" s="209"/>
      <c r="J3402" s="124"/>
    </row>
    <row r="3403" spans="3:10" x14ac:dyDescent="0.2">
      <c r="C3403" s="209"/>
      <c r="D3403" s="209"/>
      <c r="E3403" s="209"/>
      <c r="J3403" s="124"/>
    </row>
    <row r="3404" spans="3:10" x14ac:dyDescent="0.2">
      <c r="C3404" s="209"/>
      <c r="D3404" s="209"/>
      <c r="E3404" s="209"/>
      <c r="J3404" s="124"/>
    </row>
    <row r="3405" spans="3:10" x14ac:dyDescent="0.2">
      <c r="C3405" s="209"/>
      <c r="D3405" s="209"/>
      <c r="E3405" s="209"/>
      <c r="J3405" s="124"/>
    </row>
    <row r="3406" spans="3:10" x14ac:dyDescent="0.2">
      <c r="C3406" s="209"/>
      <c r="D3406" s="209"/>
      <c r="E3406" s="209"/>
      <c r="J3406" s="124"/>
    </row>
    <row r="3407" spans="3:10" x14ac:dyDescent="0.2">
      <c r="C3407" s="209"/>
      <c r="D3407" s="209"/>
      <c r="E3407" s="209"/>
      <c r="J3407" s="124"/>
    </row>
    <row r="3408" spans="3:10" x14ac:dyDescent="0.2">
      <c r="C3408" s="209"/>
      <c r="D3408" s="209"/>
      <c r="E3408" s="209"/>
      <c r="J3408" s="124"/>
    </row>
    <row r="3409" spans="3:10" x14ac:dyDescent="0.2">
      <c r="C3409" s="209"/>
      <c r="D3409" s="209"/>
      <c r="E3409" s="209"/>
      <c r="J3409" s="124"/>
    </row>
    <row r="3410" spans="3:10" x14ac:dyDescent="0.2">
      <c r="C3410" s="209"/>
      <c r="D3410" s="209"/>
      <c r="E3410" s="209"/>
      <c r="J3410" s="124"/>
    </row>
    <row r="3411" spans="3:10" x14ac:dyDescent="0.2">
      <c r="C3411" s="209"/>
      <c r="D3411" s="209"/>
      <c r="E3411" s="209"/>
      <c r="J3411" s="124"/>
    </row>
    <row r="3412" spans="3:10" x14ac:dyDescent="0.2">
      <c r="C3412" s="209"/>
      <c r="D3412" s="209"/>
      <c r="E3412" s="209"/>
      <c r="J3412" s="124"/>
    </row>
    <row r="3413" spans="3:10" x14ac:dyDescent="0.2">
      <c r="C3413" s="209"/>
      <c r="D3413" s="209"/>
      <c r="E3413" s="209"/>
      <c r="J3413" s="124"/>
    </row>
    <row r="3414" spans="3:10" x14ac:dyDescent="0.2">
      <c r="C3414" s="209"/>
      <c r="D3414" s="209"/>
      <c r="E3414" s="209"/>
      <c r="J3414" s="124"/>
    </row>
    <row r="3415" spans="3:10" x14ac:dyDescent="0.2">
      <c r="C3415" s="209"/>
      <c r="D3415" s="209"/>
      <c r="E3415" s="209"/>
      <c r="J3415" s="124"/>
    </row>
    <row r="3416" spans="3:10" x14ac:dyDescent="0.2">
      <c r="C3416" s="209"/>
      <c r="D3416" s="209"/>
      <c r="E3416" s="209"/>
      <c r="J3416" s="124"/>
    </row>
    <row r="3417" spans="3:10" x14ac:dyDescent="0.2">
      <c r="C3417" s="209"/>
      <c r="D3417" s="209"/>
      <c r="E3417" s="209"/>
      <c r="J3417" s="124"/>
    </row>
    <row r="3418" spans="3:10" x14ac:dyDescent="0.2">
      <c r="C3418" s="209"/>
      <c r="D3418" s="209"/>
      <c r="E3418" s="209"/>
      <c r="J3418" s="124"/>
    </row>
    <row r="3419" spans="3:10" x14ac:dyDescent="0.2">
      <c r="C3419" s="209"/>
      <c r="D3419" s="209"/>
      <c r="E3419" s="209"/>
      <c r="J3419" s="124"/>
    </row>
    <row r="3420" spans="3:10" x14ac:dyDescent="0.2">
      <c r="C3420" s="209"/>
      <c r="D3420" s="209"/>
      <c r="E3420" s="209"/>
      <c r="J3420" s="124"/>
    </row>
    <row r="3421" spans="3:10" x14ac:dyDescent="0.2">
      <c r="C3421" s="209"/>
      <c r="D3421" s="209"/>
      <c r="E3421" s="209"/>
      <c r="J3421" s="124"/>
    </row>
    <row r="3422" spans="3:10" x14ac:dyDescent="0.2">
      <c r="C3422" s="209"/>
      <c r="D3422" s="209"/>
      <c r="E3422" s="209"/>
      <c r="J3422" s="124"/>
    </row>
    <row r="3423" spans="3:10" x14ac:dyDescent="0.2">
      <c r="C3423" s="209"/>
      <c r="D3423" s="209"/>
      <c r="E3423" s="209"/>
      <c r="J3423" s="124"/>
    </row>
    <row r="3424" spans="3:10" x14ac:dyDescent="0.2">
      <c r="C3424" s="209"/>
      <c r="D3424" s="209"/>
      <c r="E3424" s="209"/>
      <c r="J3424" s="124"/>
    </row>
    <row r="3425" spans="3:10" x14ac:dyDescent="0.2">
      <c r="C3425" s="209"/>
      <c r="D3425" s="209"/>
      <c r="E3425" s="209"/>
      <c r="J3425" s="124"/>
    </row>
    <row r="3426" spans="3:10" x14ac:dyDescent="0.2">
      <c r="C3426" s="209"/>
      <c r="D3426" s="209"/>
      <c r="E3426" s="209"/>
      <c r="J3426" s="124"/>
    </row>
    <row r="3427" spans="3:10" x14ac:dyDescent="0.2">
      <c r="C3427" s="209"/>
      <c r="D3427" s="209"/>
      <c r="E3427" s="209"/>
      <c r="J3427" s="124"/>
    </row>
    <row r="3428" spans="3:10" x14ac:dyDescent="0.2">
      <c r="C3428" s="209"/>
      <c r="D3428" s="209"/>
      <c r="E3428" s="209"/>
      <c r="J3428" s="124"/>
    </row>
    <row r="3429" spans="3:10" x14ac:dyDescent="0.2">
      <c r="C3429" s="209"/>
      <c r="D3429" s="209"/>
      <c r="E3429" s="209"/>
      <c r="J3429" s="124"/>
    </row>
    <row r="3430" spans="3:10" x14ac:dyDescent="0.2">
      <c r="C3430" s="209"/>
      <c r="D3430" s="209"/>
      <c r="E3430" s="209"/>
      <c r="J3430" s="124"/>
    </row>
    <row r="3431" spans="3:10" x14ac:dyDescent="0.2">
      <c r="C3431" s="209"/>
      <c r="D3431" s="209"/>
      <c r="E3431" s="209"/>
      <c r="J3431" s="124"/>
    </row>
    <row r="3432" spans="3:10" x14ac:dyDescent="0.2">
      <c r="C3432" s="209"/>
      <c r="D3432" s="209"/>
      <c r="E3432" s="209"/>
      <c r="J3432" s="124"/>
    </row>
    <row r="3433" spans="3:10" x14ac:dyDescent="0.2">
      <c r="C3433" s="209"/>
      <c r="D3433" s="209"/>
      <c r="E3433" s="209"/>
      <c r="J3433" s="124"/>
    </row>
    <row r="3434" spans="3:10" x14ac:dyDescent="0.2">
      <c r="C3434" s="209"/>
      <c r="D3434" s="209"/>
      <c r="E3434" s="209"/>
      <c r="J3434" s="124"/>
    </row>
    <row r="3435" spans="3:10" x14ac:dyDescent="0.2">
      <c r="C3435" s="209"/>
      <c r="D3435" s="209"/>
      <c r="E3435" s="209"/>
      <c r="J3435" s="124"/>
    </row>
    <row r="3436" spans="3:10" x14ac:dyDescent="0.2">
      <c r="C3436" s="209"/>
      <c r="D3436" s="209"/>
      <c r="E3436" s="209"/>
      <c r="J3436" s="124"/>
    </row>
    <row r="3437" spans="3:10" x14ac:dyDescent="0.2">
      <c r="C3437" s="209"/>
      <c r="D3437" s="209"/>
      <c r="E3437" s="209"/>
      <c r="J3437" s="124"/>
    </row>
    <row r="3438" spans="3:10" x14ac:dyDescent="0.2">
      <c r="C3438" s="209"/>
      <c r="D3438" s="209"/>
      <c r="E3438" s="209"/>
      <c r="J3438" s="124"/>
    </row>
    <row r="3439" spans="3:10" x14ac:dyDescent="0.2">
      <c r="C3439" s="209"/>
      <c r="D3439" s="209"/>
      <c r="E3439" s="209"/>
      <c r="J3439" s="124"/>
    </row>
    <row r="3440" spans="3:10" x14ac:dyDescent="0.2">
      <c r="C3440" s="209"/>
      <c r="D3440" s="209"/>
      <c r="E3440" s="209"/>
      <c r="J3440" s="124"/>
    </row>
    <row r="3441" spans="3:10" x14ac:dyDescent="0.2">
      <c r="C3441" s="209"/>
      <c r="D3441" s="209"/>
      <c r="E3441" s="209"/>
      <c r="J3441" s="124"/>
    </row>
    <row r="3442" spans="3:10" x14ac:dyDescent="0.2">
      <c r="C3442" s="209"/>
      <c r="D3442" s="209"/>
      <c r="E3442" s="209"/>
      <c r="J3442" s="124"/>
    </row>
    <row r="3443" spans="3:10" x14ac:dyDescent="0.2">
      <c r="C3443" s="209"/>
      <c r="D3443" s="209"/>
      <c r="E3443" s="209"/>
      <c r="J3443" s="124"/>
    </row>
    <row r="3444" spans="3:10" x14ac:dyDescent="0.2">
      <c r="C3444" s="209"/>
      <c r="D3444" s="209"/>
      <c r="E3444" s="209"/>
      <c r="J3444" s="124"/>
    </row>
    <row r="3445" spans="3:10" x14ac:dyDescent="0.2">
      <c r="C3445" s="209"/>
      <c r="D3445" s="209"/>
      <c r="E3445" s="209"/>
      <c r="J3445" s="124"/>
    </row>
    <row r="3446" spans="3:10" x14ac:dyDescent="0.2">
      <c r="C3446" s="209"/>
      <c r="D3446" s="209"/>
      <c r="E3446" s="209"/>
      <c r="J3446" s="124"/>
    </row>
    <row r="3447" spans="3:10" x14ac:dyDescent="0.2">
      <c r="C3447" s="209"/>
      <c r="D3447" s="209"/>
      <c r="E3447" s="209"/>
      <c r="J3447" s="124"/>
    </row>
    <row r="3448" spans="3:10" x14ac:dyDescent="0.2">
      <c r="C3448" s="209"/>
      <c r="D3448" s="209"/>
      <c r="E3448" s="209"/>
      <c r="J3448" s="124"/>
    </row>
    <row r="3449" spans="3:10" x14ac:dyDescent="0.2">
      <c r="C3449" s="209"/>
      <c r="D3449" s="209"/>
      <c r="E3449" s="209"/>
      <c r="J3449" s="124"/>
    </row>
    <row r="3450" spans="3:10" x14ac:dyDescent="0.2">
      <c r="C3450" s="209"/>
      <c r="D3450" s="209"/>
      <c r="E3450" s="209"/>
      <c r="J3450" s="124"/>
    </row>
    <row r="3451" spans="3:10" x14ac:dyDescent="0.2">
      <c r="C3451" s="209"/>
      <c r="D3451" s="209"/>
      <c r="E3451" s="209"/>
      <c r="J3451" s="124"/>
    </row>
    <row r="3452" spans="3:10" x14ac:dyDescent="0.2">
      <c r="C3452" s="209"/>
      <c r="D3452" s="209"/>
      <c r="E3452" s="209"/>
      <c r="J3452" s="124"/>
    </row>
    <row r="3453" spans="3:10" x14ac:dyDescent="0.2">
      <c r="C3453" s="209"/>
      <c r="D3453" s="209"/>
      <c r="E3453" s="209"/>
      <c r="J3453" s="124"/>
    </row>
    <row r="3454" spans="3:10" x14ac:dyDescent="0.2">
      <c r="C3454" s="209"/>
      <c r="D3454" s="209"/>
      <c r="E3454" s="209"/>
      <c r="J3454" s="124"/>
    </row>
    <row r="3455" spans="3:10" x14ac:dyDescent="0.2">
      <c r="C3455" s="209"/>
      <c r="D3455" s="209"/>
      <c r="E3455" s="209"/>
      <c r="J3455" s="124"/>
    </row>
    <row r="3456" spans="3:10" x14ac:dyDescent="0.2">
      <c r="C3456" s="209"/>
      <c r="D3456" s="209"/>
      <c r="E3456" s="209"/>
      <c r="J3456" s="124"/>
    </row>
    <row r="3457" spans="3:10" x14ac:dyDescent="0.2">
      <c r="C3457" s="209"/>
      <c r="D3457" s="209"/>
      <c r="E3457" s="209"/>
      <c r="J3457" s="124"/>
    </row>
    <row r="3458" spans="3:10" x14ac:dyDescent="0.2">
      <c r="C3458" s="209"/>
      <c r="D3458" s="209"/>
      <c r="E3458" s="209"/>
      <c r="J3458" s="124"/>
    </row>
    <row r="3459" spans="3:10" x14ac:dyDescent="0.2">
      <c r="C3459" s="209"/>
      <c r="D3459" s="209"/>
      <c r="E3459" s="209"/>
      <c r="J3459" s="124"/>
    </row>
    <row r="3460" spans="3:10" x14ac:dyDescent="0.2">
      <c r="C3460" s="209"/>
      <c r="D3460" s="209"/>
      <c r="E3460" s="209"/>
      <c r="J3460" s="124"/>
    </row>
    <row r="3461" spans="3:10" x14ac:dyDescent="0.2">
      <c r="C3461" s="209"/>
      <c r="D3461" s="209"/>
      <c r="E3461" s="209"/>
      <c r="J3461" s="124"/>
    </row>
    <row r="3462" spans="3:10" x14ac:dyDescent="0.2">
      <c r="C3462" s="209"/>
      <c r="D3462" s="209"/>
      <c r="E3462" s="209"/>
      <c r="J3462" s="124"/>
    </row>
    <row r="3463" spans="3:10" x14ac:dyDescent="0.2">
      <c r="C3463" s="209"/>
      <c r="D3463" s="209"/>
      <c r="E3463" s="209"/>
      <c r="J3463" s="124"/>
    </row>
    <row r="3464" spans="3:10" x14ac:dyDescent="0.2">
      <c r="C3464" s="209"/>
      <c r="D3464" s="209"/>
      <c r="E3464" s="209"/>
      <c r="J3464" s="124"/>
    </row>
    <row r="3465" spans="3:10" x14ac:dyDescent="0.2">
      <c r="C3465" s="209"/>
      <c r="D3465" s="209"/>
      <c r="E3465" s="209"/>
      <c r="J3465" s="124"/>
    </row>
    <row r="3466" spans="3:10" x14ac:dyDescent="0.2">
      <c r="C3466" s="209"/>
      <c r="D3466" s="209"/>
      <c r="E3466" s="209"/>
      <c r="J3466" s="124"/>
    </row>
    <row r="3467" spans="3:10" x14ac:dyDescent="0.2">
      <c r="C3467" s="209"/>
      <c r="D3467" s="209"/>
      <c r="E3467" s="209"/>
      <c r="J3467" s="124"/>
    </row>
    <row r="3468" spans="3:10" x14ac:dyDescent="0.2">
      <c r="C3468" s="209"/>
      <c r="D3468" s="209"/>
      <c r="E3468" s="209"/>
      <c r="J3468" s="124"/>
    </row>
    <row r="3469" spans="3:10" x14ac:dyDescent="0.2">
      <c r="C3469" s="209"/>
      <c r="D3469" s="209"/>
      <c r="E3469" s="209"/>
      <c r="J3469" s="124"/>
    </row>
    <row r="3470" spans="3:10" x14ac:dyDescent="0.2">
      <c r="C3470" s="209"/>
      <c r="D3470" s="209"/>
      <c r="E3470" s="209"/>
      <c r="J3470" s="124"/>
    </row>
    <row r="3471" spans="3:10" x14ac:dyDescent="0.2">
      <c r="C3471" s="209"/>
      <c r="D3471" s="209"/>
      <c r="E3471" s="209"/>
      <c r="J3471" s="124"/>
    </row>
    <row r="3472" spans="3:10" x14ac:dyDescent="0.2">
      <c r="C3472" s="209"/>
      <c r="D3472" s="209"/>
      <c r="E3472" s="209"/>
      <c r="J3472" s="124"/>
    </row>
    <row r="3473" spans="3:10" x14ac:dyDescent="0.2">
      <c r="C3473" s="209"/>
      <c r="D3473" s="209"/>
      <c r="E3473" s="209"/>
      <c r="J3473" s="124"/>
    </row>
    <row r="3474" spans="3:10" x14ac:dyDescent="0.2">
      <c r="C3474" s="209"/>
      <c r="D3474" s="209"/>
      <c r="E3474" s="209"/>
      <c r="J3474" s="124"/>
    </row>
    <row r="3475" spans="3:10" x14ac:dyDescent="0.2">
      <c r="C3475" s="209"/>
      <c r="D3475" s="209"/>
      <c r="E3475" s="209"/>
      <c r="J3475" s="124"/>
    </row>
    <row r="3476" spans="3:10" x14ac:dyDescent="0.2">
      <c r="C3476" s="209"/>
      <c r="D3476" s="209"/>
      <c r="E3476" s="209"/>
      <c r="J3476" s="124"/>
    </row>
    <row r="3477" spans="3:10" x14ac:dyDescent="0.2">
      <c r="C3477" s="209"/>
      <c r="D3477" s="209"/>
      <c r="E3477" s="209"/>
      <c r="J3477" s="124"/>
    </row>
    <row r="3478" spans="3:10" x14ac:dyDescent="0.2">
      <c r="C3478" s="209"/>
      <c r="D3478" s="209"/>
      <c r="E3478" s="209"/>
      <c r="J3478" s="124"/>
    </row>
    <row r="3479" spans="3:10" x14ac:dyDescent="0.2">
      <c r="C3479" s="209"/>
      <c r="D3479" s="209"/>
      <c r="E3479" s="209"/>
      <c r="J3479" s="124"/>
    </row>
    <row r="3480" spans="3:10" x14ac:dyDescent="0.2">
      <c r="C3480" s="209"/>
      <c r="D3480" s="209"/>
      <c r="E3480" s="209"/>
      <c r="J3480" s="124"/>
    </row>
    <row r="3481" spans="3:10" x14ac:dyDescent="0.2">
      <c r="C3481" s="209"/>
      <c r="D3481" s="209"/>
      <c r="E3481" s="209"/>
      <c r="J3481" s="124"/>
    </row>
    <row r="3482" spans="3:10" x14ac:dyDescent="0.2">
      <c r="C3482" s="209"/>
      <c r="D3482" s="209"/>
      <c r="E3482" s="209"/>
      <c r="J3482" s="124"/>
    </row>
    <row r="3483" spans="3:10" x14ac:dyDescent="0.2">
      <c r="C3483" s="209"/>
      <c r="D3483" s="209"/>
      <c r="E3483" s="209"/>
      <c r="J3483" s="124"/>
    </row>
    <row r="3484" spans="3:10" x14ac:dyDescent="0.2">
      <c r="C3484" s="209"/>
      <c r="D3484" s="209"/>
      <c r="E3484" s="209"/>
      <c r="J3484" s="124"/>
    </row>
    <row r="3485" spans="3:10" x14ac:dyDescent="0.2">
      <c r="C3485" s="209"/>
      <c r="D3485" s="209"/>
      <c r="E3485" s="209"/>
      <c r="J3485" s="124"/>
    </row>
    <row r="3486" spans="3:10" x14ac:dyDescent="0.2">
      <c r="C3486" s="209"/>
      <c r="D3486" s="209"/>
      <c r="E3486" s="209"/>
      <c r="J3486" s="124"/>
    </row>
    <row r="3487" spans="3:10" x14ac:dyDescent="0.2">
      <c r="C3487" s="209"/>
      <c r="D3487" s="209"/>
      <c r="E3487" s="209"/>
      <c r="J3487" s="124"/>
    </row>
    <row r="3488" spans="3:10" x14ac:dyDescent="0.2">
      <c r="C3488" s="209"/>
      <c r="D3488" s="209"/>
      <c r="E3488" s="209"/>
      <c r="J3488" s="124"/>
    </row>
    <row r="3489" spans="3:10" x14ac:dyDescent="0.2">
      <c r="C3489" s="209"/>
      <c r="D3489" s="209"/>
      <c r="E3489" s="209"/>
      <c r="J3489" s="124"/>
    </row>
    <row r="3490" spans="3:10" x14ac:dyDescent="0.2">
      <c r="C3490" s="209"/>
      <c r="D3490" s="209"/>
      <c r="E3490" s="209"/>
      <c r="J3490" s="124"/>
    </row>
    <row r="3491" spans="3:10" x14ac:dyDescent="0.2">
      <c r="C3491" s="209"/>
      <c r="D3491" s="209"/>
      <c r="E3491" s="209"/>
      <c r="J3491" s="124"/>
    </row>
    <row r="3492" spans="3:10" x14ac:dyDescent="0.2">
      <c r="C3492" s="209"/>
      <c r="D3492" s="209"/>
      <c r="E3492" s="209"/>
      <c r="J3492" s="124"/>
    </row>
    <row r="3493" spans="3:10" x14ac:dyDescent="0.2">
      <c r="C3493" s="209"/>
      <c r="D3493" s="209"/>
      <c r="E3493" s="209"/>
      <c r="J3493" s="124"/>
    </row>
    <row r="3494" spans="3:10" x14ac:dyDescent="0.2">
      <c r="C3494" s="209"/>
      <c r="D3494" s="209"/>
      <c r="E3494" s="209"/>
      <c r="J3494" s="124"/>
    </row>
    <row r="3495" spans="3:10" x14ac:dyDescent="0.2">
      <c r="C3495" s="209"/>
      <c r="D3495" s="209"/>
      <c r="E3495" s="209"/>
      <c r="J3495" s="124"/>
    </row>
    <row r="3496" spans="3:10" x14ac:dyDescent="0.2">
      <c r="C3496" s="209"/>
      <c r="D3496" s="209"/>
      <c r="E3496" s="209"/>
      <c r="J3496" s="124"/>
    </row>
    <row r="3497" spans="3:10" x14ac:dyDescent="0.2">
      <c r="C3497" s="209"/>
      <c r="D3497" s="209"/>
      <c r="E3497" s="209"/>
      <c r="J3497" s="124"/>
    </row>
    <row r="3498" spans="3:10" x14ac:dyDescent="0.2">
      <c r="C3498" s="209"/>
      <c r="D3498" s="209"/>
      <c r="E3498" s="209"/>
      <c r="J3498" s="124"/>
    </row>
    <row r="3499" spans="3:10" x14ac:dyDescent="0.2">
      <c r="C3499" s="209"/>
      <c r="D3499" s="209"/>
      <c r="E3499" s="209"/>
      <c r="J3499" s="124"/>
    </row>
    <row r="3500" spans="3:10" x14ac:dyDescent="0.2">
      <c r="C3500" s="209"/>
      <c r="D3500" s="209"/>
      <c r="E3500" s="209"/>
      <c r="J3500" s="124"/>
    </row>
    <row r="3501" spans="3:10" x14ac:dyDescent="0.2">
      <c r="C3501" s="209"/>
      <c r="D3501" s="209"/>
      <c r="E3501" s="209"/>
      <c r="J3501" s="124"/>
    </row>
    <row r="3502" spans="3:10" x14ac:dyDescent="0.2">
      <c r="C3502" s="209"/>
      <c r="D3502" s="209"/>
      <c r="E3502" s="209"/>
      <c r="J3502" s="124"/>
    </row>
    <row r="3503" spans="3:10" x14ac:dyDescent="0.2">
      <c r="C3503" s="209"/>
      <c r="D3503" s="209"/>
      <c r="E3503" s="209"/>
      <c r="J3503" s="124"/>
    </row>
    <row r="3504" spans="3:10" x14ac:dyDescent="0.2">
      <c r="C3504" s="209"/>
      <c r="D3504" s="209"/>
      <c r="E3504" s="209"/>
      <c r="J3504" s="124"/>
    </row>
    <row r="3505" spans="3:10" x14ac:dyDescent="0.2">
      <c r="C3505" s="209"/>
      <c r="D3505" s="209"/>
      <c r="E3505" s="209"/>
      <c r="J3505" s="124"/>
    </row>
    <row r="3506" spans="3:10" x14ac:dyDescent="0.2">
      <c r="C3506" s="209"/>
      <c r="D3506" s="209"/>
      <c r="E3506" s="209"/>
      <c r="J3506" s="124"/>
    </row>
    <row r="3507" spans="3:10" x14ac:dyDescent="0.2">
      <c r="C3507" s="209"/>
      <c r="D3507" s="209"/>
      <c r="E3507" s="209"/>
      <c r="J3507" s="124"/>
    </row>
    <row r="3508" spans="3:10" x14ac:dyDescent="0.2">
      <c r="C3508" s="209"/>
      <c r="D3508" s="209"/>
      <c r="E3508" s="209"/>
      <c r="J3508" s="124"/>
    </row>
    <row r="3509" spans="3:10" x14ac:dyDescent="0.2">
      <c r="C3509" s="209"/>
      <c r="D3509" s="209"/>
      <c r="E3509" s="209"/>
      <c r="J3509" s="124"/>
    </row>
    <row r="3510" spans="3:10" x14ac:dyDescent="0.2">
      <c r="C3510" s="209"/>
      <c r="D3510" s="209"/>
      <c r="E3510" s="209"/>
      <c r="J3510" s="124"/>
    </row>
    <row r="3511" spans="3:10" x14ac:dyDescent="0.2">
      <c r="C3511" s="209"/>
      <c r="D3511" s="209"/>
      <c r="E3511" s="209"/>
      <c r="J3511" s="124"/>
    </row>
    <row r="3512" spans="3:10" x14ac:dyDescent="0.2">
      <c r="C3512" s="209"/>
      <c r="D3512" s="209"/>
      <c r="E3512" s="209"/>
      <c r="J3512" s="124"/>
    </row>
    <row r="3513" spans="3:10" x14ac:dyDescent="0.2">
      <c r="C3513" s="209"/>
      <c r="D3513" s="209"/>
      <c r="E3513" s="209"/>
      <c r="J3513" s="124"/>
    </row>
    <row r="3514" spans="3:10" x14ac:dyDescent="0.2">
      <c r="C3514" s="209"/>
      <c r="D3514" s="209"/>
      <c r="E3514" s="209"/>
      <c r="J3514" s="124"/>
    </row>
    <row r="3515" spans="3:10" x14ac:dyDescent="0.2">
      <c r="C3515" s="209"/>
      <c r="D3515" s="209"/>
      <c r="E3515" s="209"/>
      <c r="J3515" s="124"/>
    </row>
    <row r="3516" spans="3:10" x14ac:dyDescent="0.2">
      <c r="C3516" s="209"/>
      <c r="D3516" s="209"/>
      <c r="E3516" s="209"/>
      <c r="J3516" s="124"/>
    </row>
    <row r="3517" spans="3:10" x14ac:dyDescent="0.2">
      <c r="C3517" s="209"/>
      <c r="D3517" s="209"/>
      <c r="E3517" s="209"/>
      <c r="J3517" s="124"/>
    </row>
    <row r="3518" spans="3:10" x14ac:dyDescent="0.2">
      <c r="C3518" s="209"/>
      <c r="D3518" s="209"/>
      <c r="E3518" s="209"/>
      <c r="J3518" s="124"/>
    </row>
    <row r="3519" spans="3:10" x14ac:dyDescent="0.2">
      <c r="C3519" s="209"/>
      <c r="D3519" s="209"/>
      <c r="E3519" s="209"/>
      <c r="J3519" s="124"/>
    </row>
    <row r="3520" spans="3:10" x14ac:dyDescent="0.2">
      <c r="C3520" s="209"/>
      <c r="D3520" s="209"/>
      <c r="E3520" s="209"/>
      <c r="J3520" s="124"/>
    </row>
    <row r="3521" spans="3:10" x14ac:dyDescent="0.2">
      <c r="C3521" s="209"/>
      <c r="D3521" s="209"/>
      <c r="E3521" s="209"/>
      <c r="J3521" s="124"/>
    </row>
    <row r="3522" spans="3:10" x14ac:dyDescent="0.2">
      <c r="C3522" s="209"/>
      <c r="D3522" s="209"/>
      <c r="E3522" s="209"/>
      <c r="J3522" s="124"/>
    </row>
    <row r="3523" spans="3:10" x14ac:dyDescent="0.2">
      <c r="C3523" s="209"/>
      <c r="D3523" s="209"/>
      <c r="E3523" s="209"/>
      <c r="J3523" s="124"/>
    </row>
    <row r="3524" spans="3:10" x14ac:dyDescent="0.2">
      <c r="C3524" s="209"/>
      <c r="D3524" s="209"/>
      <c r="E3524" s="209"/>
      <c r="J3524" s="124"/>
    </row>
    <row r="3525" spans="3:10" x14ac:dyDescent="0.2">
      <c r="C3525" s="209"/>
      <c r="D3525" s="209"/>
      <c r="E3525" s="209"/>
      <c r="J3525" s="124"/>
    </row>
    <row r="3526" spans="3:10" x14ac:dyDescent="0.2">
      <c r="C3526" s="209"/>
      <c r="D3526" s="209"/>
      <c r="E3526" s="209"/>
      <c r="J3526" s="124"/>
    </row>
    <row r="3527" spans="3:10" x14ac:dyDescent="0.2">
      <c r="C3527" s="209"/>
      <c r="D3527" s="209"/>
      <c r="E3527" s="209"/>
      <c r="J3527" s="124"/>
    </row>
    <row r="3528" spans="3:10" x14ac:dyDescent="0.2">
      <c r="C3528" s="209"/>
      <c r="D3528" s="209"/>
      <c r="E3528" s="209"/>
      <c r="J3528" s="124"/>
    </row>
    <row r="3529" spans="3:10" x14ac:dyDescent="0.2">
      <c r="C3529" s="209"/>
      <c r="D3529" s="209"/>
      <c r="E3529" s="209"/>
      <c r="J3529" s="124"/>
    </row>
    <row r="3530" spans="3:10" x14ac:dyDescent="0.2">
      <c r="C3530" s="209"/>
      <c r="D3530" s="209"/>
      <c r="E3530" s="209"/>
      <c r="J3530" s="124"/>
    </row>
    <row r="3531" spans="3:10" x14ac:dyDescent="0.2">
      <c r="C3531" s="209"/>
      <c r="D3531" s="209"/>
      <c r="E3531" s="209"/>
      <c r="J3531" s="124"/>
    </row>
    <row r="3532" spans="3:10" x14ac:dyDescent="0.2">
      <c r="C3532" s="209"/>
      <c r="D3532" s="209"/>
      <c r="E3532" s="209"/>
      <c r="J3532" s="124"/>
    </row>
    <row r="3533" spans="3:10" x14ac:dyDescent="0.2">
      <c r="C3533" s="209"/>
      <c r="D3533" s="209"/>
      <c r="E3533" s="209"/>
      <c r="J3533" s="124"/>
    </row>
    <row r="3534" spans="3:10" x14ac:dyDescent="0.2">
      <c r="C3534" s="209"/>
      <c r="D3534" s="209"/>
      <c r="E3534" s="209"/>
      <c r="J3534" s="124"/>
    </row>
    <row r="3535" spans="3:10" x14ac:dyDescent="0.2">
      <c r="C3535" s="209"/>
      <c r="D3535" s="209"/>
      <c r="E3535" s="209"/>
      <c r="J3535" s="124"/>
    </row>
    <row r="3536" spans="3:10" x14ac:dyDescent="0.2">
      <c r="C3536" s="209"/>
      <c r="D3536" s="209"/>
      <c r="E3536" s="209"/>
      <c r="J3536" s="124"/>
    </row>
    <row r="3537" spans="3:10" x14ac:dyDescent="0.2">
      <c r="C3537" s="209"/>
      <c r="D3537" s="209"/>
      <c r="E3537" s="209"/>
      <c r="J3537" s="124"/>
    </row>
    <row r="3538" spans="3:10" x14ac:dyDescent="0.2">
      <c r="C3538" s="209"/>
      <c r="D3538" s="209"/>
      <c r="E3538" s="209"/>
      <c r="J3538" s="124"/>
    </row>
    <row r="3539" spans="3:10" x14ac:dyDescent="0.2">
      <c r="C3539" s="209"/>
      <c r="D3539" s="209"/>
      <c r="E3539" s="209"/>
      <c r="J3539" s="124"/>
    </row>
    <row r="3540" spans="3:10" x14ac:dyDescent="0.2">
      <c r="C3540" s="209"/>
      <c r="D3540" s="209"/>
      <c r="E3540" s="209"/>
      <c r="J3540" s="124"/>
    </row>
    <row r="3541" spans="3:10" x14ac:dyDescent="0.2">
      <c r="C3541" s="209"/>
      <c r="D3541" s="209"/>
      <c r="E3541" s="209"/>
      <c r="J3541" s="124"/>
    </row>
    <row r="3542" spans="3:10" x14ac:dyDescent="0.2">
      <c r="C3542" s="209"/>
      <c r="D3542" s="209"/>
      <c r="E3542" s="209"/>
      <c r="J3542" s="124"/>
    </row>
    <row r="3543" spans="3:10" x14ac:dyDescent="0.2">
      <c r="C3543" s="209"/>
      <c r="D3543" s="209"/>
      <c r="E3543" s="209"/>
      <c r="J3543" s="124"/>
    </row>
    <row r="3544" spans="3:10" x14ac:dyDescent="0.2">
      <c r="C3544" s="209"/>
      <c r="D3544" s="209"/>
      <c r="E3544" s="209"/>
      <c r="J3544" s="124"/>
    </row>
    <row r="3545" spans="3:10" x14ac:dyDescent="0.2">
      <c r="C3545" s="209"/>
      <c r="D3545" s="209"/>
      <c r="E3545" s="209"/>
      <c r="J3545" s="124"/>
    </row>
    <row r="3546" spans="3:10" x14ac:dyDescent="0.2">
      <c r="C3546" s="209"/>
      <c r="D3546" s="209"/>
      <c r="E3546" s="209"/>
      <c r="J3546" s="124"/>
    </row>
    <row r="3547" spans="3:10" x14ac:dyDescent="0.2">
      <c r="C3547" s="209"/>
      <c r="D3547" s="209"/>
      <c r="E3547" s="209"/>
      <c r="J3547" s="124"/>
    </row>
    <row r="3548" spans="3:10" x14ac:dyDescent="0.2">
      <c r="C3548" s="209"/>
      <c r="D3548" s="209"/>
      <c r="E3548" s="209"/>
      <c r="J3548" s="124"/>
    </row>
    <row r="3549" spans="3:10" x14ac:dyDescent="0.2">
      <c r="C3549" s="209"/>
      <c r="D3549" s="209"/>
      <c r="E3549" s="209"/>
      <c r="J3549" s="124"/>
    </row>
    <row r="3550" spans="3:10" x14ac:dyDescent="0.2">
      <c r="C3550" s="209"/>
      <c r="D3550" s="209"/>
      <c r="E3550" s="209"/>
      <c r="J3550" s="124"/>
    </row>
    <row r="3551" spans="3:10" x14ac:dyDescent="0.2">
      <c r="C3551" s="209"/>
      <c r="D3551" s="209"/>
      <c r="E3551" s="209"/>
      <c r="J3551" s="124"/>
    </row>
    <row r="3552" spans="3:10" x14ac:dyDescent="0.2">
      <c r="C3552" s="209"/>
      <c r="D3552" s="209"/>
      <c r="E3552" s="209"/>
      <c r="J3552" s="124"/>
    </row>
    <row r="3553" spans="3:10" x14ac:dyDescent="0.2">
      <c r="C3553" s="209"/>
      <c r="D3553" s="209"/>
      <c r="E3553" s="209"/>
      <c r="J3553" s="124"/>
    </row>
    <row r="3554" spans="3:10" x14ac:dyDescent="0.2">
      <c r="C3554" s="209"/>
      <c r="D3554" s="209"/>
      <c r="E3554" s="209"/>
      <c r="J3554" s="124"/>
    </row>
    <row r="3555" spans="3:10" x14ac:dyDescent="0.2">
      <c r="C3555" s="209"/>
      <c r="D3555" s="209"/>
      <c r="E3555" s="209"/>
      <c r="J3555" s="124"/>
    </row>
    <row r="3556" spans="3:10" x14ac:dyDescent="0.2">
      <c r="C3556" s="209"/>
      <c r="D3556" s="209"/>
      <c r="E3556" s="209"/>
      <c r="J3556" s="124"/>
    </row>
    <row r="3557" spans="3:10" x14ac:dyDescent="0.2">
      <c r="C3557" s="209"/>
      <c r="D3557" s="209"/>
      <c r="E3557" s="209"/>
      <c r="J3557" s="124"/>
    </row>
    <row r="3558" spans="3:10" x14ac:dyDescent="0.2">
      <c r="C3558" s="209"/>
      <c r="D3558" s="209"/>
      <c r="E3558" s="209"/>
      <c r="J3558" s="124"/>
    </row>
    <row r="3559" spans="3:10" x14ac:dyDescent="0.2">
      <c r="C3559" s="209"/>
      <c r="D3559" s="209"/>
      <c r="E3559" s="209"/>
      <c r="J3559" s="124"/>
    </row>
    <row r="3560" spans="3:10" x14ac:dyDescent="0.2">
      <c r="C3560" s="209"/>
      <c r="D3560" s="209"/>
      <c r="E3560" s="209"/>
      <c r="J3560" s="124"/>
    </row>
    <row r="3561" spans="3:10" x14ac:dyDescent="0.2">
      <c r="C3561" s="209"/>
      <c r="D3561" s="209"/>
      <c r="E3561" s="209"/>
      <c r="J3561" s="124"/>
    </row>
    <row r="3562" spans="3:10" x14ac:dyDescent="0.2">
      <c r="C3562" s="209"/>
      <c r="D3562" s="209"/>
      <c r="E3562" s="209"/>
      <c r="J3562" s="124"/>
    </row>
    <row r="3563" spans="3:10" x14ac:dyDescent="0.2">
      <c r="C3563" s="209"/>
      <c r="D3563" s="209"/>
      <c r="E3563" s="209"/>
      <c r="J3563" s="124"/>
    </row>
    <row r="3564" spans="3:10" x14ac:dyDescent="0.2">
      <c r="C3564" s="209"/>
      <c r="D3564" s="209"/>
      <c r="E3564" s="209"/>
      <c r="J3564" s="124"/>
    </row>
    <row r="3565" spans="3:10" x14ac:dyDescent="0.2">
      <c r="C3565" s="209"/>
      <c r="D3565" s="209"/>
      <c r="E3565" s="209"/>
      <c r="J3565" s="124"/>
    </row>
    <row r="3566" spans="3:10" x14ac:dyDescent="0.2">
      <c r="C3566" s="209"/>
      <c r="D3566" s="209"/>
      <c r="E3566" s="209"/>
      <c r="J3566" s="124"/>
    </row>
    <row r="3567" spans="3:10" x14ac:dyDescent="0.2">
      <c r="C3567" s="209"/>
      <c r="D3567" s="209"/>
      <c r="E3567" s="209"/>
      <c r="J3567" s="124"/>
    </row>
    <row r="3568" spans="3:10" x14ac:dyDescent="0.2">
      <c r="C3568" s="209"/>
      <c r="D3568" s="209"/>
      <c r="E3568" s="209"/>
      <c r="J3568" s="124"/>
    </row>
    <row r="3569" spans="3:10" x14ac:dyDescent="0.2">
      <c r="C3569" s="209"/>
      <c r="D3569" s="209"/>
      <c r="E3569" s="209"/>
      <c r="J3569" s="124"/>
    </row>
    <row r="3570" spans="3:10" x14ac:dyDescent="0.2">
      <c r="C3570" s="209"/>
      <c r="D3570" s="209"/>
      <c r="E3570" s="209"/>
      <c r="J3570" s="124"/>
    </row>
    <row r="3571" spans="3:10" x14ac:dyDescent="0.2">
      <c r="C3571" s="209"/>
      <c r="D3571" s="209"/>
      <c r="E3571" s="209"/>
      <c r="J3571" s="124"/>
    </row>
    <row r="3572" spans="3:10" x14ac:dyDescent="0.2">
      <c r="C3572" s="209"/>
      <c r="D3572" s="209"/>
      <c r="E3572" s="209"/>
      <c r="J3572" s="124"/>
    </row>
    <row r="3573" spans="3:10" x14ac:dyDescent="0.2">
      <c r="C3573" s="209"/>
      <c r="D3573" s="209"/>
      <c r="E3573" s="209"/>
      <c r="J3573" s="124"/>
    </row>
    <row r="3574" spans="3:10" x14ac:dyDescent="0.2">
      <c r="C3574" s="209"/>
      <c r="D3574" s="209"/>
      <c r="E3574" s="209"/>
      <c r="J3574" s="124"/>
    </row>
    <row r="3575" spans="3:10" x14ac:dyDescent="0.2">
      <c r="C3575" s="209"/>
      <c r="D3575" s="209"/>
      <c r="E3575" s="209"/>
      <c r="J3575" s="124"/>
    </row>
    <row r="3576" spans="3:10" x14ac:dyDescent="0.2">
      <c r="C3576" s="209"/>
      <c r="D3576" s="209"/>
      <c r="E3576" s="209"/>
      <c r="J3576" s="124"/>
    </row>
    <row r="3577" spans="3:10" x14ac:dyDescent="0.2">
      <c r="C3577" s="209"/>
      <c r="D3577" s="209"/>
      <c r="E3577" s="209"/>
      <c r="J3577" s="124"/>
    </row>
    <row r="3578" spans="3:10" x14ac:dyDescent="0.2">
      <c r="C3578" s="209"/>
      <c r="D3578" s="209"/>
      <c r="E3578" s="209"/>
      <c r="J3578" s="124"/>
    </row>
    <row r="3579" spans="3:10" x14ac:dyDescent="0.2">
      <c r="C3579" s="209"/>
      <c r="D3579" s="209"/>
      <c r="E3579" s="209"/>
      <c r="J3579" s="124"/>
    </row>
    <row r="3580" spans="3:10" x14ac:dyDescent="0.2">
      <c r="C3580" s="209"/>
      <c r="D3580" s="209"/>
      <c r="E3580" s="209"/>
      <c r="J3580" s="124"/>
    </row>
    <row r="3581" spans="3:10" x14ac:dyDescent="0.2">
      <c r="C3581" s="209"/>
      <c r="D3581" s="209"/>
      <c r="E3581" s="209"/>
      <c r="J3581" s="124"/>
    </row>
    <row r="3582" spans="3:10" x14ac:dyDescent="0.2">
      <c r="C3582" s="209"/>
      <c r="D3582" s="209"/>
      <c r="E3582" s="209"/>
      <c r="J3582" s="124"/>
    </row>
    <row r="3583" spans="3:10" x14ac:dyDescent="0.2">
      <c r="C3583" s="209"/>
      <c r="D3583" s="209"/>
      <c r="E3583" s="209"/>
      <c r="J3583" s="124"/>
    </row>
    <row r="3584" spans="3:10" x14ac:dyDescent="0.2">
      <c r="C3584" s="209"/>
      <c r="D3584" s="209"/>
      <c r="E3584" s="209"/>
      <c r="J3584" s="124"/>
    </row>
    <row r="3585" spans="3:10" x14ac:dyDescent="0.2">
      <c r="C3585" s="209"/>
      <c r="D3585" s="209"/>
      <c r="E3585" s="209"/>
      <c r="J3585" s="124"/>
    </row>
    <row r="3586" spans="3:10" x14ac:dyDescent="0.2">
      <c r="C3586" s="209"/>
      <c r="D3586" s="209"/>
      <c r="E3586" s="209"/>
      <c r="J3586" s="124"/>
    </row>
    <row r="3587" spans="3:10" x14ac:dyDescent="0.2">
      <c r="C3587" s="209"/>
      <c r="D3587" s="209"/>
      <c r="E3587" s="209"/>
      <c r="J3587" s="124"/>
    </row>
    <row r="3588" spans="3:10" x14ac:dyDescent="0.2">
      <c r="C3588" s="209"/>
      <c r="D3588" s="209"/>
      <c r="E3588" s="209"/>
      <c r="J3588" s="124"/>
    </row>
    <row r="3589" spans="3:10" x14ac:dyDescent="0.2">
      <c r="C3589" s="209"/>
      <c r="D3589" s="209"/>
      <c r="E3589" s="209"/>
      <c r="J3589" s="124"/>
    </row>
    <row r="3590" spans="3:10" x14ac:dyDescent="0.2">
      <c r="C3590" s="209"/>
      <c r="D3590" s="209"/>
      <c r="E3590" s="209"/>
      <c r="J3590" s="124"/>
    </row>
    <row r="3591" spans="3:10" x14ac:dyDescent="0.2">
      <c r="C3591" s="209"/>
      <c r="D3591" s="209"/>
      <c r="E3591" s="209"/>
      <c r="J3591" s="124"/>
    </row>
    <row r="3592" spans="3:10" x14ac:dyDescent="0.2">
      <c r="C3592" s="209"/>
      <c r="D3592" s="209"/>
      <c r="E3592" s="209"/>
      <c r="J3592" s="124"/>
    </row>
    <row r="3593" spans="3:10" x14ac:dyDescent="0.2">
      <c r="C3593" s="209"/>
      <c r="D3593" s="209"/>
      <c r="E3593" s="209"/>
      <c r="J3593" s="124"/>
    </row>
    <row r="3594" spans="3:10" x14ac:dyDescent="0.2">
      <c r="C3594" s="209"/>
      <c r="D3594" s="209"/>
      <c r="E3594" s="209"/>
      <c r="J3594" s="124"/>
    </row>
    <row r="3595" spans="3:10" x14ac:dyDescent="0.2">
      <c r="C3595" s="209"/>
      <c r="D3595" s="209"/>
      <c r="E3595" s="209"/>
      <c r="J3595" s="124"/>
    </row>
    <row r="3596" spans="3:10" x14ac:dyDescent="0.2">
      <c r="C3596" s="209"/>
      <c r="D3596" s="209"/>
      <c r="E3596" s="209"/>
      <c r="J3596" s="124"/>
    </row>
    <row r="3597" spans="3:10" x14ac:dyDescent="0.2">
      <c r="C3597" s="209"/>
      <c r="D3597" s="209"/>
      <c r="E3597" s="209"/>
      <c r="J3597" s="124"/>
    </row>
    <row r="3598" spans="3:10" x14ac:dyDescent="0.2">
      <c r="C3598" s="209"/>
      <c r="D3598" s="209"/>
      <c r="E3598" s="209"/>
      <c r="J3598" s="124"/>
    </row>
    <row r="3599" spans="3:10" x14ac:dyDescent="0.2">
      <c r="C3599" s="209"/>
      <c r="D3599" s="209"/>
      <c r="E3599" s="209"/>
      <c r="J3599" s="124"/>
    </row>
    <row r="3600" spans="3:10" x14ac:dyDescent="0.2">
      <c r="C3600" s="209"/>
      <c r="D3600" s="209"/>
      <c r="E3600" s="209"/>
      <c r="J3600" s="124"/>
    </row>
    <row r="3601" spans="3:10" x14ac:dyDescent="0.2">
      <c r="C3601" s="209"/>
      <c r="D3601" s="209"/>
      <c r="E3601" s="209"/>
      <c r="J3601" s="124"/>
    </row>
    <row r="3602" spans="3:10" x14ac:dyDescent="0.2">
      <c r="C3602" s="209"/>
      <c r="D3602" s="209"/>
      <c r="E3602" s="209"/>
      <c r="J3602" s="124"/>
    </row>
    <row r="3603" spans="3:10" x14ac:dyDescent="0.2">
      <c r="C3603" s="209"/>
      <c r="D3603" s="209"/>
      <c r="E3603" s="209"/>
      <c r="J3603" s="124"/>
    </row>
    <row r="3604" spans="3:10" x14ac:dyDescent="0.2">
      <c r="C3604" s="209"/>
      <c r="D3604" s="209"/>
      <c r="E3604" s="209"/>
      <c r="J3604" s="124"/>
    </row>
    <row r="3605" spans="3:10" x14ac:dyDescent="0.2">
      <c r="C3605" s="209"/>
      <c r="D3605" s="209"/>
      <c r="E3605" s="209"/>
      <c r="J3605" s="124"/>
    </row>
    <row r="3606" spans="3:10" x14ac:dyDescent="0.2">
      <c r="C3606" s="209"/>
      <c r="D3606" s="209"/>
      <c r="E3606" s="209"/>
      <c r="J3606" s="124"/>
    </row>
    <row r="3607" spans="3:10" x14ac:dyDescent="0.2">
      <c r="C3607" s="209"/>
      <c r="D3607" s="209"/>
      <c r="E3607" s="209"/>
      <c r="J3607" s="124"/>
    </row>
    <row r="3608" spans="3:10" x14ac:dyDescent="0.2">
      <c r="C3608" s="209"/>
      <c r="D3608" s="209"/>
      <c r="E3608" s="209"/>
      <c r="J3608" s="124"/>
    </row>
    <row r="3609" spans="3:10" x14ac:dyDescent="0.2">
      <c r="C3609" s="209"/>
      <c r="D3609" s="209"/>
      <c r="E3609" s="209"/>
      <c r="J3609" s="124"/>
    </row>
    <row r="3610" spans="3:10" x14ac:dyDescent="0.2">
      <c r="C3610" s="209"/>
      <c r="D3610" s="209"/>
      <c r="E3610" s="209"/>
      <c r="J3610" s="124"/>
    </row>
    <row r="3611" spans="3:10" x14ac:dyDescent="0.2">
      <c r="C3611" s="209"/>
      <c r="D3611" s="209"/>
      <c r="E3611" s="209"/>
      <c r="J3611" s="124"/>
    </row>
    <row r="3612" spans="3:10" x14ac:dyDescent="0.2">
      <c r="C3612" s="209"/>
      <c r="D3612" s="209"/>
      <c r="E3612" s="209"/>
      <c r="J3612" s="124"/>
    </row>
    <row r="3613" spans="3:10" x14ac:dyDescent="0.2">
      <c r="C3613" s="209"/>
      <c r="D3613" s="209"/>
      <c r="E3613" s="209"/>
      <c r="J3613" s="124"/>
    </row>
    <row r="3614" spans="3:10" x14ac:dyDescent="0.2">
      <c r="C3614" s="209"/>
      <c r="D3614" s="209"/>
      <c r="E3614" s="209"/>
      <c r="J3614" s="124"/>
    </row>
    <row r="3615" spans="3:10" x14ac:dyDescent="0.2">
      <c r="C3615" s="209"/>
      <c r="D3615" s="209"/>
      <c r="E3615" s="209"/>
      <c r="J3615" s="124"/>
    </row>
    <row r="3616" spans="3:10" x14ac:dyDescent="0.2">
      <c r="C3616" s="209"/>
      <c r="D3616" s="209"/>
      <c r="E3616" s="209"/>
      <c r="J3616" s="124"/>
    </row>
    <row r="3617" spans="3:10" x14ac:dyDescent="0.2">
      <c r="C3617" s="209"/>
      <c r="D3617" s="209"/>
      <c r="E3617" s="209"/>
      <c r="J3617" s="124"/>
    </row>
    <row r="3618" spans="3:10" x14ac:dyDescent="0.2">
      <c r="C3618" s="209"/>
      <c r="D3618" s="209"/>
      <c r="E3618" s="209"/>
      <c r="J3618" s="124"/>
    </row>
    <row r="3619" spans="3:10" x14ac:dyDescent="0.2">
      <c r="C3619" s="209"/>
      <c r="D3619" s="209"/>
      <c r="E3619" s="209"/>
      <c r="J3619" s="124"/>
    </row>
    <row r="3620" spans="3:10" x14ac:dyDescent="0.2">
      <c r="C3620" s="209"/>
      <c r="D3620" s="209"/>
      <c r="E3620" s="209"/>
      <c r="J3620" s="124"/>
    </row>
    <row r="3621" spans="3:10" x14ac:dyDescent="0.2">
      <c r="C3621" s="209"/>
      <c r="D3621" s="209"/>
      <c r="E3621" s="209"/>
      <c r="J3621" s="124"/>
    </row>
    <row r="3622" spans="3:10" x14ac:dyDescent="0.2">
      <c r="C3622" s="209"/>
      <c r="D3622" s="209"/>
      <c r="E3622" s="209"/>
      <c r="J3622" s="124"/>
    </row>
    <row r="3623" spans="3:10" x14ac:dyDescent="0.2">
      <c r="C3623" s="209"/>
      <c r="D3623" s="209"/>
      <c r="E3623" s="209"/>
      <c r="J3623" s="124"/>
    </row>
    <row r="3624" spans="3:10" x14ac:dyDescent="0.2">
      <c r="C3624" s="209"/>
      <c r="D3624" s="209"/>
      <c r="E3624" s="209"/>
      <c r="J3624" s="124"/>
    </row>
    <row r="3625" spans="3:10" x14ac:dyDescent="0.2">
      <c r="C3625" s="209"/>
      <c r="D3625" s="209"/>
      <c r="E3625" s="209"/>
      <c r="J3625" s="124"/>
    </row>
    <row r="3626" spans="3:10" x14ac:dyDescent="0.2">
      <c r="C3626" s="209"/>
      <c r="D3626" s="209"/>
      <c r="E3626" s="209"/>
      <c r="J3626" s="124"/>
    </row>
    <row r="3627" spans="3:10" x14ac:dyDescent="0.2">
      <c r="C3627" s="209"/>
      <c r="D3627" s="209"/>
      <c r="E3627" s="209"/>
      <c r="J3627" s="124"/>
    </row>
    <row r="3628" spans="3:10" x14ac:dyDescent="0.2">
      <c r="C3628" s="209"/>
      <c r="D3628" s="209"/>
      <c r="E3628" s="209"/>
      <c r="J3628" s="124"/>
    </row>
    <row r="3629" spans="3:10" x14ac:dyDescent="0.2">
      <c r="C3629" s="209"/>
      <c r="D3629" s="209"/>
      <c r="E3629" s="209"/>
      <c r="J3629" s="124"/>
    </row>
    <row r="3630" spans="3:10" x14ac:dyDescent="0.2">
      <c r="C3630" s="209"/>
      <c r="D3630" s="209"/>
      <c r="E3630" s="209"/>
      <c r="J3630" s="124"/>
    </row>
    <row r="3631" spans="3:10" x14ac:dyDescent="0.2">
      <c r="C3631" s="209"/>
      <c r="D3631" s="209"/>
      <c r="E3631" s="209"/>
      <c r="J3631" s="124"/>
    </row>
    <row r="3632" spans="3:10" x14ac:dyDescent="0.2">
      <c r="C3632" s="209"/>
      <c r="D3632" s="209"/>
      <c r="E3632" s="209"/>
      <c r="J3632" s="124"/>
    </row>
    <row r="3633" spans="3:10" x14ac:dyDescent="0.2">
      <c r="C3633" s="209"/>
      <c r="D3633" s="209"/>
      <c r="E3633" s="209"/>
      <c r="J3633" s="124"/>
    </row>
    <row r="3634" spans="3:10" x14ac:dyDescent="0.2">
      <c r="C3634" s="209"/>
      <c r="D3634" s="209"/>
      <c r="E3634" s="209"/>
      <c r="J3634" s="124"/>
    </row>
    <row r="3635" spans="3:10" x14ac:dyDescent="0.2">
      <c r="C3635" s="209"/>
      <c r="D3635" s="209"/>
      <c r="E3635" s="209"/>
      <c r="J3635" s="124"/>
    </row>
    <row r="3636" spans="3:10" x14ac:dyDescent="0.2">
      <c r="C3636" s="209"/>
      <c r="D3636" s="209"/>
      <c r="E3636" s="209"/>
      <c r="J3636" s="124"/>
    </row>
    <row r="3637" spans="3:10" x14ac:dyDescent="0.2">
      <c r="C3637" s="209"/>
      <c r="D3637" s="209"/>
      <c r="E3637" s="209"/>
      <c r="J3637" s="124"/>
    </row>
    <row r="3638" spans="3:10" x14ac:dyDescent="0.2">
      <c r="C3638" s="209"/>
      <c r="D3638" s="209"/>
      <c r="E3638" s="209"/>
      <c r="J3638" s="124"/>
    </row>
    <row r="3639" spans="3:10" x14ac:dyDescent="0.2">
      <c r="C3639" s="209"/>
      <c r="D3639" s="209"/>
      <c r="E3639" s="209"/>
      <c r="J3639" s="124"/>
    </row>
    <row r="3640" spans="3:10" x14ac:dyDescent="0.2">
      <c r="C3640" s="209"/>
      <c r="D3640" s="209"/>
      <c r="E3640" s="209"/>
      <c r="J3640" s="124"/>
    </row>
    <row r="3641" spans="3:10" x14ac:dyDescent="0.2">
      <c r="C3641" s="209"/>
      <c r="D3641" s="209"/>
      <c r="E3641" s="209"/>
      <c r="J3641" s="124"/>
    </row>
    <row r="3642" spans="3:10" x14ac:dyDescent="0.2">
      <c r="C3642" s="209"/>
      <c r="D3642" s="209"/>
      <c r="E3642" s="209"/>
      <c r="J3642" s="124"/>
    </row>
    <row r="3643" spans="3:10" x14ac:dyDescent="0.2">
      <c r="C3643" s="209"/>
      <c r="D3643" s="209"/>
      <c r="E3643" s="209"/>
      <c r="J3643" s="124"/>
    </row>
    <row r="3644" spans="3:10" x14ac:dyDescent="0.2">
      <c r="C3644" s="209"/>
      <c r="D3644" s="209"/>
      <c r="E3644" s="209"/>
      <c r="J3644" s="124"/>
    </row>
    <row r="3645" spans="3:10" x14ac:dyDescent="0.2">
      <c r="C3645" s="209"/>
      <c r="D3645" s="209"/>
      <c r="E3645" s="209"/>
      <c r="J3645" s="124"/>
    </row>
    <row r="3646" spans="3:10" x14ac:dyDescent="0.2">
      <c r="C3646" s="209"/>
      <c r="D3646" s="209"/>
      <c r="E3646" s="209"/>
      <c r="J3646" s="124"/>
    </row>
    <row r="3647" spans="3:10" x14ac:dyDescent="0.2">
      <c r="C3647" s="209"/>
      <c r="D3647" s="209"/>
      <c r="E3647" s="209"/>
      <c r="J3647" s="124"/>
    </row>
    <row r="3648" spans="3:10" x14ac:dyDescent="0.2">
      <c r="C3648" s="209"/>
      <c r="D3648" s="209"/>
      <c r="E3648" s="209"/>
      <c r="J3648" s="124"/>
    </row>
    <row r="3649" spans="3:10" x14ac:dyDescent="0.2">
      <c r="C3649" s="209"/>
      <c r="D3649" s="209"/>
      <c r="E3649" s="209"/>
      <c r="J3649" s="124"/>
    </row>
    <row r="3650" spans="3:10" x14ac:dyDescent="0.2">
      <c r="C3650" s="209"/>
      <c r="D3650" s="209"/>
      <c r="E3650" s="209"/>
      <c r="J3650" s="124"/>
    </row>
    <row r="3651" spans="3:10" x14ac:dyDescent="0.2">
      <c r="C3651" s="209"/>
      <c r="D3651" s="209"/>
      <c r="E3651" s="209"/>
      <c r="J3651" s="124"/>
    </row>
    <row r="3652" spans="3:10" x14ac:dyDescent="0.2">
      <c r="C3652" s="209"/>
      <c r="D3652" s="209"/>
      <c r="E3652" s="209"/>
      <c r="J3652" s="124"/>
    </row>
    <row r="3653" spans="3:10" x14ac:dyDescent="0.2">
      <c r="C3653" s="209"/>
      <c r="D3653" s="209"/>
      <c r="E3653" s="209"/>
      <c r="J3653" s="124"/>
    </row>
    <row r="3654" spans="3:10" x14ac:dyDescent="0.2">
      <c r="C3654" s="209"/>
      <c r="D3654" s="209"/>
      <c r="E3654" s="209"/>
      <c r="J3654" s="124"/>
    </row>
    <row r="3655" spans="3:10" x14ac:dyDescent="0.2">
      <c r="C3655" s="209"/>
      <c r="D3655" s="209"/>
      <c r="E3655" s="209"/>
      <c r="J3655" s="124"/>
    </row>
    <row r="3656" spans="3:10" x14ac:dyDescent="0.2">
      <c r="C3656" s="209"/>
      <c r="D3656" s="209"/>
      <c r="E3656" s="209"/>
      <c r="J3656" s="124"/>
    </row>
    <row r="3657" spans="3:10" x14ac:dyDescent="0.2">
      <c r="C3657" s="209"/>
      <c r="D3657" s="209"/>
      <c r="E3657" s="209"/>
      <c r="J3657" s="124"/>
    </row>
    <row r="3658" spans="3:10" x14ac:dyDescent="0.2">
      <c r="C3658" s="209"/>
      <c r="D3658" s="209"/>
      <c r="E3658" s="209"/>
      <c r="J3658" s="124"/>
    </row>
    <row r="3659" spans="3:10" x14ac:dyDescent="0.2">
      <c r="C3659" s="209"/>
      <c r="D3659" s="209"/>
      <c r="E3659" s="209"/>
      <c r="J3659" s="124"/>
    </row>
    <row r="3660" spans="3:10" x14ac:dyDescent="0.2">
      <c r="C3660" s="209"/>
      <c r="D3660" s="209"/>
      <c r="E3660" s="209"/>
      <c r="J3660" s="124"/>
    </row>
    <row r="3661" spans="3:10" x14ac:dyDescent="0.2">
      <c r="C3661" s="209"/>
      <c r="D3661" s="209"/>
      <c r="E3661" s="209"/>
      <c r="J3661" s="124"/>
    </row>
    <row r="3662" spans="3:10" x14ac:dyDescent="0.2">
      <c r="C3662" s="209"/>
      <c r="D3662" s="209"/>
      <c r="E3662" s="209"/>
      <c r="J3662" s="124"/>
    </row>
    <row r="3663" spans="3:10" x14ac:dyDescent="0.2">
      <c r="C3663" s="209"/>
      <c r="D3663" s="209"/>
      <c r="E3663" s="209"/>
      <c r="J3663" s="124"/>
    </row>
    <row r="3664" spans="3:10" x14ac:dyDescent="0.2">
      <c r="C3664" s="209"/>
      <c r="D3664" s="209"/>
      <c r="E3664" s="209"/>
      <c r="J3664" s="124"/>
    </row>
    <row r="3665" spans="3:10" x14ac:dyDescent="0.2">
      <c r="C3665" s="209"/>
      <c r="D3665" s="209"/>
      <c r="E3665" s="209"/>
      <c r="J3665" s="124"/>
    </row>
    <row r="3666" spans="3:10" x14ac:dyDescent="0.2">
      <c r="C3666" s="209"/>
      <c r="D3666" s="209"/>
      <c r="E3666" s="209"/>
      <c r="J3666" s="124"/>
    </row>
    <row r="3667" spans="3:10" x14ac:dyDescent="0.2">
      <c r="C3667" s="209"/>
      <c r="D3667" s="209"/>
      <c r="E3667" s="209"/>
      <c r="J3667" s="124"/>
    </row>
    <row r="3668" spans="3:10" x14ac:dyDescent="0.2">
      <c r="C3668" s="209"/>
      <c r="D3668" s="209"/>
      <c r="E3668" s="209"/>
      <c r="J3668" s="124"/>
    </row>
    <row r="3669" spans="3:10" x14ac:dyDescent="0.2">
      <c r="C3669" s="209"/>
      <c r="D3669" s="209"/>
      <c r="E3669" s="209"/>
      <c r="J3669" s="124"/>
    </row>
    <row r="3670" spans="3:10" x14ac:dyDescent="0.2">
      <c r="C3670" s="209"/>
      <c r="D3670" s="209"/>
      <c r="E3670" s="209"/>
      <c r="J3670" s="124"/>
    </row>
    <row r="3671" spans="3:10" x14ac:dyDescent="0.2">
      <c r="C3671" s="209"/>
      <c r="D3671" s="209"/>
      <c r="E3671" s="209"/>
      <c r="J3671" s="124"/>
    </row>
    <row r="3672" spans="3:10" x14ac:dyDescent="0.2">
      <c r="C3672" s="209"/>
      <c r="D3672" s="209"/>
      <c r="E3672" s="209"/>
      <c r="J3672" s="124"/>
    </row>
    <row r="3673" spans="3:10" x14ac:dyDescent="0.2">
      <c r="C3673" s="209"/>
      <c r="D3673" s="209"/>
      <c r="E3673" s="209"/>
      <c r="J3673" s="124"/>
    </row>
    <row r="3674" spans="3:10" x14ac:dyDescent="0.2">
      <c r="C3674" s="209"/>
      <c r="D3674" s="209"/>
      <c r="E3674" s="209"/>
      <c r="J3674" s="124"/>
    </row>
    <row r="3675" spans="3:10" x14ac:dyDescent="0.2">
      <c r="C3675" s="209"/>
      <c r="D3675" s="209"/>
      <c r="E3675" s="209"/>
      <c r="J3675" s="124"/>
    </row>
    <row r="3676" spans="3:10" x14ac:dyDescent="0.2">
      <c r="C3676" s="209"/>
      <c r="D3676" s="209"/>
      <c r="E3676" s="209"/>
      <c r="J3676" s="124"/>
    </row>
    <row r="3677" spans="3:10" x14ac:dyDescent="0.2">
      <c r="C3677" s="209"/>
      <c r="D3677" s="209"/>
      <c r="E3677" s="209"/>
      <c r="J3677" s="124"/>
    </row>
    <row r="3678" spans="3:10" x14ac:dyDescent="0.2">
      <c r="C3678" s="209"/>
      <c r="D3678" s="209"/>
      <c r="E3678" s="209"/>
      <c r="J3678" s="124"/>
    </row>
    <row r="3679" spans="3:10" x14ac:dyDescent="0.2">
      <c r="C3679" s="209"/>
      <c r="D3679" s="209"/>
      <c r="E3679" s="209"/>
      <c r="J3679" s="124"/>
    </row>
    <row r="3680" spans="3:10" x14ac:dyDescent="0.2">
      <c r="C3680" s="209"/>
      <c r="D3680" s="209"/>
      <c r="E3680" s="209"/>
      <c r="J3680" s="124"/>
    </row>
    <row r="3681" spans="3:10" x14ac:dyDescent="0.2">
      <c r="C3681" s="209"/>
      <c r="D3681" s="209"/>
      <c r="E3681" s="209"/>
      <c r="J3681" s="124"/>
    </row>
    <row r="3682" spans="3:10" x14ac:dyDescent="0.2">
      <c r="C3682" s="209"/>
      <c r="D3682" s="209"/>
      <c r="E3682" s="209"/>
      <c r="J3682" s="124"/>
    </row>
    <row r="3683" spans="3:10" x14ac:dyDescent="0.2">
      <c r="C3683" s="209"/>
      <c r="D3683" s="209"/>
      <c r="E3683" s="209"/>
      <c r="J3683" s="124"/>
    </row>
    <row r="3684" spans="3:10" x14ac:dyDescent="0.2">
      <c r="C3684" s="209"/>
      <c r="D3684" s="209"/>
      <c r="E3684" s="209"/>
      <c r="J3684" s="124"/>
    </row>
    <row r="3685" spans="3:10" x14ac:dyDescent="0.2">
      <c r="C3685" s="209"/>
      <c r="D3685" s="209"/>
      <c r="E3685" s="209"/>
      <c r="J3685" s="124"/>
    </row>
    <row r="3686" spans="3:10" x14ac:dyDescent="0.2">
      <c r="C3686" s="209"/>
      <c r="D3686" s="209"/>
      <c r="E3686" s="209"/>
      <c r="J3686" s="124"/>
    </row>
    <row r="3687" spans="3:10" x14ac:dyDescent="0.2">
      <c r="C3687" s="209"/>
      <c r="D3687" s="209"/>
      <c r="E3687" s="209"/>
      <c r="J3687" s="124"/>
    </row>
    <row r="3688" spans="3:10" x14ac:dyDescent="0.2">
      <c r="C3688" s="209"/>
      <c r="D3688" s="209"/>
      <c r="E3688" s="209"/>
      <c r="J3688" s="124"/>
    </row>
    <row r="3689" spans="3:10" x14ac:dyDescent="0.2">
      <c r="C3689" s="209"/>
      <c r="D3689" s="209"/>
      <c r="E3689" s="209"/>
      <c r="J3689" s="124"/>
    </row>
    <row r="3690" spans="3:10" x14ac:dyDescent="0.2">
      <c r="C3690" s="209"/>
      <c r="D3690" s="209"/>
      <c r="E3690" s="209"/>
      <c r="J3690" s="124"/>
    </row>
    <row r="3691" spans="3:10" x14ac:dyDescent="0.2">
      <c r="C3691" s="209"/>
      <c r="D3691" s="209"/>
      <c r="E3691" s="209"/>
      <c r="J3691" s="124"/>
    </row>
    <row r="3692" spans="3:10" x14ac:dyDescent="0.2">
      <c r="C3692" s="209"/>
      <c r="D3692" s="209"/>
      <c r="E3692" s="209"/>
      <c r="J3692" s="124"/>
    </row>
    <row r="3693" spans="3:10" x14ac:dyDescent="0.2">
      <c r="C3693" s="209"/>
      <c r="D3693" s="209"/>
      <c r="E3693" s="209"/>
      <c r="J3693" s="124"/>
    </row>
    <row r="3694" spans="3:10" x14ac:dyDescent="0.2">
      <c r="C3694" s="209"/>
      <c r="D3694" s="209"/>
      <c r="E3694" s="209"/>
      <c r="J3694" s="124"/>
    </row>
    <row r="3695" spans="3:10" x14ac:dyDescent="0.2">
      <c r="C3695" s="209"/>
      <c r="D3695" s="209"/>
      <c r="E3695" s="209"/>
      <c r="J3695" s="124"/>
    </row>
    <row r="3696" spans="3:10" x14ac:dyDescent="0.2">
      <c r="C3696" s="209"/>
      <c r="D3696" s="209"/>
      <c r="E3696" s="209"/>
      <c r="J3696" s="124"/>
    </row>
    <row r="3697" spans="3:10" x14ac:dyDescent="0.2">
      <c r="C3697" s="209"/>
      <c r="D3697" s="209"/>
      <c r="E3697" s="209"/>
      <c r="J3697" s="124"/>
    </row>
    <row r="3698" spans="3:10" x14ac:dyDescent="0.2">
      <c r="C3698" s="209"/>
      <c r="D3698" s="209"/>
      <c r="E3698" s="209"/>
      <c r="J3698" s="124"/>
    </row>
    <row r="3699" spans="3:10" x14ac:dyDescent="0.2">
      <c r="C3699" s="209"/>
      <c r="D3699" s="209"/>
      <c r="E3699" s="209"/>
      <c r="J3699" s="124"/>
    </row>
    <row r="3700" spans="3:10" x14ac:dyDescent="0.2">
      <c r="C3700" s="209"/>
      <c r="D3700" s="209"/>
      <c r="E3700" s="209"/>
      <c r="J3700" s="124"/>
    </row>
    <row r="3701" spans="3:10" x14ac:dyDescent="0.2">
      <c r="C3701" s="209"/>
      <c r="D3701" s="209"/>
      <c r="E3701" s="209"/>
      <c r="J3701" s="124"/>
    </row>
    <row r="3702" spans="3:10" x14ac:dyDescent="0.2">
      <c r="C3702" s="209"/>
      <c r="D3702" s="209"/>
      <c r="E3702" s="209"/>
      <c r="J3702" s="124"/>
    </row>
    <row r="3703" spans="3:10" x14ac:dyDescent="0.2">
      <c r="C3703" s="209"/>
      <c r="D3703" s="209"/>
      <c r="E3703" s="209"/>
      <c r="J3703" s="124"/>
    </row>
    <row r="3704" spans="3:10" x14ac:dyDescent="0.2">
      <c r="C3704" s="209"/>
      <c r="D3704" s="209"/>
      <c r="E3704" s="209"/>
      <c r="J3704" s="124"/>
    </row>
    <row r="3705" spans="3:10" x14ac:dyDescent="0.2">
      <c r="C3705" s="209"/>
      <c r="D3705" s="209"/>
      <c r="E3705" s="209"/>
      <c r="J3705" s="124"/>
    </row>
    <row r="3706" spans="3:10" x14ac:dyDescent="0.2">
      <c r="C3706" s="209"/>
      <c r="D3706" s="209"/>
      <c r="E3706" s="209"/>
      <c r="J3706" s="124"/>
    </row>
    <row r="3707" spans="3:10" x14ac:dyDescent="0.2">
      <c r="C3707" s="209"/>
      <c r="D3707" s="209"/>
      <c r="E3707" s="209"/>
      <c r="J3707" s="124"/>
    </row>
    <row r="3708" spans="3:10" x14ac:dyDescent="0.2">
      <c r="C3708" s="209"/>
      <c r="D3708" s="209"/>
      <c r="E3708" s="209"/>
      <c r="J3708" s="124"/>
    </row>
    <row r="3709" spans="3:10" x14ac:dyDescent="0.2">
      <c r="C3709" s="209"/>
      <c r="D3709" s="209"/>
      <c r="E3709" s="209"/>
      <c r="J3709" s="124"/>
    </row>
    <row r="3710" spans="3:10" x14ac:dyDescent="0.2">
      <c r="C3710" s="209"/>
      <c r="D3710" s="209"/>
      <c r="E3710" s="209"/>
      <c r="J3710" s="124"/>
    </row>
    <row r="3711" spans="3:10" x14ac:dyDescent="0.2">
      <c r="C3711" s="209"/>
      <c r="D3711" s="209"/>
      <c r="E3711" s="209"/>
      <c r="J3711" s="124"/>
    </row>
    <row r="3712" spans="3:10" x14ac:dyDescent="0.2">
      <c r="C3712" s="209"/>
      <c r="D3712" s="209"/>
      <c r="E3712" s="209"/>
      <c r="J3712" s="124"/>
    </row>
    <row r="3713" spans="3:10" x14ac:dyDescent="0.2">
      <c r="C3713" s="209"/>
      <c r="D3713" s="209"/>
      <c r="E3713" s="209"/>
      <c r="J3713" s="124"/>
    </row>
    <row r="3714" spans="3:10" x14ac:dyDescent="0.2">
      <c r="C3714" s="209"/>
      <c r="D3714" s="209"/>
      <c r="E3714" s="209"/>
      <c r="J3714" s="124"/>
    </row>
    <row r="3715" spans="3:10" x14ac:dyDescent="0.2">
      <c r="C3715" s="209"/>
      <c r="D3715" s="209"/>
      <c r="E3715" s="209"/>
      <c r="J3715" s="124"/>
    </row>
    <row r="3716" spans="3:10" x14ac:dyDescent="0.2">
      <c r="C3716" s="209"/>
      <c r="D3716" s="209"/>
      <c r="E3716" s="209"/>
      <c r="J3716" s="124"/>
    </row>
    <row r="3717" spans="3:10" x14ac:dyDescent="0.2">
      <c r="C3717" s="209"/>
      <c r="D3717" s="209"/>
      <c r="E3717" s="209"/>
      <c r="J3717" s="124"/>
    </row>
    <row r="3718" spans="3:10" x14ac:dyDescent="0.2">
      <c r="C3718" s="209"/>
      <c r="D3718" s="209"/>
      <c r="E3718" s="209"/>
      <c r="J3718" s="124"/>
    </row>
    <row r="3719" spans="3:10" x14ac:dyDescent="0.2">
      <c r="C3719" s="209"/>
      <c r="D3719" s="209"/>
      <c r="E3719" s="209"/>
      <c r="J3719" s="124"/>
    </row>
    <row r="3720" spans="3:10" x14ac:dyDescent="0.2">
      <c r="C3720" s="209"/>
      <c r="D3720" s="209"/>
      <c r="E3720" s="209"/>
      <c r="J3720" s="124"/>
    </row>
    <row r="3721" spans="3:10" x14ac:dyDescent="0.2">
      <c r="C3721" s="209"/>
      <c r="D3721" s="209"/>
      <c r="E3721" s="209"/>
      <c r="J3721" s="124"/>
    </row>
    <row r="3722" spans="3:10" x14ac:dyDescent="0.2">
      <c r="C3722" s="209"/>
      <c r="D3722" s="209"/>
      <c r="E3722" s="209"/>
      <c r="J3722" s="124"/>
    </row>
    <row r="3723" spans="3:10" x14ac:dyDescent="0.2">
      <c r="C3723" s="209"/>
      <c r="D3723" s="209"/>
      <c r="E3723" s="209"/>
      <c r="J3723" s="124"/>
    </row>
    <row r="3724" spans="3:10" x14ac:dyDescent="0.2">
      <c r="C3724" s="209"/>
      <c r="D3724" s="209"/>
      <c r="E3724" s="209"/>
      <c r="J3724" s="124"/>
    </row>
    <row r="3725" spans="3:10" x14ac:dyDescent="0.2">
      <c r="C3725" s="209"/>
      <c r="D3725" s="209"/>
      <c r="E3725" s="209"/>
      <c r="J3725" s="124"/>
    </row>
    <row r="3726" spans="3:10" x14ac:dyDescent="0.2">
      <c r="C3726" s="209"/>
      <c r="D3726" s="209"/>
      <c r="E3726" s="209"/>
      <c r="J3726" s="124"/>
    </row>
    <row r="3727" spans="3:10" x14ac:dyDescent="0.2">
      <c r="C3727" s="209"/>
      <c r="D3727" s="209"/>
      <c r="E3727" s="209"/>
      <c r="J3727" s="124"/>
    </row>
    <row r="3728" spans="3:10" x14ac:dyDescent="0.2">
      <c r="C3728" s="209"/>
      <c r="D3728" s="209"/>
      <c r="E3728" s="209"/>
      <c r="J3728" s="124"/>
    </row>
    <row r="3729" spans="3:10" x14ac:dyDescent="0.2">
      <c r="C3729" s="209"/>
      <c r="D3729" s="209"/>
      <c r="E3729" s="209"/>
      <c r="J3729" s="124"/>
    </row>
    <row r="3730" spans="3:10" x14ac:dyDescent="0.2">
      <c r="C3730" s="209"/>
      <c r="D3730" s="209"/>
      <c r="E3730" s="209"/>
      <c r="J3730" s="124"/>
    </row>
    <row r="3731" spans="3:10" x14ac:dyDescent="0.2">
      <c r="C3731" s="209"/>
      <c r="D3731" s="209"/>
      <c r="E3731" s="209"/>
      <c r="J3731" s="124"/>
    </row>
    <row r="3732" spans="3:10" x14ac:dyDescent="0.2">
      <c r="C3732" s="209"/>
      <c r="D3732" s="209"/>
      <c r="E3732" s="209"/>
      <c r="J3732" s="124"/>
    </row>
    <row r="3733" spans="3:10" x14ac:dyDescent="0.2">
      <c r="C3733" s="209"/>
      <c r="D3733" s="209"/>
      <c r="E3733" s="209"/>
      <c r="J3733" s="124"/>
    </row>
    <row r="3734" spans="3:10" x14ac:dyDescent="0.2">
      <c r="C3734" s="209"/>
      <c r="D3734" s="209"/>
      <c r="E3734" s="209"/>
      <c r="J3734" s="124"/>
    </row>
    <row r="3735" spans="3:10" x14ac:dyDescent="0.2">
      <c r="C3735" s="209"/>
      <c r="D3735" s="209"/>
      <c r="E3735" s="209"/>
      <c r="J3735" s="124"/>
    </row>
    <row r="3736" spans="3:10" x14ac:dyDescent="0.2">
      <c r="C3736" s="209"/>
      <c r="D3736" s="209"/>
      <c r="E3736" s="209"/>
      <c r="J3736" s="124"/>
    </row>
    <row r="3737" spans="3:10" x14ac:dyDescent="0.2">
      <c r="C3737" s="209"/>
      <c r="D3737" s="209"/>
      <c r="E3737" s="209"/>
      <c r="J3737" s="124"/>
    </row>
    <row r="3738" spans="3:10" x14ac:dyDescent="0.2">
      <c r="C3738" s="209"/>
      <c r="D3738" s="209"/>
      <c r="E3738" s="209"/>
      <c r="J3738" s="124"/>
    </row>
    <row r="3739" spans="3:10" x14ac:dyDescent="0.2">
      <c r="C3739" s="209"/>
      <c r="D3739" s="209"/>
      <c r="E3739" s="209"/>
      <c r="J3739" s="124"/>
    </row>
    <row r="3740" spans="3:10" x14ac:dyDescent="0.2">
      <c r="C3740" s="209"/>
      <c r="D3740" s="209"/>
      <c r="E3740" s="209"/>
      <c r="J3740" s="124"/>
    </row>
    <row r="3741" spans="3:10" x14ac:dyDescent="0.2">
      <c r="C3741" s="209"/>
      <c r="D3741" s="209"/>
      <c r="E3741" s="209"/>
      <c r="J3741" s="124"/>
    </row>
    <row r="3742" spans="3:10" x14ac:dyDescent="0.2">
      <c r="C3742" s="209"/>
      <c r="D3742" s="209"/>
      <c r="E3742" s="209"/>
      <c r="J3742" s="124"/>
    </row>
    <row r="3743" spans="3:10" x14ac:dyDescent="0.2">
      <c r="C3743" s="209"/>
      <c r="D3743" s="209"/>
      <c r="E3743" s="209"/>
      <c r="J3743" s="124"/>
    </row>
    <row r="3744" spans="3:10" x14ac:dyDescent="0.2">
      <c r="C3744" s="209"/>
      <c r="D3744" s="209"/>
      <c r="E3744" s="209"/>
      <c r="J3744" s="124"/>
    </row>
    <row r="3745" spans="3:10" x14ac:dyDescent="0.2">
      <c r="C3745" s="209"/>
      <c r="D3745" s="209"/>
      <c r="E3745" s="209"/>
      <c r="J3745" s="124"/>
    </row>
    <row r="3746" spans="3:10" x14ac:dyDescent="0.2">
      <c r="C3746" s="209"/>
      <c r="D3746" s="209"/>
      <c r="E3746" s="209"/>
      <c r="J3746" s="124"/>
    </row>
    <row r="3747" spans="3:10" x14ac:dyDescent="0.2">
      <c r="C3747" s="209"/>
      <c r="D3747" s="209"/>
      <c r="E3747" s="209"/>
      <c r="J3747" s="124"/>
    </row>
    <row r="3748" spans="3:10" x14ac:dyDescent="0.2">
      <c r="C3748" s="209"/>
      <c r="D3748" s="209"/>
      <c r="E3748" s="209"/>
      <c r="J3748" s="124"/>
    </row>
    <row r="3749" spans="3:10" x14ac:dyDescent="0.2">
      <c r="C3749" s="209"/>
      <c r="D3749" s="209"/>
      <c r="E3749" s="209"/>
      <c r="J3749" s="124"/>
    </row>
    <row r="3750" spans="3:10" x14ac:dyDescent="0.2">
      <c r="C3750" s="209"/>
      <c r="D3750" s="209"/>
      <c r="E3750" s="209"/>
      <c r="J3750" s="124"/>
    </row>
    <row r="3751" spans="3:10" x14ac:dyDescent="0.2">
      <c r="C3751" s="209"/>
      <c r="D3751" s="209"/>
      <c r="E3751" s="209"/>
      <c r="J3751" s="124"/>
    </row>
    <row r="3752" spans="3:10" x14ac:dyDescent="0.2">
      <c r="C3752" s="209"/>
      <c r="D3752" s="209"/>
      <c r="E3752" s="209"/>
      <c r="J3752" s="124"/>
    </row>
    <row r="3753" spans="3:10" x14ac:dyDescent="0.2">
      <c r="C3753" s="209"/>
      <c r="D3753" s="209"/>
      <c r="E3753" s="209"/>
      <c r="J3753" s="124"/>
    </row>
    <row r="3754" spans="3:10" x14ac:dyDescent="0.2">
      <c r="C3754" s="209"/>
      <c r="D3754" s="209"/>
      <c r="E3754" s="209"/>
      <c r="J3754" s="124"/>
    </row>
    <row r="3755" spans="3:10" x14ac:dyDescent="0.2">
      <c r="C3755" s="209"/>
      <c r="D3755" s="209"/>
      <c r="E3755" s="209"/>
      <c r="J3755" s="124"/>
    </row>
    <row r="3756" spans="3:10" x14ac:dyDescent="0.2">
      <c r="C3756" s="209"/>
      <c r="D3756" s="209"/>
      <c r="E3756" s="209"/>
      <c r="J3756" s="124"/>
    </row>
    <row r="3757" spans="3:10" x14ac:dyDescent="0.2">
      <c r="C3757" s="209"/>
      <c r="D3757" s="209"/>
      <c r="E3757" s="209"/>
      <c r="J3757" s="124"/>
    </row>
    <row r="3758" spans="3:10" x14ac:dyDescent="0.2">
      <c r="C3758" s="209"/>
      <c r="D3758" s="209"/>
      <c r="E3758" s="209"/>
      <c r="J3758" s="124"/>
    </row>
    <row r="3759" spans="3:10" x14ac:dyDescent="0.2">
      <c r="C3759" s="209"/>
      <c r="D3759" s="209"/>
      <c r="E3759" s="209"/>
      <c r="J3759" s="124"/>
    </row>
    <row r="3760" spans="3:10" x14ac:dyDescent="0.2">
      <c r="C3760" s="209"/>
      <c r="D3760" s="209"/>
      <c r="E3760" s="209"/>
      <c r="J3760" s="124"/>
    </row>
    <row r="3761" spans="3:10" x14ac:dyDescent="0.2">
      <c r="C3761" s="209"/>
      <c r="D3761" s="209"/>
      <c r="E3761" s="209"/>
      <c r="J3761" s="124"/>
    </row>
    <row r="3762" spans="3:10" x14ac:dyDescent="0.2">
      <c r="C3762" s="209"/>
      <c r="D3762" s="209"/>
      <c r="E3762" s="209"/>
      <c r="J3762" s="124"/>
    </row>
    <row r="3763" spans="3:10" x14ac:dyDescent="0.2">
      <c r="C3763" s="209"/>
      <c r="D3763" s="209"/>
      <c r="E3763" s="209"/>
      <c r="J3763" s="124"/>
    </row>
    <row r="3764" spans="3:10" x14ac:dyDescent="0.2">
      <c r="C3764" s="209"/>
      <c r="D3764" s="209"/>
      <c r="E3764" s="209"/>
      <c r="J3764" s="124"/>
    </row>
    <row r="3765" spans="3:10" x14ac:dyDescent="0.2">
      <c r="C3765" s="209"/>
      <c r="D3765" s="209"/>
      <c r="E3765" s="209"/>
      <c r="J3765" s="124"/>
    </row>
    <row r="3766" spans="3:10" x14ac:dyDescent="0.2">
      <c r="C3766" s="209"/>
      <c r="D3766" s="209"/>
      <c r="E3766" s="209"/>
      <c r="J3766" s="124"/>
    </row>
    <row r="3767" spans="3:10" x14ac:dyDescent="0.2">
      <c r="C3767" s="209"/>
      <c r="D3767" s="209"/>
      <c r="E3767" s="209"/>
      <c r="J3767" s="124"/>
    </row>
    <row r="3768" spans="3:10" x14ac:dyDescent="0.2">
      <c r="C3768" s="209"/>
      <c r="D3768" s="209"/>
      <c r="E3768" s="209"/>
      <c r="J3768" s="124"/>
    </row>
    <row r="3769" spans="3:10" x14ac:dyDescent="0.2">
      <c r="C3769" s="209"/>
      <c r="D3769" s="209"/>
      <c r="E3769" s="209"/>
      <c r="J3769" s="124"/>
    </row>
    <row r="3770" spans="3:10" x14ac:dyDescent="0.2">
      <c r="C3770" s="209"/>
      <c r="D3770" s="209"/>
      <c r="E3770" s="209"/>
      <c r="J3770" s="124"/>
    </row>
    <row r="3771" spans="3:10" x14ac:dyDescent="0.2">
      <c r="C3771" s="209"/>
      <c r="D3771" s="209"/>
      <c r="E3771" s="209"/>
      <c r="J3771" s="124"/>
    </row>
    <row r="3772" spans="3:10" x14ac:dyDescent="0.2">
      <c r="C3772" s="209"/>
      <c r="D3772" s="209"/>
      <c r="E3772" s="209"/>
      <c r="J3772" s="124"/>
    </row>
    <row r="3773" spans="3:10" x14ac:dyDescent="0.2">
      <c r="C3773" s="209"/>
      <c r="D3773" s="209"/>
      <c r="E3773" s="209"/>
      <c r="J3773" s="124"/>
    </row>
    <row r="3774" spans="3:10" x14ac:dyDescent="0.2">
      <c r="C3774" s="209"/>
      <c r="D3774" s="209"/>
      <c r="E3774" s="209"/>
      <c r="J3774" s="124"/>
    </row>
    <row r="3775" spans="3:10" x14ac:dyDescent="0.2">
      <c r="C3775" s="209"/>
      <c r="D3775" s="209"/>
      <c r="E3775" s="209"/>
      <c r="J3775" s="124"/>
    </row>
    <row r="3776" spans="3:10" x14ac:dyDescent="0.2">
      <c r="C3776" s="209"/>
      <c r="D3776" s="209"/>
      <c r="E3776" s="209"/>
      <c r="J3776" s="124"/>
    </row>
    <row r="3777" spans="3:10" x14ac:dyDescent="0.2">
      <c r="C3777" s="209"/>
      <c r="D3777" s="209"/>
      <c r="E3777" s="209"/>
      <c r="J3777" s="124"/>
    </row>
    <row r="3778" spans="3:10" x14ac:dyDescent="0.2">
      <c r="C3778" s="209"/>
      <c r="D3778" s="209"/>
      <c r="E3778" s="209"/>
      <c r="J3778" s="124"/>
    </row>
    <row r="3779" spans="3:10" x14ac:dyDescent="0.2">
      <c r="C3779" s="209"/>
      <c r="D3779" s="209"/>
      <c r="E3779" s="209"/>
      <c r="J3779" s="124"/>
    </row>
    <row r="3780" spans="3:10" x14ac:dyDescent="0.2">
      <c r="C3780" s="209"/>
      <c r="D3780" s="209"/>
      <c r="E3780" s="209"/>
      <c r="J3780" s="124"/>
    </row>
    <row r="3781" spans="3:10" x14ac:dyDescent="0.2">
      <c r="C3781" s="209"/>
      <c r="D3781" s="209"/>
      <c r="E3781" s="209"/>
      <c r="J3781" s="124"/>
    </row>
    <row r="3782" spans="3:10" x14ac:dyDescent="0.2">
      <c r="C3782" s="209"/>
      <c r="D3782" s="209"/>
      <c r="E3782" s="209"/>
      <c r="J3782" s="124"/>
    </row>
    <row r="3783" spans="3:10" x14ac:dyDescent="0.2">
      <c r="C3783" s="209"/>
      <c r="D3783" s="209"/>
      <c r="E3783" s="209"/>
      <c r="J3783" s="124"/>
    </row>
    <row r="3784" spans="3:10" x14ac:dyDescent="0.2">
      <c r="C3784" s="209"/>
      <c r="D3784" s="209"/>
      <c r="E3784" s="209"/>
      <c r="J3784" s="124"/>
    </row>
    <row r="3785" spans="3:10" x14ac:dyDescent="0.2">
      <c r="C3785" s="209"/>
      <c r="D3785" s="209"/>
      <c r="E3785" s="209"/>
      <c r="J3785" s="124"/>
    </row>
    <row r="3786" spans="3:10" x14ac:dyDescent="0.2">
      <c r="C3786" s="209"/>
      <c r="D3786" s="209"/>
      <c r="E3786" s="209"/>
      <c r="J3786" s="124"/>
    </row>
    <row r="3787" spans="3:10" x14ac:dyDescent="0.2">
      <c r="C3787" s="209"/>
      <c r="D3787" s="209"/>
      <c r="E3787" s="209"/>
      <c r="J3787" s="124"/>
    </row>
    <row r="3788" spans="3:10" x14ac:dyDescent="0.2">
      <c r="C3788" s="209"/>
      <c r="D3788" s="209"/>
      <c r="E3788" s="209"/>
      <c r="J3788" s="124"/>
    </row>
    <row r="3789" spans="3:10" x14ac:dyDescent="0.2">
      <c r="C3789" s="209"/>
      <c r="D3789" s="209"/>
      <c r="E3789" s="209"/>
      <c r="J3789" s="124"/>
    </row>
    <row r="3790" spans="3:10" x14ac:dyDescent="0.2">
      <c r="C3790" s="209"/>
      <c r="D3790" s="209"/>
      <c r="E3790" s="209"/>
      <c r="J3790" s="124"/>
    </row>
    <row r="3791" spans="3:10" x14ac:dyDescent="0.2">
      <c r="C3791" s="209"/>
      <c r="D3791" s="209"/>
      <c r="E3791" s="209"/>
      <c r="J3791" s="124"/>
    </row>
    <row r="3792" spans="3:10" x14ac:dyDescent="0.2">
      <c r="C3792" s="209"/>
      <c r="D3792" s="209"/>
      <c r="E3792" s="209"/>
      <c r="J3792" s="124"/>
    </row>
    <row r="3793" spans="3:10" x14ac:dyDescent="0.2">
      <c r="C3793" s="209"/>
      <c r="D3793" s="209"/>
      <c r="E3793" s="209"/>
      <c r="J3793" s="124"/>
    </row>
    <row r="3794" spans="3:10" x14ac:dyDescent="0.2">
      <c r="C3794" s="209"/>
      <c r="D3794" s="209"/>
      <c r="E3794" s="209"/>
      <c r="J3794" s="124"/>
    </row>
    <row r="3795" spans="3:10" x14ac:dyDescent="0.2">
      <c r="C3795" s="209"/>
      <c r="D3795" s="209"/>
      <c r="E3795" s="209"/>
      <c r="J3795" s="124"/>
    </row>
    <row r="3796" spans="3:10" x14ac:dyDescent="0.2">
      <c r="C3796" s="209"/>
      <c r="D3796" s="209"/>
      <c r="E3796" s="209"/>
      <c r="J3796" s="124"/>
    </row>
    <row r="3797" spans="3:10" x14ac:dyDescent="0.2">
      <c r="C3797" s="209"/>
      <c r="D3797" s="209"/>
      <c r="E3797" s="209"/>
      <c r="J3797" s="124"/>
    </row>
    <row r="3798" spans="3:10" x14ac:dyDescent="0.2">
      <c r="C3798" s="209"/>
      <c r="D3798" s="209"/>
      <c r="E3798" s="209"/>
      <c r="J3798" s="124"/>
    </row>
    <row r="3799" spans="3:10" x14ac:dyDescent="0.2">
      <c r="C3799" s="209"/>
      <c r="D3799" s="209"/>
      <c r="E3799" s="209"/>
      <c r="J3799" s="124"/>
    </row>
    <row r="3800" spans="3:10" x14ac:dyDescent="0.2">
      <c r="C3800" s="209"/>
      <c r="D3800" s="209"/>
      <c r="E3800" s="209"/>
      <c r="J3800" s="124"/>
    </row>
    <row r="3801" spans="3:10" x14ac:dyDescent="0.2">
      <c r="C3801" s="209"/>
      <c r="D3801" s="209"/>
      <c r="E3801" s="209"/>
      <c r="J3801" s="124"/>
    </row>
    <row r="3802" spans="3:10" x14ac:dyDescent="0.2">
      <c r="C3802" s="209"/>
      <c r="D3802" s="209"/>
      <c r="E3802" s="209"/>
      <c r="J3802" s="124"/>
    </row>
    <row r="3803" spans="3:10" x14ac:dyDescent="0.2">
      <c r="C3803" s="209"/>
      <c r="D3803" s="209"/>
      <c r="E3803" s="209"/>
      <c r="J3803" s="124"/>
    </row>
    <row r="3804" spans="3:10" x14ac:dyDescent="0.2">
      <c r="C3804" s="209"/>
      <c r="D3804" s="209"/>
      <c r="E3804" s="209"/>
      <c r="J3804" s="124"/>
    </row>
    <row r="3805" spans="3:10" x14ac:dyDescent="0.2">
      <c r="C3805" s="209"/>
      <c r="D3805" s="209"/>
      <c r="E3805" s="209"/>
      <c r="J3805" s="124"/>
    </row>
    <row r="3806" spans="3:10" x14ac:dyDescent="0.2">
      <c r="C3806" s="209"/>
      <c r="D3806" s="209"/>
      <c r="E3806" s="209"/>
      <c r="J3806" s="124"/>
    </row>
    <row r="3807" spans="3:10" x14ac:dyDescent="0.2">
      <c r="C3807" s="209"/>
      <c r="D3807" s="209"/>
      <c r="E3807" s="209"/>
      <c r="J3807" s="124"/>
    </row>
    <row r="3808" spans="3:10" x14ac:dyDescent="0.2">
      <c r="C3808" s="209"/>
      <c r="D3808" s="209"/>
      <c r="E3808" s="209"/>
      <c r="J3808" s="124"/>
    </row>
    <row r="3809" spans="3:10" x14ac:dyDescent="0.2">
      <c r="C3809" s="209"/>
      <c r="D3809" s="209"/>
      <c r="E3809" s="209"/>
      <c r="J3809" s="124"/>
    </row>
    <row r="3810" spans="3:10" x14ac:dyDescent="0.2">
      <c r="C3810" s="209"/>
      <c r="D3810" s="209"/>
      <c r="E3810" s="209"/>
      <c r="J3810" s="124"/>
    </row>
    <row r="3811" spans="3:10" x14ac:dyDescent="0.2">
      <c r="C3811" s="209"/>
      <c r="D3811" s="209"/>
      <c r="E3811" s="209"/>
      <c r="J3811" s="124"/>
    </row>
    <row r="3812" spans="3:10" x14ac:dyDescent="0.2">
      <c r="C3812" s="209"/>
      <c r="D3812" s="209"/>
      <c r="E3812" s="209"/>
      <c r="J3812" s="124"/>
    </row>
    <row r="3813" spans="3:10" x14ac:dyDescent="0.2">
      <c r="C3813" s="209"/>
      <c r="D3813" s="209"/>
      <c r="E3813" s="209"/>
      <c r="J3813" s="124"/>
    </row>
    <row r="3814" spans="3:10" x14ac:dyDescent="0.2">
      <c r="C3814" s="209"/>
      <c r="D3814" s="209"/>
      <c r="E3814" s="209"/>
      <c r="J3814" s="124"/>
    </row>
    <row r="3815" spans="3:10" x14ac:dyDescent="0.2">
      <c r="C3815" s="209"/>
      <c r="D3815" s="209"/>
      <c r="E3815" s="209"/>
      <c r="J3815" s="124"/>
    </row>
    <row r="3816" spans="3:10" x14ac:dyDescent="0.2">
      <c r="C3816" s="209"/>
      <c r="D3816" s="209"/>
      <c r="E3816" s="209"/>
      <c r="J3816" s="124"/>
    </row>
    <row r="3817" spans="3:10" x14ac:dyDescent="0.2">
      <c r="C3817" s="209"/>
      <c r="D3817" s="209"/>
      <c r="E3817" s="209"/>
      <c r="J3817" s="124"/>
    </row>
    <row r="3818" spans="3:10" x14ac:dyDescent="0.2">
      <c r="C3818" s="209"/>
      <c r="D3818" s="209"/>
      <c r="E3818" s="209"/>
      <c r="J3818" s="124"/>
    </row>
    <row r="3819" spans="3:10" x14ac:dyDescent="0.2">
      <c r="C3819" s="209"/>
      <c r="D3819" s="209"/>
      <c r="E3819" s="209"/>
      <c r="J3819" s="124"/>
    </row>
    <row r="3820" spans="3:10" x14ac:dyDescent="0.2">
      <c r="C3820" s="209"/>
      <c r="D3820" s="209"/>
      <c r="E3820" s="209"/>
      <c r="J3820" s="124"/>
    </row>
    <row r="3821" spans="3:10" x14ac:dyDescent="0.2">
      <c r="C3821" s="209"/>
      <c r="D3821" s="209"/>
      <c r="E3821" s="209"/>
      <c r="J3821" s="124"/>
    </row>
    <row r="3822" spans="3:10" x14ac:dyDescent="0.2">
      <c r="C3822" s="209"/>
      <c r="D3822" s="209"/>
      <c r="E3822" s="209"/>
      <c r="J3822" s="124"/>
    </row>
    <row r="3823" spans="3:10" x14ac:dyDescent="0.2">
      <c r="C3823" s="209"/>
      <c r="D3823" s="209"/>
      <c r="E3823" s="209"/>
      <c r="J3823" s="124"/>
    </row>
    <row r="3824" spans="3:10" x14ac:dyDescent="0.2">
      <c r="C3824" s="209"/>
      <c r="D3824" s="209"/>
      <c r="E3824" s="209"/>
      <c r="J3824" s="124"/>
    </row>
    <row r="3825" spans="3:10" x14ac:dyDescent="0.2">
      <c r="C3825" s="209"/>
      <c r="D3825" s="209"/>
      <c r="E3825" s="209"/>
      <c r="J3825" s="124"/>
    </row>
    <row r="3826" spans="3:10" x14ac:dyDescent="0.2">
      <c r="C3826" s="209"/>
      <c r="D3826" s="209"/>
      <c r="E3826" s="209"/>
      <c r="J3826" s="124"/>
    </row>
    <row r="3827" spans="3:10" x14ac:dyDescent="0.2">
      <c r="C3827" s="209"/>
      <c r="D3827" s="209"/>
      <c r="E3827" s="209"/>
      <c r="J3827" s="124"/>
    </row>
    <row r="3828" spans="3:10" x14ac:dyDescent="0.2">
      <c r="C3828" s="209"/>
      <c r="D3828" s="209"/>
      <c r="E3828" s="209"/>
      <c r="J3828" s="124"/>
    </row>
    <row r="3829" spans="3:10" x14ac:dyDescent="0.2">
      <c r="C3829" s="209"/>
      <c r="D3829" s="209"/>
      <c r="E3829" s="209"/>
      <c r="J3829" s="124"/>
    </row>
    <row r="3830" spans="3:10" x14ac:dyDescent="0.2">
      <c r="C3830" s="209"/>
      <c r="D3830" s="209"/>
      <c r="E3830" s="209"/>
      <c r="J3830" s="124"/>
    </row>
    <row r="3831" spans="3:10" x14ac:dyDescent="0.2">
      <c r="C3831" s="209"/>
      <c r="D3831" s="209"/>
      <c r="E3831" s="209"/>
      <c r="J3831" s="124"/>
    </row>
    <row r="3832" spans="3:10" x14ac:dyDescent="0.2">
      <c r="C3832" s="209"/>
      <c r="D3832" s="209"/>
      <c r="E3832" s="209"/>
      <c r="J3832" s="124"/>
    </row>
    <row r="3833" spans="3:10" x14ac:dyDescent="0.2">
      <c r="C3833" s="209"/>
      <c r="D3833" s="209"/>
      <c r="E3833" s="209"/>
      <c r="J3833" s="124"/>
    </row>
    <row r="3834" spans="3:10" x14ac:dyDescent="0.2">
      <c r="C3834" s="209"/>
      <c r="D3834" s="209"/>
      <c r="E3834" s="209"/>
      <c r="J3834" s="124"/>
    </row>
    <row r="3835" spans="3:10" x14ac:dyDescent="0.2">
      <c r="C3835" s="209"/>
      <c r="D3835" s="209"/>
      <c r="E3835" s="209"/>
      <c r="J3835" s="124"/>
    </row>
    <row r="3836" spans="3:10" x14ac:dyDescent="0.2">
      <c r="C3836" s="209"/>
      <c r="D3836" s="209"/>
      <c r="E3836" s="209"/>
      <c r="J3836" s="124"/>
    </row>
    <row r="3837" spans="3:10" x14ac:dyDescent="0.2">
      <c r="C3837" s="209"/>
      <c r="D3837" s="209"/>
      <c r="E3837" s="209"/>
      <c r="J3837" s="124"/>
    </row>
    <row r="3838" spans="3:10" x14ac:dyDescent="0.2">
      <c r="C3838" s="209"/>
      <c r="D3838" s="209"/>
      <c r="E3838" s="209"/>
      <c r="J3838" s="124"/>
    </row>
    <row r="3839" spans="3:10" x14ac:dyDescent="0.2">
      <c r="C3839" s="209"/>
      <c r="D3839" s="209"/>
      <c r="E3839" s="209"/>
      <c r="J3839" s="124"/>
    </row>
    <row r="3840" spans="3:10" x14ac:dyDescent="0.2">
      <c r="C3840" s="209"/>
      <c r="D3840" s="209"/>
      <c r="E3840" s="209"/>
      <c r="J3840" s="124"/>
    </row>
    <row r="3841" spans="3:10" x14ac:dyDescent="0.2">
      <c r="C3841" s="209"/>
      <c r="D3841" s="209"/>
      <c r="E3841" s="209"/>
      <c r="J3841" s="124"/>
    </row>
    <row r="3842" spans="3:10" x14ac:dyDescent="0.2">
      <c r="C3842" s="209"/>
      <c r="D3842" s="209"/>
      <c r="E3842" s="209"/>
      <c r="J3842" s="124"/>
    </row>
    <row r="3843" spans="3:10" x14ac:dyDescent="0.2">
      <c r="C3843" s="209"/>
      <c r="D3843" s="209"/>
      <c r="E3843" s="209"/>
      <c r="J3843" s="124"/>
    </row>
    <row r="3844" spans="3:10" x14ac:dyDescent="0.2">
      <c r="C3844" s="209"/>
      <c r="D3844" s="209"/>
      <c r="E3844" s="209"/>
      <c r="J3844" s="124"/>
    </row>
    <row r="3845" spans="3:10" x14ac:dyDescent="0.2">
      <c r="C3845" s="209"/>
      <c r="D3845" s="209"/>
      <c r="E3845" s="209"/>
      <c r="J3845" s="124"/>
    </row>
    <row r="3846" spans="3:10" x14ac:dyDescent="0.2">
      <c r="C3846" s="209"/>
      <c r="D3846" s="209"/>
      <c r="E3846" s="209"/>
      <c r="J3846" s="124"/>
    </row>
    <row r="3847" spans="3:10" x14ac:dyDescent="0.2">
      <c r="C3847" s="209"/>
      <c r="D3847" s="209"/>
      <c r="E3847" s="209"/>
      <c r="J3847" s="124"/>
    </row>
    <row r="3848" spans="3:10" x14ac:dyDescent="0.2">
      <c r="C3848" s="209"/>
      <c r="D3848" s="209"/>
      <c r="E3848" s="209"/>
      <c r="J3848" s="124"/>
    </row>
    <row r="3849" spans="3:10" x14ac:dyDescent="0.2">
      <c r="C3849" s="209"/>
      <c r="D3849" s="209"/>
      <c r="E3849" s="209"/>
      <c r="J3849" s="124"/>
    </row>
    <row r="3850" spans="3:10" x14ac:dyDescent="0.2">
      <c r="C3850" s="209"/>
      <c r="D3850" s="209"/>
      <c r="E3850" s="209"/>
      <c r="J3850" s="124"/>
    </row>
    <row r="3851" spans="3:10" x14ac:dyDescent="0.2">
      <c r="C3851" s="209"/>
      <c r="D3851" s="209"/>
      <c r="E3851" s="209"/>
      <c r="J3851" s="124"/>
    </row>
    <row r="3852" spans="3:10" x14ac:dyDescent="0.2">
      <c r="C3852" s="209"/>
      <c r="D3852" s="209"/>
      <c r="E3852" s="209"/>
      <c r="J3852" s="124"/>
    </row>
    <row r="3853" spans="3:10" x14ac:dyDescent="0.2">
      <c r="C3853" s="209"/>
      <c r="D3853" s="209"/>
      <c r="E3853" s="209"/>
      <c r="J3853" s="124"/>
    </row>
    <row r="3854" spans="3:10" x14ac:dyDescent="0.2">
      <c r="C3854" s="209"/>
      <c r="D3854" s="209"/>
      <c r="E3854" s="209"/>
      <c r="J3854" s="124"/>
    </row>
    <row r="3855" spans="3:10" x14ac:dyDescent="0.2">
      <c r="C3855" s="209"/>
      <c r="D3855" s="209"/>
      <c r="E3855" s="209"/>
      <c r="J3855" s="124"/>
    </row>
    <row r="3856" spans="3:10" x14ac:dyDescent="0.2">
      <c r="C3856" s="209"/>
      <c r="D3856" s="209"/>
      <c r="E3856" s="209"/>
      <c r="J3856" s="124"/>
    </row>
    <row r="3857" spans="3:10" x14ac:dyDescent="0.2">
      <c r="C3857" s="209"/>
      <c r="D3857" s="209"/>
      <c r="E3857" s="209"/>
      <c r="J3857" s="124"/>
    </row>
    <row r="3858" spans="3:10" x14ac:dyDescent="0.2">
      <c r="C3858" s="209"/>
      <c r="D3858" s="209"/>
      <c r="E3858" s="209"/>
      <c r="J3858" s="124"/>
    </row>
    <row r="3859" spans="3:10" x14ac:dyDescent="0.2">
      <c r="C3859" s="209"/>
      <c r="D3859" s="209"/>
      <c r="E3859" s="209"/>
      <c r="J3859" s="124"/>
    </row>
    <row r="3860" spans="3:10" x14ac:dyDescent="0.2">
      <c r="C3860" s="209"/>
      <c r="D3860" s="209"/>
      <c r="E3860" s="209"/>
      <c r="J3860" s="124"/>
    </row>
    <row r="3861" spans="3:10" x14ac:dyDescent="0.2">
      <c r="C3861" s="209"/>
      <c r="D3861" s="209"/>
      <c r="E3861" s="209"/>
      <c r="J3861" s="124"/>
    </row>
    <row r="3862" spans="3:10" x14ac:dyDescent="0.2">
      <c r="C3862" s="209"/>
      <c r="D3862" s="209"/>
      <c r="E3862" s="209"/>
      <c r="J3862" s="124"/>
    </row>
    <row r="3863" spans="3:10" x14ac:dyDescent="0.2">
      <c r="C3863" s="209"/>
      <c r="D3863" s="209"/>
      <c r="E3863" s="209"/>
      <c r="J3863" s="124"/>
    </row>
    <row r="3864" spans="3:10" x14ac:dyDescent="0.2">
      <c r="C3864" s="209"/>
      <c r="D3864" s="209"/>
      <c r="E3864" s="209"/>
      <c r="J3864" s="124"/>
    </row>
    <row r="3865" spans="3:10" x14ac:dyDescent="0.2">
      <c r="C3865" s="209"/>
      <c r="D3865" s="209"/>
      <c r="E3865" s="209"/>
      <c r="J3865" s="124"/>
    </row>
    <row r="3866" spans="3:10" x14ac:dyDescent="0.2">
      <c r="C3866" s="209"/>
      <c r="D3866" s="209"/>
      <c r="E3866" s="209"/>
      <c r="J3866" s="124"/>
    </row>
    <row r="3867" spans="3:10" x14ac:dyDescent="0.2">
      <c r="C3867" s="209"/>
      <c r="D3867" s="209"/>
      <c r="E3867" s="209"/>
      <c r="J3867" s="124"/>
    </row>
    <row r="3868" spans="3:10" x14ac:dyDescent="0.2">
      <c r="C3868" s="209"/>
      <c r="D3868" s="209"/>
      <c r="E3868" s="209"/>
      <c r="J3868" s="124"/>
    </row>
    <row r="3869" spans="3:10" x14ac:dyDescent="0.2">
      <c r="C3869" s="209"/>
      <c r="D3869" s="209"/>
      <c r="E3869" s="209"/>
      <c r="J3869" s="124"/>
    </row>
    <row r="3870" spans="3:10" x14ac:dyDescent="0.2">
      <c r="C3870" s="209"/>
      <c r="D3870" s="209"/>
      <c r="E3870" s="209"/>
      <c r="J3870" s="124"/>
    </row>
    <row r="3871" spans="3:10" x14ac:dyDescent="0.2">
      <c r="C3871" s="209"/>
      <c r="D3871" s="209"/>
      <c r="E3871" s="209"/>
      <c r="J3871" s="124"/>
    </row>
    <row r="3872" spans="3:10" x14ac:dyDescent="0.2">
      <c r="C3872" s="209"/>
      <c r="D3872" s="209"/>
      <c r="E3872" s="209"/>
      <c r="J3872" s="124"/>
    </row>
    <row r="3873" spans="3:10" x14ac:dyDescent="0.2">
      <c r="C3873" s="209"/>
      <c r="D3873" s="209"/>
      <c r="E3873" s="209"/>
      <c r="J3873" s="124"/>
    </row>
    <row r="3874" spans="3:10" x14ac:dyDescent="0.2">
      <c r="C3874" s="209"/>
      <c r="D3874" s="209"/>
      <c r="E3874" s="209"/>
      <c r="J3874" s="124"/>
    </row>
    <row r="3875" spans="3:10" x14ac:dyDescent="0.2">
      <c r="C3875" s="209"/>
      <c r="D3875" s="209"/>
      <c r="E3875" s="209"/>
      <c r="J3875" s="124"/>
    </row>
    <row r="3876" spans="3:10" x14ac:dyDescent="0.2">
      <c r="C3876" s="209"/>
      <c r="D3876" s="209"/>
      <c r="E3876" s="209"/>
      <c r="J3876" s="124"/>
    </row>
    <row r="3877" spans="3:10" x14ac:dyDescent="0.2">
      <c r="C3877" s="209"/>
      <c r="D3877" s="209"/>
      <c r="E3877" s="209"/>
      <c r="J3877" s="124"/>
    </row>
    <row r="3878" spans="3:10" x14ac:dyDescent="0.2">
      <c r="C3878" s="209"/>
      <c r="D3878" s="209"/>
      <c r="E3878" s="209"/>
      <c r="J3878" s="124"/>
    </row>
    <row r="3879" spans="3:10" x14ac:dyDescent="0.2">
      <c r="C3879" s="209"/>
      <c r="D3879" s="209"/>
      <c r="E3879" s="209"/>
      <c r="J3879" s="124"/>
    </row>
    <row r="3880" spans="3:10" x14ac:dyDescent="0.2">
      <c r="C3880" s="209"/>
      <c r="D3880" s="209"/>
      <c r="E3880" s="209"/>
      <c r="J3880" s="124"/>
    </row>
    <row r="3881" spans="3:10" x14ac:dyDescent="0.2">
      <c r="C3881" s="209"/>
      <c r="D3881" s="209"/>
      <c r="E3881" s="209"/>
      <c r="J3881" s="124"/>
    </row>
    <row r="3882" spans="3:10" x14ac:dyDescent="0.2">
      <c r="C3882" s="209"/>
      <c r="D3882" s="209"/>
      <c r="E3882" s="209"/>
      <c r="J3882" s="124"/>
    </row>
    <row r="3883" spans="3:10" x14ac:dyDescent="0.2">
      <c r="C3883" s="209"/>
      <c r="D3883" s="209"/>
      <c r="E3883" s="209"/>
      <c r="J3883" s="124"/>
    </row>
    <row r="3884" spans="3:10" x14ac:dyDescent="0.2">
      <c r="C3884" s="209"/>
      <c r="D3884" s="209"/>
      <c r="E3884" s="209"/>
      <c r="J3884" s="124"/>
    </row>
    <row r="3885" spans="3:10" x14ac:dyDescent="0.2">
      <c r="C3885" s="209"/>
      <c r="D3885" s="209"/>
      <c r="E3885" s="209"/>
      <c r="J3885" s="124"/>
    </row>
    <row r="3886" spans="3:10" x14ac:dyDescent="0.2">
      <c r="C3886" s="209"/>
      <c r="D3886" s="209"/>
      <c r="E3886" s="209"/>
      <c r="J3886" s="124"/>
    </row>
    <row r="3887" spans="3:10" x14ac:dyDescent="0.2">
      <c r="C3887" s="209"/>
      <c r="D3887" s="209"/>
      <c r="E3887" s="209"/>
      <c r="J3887" s="124"/>
    </row>
    <row r="3888" spans="3:10" x14ac:dyDescent="0.2">
      <c r="C3888" s="209"/>
      <c r="D3888" s="209"/>
      <c r="E3888" s="209"/>
      <c r="J3888" s="124"/>
    </row>
    <row r="3889" spans="3:10" x14ac:dyDescent="0.2">
      <c r="C3889" s="209"/>
      <c r="D3889" s="209"/>
      <c r="E3889" s="209"/>
      <c r="J3889" s="124"/>
    </row>
    <row r="3890" spans="3:10" x14ac:dyDescent="0.2">
      <c r="C3890" s="209"/>
      <c r="D3890" s="209"/>
      <c r="E3890" s="209"/>
      <c r="J3890" s="124"/>
    </row>
    <row r="3891" spans="3:10" x14ac:dyDescent="0.2">
      <c r="C3891" s="209"/>
      <c r="D3891" s="209"/>
      <c r="E3891" s="209"/>
      <c r="J3891" s="124"/>
    </row>
    <row r="3892" spans="3:10" x14ac:dyDescent="0.2">
      <c r="C3892" s="209"/>
      <c r="D3892" s="209"/>
      <c r="E3892" s="209"/>
      <c r="J3892" s="124"/>
    </row>
    <row r="3893" spans="3:10" x14ac:dyDescent="0.2">
      <c r="C3893" s="209"/>
      <c r="D3893" s="209"/>
      <c r="E3893" s="209"/>
      <c r="J3893" s="124"/>
    </row>
    <row r="3894" spans="3:10" x14ac:dyDescent="0.2">
      <c r="C3894" s="209"/>
      <c r="D3894" s="209"/>
      <c r="E3894" s="209"/>
      <c r="J3894" s="124"/>
    </row>
    <row r="3895" spans="3:10" x14ac:dyDescent="0.2">
      <c r="C3895" s="209"/>
      <c r="D3895" s="209"/>
      <c r="E3895" s="209"/>
      <c r="J3895" s="124"/>
    </row>
    <row r="3896" spans="3:10" x14ac:dyDescent="0.2">
      <c r="C3896" s="209"/>
      <c r="D3896" s="209"/>
      <c r="E3896" s="209"/>
      <c r="J3896" s="124"/>
    </row>
    <row r="3897" spans="3:10" x14ac:dyDescent="0.2">
      <c r="C3897" s="209"/>
      <c r="D3897" s="209"/>
      <c r="E3897" s="209"/>
      <c r="J3897" s="124"/>
    </row>
    <row r="3898" spans="3:10" x14ac:dyDescent="0.2">
      <c r="C3898" s="209"/>
      <c r="D3898" s="209"/>
      <c r="E3898" s="209"/>
      <c r="J3898" s="124"/>
    </row>
    <row r="3899" spans="3:10" x14ac:dyDescent="0.2">
      <c r="C3899" s="209"/>
      <c r="D3899" s="209"/>
      <c r="E3899" s="209"/>
      <c r="J3899" s="124"/>
    </row>
    <row r="3900" spans="3:10" x14ac:dyDescent="0.2">
      <c r="C3900" s="209"/>
      <c r="D3900" s="209"/>
      <c r="E3900" s="209"/>
      <c r="J3900" s="124"/>
    </row>
    <row r="3901" spans="3:10" x14ac:dyDescent="0.2">
      <c r="C3901" s="209"/>
      <c r="D3901" s="209"/>
      <c r="E3901" s="209"/>
      <c r="J3901" s="124"/>
    </row>
    <row r="3902" spans="3:10" x14ac:dyDescent="0.2">
      <c r="C3902" s="209"/>
      <c r="D3902" s="209"/>
      <c r="E3902" s="209"/>
      <c r="J3902" s="124"/>
    </row>
    <row r="3903" spans="3:10" x14ac:dyDescent="0.2">
      <c r="C3903" s="209"/>
      <c r="D3903" s="209"/>
      <c r="E3903" s="209"/>
      <c r="J3903" s="124"/>
    </row>
    <row r="3904" spans="3:10" x14ac:dyDescent="0.2">
      <c r="C3904" s="209"/>
      <c r="D3904" s="209"/>
      <c r="E3904" s="209"/>
      <c r="J3904" s="124"/>
    </row>
    <row r="3905" spans="3:10" x14ac:dyDescent="0.2">
      <c r="C3905" s="209"/>
      <c r="D3905" s="209"/>
      <c r="E3905" s="209"/>
      <c r="J3905" s="124"/>
    </row>
    <row r="3906" spans="3:10" x14ac:dyDescent="0.2">
      <c r="C3906" s="209"/>
      <c r="D3906" s="209"/>
      <c r="E3906" s="209"/>
      <c r="J3906" s="124"/>
    </row>
    <row r="3907" spans="3:10" x14ac:dyDescent="0.2">
      <c r="C3907" s="209"/>
      <c r="D3907" s="209"/>
      <c r="E3907" s="209"/>
      <c r="J3907" s="124"/>
    </row>
    <row r="3908" spans="3:10" x14ac:dyDescent="0.2">
      <c r="C3908" s="209"/>
      <c r="D3908" s="209"/>
      <c r="E3908" s="209"/>
      <c r="J3908" s="124"/>
    </row>
    <row r="3909" spans="3:10" x14ac:dyDescent="0.2">
      <c r="C3909" s="209"/>
      <c r="D3909" s="209"/>
      <c r="E3909" s="209"/>
      <c r="J3909" s="124"/>
    </row>
    <row r="3910" spans="3:10" x14ac:dyDescent="0.2">
      <c r="C3910" s="209"/>
      <c r="D3910" s="209"/>
      <c r="E3910" s="209"/>
      <c r="J3910" s="124"/>
    </row>
    <row r="3911" spans="3:10" x14ac:dyDescent="0.2">
      <c r="C3911" s="209"/>
      <c r="D3911" s="209"/>
      <c r="E3911" s="209"/>
      <c r="J3911" s="124"/>
    </row>
    <row r="3912" spans="3:10" x14ac:dyDescent="0.2">
      <c r="C3912" s="209"/>
      <c r="D3912" s="209"/>
      <c r="E3912" s="209"/>
      <c r="J3912" s="124"/>
    </row>
    <row r="3913" spans="3:10" x14ac:dyDescent="0.2">
      <c r="C3913" s="209"/>
      <c r="D3913" s="209"/>
      <c r="E3913" s="209"/>
      <c r="J3913" s="124"/>
    </row>
    <row r="3914" spans="3:10" x14ac:dyDescent="0.2">
      <c r="C3914" s="209"/>
      <c r="D3914" s="209"/>
      <c r="E3914" s="209"/>
      <c r="J3914" s="124"/>
    </row>
    <row r="3915" spans="3:10" x14ac:dyDescent="0.2">
      <c r="C3915" s="209"/>
      <c r="D3915" s="209"/>
      <c r="E3915" s="209"/>
      <c r="J3915" s="124"/>
    </row>
    <row r="3916" spans="3:10" x14ac:dyDescent="0.2">
      <c r="C3916" s="209"/>
      <c r="D3916" s="209"/>
      <c r="E3916" s="209"/>
      <c r="J3916" s="124"/>
    </row>
    <row r="3917" spans="3:10" x14ac:dyDescent="0.2">
      <c r="C3917" s="209"/>
      <c r="D3917" s="209"/>
      <c r="E3917" s="209"/>
      <c r="J3917" s="124"/>
    </row>
    <row r="3918" spans="3:10" x14ac:dyDescent="0.2">
      <c r="C3918" s="209"/>
      <c r="D3918" s="209"/>
      <c r="E3918" s="209"/>
      <c r="J3918" s="124"/>
    </row>
    <row r="3919" spans="3:10" x14ac:dyDescent="0.2">
      <c r="C3919" s="209"/>
      <c r="D3919" s="209"/>
      <c r="E3919" s="209"/>
      <c r="J3919" s="124"/>
    </row>
    <row r="3920" spans="3:10" x14ac:dyDescent="0.2">
      <c r="C3920" s="209"/>
      <c r="D3920" s="209"/>
      <c r="E3920" s="209"/>
      <c r="J3920" s="124"/>
    </row>
    <row r="3921" spans="3:10" x14ac:dyDescent="0.2">
      <c r="C3921" s="209"/>
      <c r="D3921" s="209"/>
      <c r="E3921" s="209"/>
      <c r="J3921" s="124"/>
    </row>
    <row r="3922" spans="3:10" x14ac:dyDescent="0.2">
      <c r="C3922" s="209"/>
      <c r="D3922" s="209"/>
      <c r="E3922" s="209"/>
      <c r="J3922" s="124"/>
    </row>
    <row r="3923" spans="3:10" x14ac:dyDescent="0.2">
      <c r="C3923" s="209"/>
      <c r="D3923" s="209"/>
      <c r="E3923" s="209"/>
      <c r="J3923" s="124"/>
    </row>
    <row r="3924" spans="3:10" x14ac:dyDescent="0.2">
      <c r="C3924" s="209"/>
      <c r="D3924" s="209"/>
      <c r="E3924" s="209"/>
      <c r="J3924" s="124"/>
    </row>
    <row r="3925" spans="3:10" x14ac:dyDescent="0.2">
      <c r="C3925" s="209"/>
      <c r="D3925" s="209"/>
      <c r="E3925" s="209"/>
      <c r="J3925" s="124"/>
    </row>
    <row r="3926" spans="3:10" x14ac:dyDescent="0.2">
      <c r="C3926" s="209"/>
      <c r="D3926" s="209"/>
      <c r="E3926" s="209"/>
      <c r="J3926" s="124"/>
    </row>
    <row r="3927" spans="3:10" x14ac:dyDescent="0.2">
      <c r="C3927" s="209"/>
      <c r="D3927" s="209"/>
      <c r="E3927" s="209"/>
      <c r="J3927" s="124"/>
    </row>
    <row r="3928" spans="3:10" x14ac:dyDescent="0.2">
      <c r="C3928" s="209"/>
      <c r="D3928" s="209"/>
      <c r="E3928" s="209"/>
      <c r="J3928" s="124"/>
    </row>
    <row r="3929" spans="3:10" x14ac:dyDescent="0.2">
      <c r="C3929" s="209"/>
      <c r="D3929" s="209"/>
      <c r="E3929" s="209"/>
      <c r="J3929" s="124"/>
    </row>
    <row r="3930" spans="3:10" x14ac:dyDescent="0.2">
      <c r="C3930" s="209"/>
      <c r="D3930" s="209"/>
      <c r="E3930" s="209"/>
      <c r="J3930" s="124"/>
    </row>
    <row r="3931" spans="3:10" x14ac:dyDescent="0.2">
      <c r="C3931" s="209"/>
      <c r="D3931" s="209"/>
      <c r="E3931" s="209"/>
      <c r="J3931" s="124"/>
    </row>
    <row r="3932" spans="3:10" x14ac:dyDescent="0.2">
      <c r="C3932" s="209"/>
      <c r="D3932" s="209"/>
      <c r="E3932" s="209"/>
      <c r="J3932" s="124"/>
    </row>
    <row r="3933" spans="3:10" x14ac:dyDescent="0.2">
      <c r="C3933" s="209"/>
      <c r="D3933" s="209"/>
      <c r="E3933" s="209"/>
      <c r="J3933" s="124"/>
    </row>
    <row r="3934" spans="3:10" x14ac:dyDescent="0.2">
      <c r="C3934" s="209"/>
      <c r="D3934" s="209"/>
      <c r="E3934" s="209"/>
      <c r="J3934" s="124"/>
    </row>
    <row r="3935" spans="3:10" x14ac:dyDescent="0.2">
      <c r="C3935" s="209"/>
      <c r="D3935" s="209"/>
      <c r="E3935" s="209"/>
      <c r="J3935" s="124"/>
    </row>
    <row r="3936" spans="3:10" x14ac:dyDescent="0.2">
      <c r="C3936" s="209"/>
      <c r="D3936" s="209"/>
      <c r="E3936" s="209"/>
      <c r="J3936" s="124"/>
    </row>
    <row r="3937" spans="3:10" x14ac:dyDescent="0.2">
      <c r="C3937" s="209"/>
      <c r="D3937" s="209"/>
      <c r="E3937" s="209"/>
      <c r="J3937" s="124"/>
    </row>
    <row r="3938" spans="3:10" x14ac:dyDescent="0.2">
      <c r="C3938" s="209"/>
      <c r="D3938" s="209"/>
      <c r="E3938" s="209"/>
      <c r="J3938" s="124"/>
    </row>
    <row r="3939" spans="3:10" x14ac:dyDescent="0.2">
      <c r="C3939" s="209"/>
      <c r="D3939" s="209"/>
      <c r="E3939" s="209"/>
      <c r="J3939" s="124"/>
    </row>
    <row r="3940" spans="3:10" x14ac:dyDescent="0.2">
      <c r="C3940" s="209"/>
      <c r="D3940" s="209"/>
      <c r="E3940" s="209"/>
      <c r="J3940" s="124"/>
    </row>
    <row r="3941" spans="3:10" x14ac:dyDescent="0.2">
      <c r="C3941" s="209"/>
      <c r="D3941" s="209"/>
      <c r="E3941" s="209"/>
      <c r="J3941" s="124"/>
    </row>
    <row r="3942" spans="3:10" x14ac:dyDescent="0.2">
      <c r="C3942" s="209"/>
      <c r="D3942" s="209"/>
      <c r="E3942" s="209"/>
      <c r="J3942" s="124"/>
    </row>
    <row r="3943" spans="3:10" x14ac:dyDescent="0.2">
      <c r="C3943" s="209"/>
      <c r="D3943" s="209"/>
      <c r="E3943" s="209"/>
      <c r="J3943" s="124"/>
    </row>
    <row r="3944" spans="3:10" x14ac:dyDescent="0.2">
      <c r="C3944" s="209"/>
      <c r="D3944" s="209"/>
      <c r="E3944" s="209"/>
      <c r="J3944" s="124"/>
    </row>
    <row r="3945" spans="3:10" x14ac:dyDescent="0.2">
      <c r="C3945" s="209"/>
      <c r="D3945" s="209"/>
      <c r="E3945" s="209"/>
      <c r="J3945" s="124"/>
    </row>
    <row r="3946" spans="3:10" x14ac:dyDescent="0.2">
      <c r="C3946" s="209"/>
      <c r="D3946" s="209"/>
      <c r="E3946" s="209"/>
      <c r="J3946" s="124"/>
    </row>
    <row r="3947" spans="3:10" x14ac:dyDescent="0.2">
      <c r="C3947" s="209"/>
      <c r="D3947" s="209"/>
      <c r="E3947" s="209"/>
      <c r="J3947" s="124"/>
    </row>
    <row r="3948" spans="3:10" x14ac:dyDescent="0.2">
      <c r="C3948" s="209"/>
      <c r="D3948" s="209"/>
      <c r="E3948" s="209"/>
      <c r="J3948" s="124"/>
    </row>
    <row r="3949" spans="3:10" x14ac:dyDescent="0.2">
      <c r="C3949" s="209"/>
      <c r="D3949" s="209"/>
      <c r="E3949" s="209"/>
      <c r="J3949" s="124"/>
    </row>
    <row r="3950" spans="3:10" x14ac:dyDescent="0.2">
      <c r="C3950" s="209"/>
      <c r="D3950" s="209"/>
      <c r="E3950" s="209"/>
      <c r="J3950" s="124"/>
    </row>
    <row r="3951" spans="3:10" x14ac:dyDescent="0.2">
      <c r="C3951" s="209"/>
      <c r="D3951" s="209"/>
      <c r="E3951" s="209"/>
      <c r="J3951" s="124"/>
    </row>
    <row r="3952" spans="3:10" x14ac:dyDescent="0.2">
      <c r="C3952" s="209"/>
      <c r="D3952" s="209"/>
      <c r="E3952" s="209"/>
      <c r="J3952" s="124"/>
    </row>
    <row r="3953" spans="3:10" x14ac:dyDescent="0.2">
      <c r="C3953" s="209"/>
      <c r="D3953" s="209"/>
      <c r="E3953" s="209"/>
      <c r="J3953" s="124"/>
    </row>
    <row r="3954" spans="3:10" x14ac:dyDescent="0.2">
      <c r="C3954" s="209"/>
      <c r="D3954" s="209"/>
      <c r="E3954" s="209"/>
      <c r="J3954" s="124"/>
    </row>
    <row r="3955" spans="3:10" x14ac:dyDescent="0.2">
      <c r="C3955" s="209"/>
      <c r="D3955" s="209"/>
      <c r="E3955" s="209"/>
      <c r="J3955" s="124"/>
    </row>
    <row r="3956" spans="3:10" x14ac:dyDescent="0.2">
      <c r="C3956" s="209"/>
      <c r="D3956" s="209"/>
      <c r="E3956" s="209"/>
      <c r="J3956" s="124"/>
    </row>
    <row r="3957" spans="3:10" x14ac:dyDescent="0.2">
      <c r="C3957" s="209"/>
      <c r="D3957" s="209"/>
      <c r="E3957" s="209"/>
      <c r="J3957" s="124"/>
    </row>
    <row r="3958" spans="3:10" x14ac:dyDescent="0.2">
      <c r="C3958" s="209"/>
      <c r="D3958" s="209"/>
      <c r="E3958" s="209"/>
      <c r="J3958" s="124"/>
    </row>
    <row r="3959" spans="3:10" x14ac:dyDescent="0.2">
      <c r="C3959" s="209"/>
      <c r="D3959" s="209"/>
      <c r="E3959" s="209"/>
      <c r="J3959" s="124"/>
    </row>
    <row r="3960" spans="3:10" x14ac:dyDescent="0.2">
      <c r="C3960" s="209"/>
      <c r="D3960" s="209"/>
      <c r="E3960" s="209"/>
      <c r="J3960" s="124"/>
    </row>
    <row r="3961" spans="3:10" x14ac:dyDescent="0.2">
      <c r="C3961" s="209"/>
      <c r="D3961" s="209"/>
      <c r="E3961" s="209"/>
      <c r="J3961" s="124"/>
    </row>
    <row r="3962" spans="3:10" x14ac:dyDescent="0.2">
      <c r="C3962" s="209"/>
      <c r="D3962" s="209"/>
      <c r="E3962" s="209"/>
      <c r="J3962" s="124"/>
    </row>
    <row r="3963" spans="3:10" x14ac:dyDescent="0.2">
      <c r="C3963" s="209"/>
      <c r="D3963" s="209"/>
      <c r="E3963" s="209"/>
      <c r="J3963" s="124"/>
    </row>
    <row r="3964" spans="3:10" x14ac:dyDescent="0.2">
      <c r="C3964" s="209"/>
      <c r="D3964" s="209"/>
      <c r="E3964" s="209"/>
      <c r="J3964" s="124"/>
    </row>
    <row r="3965" spans="3:10" x14ac:dyDescent="0.2">
      <c r="C3965" s="209"/>
      <c r="D3965" s="209"/>
      <c r="E3965" s="209"/>
      <c r="J3965" s="124"/>
    </row>
    <row r="3966" spans="3:10" x14ac:dyDescent="0.2">
      <c r="C3966" s="209"/>
      <c r="D3966" s="209"/>
      <c r="E3966" s="209"/>
      <c r="J3966" s="124"/>
    </row>
    <row r="3967" spans="3:10" x14ac:dyDescent="0.2">
      <c r="C3967" s="209"/>
      <c r="D3967" s="209"/>
      <c r="E3967" s="209"/>
      <c r="J3967" s="124"/>
    </row>
    <row r="3968" spans="3:10" x14ac:dyDescent="0.2">
      <c r="C3968" s="209"/>
      <c r="D3968" s="209"/>
      <c r="E3968" s="209"/>
      <c r="J3968" s="124"/>
    </row>
    <row r="3969" spans="3:10" x14ac:dyDescent="0.2">
      <c r="C3969" s="209"/>
      <c r="D3969" s="209"/>
      <c r="E3969" s="209"/>
      <c r="J3969" s="124"/>
    </row>
    <row r="3970" spans="3:10" x14ac:dyDescent="0.2">
      <c r="C3970" s="209"/>
      <c r="D3970" s="209"/>
      <c r="E3970" s="209"/>
      <c r="J3970" s="124"/>
    </row>
    <row r="3971" spans="3:10" x14ac:dyDescent="0.2">
      <c r="C3971" s="209"/>
      <c r="D3971" s="209"/>
      <c r="E3971" s="209"/>
      <c r="J3971" s="124"/>
    </row>
    <row r="3972" spans="3:10" x14ac:dyDescent="0.2">
      <c r="C3972" s="209"/>
      <c r="D3972" s="209"/>
      <c r="E3972" s="209"/>
      <c r="J3972" s="124"/>
    </row>
    <row r="3973" spans="3:10" x14ac:dyDescent="0.2">
      <c r="C3973" s="209"/>
      <c r="D3973" s="209"/>
      <c r="E3973" s="209"/>
      <c r="J3973" s="124"/>
    </row>
    <row r="3974" spans="3:10" x14ac:dyDescent="0.2">
      <c r="C3974" s="209"/>
      <c r="D3974" s="209"/>
      <c r="E3974" s="209"/>
      <c r="J3974" s="124"/>
    </row>
    <row r="3975" spans="3:10" x14ac:dyDescent="0.2">
      <c r="C3975" s="209"/>
      <c r="D3975" s="209"/>
      <c r="E3975" s="209"/>
      <c r="J3975" s="124"/>
    </row>
    <row r="3976" spans="3:10" x14ac:dyDescent="0.2">
      <c r="C3976" s="209"/>
      <c r="D3976" s="209"/>
      <c r="E3976" s="209"/>
      <c r="J3976" s="124"/>
    </row>
    <row r="3977" spans="3:10" x14ac:dyDescent="0.2">
      <c r="C3977" s="209"/>
      <c r="D3977" s="209"/>
      <c r="E3977" s="209"/>
      <c r="J3977" s="124"/>
    </row>
    <row r="3978" spans="3:10" x14ac:dyDescent="0.2">
      <c r="C3978" s="209"/>
      <c r="D3978" s="209"/>
      <c r="E3978" s="209"/>
      <c r="J3978" s="124"/>
    </row>
    <row r="3979" spans="3:10" x14ac:dyDescent="0.2">
      <c r="C3979" s="209"/>
      <c r="D3979" s="209"/>
      <c r="E3979" s="209"/>
      <c r="J3979" s="124"/>
    </row>
    <row r="3980" spans="3:10" x14ac:dyDescent="0.2">
      <c r="C3980" s="209"/>
      <c r="D3980" s="209"/>
      <c r="E3980" s="209"/>
      <c r="J3980" s="124"/>
    </row>
    <row r="3981" spans="3:10" x14ac:dyDescent="0.2">
      <c r="C3981" s="209"/>
      <c r="D3981" s="209"/>
      <c r="E3981" s="209"/>
      <c r="J3981" s="124"/>
    </row>
    <row r="3982" spans="3:10" x14ac:dyDescent="0.2">
      <c r="C3982" s="209"/>
      <c r="D3982" s="209"/>
      <c r="E3982" s="209"/>
      <c r="J3982" s="124"/>
    </row>
    <row r="3983" spans="3:10" x14ac:dyDescent="0.2">
      <c r="C3983" s="209"/>
      <c r="D3983" s="209"/>
      <c r="E3983" s="209"/>
      <c r="J3983" s="124"/>
    </row>
    <row r="3984" spans="3:10" x14ac:dyDescent="0.2">
      <c r="C3984" s="209"/>
      <c r="D3984" s="209"/>
      <c r="E3984" s="209"/>
      <c r="J3984" s="124"/>
    </row>
    <row r="3985" spans="3:10" x14ac:dyDescent="0.2">
      <c r="C3985" s="209"/>
      <c r="D3985" s="209"/>
      <c r="E3985" s="209"/>
      <c r="J3985" s="124"/>
    </row>
    <row r="3986" spans="3:10" x14ac:dyDescent="0.2">
      <c r="C3986" s="209"/>
      <c r="D3986" s="209"/>
      <c r="E3986" s="209"/>
      <c r="J3986" s="124"/>
    </row>
    <row r="3987" spans="3:10" x14ac:dyDescent="0.2">
      <c r="C3987" s="209"/>
      <c r="D3987" s="209"/>
      <c r="E3987" s="209"/>
      <c r="J3987" s="124"/>
    </row>
    <row r="3988" spans="3:10" x14ac:dyDescent="0.2">
      <c r="C3988" s="209"/>
      <c r="D3988" s="209"/>
      <c r="E3988" s="209"/>
      <c r="J3988" s="124"/>
    </row>
    <row r="3989" spans="3:10" x14ac:dyDescent="0.2">
      <c r="C3989" s="209"/>
      <c r="D3989" s="209"/>
      <c r="E3989" s="209"/>
      <c r="J3989" s="124"/>
    </row>
    <row r="3990" spans="3:10" x14ac:dyDescent="0.2">
      <c r="C3990" s="209"/>
      <c r="D3990" s="209"/>
      <c r="E3990" s="209"/>
      <c r="J3990" s="124"/>
    </row>
    <row r="3991" spans="3:10" x14ac:dyDescent="0.2">
      <c r="C3991" s="209"/>
      <c r="D3991" s="209"/>
      <c r="E3991" s="209"/>
      <c r="J3991" s="124"/>
    </row>
    <row r="3992" spans="3:10" x14ac:dyDescent="0.2">
      <c r="C3992" s="209"/>
      <c r="D3992" s="209"/>
      <c r="E3992" s="209"/>
      <c r="J3992" s="124"/>
    </row>
    <row r="3993" spans="3:10" x14ac:dyDescent="0.2">
      <c r="C3993" s="209"/>
      <c r="D3993" s="209"/>
      <c r="E3993" s="209"/>
      <c r="J3993" s="124"/>
    </row>
    <row r="3994" spans="3:10" x14ac:dyDescent="0.2">
      <c r="C3994" s="209"/>
      <c r="D3994" s="209"/>
      <c r="E3994" s="209"/>
      <c r="J3994" s="124"/>
    </row>
    <row r="3995" spans="3:10" x14ac:dyDescent="0.2">
      <c r="C3995" s="209"/>
      <c r="D3995" s="209"/>
      <c r="E3995" s="209"/>
      <c r="J3995" s="124"/>
    </row>
    <row r="3996" spans="3:10" x14ac:dyDescent="0.2">
      <c r="C3996" s="209"/>
      <c r="D3996" s="209"/>
      <c r="E3996" s="209"/>
      <c r="J3996" s="124"/>
    </row>
    <row r="3997" spans="3:10" x14ac:dyDescent="0.2">
      <c r="C3997" s="209"/>
      <c r="D3997" s="209"/>
      <c r="E3997" s="209"/>
      <c r="J3997" s="124"/>
    </row>
    <row r="3998" spans="3:10" x14ac:dyDescent="0.2">
      <c r="C3998" s="209"/>
      <c r="D3998" s="209"/>
      <c r="E3998" s="209"/>
      <c r="J3998" s="124"/>
    </row>
    <row r="3999" spans="3:10" x14ac:dyDescent="0.2">
      <c r="C3999" s="209"/>
      <c r="D3999" s="209"/>
      <c r="E3999" s="209"/>
      <c r="J3999" s="124"/>
    </row>
    <row r="4000" spans="3:10" x14ac:dyDescent="0.2">
      <c r="C4000" s="209"/>
      <c r="D4000" s="209"/>
      <c r="E4000" s="209"/>
      <c r="J4000" s="124"/>
    </row>
    <row r="4001" spans="3:10" x14ac:dyDescent="0.2">
      <c r="C4001" s="209"/>
      <c r="D4001" s="209"/>
      <c r="E4001" s="209"/>
      <c r="J4001" s="124"/>
    </row>
    <row r="4002" spans="3:10" x14ac:dyDescent="0.2">
      <c r="C4002" s="209"/>
      <c r="D4002" s="209"/>
      <c r="E4002" s="209"/>
      <c r="J4002" s="124"/>
    </row>
    <row r="4003" spans="3:10" x14ac:dyDescent="0.2">
      <c r="C4003" s="209"/>
      <c r="D4003" s="209"/>
      <c r="E4003" s="209"/>
      <c r="J4003" s="124"/>
    </row>
    <row r="4004" spans="3:10" x14ac:dyDescent="0.2">
      <c r="C4004" s="209"/>
      <c r="D4004" s="209"/>
      <c r="E4004" s="209"/>
      <c r="J4004" s="124"/>
    </row>
    <row r="4005" spans="3:10" x14ac:dyDescent="0.2">
      <c r="C4005" s="209"/>
      <c r="D4005" s="209"/>
      <c r="E4005" s="209"/>
      <c r="J4005" s="124"/>
    </row>
    <row r="4006" spans="3:10" x14ac:dyDescent="0.2">
      <c r="C4006" s="209"/>
      <c r="D4006" s="209"/>
      <c r="E4006" s="209"/>
      <c r="J4006" s="124"/>
    </row>
    <row r="4007" spans="3:10" x14ac:dyDescent="0.2">
      <c r="C4007" s="209"/>
      <c r="D4007" s="209"/>
      <c r="E4007" s="209"/>
      <c r="J4007" s="124"/>
    </row>
    <row r="4008" spans="3:10" x14ac:dyDescent="0.2">
      <c r="C4008" s="209"/>
      <c r="D4008" s="209"/>
      <c r="E4008" s="209"/>
      <c r="J4008" s="124"/>
    </row>
    <row r="4009" spans="3:10" x14ac:dyDescent="0.2">
      <c r="C4009" s="209"/>
      <c r="D4009" s="209"/>
      <c r="E4009" s="209"/>
      <c r="J4009" s="124"/>
    </row>
    <row r="4010" spans="3:10" x14ac:dyDescent="0.2">
      <c r="C4010" s="209"/>
      <c r="D4010" s="209"/>
      <c r="E4010" s="209"/>
      <c r="J4010" s="124"/>
    </row>
    <row r="4011" spans="3:10" x14ac:dyDescent="0.2">
      <c r="C4011" s="209"/>
      <c r="D4011" s="209"/>
      <c r="E4011" s="209"/>
      <c r="J4011" s="124"/>
    </row>
    <row r="4012" spans="3:10" x14ac:dyDescent="0.2">
      <c r="C4012" s="209"/>
      <c r="D4012" s="209"/>
      <c r="E4012" s="209"/>
      <c r="J4012" s="124"/>
    </row>
    <row r="4013" spans="3:10" x14ac:dyDescent="0.2">
      <c r="C4013" s="209"/>
      <c r="D4013" s="209"/>
      <c r="E4013" s="209"/>
      <c r="J4013" s="124"/>
    </row>
    <row r="4014" spans="3:10" x14ac:dyDescent="0.2">
      <c r="C4014" s="209"/>
      <c r="D4014" s="209"/>
      <c r="E4014" s="209"/>
      <c r="J4014" s="124"/>
    </row>
    <row r="4015" spans="3:10" x14ac:dyDescent="0.2">
      <c r="C4015" s="209"/>
      <c r="D4015" s="209"/>
      <c r="E4015" s="209"/>
      <c r="J4015" s="124"/>
    </row>
    <row r="4016" spans="3:10" x14ac:dyDescent="0.2">
      <c r="C4016" s="209"/>
      <c r="D4016" s="209"/>
      <c r="E4016" s="209"/>
      <c r="J4016" s="124"/>
    </row>
    <row r="4017" spans="3:10" x14ac:dyDescent="0.2">
      <c r="C4017" s="209"/>
      <c r="D4017" s="209"/>
      <c r="E4017" s="209"/>
      <c r="J4017" s="124"/>
    </row>
    <row r="4018" spans="3:10" x14ac:dyDescent="0.2">
      <c r="C4018" s="209"/>
      <c r="D4018" s="209"/>
      <c r="E4018" s="209"/>
      <c r="J4018" s="124"/>
    </row>
    <row r="4019" spans="3:10" x14ac:dyDescent="0.2">
      <c r="C4019" s="209"/>
      <c r="D4019" s="209"/>
      <c r="E4019" s="209"/>
      <c r="J4019" s="124"/>
    </row>
    <row r="4020" spans="3:10" x14ac:dyDescent="0.2">
      <c r="C4020" s="209"/>
      <c r="D4020" s="209"/>
      <c r="E4020" s="209"/>
      <c r="J4020" s="124"/>
    </row>
    <row r="4021" spans="3:10" x14ac:dyDescent="0.2">
      <c r="C4021" s="209"/>
      <c r="D4021" s="209"/>
      <c r="E4021" s="209"/>
      <c r="J4021" s="124"/>
    </row>
    <row r="4022" spans="3:10" x14ac:dyDescent="0.2">
      <c r="C4022" s="209"/>
      <c r="D4022" s="209"/>
      <c r="E4022" s="209"/>
      <c r="J4022" s="124"/>
    </row>
    <row r="4023" spans="3:10" x14ac:dyDescent="0.2">
      <c r="C4023" s="209"/>
      <c r="D4023" s="209"/>
      <c r="E4023" s="209"/>
      <c r="J4023" s="124"/>
    </row>
    <row r="4024" spans="3:10" x14ac:dyDescent="0.2">
      <c r="C4024" s="209"/>
      <c r="D4024" s="209"/>
      <c r="E4024" s="209"/>
      <c r="J4024" s="124"/>
    </row>
    <row r="4025" spans="3:10" x14ac:dyDescent="0.2">
      <c r="C4025" s="209"/>
      <c r="D4025" s="209"/>
      <c r="E4025" s="209"/>
      <c r="J4025" s="124"/>
    </row>
    <row r="4026" spans="3:10" x14ac:dyDescent="0.2">
      <c r="C4026" s="209"/>
      <c r="D4026" s="209"/>
      <c r="E4026" s="209"/>
      <c r="J4026" s="124"/>
    </row>
    <row r="4027" spans="3:10" x14ac:dyDescent="0.2">
      <c r="C4027" s="209"/>
      <c r="D4027" s="209"/>
      <c r="E4027" s="209"/>
      <c r="J4027" s="124"/>
    </row>
    <row r="4028" spans="3:10" x14ac:dyDescent="0.2">
      <c r="C4028" s="209"/>
      <c r="D4028" s="209"/>
      <c r="E4028" s="209"/>
      <c r="J4028" s="124"/>
    </row>
    <row r="4029" spans="3:10" x14ac:dyDescent="0.2">
      <c r="C4029" s="209"/>
      <c r="D4029" s="209"/>
      <c r="E4029" s="209"/>
      <c r="J4029" s="124"/>
    </row>
    <row r="4030" spans="3:10" x14ac:dyDescent="0.2">
      <c r="C4030" s="209"/>
      <c r="D4030" s="209"/>
      <c r="E4030" s="209"/>
      <c r="J4030" s="124"/>
    </row>
    <row r="4031" spans="3:10" x14ac:dyDescent="0.2">
      <c r="C4031" s="209"/>
      <c r="D4031" s="209"/>
      <c r="E4031" s="209"/>
      <c r="J4031" s="124"/>
    </row>
    <row r="4032" spans="3:10" x14ac:dyDescent="0.2">
      <c r="C4032" s="209"/>
      <c r="D4032" s="209"/>
      <c r="E4032" s="209"/>
      <c r="J4032" s="124"/>
    </row>
    <row r="4033" spans="3:10" x14ac:dyDescent="0.2">
      <c r="C4033" s="209"/>
      <c r="D4033" s="209"/>
      <c r="E4033" s="209"/>
      <c r="J4033" s="124"/>
    </row>
    <row r="4034" spans="3:10" x14ac:dyDescent="0.2">
      <c r="C4034" s="209"/>
      <c r="D4034" s="209"/>
      <c r="E4034" s="209"/>
      <c r="J4034" s="124"/>
    </row>
    <row r="4035" spans="3:10" x14ac:dyDescent="0.2">
      <c r="C4035" s="209"/>
      <c r="D4035" s="209"/>
      <c r="E4035" s="209"/>
      <c r="J4035" s="124"/>
    </row>
    <row r="4036" spans="3:10" x14ac:dyDescent="0.2">
      <c r="C4036" s="209"/>
      <c r="D4036" s="209"/>
      <c r="E4036" s="209"/>
      <c r="J4036" s="124"/>
    </row>
    <row r="4037" spans="3:10" x14ac:dyDescent="0.2">
      <c r="C4037" s="209"/>
      <c r="D4037" s="209"/>
      <c r="E4037" s="209"/>
      <c r="J4037" s="124"/>
    </row>
    <row r="4038" spans="3:10" x14ac:dyDescent="0.2">
      <c r="C4038" s="209"/>
      <c r="D4038" s="209"/>
      <c r="E4038" s="209"/>
      <c r="J4038" s="124"/>
    </row>
    <row r="4039" spans="3:10" x14ac:dyDescent="0.2">
      <c r="C4039" s="209"/>
      <c r="D4039" s="209"/>
      <c r="E4039" s="209"/>
      <c r="J4039" s="124"/>
    </row>
    <row r="4040" spans="3:10" x14ac:dyDescent="0.2">
      <c r="C4040" s="209"/>
      <c r="D4040" s="209"/>
      <c r="E4040" s="209"/>
      <c r="J4040" s="124"/>
    </row>
    <row r="4041" spans="3:10" x14ac:dyDescent="0.2">
      <c r="C4041" s="209"/>
      <c r="D4041" s="209"/>
      <c r="E4041" s="209"/>
      <c r="J4041" s="124"/>
    </row>
    <row r="4042" spans="3:10" x14ac:dyDescent="0.2">
      <c r="C4042" s="209"/>
      <c r="D4042" s="209"/>
      <c r="E4042" s="209"/>
      <c r="J4042" s="124"/>
    </row>
    <row r="4043" spans="3:10" x14ac:dyDescent="0.2">
      <c r="C4043" s="209"/>
      <c r="D4043" s="209"/>
      <c r="E4043" s="209"/>
      <c r="J4043" s="124"/>
    </row>
    <row r="4044" spans="3:10" x14ac:dyDescent="0.2">
      <c r="C4044" s="209"/>
      <c r="D4044" s="209"/>
      <c r="E4044" s="209"/>
      <c r="J4044" s="124"/>
    </row>
    <row r="4045" spans="3:10" x14ac:dyDescent="0.2">
      <c r="C4045" s="209"/>
      <c r="D4045" s="209"/>
      <c r="E4045" s="209"/>
      <c r="J4045" s="124"/>
    </row>
    <row r="4046" spans="3:10" x14ac:dyDescent="0.2">
      <c r="C4046" s="209"/>
      <c r="D4046" s="209"/>
      <c r="E4046" s="209"/>
      <c r="J4046" s="124"/>
    </row>
    <row r="4047" spans="3:10" x14ac:dyDescent="0.2">
      <c r="C4047" s="209"/>
      <c r="D4047" s="209"/>
      <c r="E4047" s="209"/>
      <c r="J4047" s="124"/>
    </row>
    <row r="4048" spans="3:10" x14ac:dyDescent="0.2">
      <c r="C4048" s="209"/>
      <c r="D4048" s="209"/>
      <c r="E4048" s="209"/>
      <c r="J4048" s="124"/>
    </row>
    <row r="4049" spans="3:10" x14ac:dyDescent="0.2">
      <c r="C4049" s="209"/>
      <c r="D4049" s="209"/>
      <c r="E4049" s="209"/>
      <c r="J4049" s="124"/>
    </row>
    <row r="4050" spans="3:10" x14ac:dyDescent="0.2">
      <c r="C4050" s="209"/>
      <c r="D4050" s="209"/>
      <c r="E4050" s="209"/>
      <c r="J4050" s="124"/>
    </row>
    <row r="4051" spans="3:10" x14ac:dyDescent="0.2">
      <c r="C4051" s="209"/>
      <c r="D4051" s="209"/>
      <c r="E4051" s="209"/>
      <c r="J4051" s="124"/>
    </row>
    <row r="4052" spans="3:10" x14ac:dyDescent="0.2">
      <c r="C4052" s="209"/>
      <c r="D4052" s="209"/>
      <c r="E4052" s="209"/>
      <c r="J4052" s="124"/>
    </row>
    <row r="4053" spans="3:10" x14ac:dyDescent="0.2">
      <c r="C4053" s="209"/>
      <c r="D4053" s="209"/>
      <c r="E4053" s="209"/>
      <c r="J4053" s="124"/>
    </row>
    <row r="4054" spans="3:10" x14ac:dyDescent="0.2">
      <c r="C4054" s="209"/>
      <c r="D4054" s="209"/>
      <c r="E4054" s="209"/>
      <c r="J4054" s="124"/>
    </row>
    <row r="4055" spans="3:10" x14ac:dyDescent="0.2">
      <c r="C4055" s="209"/>
      <c r="D4055" s="209"/>
      <c r="E4055" s="209"/>
      <c r="J4055" s="124"/>
    </row>
    <row r="4056" spans="3:10" x14ac:dyDescent="0.2">
      <c r="C4056" s="209"/>
      <c r="D4056" s="209"/>
      <c r="E4056" s="209"/>
      <c r="J4056" s="124"/>
    </row>
    <row r="4057" spans="3:10" x14ac:dyDescent="0.2">
      <c r="C4057" s="209"/>
      <c r="D4057" s="209"/>
      <c r="E4057" s="209"/>
      <c r="J4057" s="124"/>
    </row>
    <row r="4058" spans="3:10" x14ac:dyDescent="0.2">
      <c r="C4058" s="209"/>
      <c r="D4058" s="209"/>
      <c r="E4058" s="209"/>
      <c r="J4058" s="124"/>
    </row>
    <row r="4059" spans="3:10" x14ac:dyDescent="0.2">
      <c r="C4059" s="209"/>
      <c r="D4059" s="209"/>
      <c r="E4059" s="209"/>
      <c r="J4059" s="124"/>
    </row>
    <row r="4060" spans="3:10" x14ac:dyDescent="0.2">
      <c r="C4060" s="209"/>
      <c r="D4060" s="209"/>
      <c r="E4060" s="209"/>
      <c r="J4060" s="124"/>
    </row>
    <row r="4061" spans="3:10" x14ac:dyDescent="0.2">
      <c r="C4061" s="209"/>
      <c r="D4061" s="209"/>
      <c r="E4061" s="209"/>
      <c r="J4061" s="124"/>
    </row>
    <row r="4062" spans="3:10" x14ac:dyDescent="0.2">
      <c r="C4062" s="209"/>
      <c r="D4062" s="209"/>
      <c r="E4062" s="209"/>
      <c r="J4062" s="124"/>
    </row>
    <row r="4063" spans="3:10" x14ac:dyDescent="0.2">
      <c r="C4063" s="209"/>
      <c r="D4063" s="209"/>
      <c r="E4063" s="209"/>
      <c r="J4063" s="124"/>
    </row>
    <row r="4064" spans="3:10" x14ac:dyDescent="0.2">
      <c r="C4064" s="209"/>
      <c r="D4064" s="209"/>
      <c r="E4064" s="209"/>
      <c r="J4064" s="124"/>
    </row>
    <row r="4065" spans="3:10" x14ac:dyDescent="0.2">
      <c r="C4065" s="209"/>
      <c r="D4065" s="209"/>
      <c r="E4065" s="209"/>
      <c r="J4065" s="124"/>
    </row>
    <row r="4066" spans="3:10" x14ac:dyDescent="0.2">
      <c r="C4066" s="209"/>
      <c r="D4066" s="209"/>
      <c r="E4066" s="209"/>
      <c r="J4066" s="124"/>
    </row>
    <row r="4067" spans="3:10" x14ac:dyDescent="0.2">
      <c r="C4067" s="209"/>
      <c r="D4067" s="209"/>
      <c r="E4067" s="209"/>
      <c r="J4067" s="124"/>
    </row>
    <row r="4068" spans="3:10" x14ac:dyDescent="0.2">
      <c r="C4068" s="209"/>
      <c r="D4068" s="209"/>
      <c r="E4068" s="209"/>
      <c r="J4068" s="124"/>
    </row>
    <row r="4069" spans="3:10" x14ac:dyDescent="0.2">
      <c r="C4069" s="209"/>
      <c r="D4069" s="209"/>
      <c r="E4069" s="209"/>
      <c r="J4069" s="124"/>
    </row>
    <row r="4070" spans="3:10" x14ac:dyDescent="0.2">
      <c r="C4070" s="209"/>
      <c r="D4070" s="209"/>
      <c r="E4070" s="209"/>
      <c r="J4070" s="124"/>
    </row>
    <row r="4071" spans="3:10" x14ac:dyDescent="0.2">
      <c r="C4071" s="209"/>
      <c r="D4071" s="209"/>
      <c r="E4071" s="209"/>
      <c r="J4071" s="124"/>
    </row>
    <row r="4072" spans="3:10" x14ac:dyDescent="0.2">
      <c r="C4072" s="209"/>
      <c r="D4072" s="209"/>
      <c r="E4072" s="209"/>
      <c r="J4072" s="124"/>
    </row>
    <row r="4073" spans="3:10" x14ac:dyDescent="0.2">
      <c r="C4073" s="209"/>
      <c r="D4073" s="209"/>
      <c r="E4073" s="209"/>
      <c r="J4073" s="124"/>
    </row>
    <row r="4074" spans="3:10" x14ac:dyDescent="0.2">
      <c r="C4074" s="209"/>
      <c r="D4074" s="209"/>
      <c r="E4074" s="209"/>
      <c r="J4074" s="124"/>
    </row>
    <row r="4075" spans="3:10" x14ac:dyDescent="0.2">
      <c r="C4075" s="209"/>
      <c r="D4075" s="209"/>
      <c r="E4075" s="209"/>
      <c r="J4075" s="124"/>
    </row>
    <row r="4076" spans="3:10" x14ac:dyDescent="0.2">
      <c r="C4076" s="209"/>
      <c r="D4076" s="209"/>
      <c r="E4076" s="209"/>
      <c r="J4076" s="124"/>
    </row>
    <row r="4077" spans="3:10" x14ac:dyDescent="0.2">
      <c r="C4077" s="209"/>
      <c r="D4077" s="209"/>
      <c r="E4077" s="209"/>
      <c r="J4077" s="124"/>
    </row>
    <row r="4078" spans="3:10" x14ac:dyDescent="0.2">
      <c r="C4078" s="209"/>
      <c r="D4078" s="209"/>
      <c r="E4078" s="209"/>
      <c r="J4078" s="124"/>
    </row>
    <row r="4079" spans="3:10" x14ac:dyDescent="0.2">
      <c r="C4079" s="209"/>
      <c r="D4079" s="209"/>
      <c r="E4079" s="209"/>
      <c r="J4079" s="124"/>
    </row>
    <row r="4080" spans="3:10" x14ac:dyDescent="0.2">
      <c r="C4080" s="209"/>
      <c r="D4080" s="209"/>
      <c r="E4080" s="209"/>
      <c r="J4080" s="124"/>
    </row>
    <row r="4081" spans="3:10" x14ac:dyDescent="0.2">
      <c r="C4081" s="209"/>
      <c r="D4081" s="209"/>
      <c r="E4081" s="209"/>
      <c r="J4081" s="124"/>
    </row>
    <row r="4082" spans="3:10" x14ac:dyDescent="0.2">
      <c r="C4082" s="209"/>
      <c r="D4082" s="209"/>
      <c r="E4082" s="209"/>
      <c r="J4082" s="124"/>
    </row>
    <row r="4083" spans="3:10" x14ac:dyDescent="0.2">
      <c r="C4083" s="209"/>
      <c r="D4083" s="209"/>
      <c r="E4083" s="209"/>
      <c r="J4083" s="124"/>
    </row>
    <row r="4084" spans="3:10" x14ac:dyDescent="0.2">
      <c r="C4084" s="209"/>
      <c r="D4084" s="209"/>
      <c r="E4084" s="209"/>
      <c r="J4084" s="124"/>
    </row>
    <row r="4085" spans="3:10" x14ac:dyDescent="0.2">
      <c r="C4085" s="209"/>
      <c r="D4085" s="209"/>
      <c r="E4085" s="209"/>
      <c r="J4085" s="124"/>
    </row>
    <row r="4086" spans="3:10" x14ac:dyDescent="0.2">
      <c r="C4086" s="209"/>
      <c r="D4086" s="209"/>
      <c r="E4086" s="209"/>
      <c r="J4086" s="124"/>
    </row>
    <row r="4087" spans="3:10" x14ac:dyDescent="0.2">
      <c r="C4087" s="209"/>
      <c r="D4087" s="209"/>
      <c r="E4087" s="209"/>
      <c r="J4087" s="124"/>
    </row>
    <row r="4088" spans="3:10" x14ac:dyDescent="0.2">
      <c r="C4088" s="209"/>
      <c r="D4088" s="209"/>
      <c r="E4088" s="209"/>
      <c r="J4088" s="124"/>
    </row>
    <row r="4089" spans="3:10" x14ac:dyDescent="0.2">
      <c r="C4089" s="209"/>
      <c r="D4089" s="209"/>
      <c r="E4089" s="209"/>
      <c r="J4089" s="124"/>
    </row>
    <row r="4090" spans="3:10" x14ac:dyDescent="0.2">
      <c r="C4090" s="209"/>
      <c r="D4090" s="209"/>
      <c r="E4090" s="209"/>
      <c r="J4090" s="124"/>
    </row>
    <row r="4091" spans="3:10" x14ac:dyDescent="0.2">
      <c r="C4091" s="209"/>
      <c r="D4091" s="209"/>
      <c r="E4091" s="209"/>
      <c r="J4091" s="124"/>
    </row>
    <row r="4092" spans="3:10" x14ac:dyDescent="0.2">
      <c r="C4092" s="209"/>
      <c r="D4092" s="209"/>
      <c r="E4092" s="209"/>
      <c r="J4092" s="124"/>
    </row>
    <row r="4093" spans="3:10" x14ac:dyDescent="0.2">
      <c r="C4093" s="209"/>
      <c r="D4093" s="209"/>
      <c r="E4093" s="209"/>
      <c r="J4093" s="124"/>
    </row>
    <row r="4094" spans="3:10" x14ac:dyDescent="0.2">
      <c r="C4094" s="209"/>
      <c r="D4094" s="209"/>
      <c r="E4094" s="209"/>
      <c r="J4094" s="124"/>
    </row>
    <row r="4095" spans="3:10" x14ac:dyDescent="0.2">
      <c r="C4095" s="209"/>
      <c r="D4095" s="209"/>
      <c r="E4095" s="209"/>
      <c r="J4095" s="124"/>
    </row>
    <row r="4096" spans="3:10" x14ac:dyDescent="0.2">
      <c r="C4096" s="209"/>
      <c r="D4096" s="209"/>
      <c r="E4096" s="209"/>
      <c r="J4096" s="124"/>
    </row>
    <row r="4097" spans="3:10" x14ac:dyDescent="0.2">
      <c r="C4097" s="209"/>
      <c r="D4097" s="209"/>
      <c r="E4097" s="209"/>
      <c r="J4097" s="124"/>
    </row>
    <row r="4098" spans="3:10" x14ac:dyDescent="0.2">
      <c r="C4098" s="209"/>
      <c r="D4098" s="209"/>
      <c r="E4098" s="209"/>
      <c r="J4098" s="124"/>
    </row>
    <row r="4099" spans="3:10" x14ac:dyDescent="0.2">
      <c r="C4099" s="209"/>
      <c r="D4099" s="209"/>
      <c r="E4099" s="209"/>
      <c r="J4099" s="124"/>
    </row>
    <row r="4100" spans="3:10" x14ac:dyDescent="0.2">
      <c r="C4100" s="209"/>
      <c r="D4100" s="209"/>
      <c r="E4100" s="209"/>
      <c r="J4100" s="124"/>
    </row>
    <row r="4101" spans="3:10" x14ac:dyDescent="0.2">
      <c r="C4101" s="209"/>
      <c r="D4101" s="209"/>
      <c r="E4101" s="209"/>
      <c r="J4101" s="124"/>
    </row>
    <row r="4102" spans="3:10" x14ac:dyDescent="0.2">
      <c r="C4102" s="209"/>
      <c r="D4102" s="209"/>
      <c r="E4102" s="209"/>
      <c r="J4102" s="124"/>
    </row>
    <row r="4103" spans="3:10" x14ac:dyDescent="0.2">
      <c r="C4103" s="209"/>
      <c r="D4103" s="209"/>
      <c r="E4103" s="209"/>
      <c r="J4103" s="124"/>
    </row>
    <row r="4104" spans="3:10" x14ac:dyDescent="0.2">
      <c r="C4104" s="209"/>
      <c r="D4104" s="209"/>
      <c r="E4104" s="209"/>
      <c r="J4104" s="124"/>
    </row>
    <row r="4105" spans="3:10" x14ac:dyDescent="0.2">
      <c r="C4105" s="209"/>
      <c r="D4105" s="209"/>
      <c r="E4105" s="209"/>
      <c r="J4105" s="124"/>
    </row>
    <row r="4106" spans="3:10" x14ac:dyDescent="0.2">
      <c r="C4106" s="209"/>
      <c r="D4106" s="209"/>
      <c r="E4106" s="209"/>
      <c r="J4106" s="124"/>
    </row>
    <row r="4107" spans="3:10" x14ac:dyDescent="0.2">
      <c r="C4107" s="209"/>
      <c r="D4107" s="209"/>
      <c r="E4107" s="209"/>
      <c r="J4107" s="124"/>
    </row>
    <row r="4108" spans="3:10" x14ac:dyDescent="0.2">
      <c r="C4108" s="209"/>
      <c r="D4108" s="209"/>
      <c r="E4108" s="209"/>
      <c r="J4108" s="124"/>
    </row>
    <row r="4109" spans="3:10" x14ac:dyDescent="0.2">
      <c r="C4109" s="209"/>
      <c r="D4109" s="209"/>
      <c r="E4109" s="209"/>
      <c r="J4109" s="124"/>
    </row>
    <row r="4110" spans="3:10" x14ac:dyDescent="0.2">
      <c r="C4110" s="209"/>
      <c r="D4110" s="209"/>
      <c r="E4110" s="209"/>
      <c r="J4110" s="124"/>
    </row>
    <row r="4111" spans="3:10" x14ac:dyDescent="0.2">
      <c r="C4111" s="209"/>
      <c r="D4111" s="209"/>
      <c r="E4111" s="209"/>
      <c r="J4111" s="124"/>
    </row>
    <row r="4112" spans="3:10" x14ac:dyDescent="0.2">
      <c r="C4112" s="209"/>
      <c r="D4112" s="209"/>
      <c r="E4112" s="209"/>
      <c r="J4112" s="124"/>
    </row>
    <row r="4113" spans="3:10" x14ac:dyDescent="0.2">
      <c r="C4113" s="209"/>
      <c r="D4113" s="209"/>
      <c r="E4113" s="209"/>
      <c r="J4113" s="124"/>
    </row>
    <row r="4114" spans="3:10" x14ac:dyDescent="0.2">
      <c r="C4114" s="209"/>
      <c r="D4114" s="209"/>
      <c r="E4114" s="209"/>
      <c r="J4114" s="124"/>
    </row>
    <row r="4115" spans="3:10" x14ac:dyDescent="0.2">
      <c r="C4115" s="209"/>
      <c r="D4115" s="209"/>
      <c r="E4115" s="209"/>
      <c r="J4115" s="124"/>
    </row>
    <row r="4116" spans="3:10" x14ac:dyDescent="0.2">
      <c r="C4116" s="209"/>
      <c r="D4116" s="209"/>
      <c r="E4116" s="209"/>
      <c r="J4116" s="124"/>
    </row>
    <row r="4117" spans="3:10" x14ac:dyDescent="0.2">
      <c r="C4117" s="209"/>
      <c r="D4117" s="209"/>
      <c r="E4117" s="209"/>
      <c r="J4117" s="124"/>
    </row>
    <row r="4118" spans="3:10" x14ac:dyDescent="0.2">
      <c r="C4118" s="209"/>
      <c r="D4118" s="209"/>
      <c r="E4118" s="209"/>
      <c r="J4118" s="124"/>
    </row>
    <row r="4119" spans="3:10" x14ac:dyDescent="0.2">
      <c r="C4119" s="209"/>
      <c r="D4119" s="209"/>
      <c r="E4119" s="209"/>
      <c r="J4119" s="124"/>
    </row>
    <row r="4120" spans="3:10" x14ac:dyDescent="0.2">
      <c r="C4120" s="209"/>
      <c r="D4120" s="209"/>
      <c r="E4120" s="209"/>
      <c r="J4120" s="124"/>
    </row>
    <row r="4121" spans="3:10" x14ac:dyDescent="0.2">
      <c r="C4121" s="209"/>
      <c r="D4121" s="209"/>
      <c r="E4121" s="209"/>
      <c r="J4121" s="124"/>
    </row>
    <row r="4122" spans="3:10" x14ac:dyDescent="0.2">
      <c r="C4122" s="209"/>
      <c r="D4122" s="209"/>
      <c r="E4122" s="209"/>
      <c r="J4122" s="124"/>
    </row>
    <row r="4123" spans="3:10" x14ac:dyDescent="0.2">
      <c r="C4123" s="209"/>
      <c r="D4123" s="209"/>
      <c r="E4123" s="209"/>
      <c r="J4123" s="124"/>
    </row>
    <row r="4124" spans="3:10" x14ac:dyDescent="0.2">
      <c r="C4124" s="209"/>
      <c r="D4124" s="209"/>
      <c r="E4124" s="209"/>
      <c r="J4124" s="124"/>
    </row>
    <row r="4125" spans="3:10" x14ac:dyDescent="0.2">
      <c r="C4125" s="209"/>
      <c r="D4125" s="209"/>
      <c r="E4125" s="209"/>
      <c r="J4125" s="124"/>
    </row>
    <row r="4126" spans="3:10" x14ac:dyDescent="0.2">
      <c r="C4126" s="209"/>
      <c r="D4126" s="209"/>
      <c r="E4126" s="209"/>
      <c r="J4126" s="124"/>
    </row>
    <row r="4127" spans="3:10" x14ac:dyDescent="0.2">
      <c r="C4127" s="209"/>
      <c r="D4127" s="209"/>
      <c r="E4127" s="209"/>
      <c r="J4127" s="124"/>
    </row>
    <row r="4128" spans="3:10" x14ac:dyDescent="0.2">
      <c r="C4128" s="209"/>
      <c r="D4128" s="209"/>
      <c r="E4128" s="209"/>
      <c r="J4128" s="124"/>
    </row>
    <row r="4129" spans="3:10" x14ac:dyDescent="0.2">
      <c r="C4129" s="209"/>
      <c r="D4129" s="209"/>
      <c r="E4129" s="209"/>
      <c r="J4129" s="124"/>
    </row>
    <row r="4130" spans="3:10" x14ac:dyDescent="0.2">
      <c r="C4130" s="209"/>
      <c r="D4130" s="209"/>
      <c r="E4130" s="209"/>
      <c r="J4130" s="124"/>
    </row>
    <row r="4131" spans="3:10" x14ac:dyDescent="0.2">
      <c r="C4131" s="209"/>
      <c r="D4131" s="209"/>
      <c r="E4131" s="209"/>
      <c r="J4131" s="124"/>
    </row>
    <row r="4132" spans="3:10" x14ac:dyDescent="0.2">
      <c r="C4132" s="209"/>
      <c r="D4132" s="209"/>
      <c r="E4132" s="209"/>
      <c r="J4132" s="124"/>
    </row>
    <row r="4133" spans="3:10" x14ac:dyDescent="0.2">
      <c r="C4133" s="209"/>
      <c r="D4133" s="209"/>
      <c r="E4133" s="209"/>
      <c r="J4133" s="124"/>
    </row>
    <row r="4134" spans="3:10" x14ac:dyDescent="0.2">
      <c r="C4134" s="209"/>
      <c r="D4134" s="209"/>
      <c r="E4134" s="209"/>
      <c r="J4134" s="124"/>
    </row>
    <row r="4135" spans="3:10" x14ac:dyDescent="0.2">
      <c r="C4135" s="209"/>
      <c r="D4135" s="209"/>
      <c r="E4135" s="209"/>
      <c r="J4135" s="124"/>
    </row>
    <row r="4136" spans="3:10" x14ac:dyDescent="0.2">
      <c r="C4136" s="209"/>
      <c r="D4136" s="209"/>
      <c r="E4136" s="209"/>
      <c r="J4136" s="124"/>
    </row>
    <row r="4137" spans="3:10" x14ac:dyDescent="0.2">
      <c r="C4137" s="209"/>
      <c r="D4137" s="209"/>
      <c r="E4137" s="209"/>
      <c r="J4137" s="124"/>
    </row>
    <row r="4138" spans="3:10" x14ac:dyDescent="0.2">
      <c r="C4138" s="209"/>
      <c r="D4138" s="209"/>
      <c r="E4138" s="209"/>
      <c r="J4138" s="124"/>
    </row>
    <row r="4139" spans="3:10" x14ac:dyDescent="0.2">
      <c r="C4139" s="209"/>
      <c r="D4139" s="209"/>
      <c r="E4139" s="209"/>
      <c r="J4139" s="124"/>
    </row>
    <row r="4140" spans="3:10" x14ac:dyDescent="0.2">
      <c r="C4140" s="209"/>
      <c r="D4140" s="209"/>
      <c r="E4140" s="209"/>
      <c r="J4140" s="124"/>
    </row>
    <row r="4141" spans="3:10" x14ac:dyDescent="0.2">
      <c r="C4141" s="209"/>
      <c r="D4141" s="209"/>
      <c r="E4141" s="209"/>
      <c r="J4141" s="124"/>
    </row>
    <row r="4142" spans="3:10" x14ac:dyDescent="0.2">
      <c r="C4142" s="209"/>
      <c r="D4142" s="209"/>
      <c r="E4142" s="209"/>
      <c r="J4142" s="124"/>
    </row>
    <row r="4143" spans="3:10" x14ac:dyDescent="0.2">
      <c r="C4143" s="209"/>
      <c r="D4143" s="209"/>
      <c r="E4143" s="209"/>
      <c r="J4143" s="124"/>
    </row>
    <row r="4144" spans="3:10" x14ac:dyDescent="0.2">
      <c r="C4144" s="209"/>
      <c r="D4144" s="209"/>
      <c r="E4144" s="209"/>
      <c r="J4144" s="124"/>
    </row>
    <row r="4145" spans="3:10" x14ac:dyDescent="0.2">
      <c r="C4145" s="209"/>
      <c r="D4145" s="209"/>
      <c r="E4145" s="209"/>
      <c r="J4145" s="124"/>
    </row>
    <row r="4146" spans="3:10" x14ac:dyDescent="0.2">
      <c r="C4146" s="209"/>
      <c r="D4146" s="209"/>
      <c r="E4146" s="209"/>
      <c r="J4146" s="124"/>
    </row>
    <row r="4147" spans="3:10" x14ac:dyDescent="0.2">
      <c r="C4147" s="209"/>
      <c r="D4147" s="209"/>
      <c r="E4147" s="209"/>
      <c r="J4147" s="124"/>
    </row>
    <row r="4148" spans="3:10" x14ac:dyDescent="0.2">
      <c r="C4148" s="209"/>
      <c r="D4148" s="209"/>
      <c r="E4148" s="209"/>
      <c r="J4148" s="124"/>
    </row>
    <row r="4149" spans="3:10" x14ac:dyDescent="0.2">
      <c r="C4149" s="209"/>
      <c r="D4149" s="209"/>
      <c r="E4149" s="209"/>
      <c r="J4149" s="124"/>
    </row>
    <row r="4150" spans="3:10" x14ac:dyDescent="0.2">
      <c r="C4150" s="209"/>
      <c r="D4150" s="209"/>
      <c r="E4150" s="209"/>
      <c r="J4150" s="124"/>
    </row>
    <row r="4151" spans="3:10" x14ac:dyDescent="0.2">
      <c r="C4151" s="209"/>
      <c r="D4151" s="209"/>
      <c r="E4151" s="209"/>
      <c r="J4151" s="124"/>
    </row>
    <row r="4152" spans="3:10" x14ac:dyDescent="0.2">
      <c r="C4152" s="209"/>
      <c r="D4152" s="209"/>
      <c r="E4152" s="209"/>
      <c r="J4152" s="124"/>
    </row>
    <row r="4153" spans="3:10" x14ac:dyDescent="0.2">
      <c r="C4153" s="209"/>
      <c r="D4153" s="209"/>
      <c r="E4153" s="209"/>
      <c r="J4153" s="124"/>
    </row>
    <row r="4154" spans="3:10" x14ac:dyDescent="0.2">
      <c r="C4154" s="209"/>
      <c r="D4154" s="209"/>
      <c r="E4154" s="209"/>
      <c r="J4154" s="124"/>
    </row>
    <row r="4155" spans="3:10" x14ac:dyDescent="0.2">
      <c r="C4155" s="209"/>
      <c r="D4155" s="209"/>
      <c r="E4155" s="209"/>
      <c r="J4155" s="124"/>
    </row>
    <row r="4156" spans="3:10" x14ac:dyDescent="0.2">
      <c r="C4156" s="209"/>
      <c r="D4156" s="209"/>
      <c r="E4156" s="209"/>
      <c r="J4156" s="124"/>
    </row>
    <row r="4157" spans="3:10" x14ac:dyDescent="0.2">
      <c r="C4157" s="209"/>
      <c r="D4157" s="209"/>
      <c r="E4157" s="209"/>
      <c r="J4157" s="124"/>
    </row>
    <row r="4158" spans="3:10" x14ac:dyDescent="0.2">
      <c r="C4158" s="209"/>
      <c r="D4158" s="209"/>
      <c r="E4158" s="209"/>
      <c r="J4158" s="124"/>
    </row>
    <row r="4159" spans="3:10" x14ac:dyDescent="0.2">
      <c r="C4159" s="209"/>
      <c r="D4159" s="209"/>
      <c r="E4159" s="209"/>
      <c r="J4159" s="124"/>
    </row>
    <row r="4160" spans="3:10" x14ac:dyDescent="0.2">
      <c r="C4160" s="209"/>
      <c r="D4160" s="209"/>
      <c r="E4160" s="209"/>
      <c r="J4160" s="124"/>
    </row>
    <row r="4161" spans="3:10" x14ac:dyDescent="0.2">
      <c r="C4161" s="209"/>
      <c r="D4161" s="209"/>
      <c r="E4161" s="209"/>
      <c r="J4161" s="124"/>
    </row>
    <row r="4162" spans="3:10" x14ac:dyDescent="0.2">
      <c r="C4162" s="209"/>
      <c r="D4162" s="209"/>
      <c r="E4162" s="209"/>
      <c r="J4162" s="124"/>
    </row>
    <row r="4163" spans="3:10" x14ac:dyDescent="0.2">
      <c r="C4163" s="209"/>
      <c r="D4163" s="209"/>
      <c r="E4163" s="209"/>
      <c r="J4163" s="124"/>
    </row>
    <row r="4164" spans="3:10" x14ac:dyDescent="0.2">
      <c r="C4164" s="209"/>
      <c r="D4164" s="209"/>
      <c r="E4164" s="209"/>
      <c r="J4164" s="124"/>
    </row>
    <row r="4165" spans="3:10" x14ac:dyDescent="0.2">
      <c r="C4165" s="209"/>
      <c r="D4165" s="209"/>
      <c r="E4165" s="209"/>
      <c r="J4165" s="124"/>
    </row>
    <row r="4166" spans="3:10" x14ac:dyDescent="0.2">
      <c r="C4166" s="209"/>
      <c r="D4166" s="209"/>
      <c r="E4166" s="209"/>
      <c r="J4166" s="124"/>
    </row>
    <row r="4167" spans="3:10" x14ac:dyDescent="0.2">
      <c r="C4167" s="209"/>
      <c r="D4167" s="209"/>
      <c r="E4167" s="209"/>
      <c r="J4167" s="124"/>
    </row>
    <row r="4168" spans="3:10" x14ac:dyDescent="0.2">
      <c r="C4168" s="209"/>
      <c r="D4168" s="209"/>
      <c r="E4168" s="209"/>
      <c r="J4168" s="124"/>
    </row>
    <row r="4169" spans="3:10" x14ac:dyDescent="0.2">
      <c r="C4169" s="209"/>
      <c r="D4169" s="209"/>
      <c r="E4169" s="209"/>
      <c r="J4169" s="124"/>
    </row>
    <row r="4170" spans="3:10" x14ac:dyDescent="0.2">
      <c r="C4170" s="209"/>
      <c r="D4170" s="209"/>
      <c r="E4170" s="209"/>
      <c r="J4170" s="124"/>
    </row>
    <row r="4171" spans="3:10" x14ac:dyDescent="0.2">
      <c r="C4171" s="209"/>
      <c r="D4171" s="209"/>
      <c r="E4171" s="209"/>
      <c r="J4171" s="124"/>
    </row>
    <row r="4172" spans="3:10" x14ac:dyDescent="0.2">
      <c r="C4172" s="209"/>
      <c r="D4172" s="209"/>
      <c r="E4172" s="209"/>
      <c r="J4172" s="124"/>
    </row>
    <row r="4173" spans="3:10" x14ac:dyDescent="0.2">
      <c r="C4173" s="209"/>
      <c r="D4173" s="209"/>
      <c r="E4173" s="209"/>
      <c r="J4173" s="124"/>
    </row>
    <row r="4174" spans="3:10" x14ac:dyDescent="0.2">
      <c r="C4174" s="209"/>
      <c r="D4174" s="209"/>
      <c r="E4174" s="209"/>
      <c r="J4174" s="124"/>
    </row>
    <row r="4175" spans="3:10" x14ac:dyDescent="0.2">
      <c r="C4175" s="209"/>
      <c r="D4175" s="209"/>
      <c r="E4175" s="209"/>
      <c r="J4175" s="124"/>
    </row>
    <row r="4176" spans="3:10" x14ac:dyDescent="0.2">
      <c r="C4176" s="209"/>
      <c r="D4176" s="209"/>
      <c r="E4176" s="209"/>
      <c r="J4176" s="124"/>
    </row>
    <row r="4177" spans="3:10" x14ac:dyDescent="0.2">
      <c r="C4177" s="209"/>
      <c r="D4177" s="209"/>
      <c r="E4177" s="209"/>
      <c r="J4177" s="124"/>
    </row>
    <row r="4178" spans="3:10" x14ac:dyDescent="0.2">
      <c r="C4178" s="209"/>
      <c r="D4178" s="209"/>
      <c r="E4178" s="209"/>
      <c r="J4178" s="124"/>
    </row>
    <row r="4179" spans="3:10" x14ac:dyDescent="0.2">
      <c r="C4179" s="209"/>
      <c r="D4179" s="209"/>
      <c r="E4179" s="209"/>
      <c r="J4179" s="124"/>
    </row>
    <row r="4180" spans="3:10" x14ac:dyDescent="0.2">
      <c r="C4180" s="209"/>
      <c r="D4180" s="209"/>
      <c r="E4180" s="209"/>
      <c r="J4180" s="124"/>
    </row>
    <row r="4181" spans="3:10" x14ac:dyDescent="0.2">
      <c r="C4181" s="209"/>
      <c r="D4181" s="209"/>
      <c r="E4181" s="209"/>
      <c r="J4181" s="124"/>
    </row>
    <row r="4182" spans="3:10" x14ac:dyDescent="0.2">
      <c r="C4182" s="209"/>
      <c r="D4182" s="209"/>
      <c r="E4182" s="209"/>
      <c r="J4182" s="124"/>
    </row>
    <row r="4183" spans="3:10" x14ac:dyDescent="0.2">
      <c r="C4183" s="209"/>
      <c r="D4183" s="209"/>
      <c r="E4183" s="209"/>
      <c r="J4183" s="124"/>
    </row>
    <row r="4184" spans="3:10" x14ac:dyDescent="0.2">
      <c r="C4184" s="209"/>
      <c r="D4184" s="209"/>
      <c r="E4184" s="209"/>
      <c r="J4184" s="124"/>
    </row>
    <row r="4185" spans="3:10" x14ac:dyDescent="0.2">
      <c r="C4185" s="209"/>
      <c r="D4185" s="209"/>
      <c r="E4185" s="209"/>
      <c r="J4185" s="124"/>
    </row>
    <row r="4186" spans="3:10" x14ac:dyDescent="0.2">
      <c r="C4186" s="209"/>
      <c r="D4186" s="209"/>
      <c r="E4186" s="209"/>
      <c r="J4186" s="124"/>
    </row>
    <row r="4187" spans="3:10" x14ac:dyDescent="0.2">
      <c r="C4187" s="209"/>
      <c r="D4187" s="209"/>
      <c r="E4187" s="209"/>
      <c r="J4187" s="124"/>
    </row>
    <row r="4188" spans="3:10" x14ac:dyDescent="0.2">
      <c r="C4188" s="209"/>
      <c r="D4188" s="209"/>
      <c r="E4188" s="209"/>
      <c r="J4188" s="124"/>
    </row>
    <row r="4189" spans="3:10" x14ac:dyDescent="0.2">
      <c r="C4189" s="209"/>
      <c r="D4189" s="209"/>
      <c r="E4189" s="209"/>
      <c r="J4189" s="124"/>
    </row>
    <row r="4190" spans="3:10" x14ac:dyDescent="0.2">
      <c r="C4190" s="209"/>
      <c r="D4190" s="209"/>
      <c r="E4190" s="209"/>
      <c r="J4190" s="124"/>
    </row>
    <row r="4191" spans="3:10" x14ac:dyDescent="0.2">
      <c r="C4191" s="209"/>
      <c r="D4191" s="209"/>
      <c r="E4191" s="209"/>
      <c r="J4191" s="124"/>
    </row>
    <row r="4192" spans="3:10" x14ac:dyDescent="0.2">
      <c r="C4192" s="209"/>
      <c r="D4192" s="209"/>
      <c r="E4192" s="209"/>
      <c r="J4192" s="124"/>
    </row>
    <row r="4193" spans="3:10" x14ac:dyDescent="0.2">
      <c r="C4193" s="209"/>
      <c r="D4193" s="209"/>
      <c r="E4193" s="209"/>
      <c r="J4193" s="124"/>
    </row>
    <row r="4194" spans="3:10" x14ac:dyDescent="0.2">
      <c r="C4194" s="209"/>
      <c r="D4194" s="209"/>
      <c r="E4194" s="209"/>
      <c r="J4194" s="124"/>
    </row>
    <row r="4195" spans="3:10" x14ac:dyDescent="0.2">
      <c r="C4195" s="209"/>
      <c r="D4195" s="209"/>
      <c r="E4195" s="209"/>
      <c r="J4195" s="124"/>
    </row>
    <row r="4196" spans="3:10" x14ac:dyDescent="0.2">
      <c r="C4196" s="209"/>
      <c r="D4196" s="209"/>
      <c r="E4196" s="209"/>
      <c r="J4196" s="124"/>
    </row>
    <row r="4197" spans="3:10" x14ac:dyDescent="0.2">
      <c r="C4197" s="209"/>
      <c r="D4197" s="209"/>
      <c r="E4197" s="209"/>
      <c r="J4197" s="124"/>
    </row>
    <row r="4198" spans="3:10" x14ac:dyDescent="0.2">
      <c r="C4198" s="209"/>
      <c r="D4198" s="209"/>
      <c r="E4198" s="209"/>
      <c r="J4198" s="124"/>
    </row>
    <row r="4199" spans="3:10" x14ac:dyDescent="0.2">
      <c r="C4199" s="209"/>
      <c r="D4199" s="209"/>
      <c r="E4199" s="209"/>
      <c r="J4199" s="124"/>
    </row>
    <row r="4200" spans="3:10" x14ac:dyDescent="0.2">
      <c r="C4200" s="209"/>
      <c r="D4200" s="209"/>
      <c r="E4200" s="209"/>
      <c r="J4200" s="124"/>
    </row>
    <row r="4201" spans="3:10" x14ac:dyDescent="0.2">
      <c r="C4201" s="209"/>
      <c r="D4201" s="209"/>
      <c r="E4201" s="209"/>
      <c r="J4201" s="124"/>
    </row>
    <row r="4202" spans="3:10" x14ac:dyDescent="0.2">
      <c r="C4202" s="209"/>
      <c r="D4202" s="209"/>
      <c r="E4202" s="209"/>
      <c r="J4202" s="124"/>
    </row>
    <row r="4203" spans="3:10" x14ac:dyDescent="0.2">
      <c r="C4203" s="209"/>
      <c r="D4203" s="209"/>
      <c r="E4203" s="209"/>
      <c r="J4203" s="124"/>
    </row>
    <row r="4204" spans="3:10" x14ac:dyDescent="0.2">
      <c r="C4204" s="209"/>
      <c r="D4204" s="209"/>
      <c r="E4204" s="209"/>
      <c r="J4204" s="124"/>
    </row>
    <row r="4205" spans="3:10" x14ac:dyDescent="0.2">
      <c r="C4205" s="209"/>
      <c r="D4205" s="209"/>
      <c r="E4205" s="209"/>
      <c r="J4205" s="124"/>
    </row>
    <row r="4206" spans="3:10" x14ac:dyDescent="0.2">
      <c r="C4206" s="209"/>
      <c r="D4206" s="209"/>
      <c r="E4206" s="209"/>
      <c r="J4206" s="124"/>
    </row>
    <row r="4207" spans="3:10" x14ac:dyDescent="0.2">
      <c r="C4207" s="209"/>
      <c r="D4207" s="209"/>
      <c r="E4207" s="209"/>
      <c r="J4207" s="124"/>
    </row>
    <row r="4208" spans="3:10" x14ac:dyDescent="0.2">
      <c r="C4208" s="209"/>
      <c r="D4208" s="209"/>
      <c r="E4208" s="209"/>
      <c r="J4208" s="124"/>
    </row>
    <row r="4209" spans="3:10" x14ac:dyDescent="0.2">
      <c r="C4209" s="209"/>
      <c r="D4209" s="209"/>
      <c r="E4209" s="209"/>
      <c r="J4209" s="124"/>
    </row>
    <row r="4210" spans="3:10" x14ac:dyDescent="0.2">
      <c r="C4210" s="209"/>
      <c r="D4210" s="209"/>
      <c r="E4210" s="209"/>
      <c r="J4210" s="124"/>
    </row>
    <row r="4211" spans="3:10" x14ac:dyDescent="0.2">
      <c r="C4211" s="209"/>
      <c r="D4211" s="209"/>
      <c r="E4211" s="209"/>
      <c r="J4211" s="124"/>
    </row>
    <row r="4212" spans="3:10" x14ac:dyDescent="0.2">
      <c r="C4212" s="209"/>
      <c r="D4212" s="209"/>
      <c r="E4212" s="209"/>
      <c r="J4212" s="124"/>
    </row>
    <row r="4213" spans="3:10" x14ac:dyDescent="0.2">
      <c r="C4213" s="209"/>
      <c r="D4213" s="209"/>
      <c r="E4213" s="209"/>
      <c r="J4213" s="124"/>
    </row>
    <row r="4214" spans="3:10" x14ac:dyDescent="0.2">
      <c r="C4214" s="209"/>
      <c r="D4214" s="209"/>
      <c r="E4214" s="209"/>
      <c r="J4214" s="124"/>
    </row>
    <row r="4215" spans="3:10" x14ac:dyDescent="0.2">
      <c r="C4215" s="209"/>
      <c r="D4215" s="209"/>
      <c r="E4215" s="209"/>
      <c r="J4215" s="124"/>
    </row>
    <row r="4216" spans="3:10" x14ac:dyDescent="0.2">
      <c r="C4216" s="209"/>
      <c r="D4216" s="209"/>
      <c r="E4216" s="209"/>
      <c r="J4216" s="124"/>
    </row>
    <row r="4217" spans="3:10" x14ac:dyDescent="0.2">
      <c r="C4217" s="209"/>
      <c r="D4217" s="209"/>
      <c r="E4217" s="209"/>
      <c r="J4217" s="124"/>
    </row>
    <row r="4218" spans="3:10" x14ac:dyDescent="0.2">
      <c r="C4218" s="209"/>
      <c r="D4218" s="209"/>
      <c r="E4218" s="209"/>
      <c r="J4218" s="124"/>
    </row>
    <row r="4219" spans="3:10" x14ac:dyDescent="0.2">
      <c r="C4219" s="209"/>
      <c r="D4219" s="209"/>
      <c r="E4219" s="209"/>
      <c r="J4219" s="124"/>
    </row>
    <row r="4220" spans="3:10" x14ac:dyDescent="0.2">
      <c r="C4220" s="209"/>
      <c r="D4220" s="209"/>
      <c r="E4220" s="209"/>
      <c r="J4220" s="124"/>
    </row>
    <row r="4221" spans="3:10" x14ac:dyDescent="0.2">
      <c r="C4221" s="209"/>
      <c r="D4221" s="209"/>
      <c r="E4221" s="209"/>
      <c r="J4221" s="124"/>
    </row>
    <row r="4222" spans="3:10" x14ac:dyDescent="0.2">
      <c r="C4222" s="209"/>
      <c r="D4222" s="209"/>
      <c r="E4222" s="209"/>
      <c r="J4222" s="124"/>
    </row>
    <row r="4223" spans="3:10" x14ac:dyDescent="0.2">
      <c r="C4223" s="209"/>
      <c r="D4223" s="209"/>
      <c r="E4223" s="209"/>
      <c r="J4223" s="124"/>
    </row>
    <row r="4224" spans="3:10" x14ac:dyDescent="0.2">
      <c r="C4224" s="209"/>
      <c r="D4224" s="209"/>
      <c r="E4224" s="209"/>
      <c r="J4224" s="124"/>
    </row>
    <row r="4225" spans="3:10" x14ac:dyDescent="0.2">
      <c r="C4225" s="209"/>
      <c r="D4225" s="209"/>
      <c r="E4225" s="209"/>
      <c r="J4225" s="124"/>
    </row>
    <row r="4226" spans="3:10" x14ac:dyDescent="0.2">
      <c r="C4226" s="209"/>
      <c r="D4226" s="209"/>
      <c r="E4226" s="209"/>
      <c r="J4226" s="124"/>
    </row>
    <row r="4227" spans="3:10" x14ac:dyDescent="0.2">
      <c r="C4227" s="209"/>
      <c r="D4227" s="209"/>
      <c r="E4227" s="209"/>
      <c r="J4227" s="124"/>
    </row>
    <row r="4228" spans="3:10" x14ac:dyDescent="0.2">
      <c r="C4228" s="209"/>
      <c r="D4228" s="209"/>
      <c r="E4228" s="209"/>
      <c r="J4228" s="124"/>
    </row>
    <row r="4229" spans="3:10" x14ac:dyDescent="0.2">
      <c r="C4229" s="209"/>
      <c r="D4229" s="209"/>
      <c r="E4229" s="209"/>
      <c r="J4229" s="124"/>
    </row>
    <row r="4230" spans="3:10" x14ac:dyDescent="0.2">
      <c r="C4230" s="209"/>
      <c r="D4230" s="209"/>
      <c r="E4230" s="209"/>
      <c r="J4230" s="124"/>
    </row>
    <row r="4231" spans="3:10" x14ac:dyDescent="0.2">
      <c r="C4231" s="209"/>
      <c r="D4231" s="209"/>
      <c r="E4231" s="209"/>
      <c r="J4231" s="124"/>
    </row>
    <row r="4232" spans="3:10" x14ac:dyDescent="0.2">
      <c r="C4232" s="209"/>
      <c r="D4232" s="209"/>
      <c r="E4232" s="209"/>
      <c r="J4232" s="124"/>
    </row>
    <row r="4233" spans="3:10" x14ac:dyDescent="0.2">
      <c r="C4233" s="209"/>
      <c r="D4233" s="209"/>
      <c r="E4233" s="209"/>
      <c r="J4233" s="124"/>
    </row>
    <row r="4234" spans="3:10" x14ac:dyDescent="0.2">
      <c r="C4234" s="209"/>
      <c r="D4234" s="209"/>
      <c r="E4234" s="209"/>
      <c r="J4234" s="124"/>
    </row>
    <row r="4235" spans="3:10" x14ac:dyDescent="0.2">
      <c r="C4235" s="209"/>
      <c r="D4235" s="209"/>
      <c r="E4235" s="209"/>
      <c r="J4235" s="124"/>
    </row>
    <row r="4236" spans="3:10" x14ac:dyDescent="0.2">
      <c r="C4236" s="209"/>
      <c r="D4236" s="209"/>
      <c r="E4236" s="209"/>
      <c r="J4236" s="124"/>
    </row>
    <row r="4237" spans="3:10" x14ac:dyDescent="0.2">
      <c r="C4237" s="209"/>
      <c r="D4237" s="209"/>
      <c r="E4237" s="209"/>
      <c r="J4237" s="124"/>
    </row>
    <row r="4238" spans="3:10" x14ac:dyDescent="0.2">
      <c r="C4238" s="209"/>
      <c r="D4238" s="209"/>
      <c r="E4238" s="209"/>
      <c r="J4238" s="124"/>
    </row>
    <row r="4239" spans="3:10" x14ac:dyDescent="0.2">
      <c r="C4239" s="209"/>
      <c r="D4239" s="209"/>
      <c r="E4239" s="209"/>
      <c r="J4239" s="124"/>
    </row>
    <row r="4240" spans="3:10" x14ac:dyDescent="0.2">
      <c r="C4240" s="209"/>
      <c r="D4240" s="209"/>
      <c r="E4240" s="209"/>
      <c r="J4240" s="124"/>
    </row>
    <row r="4241" spans="3:10" x14ac:dyDescent="0.2">
      <c r="C4241" s="209"/>
      <c r="D4241" s="209"/>
      <c r="E4241" s="209"/>
      <c r="J4241" s="124"/>
    </row>
    <row r="4242" spans="3:10" x14ac:dyDescent="0.2">
      <c r="C4242" s="209"/>
      <c r="D4242" s="209"/>
      <c r="E4242" s="209"/>
      <c r="J4242" s="124"/>
    </row>
    <row r="4243" spans="3:10" x14ac:dyDescent="0.2">
      <c r="C4243" s="209"/>
      <c r="D4243" s="209"/>
      <c r="E4243" s="209"/>
      <c r="J4243" s="124"/>
    </row>
    <row r="4244" spans="3:10" x14ac:dyDescent="0.2">
      <c r="C4244" s="209"/>
      <c r="D4244" s="209"/>
      <c r="E4244" s="209"/>
      <c r="J4244" s="124"/>
    </row>
    <row r="4245" spans="3:10" x14ac:dyDescent="0.2">
      <c r="C4245" s="209"/>
      <c r="D4245" s="209"/>
      <c r="E4245" s="209"/>
      <c r="J4245" s="124"/>
    </row>
    <row r="4246" spans="3:10" x14ac:dyDescent="0.2">
      <c r="C4246" s="209"/>
      <c r="D4246" s="209"/>
      <c r="E4246" s="209"/>
      <c r="J4246" s="124"/>
    </row>
    <row r="4247" spans="3:10" x14ac:dyDescent="0.2">
      <c r="C4247" s="209"/>
      <c r="D4247" s="209"/>
      <c r="E4247" s="209"/>
      <c r="J4247" s="124"/>
    </row>
    <row r="4248" spans="3:10" x14ac:dyDescent="0.2">
      <c r="C4248" s="209"/>
      <c r="D4248" s="209"/>
      <c r="E4248" s="209"/>
      <c r="J4248" s="124"/>
    </row>
    <row r="4249" spans="3:10" x14ac:dyDescent="0.2">
      <c r="C4249" s="209"/>
      <c r="D4249" s="209"/>
      <c r="E4249" s="209"/>
      <c r="J4249" s="124"/>
    </row>
    <row r="4250" spans="3:10" x14ac:dyDescent="0.2">
      <c r="C4250" s="209"/>
      <c r="D4250" s="209"/>
      <c r="E4250" s="209"/>
      <c r="J4250" s="124"/>
    </row>
    <row r="4251" spans="3:10" x14ac:dyDescent="0.2">
      <c r="C4251" s="209"/>
      <c r="D4251" s="209"/>
      <c r="E4251" s="209"/>
      <c r="J4251" s="124"/>
    </row>
    <row r="4252" spans="3:10" x14ac:dyDescent="0.2">
      <c r="C4252" s="209"/>
      <c r="D4252" s="209"/>
      <c r="E4252" s="209"/>
      <c r="J4252" s="124"/>
    </row>
    <row r="4253" spans="3:10" x14ac:dyDescent="0.2">
      <c r="C4253" s="209"/>
      <c r="D4253" s="209"/>
      <c r="E4253" s="209"/>
      <c r="J4253" s="124"/>
    </row>
    <row r="4254" spans="3:10" x14ac:dyDescent="0.2">
      <c r="C4254" s="209"/>
      <c r="D4254" s="209"/>
      <c r="E4254" s="209"/>
      <c r="J4254" s="124"/>
    </row>
    <row r="4255" spans="3:10" x14ac:dyDescent="0.2">
      <c r="C4255" s="209"/>
      <c r="D4255" s="209"/>
      <c r="E4255" s="209"/>
      <c r="J4255" s="124"/>
    </row>
    <row r="4256" spans="3:10" x14ac:dyDescent="0.2">
      <c r="C4256" s="209"/>
      <c r="D4256" s="209"/>
      <c r="E4256" s="209"/>
      <c r="J4256" s="124"/>
    </row>
    <row r="4257" spans="3:10" x14ac:dyDescent="0.2">
      <c r="C4257" s="209"/>
      <c r="D4257" s="209"/>
      <c r="E4257" s="209"/>
      <c r="J4257" s="124"/>
    </row>
    <row r="4258" spans="3:10" x14ac:dyDescent="0.2">
      <c r="C4258" s="209"/>
      <c r="D4258" s="209"/>
      <c r="E4258" s="209"/>
      <c r="J4258" s="124"/>
    </row>
    <row r="4259" spans="3:10" x14ac:dyDescent="0.2">
      <c r="C4259" s="209"/>
      <c r="D4259" s="209"/>
      <c r="E4259" s="209"/>
      <c r="J4259" s="124"/>
    </row>
    <row r="4260" spans="3:10" x14ac:dyDescent="0.2">
      <c r="C4260" s="209"/>
      <c r="D4260" s="209"/>
      <c r="E4260" s="209"/>
      <c r="J4260" s="124"/>
    </row>
    <row r="4261" spans="3:10" x14ac:dyDescent="0.2">
      <c r="C4261" s="209"/>
      <c r="D4261" s="209"/>
      <c r="E4261" s="209"/>
      <c r="J4261" s="124"/>
    </row>
    <row r="4262" spans="3:10" x14ac:dyDescent="0.2">
      <c r="C4262" s="209"/>
      <c r="D4262" s="209"/>
      <c r="E4262" s="209"/>
      <c r="J4262" s="124"/>
    </row>
    <row r="4263" spans="3:10" x14ac:dyDescent="0.2">
      <c r="C4263" s="209"/>
      <c r="D4263" s="209"/>
      <c r="E4263" s="209"/>
      <c r="J4263" s="124"/>
    </row>
    <row r="4264" spans="3:10" x14ac:dyDescent="0.2">
      <c r="C4264" s="209"/>
      <c r="D4264" s="209"/>
      <c r="E4264" s="209"/>
      <c r="J4264" s="124"/>
    </row>
    <row r="4265" spans="3:10" x14ac:dyDescent="0.2">
      <c r="C4265" s="209"/>
      <c r="D4265" s="209"/>
      <c r="E4265" s="209"/>
      <c r="J4265" s="124"/>
    </row>
    <row r="4266" spans="3:10" x14ac:dyDescent="0.2">
      <c r="C4266" s="209"/>
      <c r="D4266" s="209"/>
      <c r="E4266" s="209"/>
      <c r="J4266" s="124"/>
    </row>
    <row r="4267" spans="3:10" x14ac:dyDescent="0.2">
      <c r="C4267" s="209"/>
      <c r="D4267" s="209"/>
      <c r="E4267" s="209"/>
      <c r="J4267" s="124"/>
    </row>
    <row r="4268" spans="3:10" x14ac:dyDescent="0.2">
      <c r="C4268" s="209"/>
      <c r="D4268" s="209"/>
      <c r="E4268" s="209"/>
      <c r="J4268" s="124"/>
    </row>
    <row r="4269" spans="3:10" x14ac:dyDescent="0.2">
      <c r="C4269" s="209"/>
      <c r="D4269" s="209"/>
      <c r="E4269" s="209"/>
      <c r="J4269" s="124"/>
    </row>
    <row r="4270" spans="3:10" x14ac:dyDescent="0.2">
      <c r="C4270" s="209"/>
      <c r="D4270" s="209"/>
      <c r="E4270" s="209"/>
      <c r="J4270" s="124"/>
    </row>
    <row r="4271" spans="3:10" x14ac:dyDescent="0.2">
      <c r="C4271" s="209"/>
      <c r="D4271" s="209"/>
      <c r="E4271" s="209"/>
      <c r="J4271" s="124"/>
    </row>
    <row r="4272" spans="3:10" x14ac:dyDescent="0.2">
      <c r="C4272" s="209"/>
      <c r="D4272" s="209"/>
      <c r="E4272" s="209"/>
      <c r="J4272" s="124"/>
    </row>
    <row r="4273" spans="3:10" x14ac:dyDescent="0.2">
      <c r="C4273" s="209"/>
      <c r="D4273" s="209"/>
      <c r="E4273" s="209"/>
      <c r="J4273" s="124"/>
    </row>
    <row r="4274" spans="3:10" x14ac:dyDescent="0.2">
      <c r="C4274" s="209"/>
      <c r="D4274" s="209"/>
      <c r="E4274" s="209"/>
      <c r="J4274" s="124"/>
    </row>
    <row r="4275" spans="3:10" x14ac:dyDescent="0.2">
      <c r="C4275" s="209"/>
      <c r="D4275" s="209"/>
      <c r="E4275" s="209"/>
      <c r="J4275" s="124"/>
    </row>
    <row r="4276" spans="3:10" x14ac:dyDescent="0.2">
      <c r="C4276" s="209"/>
      <c r="D4276" s="209"/>
      <c r="E4276" s="209"/>
      <c r="J4276" s="124"/>
    </row>
    <row r="4277" spans="3:10" x14ac:dyDescent="0.2">
      <c r="C4277" s="209"/>
      <c r="D4277" s="209"/>
      <c r="E4277" s="209"/>
      <c r="J4277" s="124"/>
    </row>
    <row r="4278" spans="3:10" x14ac:dyDescent="0.2">
      <c r="C4278" s="209"/>
      <c r="D4278" s="209"/>
      <c r="E4278" s="209"/>
      <c r="J4278" s="124"/>
    </row>
    <row r="4279" spans="3:10" x14ac:dyDescent="0.2">
      <c r="C4279" s="209"/>
      <c r="D4279" s="209"/>
      <c r="E4279" s="209"/>
      <c r="J4279" s="124"/>
    </row>
    <row r="4280" spans="3:10" x14ac:dyDescent="0.2">
      <c r="C4280" s="209"/>
      <c r="D4280" s="209"/>
      <c r="E4280" s="209"/>
      <c r="J4280" s="124"/>
    </row>
    <row r="4281" spans="3:10" x14ac:dyDescent="0.2">
      <c r="C4281" s="209"/>
      <c r="D4281" s="209"/>
      <c r="E4281" s="209"/>
      <c r="J4281" s="124"/>
    </row>
    <row r="4282" spans="3:10" x14ac:dyDescent="0.2">
      <c r="C4282" s="209"/>
      <c r="D4282" s="209"/>
      <c r="E4282" s="209"/>
      <c r="J4282" s="124"/>
    </row>
    <row r="4283" spans="3:10" x14ac:dyDescent="0.2">
      <c r="C4283" s="209"/>
      <c r="D4283" s="209"/>
      <c r="E4283" s="209"/>
      <c r="J4283" s="124"/>
    </row>
    <row r="4284" spans="3:10" x14ac:dyDescent="0.2">
      <c r="C4284" s="209"/>
      <c r="D4284" s="209"/>
      <c r="E4284" s="209"/>
      <c r="J4284" s="124"/>
    </row>
    <row r="4285" spans="3:10" x14ac:dyDescent="0.2">
      <c r="C4285" s="209"/>
      <c r="D4285" s="209"/>
      <c r="E4285" s="209"/>
      <c r="J4285" s="124"/>
    </row>
    <row r="4286" spans="3:10" x14ac:dyDescent="0.2">
      <c r="C4286" s="209"/>
      <c r="D4286" s="209"/>
      <c r="E4286" s="209"/>
      <c r="J4286" s="124"/>
    </row>
    <row r="4287" spans="3:10" x14ac:dyDescent="0.2">
      <c r="C4287" s="209"/>
      <c r="D4287" s="209"/>
      <c r="E4287" s="209"/>
      <c r="J4287" s="124"/>
    </row>
    <row r="4288" spans="3:10" x14ac:dyDescent="0.2">
      <c r="C4288" s="209"/>
      <c r="D4288" s="209"/>
      <c r="E4288" s="209"/>
      <c r="J4288" s="124"/>
    </row>
    <row r="4289" spans="3:10" x14ac:dyDescent="0.2">
      <c r="C4289" s="209"/>
      <c r="D4289" s="209"/>
      <c r="E4289" s="209"/>
      <c r="J4289" s="124"/>
    </row>
    <row r="4290" spans="3:10" x14ac:dyDescent="0.2">
      <c r="C4290" s="209"/>
      <c r="D4290" s="209"/>
      <c r="E4290" s="209"/>
      <c r="J4290" s="124"/>
    </row>
    <row r="4291" spans="3:10" x14ac:dyDescent="0.2">
      <c r="C4291" s="209"/>
      <c r="D4291" s="209"/>
      <c r="E4291" s="209"/>
      <c r="J4291" s="124"/>
    </row>
    <row r="4292" spans="3:10" x14ac:dyDescent="0.2">
      <c r="C4292" s="209"/>
      <c r="D4292" s="209"/>
      <c r="E4292" s="209"/>
      <c r="J4292" s="124"/>
    </row>
    <row r="4293" spans="3:10" x14ac:dyDescent="0.2">
      <c r="C4293" s="209"/>
      <c r="D4293" s="209"/>
      <c r="E4293" s="209"/>
      <c r="J4293" s="124"/>
    </row>
    <row r="4294" spans="3:10" x14ac:dyDescent="0.2">
      <c r="C4294" s="209"/>
      <c r="D4294" s="209"/>
      <c r="E4294" s="209"/>
      <c r="J4294" s="124"/>
    </row>
    <row r="4295" spans="3:10" x14ac:dyDescent="0.2">
      <c r="C4295" s="209"/>
      <c r="D4295" s="209"/>
      <c r="E4295" s="209"/>
      <c r="J4295" s="124"/>
    </row>
    <row r="4296" spans="3:10" x14ac:dyDescent="0.2">
      <c r="C4296" s="209"/>
      <c r="D4296" s="209"/>
      <c r="E4296" s="209"/>
      <c r="J4296" s="124"/>
    </row>
    <row r="4297" spans="3:10" x14ac:dyDescent="0.2">
      <c r="C4297" s="209"/>
      <c r="D4297" s="209"/>
      <c r="E4297" s="209"/>
      <c r="J4297" s="124"/>
    </row>
    <row r="4298" spans="3:10" x14ac:dyDescent="0.2">
      <c r="C4298" s="209"/>
      <c r="D4298" s="209"/>
      <c r="E4298" s="209"/>
      <c r="J4298" s="124"/>
    </row>
    <row r="4299" spans="3:10" x14ac:dyDescent="0.2">
      <c r="C4299" s="209"/>
      <c r="D4299" s="209"/>
      <c r="E4299" s="209"/>
      <c r="J4299" s="124"/>
    </row>
    <row r="4300" spans="3:10" x14ac:dyDescent="0.2">
      <c r="C4300" s="209"/>
      <c r="D4300" s="209"/>
      <c r="E4300" s="209"/>
      <c r="J4300" s="124"/>
    </row>
    <row r="4301" spans="3:10" x14ac:dyDescent="0.2">
      <c r="C4301" s="209"/>
      <c r="D4301" s="209"/>
      <c r="E4301" s="209"/>
      <c r="J4301" s="124"/>
    </row>
    <row r="4302" spans="3:10" x14ac:dyDescent="0.2">
      <c r="C4302" s="209"/>
      <c r="D4302" s="209"/>
      <c r="E4302" s="209"/>
      <c r="J4302" s="124"/>
    </row>
    <row r="4303" spans="3:10" x14ac:dyDescent="0.2">
      <c r="C4303" s="209"/>
      <c r="D4303" s="209"/>
      <c r="E4303" s="209"/>
      <c r="J4303" s="124"/>
    </row>
    <row r="4304" spans="3:10" x14ac:dyDescent="0.2">
      <c r="C4304" s="209"/>
      <c r="D4304" s="209"/>
      <c r="E4304" s="209"/>
      <c r="J4304" s="124"/>
    </row>
    <row r="4305" spans="3:10" x14ac:dyDescent="0.2">
      <c r="C4305" s="209"/>
      <c r="D4305" s="209"/>
      <c r="E4305" s="209"/>
      <c r="J4305" s="124"/>
    </row>
    <row r="4306" spans="3:10" x14ac:dyDescent="0.2">
      <c r="C4306" s="209"/>
      <c r="D4306" s="209"/>
      <c r="E4306" s="209"/>
      <c r="J4306" s="124"/>
    </row>
    <row r="4307" spans="3:10" x14ac:dyDescent="0.2">
      <c r="C4307" s="209"/>
      <c r="D4307" s="209"/>
      <c r="E4307" s="209"/>
      <c r="J4307" s="124"/>
    </row>
    <row r="4308" spans="3:10" x14ac:dyDescent="0.2">
      <c r="C4308" s="209"/>
      <c r="D4308" s="209"/>
      <c r="E4308" s="209"/>
      <c r="J4308" s="124"/>
    </row>
    <row r="4309" spans="3:10" x14ac:dyDescent="0.2">
      <c r="C4309" s="209"/>
      <c r="D4309" s="209"/>
      <c r="E4309" s="209"/>
      <c r="J4309" s="124"/>
    </row>
    <row r="4310" spans="3:10" x14ac:dyDescent="0.2">
      <c r="C4310" s="209"/>
      <c r="D4310" s="209"/>
      <c r="E4310" s="209"/>
      <c r="J4310" s="124"/>
    </row>
    <row r="4311" spans="3:10" x14ac:dyDescent="0.2">
      <c r="C4311" s="209"/>
      <c r="D4311" s="209"/>
      <c r="E4311" s="209"/>
      <c r="J4311" s="124"/>
    </row>
    <row r="4312" spans="3:10" x14ac:dyDescent="0.2">
      <c r="C4312" s="209"/>
      <c r="D4312" s="209"/>
      <c r="E4312" s="209"/>
      <c r="J4312" s="124"/>
    </row>
    <row r="4313" spans="3:10" x14ac:dyDescent="0.2">
      <c r="C4313" s="209"/>
      <c r="D4313" s="209"/>
      <c r="E4313" s="209"/>
      <c r="J4313" s="124"/>
    </row>
    <row r="4314" spans="3:10" x14ac:dyDescent="0.2">
      <c r="C4314" s="209"/>
      <c r="D4314" s="209"/>
      <c r="E4314" s="209"/>
      <c r="J4314" s="124"/>
    </row>
    <row r="4315" spans="3:10" x14ac:dyDescent="0.2">
      <c r="C4315" s="209"/>
      <c r="D4315" s="209"/>
      <c r="E4315" s="209"/>
      <c r="J4315" s="124"/>
    </row>
    <row r="4316" spans="3:10" x14ac:dyDescent="0.2">
      <c r="C4316" s="209"/>
      <c r="D4316" s="209"/>
      <c r="E4316" s="209"/>
      <c r="J4316" s="124"/>
    </row>
    <row r="4317" spans="3:10" x14ac:dyDescent="0.2">
      <c r="C4317" s="209"/>
      <c r="D4317" s="209"/>
      <c r="E4317" s="209"/>
      <c r="J4317" s="124"/>
    </row>
    <row r="4318" spans="3:10" x14ac:dyDescent="0.2">
      <c r="C4318" s="209"/>
      <c r="D4318" s="209"/>
      <c r="E4318" s="209"/>
      <c r="J4318" s="124"/>
    </row>
    <row r="4319" spans="3:10" x14ac:dyDescent="0.2">
      <c r="C4319" s="209"/>
      <c r="D4319" s="209"/>
      <c r="E4319" s="209"/>
      <c r="J4319" s="124"/>
    </row>
    <row r="4320" spans="3:10" x14ac:dyDescent="0.2">
      <c r="C4320" s="209"/>
      <c r="D4320" s="209"/>
      <c r="E4320" s="209"/>
      <c r="J4320" s="124"/>
    </row>
    <row r="4321" spans="3:10" x14ac:dyDescent="0.2">
      <c r="C4321" s="209"/>
      <c r="D4321" s="209"/>
      <c r="E4321" s="209"/>
      <c r="J4321" s="124"/>
    </row>
    <row r="4322" spans="3:10" x14ac:dyDescent="0.2">
      <c r="C4322" s="209"/>
      <c r="D4322" s="209"/>
      <c r="E4322" s="209"/>
      <c r="J4322" s="124"/>
    </row>
    <row r="4323" spans="3:10" x14ac:dyDescent="0.2">
      <c r="C4323" s="209"/>
      <c r="D4323" s="209"/>
      <c r="E4323" s="209"/>
      <c r="J4323" s="124"/>
    </row>
    <row r="4324" spans="3:10" x14ac:dyDescent="0.2">
      <c r="C4324" s="209"/>
      <c r="D4324" s="209"/>
      <c r="E4324" s="209"/>
      <c r="J4324" s="124"/>
    </row>
    <row r="4325" spans="3:10" x14ac:dyDescent="0.2">
      <c r="C4325" s="209"/>
      <c r="D4325" s="209"/>
      <c r="E4325" s="209"/>
      <c r="J4325" s="124"/>
    </row>
    <row r="4326" spans="3:10" x14ac:dyDescent="0.2">
      <c r="C4326" s="209"/>
      <c r="D4326" s="209"/>
      <c r="E4326" s="209"/>
      <c r="J4326" s="124"/>
    </row>
    <row r="4327" spans="3:10" x14ac:dyDescent="0.2">
      <c r="C4327" s="209"/>
      <c r="D4327" s="209"/>
      <c r="E4327" s="209"/>
      <c r="J4327" s="124"/>
    </row>
    <row r="4328" spans="3:10" x14ac:dyDescent="0.2">
      <c r="C4328" s="209"/>
      <c r="D4328" s="209"/>
      <c r="E4328" s="209"/>
      <c r="J4328" s="124"/>
    </row>
    <row r="4329" spans="3:10" x14ac:dyDescent="0.2">
      <c r="C4329" s="209"/>
      <c r="D4329" s="209"/>
      <c r="E4329" s="209"/>
      <c r="J4329" s="124"/>
    </row>
    <row r="4330" spans="3:10" x14ac:dyDescent="0.2">
      <c r="C4330" s="209"/>
      <c r="D4330" s="209"/>
      <c r="E4330" s="209"/>
      <c r="J4330" s="124"/>
    </row>
    <row r="4331" spans="3:10" x14ac:dyDescent="0.2">
      <c r="C4331" s="209"/>
      <c r="D4331" s="209"/>
      <c r="E4331" s="209"/>
      <c r="J4331" s="124"/>
    </row>
    <row r="4332" spans="3:10" x14ac:dyDescent="0.2">
      <c r="C4332" s="209"/>
      <c r="D4332" s="209"/>
      <c r="E4332" s="209"/>
      <c r="J4332" s="124"/>
    </row>
    <row r="4333" spans="3:10" x14ac:dyDescent="0.2">
      <c r="C4333" s="209"/>
      <c r="D4333" s="209"/>
      <c r="E4333" s="209"/>
      <c r="J4333" s="124"/>
    </row>
    <row r="4334" spans="3:10" x14ac:dyDescent="0.2">
      <c r="C4334" s="209"/>
      <c r="D4334" s="209"/>
      <c r="E4334" s="209"/>
      <c r="J4334" s="124"/>
    </row>
    <row r="4335" spans="3:10" x14ac:dyDescent="0.2">
      <c r="C4335" s="209"/>
      <c r="D4335" s="209"/>
      <c r="E4335" s="209"/>
      <c r="J4335" s="124"/>
    </row>
    <row r="4336" spans="3:10" x14ac:dyDescent="0.2">
      <c r="C4336" s="209"/>
      <c r="D4336" s="209"/>
      <c r="E4336" s="209"/>
      <c r="J4336" s="124"/>
    </row>
    <row r="4337" spans="3:10" x14ac:dyDescent="0.2">
      <c r="C4337" s="209"/>
      <c r="D4337" s="209"/>
      <c r="E4337" s="209"/>
      <c r="J4337" s="124"/>
    </row>
    <row r="4338" spans="3:10" x14ac:dyDescent="0.2">
      <c r="C4338" s="209"/>
      <c r="D4338" s="209"/>
      <c r="E4338" s="209"/>
      <c r="J4338" s="124"/>
    </row>
    <row r="4339" spans="3:10" x14ac:dyDescent="0.2">
      <c r="C4339" s="209"/>
      <c r="D4339" s="209"/>
      <c r="E4339" s="209"/>
      <c r="J4339" s="124"/>
    </row>
    <row r="4340" spans="3:10" x14ac:dyDescent="0.2">
      <c r="C4340" s="209"/>
      <c r="D4340" s="209"/>
      <c r="E4340" s="209"/>
      <c r="J4340" s="124"/>
    </row>
    <row r="4341" spans="3:10" x14ac:dyDescent="0.2">
      <c r="C4341" s="209"/>
      <c r="D4341" s="209"/>
      <c r="E4341" s="209"/>
      <c r="J4341" s="124"/>
    </row>
    <row r="4342" spans="3:10" x14ac:dyDescent="0.2">
      <c r="C4342" s="209"/>
      <c r="D4342" s="209"/>
      <c r="E4342" s="209"/>
      <c r="J4342" s="124"/>
    </row>
    <row r="4343" spans="3:10" x14ac:dyDescent="0.2">
      <c r="C4343" s="209"/>
      <c r="D4343" s="209"/>
      <c r="E4343" s="209"/>
      <c r="J4343" s="124"/>
    </row>
    <row r="4344" spans="3:10" x14ac:dyDescent="0.2">
      <c r="C4344" s="209"/>
      <c r="D4344" s="209"/>
      <c r="E4344" s="209"/>
      <c r="J4344" s="124"/>
    </row>
    <row r="4345" spans="3:10" x14ac:dyDescent="0.2">
      <c r="C4345" s="209"/>
      <c r="D4345" s="209"/>
      <c r="E4345" s="209"/>
      <c r="J4345" s="124"/>
    </row>
    <row r="4346" spans="3:10" x14ac:dyDescent="0.2">
      <c r="C4346" s="209"/>
      <c r="D4346" s="209"/>
      <c r="E4346" s="209"/>
      <c r="J4346" s="124"/>
    </row>
    <row r="4347" spans="3:10" x14ac:dyDescent="0.2">
      <c r="C4347" s="209"/>
      <c r="D4347" s="209"/>
      <c r="E4347" s="209"/>
      <c r="J4347" s="124"/>
    </row>
    <row r="4348" spans="3:10" x14ac:dyDescent="0.2">
      <c r="C4348" s="209"/>
      <c r="D4348" s="209"/>
      <c r="E4348" s="209"/>
      <c r="J4348" s="124"/>
    </row>
    <row r="4349" spans="3:10" x14ac:dyDescent="0.2">
      <c r="C4349" s="209"/>
      <c r="D4349" s="209"/>
      <c r="E4349" s="209"/>
      <c r="J4349" s="124"/>
    </row>
    <row r="4350" spans="3:10" x14ac:dyDescent="0.2">
      <c r="C4350" s="209"/>
      <c r="D4350" s="209"/>
      <c r="E4350" s="209"/>
      <c r="J4350" s="124"/>
    </row>
    <row r="4351" spans="3:10" x14ac:dyDescent="0.2">
      <c r="C4351" s="209"/>
      <c r="D4351" s="209"/>
      <c r="E4351" s="209"/>
      <c r="J4351" s="124"/>
    </row>
    <row r="4352" spans="3:10" x14ac:dyDescent="0.2">
      <c r="C4352" s="209"/>
      <c r="D4352" s="209"/>
      <c r="E4352" s="209"/>
      <c r="J4352" s="124"/>
    </row>
    <row r="4353" spans="3:10" x14ac:dyDescent="0.2">
      <c r="C4353" s="209"/>
      <c r="D4353" s="209"/>
      <c r="E4353" s="209"/>
      <c r="J4353" s="124"/>
    </row>
    <row r="4354" spans="3:10" x14ac:dyDescent="0.2">
      <c r="C4354" s="209"/>
      <c r="D4354" s="209"/>
      <c r="E4354" s="209"/>
      <c r="J4354" s="124"/>
    </row>
    <row r="4355" spans="3:10" x14ac:dyDescent="0.2">
      <c r="C4355" s="209"/>
      <c r="D4355" s="209"/>
      <c r="E4355" s="209"/>
      <c r="J4355" s="124"/>
    </row>
    <row r="4356" spans="3:10" x14ac:dyDescent="0.2">
      <c r="C4356" s="209"/>
      <c r="D4356" s="209"/>
      <c r="E4356" s="209"/>
      <c r="J4356" s="124"/>
    </row>
    <row r="4357" spans="3:10" x14ac:dyDescent="0.2">
      <c r="C4357" s="209"/>
      <c r="D4357" s="209"/>
      <c r="E4357" s="209"/>
      <c r="J4357" s="124"/>
    </row>
    <row r="4358" spans="3:10" x14ac:dyDescent="0.2">
      <c r="C4358" s="209"/>
      <c r="D4358" s="209"/>
      <c r="E4358" s="209"/>
      <c r="J4358" s="124"/>
    </row>
    <row r="4359" spans="3:10" x14ac:dyDescent="0.2">
      <c r="C4359" s="209"/>
      <c r="D4359" s="209"/>
      <c r="E4359" s="209"/>
      <c r="J4359" s="124"/>
    </row>
    <row r="4360" spans="3:10" x14ac:dyDescent="0.2">
      <c r="C4360" s="209"/>
      <c r="D4360" s="209"/>
      <c r="E4360" s="209"/>
      <c r="J4360" s="124"/>
    </row>
    <row r="4361" spans="3:10" x14ac:dyDescent="0.2">
      <c r="C4361" s="209"/>
      <c r="D4361" s="209"/>
      <c r="E4361" s="209"/>
      <c r="J4361" s="124"/>
    </row>
    <row r="4362" spans="3:10" x14ac:dyDescent="0.2">
      <c r="C4362" s="209"/>
      <c r="D4362" s="209"/>
      <c r="E4362" s="209"/>
      <c r="J4362" s="124"/>
    </row>
    <row r="4363" spans="3:10" x14ac:dyDescent="0.2">
      <c r="C4363" s="209"/>
      <c r="D4363" s="209"/>
      <c r="E4363" s="209"/>
      <c r="J4363" s="124"/>
    </row>
    <row r="4364" spans="3:10" x14ac:dyDescent="0.2">
      <c r="C4364" s="209"/>
      <c r="D4364" s="209"/>
      <c r="E4364" s="209"/>
      <c r="J4364" s="124"/>
    </row>
    <row r="4365" spans="3:10" x14ac:dyDescent="0.2">
      <c r="C4365" s="209"/>
      <c r="D4365" s="209"/>
      <c r="E4365" s="209"/>
      <c r="J4365" s="124"/>
    </row>
    <row r="4366" spans="3:10" x14ac:dyDescent="0.2">
      <c r="C4366" s="209"/>
      <c r="D4366" s="209"/>
      <c r="E4366" s="209"/>
      <c r="J4366" s="124"/>
    </row>
    <row r="4367" spans="3:10" x14ac:dyDescent="0.2">
      <c r="C4367" s="209"/>
      <c r="D4367" s="209"/>
      <c r="E4367" s="209"/>
      <c r="J4367" s="124"/>
    </row>
    <row r="4368" spans="3:10" x14ac:dyDescent="0.2">
      <c r="C4368" s="209"/>
      <c r="D4368" s="209"/>
      <c r="E4368" s="209"/>
      <c r="J4368" s="124"/>
    </row>
    <row r="4369" spans="3:10" x14ac:dyDescent="0.2">
      <c r="C4369" s="209"/>
      <c r="D4369" s="209"/>
      <c r="E4369" s="209"/>
      <c r="J4369" s="124"/>
    </row>
    <row r="4370" spans="3:10" x14ac:dyDescent="0.2">
      <c r="C4370" s="209"/>
      <c r="D4370" s="209"/>
      <c r="E4370" s="209"/>
      <c r="J4370" s="124"/>
    </row>
    <row r="4371" spans="3:10" x14ac:dyDescent="0.2">
      <c r="C4371" s="209"/>
      <c r="D4371" s="209"/>
      <c r="E4371" s="209"/>
      <c r="J4371" s="124"/>
    </row>
    <row r="4372" spans="3:10" x14ac:dyDescent="0.2">
      <c r="C4372" s="209"/>
      <c r="D4372" s="209"/>
      <c r="E4372" s="209"/>
      <c r="J4372" s="124"/>
    </row>
    <row r="4373" spans="3:10" x14ac:dyDescent="0.2">
      <c r="C4373" s="209"/>
      <c r="D4373" s="209"/>
      <c r="E4373" s="209"/>
      <c r="J4373" s="124"/>
    </row>
    <row r="4374" spans="3:10" x14ac:dyDescent="0.2">
      <c r="C4374" s="209"/>
      <c r="D4374" s="209"/>
      <c r="E4374" s="209"/>
      <c r="J4374" s="124"/>
    </row>
    <row r="4375" spans="3:10" x14ac:dyDescent="0.2">
      <c r="C4375" s="209"/>
      <c r="D4375" s="209"/>
      <c r="E4375" s="209"/>
      <c r="J4375" s="124"/>
    </row>
    <row r="4376" spans="3:10" x14ac:dyDescent="0.2">
      <c r="C4376" s="209"/>
      <c r="D4376" s="209"/>
      <c r="E4376" s="209"/>
      <c r="J4376" s="124"/>
    </row>
    <row r="4377" spans="3:10" x14ac:dyDescent="0.2">
      <c r="C4377" s="209"/>
      <c r="D4377" s="209"/>
      <c r="E4377" s="209"/>
      <c r="J4377" s="124"/>
    </row>
    <row r="4378" spans="3:10" x14ac:dyDescent="0.2">
      <c r="C4378" s="209"/>
      <c r="D4378" s="209"/>
      <c r="E4378" s="209"/>
      <c r="J4378" s="124"/>
    </row>
    <row r="4379" spans="3:10" x14ac:dyDescent="0.2">
      <c r="C4379" s="209"/>
      <c r="D4379" s="209"/>
      <c r="E4379" s="209"/>
      <c r="J4379" s="124"/>
    </row>
    <row r="4380" spans="3:10" x14ac:dyDescent="0.2">
      <c r="C4380" s="209"/>
      <c r="D4380" s="209"/>
      <c r="E4380" s="209"/>
      <c r="J4380" s="124"/>
    </row>
    <row r="4381" spans="3:10" x14ac:dyDescent="0.2">
      <c r="C4381" s="209"/>
      <c r="D4381" s="209"/>
      <c r="E4381" s="209"/>
      <c r="J4381" s="124"/>
    </row>
    <row r="4382" spans="3:10" x14ac:dyDescent="0.2">
      <c r="C4382" s="209"/>
      <c r="D4382" s="209"/>
      <c r="E4382" s="209"/>
      <c r="J4382" s="124"/>
    </row>
    <row r="4383" spans="3:10" x14ac:dyDescent="0.2">
      <c r="C4383" s="209"/>
      <c r="D4383" s="209"/>
      <c r="E4383" s="209"/>
      <c r="J4383" s="124"/>
    </row>
    <row r="4384" spans="3:10" x14ac:dyDescent="0.2">
      <c r="C4384" s="209"/>
      <c r="D4384" s="209"/>
      <c r="E4384" s="209"/>
      <c r="J4384" s="124"/>
    </row>
    <row r="4385" spans="3:10" x14ac:dyDescent="0.2">
      <c r="C4385" s="209"/>
      <c r="D4385" s="209"/>
      <c r="E4385" s="209"/>
      <c r="J4385" s="124"/>
    </row>
    <row r="4386" spans="3:10" x14ac:dyDescent="0.2">
      <c r="C4386" s="209"/>
      <c r="D4386" s="209"/>
      <c r="E4386" s="209"/>
      <c r="J4386" s="124"/>
    </row>
    <row r="4387" spans="3:10" x14ac:dyDescent="0.2">
      <c r="C4387" s="209"/>
      <c r="D4387" s="209"/>
      <c r="E4387" s="209"/>
      <c r="J4387" s="124"/>
    </row>
    <row r="4388" spans="3:10" x14ac:dyDescent="0.2">
      <c r="C4388" s="209"/>
      <c r="D4388" s="209"/>
      <c r="E4388" s="209"/>
      <c r="J4388" s="124"/>
    </row>
    <row r="4389" spans="3:10" x14ac:dyDescent="0.2">
      <c r="C4389" s="209"/>
      <c r="D4389" s="209"/>
      <c r="E4389" s="209"/>
      <c r="J4389" s="124"/>
    </row>
    <row r="4390" spans="3:10" x14ac:dyDescent="0.2">
      <c r="C4390" s="209"/>
      <c r="D4390" s="209"/>
      <c r="E4390" s="209"/>
      <c r="J4390" s="124"/>
    </row>
    <row r="4391" spans="3:10" x14ac:dyDescent="0.2">
      <c r="C4391" s="209"/>
      <c r="D4391" s="209"/>
      <c r="E4391" s="209"/>
      <c r="J4391" s="124"/>
    </row>
    <row r="4392" spans="3:10" x14ac:dyDescent="0.2">
      <c r="C4392" s="209"/>
      <c r="D4392" s="209"/>
      <c r="E4392" s="209"/>
      <c r="J4392" s="124"/>
    </row>
    <row r="4393" spans="3:10" x14ac:dyDescent="0.2">
      <c r="C4393" s="209"/>
      <c r="D4393" s="209"/>
      <c r="E4393" s="209"/>
      <c r="J4393" s="124"/>
    </row>
    <row r="4394" spans="3:10" x14ac:dyDescent="0.2">
      <c r="C4394" s="209"/>
      <c r="D4394" s="209"/>
      <c r="E4394" s="209"/>
      <c r="J4394" s="124"/>
    </row>
    <row r="4395" spans="3:10" x14ac:dyDescent="0.2">
      <c r="C4395" s="209"/>
      <c r="D4395" s="209"/>
      <c r="E4395" s="209"/>
      <c r="J4395" s="124"/>
    </row>
    <row r="4396" spans="3:10" x14ac:dyDescent="0.2">
      <c r="C4396" s="209"/>
      <c r="D4396" s="209"/>
      <c r="E4396" s="209"/>
      <c r="J4396" s="124"/>
    </row>
    <row r="4397" spans="3:10" x14ac:dyDescent="0.2">
      <c r="C4397" s="209"/>
      <c r="D4397" s="209"/>
      <c r="E4397" s="209"/>
      <c r="J4397" s="124"/>
    </row>
    <row r="4398" spans="3:10" x14ac:dyDescent="0.2">
      <c r="C4398" s="209"/>
      <c r="D4398" s="209"/>
      <c r="E4398" s="209"/>
      <c r="J4398" s="124"/>
    </row>
    <row r="4399" spans="3:10" x14ac:dyDescent="0.2">
      <c r="C4399" s="209"/>
      <c r="D4399" s="209"/>
      <c r="E4399" s="209"/>
      <c r="J4399" s="124"/>
    </row>
    <row r="4400" spans="3:10" x14ac:dyDescent="0.2">
      <c r="C4400" s="209"/>
      <c r="D4400" s="209"/>
      <c r="E4400" s="209"/>
      <c r="J4400" s="124"/>
    </row>
    <row r="4401" spans="3:10" x14ac:dyDescent="0.2">
      <c r="C4401" s="209"/>
      <c r="D4401" s="209"/>
      <c r="E4401" s="209"/>
      <c r="J4401" s="124"/>
    </row>
    <row r="4402" spans="3:10" x14ac:dyDescent="0.2">
      <c r="C4402" s="209"/>
      <c r="D4402" s="209"/>
      <c r="E4402" s="209"/>
      <c r="J4402" s="124"/>
    </row>
    <row r="4403" spans="3:10" x14ac:dyDescent="0.2">
      <c r="C4403" s="209"/>
      <c r="D4403" s="209"/>
      <c r="E4403" s="209"/>
      <c r="J4403" s="124"/>
    </row>
    <row r="4404" spans="3:10" x14ac:dyDescent="0.2">
      <c r="C4404" s="209"/>
      <c r="D4404" s="209"/>
      <c r="E4404" s="209"/>
      <c r="J4404" s="124"/>
    </row>
    <row r="4405" spans="3:10" x14ac:dyDescent="0.2">
      <c r="C4405" s="209"/>
      <c r="D4405" s="209"/>
      <c r="E4405" s="209"/>
      <c r="J4405" s="124"/>
    </row>
    <row r="4406" spans="3:10" x14ac:dyDescent="0.2">
      <c r="C4406" s="209"/>
      <c r="D4406" s="209"/>
      <c r="E4406" s="209"/>
      <c r="J4406" s="124"/>
    </row>
    <row r="4407" spans="3:10" x14ac:dyDescent="0.2">
      <c r="C4407" s="209"/>
      <c r="D4407" s="209"/>
      <c r="E4407" s="209"/>
      <c r="J4407" s="124"/>
    </row>
    <row r="4408" spans="3:10" x14ac:dyDescent="0.2">
      <c r="C4408" s="209"/>
      <c r="D4408" s="209"/>
      <c r="E4408" s="209"/>
      <c r="J4408" s="124"/>
    </row>
    <row r="4409" spans="3:10" x14ac:dyDescent="0.2">
      <c r="C4409" s="209"/>
      <c r="D4409" s="209"/>
      <c r="E4409" s="209"/>
      <c r="J4409" s="124"/>
    </row>
    <row r="4410" spans="3:10" x14ac:dyDescent="0.2">
      <c r="C4410" s="209"/>
      <c r="D4410" s="209"/>
      <c r="E4410" s="209"/>
      <c r="J4410" s="124"/>
    </row>
    <row r="4411" spans="3:10" x14ac:dyDescent="0.2">
      <c r="C4411" s="209"/>
      <c r="D4411" s="209"/>
      <c r="E4411" s="209"/>
      <c r="J4411" s="124"/>
    </row>
    <row r="4412" spans="3:10" x14ac:dyDescent="0.2">
      <c r="C4412" s="209"/>
      <c r="D4412" s="209"/>
      <c r="E4412" s="209"/>
      <c r="J4412" s="124"/>
    </row>
    <row r="4413" spans="3:10" x14ac:dyDescent="0.2">
      <c r="C4413" s="209"/>
      <c r="D4413" s="209"/>
      <c r="E4413" s="209"/>
      <c r="J4413" s="124"/>
    </row>
    <row r="4414" spans="3:10" x14ac:dyDescent="0.2">
      <c r="C4414" s="209"/>
      <c r="D4414" s="209"/>
      <c r="E4414" s="209"/>
      <c r="J4414" s="124"/>
    </row>
    <row r="4415" spans="3:10" x14ac:dyDescent="0.2">
      <c r="C4415" s="209"/>
      <c r="D4415" s="209"/>
      <c r="E4415" s="209"/>
      <c r="J4415" s="124"/>
    </row>
    <row r="4416" spans="3:10" x14ac:dyDescent="0.2">
      <c r="C4416" s="209"/>
      <c r="D4416" s="209"/>
      <c r="E4416" s="209"/>
      <c r="J4416" s="124"/>
    </row>
    <row r="4417" spans="3:10" x14ac:dyDescent="0.2">
      <c r="C4417" s="209"/>
      <c r="D4417" s="209"/>
      <c r="E4417" s="209"/>
      <c r="J4417" s="124"/>
    </row>
    <row r="4418" spans="3:10" x14ac:dyDescent="0.2">
      <c r="C4418" s="209"/>
      <c r="D4418" s="209"/>
      <c r="E4418" s="209"/>
      <c r="J4418" s="124"/>
    </row>
    <row r="4419" spans="3:10" x14ac:dyDescent="0.2">
      <c r="C4419" s="209"/>
      <c r="D4419" s="209"/>
      <c r="E4419" s="209"/>
      <c r="J4419" s="124"/>
    </row>
    <row r="4420" spans="3:10" x14ac:dyDescent="0.2">
      <c r="C4420" s="209"/>
      <c r="D4420" s="209"/>
      <c r="E4420" s="209"/>
      <c r="J4420" s="124"/>
    </row>
    <row r="4421" spans="3:10" x14ac:dyDescent="0.2">
      <c r="C4421" s="209"/>
      <c r="D4421" s="209"/>
      <c r="E4421" s="209"/>
      <c r="J4421" s="124"/>
    </row>
    <row r="4422" spans="3:10" x14ac:dyDescent="0.2">
      <c r="C4422" s="209"/>
      <c r="D4422" s="209"/>
      <c r="E4422" s="209"/>
      <c r="J4422" s="124"/>
    </row>
    <row r="4423" spans="3:10" x14ac:dyDescent="0.2">
      <c r="C4423" s="209"/>
      <c r="D4423" s="209"/>
      <c r="E4423" s="209"/>
      <c r="J4423" s="124"/>
    </row>
    <row r="4424" spans="3:10" x14ac:dyDescent="0.2">
      <c r="C4424" s="209"/>
      <c r="D4424" s="209"/>
      <c r="E4424" s="209"/>
      <c r="J4424" s="124"/>
    </row>
    <row r="4425" spans="3:10" x14ac:dyDescent="0.2">
      <c r="C4425" s="209"/>
      <c r="D4425" s="209"/>
      <c r="E4425" s="209"/>
      <c r="J4425" s="124"/>
    </row>
    <row r="4426" spans="3:10" x14ac:dyDescent="0.2">
      <c r="C4426" s="209"/>
      <c r="D4426" s="209"/>
      <c r="E4426" s="209"/>
      <c r="J4426" s="124"/>
    </row>
    <row r="4427" spans="3:10" x14ac:dyDescent="0.2">
      <c r="C4427" s="209"/>
      <c r="D4427" s="209"/>
      <c r="E4427" s="209"/>
      <c r="J4427" s="124"/>
    </row>
    <row r="4428" spans="3:10" x14ac:dyDescent="0.2">
      <c r="C4428" s="209"/>
      <c r="D4428" s="209"/>
      <c r="E4428" s="209"/>
      <c r="J4428" s="124"/>
    </row>
    <row r="4429" spans="3:10" x14ac:dyDescent="0.2">
      <c r="C4429" s="209"/>
      <c r="D4429" s="209"/>
      <c r="E4429" s="209"/>
      <c r="J4429" s="124"/>
    </row>
    <row r="4430" spans="3:10" x14ac:dyDescent="0.2">
      <c r="C4430" s="209"/>
      <c r="D4430" s="209"/>
      <c r="E4430" s="209"/>
      <c r="J4430" s="124"/>
    </row>
    <row r="4431" spans="3:10" x14ac:dyDescent="0.2">
      <c r="C4431" s="209"/>
      <c r="D4431" s="209"/>
      <c r="E4431" s="209"/>
      <c r="J4431" s="124"/>
    </row>
    <row r="4432" spans="3:10" x14ac:dyDescent="0.2">
      <c r="C4432" s="209"/>
      <c r="D4432" s="209"/>
      <c r="E4432" s="209"/>
      <c r="J4432" s="124"/>
    </row>
    <row r="4433" spans="3:10" x14ac:dyDescent="0.2">
      <c r="C4433" s="209"/>
      <c r="D4433" s="209"/>
      <c r="E4433" s="209"/>
      <c r="J4433" s="124"/>
    </row>
    <row r="4434" spans="3:10" x14ac:dyDescent="0.2">
      <c r="C4434" s="209"/>
      <c r="D4434" s="209"/>
      <c r="E4434" s="209"/>
      <c r="J4434" s="124"/>
    </row>
    <row r="4435" spans="3:10" x14ac:dyDescent="0.2">
      <c r="C4435" s="209"/>
      <c r="D4435" s="209"/>
      <c r="E4435" s="209"/>
      <c r="J4435" s="124"/>
    </row>
    <row r="4436" spans="3:10" x14ac:dyDescent="0.2">
      <c r="C4436" s="209"/>
      <c r="D4436" s="209"/>
      <c r="E4436" s="209"/>
      <c r="J4436" s="124"/>
    </row>
    <row r="4437" spans="3:10" x14ac:dyDescent="0.2">
      <c r="C4437" s="209"/>
      <c r="D4437" s="209"/>
      <c r="E4437" s="209"/>
      <c r="J4437" s="124"/>
    </row>
    <row r="4438" spans="3:10" x14ac:dyDescent="0.2">
      <c r="C4438" s="209"/>
      <c r="D4438" s="209"/>
      <c r="E4438" s="209"/>
      <c r="J4438" s="124"/>
    </row>
    <row r="4439" spans="3:10" x14ac:dyDescent="0.2">
      <c r="C4439" s="209"/>
      <c r="D4439" s="209"/>
      <c r="E4439" s="209"/>
      <c r="J4439" s="124"/>
    </row>
    <row r="4440" spans="3:10" x14ac:dyDescent="0.2">
      <c r="C4440" s="209"/>
      <c r="D4440" s="209"/>
      <c r="E4440" s="209"/>
      <c r="J4440" s="124"/>
    </row>
    <row r="4441" spans="3:10" x14ac:dyDescent="0.2">
      <c r="C4441" s="209"/>
      <c r="D4441" s="209"/>
      <c r="E4441" s="209"/>
      <c r="J4441" s="124"/>
    </row>
    <row r="4442" spans="3:10" x14ac:dyDescent="0.2">
      <c r="C4442" s="209"/>
      <c r="D4442" s="209"/>
      <c r="E4442" s="209"/>
      <c r="J4442" s="124"/>
    </row>
    <row r="4443" spans="3:10" x14ac:dyDescent="0.2">
      <c r="C4443" s="209"/>
      <c r="D4443" s="209"/>
      <c r="E4443" s="209"/>
      <c r="J4443" s="124"/>
    </row>
    <row r="4444" spans="3:10" x14ac:dyDescent="0.2">
      <c r="C4444" s="209"/>
      <c r="D4444" s="209"/>
      <c r="E4444" s="209"/>
      <c r="J4444" s="124"/>
    </row>
    <row r="4445" spans="3:10" x14ac:dyDescent="0.2">
      <c r="C4445" s="209"/>
      <c r="D4445" s="209"/>
      <c r="E4445" s="209"/>
      <c r="J4445" s="124"/>
    </row>
    <row r="4446" spans="3:10" x14ac:dyDescent="0.2">
      <c r="C4446" s="209"/>
      <c r="D4446" s="209"/>
      <c r="E4446" s="209"/>
      <c r="J4446" s="124"/>
    </row>
    <row r="4447" spans="3:10" x14ac:dyDescent="0.2">
      <c r="C4447" s="209"/>
      <c r="D4447" s="209"/>
      <c r="E4447" s="209"/>
      <c r="J4447" s="124"/>
    </row>
    <row r="4448" spans="3:10" x14ac:dyDescent="0.2">
      <c r="C4448" s="209"/>
      <c r="D4448" s="209"/>
      <c r="E4448" s="209"/>
      <c r="J4448" s="124"/>
    </row>
    <row r="4449" spans="3:10" x14ac:dyDescent="0.2">
      <c r="C4449" s="209"/>
      <c r="D4449" s="209"/>
      <c r="E4449" s="209"/>
      <c r="J4449" s="124"/>
    </row>
    <row r="4450" spans="3:10" x14ac:dyDescent="0.2">
      <c r="C4450" s="209"/>
      <c r="D4450" s="209"/>
      <c r="E4450" s="209"/>
      <c r="J4450" s="124"/>
    </row>
    <row r="4451" spans="3:10" x14ac:dyDescent="0.2">
      <c r="C4451" s="209"/>
      <c r="D4451" s="209"/>
      <c r="E4451" s="209"/>
      <c r="J4451" s="124"/>
    </row>
    <row r="4452" spans="3:10" x14ac:dyDescent="0.2">
      <c r="C4452" s="209"/>
      <c r="D4452" s="209"/>
      <c r="E4452" s="209"/>
      <c r="J4452" s="124"/>
    </row>
    <row r="4453" spans="3:10" x14ac:dyDescent="0.2">
      <c r="C4453" s="209"/>
      <c r="D4453" s="209"/>
      <c r="E4453" s="209"/>
      <c r="J4453" s="124"/>
    </row>
    <row r="4454" spans="3:10" x14ac:dyDescent="0.2">
      <c r="C4454" s="209"/>
      <c r="D4454" s="209"/>
      <c r="E4454" s="209"/>
      <c r="J4454" s="124"/>
    </row>
    <row r="4455" spans="3:10" x14ac:dyDescent="0.2">
      <c r="C4455" s="209"/>
      <c r="D4455" s="209"/>
      <c r="E4455" s="209"/>
      <c r="J4455" s="124"/>
    </row>
    <row r="4456" spans="3:10" x14ac:dyDescent="0.2">
      <c r="C4456" s="209"/>
      <c r="D4456" s="209"/>
      <c r="E4456" s="209"/>
      <c r="J4456" s="124"/>
    </row>
    <row r="4457" spans="3:10" x14ac:dyDescent="0.2">
      <c r="C4457" s="209"/>
      <c r="D4457" s="209"/>
      <c r="E4457" s="209"/>
      <c r="J4457" s="124"/>
    </row>
    <row r="4458" spans="3:10" x14ac:dyDescent="0.2">
      <c r="C4458" s="209"/>
      <c r="D4458" s="209"/>
      <c r="E4458" s="209"/>
      <c r="J4458" s="124"/>
    </row>
    <row r="4459" spans="3:10" x14ac:dyDescent="0.2">
      <c r="C4459" s="209"/>
      <c r="D4459" s="209"/>
      <c r="E4459" s="209"/>
      <c r="J4459" s="124"/>
    </row>
    <row r="4460" spans="3:10" x14ac:dyDescent="0.2">
      <c r="C4460" s="209"/>
      <c r="D4460" s="209"/>
      <c r="E4460" s="209"/>
      <c r="J4460" s="124"/>
    </row>
    <row r="4461" spans="3:10" x14ac:dyDescent="0.2">
      <c r="C4461" s="209"/>
      <c r="D4461" s="209"/>
      <c r="E4461" s="209"/>
      <c r="J4461" s="124"/>
    </row>
    <row r="4462" spans="3:10" x14ac:dyDescent="0.2">
      <c r="C4462" s="209"/>
      <c r="D4462" s="209"/>
      <c r="E4462" s="209"/>
      <c r="J4462" s="124"/>
    </row>
    <row r="4463" spans="3:10" x14ac:dyDescent="0.2">
      <c r="C4463" s="209"/>
      <c r="D4463" s="209"/>
      <c r="E4463" s="209"/>
      <c r="J4463" s="124"/>
    </row>
    <row r="4464" spans="3:10" x14ac:dyDescent="0.2">
      <c r="C4464" s="209"/>
      <c r="D4464" s="209"/>
      <c r="E4464" s="209"/>
      <c r="J4464" s="124"/>
    </row>
    <row r="4465" spans="3:10" x14ac:dyDescent="0.2">
      <c r="C4465" s="209"/>
      <c r="D4465" s="209"/>
      <c r="E4465" s="209"/>
      <c r="J4465" s="124"/>
    </row>
    <row r="4466" spans="3:10" x14ac:dyDescent="0.2">
      <c r="C4466" s="209"/>
      <c r="D4466" s="209"/>
      <c r="E4466" s="209"/>
      <c r="J4466" s="124"/>
    </row>
    <row r="4467" spans="3:10" x14ac:dyDescent="0.2">
      <c r="C4467" s="209"/>
      <c r="D4467" s="209"/>
      <c r="E4467" s="209"/>
      <c r="J4467" s="124"/>
    </row>
    <row r="4468" spans="3:10" x14ac:dyDescent="0.2">
      <c r="C4468" s="209"/>
      <c r="D4468" s="209"/>
      <c r="E4468" s="209"/>
      <c r="J4468" s="124"/>
    </row>
    <row r="4469" spans="3:10" x14ac:dyDescent="0.2">
      <c r="C4469" s="209"/>
      <c r="D4469" s="209"/>
      <c r="E4469" s="209"/>
      <c r="J4469" s="124"/>
    </row>
    <row r="4470" spans="3:10" x14ac:dyDescent="0.2">
      <c r="C4470" s="209"/>
      <c r="D4470" s="209"/>
      <c r="E4470" s="209"/>
      <c r="J4470" s="124"/>
    </row>
    <row r="4471" spans="3:10" x14ac:dyDescent="0.2">
      <c r="C4471" s="209"/>
      <c r="D4471" s="209"/>
      <c r="E4471" s="209"/>
      <c r="J4471" s="124"/>
    </row>
    <row r="4472" spans="3:10" x14ac:dyDescent="0.2">
      <c r="C4472" s="209"/>
      <c r="D4472" s="209"/>
      <c r="E4472" s="209"/>
      <c r="J4472" s="124"/>
    </row>
    <row r="4473" spans="3:10" x14ac:dyDescent="0.2">
      <c r="C4473" s="209"/>
      <c r="D4473" s="209"/>
      <c r="E4473" s="209"/>
      <c r="J4473" s="124"/>
    </row>
    <row r="4474" spans="3:10" x14ac:dyDescent="0.2">
      <c r="C4474" s="209"/>
      <c r="D4474" s="209"/>
      <c r="E4474" s="209"/>
      <c r="J4474" s="124"/>
    </row>
    <row r="4475" spans="3:10" x14ac:dyDescent="0.2">
      <c r="C4475" s="209"/>
      <c r="D4475" s="209"/>
      <c r="E4475" s="209"/>
      <c r="J4475" s="124"/>
    </row>
    <row r="4476" spans="3:10" x14ac:dyDescent="0.2">
      <c r="C4476" s="209"/>
      <c r="D4476" s="209"/>
      <c r="E4476" s="209"/>
      <c r="J4476" s="124"/>
    </row>
    <row r="4477" spans="3:10" x14ac:dyDescent="0.2">
      <c r="C4477" s="209"/>
      <c r="D4477" s="209"/>
      <c r="E4477" s="209"/>
      <c r="J4477" s="124"/>
    </row>
    <row r="4478" spans="3:10" x14ac:dyDescent="0.2">
      <c r="C4478" s="209"/>
      <c r="D4478" s="209"/>
      <c r="E4478" s="209"/>
      <c r="J4478" s="124"/>
    </row>
    <row r="4479" spans="3:10" x14ac:dyDescent="0.2">
      <c r="C4479" s="209"/>
      <c r="D4479" s="209"/>
      <c r="E4479" s="209"/>
      <c r="J4479" s="124"/>
    </row>
    <row r="4480" spans="3:10" x14ac:dyDescent="0.2">
      <c r="C4480" s="209"/>
      <c r="D4480" s="209"/>
      <c r="E4480" s="209"/>
      <c r="J4480" s="124"/>
    </row>
    <row r="4481" spans="3:10" x14ac:dyDescent="0.2">
      <c r="C4481" s="209"/>
      <c r="D4481" s="209"/>
      <c r="E4481" s="209"/>
      <c r="J4481" s="124"/>
    </row>
    <row r="4482" spans="3:10" x14ac:dyDescent="0.2">
      <c r="C4482" s="209"/>
      <c r="D4482" s="209"/>
      <c r="E4482" s="209"/>
      <c r="J4482" s="124"/>
    </row>
    <row r="4483" spans="3:10" x14ac:dyDescent="0.2">
      <c r="C4483" s="209"/>
      <c r="D4483" s="209"/>
      <c r="E4483" s="209"/>
      <c r="J4483" s="124"/>
    </row>
    <row r="4484" spans="3:10" x14ac:dyDescent="0.2">
      <c r="C4484" s="209"/>
      <c r="D4484" s="209"/>
      <c r="E4484" s="209"/>
      <c r="J4484" s="124"/>
    </row>
    <row r="4485" spans="3:10" x14ac:dyDescent="0.2">
      <c r="C4485" s="209"/>
      <c r="D4485" s="209"/>
      <c r="E4485" s="209"/>
      <c r="J4485" s="124"/>
    </row>
    <row r="4486" spans="3:10" x14ac:dyDescent="0.2">
      <c r="C4486" s="209"/>
      <c r="D4486" s="209"/>
      <c r="E4486" s="209"/>
      <c r="J4486" s="124"/>
    </row>
    <row r="4487" spans="3:10" x14ac:dyDescent="0.2">
      <c r="C4487" s="209"/>
      <c r="D4487" s="209"/>
      <c r="E4487" s="209"/>
      <c r="J4487" s="124"/>
    </row>
    <row r="4488" spans="3:10" x14ac:dyDescent="0.2">
      <c r="C4488" s="209"/>
      <c r="D4488" s="209"/>
      <c r="E4488" s="209"/>
      <c r="J4488" s="124"/>
    </row>
    <row r="4489" spans="3:10" x14ac:dyDescent="0.2">
      <c r="C4489" s="209"/>
      <c r="D4489" s="209"/>
      <c r="E4489" s="209"/>
      <c r="J4489" s="124"/>
    </row>
    <row r="4490" spans="3:10" x14ac:dyDescent="0.2">
      <c r="C4490" s="209"/>
      <c r="D4490" s="209"/>
      <c r="E4490" s="209"/>
      <c r="J4490" s="124"/>
    </row>
    <row r="4491" spans="3:10" x14ac:dyDescent="0.2">
      <c r="C4491" s="209"/>
      <c r="D4491" s="209"/>
      <c r="E4491" s="209"/>
      <c r="J4491" s="124"/>
    </row>
    <row r="4492" spans="3:10" x14ac:dyDescent="0.2">
      <c r="C4492" s="209"/>
      <c r="D4492" s="209"/>
      <c r="E4492" s="209"/>
      <c r="J4492" s="124"/>
    </row>
    <row r="4493" spans="3:10" x14ac:dyDescent="0.2">
      <c r="C4493" s="209"/>
      <c r="D4493" s="209"/>
      <c r="E4493" s="209"/>
      <c r="J4493" s="124"/>
    </row>
    <row r="4494" spans="3:10" x14ac:dyDescent="0.2">
      <c r="C4494" s="209"/>
      <c r="D4494" s="209"/>
      <c r="E4494" s="209"/>
      <c r="J4494" s="124"/>
    </row>
    <row r="4495" spans="3:10" x14ac:dyDescent="0.2">
      <c r="C4495" s="209"/>
      <c r="D4495" s="209"/>
      <c r="E4495" s="209"/>
      <c r="J4495" s="124"/>
    </row>
    <row r="4496" spans="3:10" x14ac:dyDescent="0.2">
      <c r="C4496" s="209"/>
      <c r="D4496" s="209"/>
      <c r="E4496" s="209"/>
      <c r="J4496" s="124"/>
    </row>
    <row r="4497" spans="3:10" x14ac:dyDescent="0.2">
      <c r="C4497" s="209"/>
      <c r="D4497" s="209"/>
      <c r="E4497" s="209"/>
      <c r="J4497" s="124"/>
    </row>
    <row r="4498" spans="3:10" x14ac:dyDescent="0.2">
      <c r="C4498" s="209"/>
      <c r="D4498" s="209"/>
      <c r="E4498" s="209"/>
      <c r="J4498" s="124"/>
    </row>
    <row r="4499" spans="3:10" x14ac:dyDescent="0.2">
      <c r="C4499" s="209"/>
      <c r="D4499" s="209"/>
      <c r="E4499" s="209"/>
      <c r="J4499" s="124"/>
    </row>
    <row r="4500" spans="3:10" x14ac:dyDescent="0.2">
      <c r="C4500" s="209"/>
      <c r="D4500" s="209"/>
      <c r="E4500" s="209"/>
      <c r="J4500" s="124"/>
    </row>
    <row r="4501" spans="3:10" x14ac:dyDescent="0.2">
      <c r="C4501" s="209"/>
      <c r="D4501" s="209"/>
      <c r="E4501" s="209"/>
      <c r="J4501" s="124"/>
    </row>
    <row r="4502" spans="3:10" x14ac:dyDescent="0.2">
      <c r="C4502" s="209"/>
      <c r="D4502" s="209"/>
      <c r="E4502" s="209"/>
      <c r="J4502" s="124"/>
    </row>
    <row r="4503" spans="3:10" x14ac:dyDescent="0.2">
      <c r="C4503" s="209"/>
      <c r="D4503" s="209"/>
      <c r="E4503" s="209"/>
      <c r="J4503" s="124"/>
    </row>
    <row r="4504" spans="3:10" x14ac:dyDescent="0.2">
      <c r="C4504" s="209"/>
      <c r="D4504" s="209"/>
      <c r="E4504" s="209"/>
      <c r="J4504" s="124"/>
    </row>
    <row r="4505" spans="3:10" x14ac:dyDescent="0.2">
      <c r="C4505" s="209"/>
      <c r="D4505" s="209"/>
      <c r="E4505" s="209"/>
      <c r="J4505" s="124"/>
    </row>
    <row r="4506" spans="3:10" x14ac:dyDescent="0.2">
      <c r="C4506" s="209"/>
      <c r="D4506" s="209"/>
      <c r="E4506" s="209"/>
      <c r="J4506" s="124"/>
    </row>
    <row r="4507" spans="3:10" x14ac:dyDescent="0.2">
      <c r="C4507" s="209"/>
      <c r="D4507" s="209"/>
      <c r="E4507" s="209"/>
      <c r="J4507" s="124"/>
    </row>
    <row r="4508" spans="3:10" x14ac:dyDescent="0.2">
      <c r="C4508" s="209"/>
      <c r="D4508" s="209"/>
      <c r="E4508" s="209"/>
      <c r="J4508" s="124"/>
    </row>
    <row r="4509" spans="3:10" x14ac:dyDescent="0.2">
      <c r="C4509" s="209"/>
      <c r="D4509" s="209"/>
      <c r="E4509" s="209"/>
      <c r="J4509" s="124"/>
    </row>
    <row r="4510" spans="3:10" x14ac:dyDescent="0.2">
      <c r="C4510" s="209"/>
      <c r="D4510" s="209"/>
      <c r="E4510" s="209"/>
      <c r="J4510" s="124"/>
    </row>
    <row r="4511" spans="3:10" x14ac:dyDescent="0.2">
      <c r="C4511" s="209"/>
      <c r="D4511" s="209"/>
      <c r="E4511" s="209"/>
      <c r="J4511" s="124"/>
    </row>
    <row r="4512" spans="3:10" x14ac:dyDescent="0.2">
      <c r="C4512" s="209"/>
      <c r="D4512" s="209"/>
      <c r="E4512" s="209"/>
      <c r="J4512" s="124"/>
    </row>
    <row r="4513" spans="3:10" x14ac:dyDescent="0.2">
      <c r="C4513" s="209"/>
      <c r="D4513" s="209"/>
      <c r="E4513" s="209"/>
      <c r="J4513" s="124"/>
    </row>
    <row r="4514" spans="3:10" x14ac:dyDescent="0.2">
      <c r="C4514" s="209"/>
      <c r="D4514" s="209"/>
      <c r="E4514" s="209"/>
      <c r="J4514" s="124"/>
    </row>
    <row r="4515" spans="3:10" x14ac:dyDescent="0.2">
      <c r="C4515" s="209"/>
      <c r="D4515" s="209"/>
      <c r="E4515" s="209"/>
      <c r="J4515" s="124"/>
    </row>
    <row r="4516" spans="3:10" x14ac:dyDescent="0.2">
      <c r="C4516" s="209"/>
      <c r="D4516" s="209"/>
      <c r="E4516" s="209"/>
      <c r="J4516" s="124"/>
    </row>
    <row r="4517" spans="3:10" x14ac:dyDescent="0.2">
      <c r="C4517" s="209"/>
      <c r="D4517" s="209"/>
      <c r="E4517" s="209"/>
      <c r="J4517" s="124"/>
    </row>
    <row r="4518" spans="3:10" x14ac:dyDescent="0.2">
      <c r="C4518" s="209"/>
      <c r="D4518" s="209"/>
      <c r="E4518" s="209"/>
      <c r="J4518" s="124"/>
    </row>
    <row r="4519" spans="3:10" x14ac:dyDescent="0.2">
      <c r="C4519" s="209"/>
      <c r="D4519" s="209"/>
      <c r="E4519" s="209"/>
      <c r="J4519" s="124"/>
    </row>
    <row r="4520" spans="3:10" x14ac:dyDescent="0.2">
      <c r="C4520" s="209"/>
      <c r="D4520" s="209"/>
      <c r="E4520" s="209"/>
      <c r="J4520" s="124"/>
    </row>
    <row r="4521" spans="3:10" x14ac:dyDescent="0.2">
      <c r="C4521" s="209"/>
      <c r="D4521" s="209"/>
      <c r="E4521" s="209"/>
      <c r="J4521" s="124"/>
    </row>
    <row r="4522" spans="3:10" x14ac:dyDescent="0.2">
      <c r="C4522" s="209"/>
      <c r="D4522" s="209"/>
      <c r="E4522" s="209"/>
      <c r="J4522" s="124"/>
    </row>
    <row r="4523" spans="3:10" x14ac:dyDescent="0.2">
      <c r="C4523" s="209"/>
      <c r="D4523" s="209"/>
      <c r="E4523" s="209"/>
      <c r="J4523" s="124"/>
    </row>
    <row r="4524" spans="3:10" x14ac:dyDescent="0.2">
      <c r="C4524" s="209"/>
      <c r="D4524" s="209"/>
      <c r="E4524" s="209"/>
      <c r="J4524" s="124"/>
    </row>
    <row r="4525" spans="3:10" x14ac:dyDescent="0.2">
      <c r="C4525" s="209"/>
      <c r="D4525" s="209"/>
      <c r="E4525" s="209"/>
      <c r="J4525" s="124"/>
    </row>
    <row r="4526" spans="3:10" x14ac:dyDescent="0.2">
      <c r="C4526" s="209"/>
      <c r="D4526" s="209"/>
      <c r="E4526" s="209"/>
      <c r="J4526" s="124"/>
    </row>
    <row r="4527" spans="3:10" x14ac:dyDescent="0.2">
      <c r="C4527" s="209"/>
      <c r="D4527" s="209"/>
      <c r="E4527" s="209"/>
      <c r="J4527" s="124"/>
    </row>
    <row r="4528" spans="3:10" x14ac:dyDescent="0.2">
      <c r="C4528" s="209"/>
      <c r="D4528" s="209"/>
      <c r="E4528" s="209"/>
      <c r="J4528" s="124"/>
    </row>
    <row r="4529" spans="3:10" x14ac:dyDescent="0.2">
      <c r="C4529" s="209"/>
      <c r="D4529" s="209"/>
      <c r="E4529" s="209"/>
      <c r="J4529" s="124"/>
    </row>
    <row r="4530" spans="3:10" x14ac:dyDescent="0.2">
      <c r="C4530" s="209"/>
      <c r="D4530" s="209"/>
      <c r="E4530" s="209"/>
      <c r="J4530" s="124"/>
    </row>
    <row r="4531" spans="3:10" x14ac:dyDescent="0.2">
      <c r="C4531" s="209"/>
      <c r="D4531" s="209"/>
      <c r="E4531" s="209"/>
      <c r="J4531" s="124"/>
    </row>
    <row r="4532" spans="3:10" x14ac:dyDescent="0.2">
      <c r="C4532" s="209"/>
      <c r="D4532" s="209"/>
      <c r="E4532" s="209"/>
      <c r="J4532" s="124"/>
    </row>
    <row r="4533" spans="3:10" x14ac:dyDescent="0.2">
      <c r="C4533" s="209"/>
      <c r="D4533" s="209"/>
      <c r="E4533" s="209"/>
      <c r="J4533" s="124"/>
    </row>
    <row r="4534" spans="3:10" x14ac:dyDescent="0.2">
      <c r="C4534" s="209"/>
      <c r="D4534" s="209"/>
      <c r="E4534" s="209"/>
      <c r="J4534" s="124"/>
    </row>
    <row r="4535" spans="3:10" x14ac:dyDescent="0.2">
      <c r="C4535" s="209"/>
      <c r="D4535" s="209"/>
      <c r="E4535" s="209"/>
      <c r="J4535" s="124"/>
    </row>
    <row r="4536" spans="3:10" x14ac:dyDescent="0.2">
      <c r="C4536" s="209"/>
      <c r="D4536" s="209"/>
      <c r="E4536" s="209"/>
      <c r="J4536" s="124"/>
    </row>
    <row r="4537" spans="3:10" x14ac:dyDescent="0.2">
      <c r="C4537" s="209"/>
      <c r="D4537" s="209"/>
      <c r="E4537" s="209"/>
      <c r="J4537" s="124"/>
    </row>
    <row r="4538" spans="3:10" x14ac:dyDescent="0.2">
      <c r="C4538" s="209"/>
      <c r="D4538" s="209"/>
      <c r="E4538" s="209"/>
      <c r="J4538" s="124"/>
    </row>
    <row r="4539" spans="3:10" x14ac:dyDescent="0.2">
      <c r="C4539" s="209"/>
      <c r="D4539" s="209"/>
      <c r="E4539" s="209"/>
      <c r="J4539" s="124"/>
    </row>
    <row r="4540" spans="3:10" x14ac:dyDescent="0.2">
      <c r="C4540" s="209"/>
      <c r="D4540" s="209"/>
      <c r="E4540" s="209"/>
      <c r="J4540" s="124"/>
    </row>
    <row r="4541" spans="3:10" x14ac:dyDescent="0.2">
      <c r="C4541" s="209"/>
      <c r="D4541" s="209"/>
      <c r="E4541" s="209"/>
      <c r="J4541" s="124"/>
    </row>
    <row r="4542" spans="3:10" x14ac:dyDescent="0.2">
      <c r="C4542" s="209"/>
      <c r="D4542" s="209"/>
      <c r="E4542" s="209"/>
      <c r="J4542" s="124"/>
    </row>
    <row r="4543" spans="3:10" x14ac:dyDescent="0.2">
      <c r="C4543" s="209"/>
      <c r="D4543" s="209"/>
      <c r="E4543" s="209"/>
      <c r="J4543" s="124"/>
    </row>
    <row r="4544" spans="3:10" x14ac:dyDescent="0.2">
      <c r="C4544" s="209"/>
      <c r="D4544" s="209"/>
      <c r="E4544" s="209"/>
      <c r="J4544" s="124"/>
    </row>
    <row r="4545" spans="3:10" x14ac:dyDescent="0.2">
      <c r="C4545" s="209"/>
      <c r="D4545" s="209"/>
      <c r="E4545" s="209"/>
      <c r="J4545" s="124"/>
    </row>
    <row r="4546" spans="3:10" x14ac:dyDescent="0.2">
      <c r="C4546" s="209"/>
      <c r="D4546" s="209"/>
      <c r="E4546" s="209"/>
      <c r="J4546" s="124"/>
    </row>
    <row r="4547" spans="3:10" x14ac:dyDescent="0.2">
      <c r="C4547" s="209"/>
      <c r="D4547" s="209"/>
      <c r="E4547" s="209"/>
      <c r="J4547" s="124"/>
    </row>
    <row r="4548" spans="3:10" x14ac:dyDescent="0.2">
      <c r="C4548" s="209"/>
      <c r="D4548" s="209"/>
      <c r="E4548" s="209"/>
      <c r="J4548" s="124"/>
    </row>
    <row r="4549" spans="3:10" x14ac:dyDescent="0.2">
      <c r="C4549" s="209"/>
      <c r="D4549" s="209"/>
      <c r="E4549" s="209"/>
      <c r="J4549" s="124"/>
    </row>
    <row r="4550" spans="3:10" x14ac:dyDescent="0.2">
      <c r="C4550" s="209"/>
      <c r="D4550" s="209"/>
      <c r="E4550" s="209"/>
      <c r="J4550" s="124"/>
    </row>
    <row r="4551" spans="3:10" x14ac:dyDescent="0.2">
      <c r="C4551" s="209"/>
      <c r="D4551" s="209"/>
      <c r="E4551" s="209"/>
      <c r="J4551" s="124"/>
    </row>
    <row r="4552" spans="3:10" x14ac:dyDescent="0.2">
      <c r="C4552" s="209"/>
      <c r="D4552" s="209"/>
      <c r="E4552" s="209"/>
      <c r="J4552" s="124"/>
    </row>
    <row r="4553" spans="3:10" x14ac:dyDescent="0.2">
      <c r="C4553" s="209"/>
      <c r="D4553" s="209"/>
      <c r="E4553" s="209"/>
      <c r="J4553" s="124"/>
    </row>
    <row r="4554" spans="3:10" x14ac:dyDescent="0.2">
      <c r="C4554" s="209"/>
      <c r="D4554" s="209"/>
      <c r="E4554" s="209"/>
      <c r="J4554" s="124"/>
    </row>
    <row r="4555" spans="3:10" x14ac:dyDescent="0.2">
      <c r="C4555" s="209"/>
      <c r="D4555" s="209"/>
      <c r="E4555" s="209"/>
      <c r="J4555" s="124"/>
    </row>
    <row r="4556" spans="3:10" x14ac:dyDescent="0.2">
      <c r="C4556" s="209"/>
      <c r="D4556" s="209"/>
      <c r="E4556" s="209"/>
      <c r="J4556" s="124"/>
    </row>
    <row r="4557" spans="3:10" x14ac:dyDescent="0.2">
      <c r="C4557" s="209"/>
      <c r="D4557" s="209"/>
      <c r="E4557" s="209"/>
      <c r="J4557" s="124"/>
    </row>
    <row r="4558" spans="3:10" x14ac:dyDescent="0.2">
      <c r="C4558" s="209"/>
      <c r="D4558" s="209"/>
      <c r="E4558" s="209"/>
      <c r="J4558" s="124"/>
    </row>
    <row r="4559" spans="3:10" x14ac:dyDescent="0.2">
      <c r="C4559" s="209"/>
      <c r="D4559" s="209"/>
      <c r="E4559" s="209"/>
      <c r="J4559" s="124"/>
    </row>
    <row r="4560" spans="3:10" x14ac:dyDescent="0.2">
      <c r="C4560" s="209"/>
      <c r="D4560" s="209"/>
      <c r="E4560" s="209"/>
      <c r="J4560" s="124"/>
    </row>
    <row r="4561" spans="3:10" x14ac:dyDescent="0.2">
      <c r="C4561" s="209"/>
      <c r="D4561" s="209"/>
      <c r="E4561" s="209"/>
      <c r="J4561" s="124"/>
    </row>
    <row r="4562" spans="3:10" x14ac:dyDescent="0.2">
      <c r="C4562" s="209"/>
      <c r="D4562" s="209"/>
      <c r="E4562" s="209"/>
      <c r="J4562" s="124"/>
    </row>
    <row r="4563" spans="3:10" x14ac:dyDescent="0.2">
      <c r="C4563" s="209"/>
      <c r="D4563" s="209"/>
      <c r="E4563" s="209"/>
      <c r="J4563" s="124"/>
    </row>
    <row r="4564" spans="3:10" x14ac:dyDescent="0.2">
      <c r="C4564" s="209"/>
      <c r="D4564" s="209"/>
      <c r="E4564" s="209"/>
      <c r="J4564" s="124"/>
    </row>
    <row r="4565" spans="3:10" x14ac:dyDescent="0.2">
      <c r="C4565" s="209"/>
      <c r="D4565" s="209"/>
      <c r="E4565" s="209"/>
      <c r="J4565" s="124"/>
    </row>
    <row r="4566" spans="3:10" x14ac:dyDescent="0.2">
      <c r="C4566" s="209"/>
      <c r="D4566" s="209"/>
      <c r="E4566" s="209"/>
      <c r="J4566" s="124"/>
    </row>
    <row r="4567" spans="3:10" x14ac:dyDescent="0.2">
      <c r="C4567" s="209"/>
      <c r="D4567" s="209"/>
      <c r="E4567" s="209"/>
      <c r="J4567" s="124"/>
    </row>
    <row r="4568" spans="3:10" x14ac:dyDescent="0.2">
      <c r="C4568" s="209"/>
      <c r="D4568" s="209"/>
      <c r="E4568" s="209"/>
      <c r="J4568" s="124"/>
    </row>
    <row r="4569" spans="3:10" x14ac:dyDescent="0.2">
      <c r="C4569" s="209"/>
      <c r="D4569" s="209"/>
      <c r="E4569" s="209"/>
      <c r="J4569" s="124"/>
    </row>
    <row r="4570" spans="3:10" x14ac:dyDescent="0.2">
      <c r="C4570" s="209"/>
      <c r="D4570" s="209"/>
      <c r="E4570" s="209"/>
      <c r="J4570" s="124"/>
    </row>
    <row r="4571" spans="3:10" x14ac:dyDescent="0.2">
      <c r="C4571" s="209"/>
      <c r="D4571" s="209"/>
      <c r="E4571" s="209"/>
      <c r="J4571" s="124"/>
    </row>
    <row r="4572" spans="3:10" x14ac:dyDescent="0.2">
      <c r="C4572" s="209"/>
      <c r="D4572" s="209"/>
      <c r="E4572" s="209"/>
      <c r="J4572" s="124"/>
    </row>
    <row r="4573" spans="3:10" x14ac:dyDescent="0.2">
      <c r="C4573" s="209"/>
      <c r="D4573" s="209"/>
      <c r="E4573" s="209"/>
      <c r="J4573" s="124"/>
    </row>
    <row r="4574" spans="3:10" x14ac:dyDescent="0.2">
      <c r="C4574" s="209"/>
      <c r="D4574" s="209"/>
      <c r="E4574" s="209"/>
      <c r="J4574" s="124"/>
    </row>
    <row r="4575" spans="3:10" x14ac:dyDescent="0.2">
      <c r="C4575" s="209"/>
      <c r="D4575" s="209"/>
      <c r="E4575" s="209"/>
      <c r="J4575" s="124"/>
    </row>
    <row r="4576" spans="3:10" x14ac:dyDescent="0.2">
      <c r="C4576" s="209"/>
      <c r="D4576" s="209"/>
      <c r="E4576" s="209"/>
      <c r="J4576" s="124"/>
    </row>
    <row r="4577" spans="3:10" x14ac:dyDescent="0.2">
      <c r="C4577" s="209"/>
      <c r="D4577" s="209"/>
      <c r="E4577" s="209"/>
      <c r="J4577" s="124"/>
    </row>
    <row r="4578" spans="3:10" x14ac:dyDescent="0.2">
      <c r="C4578" s="209"/>
      <c r="D4578" s="209"/>
      <c r="E4578" s="209"/>
      <c r="J4578" s="124"/>
    </row>
    <row r="4579" spans="3:10" x14ac:dyDescent="0.2">
      <c r="C4579" s="209"/>
      <c r="D4579" s="209"/>
      <c r="E4579" s="209"/>
      <c r="J4579" s="124"/>
    </row>
    <row r="4580" spans="3:10" x14ac:dyDescent="0.2">
      <c r="C4580" s="209"/>
      <c r="D4580" s="209"/>
      <c r="E4580" s="209"/>
      <c r="J4580" s="124"/>
    </row>
    <row r="4581" spans="3:10" x14ac:dyDescent="0.2">
      <c r="C4581" s="209"/>
      <c r="D4581" s="209"/>
      <c r="E4581" s="209"/>
      <c r="J4581" s="124"/>
    </row>
    <row r="4582" spans="3:10" x14ac:dyDescent="0.2">
      <c r="C4582" s="209"/>
      <c r="D4582" s="209"/>
      <c r="E4582" s="209"/>
      <c r="J4582" s="124"/>
    </row>
    <row r="4583" spans="3:10" x14ac:dyDescent="0.2">
      <c r="C4583" s="209"/>
      <c r="D4583" s="209"/>
      <c r="E4583" s="209"/>
      <c r="J4583" s="124"/>
    </row>
    <row r="4584" spans="3:10" x14ac:dyDescent="0.2">
      <c r="C4584" s="209"/>
      <c r="D4584" s="209"/>
      <c r="E4584" s="209"/>
      <c r="J4584" s="124"/>
    </row>
    <row r="4585" spans="3:10" x14ac:dyDescent="0.2">
      <c r="C4585" s="209"/>
      <c r="D4585" s="209"/>
      <c r="E4585" s="209"/>
      <c r="J4585" s="124"/>
    </row>
    <row r="4586" spans="3:10" x14ac:dyDescent="0.2">
      <c r="C4586" s="209"/>
      <c r="D4586" s="209"/>
      <c r="E4586" s="209"/>
      <c r="J4586" s="124"/>
    </row>
    <row r="4587" spans="3:10" x14ac:dyDescent="0.2">
      <c r="C4587" s="209"/>
      <c r="D4587" s="209"/>
      <c r="E4587" s="209"/>
      <c r="J4587" s="124"/>
    </row>
    <row r="4588" spans="3:10" x14ac:dyDescent="0.2">
      <c r="C4588" s="209"/>
      <c r="D4588" s="209"/>
      <c r="E4588" s="209"/>
      <c r="J4588" s="124"/>
    </row>
    <row r="4589" spans="3:10" x14ac:dyDescent="0.2">
      <c r="C4589" s="209"/>
      <c r="D4589" s="209"/>
      <c r="E4589" s="209"/>
      <c r="J4589" s="124"/>
    </row>
    <row r="4590" spans="3:10" x14ac:dyDescent="0.2">
      <c r="C4590" s="209"/>
      <c r="D4590" s="209"/>
      <c r="E4590" s="209"/>
      <c r="J4590" s="124"/>
    </row>
    <row r="4591" spans="3:10" x14ac:dyDescent="0.2">
      <c r="C4591" s="209"/>
      <c r="D4591" s="209"/>
      <c r="E4591" s="209"/>
      <c r="J4591" s="124"/>
    </row>
    <row r="4592" spans="3:10" x14ac:dyDescent="0.2">
      <c r="C4592" s="209"/>
      <c r="D4592" s="209"/>
      <c r="E4592" s="209"/>
      <c r="J4592" s="124"/>
    </row>
    <row r="4593" spans="3:10" x14ac:dyDescent="0.2">
      <c r="C4593" s="209"/>
      <c r="D4593" s="209"/>
      <c r="E4593" s="209"/>
      <c r="J4593" s="124"/>
    </row>
    <row r="4594" spans="3:10" x14ac:dyDescent="0.2">
      <c r="C4594" s="209"/>
      <c r="D4594" s="209"/>
      <c r="E4594" s="209"/>
      <c r="J4594" s="124"/>
    </row>
    <row r="4595" spans="3:10" x14ac:dyDescent="0.2">
      <c r="C4595" s="209"/>
      <c r="D4595" s="209"/>
      <c r="E4595" s="209"/>
      <c r="J4595" s="124"/>
    </row>
    <row r="4596" spans="3:10" x14ac:dyDescent="0.2">
      <c r="C4596" s="209"/>
      <c r="D4596" s="209"/>
      <c r="E4596" s="209"/>
      <c r="J4596" s="124"/>
    </row>
    <row r="4597" spans="3:10" x14ac:dyDescent="0.2">
      <c r="C4597" s="209"/>
      <c r="D4597" s="209"/>
      <c r="E4597" s="209"/>
      <c r="J4597" s="124"/>
    </row>
    <row r="4598" spans="3:10" x14ac:dyDescent="0.2">
      <c r="C4598" s="209"/>
      <c r="D4598" s="209"/>
      <c r="E4598" s="209"/>
      <c r="J4598" s="124"/>
    </row>
    <row r="4599" spans="3:10" x14ac:dyDescent="0.2">
      <c r="C4599" s="209"/>
      <c r="D4599" s="209"/>
      <c r="E4599" s="209"/>
      <c r="J4599" s="124"/>
    </row>
    <row r="4600" spans="3:10" x14ac:dyDescent="0.2">
      <c r="C4600" s="209"/>
      <c r="D4600" s="209"/>
      <c r="E4600" s="209"/>
      <c r="J4600" s="124"/>
    </row>
    <row r="4601" spans="3:10" x14ac:dyDescent="0.2">
      <c r="C4601" s="209"/>
      <c r="D4601" s="209"/>
      <c r="E4601" s="209"/>
      <c r="J4601" s="124"/>
    </row>
    <row r="4602" spans="3:10" x14ac:dyDescent="0.2">
      <c r="C4602" s="209"/>
      <c r="D4602" s="209"/>
      <c r="E4602" s="209"/>
      <c r="J4602" s="124"/>
    </row>
    <row r="4603" spans="3:10" x14ac:dyDescent="0.2">
      <c r="C4603" s="209"/>
      <c r="D4603" s="209"/>
      <c r="E4603" s="209"/>
      <c r="J4603" s="124"/>
    </row>
    <row r="4604" spans="3:10" x14ac:dyDescent="0.2">
      <c r="C4604" s="209"/>
      <c r="D4604" s="209"/>
      <c r="E4604" s="209"/>
      <c r="J4604" s="124"/>
    </row>
    <row r="4605" spans="3:10" x14ac:dyDescent="0.2">
      <c r="C4605" s="209"/>
      <c r="D4605" s="209"/>
      <c r="E4605" s="209"/>
      <c r="J4605" s="124"/>
    </row>
    <row r="4606" spans="3:10" x14ac:dyDescent="0.2">
      <c r="C4606" s="209"/>
      <c r="D4606" s="209"/>
      <c r="E4606" s="209"/>
      <c r="J4606" s="124"/>
    </row>
    <row r="4607" spans="3:10" x14ac:dyDescent="0.2">
      <c r="C4607" s="209"/>
      <c r="D4607" s="209"/>
      <c r="E4607" s="209"/>
      <c r="J4607" s="124"/>
    </row>
    <row r="4608" spans="3:10" x14ac:dyDescent="0.2">
      <c r="C4608" s="209"/>
      <c r="D4608" s="209"/>
      <c r="E4608" s="209"/>
      <c r="J4608" s="124"/>
    </row>
    <row r="4609" spans="3:10" x14ac:dyDescent="0.2">
      <c r="C4609" s="209"/>
      <c r="D4609" s="209"/>
      <c r="E4609" s="209"/>
      <c r="J4609" s="124"/>
    </row>
    <row r="4610" spans="3:10" x14ac:dyDescent="0.2">
      <c r="C4610" s="209"/>
      <c r="D4610" s="209"/>
      <c r="E4610" s="209"/>
      <c r="J4610" s="124"/>
    </row>
    <row r="4611" spans="3:10" x14ac:dyDescent="0.2">
      <c r="C4611" s="209"/>
      <c r="D4611" s="209"/>
      <c r="E4611" s="209"/>
      <c r="J4611" s="124"/>
    </row>
    <row r="4612" spans="3:10" x14ac:dyDescent="0.2">
      <c r="C4612" s="209"/>
      <c r="D4612" s="209"/>
      <c r="E4612" s="209"/>
      <c r="J4612" s="124"/>
    </row>
    <row r="4613" spans="3:10" x14ac:dyDescent="0.2">
      <c r="C4613" s="209"/>
      <c r="D4613" s="209"/>
      <c r="E4613" s="209"/>
      <c r="J4613" s="124"/>
    </row>
    <row r="4614" spans="3:10" x14ac:dyDescent="0.2">
      <c r="C4614" s="209"/>
      <c r="D4614" s="209"/>
      <c r="E4614" s="209"/>
      <c r="J4614" s="124"/>
    </row>
    <row r="4615" spans="3:10" x14ac:dyDescent="0.2">
      <c r="C4615" s="209"/>
      <c r="D4615" s="209"/>
      <c r="E4615" s="209"/>
      <c r="J4615" s="124"/>
    </row>
    <row r="4616" spans="3:10" x14ac:dyDescent="0.2">
      <c r="C4616" s="209"/>
      <c r="D4616" s="209"/>
      <c r="E4616" s="209"/>
      <c r="J4616" s="124"/>
    </row>
    <row r="4617" spans="3:10" x14ac:dyDescent="0.2">
      <c r="C4617" s="209"/>
      <c r="D4617" s="209"/>
      <c r="E4617" s="209"/>
      <c r="J4617" s="124"/>
    </row>
    <row r="4618" spans="3:10" x14ac:dyDescent="0.2">
      <c r="C4618" s="209"/>
      <c r="D4618" s="209"/>
      <c r="E4618" s="209"/>
      <c r="J4618" s="124"/>
    </row>
    <row r="4619" spans="3:10" x14ac:dyDescent="0.2">
      <c r="C4619" s="209"/>
      <c r="D4619" s="209"/>
      <c r="E4619" s="209"/>
      <c r="J4619" s="124"/>
    </row>
    <row r="4620" spans="3:10" x14ac:dyDescent="0.2">
      <c r="C4620" s="209"/>
      <c r="D4620" s="209"/>
      <c r="E4620" s="209"/>
      <c r="J4620" s="124"/>
    </row>
    <row r="4621" spans="3:10" x14ac:dyDescent="0.2">
      <c r="C4621" s="209"/>
      <c r="D4621" s="209"/>
      <c r="E4621" s="209"/>
      <c r="J4621" s="124"/>
    </row>
    <row r="4622" spans="3:10" x14ac:dyDescent="0.2">
      <c r="C4622" s="209"/>
      <c r="D4622" s="209"/>
      <c r="E4622" s="209"/>
      <c r="J4622" s="124"/>
    </row>
    <row r="4623" spans="3:10" x14ac:dyDescent="0.2">
      <c r="C4623" s="209"/>
      <c r="D4623" s="209"/>
      <c r="E4623" s="209"/>
      <c r="J4623" s="124"/>
    </row>
    <row r="4624" spans="3:10" x14ac:dyDescent="0.2">
      <c r="C4624" s="209"/>
      <c r="D4624" s="209"/>
      <c r="E4624" s="209"/>
      <c r="J4624" s="124"/>
    </row>
    <row r="4625" spans="3:10" x14ac:dyDescent="0.2">
      <c r="C4625" s="209"/>
      <c r="D4625" s="209"/>
      <c r="E4625" s="209"/>
      <c r="J4625" s="124"/>
    </row>
    <row r="4626" spans="3:10" x14ac:dyDescent="0.2">
      <c r="C4626" s="209"/>
      <c r="D4626" s="209"/>
      <c r="E4626" s="209"/>
      <c r="J4626" s="124"/>
    </row>
    <row r="4627" spans="3:10" x14ac:dyDescent="0.2">
      <c r="C4627" s="209"/>
      <c r="D4627" s="209"/>
      <c r="E4627" s="209"/>
      <c r="J4627" s="124"/>
    </row>
    <row r="4628" spans="3:10" x14ac:dyDescent="0.2">
      <c r="C4628" s="209"/>
      <c r="D4628" s="209"/>
      <c r="E4628" s="209"/>
      <c r="J4628" s="124"/>
    </row>
    <row r="4629" spans="3:10" x14ac:dyDescent="0.2">
      <c r="C4629" s="209"/>
      <c r="D4629" s="209"/>
      <c r="E4629" s="209"/>
      <c r="J4629" s="124"/>
    </row>
    <row r="4630" spans="3:10" x14ac:dyDescent="0.2">
      <c r="C4630" s="209"/>
      <c r="D4630" s="209"/>
      <c r="E4630" s="209"/>
      <c r="J4630" s="124"/>
    </row>
    <row r="4631" spans="3:10" x14ac:dyDescent="0.2">
      <c r="C4631" s="209"/>
      <c r="D4631" s="209"/>
      <c r="E4631" s="209"/>
      <c r="J4631" s="124"/>
    </row>
    <row r="4632" spans="3:10" x14ac:dyDescent="0.2">
      <c r="C4632" s="209"/>
      <c r="D4632" s="209"/>
      <c r="E4632" s="209"/>
      <c r="J4632" s="124"/>
    </row>
    <row r="4633" spans="3:10" x14ac:dyDescent="0.2">
      <c r="C4633" s="209"/>
      <c r="D4633" s="209"/>
      <c r="E4633" s="209"/>
      <c r="J4633" s="124"/>
    </row>
    <row r="4634" spans="3:10" x14ac:dyDescent="0.2">
      <c r="C4634" s="209"/>
      <c r="D4634" s="209"/>
      <c r="E4634" s="209"/>
      <c r="J4634" s="124"/>
    </row>
    <row r="4635" spans="3:10" x14ac:dyDescent="0.2">
      <c r="C4635" s="209"/>
      <c r="D4635" s="209"/>
      <c r="E4635" s="209"/>
      <c r="J4635" s="124"/>
    </row>
    <row r="4636" spans="3:10" x14ac:dyDescent="0.2">
      <c r="C4636" s="209"/>
      <c r="D4636" s="209"/>
      <c r="E4636" s="209"/>
      <c r="J4636" s="124"/>
    </row>
    <row r="4637" spans="3:10" x14ac:dyDescent="0.2">
      <c r="C4637" s="209"/>
      <c r="D4637" s="209"/>
      <c r="E4637" s="209"/>
      <c r="J4637" s="124"/>
    </row>
    <row r="4638" spans="3:10" x14ac:dyDescent="0.2">
      <c r="C4638" s="209"/>
      <c r="D4638" s="209"/>
      <c r="E4638" s="209"/>
      <c r="J4638" s="124"/>
    </row>
    <row r="4639" spans="3:10" x14ac:dyDescent="0.2">
      <c r="C4639" s="209"/>
      <c r="D4639" s="209"/>
      <c r="E4639" s="209"/>
      <c r="J4639" s="124"/>
    </row>
    <row r="4640" spans="3:10" x14ac:dyDescent="0.2">
      <c r="C4640" s="209"/>
      <c r="D4640" s="209"/>
      <c r="E4640" s="209"/>
      <c r="J4640" s="124"/>
    </row>
    <row r="4641" spans="3:10" x14ac:dyDescent="0.2">
      <c r="C4641" s="209"/>
      <c r="D4641" s="209"/>
      <c r="E4641" s="209"/>
      <c r="J4641" s="124"/>
    </row>
    <row r="4642" spans="3:10" x14ac:dyDescent="0.2">
      <c r="C4642" s="209"/>
      <c r="D4642" s="209"/>
      <c r="E4642" s="209"/>
      <c r="J4642" s="124"/>
    </row>
    <row r="4643" spans="3:10" x14ac:dyDescent="0.2">
      <c r="C4643" s="209"/>
      <c r="D4643" s="209"/>
      <c r="E4643" s="209"/>
      <c r="J4643" s="124"/>
    </row>
    <row r="4644" spans="3:10" x14ac:dyDescent="0.2">
      <c r="C4644" s="209"/>
      <c r="D4644" s="209"/>
      <c r="E4644" s="209"/>
      <c r="J4644" s="124"/>
    </row>
    <row r="4645" spans="3:10" x14ac:dyDescent="0.2">
      <c r="C4645" s="209"/>
      <c r="D4645" s="209"/>
      <c r="E4645" s="209"/>
      <c r="J4645" s="124"/>
    </row>
    <row r="4646" spans="3:10" x14ac:dyDescent="0.2">
      <c r="C4646" s="209"/>
      <c r="D4646" s="209"/>
      <c r="E4646" s="209"/>
      <c r="J4646" s="124"/>
    </row>
    <row r="4647" spans="3:10" x14ac:dyDescent="0.2">
      <c r="C4647" s="209"/>
      <c r="D4647" s="209"/>
      <c r="E4647" s="209"/>
      <c r="J4647" s="124"/>
    </row>
    <row r="4648" spans="3:10" x14ac:dyDescent="0.2">
      <c r="C4648" s="209"/>
      <c r="D4648" s="209"/>
      <c r="E4648" s="209"/>
      <c r="J4648" s="124"/>
    </row>
    <row r="4649" spans="3:10" x14ac:dyDescent="0.2">
      <c r="C4649" s="209"/>
      <c r="D4649" s="209"/>
      <c r="E4649" s="209"/>
      <c r="J4649" s="124"/>
    </row>
    <row r="4650" spans="3:10" x14ac:dyDescent="0.2">
      <c r="C4650" s="209"/>
      <c r="D4650" s="209"/>
      <c r="E4650" s="209"/>
      <c r="J4650" s="124"/>
    </row>
    <row r="4651" spans="3:10" x14ac:dyDescent="0.2">
      <c r="C4651" s="209"/>
      <c r="D4651" s="209"/>
      <c r="E4651" s="209"/>
      <c r="J4651" s="124"/>
    </row>
    <row r="4652" spans="3:10" x14ac:dyDescent="0.2">
      <c r="C4652" s="209"/>
      <c r="D4652" s="209"/>
      <c r="E4652" s="209"/>
      <c r="J4652" s="124"/>
    </row>
    <row r="4653" spans="3:10" x14ac:dyDescent="0.2">
      <c r="C4653" s="209"/>
      <c r="D4653" s="209"/>
      <c r="E4653" s="209"/>
      <c r="J4653" s="124"/>
    </row>
    <row r="4654" spans="3:10" x14ac:dyDescent="0.2">
      <c r="C4654" s="209"/>
      <c r="D4654" s="209"/>
      <c r="E4654" s="209"/>
      <c r="J4654" s="124"/>
    </row>
    <row r="4655" spans="3:10" x14ac:dyDescent="0.2">
      <c r="C4655" s="209"/>
      <c r="D4655" s="209"/>
      <c r="E4655" s="209"/>
      <c r="J4655" s="124"/>
    </row>
    <row r="4656" spans="3:10" x14ac:dyDescent="0.2">
      <c r="C4656" s="209"/>
      <c r="D4656" s="209"/>
      <c r="E4656" s="209"/>
      <c r="J4656" s="124"/>
    </row>
    <row r="4657" spans="3:10" x14ac:dyDescent="0.2">
      <c r="C4657" s="209"/>
      <c r="D4657" s="209"/>
      <c r="E4657" s="209"/>
      <c r="J4657" s="124"/>
    </row>
    <row r="4658" spans="3:10" x14ac:dyDescent="0.2">
      <c r="C4658" s="209"/>
      <c r="D4658" s="209"/>
      <c r="E4658" s="209"/>
      <c r="J4658" s="124"/>
    </row>
    <row r="4659" spans="3:10" x14ac:dyDescent="0.2">
      <c r="C4659" s="209"/>
      <c r="D4659" s="209"/>
      <c r="E4659" s="209"/>
      <c r="J4659" s="124"/>
    </row>
    <row r="4660" spans="3:10" x14ac:dyDescent="0.2">
      <c r="C4660" s="209"/>
      <c r="D4660" s="209"/>
      <c r="E4660" s="209"/>
      <c r="J4660" s="124"/>
    </row>
    <row r="4661" spans="3:10" x14ac:dyDescent="0.2">
      <c r="C4661" s="209"/>
      <c r="D4661" s="209"/>
      <c r="E4661" s="209"/>
      <c r="J4661" s="124"/>
    </row>
    <row r="4662" spans="3:10" x14ac:dyDescent="0.2">
      <c r="C4662" s="209"/>
      <c r="D4662" s="209"/>
      <c r="E4662" s="209"/>
      <c r="J4662" s="124"/>
    </row>
    <row r="4663" spans="3:10" x14ac:dyDescent="0.2">
      <c r="C4663" s="209"/>
      <c r="D4663" s="209"/>
      <c r="E4663" s="209"/>
      <c r="J4663" s="124"/>
    </row>
    <row r="4664" spans="3:10" x14ac:dyDescent="0.2">
      <c r="C4664" s="209"/>
      <c r="D4664" s="209"/>
      <c r="E4664" s="209"/>
      <c r="J4664" s="124"/>
    </row>
    <row r="4665" spans="3:10" x14ac:dyDescent="0.2">
      <c r="C4665" s="209"/>
      <c r="D4665" s="209"/>
      <c r="E4665" s="209"/>
      <c r="J4665" s="124"/>
    </row>
    <row r="4666" spans="3:10" x14ac:dyDescent="0.2">
      <c r="C4666" s="209"/>
      <c r="D4666" s="209"/>
      <c r="E4666" s="209"/>
      <c r="J4666" s="124"/>
    </row>
    <row r="4667" spans="3:10" x14ac:dyDescent="0.2">
      <c r="C4667" s="209"/>
      <c r="D4667" s="209"/>
      <c r="E4667" s="209"/>
      <c r="J4667" s="124"/>
    </row>
    <row r="4668" spans="3:10" x14ac:dyDescent="0.2">
      <c r="C4668" s="209"/>
      <c r="D4668" s="209"/>
      <c r="E4668" s="209"/>
      <c r="J4668" s="124"/>
    </row>
    <row r="4669" spans="3:10" x14ac:dyDescent="0.2">
      <c r="C4669" s="209"/>
      <c r="D4669" s="209"/>
      <c r="E4669" s="209"/>
      <c r="J4669" s="124"/>
    </row>
    <row r="4670" spans="3:10" x14ac:dyDescent="0.2">
      <c r="C4670" s="209"/>
      <c r="D4670" s="209"/>
      <c r="E4670" s="209"/>
      <c r="J4670" s="124"/>
    </row>
    <row r="4671" spans="3:10" x14ac:dyDescent="0.2">
      <c r="C4671" s="209"/>
      <c r="D4671" s="209"/>
      <c r="E4671" s="209"/>
      <c r="J4671" s="124"/>
    </row>
    <row r="4672" spans="3:10" x14ac:dyDescent="0.2">
      <c r="C4672" s="209"/>
      <c r="D4672" s="209"/>
      <c r="E4672" s="209"/>
      <c r="J4672" s="124"/>
    </row>
    <row r="4673" spans="3:10" x14ac:dyDescent="0.2">
      <c r="C4673" s="209"/>
      <c r="D4673" s="209"/>
      <c r="E4673" s="209"/>
      <c r="J4673" s="124"/>
    </row>
    <row r="4674" spans="3:10" x14ac:dyDescent="0.2">
      <c r="C4674" s="209"/>
      <c r="D4674" s="209"/>
      <c r="E4674" s="209"/>
      <c r="J4674" s="124"/>
    </row>
    <row r="4675" spans="3:10" x14ac:dyDescent="0.2">
      <c r="C4675" s="209"/>
      <c r="D4675" s="209"/>
      <c r="E4675" s="209"/>
      <c r="J4675" s="124"/>
    </row>
    <row r="4676" spans="3:10" x14ac:dyDescent="0.2">
      <c r="C4676" s="209"/>
      <c r="D4676" s="209"/>
      <c r="E4676" s="209"/>
      <c r="J4676" s="124"/>
    </row>
    <row r="4677" spans="3:10" x14ac:dyDescent="0.2">
      <c r="C4677" s="209"/>
      <c r="D4677" s="209"/>
      <c r="E4677" s="209"/>
      <c r="J4677" s="124"/>
    </row>
    <row r="4678" spans="3:10" x14ac:dyDescent="0.2">
      <c r="C4678" s="209"/>
      <c r="D4678" s="209"/>
      <c r="E4678" s="209"/>
      <c r="J4678" s="124"/>
    </row>
    <row r="4679" spans="3:10" x14ac:dyDescent="0.2">
      <c r="C4679" s="209"/>
      <c r="D4679" s="209"/>
      <c r="E4679" s="209"/>
      <c r="J4679" s="124"/>
    </row>
    <row r="4680" spans="3:10" x14ac:dyDescent="0.2">
      <c r="C4680" s="209"/>
      <c r="D4680" s="209"/>
      <c r="E4680" s="209"/>
      <c r="J4680" s="124"/>
    </row>
    <row r="4681" spans="3:10" x14ac:dyDescent="0.2">
      <c r="C4681" s="209"/>
      <c r="D4681" s="209"/>
      <c r="E4681" s="209"/>
      <c r="J4681" s="124"/>
    </row>
    <row r="4682" spans="3:10" x14ac:dyDescent="0.2">
      <c r="C4682" s="209"/>
      <c r="D4682" s="209"/>
      <c r="E4682" s="209"/>
      <c r="J4682" s="124"/>
    </row>
    <row r="4683" spans="3:10" x14ac:dyDescent="0.2">
      <c r="C4683" s="209"/>
      <c r="D4683" s="209"/>
      <c r="E4683" s="209"/>
      <c r="J4683" s="124"/>
    </row>
    <row r="4684" spans="3:10" x14ac:dyDescent="0.2">
      <c r="C4684" s="209"/>
      <c r="D4684" s="209"/>
      <c r="E4684" s="209"/>
      <c r="J4684" s="124"/>
    </row>
    <row r="4685" spans="3:10" x14ac:dyDescent="0.2">
      <c r="C4685" s="209"/>
      <c r="D4685" s="209"/>
      <c r="E4685" s="209"/>
      <c r="J4685" s="124"/>
    </row>
    <row r="4686" spans="3:10" x14ac:dyDescent="0.2">
      <c r="C4686" s="209"/>
      <c r="D4686" s="209"/>
      <c r="E4686" s="209"/>
      <c r="J4686" s="124"/>
    </row>
    <row r="4687" spans="3:10" x14ac:dyDescent="0.2">
      <c r="C4687" s="209"/>
      <c r="D4687" s="209"/>
      <c r="E4687" s="209"/>
      <c r="J4687" s="124"/>
    </row>
    <row r="4688" spans="3:10" x14ac:dyDescent="0.2">
      <c r="C4688" s="209"/>
      <c r="D4688" s="209"/>
      <c r="E4688" s="209"/>
      <c r="J4688" s="124"/>
    </row>
    <row r="4689" spans="3:10" x14ac:dyDescent="0.2">
      <c r="C4689" s="209"/>
      <c r="D4689" s="209"/>
      <c r="E4689" s="209"/>
      <c r="J4689" s="124"/>
    </row>
    <row r="4690" spans="3:10" x14ac:dyDescent="0.2">
      <c r="C4690" s="209"/>
      <c r="D4690" s="209"/>
      <c r="E4690" s="209"/>
      <c r="J4690" s="124"/>
    </row>
    <row r="4691" spans="3:10" x14ac:dyDescent="0.2">
      <c r="C4691" s="209"/>
      <c r="D4691" s="209"/>
      <c r="E4691" s="209"/>
      <c r="J4691" s="124"/>
    </row>
    <row r="4692" spans="3:10" x14ac:dyDescent="0.2">
      <c r="C4692" s="209"/>
      <c r="D4692" s="209"/>
      <c r="E4692" s="209"/>
      <c r="J4692" s="124"/>
    </row>
    <row r="4693" spans="3:10" x14ac:dyDescent="0.2">
      <c r="C4693" s="209"/>
      <c r="D4693" s="209"/>
      <c r="E4693" s="209"/>
      <c r="J4693" s="124"/>
    </row>
    <row r="4694" spans="3:10" x14ac:dyDescent="0.2">
      <c r="C4694" s="209"/>
      <c r="D4694" s="209"/>
      <c r="E4694" s="209"/>
      <c r="J4694" s="124"/>
    </row>
    <row r="4695" spans="3:10" x14ac:dyDescent="0.2">
      <c r="C4695" s="209"/>
      <c r="D4695" s="209"/>
      <c r="E4695" s="209"/>
      <c r="J4695" s="124"/>
    </row>
    <row r="4696" spans="3:10" x14ac:dyDescent="0.2">
      <c r="C4696" s="209"/>
      <c r="D4696" s="209"/>
      <c r="E4696" s="209"/>
      <c r="J4696" s="124"/>
    </row>
    <row r="4697" spans="3:10" x14ac:dyDescent="0.2">
      <c r="C4697" s="209"/>
      <c r="D4697" s="209"/>
      <c r="E4697" s="209"/>
      <c r="J4697" s="124"/>
    </row>
    <row r="4698" spans="3:10" x14ac:dyDescent="0.2">
      <c r="C4698" s="209"/>
      <c r="D4698" s="209"/>
      <c r="E4698" s="209"/>
      <c r="J4698" s="124"/>
    </row>
    <row r="4699" spans="3:10" x14ac:dyDescent="0.2">
      <c r="C4699" s="209"/>
      <c r="D4699" s="209"/>
      <c r="E4699" s="209"/>
      <c r="J4699" s="124"/>
    </row>
    <row r="4700" spans="3:10" x14ac:dyDescent="0.2">
      <c r="C4700" s="209"/>
      <c r="D4700" s="209"/>
      <c r="E4700" s="209"/>
      <c r="J4700" s="124"/>
    </row>
    <row r="4701" spans="3:10" x14ac:dyDescent="0.2">
      <c r="C4701" s="209"/>
      <c r="D4701" s="209"/>
      <c r="E4701" s="209"/>
      <c r="J4701" s="124"/>
    </row>
    <row r="4702" spans="3:10" x14ac:dyDescent="0.2">
      <c r="C4702" s="209"/>
      <c r="D4702" s="209"/>
      <c r="E4702" s="209"/>
      <c r="J4702" s="124"/>
    </row>
    <row r="4703" spans="3:10" x14ac:dyDescent="0.2">
      <c r="C4703" s="209"/>
      <c r="D4703" s="209"/>
      <c r="E4703" s="209"/>
      <c r="J4703" s="124"/>
    </row>
    <row r="4704" spans="3:10" x14ac:dyDescent="0.2">
      <c r="C4704" s="209"/>
      <c r="D4704" s="209"/>
      <c r="E4704" s="209"/>
      <c r="J4704" s="124"/>
    </row>
    <row r="4705" spans="3:10" x14ac:dyDescent="0.2">
      <c r="C4705" s="209"/>
      <c r="D4705" s="209"/>
      <c r="E4705" s="209"/>
      <c r="J4705" s="124"/>
    </row>
    <row r="4706" spans="3:10" x14ac:dyDescent="0.2">
      <c r="C4706" s="209"/>
      <c r="D4706" s="209"/>
      <c r="E4706" s="209"/>
      <c r="J4706" s="124"/>
    </row>
    <row r="4707" spans="3:10" x14ac:dyDescent="0.2">
      <c r="C4707" s="209"/>
      <c r="D4707" s="209"/>
      <c r="E4707" s="209"/>
      <c r="J4707" s="124"/>
    </row>
    <row r="4708" spans="3:10" x14ac:dyDescent="0.2">
      <c r="C4708" s="209"/>
      <c r="D4708" s="209"/>
      <c r="E4708" s="209"/>
      <c r="J4708" s="124"/>
    </row>
    <row r="4709" spans="3:10" x14ac:dyDescent="0.2">
      <c r="C4709" s="209"/>
      <c r="D4709" s="209"/>
      <c r="E4709" s="209"/>
      <c r="J4709" s="124"/>
    </row>
    <row r="4710" spans="3:10" x14ac:dyDescent="0.2">
      <c r="C4710" s="209"/>
      <c r="D4710" s="209"/>
      <c r="E4710" s="209"/>
      <c r="J4710" s="124"/>
    </row>
    <row r="4711" spans="3:10" x14ac:dyDescent="0.2">
      <c r="C4711" s="209"/>
      <c r="D4711" s="209"/>
      <c r="E4711" s="209"/>
      <c r="J4711" s="124"/>
    </row>
    <row r="4712" spans="3:10" x14ac:dyDescent="0.2">
      <c r="C4712" s="209"/>
      <c r="D4712" s="209"/>
      <c r="E4712" s="209"/>
      <c r="J4712" s="124"/>
    </row>
    <row r="4713" spans="3:10" x14ac:dyDescent="0.2">
      <c r="C4713" s="209"/>
      <c r="D4713" s="209"/>
      <c r="E4713" s="209"/>
      <c r="J4713" s="124"/>
    </row>
    <row r="4714" spans="3:10" x14ac:dyDescent="0.2">
      <c r="C4714" s="209"/>
      <c r="D4714" s="209"/>
      <c r="E4714" s="209"/>
      <c r="J4714" s="124"/>
    </row>
    <row r="4715" spans="3:10" x14ac:dyDescent="0.2">
      <c r="C4715" s="209"/>
      <c r="D4715" s="209"/>
      <c r="E4715" s="209"/>
      <c r="J4715" s="124"/>
    </row>
    <row r="4716" spans="3:10" x14ac:dyDescent="0.2">
      <c r="C4716" s="209"/>
      <c r="D4716" s="209"/>
      <c r="E4716" s="209"/>
      <c r="J4716" s="124"/>
    </row>
    <row r="4717" spans="3:10" x14ac:dyDescent="0.2">
      <c r="C4717" s="209"/>
      <c r="D4717" s="209"/>
      <c r="E4717" s="209"/>
      <c r="J4717" s="124"/>
    </row>
    <row r="4718" spans="3:10" x14ac:dyDescent="0.2">
      <c r="C4718" s="209"/>
      <c r="D4718" s="209"/>
      <c r="E4718" s="209"/>
      <c r="J4718" s="124"/>
    </row>
    <row r="4719" spans="3:10" x14ac:dyDescent="0.2">
      <c r="C4719" s="209"/>
      <c r="D4719" s="209"/>
      <c r="E4719" s="209"/>
      <c r="J4719" s="124"/>
    </row>
    <row r="4720" spans="3:10" x14ac:dyDescent="0.2">
      <c r="C4720" s="209"/>
      <c r="D4720" s="209"/>
      <c r="E4720" s="209"/>
      <c r="J4720" s="124"/>
    </row>
    <row r="4721" spans="3:10" x14ac:dyDescent="0.2">
      <c r="C4721" s="209"/>
      <c r="D4721" s="209"/>
      <c r="E4721" s="209"/>
      <c r="J4721" s="124"/>
    </row>
    <row r="4722" spans="3:10" x14ac:dyDescent="0.2">
      <c r="C4722" s="209"/>
      <c r="D4722" s="209"/>
      <c r="E4722" s="209"/>
      <c r="J4722" s="124"/>
    </row>
    <row r="4723" spans="3:10" x14ac:dyDescent="0.2">
      <c r="C4723" s="209"/>
      <c r="D4723" s="209"/>
      <c r="E4723" s="209"/>
      <c r="J4723" s="124"/>
    </row>
    <row r="4724" spans="3:10" x14ac:dyDescent="0.2">
      <c r="C4724" s="209"/>
      <c r="D4724" s="209"/>
      <c r="E4724" s="209"/>
      <c r="J4724" s="124"/>
    </row>
    <row r="4725" spans="3:10" x14ac:dyDescent="0.2">
      <c r="C4725" s="209"/>
      <c r="D4725" s="209"/>
      <c r="E4725" s="209"/>
      <c r="J4725" s="124"/>
    </row>
    <row r="4726" spans="3:10" x14ac:dyDescent="0.2">
      <c r="C4726" s="209"/>
      <c r="D4726" s="209"/>
      <c r="E4726" s="209"/>
      <c r="J4726" s="124"/>
    </row>
    <row r="4727" spans="3:10" x14ac:dyDescent="0.2">
      <c r="C4727" s="209"/>
      <c r="D4727" s="209"/>
      <c r="E4727" s="209"/>
      <c r="J4727" s="124"/>
    </row>
    <row r="4728" spans="3:10" x14ac:dyDescent="0.2">
      <c r="C4728" s="209"/>
      <c r="D4728" s="209"/>
      <c r="E4728" s="209"/>
      <c r="J4728" s="124"/>
    </row>
    <row r="4729" spans="3:10" x14ac:dyDescent="0.2">
      <c r="C4729" s="209"/>
      <c r="D4729" s="209"/>
      <c r="E4729" s="209"/>
      <c r="J4729" s="124"/>
    </row>
    <row r="4730" spans="3:10" x14ac:dyDescent="0.2">
      <c r="C4730" s="209"/>
      <c r="D4730" s="209"/>
      <c r="E4730" s="209"/>
      <c r="J4730" s="124"/>
    </row>
    <row r="4731" spans="3:10" x14ac:dyDescent="0.2">
      <c r="C4731" s="209"/>
      <c r="D4731" s="209"/>
      <c r="E4731" s="209"/>
      <c r="J4731" s="124"/>
    </row>
    <row r="4732" spans="3:10" x14ac:dyDescent="0.2">
      <c r="C4732" s="209"/>
      <c r="D4732" s="209"/>
      <c r="E4732" s="209"/>
      <c r="J4732" s="124"/>
    </row>
    <row r="4733" spans="3:10" x14ac:dyDescent="0.2">
      <c r="C4733" s="209"/>
      <c r="D4733" s="209"/>
      <c r="E4733" s="209"/>
      <c r="J4733" s="124"/>
    </row>
    <row r="4734" spans="3:10" x14ac:dyDescent="0.2">
      <c r="C4734" s="209"/>
      <c r="D4734" s="209"/>
      <c r="E4734" s="209"/>
      <c r="J4734" s="124"/>
    </row>
    <row r="4735" spans="3:10" x14ac:dyDescent="0.2">
      <c r="C4735" s="209"/>
      <c r="D4735" s="209"/>
      <c r="E4735" s="209"/>
      <c r="J4735" s="124"/>
    </row>
    <row r="4736" spans="3:10" x14ac:dyDescent="0.2">
      <c r="C4736" s="209"/>
      <c r="D4736" s="209"/>
      <c r="E4736" s="209"/>
      <c r="J4736" s="124"/>
    </row>
    <row r="4737" spans="3:10" x14ac:dyDescent="0.2">
      <c r="C4737" s="209"/>
      <c r="D4737" s="209"/>
      <c r="E4737" s="209"/>
      <c r="J4737" s="124"/>
    </row>
    <row r="4738" spans="3:10" x14ac:dyDescent="0.2">
      <c r="C4738" s="209"/>
      <c r="D4738" s="209"/>
      <c r="E4738" s="209"/>
      <c r="J4738" s="124"/>
    </row>
    <row r="4739" spans="3:10" x14ac:dyDescent="0.2">
      <c r="C4739" s="209"/>
      <c r="D4739" s="209"/>
      <c r="E4739" s="209"/>
      <c r="J4739" s="124"/>
    </row>
    <row r="4740" spans="3:10" x14ac:dyDescent="0.2">
      <c r="C4740" s="209"/>
      <c r="D4740" s="209"/>
      <c r="E4740" s="209"/>
      <c r="J4740" s="124"/>
    </row>
    <row r="4741" spans="3:10" x14ac:dyDescent="0.2">
      <c r="C4741" s="209"/>
      <c r="D4741" s="209"/>
      <c r="E4741" s="209"/>
      <c r="J4741" s="124"/>
    </row>
    <row r="4742" spans="3:10" x14ac:dyDescent="0.2">
      <c r="C4742" s="209"/>
      <c r="D4742" s="209"/>
      <c r="E4742" s="209"/>
      <c r="J4742" s="124"/>
    </row>
    <row r="4743" spans="3:10" x14ac:dyDescent="0.2">
      <c r="C4743" s="209"/>
      <c r="D4743" s="209"/>
      <c r="E4743" s="209"/>
      <c r="J4743" s="124"/>
    </row>
    <row r="4744" spans="3:10" x14ac:dyDescent="0.2">
      <c r="C4744" s="209"/>
      <c r="D4744" s="209"/>
      <c r="E4744" s="209"/>
      <c r="J4744" s="124"/>
    </row>
    <row r="4745" spans="3:10" x14ac:dyDescent="0.2">
      <c r="C4745" s="209"/>
      <c r="D4745" s="209"/>
      <c r="E4745" s="209"/>
      <c r="J4745" s="124"/>
    </row>
    <row r="4746" spans="3:10" x14ac:dyDescent="0.2">
      <c r="C4746" s="209"/>
      <c r="D4746" s="209"/>
      <c r="E4746" s="209"/>
      <c r="J4746" s="124"/>
    </row>
    <row r="4747" spans="3:10" x14ac:dyDescent="0.2">
      <c r="C4747" s="209"/>
      <c r="D4747" s="209"/>
      <c r="E4747" s="209"/>
      <c r="J4747" s="124"/>
    </row>
    <row r="4748" spans="3:10" x14ac:dyDescent="0.2">
      <c r="C4748" s="209"/>
      <c r="D4748" s="209"/>
      <c r="E4748" s="209"/>
      <c r="J4748" s="124"/>
    </row>
    <row r="4749" spans="3:10" x14ac:dyDescent="0.2">
      <c r="C4749" s="209"/>
      <c r="D4749" s="209"/>
      <c r="E4749" s="209"/>
      <c r="J4749" s="124"/>
    </row>
    <row r="4750" spans="3:10" x14ac:dyDescent="0.2">
      <c r="C4750" s="209"/>
      <c r="D4750" s="209"/>
      <c r="E4750" s="209"/>
      <c r="J4750" s="124"/>
    </row>
    <row r="4751" spans="3:10" x14ac:dyDescent="0.2">
      <c r="C4751" s="209"/>
      <c r="D4751" s="209"/>
      <c r="E4751" s="209"/>
      <c r="J4751" s="124"/>
    </row>
    <row r="4752" spans="3:10" x14ac:dyDescent="0.2">
      <c r="C4752" s="209"/>
      <c r="D4752" s="209"/>
      <c r="E4752" s="209"/>
      <c r="J4752" s="124"/>
    </row>
    <row r="4753" spans="3:10" x14ac:dyDescent="0.2">
      <c r="C4753" s="209"/>
      <c r="D4753" s="209"/>
      <c r="E4753" s="209"/>
      <c r="J4753" s="124"/>
    </row>
    <row r="4754" spans="3:10" x14ac:dyDescent="0.2">
      <c r="C4754" s="209"/>
      <c r="D4754" s="209"/>
      <c r="E4754" s="209"/>
      <c r="J4754" s="124"/>
    </row>
    <row r="4755" spans="3:10" x14ac:dyDescent="0.2">
      <c r="C4755" s="209"/>
      <c r="D4755" s="209"/>
      <c r="E4755" s="209"/>
      <c r="J4755" s="124"/>
    </row>
    <row r="4756" spans="3:10" x14ac:dyDescent="0.2">
      <c r="C4756" s="209"/>
      <c r="D4756" s="209"/>
      <c r="E4756" s="209"/>
      <c r="J4756" s="124"/>
    </row>
    <row r="4757" spans="3:10" x14ac:dyDescent="0.2">
      <c r="C4757" s="209"/>
      <c r="D4757" s="209"/>
      <c r="E4757" s="209"/>
      <c r="J4757" s="124"/>
    </row>
    <row r="4758" spans="3:10" x14ac:dyDescent="0.2">
      <c r="C4758" s="209"/>
      <c r="D4758" s="209"/>
      <c r="E4758" s="209"/>
      <c r="J4758" s="124"/>
    </row>
    <row r="4759" spans="3:10" x14ac:dyDescent="0.2">
      <c r="C4759" s="209"/>
      <c r="D4759" s="209"/>
      <c r="E4759" s="209"/>
      <c r="J4759" s="124"/>
    </row>
    <row r="4760" spans="3:10" x14ac:dyDescent="0.2">
      <c r="C4760" s="209"/>
      <c r="D4760" s="209"/>
      <c r="E4760" s="209"/>
      <c r="J4760" s="124"/>
    </row>
    <row r="4761" spans="3:10" x14ac:dyDescent="0.2">
      <c r="C4761" s="209"/>
      <c r="D4761" s="209"/>
      <c r="E4761" s="209"/>
      <c r="J4761" s="124"/>
    </row>
    <row r="4762" spans="3:10" x14ac:dyDescent="0.2">
      <c r="C4762" s="209"/>
      <c r="D4762" s="209"/>
      <c r="E4762" s="209"/>
      <c r="J4762" s="124"/>
    </row>
    <row r="4763" spans="3:10" x14ac:dyDescent="0.2">
      <c r="C4763" s="209"/>
      <c r="D4763" s="209"/>
      <c r="E4763" s="209"/>
      <c r="J4763" s="124"/>
    </row>
    <row r="4764" spans="3:10" x14ac:dyDescent="0.2">
      <c r="C4764" s="209"/>
      <c r="D4764" s="209"/>
      <c r="E4764" s="209"/>
      <c r="J4764" s="124"/>
    </row>
    <row r="4765" spans="3:10" x14ac:dyDescent="0.2">
      <c r="C4765" s="209"/>
      <c r="D4765" s="209"/>
      <c r="E4765" s="209"/>
      <c r="J4765" s="124"/>
    </row>
    <row r="4766" spans="3:10" x14ac:dyDescent="0.2">
      <c r="C4766" s="209"/>
      <c r="D4766" s="209"/>
      <c r="E4766" s="209"/>
      <c r="J4766" s="124"/>
    </row>
    <row r="4767" spans="3:10" x14ac:dyDescent="0.2">
      <c r="C4767" s="209"/>
      <c r="D4767" s="209"/>
      <c r="E4767" s="209"/>
      <c r="J4767" s="124"/>
    </row>
    <row r="4768" spans="3:10" x14ac:dyDescent="0.2">
      <c r="C4768" s="209"/>
      <c r="D4768" s="209"/>
      <c r="E4768" s="209"/>
      <c r="J4768" s="124"/>
    </row>
    <row r="4769" spans="3:10" x14ac:dyDescent="0.2">
      <c r="C4769" s="209"/>
      <c r="D4769" s="209"/>
      <c r="E4769" s="209"/>
      <c r="J4769" s="124"/>
    </row>
    <row r="4770" spans="3:10" x14ac:dyDescent="0.2">
      <c r="C4770" s="209"/>
      <c r="D4770" s="209"/>
      <c r="E4770" s="209"/>
      <c r="J4770" s="124"/>
    </row>
    <row r="4771" spans="3:10" x14ac:dyDescent="0.2">
      <c r="C4771" s="209"/>
      <c r="D4771" s="209"/>
      <c r="E4771" s="209"/>
      <c r="J4771" s="124"/>
    </row>
    <row r="4772" spans="3:10" x14ac:dyDescent="0.2">
      <c r="C4772" s="209"/>
      <c r="D4772" s="209"/>
      <c r="E4772" s="209"/>
      <c r="J4772" s="124"/>
    </row>
    <row r="4773" spans="3:10" x14ac:dyDescent="0.2">
      <c r="C4773" s="209"/>
      <c r="D4773" s="209"/>
      <c r="E4773" s="209"/>
      <c r="J4773" s="124"/>
    </row>
    <row r="4774" spans="3:10" x14ac:dyDescent="0.2">
      <c r="C4774" s="209"/>
      <c r="D4774" s="209"/>
      <c r="E4774" s="209"/>
      <c r="J4774" s="124"/>
    </row>
    <row r="4775" spans="3:10" x14ac:dyDescent="0.2">
      <c r="C4775" s="209"/>
      <c r="D4775" s="209"/>
      <c r="E4775" s="209"/>
      <c r="J4775" s="124"/>
    </row>
    <row r="4776" spans="3:10" x14ac:dyDescent="0.2">
      <c r="C4776" s="209"/>
      <c r="D4776" s="209"/>
      <c r="E4776" s="209"/>
      <c r="J4776" s="124"/>
    </row>
    <row r="4777" spans="3:10" x14ac:dyDescent="0.2">
      <c r="C4777" s="209"/>
      <c r="D4777" s="209"/>
      <c r="E4777" s="209"/>
      <c r="J4777" s="124"/>
    </row>
    <row r="4778" spans="3:10" x14ac:dyDescent="0.2">
      <c r="C4778" s="209"/>
      <c r="D4778" s="209"/>
      <c r="E4778" s="209"/>
      <c r="J4778" s="124"/>
    </row>
    <row r="4779" spans="3:10" x14ac:dyDescent="0.2">
      <c r="C4779" s="209"/>
      <c r="D4779" s="209"/>
      <c r="E4779" s="209"/>
      <c r="J4779" s="124"/>
    </row>
    <row r="4780" spans="3:10" x14ac:dyDescent="0.2">
      <c r="C4780" s="209"/>
      <c r="D4780" s="209"/>
      <c r="E4780" s="209"/>
      <c r="J4780" s="124"/>
    </row>
    <row r="4781" spans="3:10" x14ac:dyDescent="0.2">
      <c r="C4781" s="209"/>
      <c r="D4781" s="209"/>
      <c r="E4781" s="209"/>
      <c r="J4781" s="124"/>
    </row>
    <row r="4782" spans="3:10" x14ac:dyDescent="0.2">
      <c r="C4782" s="209"/>
      <c r="D4782" s="209"/>
      <c r="E4782" s="209"/>
      <c r="J4782" s="124"/>
    </row>
    <row r="4783" spans="3:10" x14ac:dyDescent="0.2">
      <c r="C4783" s="209"/>
      <c r="D4783" s="209"/>
      <c r="E4783" s="209"/>
      <c r="J4783" s="124"/>
    </row>
    <row r="4784" spans="3:10" x14ac:dyDescent="0.2">
      <c r="C4784" s="209"/>
      <c r="D4784" s="209"/>
      <c r="E4784" s="209"/>
      <c r="J4784" s="124"/>
    </row>
    <row r="4785" spans="3:10" x14ac:dyDescent="0.2">
      <c r="C4785" s="209"/>
      <c r="D4785" s="209"/>
      <c r="E4785" s="209"/>
      <c r="J4785" s="124"/>
    </row>
    <row r="4786" spans="3:10" x14ac:dyDescent="0.2">
      <c r="C4786" s="209"/>
      <c r="D4786" s="209"/>
      <c r="E4786" s="209"/>
      <c r="J4786" s="124"/>
    </row>
    <row r="4787" spans="3:10" x14ac:dyDescent="0.2">
      <c r="C4787" s="209"/>
      <c r="D4787" s="209"/>
      <c r="E4787" s="209"/>
      <c r="J4787" s="124"/>
    </row>
    <row r="4788" spans="3:10" x14ac:dyDescent="0.2">
      <c r="C4788" s="209"/>
      <c r="D4788" s="209"/>
      <c r="E4788" s="209"/>
      <c r="J4788" s="124"/>
    </row>
    <row r="4789" spans="3:10" x14ac:dyDescent="0.2">
      <c r="C4789" s="209"/>
      <c r="D4789" s="209"/>
      <c r="E4789" s="209"/>
      <c r="J4789" s="124"/>
    </row>
    <row r="4790" spans="3:10" x14ac:dyDescent="0.2">
      <c r="C4790" s="209"/>
      <c r="D4790" s="209"/>
      <c r="E4790" s="209"/>
      <c r="J4790" s="124"/>
    </row>
    <row r="4791" spans="3:10" x14ac:dyDescent="0.2">
      <c r="C4791" s="209"/>
      <c r="D4791" s="209"/>
      <c r="E4791" s="209"/>
      <c r="J4791" s="124"/>
    </row>
    <row r="4792" spans="3:10" x14ac:dyDescent="0.2">
      <c r="C4792" s="209"/>
      <c r="D4792" s="209"/>
      <c r="E4792" s="209"/>
      <c r="J4792" s="124"/>
    </row>
    <row r="4793" spans="3:10" x14ac:dyDescent="0.2">
      <c r="C4793" s="209"/>
      <c r="D4793" s="209"/>
      <c r="E4793" s="209"/>
      <c r="J4793" s="124"/>
    </row>
    <row r="4794" spans="3:10" x14ac:dyDescent="0.2">
      <c r="C4794" s="209"/>
      <c r="D4794" s="209"/>
      <c r="E4794" s="209"/>
      <c r="J4794" s="124"/>
    </row>
    <row r="4795" spans="3:10" x14ac:dyDescent="0.2">
      <c r="C4795" s="209"/>
      <c r="D4795" s="209"/>
      <c r="E4795" s="209"/>
      <c r="J4795" s="124"/>
    </row>
    <row r="4796" spans="3:10" x14ac:dyDescent="0.2">
      <c r="C4796" s="209"/>
      <c r="D4796" s="209"/>
      <c r="E4796" s="209"/>
      <c r="J4796" s="124"/>
    </row>
    <row r="4797" spans="3:10" x14ac:dyDescent="0.2">
      <c r="C4797" s="209"/>
      <c r="D4797" s="209"/>
      <c r="E4797" s="209"/>
      <c r="J4797" s="124"/>
    </row>
    <row r="4798" spans="3:10" x14ac:dyDescent="0.2">
      <c r="C4798" s="209"/>
      <c r="D4798" s="209"/>
      <c r="E4798" s="209"/>
      <c r="J4798" s="124"/>
    </row>
    <row r="4799" spans="3:10" x14ac:dyDescent="0.2">
      <c r="C4799" s="209"/>
      <c r="D4799" s="209"/>
      <c r="E4799" s="209"/>
      <c r="J4799" s="124"/>
    </row>
    <row r="4800" spans="3:10" x14ac:dyDescent="0.2">
      <c r="C4800" s="209"/>
      <c r="D4800" s="209"/>
      <c r="E4800" s="209"/>
      <c r="J4800" s="124"/>
    </row>
    <row r="4801" spans="3:10" x14ac:dyDescent="0.2">
      <c r="C4801" s="209"/>
      <c r="D4801" s="209"/>
      <c r="E4801" s="209"/>
      <c r="J4801" s="124"/>
    </row>
    <row r="4802" spans="3:10" x14ac:dyDescent="0.2">
      <c r="C4802" s="209"/>
      <c r="D4802" s="209"/>
      <c r="E4802" s="209"/>
      <c r="J4802" s="124"/>
    </row>
    <row r="4803" spans="3:10" x14ac:dyDescent="0.2">
      <c r="C4803" s="209"/>
      <c r="D4803" s="209"/>
      <c r="E4803" s="209"/>
      <c r="J4803" s="124"/>
    </row>
    <row r="4804" spans="3:10" x14ac:dyDescent="0.2">
      <c r="C4804" s="209"/>
      <c r="D4804" s="209"/>
      <c r="E4804" s="209"/>
      <c r="J4804" s="124"/>
    </row>
    <row r="4805" spans="3:10" x14ac:dyDescent="0.2">
      <c r="C4805" s="209"/>
      <c r="D4805" s="209"/>
      <c r="E4805" s="209"/>
      <c r="J4805" s="124"/>
    </row>
    <row r="4806" spans="3:10" x14ac:dyDescent="0.2">
      <c r="C4806" s="209"/>
      <c r="D4806" s="209"/>
      <c r="E4806" s="209"/>
      <c r="J4806" s="124"/>
    </row>
    <row r="4807" spans="3:10" x14ac:dyDescent="0.2">
      <c r="C4807" s="209"/>
      <c r="D4807" s="209"/>
      <c r="E4807" s="209"/>
      <c r="J4807" s="124"/>
    </row>
    <row r="4808" spans="3:10" x14ac:dyDescent="0.2">
      <c r="C4808" s="209"/>
      <c r="D4808" s="209"/>
      <c r="E4808" s="209"/>
      <c r="J4808" s="124"/>
    </row>
    <row r="4809" spans="3:10" x14ac:dyDescent="0.2">
      <c r="C4809" s="209"/>
      <c r="D4809" s="209"/>
      <c r="E4809" s="209"/>
      <c r="J4809" s="124"/>
    </row>
    <row r="4810" spans="3:10" x14ac:dyDescent="0.2">
      <c r="C4810" s="209"/>
      <c r="D4810" s="209"/>
      <c r="E4810" s="209"/>
      <c r="J4810" s="124"/>
    </row>
    <row r="4811" spans="3:10" x14ac:dyDescent="0.2">
      <c r="C4811" s="209"/>
      <c r="D4811" s="209"/>
      <c r="E4811" s="209"/>
      <c r="J4811" s="124"/>
    </row>
    <row r="4812" spans="3:10" x14ac:dyDescent="0.2">
      <c r="C4812" s="209"/>
      <c r="D4812" s="209"/>
      <c r="E4812" s="209"/>
      <c r="J4812" s="124"/>
    </row>
    <row r="4813" spans="3:10" x14ac:dyDescent="0.2">
      <c r="C4813" s="209"/>
      <c r="D4813" s="209"/>
      <c r="E4813" s="209"/>
      <c r="J4813" s="124"/>
    </row>
    <row r="4814" spans="3:10" x14ac:dyDescent="0.2">
      <c r="C4814" s="209"/>
      <c r="D4814" s="209"/>
      <c r="E4814" s="209"/>
      <c r="J4814" s="124"/>
    </row>
    <row r="4815" spans="3:10" x14ac:dyDescent="0.2">
      <c r="C4815" s="209"/>
      <c r="D4815" s="209"/>
      <c r="E4815" s="209"/>
      <c r="J4815" s="124"/>
    </row>
    <row r="4816" spans="3:10" x14ac:dyDescent="0.2">
      <c r="C4816" s="209"/>
      <c r="D4816" s="209"/>
      <c r="E4816" s="209"/>
      <c r="J4816" s="124"/>
    </row>
    <row r="4817" spans="3:10" x14ac:dyDescent="0.2">
      <c r="C4817" s="209"/>
      <c r="D4817" s="209"/>
      <c r="E4817" s="209"/>
      <c r="J4817" s="124"/>
    </row>
    <row r="4818" spans="3:10" x14ac:dyDescent="0.2">
      <c r="C4818" s="209"/>
      <c r="D4818" s="209"/>
      <c r="E4818" s="209"/>
      <c r="J4818" s="124"/>
    </row>
    <row r="4819" spans="3:10" x14ac:dyDescent="0.2">
      <c r="C4819" s="209"/>
      <c r="D4819" s="209"/>
      <c r="E4819" s="209"/>
      <c r="J4819" s="124"/>
    </row>
    <row r="4820" spans="3:10" x14ac:dyDescent="0.2">
      <c r="C4820" s="209"/>
      <c r="D4820" s="209"/>
      <c r="E4820" s="209"/>
      <c r="J4820" s="124"/>
    </row>
    <row r="4821" spans="3:10" x14ac:dyDescent="0.2">
      <c r="C4821" s="209"/>
      <c r="D4821" s="209"/>
      <c r="E4821" s="209"/>
      <c r="J4821" s="124"/>
    </row>
    <row r="4822" spans="3:10" x14ac:dyDescent="0.2">
      <c r="C4822" s="209"/>
      <c r="D4822" s="209"/>
      <c r="E4822" s="209"/>
      <c r="J4822" s="124"/>
    </row>
    <row r="4823" spans="3:10" x14ac:dyDescent="0.2">
      <c r="C4823" s="209"/>
      <c r="D4823" s="209"/>
      <c r="E4823" s="209"/>
      <c r="J4823" s="124"/>
    </row>
    <row r="4824" spans="3:10" x14ac:dyDescent="0.2">
      <c r="C4824" s="209"/>
      <c r="D4824" s="209"/>
      <c r="E4824" s="209"/>
      <c r="J4824" s="124"/>
    </row>
    <row r="4825" spans="3:10" x14ac:dyDescent="0.2">
      <c r="C4825" s="209"/>
      <c r="D4825" s="209"/>
      <c r="E4825" s="209"/>
      <c r="J4825" s="124"/>
    </row>
    <row r="4826" spans="3:10" x14ac:dyDescent="0.2">
      <c r="C4826" s="209"/>
      <c r="D4826" s="209"/>
      <c r="E4826" s="209"/>
      <c r="J4826" s="124"/>
    </row>
    <row r="4827" spans="3:10" x14ac:dyDescent="0.2">
      <c r="C4827" s="209"/>
      <c r="D4827" s="209"/>
      <c r="E4827" s="209"/>
      <c r="J4827" s="124"/>
    </row>
    <row r="4828" spans="3:10" x14ac:dyDescent="0.2">
      <c r="C4828" s="209"/>
      <c r="D4828" s="209"/>
      <c r="E4828" s="209"/>
      <c r="J4828" s="124"/>
    </row>
    <row r="4829" spans="3:10" x14ac:dyDescent="0.2">
      <c r="C4829" s="209"/>
      <c r="D4829" s="209"/>
      <c r="E4829" s="209"/>
      <c r="J4829" s="124"/>
    </row>
    <row r="4830" spans="3:10" x14ac:dyDescent="0.2">
      <c r="C4830" s="209"/>
      <c r="D4830" s="209"/>
      <c r="E4830" s="209"/>
      <c r="J4830" s="124"/>
    </row>
    <row r="4831" spans="3:10" x14ac:dyDescent="0.2">
      <c r="C4831" s="209"/>
      <c r="D4831" s="209"/>
      <c r="E4831" s="209"/>
      <c r="J4831" s="124"/>
    </row>
    <row r="4832" spans="3:10" x14ac:dyDescent="0.2">
      <c r="C4832" s="209"/>
      <c r="D4832" s="209"/>
      <c r="E4832" s="209"/>
      <c r="J4832" s="124"/>
    </row>
    <row r="4833" spans="3:10" x14ac:dyDescent="0.2">
      <c r="C4833" s="209"/>
      <c r="D4833" s="209"/>
      <c r="E4833" s="209"/>
      <c r="J4833" s="124"/>
    </row>
    <row r="4834" spans="3:10" x14ac:dyDescent="0.2">
      <c r="C4834" s="209"/>
      <c r="D4834" s="209"/>
      <c r="E4834" s="209"/>
      <c r="J4834" s="124"/>
    </row>
    <row r="4835" spans="3:10" x14ac:dyDescent="0.2">
      <c r="C4835" s="209"/>
      <c r="D4835" s="209"/>
      <c r="E4835" s="209"/>
      <c r="J4835" s="124"/>
    </row>
    <row r="4836" spans="3:10" x14ac:dyDescent="0.2">
      <c r="C4836" s="209"/>
      <c r="D4836" s="209"/>
      <c r="E4836" s="209"/>
      <c r="J4836" s="124"/>
    </row>
    <row r="4837" spans="3:10" x14ac:dyDescent="0.2">
      <c r="C4837" s="209"/>
      <c r="D4837" s="209"/>
      <c r="E4837" s="209"/>
      <c r="J4837" s="124"/>
    </row>
    <row r="4838" spans="3:10" x14ac:dyDescent="0.2">
      <c r="C4838" s="209"/>
      <c r="D4838" s="209"/>
      <c r="E4838" s="209"/>
      <c r="J4838" s="124"/>
    </row>
    <row r="4839" spans="3:10" x14ac:dyDescent="0.2">
      <c r="C4839" s="209"/>
      <c r="D4839" s="209"/>
      <c r="E4839" s="209"/>
      <c r="J4839" s="124"/>
    </row>
    <row r="4840" spans="3:10" x14ac:dyDescent="0.2">
      <c r="C4840" s="209"/>
      <c r="D4840" s="209"/>
      <c r="E4840" s="209"/>
      <c r="J4840" s="124"/>
    </row>
    <row r="4841" spans="3:10" x14ac:dyDescent="0.2">
      <c r="C4841" s="209"/>
      <c r="D4841" s="209"/>
      <c r="E4841" s="209"/>
      <c r="J4841" s="124"/>
    </row>
    <row r="4842" spans="3:10" x14ac:dyDescent="0.2">
      <c r="C4842" s="209"/>
      <c r="D4842" s="209"/>
      <c r="E4842" s="209"/>
      <c r="J4842" s="124"/>
    </row>
    <row r="4843" spans="3:10" x14ac:dyDescent="0.2">
      <c r="C4843" s="209"/>
      <c r="D4843" s="209"/>
      <c r="E4843" s="209"/>
      <c r="J4843" s="124"/>
    </row>
    <row r="4844" spans="3:10" x14ac:dyDescent="0.2">
      <c r="C4844" s="209"/>
      <c r="D4844" s="209"/>
      <c r="E4844" s="209"/>
      <c r="J4844" s="124"/>
    </row>
    <row r="4845" spans="3:10" x14ac:dyDescent="0.2">
      <c r="C4845" s="209"/>
      <c r="D4845" s="209"/>
      <c r="E4845" s="209"/>
      <c r="J4845" s="124"/>
    </row>
    <row r="4846" spans="3:10" x14ac:dyDescent="0.2">
      <c r="C4846" s="209"/>
      <c r="D4846" s="209"/>
      <c r="E4846" s="209"/>
      <c r="J4846" s="124"/>
    </row>
    <row r="4847" spans="3:10" x14ac:dyDescent="0.2">
      <c r="C4847" s="209"/>
      <c r="D4847" s="209"/>
      <c r="E4847" s="209"/>
      <c r="J4847" s="124"/>
    </row>
    <row r="4848" spans="3:10" x14ac:dyDescent="0.2">
      <c r="C4848" s="209"/>
      <c r="D4848" s="209"/>
      <c r="E4848" s="209"/>
      <c r="J4848" s="124"/>
    </row>
    <row r="4849" spans="3:10" x14ac:dyDescent="0.2">
      <c r="C4849" s="209"/>
      <c r="D4849" s="209"/>
      <c r="E4849" s="209"/>
      <c r="J4849" s="124"/>
    </row>
    <row r="4850" spans="3:10" x14ac:dyDescent="0.2">
      <c r="C4850" s="209"/>
      <c r="D4850" s="209"/>
      <c r="E4850" s="209"/>
      <c r="J4850" s="124"/>
    </row>
    <row r="4851" spans="3:10" x14ac:dyDescent="0.2">
      <c r="C4851" s="209"/>
      <c r="D4851" s="209"/>
      <c r="E4851" s="209"/>
      <c r="J4851" s="124"/>
    </row>
    <row r="4852" spans="3:10" x14ac:dyDescent="0.2">
      <c r="C4852" s="209"/>
      <c r="D4852" s="209"/>
      <c r="E4852" s="209"/>
      <c r="J4852" s="124"/>
    </row>
    <row r="4853" spans="3:10" x14ac:dyDescent="0.2">
      <c r="C4853" s="209"/>
      <c r="D4853" s="209"/>
      <c r="E4853" s="209"/>
      <c r="J4853" s="124"/>
    </row>
    <row r="4854" spans="3:10" x14ac:dyDescent="0.2">
      <c r="C4854" s="209"/>
      <c r="D4854" s="209"/>
      <c r="E4854" s="209"/>
      <c r="J4854" s="124"/>
    </row>
    <row r="4855" spans="3:10" x14ac:dyDescent="0.2">
      <c r="C4855" s="209"/>
      <c r="D4855" s="209"/>
      <c r="E4855" s="209"/>
      <c r="J4855" s="124"/>
    </row>
    <row r="4856" spans="3:10" x14ac:dyDescent="0.2">
      <c r="C4856" s="209"/>
      <c r="D4856" s="209"/>
      <c r="E4856" s="209"/>
      <c r="J4856" s="124"/>
    </row>
    <row r="4857" spans="3:10" x14ac:dyDescent="0.2">
      <c r="C4857" s="209"/>
      <c r="D4857" s="209"/>
      <c r="E4857" s="209"/>
      <c r="J4857" s="124"/>
    </row>
    <row r="4858" spans="3:10" x14ac:dyDescent="0.2">
      <c r="C4858" s="209"/>
      <c r="D4858" s="209"/>
      <c r="E4858" s="209"/>
      <c r="J4858" s="124"/>
    </row>
    <row r="4859" spans="3:10" x14ac:dyDescent="0.2">
      <c r="C4859" s="209"/>
      <c r="D4859" s="209"/>
      <c r="E4859" s="209"/>
      <c r="J4859" s="124"/>
    </row>
    <row r="4860" spans="3:10" x14ac:dyDescent="0.2">
      <c r="C4860" s="209"/>
      <c r="D4860" s="209"/>
      <c r="E4860" s="209"/>
      <c r="J4860" s="124"/>
    </row>
    <row r="4861" spans="3:10" x14ac:dyDescent="0.2">
      <c r="C4861" s="209"/>
      <c r="D4861" s="209"/>
      <c r="E4861" s="209"/>
      <c r="J4861" s="124"/>
    </row>
    <row r="4862" spans="3:10" x14ac:dyDescent="0.2">
      <c r="C4862" s="209"/>
      <c r="D4862" s="209"/>
      <c r="E4862" s="209"/>
      <c r="J4862" s="124"/>
    </row>
    <row r="4863" spans="3:10" x14ac:dyDescent="0.2">
      <c r="C4863" s="209"/>
      <c r="D4863" s="209"/>
      <c r="E4863" s="209"/>
      <c r="J4863" s="124"/>
    </row>
    <row r="4864" spans="3:10" x14ac:dyDescent="0.2">
      <c r="C4864" s="209"/>
      <c r="D4864" s="209"/>
      <c r="E4864" s="209"/>
      <c r="J4864" s="124"/>
    </row>
    <row r="4865" spans="3:10" x14ac:dyDescent="0.2">
      <c r="C4865" s="209"/>
      <c r="D4865" s="209"/>
      <c r="E4865" s="209"/>
      <c r="J4865" s="124"/>
    </row>
    <row r="4866" spans="3:10" x14ac:dyDescent="0.2">
      <c r="C4866" s="209"/>
      <c r="D4866" s="209"/>
      <c r="E4866" s="209"/>
      <c r="J4866" s="124"/>
    </row>
    <row r="4867" spans="3:10" x14ac:dyDescent="0.2">
      <c r="C4867" s="209"/>
      <c r="D4867" s="209"/>
      <c r="E4867" s="209"/>
      <c r="J4867" s="124"/>
    </row>
    <row r="4868" spans="3:10" x14ac:dyDescent="0.2">
      <c r="C4868" s="209"/>
      <c r="D4868" s="209"/>
      <c r="E4868" s="209"/>
      <c r="J4868" s="124"/>
    </row>
    <row r="4869" spans="3:10" x14ac:dyDescent="0.2">
      <c r="C4869" s="209"/>
      <c r="D4869" s="209"/>
      <c r="E4869" s="209"/>
      <c r="J4869" s="124"/>
    </row>
    <row r="4870" spans="3:10" x14ac:dyDescent="0.2">
      <c r="C4870" s="209"/>
      <c r="D4870" s="209"/>
      <c r="E4870" s="209"/>
      <c r="J4870" s="124"/>
    </row>
    <row r="4871" spans="3:10" x14ac:dyDescent="0.2">
      <c r="C4871" s="209"/>
      <c r="D4871" s="209"/>
      <c r="E4871" s="209"/>
      <c r="J4871" s="124"/>
    </row>
    <row r="4872" spans="3:10" x14ac:dyDescent="0.2">
      <c r="C4872" s="209"/>
      <c r="D4872" s="209"/>
      <c r="E4872" s="209"/>
      <c r="J4872" s="124"/>
    </row>
    <row r="4873" spans="3:10" x14ac:dyDescent="0.2">
      <c r="C4873" s="209"/>
      <c r="D4873" s="209"/>
      <c r="E4873" s="209"/>
      <c r="J4873" s="124"/>
    </row>
    <row r="4874" spans="3:10" x14ac:dyDescent="0.2">
      <c r="C4874" s="209"/>
      <c r="D4874" s="209"/>
      <c r="E4874" s="209"/>
      <c r="J4874" s="124"/>
    </row>
    <row r="4875" spans="3:10" x14ac:dyDescent="0.2">
      <c r="C4875" s="209"/>
      <c r="D4875" s="209"/>
      <c r="E4875" s="209"/>
      <c r="J4875" s="124"/>
    </row>
    <row r="4876" spans="3:10" x14ac:dyDescent="0.2">
      <c r="C4876" s="209"/>
      <c r="D4876" s="209"/>
      <c r="E4876" s="209"/>
      <c r="J4876" s="124"/>
    </row>
    <row r="4877" spans="3:10" x14ac:dyDescent="0.2">
      <c r="C4877" s="209"/>
      <c r="D4877" s="209"/>
      <c r="E4877" s="209"/>
      <c r="J4877" s="124"/>
    </row>
    <row r="4878" spans="3:10" x14ac:dyDescent="0.2">
      <c r="C4878" s="209"/>
      <c r="D4878" s="209"/>
      <c r="E4878" s="209"/>
      <c r="J4878" s="124"/>
    </row>
    <row r="4879" spans="3:10" x14ac:dyDescent="0.2">
      <c r="C4879" s="209"/>
      <c r="D4879" s="209"/>
      <c r="E4879" s="209"/>
      <c r="J4879" s="124"/>
    </row>
    <row r="4880" spans="3:10" x14ac:dyDescent="0.2">
      <c r="C4880" s="209"/>
      <c r="D4880" s="209"/>
      <c r="E4880" s="209"/>
      <c r="J4880" s="124"/>
    </row>
    <row r="4881" spans="3:10" x14ac:dyDescent="0.2">
      <c r="C4881" s="209"/>
      <c r="D4881" s="209"/>
      <c r="E4881" s="209"/>
      <c r="J4881" s="124"/>
    </row>
    <row r="4882" spans="3:10" x14ac:dyDescent="0.2">
      <c r="C4882" s="209"/>
      <c r="D4882" s="209"/>
      <c r="E4882" s="209"/>
      <c r="J4882" s="124"/>
    </row>
    <row r="4883" spans="3:10" x14ac:dyDescent="0.2">
      <c r="C4883" s="209"/>
      <c r="D4883" s="209"/>
      <c r="E4883" s="209"/>
      <c r="J4883" s="124"/>
    </row>
    <row r="4884" spans="3:10" x14ac:dyDescent="0.2">
      <c r="C4884" s="209"/>
      <c r="D4884" s="209"/>
      <c r="E4884" s="209"/>
      <c r="J4884" s="124"/>
    </row>
    <row r="4885" spans="3:10" x14ac:dyDescent="0.2">
      <c r="C4885" s="209"/>
      <c r="D4885" s="209"/>
      <c r="E4885" s="209"/>
      <c r="J4885" s="124"/>
    </row>
    <row r="4886" spans="3:10" x14ac:dyDescent="0.2">
      <c r="C4886" s="209"/>
      <c r="D4886" s="209"/>
      <c r="E4886" s="209"/>
      <c r="J4886" s="124"/>
    </row>
    <row r="4887" spans="3:10" x14ac:dyDescent="0.2">
      <c r="C4887" s="209"/>
      <c r="D4887" s="209"/>
      <c r="E4887" s="209"/>
      <c r="J4887" s="124"/>
    </row>
    <row r="4888" spans="3:10" x14ac:dyDescent="0.2">
      <c r="C4888" s="209"/>
      <c r="D4888" s="209"/>
      <c r="E4888" s="209"/>
      <c r="J4888" s="124"/>
    </row>
    <row r="4889" spans="3:10" x14ac:dyDescent="0.2">
      <c r="C4889" s="209"/>
      <c r="D4889" s="209"/>
      <c r="E4889" s="209"/>
      <c r="J4889" s="124"/>
    </row>
    <row r="4890" spans="3:10" x14ac:dyDescent="0.2">
      <c r="C4890" s="209"/>
      <c r="D4890" s="209"/>
      <c r="E4890" s="209"/>
      <c r="J4890" s="124"/>
    </row>
    <row r="4891" spans="3:10" x14ac:dyDescent="0.2">
      <c r="C4891" s="209"/>
      <c r="D4891" s="209"/>
      <c r="E4891" s="209"/>
      <c r="J4891" s="124"/>
    </row>
    <row r="4892" spans="3:10" x14ac:dyDescent="0.2">
      <c r="C4892" s="209"/>
      <c r="D4892" s="209"/>
      <c r="E4892" s="209"/>
      <c r="J4892" s="124"/>
    </row>
    <row r="4893" spans="3:10" x14ac:dyDescent="0.2">
      <c r="C4893" s="209"/>
      <c r="D4893" s="209"/>
      <c r="E4893" s="209"/>
      <c r="J4893" s="124"/>
    </row>
    <row r="4894" spans="3:10" x14ac:dyDescent="0.2">
      <c r="C4894" s="209"/>
      <c r="D4894" s="209"/>
      <c r="E4894" s="209"/>
      <c r="J4894" s="124"/>
    </row>
    <row r="4895" spans="3:10" x14ac:dyDescent="0.2">
      <c r="C4895" s="209"/>
      <c r="D4895" s="209"/>
      <c r="E4895" s="209"/>
      <c r="J4895" s="124"/>
    </row>
    <row r="4896" spans="3:10" x14ac:dyDescent="0.2">
      <c r="C4896" s="209"/>
      <c r="D4896" s="209"/>
      <c r="E4896" s="209"/>
      <c r="J4896" s="124"/>
    </row>
    <row r="4897" spans="3:10" x14ac:dyDescent="0.2">
      <c r="C4897" s="209"/>
      <c r="D4897" s="209"/>
      <c r="E4897" s="209"/>
      <c r="J4897" s="124"/>
    </row>
    <row r="4898" spans="3:10" x14ac:dyDescent="0.2">
      <c r="C4898" s="209"/>
      <c r="D4898" s="209"/>
      <c r="E4898" s="209"/>
      <c r="J4898" s="124"/>
    </row>
    <row r="4899" spans="3:10" x14ac:dyDescent="0.2">
      <c r="C4899" s="209"/>
      <c r="D4899" s="209"/>
      <c r="E4899" s="209"/>
      <c r="J4899" s="124"/>
    </row>
    <row r="4900" spans="3:10" x14ac:dyDescent="0.2">
      <c r="C4900" s="209"/>
      <c r="D4900" s="209"/>
      <c r="E4900" s="209"/>
      <c r="J4900" s="124"/>
    </row>
    <row r="4901" spans="3:10" x14ac:dyDescent="0.2">
      <c r="C4901" s="209"/>
      <c r="D4901" s="209"/>
      <c r="E4901" s="209"/>
      <c r="J4901" s="124"/>
    </row>
    <row r="4902" spans="3:10" x14ac:dyDescent="0.2">
      <c r="C4902" s="209"/>
      <c r="D4902" s="209"/>
      <c r="E4902" s="209"/>
      <c r="J4902" s="124"/>
    </row>
    <row r="4903" spans="3:10" x14ac:dyDescent="0.2">
      <c r="C4903" s="209"/>
      <c r="D4903" s="209"/>
      <c r="E4903" s="209"/>
      <c r="J4903" s="124"/>
    </row>
    <row r="4904" spans="3:10" x14ac:dyDescent="0.2">
      <c r="C4904" s="209"/>
      <c r="D4904" s="209"/>
      <c r="E4904" s="209"/>
      <c r="J4904" s="124"/>
    </row>
    <row r="4905" spans="3:10" x14ac:dyDescent="0.2">
      <c r="C4905" s="209"/>
      <c r="D4905" s="209"/>
      <c r="E4905" s="209"/>
      <c r="J4905" s="124"/>
    </row>
    <row r="4906" spans="3:10" x14ac:dyDescent="0.2">
      <c r="C4906" s="209"/>
      <c r="D4906" s="209"/>
      <c r="E4906" s="209"/>
      <c r="J4906" s="124"/>
    </row>
    <row r="4907" spans="3:10" x14ac:dyDescent="0.2">
      <c r="C4907" s="209"/>
      <c r="D4907" s="209"/>
      <c r="E4907" s="209"/>
      <c r="J4907" s="124"/>
    </row>
    <row r="4908" spans="3:10" x14ac:dyDescent="0.2">
      <c r="C4908" s="209"/>
      <c r="D4908" s="209"/>
      <c r="E4908" s="209"/>
      <c r="J4908" s="124"/>
    </row>
    <row r="4909" spans="3:10" x14ac:dyDescent="0.2">
      <c r="C4909" s="209"/>
      <c r="D4909" s="209"/>
      <c r="E4909" s="209"/>
      <c r="J4909" s="124"/>
    </row>
    <row r="4910" spans="3:10" x14ac:dyDescent="0.2">
      <c r="C4910" s="209"/>
      <c r="D4910" s="209"/>
      <c r="E4910" s="209"/>
      <c r="J4910" s="124"/>
    </row>
    <row r="4911" spans="3:10" x14ac:dyDescent="0.2">
      <c r="C4911" s="209"/>
      <c r="D4911" s="209"/>
      <c r="E4911" s="209"/>
      <c r="J4911" s="124"/>
    </row>
    <row r="4912" spans="3:10" x14ac:dyDescent="0.2">
      <c r="C4912" s="209"/>
      <c r="D4912" s="209"/>
      <c r="E4912" s="209"/>
      <c r="J4912" s="124"/>
    </row>
    <row r="4913" spans="3:10" x14ac:dyDescent="0.2">
      <c r="C4913" s="209"/>
      <c r="D4913" s="209"/>
      <c r="E4913" s="209"/>
      <c r="J4913" s="124"/>
    </row>
    <row r="4914" spans="3:10" x14ac:dyDescent="0.2">
      <c r="C4914" s="209"/>
      <c r="D4914" s="209"/>
      <c r="E4914" s="209"/>
      <c r="J4914" s="124"/>
    </row>
    <row r="4915" spans="3:10" x14ac:dyDescent="0.2">
      <c r="C4915" s="209"/>
      <c r="D4915" s="209"/>
      <c r="E4915" s="209"/>
      <c r="J4915" s="124"/>
    </row>
    <row r="4916" spans="3:10" x14ac:dyDescent="0.2">
      <c r="C4916" s="209"/>
      <c r="D4916" s="209"/>
      <c r="E4916" s="209"/>
      <c r="J4916" s="124"/>
    </row>
    <row r="4917" spans="3:10" x14ac:dyDescent="0.2">
      <c r="C4917" s="209"/>
      <c r="D4917" s="209"/>
      <c r="E4917" s="209"/>
      <c r="J4917" s="124"/>
    </row>
    <row r="4918" spans="3:10" x14ac:dyDescent="0.2">
      <c r="C4918" s="209"/>
      <c r="D4918" s="209"/>
      <c r="E4918" s="209"/>
      <c r="J4918" s="124"/>
    </row>
    <row r="4919" spans="3:10" x14ac:dyDescent="0.2">
      <c r="C4919" s="209"/>
      <c r="D4919" s="209"/>
      <c r="E4919" s="209"/>
      <c r="J4919" s="124"/>
    </row>
    <row r="4920" spans="3:10" x14ac:dyDescent="0.2">
      <c r="C4920" s="209"/>
      <c r="D4920" s="209"/>
      <c r="E4920" s="209"/>
      <c r="J4920" s="124"/>
    </row>
    <row r="4921" spans="3:10" x14ac:dyDescent="0.2">
      <c r="C4921" s="209"/>
      <c r="D4921" s="209"/>
      <c r="E4921" s="209"/>
      <c r="J4921" s="124"/>
    </row>
    <row r="4922" spans="3:10" x14ac:dyDescent="0.2">
      <c r="C4922" s="209"/>
      <c r="D4922" s="209"/>
      <c r="E4922" s="209"/>
      <c r="J4922" s="124"/>
    </row>
    <row r="4923" spans="3:10" x14ac:dyDescent="0.2">
      <c r="C4923" s="209"/>
      <c r="D4923" s="209"/>
      <c r="E4923" s="209"/>
      <c r="J4923" s="124"/>
    </row>
    <row r="4924" spans="3:10" x14ac:dyDescent="0.2">
      <c r="C4924" s="209"/>
      <c r="D4924" s="209"/>
      <c r="E4924" s="209"/>
      <c r="J4924" s="124"/>
    </row>
    <row r="4925" spans="3:10" x14ac:dyDescent="0.2">
      <c r="C4925" s="209"/>
      <c r="D4925" s="209"/>
      <c r="E4925" s="209"/>
      <c r="J4925" s="124"/>
    </row>
    <row r="4926" spans="3:10" x14ac:dyDescent="0.2">
      <c r="C4926" s="209"/>
      <c r="D4926" s="209"/>
      <c r="E4926" s="209"/>
      <c r="J4926" s="124"/>
    </row>
    <row r="4927" spans="3:10" x14ac:dyDescent="0.2">
      <c r="C4927" s="209"/>
      <c r="D4927" s="209"/>
      <c r="E4927" s="209"/>
      <c r="J4927" s="124"/>
    </row>
    <row r="4928" spans="3:10" x14ac:dyDescent="0.2">
      <c r="C4928" s="209"/>
      <c r="D4928" s="209"/>
      <c r="E4928" s="209"/>
      <c r="J4928" s="124"/>
    </row>
    <row r="4929" spans="3:10" x14ac:dyDescent="0.2">
      <c r="C4929" s="209"/>
      <c r="D4929" s="209"/>
      <c r="E4929" s="209"/>
      <c r="J4929" s="124"/>
    </row>
    <row r="4930" spans="3:10" x14ac:dyDescent="0.2">
      <c r="C4930" s="209"/>
      <c r="D4930" s="209"/>
      <c r="E4930" s="209"/>
      <c r="J4930" s="124"/>
    </row>
    <row r="4931" spans="3:10" x14ac:dyDescent="0.2">
      <c r="C4931" s="209"/>
      <c r="D4931" s="209"/>
      <c r="E4931" s="209"/>
      <c r="J4931" s="124"/>
    </row>
    <row r="4932" spans="3:10" x14ac:dyDescent="0.2">
      <c r="C4932" s="209"/>
      <c r="D4932" s="209"/>
      <c r="E4932" s="209"/>
      <c r="J4932" s="124"/>
    </row>
    <row r="4933" spans="3:10" x14ac:dyDescent="0.2">
      <c r="C4933" s="209"/>
      <c r="D4933" s="209"/>
      <c r="E4933" s="209"/>
      <c r="J4933" s="124"/>
    </row>
    <row r="4934" spans="3:10" x14ac:dyDescent="0.2">
      <c r="C4934" s="209"/>
      <c r="D4934" s="209"/>
      <c r="E4934" s="209"/>
      <c r="J4934" s="124"/>
    </row>
    <row r="4935" spans="3:10" x14ac:dyDescent="0.2">
      <c r="C4935" s="209"/>
      <c r="D4935" s="209"/>
      <c r="E4935" s="209"/>
      <c r="J4935" s="124"/>
    </row>
    <row r="4936" spans="3:10" x14ac:dyDescent="0.2">
      <c r="C4936" s="209"/>
      <c r="D4936" s="209"/>
      <c r="E4936" s="209"/>
      <c r="J4936" s="124"/>
    </row>
    <row r="4937" spans="3:10" x14ac:dyDescent="0.2">
      <c r="C4937" s="209"/>
      <c r="D4937" s="209"/>
      <c r="E4937" s="209"/>
      <c r="J4937" s="124"/>
    </row>
    <row r="4938" spans="3:10" x14ac:dyDescent="0.2">
      <c r="C4938" s="209"/>
      <c r="D4938" s="209"/>
      <c r="E4938" s="209"/>
      <c r="J4938" s="124"/>
    </row>
    <row r="4939" spans="3:10" x14ac:dyDescent="0.2">
      <c r="C4939" s="209"/>
      <c r="D4939" s="209"/>
      <c r="E4939" s="209"/>
      <c r="J4939" s="124"/>
    </row>
    <row r="4940" spans="3:10" x14ac:dyDescent="0.2">
      <c r="C4940" s="209"/>
      <c r="D4940" s="209"/>
      <c r="E4940" s="209"/>
      <c r="J4940" s="124"/>
    </row>
    <row r="4941" spans="3:10" x14ac:dyDescent="0.2">
      <c r="C4941" s="209"/>
      <c r="D4941" s="209"/>
      <c r="E4941" s="209"/>
      <c r="J4941" s="124"/>
    </row>
    <row r="4942" spans="3:10" x14ac:dyDescent="0.2">
      <c r="C4942" s="209"/>
      <c r="D4942" s="209"/>
      <c r="E4942" s="209"/>
      <c r="J4942" s="124"/>
    </row>
    <row r="4943" spans="3:10" x14ac:dyDescent="0.2">
      <c r="C4943" s="209"/>
      <c r="D4943" s="209"/>
      <c r="E4943" s="209"/>
      <c r="J4943" s="124"/>
    </row>
    <row r="4944" spans="3:10" x14ac:dyDescent="0.2">
      <c r="C4944" s="209"/>
      <c r="D4944" s="209"/>
      <c r="E4944" s="209"/>
      <c r="J4944" s="124"/>
    </row>
    <row r="4945" spans="3:10" x14ac:dyDescent="0.2">
      <c r="C4945" s="209"/>
      <c r="D4945" s="209"/>
      <c r="E4945" s="209"/>
      <c r="J4945" s="124"/>
    </row>
    <row r="4946" spans="3:10" x14ac:dyDescent="0.2">
      <c r="C4946" s="209"/>
      <c r="D4946" s="209"/>
      <c r="E4946" s="209"/>
      <c r="J4946" s="124"/>
    </row>
    <row r="4947" spans="3:10" x14ac:dyDescent="0.2">
      <c r="C4947" s="209"/>
      <c r="D4947" s="209"/>
      <c r="E4947" s="209"/>
      <c r="J4947" s="124"/>
    </row>
    <row r="4948" spans="3:10" x14ac:dyDescent="0.2">
      <c r="C4948" s="209"/>
      <c r="D4948" s="209"/>
      <c r="E4948" s="209"/>
      <c r="J4948" s="124"/>
    </row>
    <row r="4949" spans="3:10" x14ac:dyDescent="0.2">
      <c r="C4949" s="209"/>
      <c r="D4949" s="209"/>
      <c r="E4949" s="209"/>
      <c r="J4949" s="124"/>
    </row>
    <row r="4950" spans="3:10" x14ac:dyDescent="0.2">
      <c r="C4950" s="209"/>
      <c r="D4950" s="209"/>
      <c r="E4950" s="209"/>
      <c r="J4950" s="124"/>
    </row>
    <row r="4951" spans="3:10" x14ac:dyDescent="0.2">
      <c r="C4951" s="209"/>
      <c r="D4951" s="209"/>
      <c r="E4951" s="209"/>
      <c r="J4951" s="124"/>
    </row>
    <row r="4952" spans="3:10" x14ac:dyDescent="0.2">
      <c r="C4952" s="209"/>
      <c r="D4952" s="209"/>
      <c r="E4952" s="209"/>
      <c r="J4952" s="124"/>
    </row>
    <row r="4953" spans="3:10" x14ac:dyDescent="0.2">
      <c r="C4953" s="209"/>
      <c r="D4953" s="209"/>
      <c r="E4953" s="209"/>
      <c r="J4953" s="124"/>
    </row>
    <row r="4954" spans="3:10" x14ac:dyDescent="0.2">
      <c r="C4954" s="209"/>
      <c r="D4954" s="209"/>
      <c r="E4954" s="209"/>
      <c r="J4954" s="124"/>
    </row>
    <row r="4955" spans="3:10" x14ac:dyDescent="0.2">
      <c r="C4955" s="209"/>
      <c r="D4955" s="209"/>
      <c r="E4955" s="209"/>
      <c r="J4955" s="124"/>
    </row>
    <row r="4956" spans="3:10" x14ac:dyDescent="0.2">
      <c r="C4956" s="209"/>
      <c r="D4956" s="209"/>
      <c r="E4956" s="209"/>
      <c r="J4956" s="124"/>
    </row>
    <row r="4957" spans="3:10" x14ac:dyDescent="0.2">
      <c r="C4957" s="209"/>
      <c r="D4957" s="209"/>
      <c r="E4957" s="209"/>
      <c r="J4957" s="124"/>
    </row>
    <row r="4958" spans="3:10" x14ac:dyDescent="0.2">
      <c r="C4958" s="209"/>
      <c r="D4958" s="209"/>
      <c r="E4958" s="209"/>
      <c r="J4958" s="124"/>
    </row>
    <row r="4959" spans="3:10" x14ac:dyDescent="0.2">
      <c r="C4959" s="209"/>
      <c r="D4959" s="209"/>
      <c r="E4959" s="209"/>
      <c r="J4959" s="124"/>
    </row>
    <row r="4960" spans="3:10" x14ac:dyDescent="0.2">
      <c r="C4960" s="209"/>
      <c r="D4960" s="209"/>
      <c r="E4960" s="209"/>
      <c r="J4960" s="124"/>
    </row>
    <row r="4961" spans="3:10" x14ac:dyDescent="0.2">
      <c r="C4961" s="209"/>
      <c r="D4961" s="209"/>
      <c r="E4961" s="209"/>
      <c r="J4961" s="124"/>
    </row>
    <row r="4962" spans="3:10" x14ac:dyDescent="0.2">
      <c r="C4962" s="209"/>
      <c r="D4962" s="209"/>
      <c r="E4962" s="209"/>
      <c r="J4962" s="124"/>
    </row>
    <row r="4963" spans="3:10" x14ac:dyDescent="0.2">
      <c r="C4963" s="209"/>
      <c r="D4963" s="209"/>
      <c r="E4963" s="209"/>
      <c r="J4963" s="124"/>
    </row>
    <row r="4964" spans="3:10" x14ac:dyDescent="0.2">
      <c r="C4964" s="209"/>
      <c r="D4964" s="209"/>
      <c r="E4964" s="209"/>
      <c r="J4964" s="124"/>
    </row>
    <row r="4965" spans="3:10" x14ac:dyDescent="0.2">
      <c r="C4965" s="209"/>
      <c r="D4965" s="209"/>
      <c r="E4965" s="209"/>
      <c r="J4965" s="124"/>
    </row>
    <row r="4966" spans="3:10" x14ac:dyDescent="0.2">
      <c r="C4966" s="209"/>
      <c r="D4966" s="209"/>
      <c r="E4966" s="209"/>
      <c r="J4966" s="124"/>
    </row>
    <row r="4967" spans="3:10" x14ac:dyDescent="0.2">
      <c r="C4967" s="209"/>
      <c r="D4967" s="209"/>
      <c r="E4967" s="209"/>
      <c r="J4967" s="124"/>
    </row>
    <row r="4968" spans="3:10" x14ac:dyDescent="0.2">
      <c r="C4968" s="209"/>
      <c r="D4968" s="209"/>
      <c r="E4968" s="209"/>
      <c r="J4968" s="124"/>
    </row>
    <row r="4969" spans="3:10" x14ac:dyDescent="0.2">
      <c r="C4969" s="209"/>
      <c r="D4969" s="209"/>
      <c r="E4969" s="209"/>
      <c r="J4969" s="124"/>
    </row>
    <row r="4970" spans="3:10" x14ac:dyDescent="0.2">
      <c r="C4970" s="209"/>
      <c r="D4970" s="209"/>
      <c r="E4970" s="209"/>
      <c r="J4970" s="124"/>
    </row>
    <row r="4971" spans="3:10" x14ac:dyDescent="0.2">
      <c r="C4971" s="209"/>
      <c r="D4971" s="209"/>
      <c r="E4971" s="209"/>
      <c r="J4971" s="124"/>
    </row>
    <row r="4972" spans="3:10" x14ac:dyDescent="0.2">
      <c r="C4972" s="209"/>
      <c r="D4972" s="209"/>
      <c r="E4972" s="209"/>
      <c r="J4972" s="124"/>
    </row>
    <row r="4973" spans="3:10" x14ac:dyDescent="0.2">
      <c r="C4973" s="209"/>
      <c r="D4973" s="209"/>
      <c r="E4973" s="209"/>
      <c r="J4973" s="124"/>
    </row>
    <row r="4974" spans="3:10" x14ac:dyDescent="0.2">
      <c r="C4974" s="209"/>
      <c r="D4974" s="209"/>
      <c r="E4974" s="209"/>
      <c r="J4974" s="124"/>
    </row>
    <row r="4975" spans="3:10" x14ac:dyDescent="0.2">
      <c r="C4975" s="209"/>
      <c r="D4975" s="209"/>
      <c r="E4975" s="209"/>
      <c r="J4975" s="124"/>
    </row>
    <row r="4976" spans="3:10" x14ac:dyDescent="0.2">
      <c r="C4976" s="209"/>
      <c r="D4976" s="209"/>
      <c r="E4976" s="209"/>
      <c r="J4976" s="124"/>
    </row>
    <row r="4977" spans="3:10" x14ac:dyDescent="0.2">
      <c r="C4977" s="209"/>
      <c r="D4977" s="209"/>
      <c r="E4977" s="209"/>
      <c r="J4977" s="124"/>
    </row>
    <row r="4978" spans="3:10" x14ac:dyDescent="0.2">
      <c r="C4978" s="209"/>
      <c r="D4978" s="209"/>
      <c r="E4978" s="209"/>
      <c r="J4978" s="124"/>
    </row>
    <row r="4979" spans="3:10" x14ac:dyDescent="0.2">
      <c r="C4979" s="209"/>
      <c r="D4979" s="209"/>
      <c r="E4979" s="209"/>
      <c r="J4979" s="124"/>
    </row>
    <row r="4980" spans="3:10" x14ac:dyDescent="0.2">
      <c r="C4980" s="209"/>
      <c r="D4980" s="209"/>
      <c r="E4980" s="209"/>
      <c r="J4980" s="124"/>
    </row>
    <row r="4981" spans="3:10" x14ac:dyDescent="0.2">
      <c r="C4981" s="209"/>
      <c r="D4981" s="209"/>
      <c r="E4981" s="209"/>
      <c r="J4981" s="124"/>
    </row>
    <row r="4982" spans="3:10" x14ac:dyDescent="0.2">
      <c r="C4982" s="209"/>
      <c r="D4982" s="209"/>
      <c r="E4982" s="209"/>
      <c r="J4982" s="124"/>
    </row>
    <row r="4983" spans="3:10" x14ac:dyDescent="0.2">
      <c r="C4983" s="209"/>
      <c r="D4983" s="209"/>
      <c r="E4983" s="209"/>
      <c r="J4983" s="124"/>
    </row>
    <row r="4984" spans="3:10" x14ac:dyDescent="0.2">
      <c r="C4984" s="209"/>
      <c r="D4984" s="209"/>
      <c r="E4984" s="209"/>
      <c r="J4984" s="124"/>
    </row>
    <row r="4985" spans="3:10" x14ac:dyDescent="0.2">
      <c r="C4985" s="209"/>
      <c r="D4985" s="209"/>
      <c r="E4985" s="209"/>
      <c r="J4985" s="124"/>
    </row>
    <row r="4986" spans="3:10" x14ac:dyDescent="0.2">
      <c r="C4986" s="209"/>
      <c r="D4986" s="209"/>
      <c r="E4986" s="209"/>
      <c r="J4986" s="124"/>
    </row>
    <row r="4987" spans="3:10" x14ac:dyDescent="0.2">
      <c r="C4987" s="209"/>
      <c r="D4987" s="209"/>
      <c r="E4987" s="209"/>
      <c r="J4987" s="124"/>
    </row>
    <row r="4988" spans="3:10" x14ac:dyDescent="0.2">
      <c r="C4988" s="209"/>
      <c r="D4988" s="209"/>
      <c r="E4988" s="209"/>
      <c r="J4988" s="124"/>
    </row>
    <row r="4989" spans="3:10" x14ac:dyDescent="0.2">
      <c r="C4989" s="209"/>
      <c r="D4989" s="209"/>
      <c r="E4989" s="209"/>
      <c r="J4989" s="124"/>
    </row>
    <row r="4990" spans="3:10" x14ac:dyDescent="0.2">
      <c r="C4990" s="209"/>
      <c r="D4990" s="209"/>
      <c r="E4990" s="209"/>
      <c r="J4990" s="124"/>
    </row>
    <row r="4991" spans="3:10" x14ac:dyDescent="0.2">
      <c r="C4991" s="209"/>
      <c r="D4991" s="209"/>
      <c r="E4991" s="209"/>
      <c r="J4991" s="124"/>
    </row>
    <row r="4992" spans="3:10" x14ac:dyDescent="0.2">
      <c r="C4992" s="209"/>
      <c r="D4992" s="209"/>
      <c r="E4992" s="209"/>
      <c r="J4992" s="124"/>
    </row>
    <row r="4993" spans="3:10" x14ac:dyDescent="0.2">
      <c r="C4993" s="209"/>
      <c r="D4993" s="209"/>
      <c r="E4993" s="209"/>
      <c r="J4993" s="124"/>
    </row>
    <row r="4994" spans="3:10" x14ac:dyDescent="0.2">
      <c r="C4994" s="209"/>
      <c r="D4994" s="209"/>
      <c r="E4994" s="209"/>
      <c r="J4994" s="124"/>
    </row>
    <row r="4995" spans="3:10" x14ac:dyDescent="0.2">
      <c r="C4995" s="209"/>
      <c r="D4995" s="209"/>
      <c r="E4995" s="209"/>
      <c r="J4995" s="124"/>
    </row>
    <row r="4996" spans="3:10" x14ac:dyDescent="0.2">
      <c r="C4996" s="209"/>
      <c r="D4996" s="209"/>
      <c r="E4996" s="209"/>
      <c r="J4996" s="124"/>
    </row>
    <row r="4997" spans="3:10" x14ac:dyDescent="0.2">
      <c r="C4997" s="209"/>
      <c r="D4997" s="209"/>
      <c r="E4997" s="209"/>
      <c r="J4997" s="124"/>
    </row>
    <row r="4998" spans="3:10" x14ac:dyDescent="0.2">
      <c r="C4998" s="209"/>
      <c r="D4998" s="209"/>
      <c r="E4998" s="209"/>
      <c r="J4998" s="124"/>
    </row>
    <row r="4999" spans="3:10" x14ac:dyDescent="0.2">
      <c r="C4999" s="209"/>
      <c r="D4999" s="209"/>
      <c r="E4999" s="209"/>
      <c r="J4999" s="124"/>
    </row>
    <row r="5000" spans="3:10" x14ac:dyDescent="0.2">
      <c r="C5000" s="209"/>
      <c r="D5000" s="209"/>
      <c r="E5000" s="209"/>
      <c r="J5000" s="124"/>
    </row>
    <row r="5001" spans="3:10" x14ac:dyDescent="0.2">
      <c r="C5001" s="209"/>
      <c r="D5001" s="209"/>
      <c r="E5001" s="209"/>
      <c r="J5001" s="124"/>
    </row>
    <row r="5002" spans="3:10" x14ac:dyDescent="0.2">
      <c r="C5002" s="209"/>
      <c r="D5002" s="209"/>
      <c r="E5002" s="209"/>
      <c r="J5002" s="124"/>
    </row>
    <row r="5003" spans="3:10" x14ac:dyDescent="0.2">
      <c r="C5003" s="209"/>
      <c r="D5003" s="209"/>
      <c r="E5003" s="209"/>
      <c r="J5003" s="124"/>
    </row>
    <row r="5004" spans="3:10" x14ac:dyDescent="0.2">
      <c r="C5004" s="209"/>
      <c r="D5004" s="209"/>
      <c r="E5004" s="209"/>
      <c r="J5004" s="124"/>
    </row>
    <row r="5005" spans="3:10" x14ac:dyDescent="0.2">
      <c r="C5005" s="209"/>
      <c r="D5005" s="209"/>
      <c r="E5005" s="209"/>
      <c r="J5005" s="124"/>
    </row>
    <row r="5006" spans="3:10" x14ac:dyDescent="0.2">
      <c r="C5006" s="209"/>
      <c r="D5006" s="209"/>
      <c r="E5006" s="209"/>
      <c r="J5006" s="124"/>
    </row>
    <row r="5007" spans="3:10" x14ac:dyDescent="0.2">
      <c r="C5007" s="209"/>
      <c r="D5007" s="209"/>
      <c r="E5007" s="209"/>
      <c r="J5007" s="124"/>
    </row>
    <row r="5008" spans="3:10" x14ac:dyDescent="0.2">
      <c r="C5008" s="209"/>
      <c r="D5008" s="209"/>
      <c r="E5008" s="209"/>
      <c r="J5008" s="124"/>
    </row>
    <row r="5009" spans="3:10" x14ac:dyDescent="0.2">
      <c r="C5009" s="209"/>
      <c r="D5009" s="209"/>
      <c r="E5009" s="209"/>
      <c r="J5009" s="124"/>
    </row>
    <row r="5010" spans="3:10" x14ac:dyDescent="0.2">
      <c r="C5010" s="209"/>
      <c r="D5010" s="209"/>
      <c r="E5010" s="209"/>
      <c r="J5010" s="124"/>
    </row>
    <row r="5011" spans="3:10" x14ac:dyDescent="0.2">
      <c r="C5011" s="209"/>
      <c r="D5011" s="209"/>
      <c r="E5011" s="209"/>
      <c r="J5011" s="124"/>
    </row>
    <row r="5012" spans="3:10" x14ac:dyDescent="0.2">
      <c r="C5012" s="209"/>
      <c r="D5012" s="209"/>
      <c r="E5012" s="209"/>
      <c r="J5012" s="124"/>
    </row>
    <row r="5013" spans="3:10" x14ac:dyDescent="0.2">
      <c r="C5013" s="209"/>
      <c r="D5013" s="209"/>
      <c r="E5013" s="209"/>
      <c r="J5013" s="124"/>
    </row>
    <row r="5014" spans="3:10" x14ac:dyDescent="0.2">
      <c r="C5014" s="209"/>
      <c r="D5014" s="209"/>
      <c r="E5014" s="209"/>
      <c r="J5014" s="124"/>
    </row>
    <row r="5015" spans="3:10" x14ac:dyDescent="0.2">
      <c r="C5015" s="209"/>
      <c r="D5015" s="209"/>
      <c r="E5015" s="209"/>
      <c r="J5015" s="124"/>
    </row>
    <row r="5016" spans="3:10" x14ac:dyDescent="0.2">
      <c r="C5016" s="209"/>
      <c r="D5016" s="209"/>
      <c r="E5016" s="209"/>
      <c r="J5016" s="124"/>
    </row>
    <row r="5017" spans="3:10" x14ac:dyDescent="0.2">
      <c r="C5017" s="209"/>
      <c r="D5017" s="209"/>
      <c r="E5017" s="209"/>
      <c r="J5017" s="124"/>
    </row>
    <row r="5018" spans="3:10" x14ac:dyDescent="0.2">
      <c r="C5018" s="209"/>
      <c r="D5018" s="209"/>
      <c r="E5018" s="209"/>
      <c r="J5018" s="124"/>
    </row>
    <row r="5019" spans="3:10" x14ac:dyDescent="0.2">
      <c r="C5019" s="209"/>
      <c r="D5019" s="209"/>
      <c r="E5019" s="209"/>
      <c r="J5019" s="124"/>
    </row>
    <row r="5020" spans="3:10" x14ac:dyDescent="0.2">
      <c r="C5020" s="209"/>
      <c r="D5020" s="209"/>
      <c r="E5020" s="209"/>
      <c r="J5020" s="124"/>
    </row>
    <row r="5021" spans="3:10" x14ac:dyDescent="0.2">
      <c r="C5021" s="209"/>
      <c r="D5021" s="209"/>
      <c r="E5021" s="209"/>
      <c r="J5021" s="124"/>
    </row>
    <row r="5022" spans="3:10" x14ac:dyDescent="0.2">
      <c r="C5022" s="209"/>
      <c r="D5022" s="209"/>
      <c r="E5022" s="209"/>
      <c r="J5022" s="124"/>
    </row>
    <row r="5023" spans="3:10" x14ac:dyDescent="0.2">
      <c r="C5023" s="209"/>
      <c r="D5023" s="209"/>
      <c r="E5023" s="209"/>
      <c r="J5023" s="124"/>
    </row>
    <row r="5024" spans="3:10" x14ac:dyDescent="0.2">
      <c r="C5024" s="209"/>
      <c r="D5024" s="209"/>
      <c r="E5024" s="209"/>
      <c r="J5024" s="124"/>
    </row>
    <row r="5025" spans="3:10" x14ac:dyDescent="0.2">
      <c r="C5025" s="209"/>
      <c r="D5025" s="209"/>
      <c r="E5025" s="209"/>
      <c r="J5025" s="124"/>
    </row>
    <row r="5026" spans="3:10" x14ac:dyDescent="0.2">
      <c r="C5026" s="209"/>
      <c r="D5026" s="209"/>
      <c r="E5026" s="209"/>
      <c r="J5026" s="124"/>
    </row>
    <row r="5027" spans="3:10" x14ac:dyDescent="0.2">
      <c r="C5027" s="209"/>
      <c r="D5027" s="209"/>
      <c r="E5027" s="209"/>
      <c r="J5027" s="124"/>
    </row>
    <row r="5028" spans="3:10" x14ac:dyDescent="0.2">
      <c r="C5028" s="209"/>
      <c r="D5028" s="209"/>
      <c r="E5028" s="209"/>
      <c r="J5028" s="124"/>
    </row>
    <row r="5029" spans="3:10" x14ac:dyDescent="0.2">
      <c r="C5029" s="209"/>
      <c r="D5029" s="209"/>
      <c r="E5029" s="209"/>
      <c r="J5029" s="124"/>
    </row>
    <row r="5030" spans="3:10" x14ac:dyDescent="0.2">
      <c r="C5030" s="209"/>
      <c r="D5030" s="209"/>
      <c r="E5030" s="209"/>
      <c r="J5030" s="124"/>
    </row>
    <row r="5031" spans="3:10" x14ac:dyDescent="0.2">
      <c r="C5031" s="209"/>
      <c r="D5031" s="209"/>
      <c r="E5031" s="209"/>
      <c r="J5031" s="124"/>
    </row>
    <row r="5032" spans="3:10" x14ac:dyDescent="0.2">
      <c r="C5032" s="209"/>
      <c r="D5032" s="209"/>
      <c r="E5032" s="209"/>
      <c r="J5032" s="124"/>
    </row>
    <row r="5033" spans="3:10" x14ac:dyDescent="0.2">
      <c r="C5033" s="209"/>
      <c r="D5033" s="209"/>
      <c r="E5033" s="209"/>
      <c r="J5033" s="124"/>
    </row>
    <row r="5034" spans="3:10" x14ac:dyDescent="0.2">
      <c r="C5034" s="209"/>
      <c r="D5034" s="209"/>
      <c r="E5034" s="209"/>
      <c r="J5034" s="124"/>
    </row>
    <row r="5035" spans="3:10" x14ac:dyDescent="0.2">
      <c r="C5035" s="209"/>
      <c r="D5035" s="209"/>
      <c r="E5035" s="209"/>
      <c r="J5035" s="124"/>
    </row>
    <row r="5036" spans="3:10" x14ac:dyDescent="0.2">
      <c r="C5036" s="209"/>
      <c r="D5036" s="209"/>
      <c r="E5036" s="209"/>
      <c r="J5036" s="124"/>
    </row>
    <row r="5037" spans="3:10" x14ac:dyDescent="0.2">
      <c r="C5037" s="209"/>
      <c r="D5037" s="209"/>
      <c r="E5037" s="209"/>
      <c r="J5037" s="124"/>
    </row>
    <row r="5038" spans="3:10" x14ac:dyDescent="0.2">
      <c r="C5038" s="209"/>
      <c r="D5038" s="209"/>
      <c r="E5038" s="209"/>
      <c r="J5038" s="124"/>
    </row>
    <row r="5039" spans="3:10" x14ac:dyDescent="0.2">
      <c r="C5039" s="209"/>
      <c r="D5039" s="209"/>
      <c r="E5039" s="209"/>
      <c r="J5039" s="124"/>
    </row>
    <row r="5040" spans="3:10" x14ac:dyDescent="0.2">
      <c r="C5040" s="209"/>
      <c r="D5040" s="209"/>
      <c r="E5040" s="209"/>
      <c r="J5040" s="124"/>
    </row>
    <row r="5041" spans="3:10" x14ac:dyDescent="0.2">
      <c r="C5041" s="209"/>
      <c r="D5041" s="209"/>
      <c r="E5041" s="209"/>
      <c r="J5041" s="124"/>
    </row>
    <row r="5042" spans="3:10" x14ac:dyDescent="0.2">
      <c r="C5042" s="209"/>
      <c r="D5042" s="209"/>
      <c r="E5042" s="209"/>
      <c r="J5042" s="124"/>
    </row>
    <row r="5043" spans="3:10" x14ac:dyDescent="0.2">
      <c r="C5043" s="209"/>
      <c r="D5043" s="209"/>
      <c r="E5043" s="209"/>
      <c r="J5043" s="124"/>
    </row>
    <row r="5044" spans="3:10" x14ac:dyDescent="0.2">
      <c r="C5044" s="209"/>
      <c r="D5044" s="209"/>
      <c r="E5044" s="209"/>
      <c r="J5044" s="124"/>
    </row>
    <row r="5045" spans="3:10" x14ac:dyDescent="0.2">
      <c r="C5045" s="209"/>
      <c r="D5045" s="209"/>
      <c r="E5045" s="209"/>
      <c r="J5045" s="124"/>
    </row>
    <row r="5046" spans="3:10" x14ac:dyDescent="0.2">
      <c r="C5046" s="209"/>
      <c r="D5046" s="209"/>
      <c r="E5046" s="209"/>
      <c r="J5046" s="124"/>
    </row>
    <row r="5047" spans="3:10" x14ac:dyDescent="0.2">
      <c r="C5047" s="209"/>
      <c r="D5047" s="209"/>
      <c r="E5047" s="209"/>
      <c r="J5047" s="124"/>
    </row>
    <row r="5048" spans="3:10" x14ac:dyDescent="0.2">
      <c r="C5048" s="209"/>
      <c r="D5048" s="209"/>
      <c r="E5048" s="209"/>
      <c r="J5048" s="124"/>
    </row>
    <row r="5049" spans="3:10" x14ac:dyDescent="0.2">
      <c r="C5049" s="209"/>
      <c r="D5049" s="209"/>
      <c r="E5049" s="209"/>
      <c r="J5049" s="124"/>
    </row>
    <row r="5050" spans="3:10" x14ac:dyDescent="0.2">
      <c r="C5050" s="209"/>
      <c r="D5050" s="209"/>
      <c r="E5050" s="209"/>
      <c r="J5050" s="124"/>
    </row>
    <row r="5051" spans="3:10" x14ac:dyDescent="0.2">
      <c r="C5051" s="209"/>
      <c r="D5051" s="209"/>
      <c r="E5051" s="209"/>
      <c r="J5051" s="124"/>
    </row>
    <row r="5052" spans="3:10" x14ac:dyDescent="0.2">
      <c r="C5052" s="209"/>
      <c r="D5052" s="209"/>
      <c r="E5052" s="209"/>
      <c r="J5052" s="124"/>
    </row>
    <row r="5053" spans="3:10" x14ac:dyDescent="0.2">
      <c r="C5053" s="209"/>
      <c r="D5053" s="209"/>
      <c r="E5053" s="209"/>
      <c r="J5053" s="124"/>
    </row>
    <row r="5054" spans="3:10" x14ac:dyDescent="0.2">
      <c r="C5054" s="209"/>
      <c r="D5054" s="209"/>
      <c r="E5054" s="209"/>
      <c r="J5054" s="124"/>
    </row>
    <row r="5055" spans="3:10" x14ac:dyDescent="0.2">
      <c r="C5055" s="209"/>
      <c r="D5055" s="209"/>
      <c r="E5055" s="209"/>
      <c r="J5055" s="124"/>
    </row>
    <row r="5056" spans="3:10" x14ac:dyDescent="0.2">
      <c r="C5056" s="209"/>
      <c r="D5056" s="209"/>
      <c r="E5056" s="209"/>
      <c r="J5056" s="124"/>
    </row>
    <row r="5057" spans="3:10" x14ac:dyDescent="0.2">
      <c r="C5057" s="209"/>
      <c r="D5057" s="209"/>
      <c r="E5057" s="209"/>
      <c r="J5057" s="124"/>
    </row>
    <row r="5058" spans="3:10" x14ac:dyDescent="0.2">
      <c r="C5058" s="209"/>
      <c r="D5058" s="209"/>
      <c r="E5058" s="209"/>
      <c r="J5058" s="124"/>
    </row>
    <row r="5059" spans="3:10" x14ac:dyDescent="0.2">
      <c r="C5059" s="209"/>
      <c r="D5059" s="209"/>
      <c r="E5059" s="209"/>
      <c r="J5059" s="124"/>
    </row>
    <row r="5060" spans="3:10" x14ac:dyDescent="0.2">
      <c r="C5060" s="209"/>
      <c r="D5060" s="209"/>
      <c r="E5060" s="209"/>
      <c r="J5060" s="124"/>
    </row>
    <row r="5061" spans="3:10" x14ac:dyDescent="0.2">
      <c r="C5061" s="209"/>
      <c r="D5061" s="209"/>
      <c r="E5061" s="209"/>
      <c r="J5061" s="124"/>
    </row>
    <row r="5062" spans="3:10" x14ac:dyDescent="0.2">
      <c r="C5062" s="209"/>
      <c r="D5062" s="209"/>
      <c r="E5062" s="209"/>
      <c r="J5062" s="124"/>
    </row>
    <row r="5063" spans="3:10" x14ac:dyDescent="0.2">
      <c r="C5063" s="209"/>
      <c r="D5063" s="209"/>
      <c r="E5063" s="209"/>
      <c r="J5063" s="124"/>
    </row>
    <row r="5064" spans="3:10" x14ac:dyDescent="0.2">
      <c r="C5064" s="209"/>
      <c r="D5064" s="209"/>
      <c r="E5064" s="209"/>
      <c r="J5064" s="124"/>
    </row>
    <row r="5065" spans="3:10" x14ac:dyDescent="0.2">
      <c r="C5065" s="209"/>
      <c r="D5065" s="209"/>
      <c r="E5065" s="209"/>
      <c r="J5065" s="124"/>
    </row>
    <row r="5066" spans="3:10" x14ac:dyDescent="0.2">
      <c r="C5066" s="209"/>
      <c r="D5066" s="209"/>
      <c r="E5066" s="209"/>
      <c r="J5066" s="124"/>
    </row>
    <row r="5067" spans="3:10" x14ac:dyDescent="0.2">
      <c r="C5067" s="209"/>
      <c r="D5067" s="209"/>
      <c r="E5067" s="209"/>
      <c r="J5067" s="124"/>
    </row>
    <row r="5068" spans="3:10" x14ac:dyDescent="0.2">
      <c r="C5068" s="209"/>
      <c r="D5068" s="209"/>
      <c r="E5068" s="209"/>
      <c r="J5068" s="124"/>
    </row>
    <row r="5069" spans="3:10" x14ac:dyDescent="0.2">
      <c r="C5069" s="209"/>
      <c r="D5069" s="209"/>
      <c r="E5069" s="209"/>
      <c r="J5069" s="124"/>
    </row>
    <row r="5070" spans="3:10" x14ac:dyDescent="0.2">
      <c r="C5070" s="209"/>
      <c r="D5070" s="209"/>
      <c r="E5070" s="209"/>
      <c r="J5070" s="124"/>
    </row>
    <row r="5071" spans="3:10" x14ac:dyDescent="0.2">
      <c r="C5071" s="209"/>
      <c r="D5071" s="209"/>
      <c r="E5071" s="209"/>
      <c r="J5071" s="124"/>
    </row>
    <row r="5072" spans="3:10" x14ac:dyDescent="0.2">
      <c r="C5072" s="209"/>
      <c r="D5072" s="209"/>
      <c r="E5072" s="209"/>
      <c r="J5072" s="124"/>
    </row>
    <row r="5073" spans="3:10" x14ac:dyDescent="0.2">
      <c r="C5073" s="209"/>
      <c r="D5073" s="209"/>
      <c r="E5073" s="209"/>
      <c r="J5073" s="124"/>
    </row>
    <row r="5074" spans="3:10" x14ac:dyDescent="0.2">
      <c r="C5074" s="209"/>
      <c r="D5074" s="209"/>
      <c r="E5074" s="209"/>
      <c r="J5074" s="124"/>
    </row>
    <row r="5075" spans="3:10" x14ac:dyDescent="0.2">
      <c r="C5075" s="209"/>
      <c r="D5075" s="209"/>
      <c r="E5075" s="209"/>
      <c r="J5075" s="124"/>
    </row>
    <row r="5076" spans="3:10" x14ac:dyDescent="0.2">
      <c r="C5076" s="209"/>
      <c r="D5076" s="209"/>
      <c r="E5076" s="209"/>
      <c r="J5076" s="124"/>
    </row>
    <row r="5077" spans="3:10" x14ac:dyDescent="0.2">
      <c r="C5077" s="209"/>
      <c r="D5077" s="209"/>
      <c r="E5077" s="209"/>
      <c r="J5077" s="124"/>
    </row>
    <row r="5078" spans="3:10" x14ac:dyDescent="0.2">
      <c r="C5078" s="209"/>
      <c r="D5078" s="209"/>
      <c r="E5078" s="209"/>
      <c r="J5078" s="124"/>
    </row>
    <row r="5079" spans="3:10" x14ac:dyDescent="0.2">
      <c r="C5079" s="209"/>
      <c r="D5079" s="209"/>
      <c r="E5079" s="209"/>
      <c r="J5079" s="124"/>
    </row>
    <row r="5080" spans="3:10" x14ac:dyDescent="0.2">
      <c r="C5080" s="209"/>
      <c r="D5080" s="209"/>
      <c r="E5080" s="209"/>
      <c r="J5080" s="124"/>
    </row>
    <row r="5081" spans="3:10" x14ac:dyDescent="0.2">
      <c r="C5081" s="209"/>
      <c r="D5081" s="209"/>
      <c r="E5081" s="209"/>
      <c r="J5081" s="124"/>
    </row>
    <row r="5082" spans="3:10" x14ac:dyDescent="0.2">
      <c r="C5082" s="209"/>
      <c r="D5082" s="209"/>
      <c r="E5082" s="209"/>
      <c r="J5082" s="124"/>
    </row>
    <row r="5083" spans="3:10" x14ac:dyDescent="0.2">
      <c r="C5083" s="209"/>
      <c r="D5083" s="209"/>
      <c r="E5083" s="209"/>
      <c r="J5083" s="124"/>
    </row>
    <row r="5084" spans="3:10" x14ac:dyDescent="0.2">
      <c r="C5084" s="209"/>
      <c r="D5084" s="209"/>
      <c r="E5084" s="209"/>
      <c r="J5084" s="124"/>
    </row>
    <row r="5085" spans="3:10" x14ac:dyDescent="0.2">
      <c r="C5085" s="209"/>
      <c r="D5085" s="209"/>
      <c r="E5085" s="209"/>
      <c r="J5085" s="124"/>
    </row>
    <row r="5086" spans="3:10" x14ac:dyDescent="0.2">
      <c r="C5086" s="209"/>
      <c r="D5086" s="209"/>
      <c r="E5086" s="209"/>
      <c r="J5086" s="124"/>
    </row>
    <row r="5087" spans="3:10" x14ac:dyDescent="0.2">
      <c r="C5087" s="209"/>
      <c r="D5087" s="209"/>
      <c r="E5087" s="209"/>
      <c r="J5087" s="124"/>
    </row>
    <row r="5088" spans="3:10" x14ac:dyDescent="0.2">
      <c r="C5088" s="209"/>
      <c r="D5088" s="209"/>
      <c r="E5088" s="209"/>
      <c r="J5088" s="124"/>
    </row>
    <row r="5089" spans="3:10" x14ac:dyDescent="0.2">
      <c r="C5089" s="209"/>
      <c r="D5089" s="209"/>
      <c r="E5089" s="209"/>
      <c r="J5089" s="124"/>
    </row>
    <row r="5090" spans="3:10" x14ac:dyDescent="0.2">
      <c r="C5090" s="209"/>
      <c r="D5090" s="209"/>
      <c r="E5090" s="209"/>
      <c r="J5090" s="124"/>
    </row>
    <row r="5091" spans="3:10" x14ac:dyDescent="0.2">
      <c r="C5091" s="209"/>
      <c r="D5091" s="209"/>
      <c r="E5091" s="209"/>
      <c r="J5091" s="124"/>
    </row>
    <row r="5092" spans="3:10" x14ac:dyDescent="0.2">
      <c r="C5092" s="209"/>
      <c r="D5092" s="209"/>
      <c r="E5092" s="209"/>
      <c r="J5092" s="124"/>
    </row>
    <row r="5093" spans="3:10" x14ac:dyDescent="0.2">
      <c r="C5093" s="209"/>
      <c r="D5093" s="209"/>
      <c r="E5093" s="209"/>
      <c r="J5093" s="124"/>
    </row>
    <row r="5094" spans="3:10" x14ac:dyDescent="0.2">
      <c r="C5094" s="209"/>
      <c r="D5094" s="209"/>
      <c r="E5094" s="209"/>
      <c r="J5094" s="124"/>
    </row>
    <row r="5095" spans="3:10" x14ac:dyDescent="0.2">
      <c r="C5095" s="209"/>
      <c r="D5095" s="209"/>
      <c r="E5095" s="209"/>
      <c r="J5095" s="124"/>
    </row>
    <row r="5096" spans="3:10" x14ac:dyDescent="0.2">
      <c r="C5096" s="209"/>
      <c r="D5096" s="209"/>
      <c r="E5096" s="209"/>
      <c r="J5096" s="124"/>
    </row>
    <row r="5097" spans="3:10" x14ac:dyDescent="0.2">
      <c r="C5097" s="209"/>
      <c r="D5097" s="209"/>
      <c r="E5097" s="209"/>
      <c r="J5097" s="124"/>
    </row>
    <row r="5098" spans="3:10" x14ac:dyDescent="0.2">
      <c r="C5098" s="209"/>
      <c r="D5098" s="209"/>
      <c r="E5098" s="209"/>
      <c r="J5098" s="124"/>
    </row>
    <row r="5099" spans="3:10" x14ac:dyDescent="0.2">
      <c r="C5099" s="209"/>
      <c r="D5099" s="209"/>
      <c r="E5099" s="209"/>
      <c r="J5099" s="124"/>
    </row>
    <row r="5100" spans="3:10" x14ac:dyDescent="0.2">
      <c r="C5100" s="209"/>
      <c r="D5100" s="209"/>
      <c r="E5100" s="209"/>
      <c r="J5100" s="124"/>
    </row>
    <row r="5101" spans="3:10" x14ac:dyDescent="0.2">
      <c r="C5101" s="209"/>
      <c r="D5101" s="209"/>
      <c r="E5101" s="209"/>
      <c r="J5101" s="124"/>
    </row>
    <row r="5102" spans="3:10" x14ac:dyDescent="0.2">
      <c r="C5102" s="209"/>
      <c r="D5102" s="209"/>
      <c r="E5102" s="209"/>
      <c r="J5102" s="124"/>
    </row>
    <row r="5103" spans="3:10" x14ac:dyDescent="0.2">
      <c r="C5103" s="209"/>
      <c r="D5103" s="209"/>
      <c r="E5103" s="209"/>
      <c r="J5103" s="124"/>
    </row>
    <row r="5104" spans="3:10" x14ac:dyDescent="0.2">
      <c r="C5104" s="209"/>
      <c r="D5104" s="209"/>
      <c r="E5104" s="209"/>
      <c r="J5104" s="124"/>
    </row>
    <row r="5105" spans="3:10" x14ac:dyDescent="0.2">
      <c r="C5105" s="209"/>
      <c r="D5105" s="209"/>
      <c r="E5105" s="209"/>
      <c r="J5105" s="124"/>
    </row>
    <row r="5106" spans="3:10" x14ac:dyDescent="0.2">
      <c r="C5106" s="209"/>
      <c r="D5106" s="209"/>
      <c r="E5106" s="209"/>
      <c r="J5106" s="124"/>
    </row>
    <row r="5107" spans="3:10" x14ac:dyDescent="0.2">
      <c r="C5107" s="209"/>
      <c r="D5107" s="209"/>
      <c r="E5107" s="209"/>
      <c r="J5107" s="124"/>
    </row>
    <row r="5108" spans="3:10" x14ac:dyDescent="0.2">
      <c r="C5108" s="209"/>
      <c r="D5108" s="209"/>
      <c r="E5108" s="209"/>
      <c r="J5108" s="124"/>
    </row>
    <row r="5109" spans="3:10" x14ac:dyDescent="0.2">
      <c r="C5109" s="209"/>
      <c r="D5109" s="209"/>
      <c r="E5109" s="209"/>
      <c r="J5109" s="124"/>
    </row>
    <row r="5110" spans="3:10" x14ac:dyDescent="0.2">
      <c r="C5110" s="209"/>
      <c r="D5110" s="209"/>
      <c r="E5110" s="209"/>
      <c r="J5110" s="124"/>
    </row>
    <row r="5111" spans="3:10" x14ac:dyDescent="0.2">
      <c r="C5111" s="209"/>
      <c r="D5111" s="209"/>
      <c r="E5111" s="209"/>
      <c r="J5111" s="124"/>
    </row>
    <row r="5112" spans="3:10" x14ac:dyDescent="0.2">
      <c r="C5112" s="209"/>
      <c r="D5112" s="209"/>
      <c r="E5112" s="209"/>
      <c r="J5112" s="124"/>
    </row>
    <row r="5113" spans="3:10" x14ac:dyDescent="0.2">
      <c r="C5113" s="209"/>
      <c r="D5113" s="209"/>
      <c r="E5113" s="209"/>
      <c r="J5113" s="124"/>
    </row>
    <row r="5114" spans="3:10" x14ac:dyDescent="0.2">
      <c r="C5114" s="209"/>
      <c r="D5114" s="209"/>
      <c r="E5114" s="209"/>
      <c r="J5114" s="124"/>
    </row>
    <row r="5115" spans="3:10" x14ac:dyDescent="0.2">
      <c r="C5115" s="209"/>
      <c r="D5115" s="209"/>
      <c r="E5115" s="209"/>
      <c r="J5115" s="124"/>
    </row>
    <row r="5116" spans="3:10" x14ac:dyDescent="0.2">
      <c r="C5116" s="209"/>
      <c r="D5116" s="209"/>
      <c r="E5116" s="209"/>
      <c r="J5116" s="124"/>
    </row>
    <row r="5117" spans="3:10" x14ac:dyDescent="0.2">
      <c r="C5117" s="209"/>
      <c r="D5117" s="209"/>
      <c r="E5117" s="209"/>
      <c r="J5117" s="124"/>
    </row>
    <row r="5118" spans="3:10" x14ac:dyDescent="0.2">
      <c r="C5118" s="209"/>
      <c r="D5118" s="209"/>
      <c r="E5118" s="209"/>
      <c r="J5118" s="124"/>
    </row>
    <row r="5119" spans="3:10" x14ac:dyDescent="0.2">
      <c r="C5119" s="209"/>
      <c r="D5119" s="209"/>
      <c r="E5119" s="209"/>
      <c r="J5119" s="124"/>
    </row>
    <row r="5120" spans="3:10" x14ac:dyDescent="0.2">
      <c r="C5120" s="209"/>
      <c r="D5120" s="209"/>
      <c r="E5120" s="209"/>
      <c r="J5120" s="124"/>
    </row>
    <row r="5121" spans="3:10" x14ac:dyDescent="0.2">
      <c r="C5121" s="209"/>
      <c r="D5121" s="209"/>
      <c r="E5121" s="209"/>
      <c r="J5121" s="124"/>
    </row>
    <row r="5122" spans="3:10" x14ac:dyDescent="0.2">
      <c r="C5122" s="209"/>
      <c r="D5122" s="209"/>
      <c r="E5122" s="209"/>
      <c r="J5122" s="124"/>
    </row>
    <row r="5123" spans="3:10" x14ac:dyDescent="0.2">
      <c r="C5123" s="209"/>
      <c r="D5123" s="209"/>
      <c r="E5123" s="209"/>
      <c r="J5123" s="124"/>
    </row>
    <row r="5124" spans="3:10" x14ac:dyDescent="0.2">
      <c r="C5124" s="209"/>
      <c r="D5124" s="209"/>
      <c r="E5124" s="209"/>
      <c r="J5124" s="124"/>
    </row>
    <row r="5125" spans="3:10" x14ac:dyDescent="0.2">
      <c r="C5125" s="209"/>
      <c r="D5125" s="209"/>
      <c r="E5125" s="209"/>
      <c r="J5125" s="124"/>
    </row>
    <row r="5126" spans="3:10" x14ac:dyDescent="0.2">
      <c r="C5126" s="209"/>
      <c r="D5126" s="209"/>
      <c r="E5126" s="209"/>
      <c r="J5126" s="124"/>
    </row>
    <row r="5127" spans="3:10" x14ac:dyDescent="0.2">
      <c r="C5127" s="209"/>
      <c r="D5127" s="209"/>
      <c r="E5127" s="209"/>
      <c r="J5127" s="124"/>
    </row>
    <row r="5128" spans="3:10" x14ac:dyDescent="0.2">
      <c r="C5128" s="209"/>
      <c r="D5128" s="209"/>
      <c r="E5128" s="209"/>
      <c r="J5128" s="124"/>
    </row>
    <row r="5129" spans="3:10" x14ac:dyDescent="0.2">
      <c r="C5129" s="209"/>
      <c r="D5129" s="209"/>
      <c r="E5129" s="209"/>
      <c r="J5129" s="124"/>
    </row>
    <row r="5130" spans="3:10" x14ac:dyDescent="0.2">
      <c r="C5130" s="209"/>
      <c r="D5130" s="209"/>
      <c r="E5130" s="209"/>
      <c r="J5130" s="124"/>
    </row>
    <row r="5131" spans="3:10" x14ac:dyDescent="0.2">
      <c r="C5131" s="209"/>
      <c r="D5131" s="209"/>
      <c r="E5131" s="209"/>
      <c r="J5131" s="124"/>
    </row>
    <row r="5132" spans="3:10" x14ac:dyDescent="0.2">
      <c r="C5132" s="209"/>
      <c r="D5132" s="209"/>
      <c r="E5132" s="209"/>
      <c r="J5132" s="124"/>
    </row>
    <row r="5133" spans="3:10" x14ac:dyDescent="0.2">
      <c r="C5133" s="209"/>
      <c r="D5133" s="209"/>
      <c r="E5133" s="209"/>
      <c r="J5133" s="124"/>
    </row>
    <row r="5134" spans="3:10" x14ac:dyDescent="0.2">
      <c r="C5134" s="209"/>
      <c r="D5134" s="209"/>
      <c r="E5134" s="209"/>
      <c r="J5134" s="124"/>
    </row>
    <row r="5135" spans="3:10" x14ac:dyDescent="0.2">
      <c r="C5135" s="209"/>
      <c r="D5135" s="209"/>
      <c r="E5135" s="209"/>
      <c r="J5135" s="124"/>
    </row>
    <row r="5136" spans="3:10" x14ac:dyDescent="0.2">
      <c r="C5136" s="209"/>
      <c r="D5136" s="209"/>
      <c r="E5136" s="209"/>
      <c r="J5136" s="124"/>
    </row>
    <row r="5137" spans="3:10" x14ac:dyDescent="0.2">
      <c r="C5137" s="209"/>
      <c r="D5137" s="209"/>
      <c r="E5137" s="209"/>
      <c r="J5137" s="124"/>
    </row>
    <row r="5138" spans="3:10" x14ac:dyDescent="0.2">
      <c r="C5138" s="209"/>
      <c r="D5138" s="209"/>
      <c r="E5138" s="209"/>
      <c r="J5138" s="124"/>
    </row>
    <row r="5139" spans="3:10" x14ac:dyDescent="0.2">
      <c r="C5139" s="209"/>
      <c r="D5139" s="209"/>
      <c r="E5139" s="209"/>
      <c r="J5139" s="124"/>
    </row>
    <row r="5140" spans="3:10" x14ac:dyDescent="0.2">
      <c r="C5140" s="209"/>
      <c r="D5140" s="209"/>
      <c r="E5140" s="209"/>
      <c r="J5140" s="124"/>
    </row>
    <row r="5141" spans="3:10" x14ac:dyDescent="0.2">
      <c r="C5141" s="209"/>
      <c r="D5141" s="209"/>
      <c r="E5141" s="209"/>
      <c r="J5141" s="124"/>
    </row>
    <row r="5142" spans="3:10" x14ac:dyDescent="0.2">
      <c r="C5142" s="209"/>
      <c r="D5142" s="209"/>
      <c r="E5142" s="209"/>
      <c r="J5142" s="124"/>
    </row>
    <row r="5143" spans="3:10" x14ac:dyDescent="0.2">
      <c r="C5143" s="209"/>
      <c r="D5143" s="209"/>
      <c r="E5143" s="209"/>
      <c r="J5143" s="124"/>
    </row>
    <row r="5144" spans="3:10" x14ac:dyDescent="0.2">
      <c r="C5144" s="209"/>
      <c r="D5144" s="209"/>
      <c r="E5144" s="209"/>
      <c r="J5144" s="124"/>
    </row>
    <row r="5145" spans="3:10" x14ac:dyDescent="0.2">
      <c r="C5145" s="209"/>
      <c r="D5145" s="209"/>
      <c r="E5145" s="209"/>
      <c r="J5145" s="124"/>
    </row>
    <row r="5146" spans="3:10" x14ac:dyDescent="0.2">
      <c r="C5146" s="209"/>
      <c r="D5146" s="209"/>
      <c r="E5146" s="209"/>
      <c r="J5146" s="124"/>
    </row>
    <row r="5147" spans="3:10" x14ac:dyDescent="0.2">
      <c r="C5147" s="209"/>
      <c r="D5147" s="209"/>
      <c r="E5147" s="209"/>
      <c r="J5147" s="124"/>
    </row>
    <row r="5148" spans="3:10" x14ac:dyDescent="0.2">
      <c r="C5148" s="209"/>
      <c r="D5148" s="209"/>
      <c r="E5148" s="209"/>
      <c r="J5148" s="124"/>
    </row>
    <row r="5149" spans="3:10" x14ac:dyDescent="0.2">
      <c r="C5149" s="209"/>
      <c r="D5149" s="209"/>
      <c r="E5149" s="209"/>
      <c r="J5149" s="124"/>
    </row>
    <row r="5150" spans="3:10" x14ac:dyDescent="0.2">
      <c r="C5150" s="209"/>
      <c r="D5150" s="209"/>
      <c r="E5150" s="209"/>
      <c r="J5150" s="124"/>
    </row>
    <row r="5151" spans="3:10" x14ac:dyDescent="0.2">
      <c r="C5151" s="209"/>
      <c r="D5151" s="209"/>
      <c r="E5151" s="209"/>
      <c r="J5151" s="124"/>
    </row>
    <row r="5152" spans="3:10" x14ac:dyDescent="0.2">
      <c r="C5152" s="209"/>
      <c r="D5152" s="209"/>
      <c r="E5152" s="209"/>
      <c r="J5152" s="124"/>
    </row>
    <row r="5153" spans="3:10" x14ac:dyDescent="0.2">
      <c r="C5153" s="209"/>
      <c r="D5153" s="209"/>
      <c r="E5153" s="209"/>
      <c r="J5153" s="124"/>
    </row>
    <row r="5154" spans="3:10" x14ac:dyDescent="0.2">
      <c r="C5154" s="209"/>
      <c r="D5154" s="209"/>
      <c r="E5154" s="209"/>
      <c r="J5154" s="124"/>
    </row>
    <row r="5155" spans="3:10" x14ac:dyDescent="0.2">
      <c r="C5155" s="209"/>
      <c r="D5155" s="209"/>
      <c r="E5155" s="209"/>
      <c r="J5155" s="124"/>
    </row>
    <row r="5156" spans="3:10" x14ac:dyDescent="0.2">
      <c r="C5156" s="209"/>
      <c r="D5156" s="209"/>
      <c r="E5156" s="209"/>
      <c r="J5156" s="124"/>
    </row>
    <row r="5157" spans="3:10" x14ac:dyDescent="0.2">
      <c r="C5157" s="209"/>
      <c r="D5157" s="209"/>
      <c r="E5157" s="209"/>
      <c r="J5157" s="124"/>
    </row>
    <row r="5158" spans="3:10" x14ac:dyDescent="0.2">
      <c r="C5158" s="209"/>
      <c r="D5158" s="209"/>
      <c r="E5158" s="209"/>
      <c r="J5158" s="124"/>
    </row>
    <row r="5159" spans="3:10" x14ac:dyDescent="0.2">
      <c r="C5159" s="209"/>
      <c r="D5159" s="209"/>
      <c r="E5159" s="209"/>
      <c r="J5159" s="124"/>
    </row>
    <row r="5160" spans="3:10" x14ac:dyDescent="0.2">
      <c r="C5160" s="209"/>
      <c r="D5160" s="209"/>
      <c r="E5160" s="209"/>
      <c r="J5160" s="124"/>
    </row>
    <row r="5161" spans="3:10" x14ac:dyDescent="0.2">
      <c r="C5161" s="209"/>
      <c r="D5161" s="209"/>
      <c r="E5161" s="209"/>
      <c r="J5161" s="124"/>
    </row>
    <row r="5162" spans="3:10" x14ac:dyDescent="0.2">
      <c r="C5162" s="209"/>
      <c r="D5162" s="209"/>
      <c r="E5162" s="209"/>
      <c r="J5162" s="124"/>
    </row>
    <row r="5163" spans="3:10" x14ac:dyDescent="0.2">
      <c r="C5163" s="209"/>
      <c r="D5163" s="209"/>
      <c r="E5163" s="209"/>
      <c r="J5163" s="124"/>
    </row>
    <row r="5164" spans="3:10" x14ac:dyDescent="0.2">
      <c r="C5164" s="209"/>
      <c r="D5164" s="209"/>
      <c r="E5164" s="209"/>
      <c r="J5164" s="124"/>
    </row>
    <row r="5165" spans="3:10" x14ac:dyDescent="0.2">
      <c r="C5165" s="209"/>
      <c r="D5165" s="209"/>
      <c r="E5165" s="209"/>
      <c r="J5165" s="124"/>
    </row>
    <row r="5166" spans="3:10" x14ac:dyDescent="0.2">
      <c r="C5166" s="209"/>
      <c r="D5166" s="209"/>
      <c r="E5166" s="209"/>
      <c r="J5166" s="124"/>
    </row>
    <row r="5167" spans="3:10" x14ac:dyDescent="0.2">
      <c r="C5167" s="209"/>
      <c r="D5167" s="209"/>
      <c r="E5167" s="209"/>
      <c r="J5167" s="124"/>
    </row>
    <row r="5168" spans="3:10" x14ac:dyDescent="0.2">
      <c r="C5168" s="209"/>
      <c r="D5168" s="209"/>
      <c r="E5168" s="209"/>
      <c r="J5168" s="124"/>
    </row>
    <row r="5169" spans="3:10" x14ac:dyDescent="0.2">
      <c r="C5169" s="209"/>
      <c r="D5169" s="209"/>
      <c r="E5169" s="209"/>
      <c r="J5169" s="124"/>
    </row>
    <row r="5170" spans="3:10" x14ac:dyDescent="0.2">
      <c r="C5170" s="209"/>
      <c r="D5170" s="209"/>
      <c r="E5170" s="209"/>
      <c r="J5170" s="124"/>
    </row>
    <row r="5171" spans="3:10" x14ac:dyDescent="0.2">
      <c r="C5171" s="209"/>
      <c r="D5171" s="209"/>
      <c r="E5171" s="209"/>
      <c r="J5171" s="124"/>
    </row>
    <row r="5172" spans="3:10" x14ac:dyDescent="0.2">
      <c r="C5172" s="209"/>
      <c r="D5172" s="209"/>
      <c r="E5172" s="209"/>
      <c r="J5172" s="124"/>
    </row>
    <row r="5173" spans="3:10" x14ac:dyDescent="0.2">
      <c r="C5173" s="209"/>
      <c r="D5173" s="209"/>
      <c r="E5173" s="209"/>
      <c r="J5173" s="124"/>
    </row>
    <row r="5174" spans="3:10" x14ac:dyDescent="0.2">
      <c r="C5174" s="209"/>
      <c r="D5174" s="209"/>
      <c r="E5174" s="209"/>
      <c r="J5174" s="124"/>
    </row>
    <row r="5175" spans="3:10" x14ac:dyDescent="0.2">
      <c r="C5175" s="209"/>
      <c r="D5175" s="209"/>
      <c r="E5175" s="209"/>
      <c r="J5175" s="124"/>
    </row>
    <row r="5176" spans="3:10" x14ac:dyDescent="0.2">
      <c r="C5176" s="209"/>
      <c r="D5176" s="209"/>
      <c r="E5176" s="209"/>
      <c r="J5176" s="124"/>
    </row>
    <row r="5177" spans="3:10" x14ac:dyDescent="0.2">
      <c r="C5177" s="209"/>
      <c r="D5177" s="209"/>
      <c r="E5177" s="209"/>
      <c r="J5177" s="124"/>
    </row>
    <row r="5178" spans="3:10" x14ac:dyDescent="0.2">
      <c r="C5178" s="209"/>
      <c r="D5178" s="209"/>
      <c r="E5178" s="209"/>
      <c r="J5178" s="124"/>
    </row>
    <row r="5179" spans="3:10" x14ac:dyDescent="0.2">
      <c r="C5179" s="209"/>
      <c r="D5179" s="209"/>
      <c r="E5179" s="209"/>
      <c r="J5179" s="124"/>
    </row>
    <row r="5180" spans="3:10" x14ac:dyDescent="0.2">
      <c r="C5180" s="209"/>
      <c r="D5180" s="209"/>
      <c r="E5180" s="209"/>
      <c r="J5180" s="124"/>
    </row>
    <row r="5181" spans="3:10" x14ac:dyDescent="0.2">
      <c r="C5181" s="209"/>
      <c r="D5181" s="209"/>
      <c r="E5181" s="209"/>
      <c r="J5181" s="124"/>
    </row>
    <row r="5182" spans="3:10" x14ac:dyDescent="0.2">
      <c r="C5182" s="209"/>
      <c r="D5182" s="209"/>
      <c r="E5182" s="209"/>
      <c r="J5182" s="124"/>
    </row>
    <row r="5183" spans="3:10" x14ac:dyDescent="0.2">
      <c r="C5183" s="209"/>
      <c r="D5183" s="209"/>
      <c r="E5183" s="209"/>
      <c r="J5183" s="124"/>
    </row>
    <row r="5184" spans="3:10" x14ac:dyDescent="0.2">
      <c r="C5184" s="209"/>
      <c r="D5184" s="209"/>
      <c r="E5184" s="209"/>
      <c r="J5184" s="124"/>
    </row>
    <row r="5185" spans="3:10" x14ac:dyDescent="0.2">
      <c r="C5185" s="209"/>
      <c r="D5185" s="209"/>
      <c r="E5185" s="209"/>
      <c r="J5185" s="124"/>
    </row>
    <row r="5186" spans="3:10" x14ac:dyDescent="0.2">
      <c r="C5186" s="209"/>
      <c r="D5186" s="209"/>
      <c r="E5186" s="209"/>
      <c r="J5186" s="124"/>
    </row>
    <row r="5187" spans="3:10" x14ac:dyDescent="0.2">
      <c r="C5187" s="209"/>
      <c r="D5187" s="209"/>
      <c r="E5187" s="209"/>
      <c r="J5187" s="124"/>
    </row>
    <row r="5188" spans="3:10" x14ac:dyDescent="0.2">
      <c r="C5188" s="209"/>
      <c r="D5188" s="209"/>
      <c r="E5188" s="209"/>
      <c r="J5188" s="124"/>
    </row>
    <row r="5189" spans="3:10" x14ac:dyDescent="0.2">
      <c r="C5189" s="209"/>
      <c r="D5189" s="209"/>
      <c r="E5189" s="209"/>
      <c r="J5189" s="124"/>
    </row>
    <row r="5190" spans="3:10" x14ac:dyDescent="0.2">
      <c r="C5190" s="209"/>
      <c r="D5190" s="209"/>
      <c r="E5190" s="209"/>
      <c r="J5190" s="124"/>
    </row>
    <row r="5191" spans="3:10" x14ac:dyDescent="0.2">
      <c r="C5191" s="209"/>
      <c r="D5191" s="209"/>
      <c r="E5191" s="209"/>
      <c r="J5191" s="124"/>
    </row>
    <row r="5192" spans="3:10" x14ac:dyDescent="0.2">
      <c r="C5192" s="209"/>
      <c r="D5192" s="209"/>
      <c r="E5192" s="209"/>
      <c r="J5192" s="124"/>
    </row>
    <row r="5193" spans="3:10" x14ac:dyDescent="0.2">
      <c r="C5193" s="209"/>
      <c r="D5193" s="209"/>
      <c r="E5193" s="209"/>
      <c r="J5193" s="124"/>
    </row>
    <row r="5194" spans="3:10" x14ac:dyDescent="0.2">
      <c r="C5194" s="209"/>
      <c r="D5194" s="209"/>
      <c r="E5194" s="209"/>
      <c r="J5194" s="124"/>
    </row>
    <row r="5195" spans="3:10" x14ac:dyDescent="0.2">
      <c r="C5195" s="209"/>
      <c r="D5195" s="209"/>
      <c r="E5195" s="209"/>
      <c r="J5195" s="124"/>
    </row>
    <row r="5196" spans="3:10" x14ac:dyDescent="0.2">
      <c r="C5196" s="209"/>
      <c r="D5196" s="209"/>
      <c r="E5196" s="209"/>
      <c r="J5196" s="124"/>
    </row>
    <row r="5197" spans="3:10" x14ac:dyDescent="0.2">
      <c r="C5197" s="209"/>
      <c r="D5197" s="209"/>
      <c r="E5197" s="209"/>
      <c r="J5197" s="124"/>
    </row>
    <row r="5198" spans="3:10" x14ac:dyDescent="0.2">
      <c r="C5198" s="209"/>
      <c r="D5198" s="209"/>
      <c r="E5198" s="209"/>
      <c r="J5198" s="124"/>
    </row>
    <row r="5199" spans="3:10" x14ac:dyDescent="0.2">
      <c r="C5199" s="209"/>
      <c r="D5199" s="209"/>
      <c r="E5199" s="209"/>
      <c r="J5199" s="124"/>
    </row>
    <row r="5200" spans="3:10" x14ac:dyDescent="0.2">
      <c r="C5200" s="209"/>
      <c r="D5200" s="209"/>
      <c r="E5200" s="209"/>
      <c r="J5200" s="124"/>
    </row>
    <row r="5201" spans="3:10" x14ac:dyDescent="0.2">
      <c r="C5201" s="209"/>
      <c r="D5201" s="209"/>
      <c r="E5201" s="209"/>
      <c r="J5201" s="124"/>
    </row>
    <row r="5202" spans="3:10" x14ac:dyDescent="0.2">
      <c r="C5202" s="209"/>
      <c r="D5202" s="209"/>
      <c r="E5202" s="209"/>
      <c r="J5202" s="124"/>
    </row>
    <row r="5203" spans="3:10" x14ac:dyDescent="0.2">
      <c r="C5203" s="209"/>
      <c r="D5203" s="209"/>
      <c r="E5203" s="209"/>
      <c r="J5203" s="124"/>
    </row>
    <row r="5204" spans="3:10" x14ac:dyDescent="0.2">
      <c r="C5204" s="209"/>
      <c r="D5204" s="209"/>
      <c r="E5204" s="209"/>
      <c r="J5204" s="124"/>
    </row>
    <row r="5205" spans="3:10" x14ac:dyDescent="0.2">
      <c r="C5205" s="209"/>
      <c r="D5205" s="209"/>
      <c r="E5205" s="209"/>
      <c r="J5205" s="124"/>
    </row>
    <row r="5206" spans="3:10" x14ac:dyDescent="0.2">
      <c r="C5206" s="209"/>
      <c r="D5206" s="209"/>
      <c r="E5206" s="209"/>
      <c r="J5206" s="124"/>
    </row>
    <row r="5207" spans="3:10" x14ac:dyDescent="0.2">
      <c r="C5207" s="209"/>
      <c r="D5207" s="209"/>
      <c r="E5207" s="209"/>
      <c r="J5207" s="124"/>
    </row>
    <row r="5208" spans="3:10" x14ac:dyDescent="0.2">
      <c r="C5208" s="209"/>
      <c r="D5208" s="209"/>
      <c r="E5208" s="209"/>
      <c r="J5208" s="124"/>
    </row>
    <row r="5209" spans="3:10" x14ac:dyDescent="0.2">
      <c r="C5209" s="209"/>
      <c r="D5209" s="209"/>
      <c r="E5209" s="209"/>
      <c r="J5209" s="124"/>
    </row>
    <row r="5210" spans="3:10" x14ac:dyDescent="0.2">
      <c r="C5210" s="209"/>
      <c r="D5210" s="209"/>
      <c r="E5210" s="209"/>
      <c r="J5210" s="124"/>
    </row>
    <row r="5211" spans="3:10" x14ac:dyDescent="0.2">
      <c r="C5211" s="209"/>
      <c r="D5211" s="209"/>
      <c r="E5211" s="209"/>
      <c r="J5211" s="124"/>
    </row>
    <row r="5212" spans="3:10" x14ac:dyDescent="0.2">
      <c r="C5212" s="209"/>
      <c r="D5212" s="209"/>
      <c r="E5212" s="209"/>
      <c r="J5212" s="124"/>
    </row>
    <row r="5213" spans="3:10" x14ac:dyDescent="0.2">
      <c r="C5213" s="209"/>
      <c r="D5213" s="209"/>
      <c r="E5213" s="209"/>
      <c r="J5213" s="124"/>
    </row>
    <row r="5214" spans="3:10" x14ac:dyDescent="0.2">
      <c r="C5214" s="209"/>
      <c r="D5214" s="209"/>
      <c r="E5214" s="209"/>
      <c r="J5214" s="124"/>
    </row>
    <row r="5215" spans="3:10" x14ac:dyDescent="0.2">
      <c r="C5215" s="209"/>
      <c r="D5215" s="209"/>
      <c r="E5215" s="209"/>
      <c r="J5215" s="124"/>
    </row>
    <row r="5216" spans="3:10" x14ac:dyDescent="0.2">
      <c r="C5216" s="209"/>
      <c r="D5216" s="209"/>
      <c r="E5216" s="209"/>
      <c r="J5216" s="124"/>
    </row>
    <row r="5217" spans="3:10" x14ac:dyDescent="0.2">
      <c r="C5217" s="209"/>
      <c r="D5217" s="209"/>
      <c r="E5217" s="209"/>
      <c r="J5217" s="124"/>
    </row>
    <row r="5218" spans="3:10" x14ac:dyDescent="0.2">
      <c r="C5218" s="209"/>
      <c r="D5218" s="209"/>
      <c r="E5218" s="209"/>
      <c r="J5218" s="124"/>
    </row>
    <row r="5219" spans="3:10" x14ac:dyDescent="0.2">
      <c r="C5219" s="209"/>
      <c r="D5219" s="209"/>
      <c r="E5219" s="209"/>
      <c r="J5219" s="124"/>
    </row>
    <row r="5220" spans="3:10" x14ac:dyDescent="0.2">
      <c r="C5220" s="209"/>
      <c r="D5220" s="209"/>
      <c r="E5220" s="209"/>
      <c r="J5220" s="124"/>
    </row>
    <row r="5221" spans="3:10" x14ac:dyDescent="0.2">
      <c r="C5221" s="209"/>
      <c r="D5221" s="209"/>
      <c r="E5221" s="209"/>
      <c r="J5221" s="124"/>
    </row>
    <row r="5222" spans="3:10" x14ac:dyDescent="0.2">
      <c r="C5222" s="209"/>
      <c r="D5222" s="209"/>
      <c r="E5222" s="209"/>
      <c r="J5222" s="124"/>
    </row>
    <row r="5223" spans="3:10" x14ac:dyDescent="0.2">
      <c r="C5223" s="209"/>
      <c r="D5223" s="209"/>
      <c r="E5223" s="209"/>
      <c r="J5223" s="124"/>
    </row>
    <row r="5224" spans="3:10" x14ac:dyDescent="0.2">
      <c r="C5224" s="209"/>
      <c r="D5224" s="209"/>
      <c r="E5224" s="209"/>
      <c r="J5224" s="124"/>
    </row>
    <row r="5225" spans="3:10" x14ac:dyDescent="0.2">
      <c r="C5225" s="209"/>
      <c r="D5225" s="209"/>
      <c r="E5225" s="209"/>
      <c r="J5225" s="124"/>
    </row>
    <row r="5226" spans="3:10" x14ac:dyDescent="0.2">
      <c r="C5226" s="209"/>
      <c r="D5226" s="209"/>
      <c r="E5226" s="209"/>
      <c r="J5226" s="124"/>
    </row>
    <row r="5227" spans="3:10" x14ac:dyDescent="0.2">
      <c r="C5227" s="209"/>
      <c r="D5227" s="209"/>
      <c r="E5227" s="209"/>
      <c r="J5227" s="124"/>
    </row>
    <row r="5228" spans="3:10" x14ac:dyDescent="0.2">
      <c r="C5228" s="209"/>
      <c r="D5228" s="209"/>
      <c r="E5228" s="209"/>
      <c r="J5228" s="124"/>
    </row>
    <row r="5229" spans="3:10" x14ac:dyDescent="0.2">
      <c r="C5229" s="209"/>
      <c r="D5229" s="209"/>
      <c r="E5229" s="209"/>
      <c r="J5229" s="124"/>
    </row>
    <row r="5230" spans="3:10" x14ac:dyDescent="0.2">
      <c r="C5230" s="209"/>
      <c r="D5230" s="209"/>
      <c r="E5230" s="209"/>
      <c r="J5230" s="124"/>
    </row>
    <row r="5231" spans="3:10" x14ac:dyDescent="0.2">
      <c r="C5231" s="209"/>
      <c r="D5231" s="209"/>
      <c r="E5231" s="209"/>
      <c r="J5231" s="124"/>
    </row>
    <row r="5232" spans="3:10" x14ac:dyDescent="0.2">
      <c r="C5232" s="209"/>
      <c r="D5232" s="209"/>
      <c r="E5232" s="209"/>
      <c r="J5232" s="124"/>
    </row>
    <row r="5233" spans="3:10" x14ac:dyDescent="0.2">
      <c r="C5233" s="209"/>
      <c r="D5233" s="209"/>
      <c r="E5233" s="209"/>
      <c r="J5233" s="124"/>
    </row>
    <row r="5234" spans="3:10" x14ac:dyDescent="0.2">
      <c r="C5234" s="209"/>
      <c r="D5234" s="209"/>
      <c r="E5234" s="209"/>
      <c r="J5234" s="124"/>
    </row>
    <row r="5235" spans="3:10" x14ac:dyDescent="0.2">
      <c r="C5235" s="209"/>
      <c r="D5235" s="209"/>
      <c r="E5235" s="209"/>
      <c r="J5235" s="124"/>
    </row>
    <row r="5236" spans="3:10" x14ac:dyDescent="0.2">
      <c r="C5236" s="209"/>
      <c r="D5236" s="209"/>
      <c r="E5236" s="209"/>
      <c r="J5236" s="124"/>
    </row>
    <row r="5237" spans="3:10" x14ac:dyDescent="0.2">
      <c r="C5237" s="209"/>
      <c r="D5237" s="209"/>
      <c r="E5237" s="209"/>
      <c r="J5237" s="124"/>
    </row>
    <row r="5238" spans="3:10" x14ac:dyDescent="0.2">
      <c r="C5238" s="209"/>
      <c r="D5238" s="209"/>
      <c r="E5238" s="209"/>
      <c r="J5238" s="124"/>
    </row>
    <row r="5239" spans="3:10" x14ac:dyDescent="0.2">
      <c r="C5239" s="209"/>
      <c r="D5239" s="209"/>
      <c r="E5239" s="209"/>
      <c r="J5239" s="124"/>
    </row>
    <row r="5240" spans="3:10" x14ac:dyDescent="0.2">
      <c r="C5240" s="209"/>
      <c r="D5240" s="209"/>
      <c r="E5240" s="209"/>
      <c r="J5240" s="124"/>
    </row>
    <row r="5241" spans="3:10" x14ac:dyDescent="0.2">
      <c r="C5241" s="209"/>
      <c r="D5241" s="209"/>
      <c r="E5241" s="209"/>
      <c r="J5241" s="124"/>
    </row>
    <row r="5242" spans="3:10" x14ac:dyDescent="0.2">
      <c r="C5242" s="209"/>
      <c r="D5242" s="209"/>
      <c r="E5242" s="209"/>
      <c r="J5242" s="124"/>
    </row>
    <row r="5243" spans="3:10" x14ac:dyDescent="0.2">
      <c r="C5243" s="209"/>
      <c r="D5243" s="209"/>
      <c r="E5243" s="209"/>
      <c r="J5243" s="124"/>
    </row>
    <row r="5244" spans="3:10" x14ac:dyDescent="0.2">
      <c r="C5244" s="209"/>
      <c r="D5244" s="209"/>
      <c r="E5244" s="209"/>
      <c r="J5244" s="124"/>
    </row>
    <row r="5245" spans="3:10" x14ac:dyDescent="0.2">
      <c r="C5245" s="209"/>
      <c r="D5245" s="209"/>
      <c r="E5245" s="209"/>
      <c r="J5245" s="124"/>
    </row>
    <row r="5246" spans="3:10" x14ac:dyDescent="0.2">
      <c r="C5246" s="209"/>
      <c r="D5246" s="209"/>
      <c r="E5246" s="209"/>
      <c r="J5246" s="124"/>
    </row>
    <row r="5247" spans="3:10" x14ac:dyDescent="0.2">
      <c r="C5247" s="209"/>
      <c r="D5247" s="209"/>
      <c r="E5247" s="209"/>
      <c r="J5247" s="124"/>
    </row>
    <row r="5248" spans="3:10" x14ac:dyDescent="0.2">
      <c r="C5248" s="209"/>
      <c r="D5248" s="209"/>
      <c r="E5248" s="209"/>
      <c r="J5248" s="124"/>
    </row>
    <row r="5249" spans="3:10" x14ac:dyDescent="0.2">
      <c r="C5249" s="209"/>
      <c r="D5249" s="209"/>
      <c r="E5249" s="209"/>
      <c r="J5249" s="124"/>
    </row>
    <row r="5250" spans="3:10" x14ac:dyDescent="0.2">
      <c r="C5250" s="209"/>
      <c r="D5250" s="209"/>
      <c r="E5250" s="209"/>
      <c r="J5250" s="124"/>
    </row>
    <row r="5251" spans="3:10" x14ac:dyDescent="0.2">
      <c r="C5251" s="209"/>
      <c r="D5251" s="209"/>
      <c r="E5251" s="209"/>
      <c r="J5251" s="124"/>
    </row>
    <row r="5252" spans="3:10" x14ac:dyDescent="0.2">
      <c r="C5252" s="209"/>
      <c r="D5252" s="209"/>
      <c r="E5252" s="209"/>
      <c r="J5252" s="124"/>
    </row>
    <row r="5253" spans="3:10" x14ac:dyDescent="0.2">
      <c r="C5253" s="209"/>
      <c r="D5253" s="209"/>
      <c r="E5253" s="209"/>
      <c r="J5253" s="124"/>
    </row>
    <row r="5254" spans="3:10" x14ac:dyDescent="0.2">
      <c r="C5254" s="209"/>
      <c r="D5254" s="209"/>
      <c r="E5254" s="209"/>
      <c r="J5254" s="124"/>
    </row>
    <row r="5255" spans="3:10" x14ac:dyDescent="0.2">
      <c r="C5255" s="209"/>
      <c r="D5255" s="209"/>
      <c r="E5255" s="209"/>
      <c r="J5255" s="124"/>
    </row>
    <row r="5256" spans="3:10" x14ac:dyDescent="0.2">
      <c r="C5256" s="209"/>
      <c r="D5256" s="209"/>
      <c r="E5256" s="209"/>
      <c r="J5256" s="124"/>
    </row>
    <row r="5257" spans="3:10" x14ac:dyDescent="0.2">
      <c r="C5257" s="209"/>
      <c r="D5257" s="209"/>
      <c r="E5257" s="209"/>
      <c r="J5257" s="124"/>
    </row>
    <row r="5258" spans="3:10" x14ac:dyDescent="0.2">
      <c r="C5258" s="209"/>
      <c r="D5258" s="209"/>
      <c r="E5258" s="209"/>
      <c r="J5258" s="124"/>
    </row>
    <row r="5259" spans="3:10" x14ac:dyDescent="0.2">
      <c r="C5259" s="209"/>
      <c r="D5259" s="209"/>
      <c r="E5259" s="209"/>
      <c r="J5259" s="124"/>
    </row>
    <row r="5260" spans="3:10" x14ac:dyDescent="0.2">
      <c r="C5260" s="209"/>
      <c r="D5260" s="209"/>
      <c r="E5260" s="209"/>
      <c r="J5260" s="124"/>
    </row>
    <row r="5261" spans="3:10" x14ac:dyDescent="0.2">
      <c r="C5261" s="209"/>
      <c r="D5261" s="209"/>
      <c r="E5261" s="209"/>
      <c r="J5261" s="124"/>
    </row>
    <row r="5262" spans="3:10" x14ac:dyDescent="0.2">
      <c r="C5262" s="209"/>
      <c r="D5262" s="209"/>
      <c r="E5262" s="209"/>
      <c r="J5262" s="124"/>
    </row>
    <row r="5263" spans="3:10" x14ac:dyDescent="0.2">
      <c r="C5263" s="209"/>
      <c r="D5263" s="209"/>
      <c r="E5263" s="209"/>
      <c r="J5263" s="124"/>
    </row>
    <row r="5264" spans="3:10" x14ac:dyDescent="0.2">
      <c r="C5264" s="209"/>
      <c r="D5264" s="209"/>
      <c r="E5264" s="209"/>
      <c r="J5264" s="124"/>
    </row>
    <row r="5265" spans="3:10" x14ac:dyDescent="0.2">
      <c r="C5265" s="209"/>
      <c r="D5265" s="209"/>
      <c r="E5265" s="209"/>
      <c r="J5265" s="124"/>
    </row>
    <row r="5266" spans="3:10" x14ac:dyDescent="0.2">
      <c r="C5266" s="209"/>
      <c r="D5266" s="209"/>
      <c r="E5266" s="209"/>
      <c r="J5266" s="124"/>
    </row>
    <row r="5267" spans="3:10" x14ac:dyDescent="0.2">
      <c r="C5267" s="209"/>
      <c r="D5267" s="209"/>
      <c r="E5267" s="209"/>
      <c r="J5267" s="124"/>
    </row>
    <row r="5268" spans="3:10" x14ac:dyDescent="0.2">
      <c r="C5268" s="209"/>
      <c r="D5268" s="209"/>
      <c r="E5268" s="209"/>
      <c r="J5268" s="124"/>
    </row>
    <row r="5269" spans="3:10" x14ac:dyDescent="0.2">
      <c r="C5269" s="209"/>
      <c r="D5269" s="209"/>
      <c r="E5269" s="209"/>
      <c r="J5269" s="124"/>
    </row>
    <row r="5270" spans="3:10" x14ac:dyDescent="0.2">
      <c r="C5270" s="209"/>
      <c r="D5270" s="209"/>
      <c r="E5270" s="209"/>
      <c r="J5270" s="124"/>
    </row>
    <row r="5271" spans="3:10" x14ac:dyDescent="0.2">
      <c r="C5271" s="209"/>
      <c r="D5271" s="209"/>
      <c r="E5271" s="209"/>
      <c r="J5271" s="124"/>
    </row>
    <row r="5272" spans="3:10" x14ac:dyDescent="0.2">
      <c r="C5272" s="209"/>
      <c r="D5272" s="209"/>
      <c r="E5272" s="209"/>
      <c r="J5272" s="124"/>
    </row>
    <row r="5273" spans="3:10" x14ac:dyDescent="0.2">
      <c r="C5273" s="209"/>
      <c r="D5273" s="209"/>
      <c r="E5273" s="209"/>
      <c r="J5273" s="124"/>
    </row>
    <row r="5274" spans="3:10" x14ac:dyDescent="0.2">
      <c r="C5274" s="209"/>
      <c r="D5274" s="209"/>
      <c r="E5274" s="209"/>
      <c r="J5274" s="124"/>
    </row>
    <row r="5275" spans="3:10" x14ac:dyDescent="0.2">
      <c r="C5275" s="209"/>
      <c r="D5275" s="209"/>
      <c r="E5275" s="209"/>
      <c r="J5275" s="124"/>
    </row>
    <row r="5276" spans="3:10" x14ac:dyDescent="0.2">
      <c r="C5276" s="209"/>
      <c r="D5276" s="209"/>
      <c r="E5276" s="209"/>
      <c r="J5276" s="124"/>
    </row>
    <row r="5277" spans="3:10" x14ac:dyDescent="0.2">
      <c r="C5277" s="209"/>
      <c r="D5277" s="209"/>
      <c r="E5277" s="209"/>
      <c r="J5277" s="124"/>
    </row>
    <row r="5278" spans="3:10" x14ac:dyDescent="0.2">
      <c r="C5278" s="209"/>
      <c r="D5278" s="209"/>
      <c r="E5278" s="209"/>
      <c r="J5278" s="124"/>
    </row>
    <row r="5279" spans="3:10" x14ac:dyDescent="0.2">
      <c r="C5279" s="209"/>
      <c r="D5279" s="209"/>
      <c r="E5279" s="209"/>
      <c r="J5279" s="124"/>
    </row>
    <row r="5280" spans="3:10" x14ac:dyDescent="0.2">
      <c r="C5280" s="209"/>
      <c r="D5280" s="209"/>
      <c r="E5280" s="209"/>
      <c r="J5280" s="124"/>
    </row>
    <row r="5281" spans="3:10" x14ac:dyDescent="0.2">
      <c r="C5281" s="209"/>
      <c r="D5281" s="209"/>
      <c r="E5281" s="209"/>
      <c r="J5281" s="124"/>
    </row>
    <row r="5282" spans="3:10" x14ac:dyDescent="0.2">
      <c r="C5282" s="209"/>
      <c r="D5282" s="209"/>
      <c r="E5282" s="209"/>
      <c r="J5282" s="124"/>
    </row>
    <row r="5283" spans="3:10" x14ac:dyDescent="0.2">
      <c r="C5283" s="209"/>
      <c r="D5283" s="209"/>
      <c r="E5283" s="209"/>
      <c r="J5283" s="124"/>
    </row>
    <row r="5284" spans="3:10" x14ac:dyDescent="0.2">
      <c r="C5284" s="209"/>
      <c r="D5284" s="209"/>
      <c r="E5284" s="209"/>
      <c r="J5284" s="124"/>
    </row>
    <row r="5285" spans="3:10" x14ac:dyDescent="0.2">
      <c r="C5285" s="209"/>
      <c r="D5285" s="209"/>
      <c r="E5285" s="209"/>
      <c r="J5285" s="124"/>
    </row>
    <row r="5286" spans="3:10" x14ac:dyDescent="0.2">
      <c r="C5286" s="209"/>
      <c r="D5286" s="209"/>
      <c r="E5286" s="209"/>
      <c r="J5286" s="124"/>
    </row>
    <row r="5287" spans="3:10" x14ac:dyDescent="0.2">
      <c r="C5287" s="209"/>
      <c r="D5287" s="209"/>
      <c r="E5287" s="209"/>
      <c r="J5287" s="124"/>
    </row>
    <row r="5288" spans="3:10" x14ac:dyDescent="0.2">
      <c r="C5288" s="209"/>
      <c r="D5288" s="209"/>
      <c r="E5288" s="209"/>
      <c r="J5288" s="124"/>
    </row>
    <row r="5289" spans="3:10" x14ac:dyDescent="0.2">
      <c r="C5289" s="209"/>
      <c r="D5289" s="209"/>
      <c r="E5289" s="209"/>
      <c r="J5289" s="124"/>
    </row>
    <row r="5290" spans="3:10" x14ac:dyDescent="0.2">
      <c r="C5290" s="209"/>
      <c r="D5290" s="209"/>
      <c r="E5290" s="209"/>
      <c r="J5290" s="124"/>
    </row>
    <row r="5291" spans="3:10" x14ac:dyDescent="0.2">
      <c r="C5291" s="209"/>
      <c r="D5291" s="209"/>
      <c r="E5291" s="209"/>
      <c r="J5291" s="124"/>
    </row>
    <row r="5292" spans="3:10" x14ac:dyDescent="0.2">
      <c r="C5292" s="209"/>
      <c r="D5292" s="209"/>
      <c r="E5292" s="209"/>
      <c r="J5292" s="124"/>
    </row>
    <row r="5293" spans="3:10" x14ac:dyDescent="0.2">
      <c r="C5293" s="209"/>
      <c r="D5293" s="209"/>
      <c r="E5293" s="209"/>
      <c r="J5293" s="124"/>
    </row>
    <row r="5294" spans="3:10" x14ac:dyDescent="0.2">
      <c r="C5294" s="209"/>
      <c r="D5294" s="209"/>
      <c r="E5294" s="209"/>
      <c r="J5294" s="124"/>
    </row>
    <row r="5295" spans="3:10" x14ac:dyDescent="0.2">
      <c r="C5295" s="209"/>
      <c r="D5295" s="209"/>
      <c r="E5295" s="209"/>
      <c r="J5295" s="124"/>
    </row>
    <row r="5296" spans="3:10" x14ac:dyDescent="0.2">
      <c r="C5296" s="209"/>
      <c r="D5296" s="209"/>
      <c r="E5296" s="209"/>
      <c r="J5296" s="124"/>
    </row>
    <row r="5297" spans="3:10" x14ac:dyDescent="0.2">
      <c r="C5297" s="209"/>
      <c r="D5297" s="209"/>
      <c r="E5297" s="209"/>
      <c r="J5297" s="124"/>
    </row>
    <row r="5298" spans="3:10" x14ac:dyDescent="0.2">
      <c r="C5298" s="209"/>
      <c r="D5298" s="209"/>
      <c r="E5298" s="209"/>
      <c r="J5298" s="124"/>
    </row>
    <row r="5299" spans="3:10" x14ac:dyDescent="0.2">
      <c r="C5299" s="209"/>
      <c r="D5299" s="209"/>
      <c r="E5299" s="209"/>
      <c r="J5299" s="124"/>
    </row>
    <row r="5300" spans="3:10" x14ac:dyDescent="0.2">
      <c r="C5300" s="209"/>
      <c r="D5300" s="209"/>
      <c r="E5300" s="209"/>
      <c r="J5300" s="124"/>
    </row>
    <row r="5301" spans="3:10" x14ac:dyDescent="0.2">
      <c r="C5301" s="209"/>
      <c r="D5301" s="209"/>
      <c r="E5301" s="209"/>
      <c r="J5301" s="124"/>
    </row>
    <row r="5302" spans="3:10" x14ac:dyDescent="0.2">
      <c r="C5302" s="209"/>
      <c r="D5302" s="209"/>
      <c r="E5302" s="209"/>
      <c r="J5302" s="124"/>
    </row>
    <row r="5303" spans="3:10" x14ac:dyDescent="0.2">
      <c r="C5303" s="209"/>
      <c r="D5303" s="209"/>
      <c r="E5303" s="209"/>
      <c r="J5303" s="124"/>
    </row>
    <row r="5304" spans="3:10" x14ac:dyDescent="0.2">
      <c r="C5304" s="209"/>
      <c r="D5304" s="209"/>
      <c r="E5304" s="209"/>
      <c r="J5304" s="124"/>
    </row>
    <row r="5305" spans="3:10" x14ac:dyDescent="0.2">
      <c r="C5305" s="209"/>
      <c r="D5305" s="209"/>
      <c r="E5305" s="209"/>
      <c r="J5305" s="124"/>
    </row>
    <row r="5306" spans="3:10" x14ac:dyDescent="0.2">
      <c r="C5306" s="209"/>
      <c r="D5306" s="209"/>
      <c r="E5306" s="209"/>
      <c r="J5306" s="124"/>
    </row>
    <row r="5307" spans="3:10" x14ac:dyDescent="0.2">
      <c r="C5307" s="209"/>
      <c r="D5307" s="209"/>
      <c r="E5307" s="209"/>
      <c r="J5307" s="124"/>
    </row>
    <row r="5308" spans="3:10" x14ac:dyDescent="0.2">
      <c r="C5308" s="209"/>
      <c r="D5308" s="209"/>
      <c r="E5308" s="209"/>
      <c r="J5308" s="124"/>
    </row>
    <row r="5309" spans="3:10" x14ac:dyDescent="0.2">
      <c r="C5309" s="209"/>
      <c r="D5309" s="209"/>
      <c r="E5309" s="209"/>
      <c r="J5309" s="124"/>
    </row>
    <row r="5310" spans="3:10" x14ac:dyDescent="0.2">
      <c r="C5310" s="209"/>
      <c r="D5310" s="209"/>
      <c r="E5310" s="209"/>
      <c r="J5310" s="124"/>
    </row>
    <row r="5311" spans="3:10" x14ac:dyDescent="0.2">
      <c r="C5311" s="209"/>
      <c r="D5311" s="209"/>
      <c r="E5311" s="209"/>
      <c r="J5311" s="124"/>
    </row>
    <row r="5312" spans="3:10" x14ac:dyDescent="0.2">
      <c r="C5312" s="209"/>
      <c r="D5312" s="209"/>
      <c r="E5312" s="209"/>
      <c r="J5312" s="124"/>
    </row>
    <row r="5313" spans="3:10" x14ac:dyDescent="0.2">
      <c r="C5313" s="209"/>
      <c r="D5313" s="209"/>
      <c r="E5313" s="209"/>
      <c r="J5313" s="124"/>
    </row>
    <row r="5314" spans="3:10" x14ac:dyDescent="0.2">
      <c r="C5314" s="209"/>
      <c r="D5314" s="209"/>
      <c r="E5314" s="209"/>
      <c r="J5314" s="124"/>
    </row>
    <row r="5315" spans="3:10" x14ac:dyDescent="0.2">
      <c r="C5315" s="209"/>
      <c r="D5315" s="209"/>
      <c r="E5315" s="209"/>
      <c r="J5315" s="124"/>
    </row>
    <row r="5316" spans="3:10" x14ac:dyDescent="0.2">
      <c r="C5316" s="209"/>
      <c r="D5316" s="209"/>
      <c r="E5316" s="209"/>
      <c r="J5316" s="124"/>
    </row>
    <row r="5317" spans="3:10" x14ac:dyDescent="0.2">
      <c r="C5317" s="209"/>
      <c r="D5317" s="209"/>
      <c r="E5317" s="209"/>
      <c r="J5317" s="124"/>
    </row>
    <row r="5318" spans="3:10" x14ac:dyDescent="0.2">
      <c r="C5318" s="209"/>
      <c r="D5318" s="209"/>
      <c r="E5318" s="209"/>
      <c r="J5318" s="124"/>
    </row>
    <row r="5319" spans="3:10" x14ac:dyDescent="0.2">
      <c r="C5319" s="209"/>
      <c r="D5319" s="209"/>
      <c r="E5319" s="209"/>
      <c r="J5319" s="124"/>
    </row>
    <row r="5320" spans="3:10" x14ac:dyDescent="0.2">
      <c r="C5320" s="209"/>
      <c r="D5320" s="209"/>
      <c r="E5320" s="209"/>
      <c r="J5320" s="124"/>
    </row>
    <row r="5321" spans="3:10" x14ac:dyDescent="0.2">
      <c r="C5321" s="209"/>
      <c r="D5321" s="209"/>
      <c r="E5321" s="209"/>
      <c r="J5321" s="124"/>
    </row>
    <row r="5322" spans="3:10" x14ac:dyDescent="0.2">
      <c r="C5322" s="209"/>
      <c r="D5322" s="209"/>
      <c r="E5322" s="209"/>
      <c r="J5322" s="124"/>
    </row>
    <row r="5323" spans="3:10" x14ac:dyDescent="0.2">
      <c r="C5323" s="209"/>
      <c r="D5323" s="209"/>
      <c r="E5323" s="209"/>
      <c r="J5323" s="124"/>
    </row>
    <row r="5324" spans="3:10" x14ac:dyDescent="0.2">
      <c r="C5324" s="209"/>
      <c r="D5324" s="209"/>
      <c r="E5324" s="209"/>
      <c r="J5324" s="124"/>
    </row>
    <row r="5325" spans="3:10" x14ac:dyDescent="0.2">
      <c r="C5325" s="209"/>
      <c r="D5325" s="209"/>
      <c r="E5325" s="209"/>
      <c r="J5325" s="124"/>
    </row>
    <row r="5326" spans="3:10" x14ac:dyDescent="0.2">
      <c r="C5326" s="209"/>
      <c r="D5326" s="209"/>
      <c r="E5326" s="209"/>
      <c r="J5326" s="124"/>
    </row>
    <row r="5327" spans="3:10" x14ac:dyDescent="0.2">
      <c r="C5327" s="209"/>
      <c r="D5327" s="209"/>
      <c r="E5327" s="209"/>
      <c r="J5327" s="124"/>
    </row>
    <row r="5328" spans="3:10" x14ac:dyDescent="0.2">
      <c r="C5328" s="209"/>
      <c r="D5328" s="209"/>
      <c r="E5328" s="209"/>
      <c r="J5328" s="124"/>
    </row>
    <row r="5329" spans="3:10" x14ac:dyDescent="0.2">
      <c r="C5329" s="209"/>
      <c r="D5329" s="209"/>
      <c r="E5329" s="209"/>
      <c r="J5329" s="124"/>
    </row>
    <row r="5330" spans="3:10" x14ac:dyDescent="0.2">
      <c r="C5330" s="209"/>
      <c r="D5330" s="209"/>
      <c r="E5330" s="209"/>
      <c r="J5330" s="124"/>
    </row>
    <row r="5331" spans="3:10" x14ac:dyDescent="0.2">
      <c r="C5331" s="209"/>
      <c r="D5331" s="209"/>
      <c r="E5331" s="209"/>
      <c r="J5331" s="124"/>
    </row>
    <row r="5332" spans="3:10" x14ac:dyDescent="0.2">
      <c r="C5332" s="209"/>
      <c r="D5332" s="209"/>
      <c r="E5332" s="209"/>
      <c r="J5332" s="124"/>
    </row>
    <row r="5333" spans="3:10" x14ac:dyDescent="0.2">
      <c r="C5333" s="209"/>
      <c r="D5333" s="209"/>
      <c r="E5333" s="209"/>
      <c r="J5333" s="124"/>
    </row>
    <row r="5334" spans="3:10" x14ac:dyDescent="0.2">
      <c r="C5334" s="209"/>
      <c r="D5334" s="209"/>
      <c r="E5334" s="209"/>
      <c r="J5334" s="124"/>
    </row>
    <row r="5335" spans="3:10" x14ac:dyDescent="0.2">
      <c r="C5335" s="209"/>
      <c r="D5335" s="209"/>
      <c r="E5335" s="209"/>
      <c r="J5335" s="124"/>
    </row>
    <row r="5336" spans="3:10" x14ac:dyDescent="0.2">
      <c r="C5336" s="209"/>
      <c r="D5336" s="209"/>
      <c r="E5336" s="209"/>
      <c r="J5336" s="124"/>
    </row>
    <row r="5337" spans="3:10" x14ac:dyDescent="0.2">
      <c r="C5337" s="209"/>
      <c r="D5337" s="209"/>
      <c r="E5337" s="209"/>
      <c r="J5337" s="124"/>
    </row>
    <row r="5338" spans="3:10" x14ac:dyDescent="0.2">
      <c r="C5338" s="209"/>
      <c r="D5338" s="209"/>
      <c r="E5338" s="209"/>
      <c r="J5338" s="124"/>
    </row>
    <row r="5339" spans="3:10" x14ac:dyDescent="0.2">
      <c r="C5339" s="209"/>
      <c r="D5339" s="209"/>
      <c r="E5339" s="209"/>
      <c r="J5339" s="124"/>
    </row>
    <row r="5340" spans="3:10" x14ac:dyDescent="0.2">
      <c r="C5340" s="209"/>
      <c r="D5340" s="209"/>
      <c r="E5340" s="209"/>
      <c r="J5340" s="124"/>
    </row>
    <row r="5341" spans="3:10" x14ac:dyDescent="0.2">
      <c r="C5341" s="209"/>
      <c r="D5341" s="209"/>
      <c r="E5341" s="209"/>
      <c r="J5341" s="124"/>
    </row>
    <row r="5342" spans="3:10" x14ac:dyDescent="0.2">
      <c r="C5342" s="209"/>
      <c r="D5342" s="209"/>
      <c r="E5342" s="209"/>
      <c r="J5342" s="124"/>
    </row>
    <row r="5343" spans="3:10" x14ac:dyDescent="0.2">
      <c r="C5343" s="209"/>
      <c r="D5343" s="209"/>
      <c r="E5343" s="209"/>
      <c r="J5343" s="124"/>
    </row>
    <row r="5344" spans="3:10" x14ac:dyDescent="0.2">
      <c r="C5344" s="209"/>
      <c r="D5344" s="209"/>
      <c r="E5344" s="209"/>
      <c r="J5344" s="124"/>
    </row>
    <row r="5345" spans="3:10" x14ac:dyDescent="0.2">
      <c r="C5345" s="209"/>
      <c r="D5345" s="209"/>
      <c r="E5345" s="209"/>
      <c r="J5345" s="124"/>
    </row>
    <row r="5346" spans="3:10" x14ac:dyDescent="0.2">
      <c r="C5346" s="209"/>
      <c r="D5346" s="209"/>
      <c r="E5346" s="209"/>
      <c r="J5346" s="124"/>
    </row>
    <row r="5347" spans="3:10" x14ac:dyDescent="0.2">
      <c r="C5347" s="209"/>
      <c r="D5347" s="209"/>
      <c r="E5347" s="209"/>
      <c r="J5347" s="124"/>
    </row>
    <row r="5348" spans="3:10" x14ac:dyDescent="0.2">
      <c r="C5348" s="209"/>
      <c r="D5348" s="209"/>
      <c r="E5348" s="209"/>
      <c r="J5348" s="124"/>
    </row>
    <row r="5349" spans="3:10" x14ac:dyDescent="0.2">
      <c r="C5349" s="209"/>
      <c r="D5349" s="209"/>
      <c r="E5349" s="209"/>
      <c r="J5349" s="124"/>
    </row>
    <row r="5350" spans="3:10" x14ac:dyDescent="0.2">
      <c r="C5350" s="209"/>
      <c r="D5350" s="209"/>
      <c r="E5350" s="209"/>
      <c r="J5350" s="124"/>
    </row>
    <row r="5351" spans="3:10" x14ac:dyDescent="0.2">
      <c r="C5351" s="209"/>
      <c r="D5351" s="209"/>
      <c r="E5351" s="209"/>
      <c r="J5351" s="124"/>
    </row>
    <row r="5352" spans="3:10" x14ac:dyDescent="0.2">
      <c r="C5352" s="209"/>
      <c r="D5352" s="209"/>
      <c r="E5352" s="209"/>
      <c r="J5352" s="124"/>
    </row>
    <row r="5353" spans="3:10" x14ac:dyDescent="0.2">
      <c r="C5353" s="209"/>
      <c r="D5353" s="209"/>
      <c r="E5353" s="209"/>
      <c r="J5353" s="124"/>
    </row>
    <row r="5354" spans="3:10" x14ac:dyDescent="0.2">
      <c r="C5354" s="209"/>
      <c r="D5354" s="209"/>
      <c r="E5354" s="209"/>
      <c r="J5354" s="124"/>
    </row>
    <row r="5355" spans="3:10" x14ac:dyDescent="0.2">
      <c r="C5355" s="209"/>
      <c r="D5355" s="209"/>
      <c r="E5355" s="209"/>
      <c r="J5355" s="124"/>
    </row>
    <row r="5356" spans="3:10" x14ac:dyDescent="0.2">
      <c r="C5356" s="209"/>
      <c r="D5356" s="209"/>
      <c r="E5356" s="209"/>
      <c r="J5356" s="124"/>
    </row>
    <row r="5357" spans="3:10" x14ac:dyDescent="0.2">
      <c r="C5357" s="209"/>
      <c r="D5357" s="209"/>
      <c r="E5357" s="209"/>
      <c r="J5357" s="124"/>
    </row>
    <row r="5358" spans="3:10" x14ac:dyDescent="0.2">
      <c r="C5358" s="209"/>
      <c r="D5358" s="209"/>
      <c r="E5358" s="209"/>
      <c r="J5358" s="124"/>
    </row>
    <row r="5359" spans="3:10" x14ac:dyDescent="0.2">
      <c r="C5359" s="209"/>
      <c r="D5359" s="209"/>
      <c r="E5359" s="209"/>
      <c r="J5359" s="124"/>
    </row>
    <row r="5360" spans="3:10" x14ac:dyDescent="0.2">
      <c r="C5360" s="209"/>
      <c r="D5360" s="209"/>
      <c r="E5360" s="209"/>
      <c r="J5360" s="124"/>
    </row>
    <row r="5361" spans="3:10" x14ac:dyDescent="0.2">
      <c r="C5361" s="209"/>
      <c r="D5361" s="209"/>
      <c r="E5361" s="209"/>
      <c r="J5361" s="124"/>
    </row>
    <row r="5362" spans="3:10" x14ac:dyDescent="0.2">
      <c r="C5362" s="209"/>
      <c r="D5362" s="209"/>
      <c r="E5362" s="209"/>
      <c r="J5362" s="124"/>
    </row>
    <row r="5363" spans="3:10" x14ac:dyDescent="0.2">
      <c r="C5363" s="209"/>
      <c r="D5363" s="209"/>
      <c r="E5363" s="209"/>
      <c r="J5363" s="124"/>
    </row>
    <row r="5364" spans="3:10" x14ac:dyDescent="0.2">
      <c r="C5364" s="209"/>
      <c r="D5364" s="209"/>
      <c r="E5364" s="209"/>
      <c r="J5364" s="124"/>
    </row>
    <row r="5365" spans="3:10" x14ac:dyDescent="0.2">
      <c r="C5365" s="209"/>
      <c r="D5365" s="209"/>
      <c r="E5365" s="209"/>
      <c r="J5365" s="124"/>
    </row>
    <row r="5366" spans="3:10" x14ac:dyDescent="0.2">
      <c r="C5366" s="209"/>
      <c r="D5366" s="209"/>
      <c r="E5366" s="209"/>
      <c r="J5366" s="124"/>
    </row>
    <row r="5367" spans="3:10" x14ac:dyDescent="0.2">
      <c r="C5367" s="209"/>
      <c r="D5367" s="209"/>
      <c r="E5367" s="209"/>
      <c r="J5367" s="124"/>
    </row>
    <row r="5368" spans="3:10" x14ac:dyDescent="0.2">
      <c r="C5368" s="209"/>
      <c r="D5368" s="209"/>
      <c r="E5368" s="209"/>
      <c r="J5368" s="124"/>
    </row>
    <row r="5369" spans="3:10" x14ac:dyDescent="0.2">
      <c r="C5369" s="209"/>
      <c r="D5369" s="209"/>
      <c r="E5369" s="209"/>
      <c r="J5369" s="124"/>
    </row>
    <row r="5370" spans="3:10" x14ac:dyDescent="0.2">
      <c r="C5370" s="209"/>
      <c r="D5370" s="209"/>
      <c r="E5370" s="209"/>
      <c r="J5370" s="124"/>
    </row>
    <row r="5371" spans="3:10" x14ac:dyDescent="0.2">
      <c r="C5371" s="209"/>
      <c r="D5371" s="209"/>
      <c r="E5371" s="209"/>
      <c r="J5371" s="124"/>
    </row>
    <row r="5372" spans="3:10" x14ac:dyDescent="0.2">
      <c r="C5372" s="209"/>
      <c r="D5372" s="209"/>
      <c r="E5372" s="209"/>
      <c r="J5372" s="124"/>
    </row>
    <row r="5373" spans="3:10" x14ac:dyDescent="0.2">
      <c r="C5373" s="209"/>
      <c r="D5373" s="209"/>
      <c r="E5373" s="209"/>
      <c r="J5373" s="124"/>
    </row>
    <row r="5374" spans="3:10" x14ac:dyDescent="0.2">
      <c r="C5374" s="209"/>
      <c r="D5374" s="209"/>
      <c r="E5374" s="209"/>
      <c r="J5374" s="124"/>
    </row>
    <row r="5375" spans="3:10" x14ac:dyDescent="0.2">
      <c r="C5375" s="209"/>
      <c r="D5375" s="209"/>
      <c r="E5375" s="209"/>
      <c r="J5375" s="124"/>
    </row>
    <row r="5376" spans="3:10" x14ac:dyDescent="0.2">
      <c r="C5376" s="209"/>
      <c r="D5376" s="209"/>
      <c r="E5376" s="209"/>
      <c r="J5376" s="124"/>
    </row>
    <row r="5377" spans="3:10" x14ac:dyDescent="0.2">
      <c r="C5377" s="209"/>
      <c r="D5377" s="209"/>
      <c r="E5377" s="209"/>
      <c r="J5377" s="124"/>
    </row>
    <row r="5378" spans="3:10" x14ac:dyDescent="0.2">
      <c r="C5378" s="209"/>
      <c r="D5378" s="209"/>
      <c r="E5378" s="209"/>
      <c r="J5378" s="124"/>
    </row>
    <row r="5379" spans="3:10" x14ac:dyDescent="0.2">
      <c r="C5379" s="209"/>
      <c r="D5379" s="209"/>
      <c r="E5379" s="209"/>
      <c r="J5379" s="124"/>
    </row>
    <row r="5380" spans="3:10" x14ac:dyDescent="0.2">
      <c r="C5380" s="209"/>
      <c r="D5380" s="209"/>
      <c r="E5380" s="209"/>
      <c r="J5380" s="124"/>
    </row>
    <row r="5381" spans="3:10" x14ac:dyDescent="0.2">
      <c r="C5381" s="209"/>
      <c r="D5381" s="209"/>
      <c r="E5381" s="209"/>
      <c r="J5381" s="124"/>
    </row>
    <row r="5382" spans="3:10" x14ac:dyDescent="0.2">
      <c r="C5382" s="209"/>
      <c r="D5382" s="209"/>
      <c r="E5382" s="209"/>
      <c r="J5382" s="124"/>
    </row>
    <row r="5383" spans="3:10" x14ac:dyDescent="0.2">
      <c r="C5383" s="209"/>
      <c r="D5383" s="209"/>
      <c r="E5383" s="209"/>
      <c r="J5383" s="124"/>
    </row>
    <row r="5384" spans="3:10" x14ac:dyDescent="0.2">
      <c r="C5384" s="209"/>
      <c r="D5384" s="209"/>
      <c r="E5384" s="209"/>
      <c r="J5384" s="124"/>
    </row>
    <row r="5385" spans="3:10" x14ac:dyDescent="0.2">
      <c r="C5385" s="209"/>
      <c r="D5385" s="209"/>
      <c r="E5385" s="209"/>
      <c r="J5385" s="124"/>
    </row>
    <row r="5386" spans="3:10" x14ac:dyDescent="0.2">
      <c r="C5386" s="209"/>
      <c r="D5386" s="209"/>
      <c r="E5386" s="209"/>
      <c r="J5386" s="124"/>
    </row>
    <row r="5387" spans="3:10" x14ac:dyDescent="0.2">
      <c r="C5387" s="209"/>
      <c r="D5387" s="209"/>
      <c r="E5387" s="209"/>
      <c r="J5387" s="124"/>
    </row>
    <row r="5388" spans="3:10" x14ac:dyDescent="0.2">
      <c r="C5388" s="209"/>
      <c r="D5388" s="209"/>
      <c r="E5388" s="209"/>
      <c r="J5388" s="124"/>
    </row>
    <row r="5389" spans="3:10" x14ac:dyDescent="0.2">
      <c r="C5389" s="209"/>
      <c r="D5389" s="209"/>
      <c r="E5389" s="209"/>
      <c r="J5389" s="124"/>
    </row>
    <row r="5390" spans="3:10" x14ac:dyDescent="0.2">
      <c r="C5390" s="209"/>
      <c r="D5390" s="209"/>
      <c r="E5390" s="209"/>
      <c r="J5390" s="124"/>
    </row>
    <row r="5391" spans="3:10" x14ac:dyDescent="0.2">
      <c r="C5391" s="209"/>
      <c r="D5391" s="209"/>
      <c r="E5391" s="209"/>
      <c r="J5391" s="124"/>
    </row>
    <row r="5392" spans="3:10" x14ac:dyDescent="0.2">
      <c r="C5392" s="209"/>
      <c r="D5392" s="209"/>
      <c r="E5392" s="209"/>
      <c r="J5392" s="124"/>
    </row>
    <row r="5393" spans="3:10" x14ac:dyDescent="0.2">
      <c r="C5393" s="209"/>
      <c r="D5393" s="209"/>
      <c r="E5393" s="209"/>
      <c r="J5393" s="124"/>
    </row>
    <row r="5394" spans="3:10" x14ac:dyDescent="0.2">
      <c r="C5394" s="209"/>
      <c r="D5394" s="209"/>
      <c r="E5394" s="209"/>
      <c r="J5394" s="124"/>
    </row>
    <row r="5395" spans="3:10" x14ac:dyDescent="0.2">
      <c r="C5395" s="209"/>
      <c r="D5395" s="209"/>
      <c r="E5395" s="209"/>
      <c r="J5395" s="124"/>
    </row>
    <row r="5396" spans="3:10" x14ac:dyDescent="0.2">
      <c r="C5396" s="209"/>
      <c r="D5396" s="209"/>
      <c r="E5396" s="209"/>
      <c r="J5396" s="124"/>
    </row>
    <row r="5397" spans="3:10" x14ac:dyDescent="0.2">
      <c r="C5397" s="209"/>
      <c r="D5397" s="209"/>
      <c r="E5397" s="209"/>
      <c r="J5397" s="124"/>
    </row>
    <row r="5398" spans="3:10" x14ac:dyDescent="0.2">
      <c r="C5398" s="209"/>
      <c r="D5398" s="209"/>
      <c r="E5398" s="209"/>
      <c r="J5398" s="124"/>
    </row>
    <row r="5399" spans="3:10" x14ac:dyDescent="0.2">
      <c r="C5399" s="209"/>
      <c r="D5399" s="209"/>
      <c r="E5399" s="209"/>
      <c r="J5399" s="124"/>
    </row>
    <row r="5400" spans="3:10" x14ac:dyDescent="0.2">
      <c r="C5400" s="209"/>
      <c r="D5400" s="209"/>
      <c r="E5400" s="209"/>
      <c r="J5400" s="124"/>
    </row>
    <row r="5401" spans="3:10" x14ac:dyDescent="0.2">
      <c r="C5401" s="209"/>
      <c r="D5401" s="209"/>
      <c r="E5401" s="209"/>
      <c r="J5401" s="124"/>
    </row>
    <row r="5402" spans="3:10" x14ac:dyDescent="0.2">
      <c r="C5402" s="209"/>
      <c r="D5402" s="209"/>
      <c r="E5402" s="209"/>
      <c r="J5402" s="124"/>
    </row>
    <row r="5403" spans="3:10" x14ac:dyDescent="0.2">
      <c r="C5403" s="209"/>
      <c r="D5403" s="209"/>
      <c r="E5403" s="209"/>
      <c r="J5403" s="124"/>
    </row>
    <row r="5404" spans="3:10" x14ac:dyDescent="0.2">
      <c r="C5404" s="209"/>
      <c r="D5404" s="209"/>
      <c r="E5404" s="209"/>
      <c r="J5404" s="124"/>
    </row>
    <row r="5405" spans="3:10" x14ac:dyDescent="0.2">
      <c r="C5405" s="209"/>
      <c r="D5405" s="209"/>
      <c r="E5405" s="209"/>
      <c r="J5405" s="124"/>
    </row>
    <row r="5406" spans="3:10" x14ac:dyDescent="0.2">
      <c r="C5406" s="209"/>
      <c r="D5406" s="209"/>
      <c r="E5406" s="209"/>
      <c r="J5406" s="124"/>
    </row>
    <row r="5407" spans="3:10" x14ac:dyDescent="0.2">
      <c r="C5407" s="209"/>
      <c r="D5407" s="209"/>
      <c r="E5407" s="209"/>
      <c r="J5407" s="124"/>
    </row>
    <row r="5408" spans="3:10" x14ac:dyDescent="0.2">
      <c r="C5408" s="209"/>
      <c r="D5408" s="209"/>
      <c r="E5408" s="209"/>
      <c r="J5408" s="124"/>
    </row>
    <row r="5409" spans="3:10" x14ac:dyDescent="0.2">
      <c r="C5409" s="209"/>
      <c r="D5409" s="209"/>
      <c r="E5409" s="209"/>
      <c r="J5409" s="124"/>
    </row>
    <row r="5410" spans="3:10" x14ac:dyDescent="0.2">
      <c r="C5410" s="209"/>
      <c r="D5410" s="209"/>
      <c r="E5410" s="209"/>
      <c r="J5410" s="124"/>
    </row>
    <row r="5411" spans="3:10" x14ac:dyDescent="0.2">
      <c r="C5411" s="209"/>
      <c r="D5411" s="209"/>
      <c r="E5411" s="209"/>
      <c r="J5411" s="124"/>
    </row>
    <row r="5412" spans="3:10" x14ac:dyDescent="0.2">
      <c r="C5412" s="209"/>
      <c r="D5412" s="209"/>
      <c r="E5412" s="209"/>
      <c r="J5412" s="124"/>
    </row>
    <row r="5413" spans="3:10" x14ac:dyDescent="0.2">
      <c r="C5413" s="209"/>
      <c r="D5413" s="209"/>
      <c r="E5413" s="209"/>
      <c r="J5413" s="124"/>
    </row>
    <row r="5414" spans="3:10" x14ac:dyDescent="0.2">
      <c r="C5414" s="209"/>
      <c r="D5414" s="209"/>
      <c r="E5414" s="209"/>
      <c r="J5414" s="124"/>
    </row>
    <row r="5415" spans="3:10" x14ac:dyDescent="0.2">
      <c r="C5415" s="209"/>
      <c r="D5415" s="209"/>
      <c r="E5415" s="209"/>
      <c r="J5415" s="124"/>
    </row>
    <row r="5416" spans="3:10" x14ac:dyDescent="0.2">
      <c r="C5416" s="209"/>
      <c r="D5416" s="209"/>
      <c r="E5416" s="209"/>
      <c r="J5416" s="124"/>
    </row>
    <row r="5417" spans="3:10" x14ac:dyDescent="0.2">
      <c r="C5417" s="209"/>
      <c r="D5417" s="209"/>
      <c r="E5417" s="209"/>
      <c r="J5417" s="124"/>
    </row>
    <row r="5418" spans="3:10" x14ac:dyDescent="0.2">
      <c r="C5418" s="209"/>
      <c r="D5418" s="209"/>
      <c r="E5418" s="209"/>
      <c r="J5418" s="124"/>
    </row>
    <row r="5419" spans="3:10" x14ac:dyDescent="0.2">
      <c r="C5419" s="209"/>
      <c r="D5419" s="209"/>
      <c r="E5419" s="209"/>
      <c r="J5419" s="124"/>
    </row>
    <row r="5420" spans="3:10" x14ac:dyDescent="0.2">
      <c r="C5420" s="209"/>
      <c r="D5420" s="209"/>
      <c r="E5420" s="209"/>
      <c r="J5420" s="124"/>
    </row>
    <row r="5421" spans="3:10" x14ac:dyDescent="0.2">
      <c r="C5421" s="209"/>
      <c r="D5421" s="209"/>
      <c r="E5421" s="209"/>
      <c r="J5421" s="124"/>
    </row>
    <row r="5422" spans="3:10" x14ac:dyDescent="0.2">
      <c r="C5422" s="209"/>
      <c r="D5422" s="209"/>
      <c r="E5422" s="209"/>
      <c r="J5422" s="124"/>
    </row>
    <row r="5423" spans="3:10" x14ac:dyDescent="0.2">
      <c r="C5423" s="209"/>
      <c r="D5423" s="209"/>
      <c r="E5423" s="209"/>
      <c r="J5423" s="124"/>
    </row>
    <row r="5424" spans="3:10" x14ac:dyDescent="0.2">
      <c r="C5424" s="209"/>
      <c r="D5424" s="209"/>
      <c r="E5424" s="209"/>
      <c r="J5424" s="124"/>
    </row>
    <row r="5425" spans="3:10" x14ac:dyDescent="0.2">
      <c r="C5425" s="209"/>
      <c r="D5425" s="209"/>
      <c r="E5425" s="209"/>
      <c r="J5425" s="124"/>
    </row>
    <row r="5426" spans="3:10" x14ac:dyDescent="0.2">
      <c r="C5426" s="209"/>
      <c r="D5426" s="209"/>
      <c r="E5426" s="209"/>
      <c r="J5426" s="124"/>
    </row>
    <row r="5427" spans="3:10" x14ac:dyDescent="0.2">
      <c r="C5427" s="209"/>
      <c r="D5427" s="209"/>
      <c r="E5427" s="209"/>
      <c r="J5427" s="124"/>
    </row>
    <row r="5428" spans="3:10" x14ac:dyDescent="0.2">
      <c r="C5428" s="209"/>
      <c r="D5428" s="209"/>
      <c r="E5428" s="209"/>
      <c r="J5428" s="124"/>
    </row>
    <row r="5429" spans="3:10" x14ac:dyDescent="0.2">
      <c r="C5429" s="209"/>
      <c r="D5429" s="209"/>
      <c r="E5429" s="209"/>
      <c r="J5429" s="124"/>
    </row>
    <row r="5430" spans="3:10" x14ac:dyDescent="0.2">
      <c r="C5430" s="209"/>
      <c r="D5430" s="209"/>
      <c r="E5430" s="209"/>
      <c r="J5430" s="124"/>
    </row>
    <row r="5431" spans="3:10" x14ac:dyDescent="0.2">
      <c r="C5431" s="209"/>
      <c r="D5431" s="209"/>
      <c r="E5431" s="209"/>
      <c r="J5431" s="124"/>
    </row>
    <row r="5432" spans="3:10" x14ac:dyDescent="0.2">
      <c r="C5432" s="209"/>
      <c r="D5432" s="209"/>
      <c r="E5432" s="209"/>
      <c r="J5432" s="124"/>
    </row>
    <row r="5433" spans="3:10" x14ac:dyDescent="0.2">
      <c r="C5433" s="209"/>
      <c r="D5433" s="209"/>
      <c r="E5433" s="209"/>
      <c r="J5433" s="124"/>
    </row>
    <row r="5434" spans="3:10" x14ac:dyDescent="0.2">
      <c r="C5434" s="209"/>
      <c r="D5434" s="209"/>
      <c r="E5434" s="209"/>
      <c r="J5434" s="124"/>
    </row>
    <row r="5435" spans="3:10" x14ac:dyDescent="0.2">
      <c r="C5435" s="209"/>
      <c r="D5435" s="209"/>
      <c r="E5435" s="209"/>
      <c r="J5435" s="124"/>
    </row>
    <row r="5436" spans="3:10" x14ac:dyDescent="0.2">
      <c r="C5436" s="209"/>
      <c r="D5436" s="209"/>
      <c r="E5436" s="209"/>
      <c r="J5436" s="124"/>
    </row>
    <row r="5437" spans="3:10" x14ac:dyDescent="0.2">
      <c r="C5437" s="209"/>
      <c r="D5437" s="209"/>
      <c r="E5437" s="209"/>
      <c r="J5437" s="124"/>
    </row>
    <row r="5438" spans="3:10" x14ac:dyDescent="0.2">
      <c r="C5438" s="209"/>
      <c r="D5438" s="209"/>
      <c r="E5438" s="209"/>
      <c r="J5438" s="124"/>
    </row>
    <row r="5439" spans="3:10" x14ac:dyDescent="0.2">
      <c r="C5439" s="209"/>
      <c r="D5439" s="209"/>
      <c r="E5439" s="209"/>
      <c r="J5439" s="124"/>
    </row>
    <row r="5440" spans="3:10" x14ac:dyDescent="0.2">
      <c r="C5440" s="209"/>
      <c r="D5440" s="209"/>
      <c r="E5440" s="209"/>
      <c r="J5440" s="124"/>
    </row>
    <row r="5441" spans="3:10" x14ac:dyDescent="0.2">
      <c r="C5441" s="209"/>
      <c r="D5441" s="209"/>
      <c r="E5441" s="209"/>
      <c r="J5441" s="124"/>
    </row>
    <row r="5442" spans="3:10" x14ac:dyDescent="0.2">
      <c r="C5442" s="209"/>
      <c r="D5442" s="209"/>
      <c r="E5442" s="209"/>
      <c r="J5442" s="124"/>
    </row>
    <row r="5443" spans="3:10" x14ac:dyDescent="0.2">
      <c r="C5443" s="209"/>
      <c r="D5443" s="209"/>
      <c r="E5443" s="209"/>
      <c r="J5443" s="124"/>
    </row>
    <row r="5444" spans="3:10" x14ac:dyDescent="0.2">
      <c r="C5444" s="209"/>
      <c r="D5444" s="209"/>
      <c r="E5444" s="209"/>
      <c r="J5444" s="124"/>
    </row>
    <row r="5445" spans="3:10" x14ac:dyDescent="0.2">
      <c r="C5445" s="209"/>
      <c r="D5445" s="209"/>
      <c r="E5445" s="209"/>
      <c r="J5445" s="124"/>
    </row>
    <row r="5446" spans="3:10" x14ac:dyDescent="0.2">
      <c r="C5446" s="209"/>
      <c r="D5446" s="209"/>
      <c r="E5446" s="209"/>
      <c r="J5446" s="124"/>
    </row>
    <row r="5447" spans="3:10" x14ac:dyDescent="0.2">
      <c r="C5447" s="209"/>
      <c r="D5447" s="209"/>
      <c r="E5447" s="209"/>
      <c r="J5447" s="124"/>
    </row>
    <row r="5448" spans="3:10" x14ac:dyDescent="0.2">
      <c r="C5448" s="209"/>
      <c r="D5448" s="209"/>
      <c r="E5448" s="209"/>
      <c r="J5448" s="124"/>
    </row>
    <row r="5449" spans="3:10" x14ac:dyDescent="0.2">
      <c r="C5449" s="209"/>
      <c r="D5449" s="209"/>
      <c r="E5449" s="209"/>
      <c r="J5449" s="124"/>
    </row>
    <row r="5450" spans="3:10" x14ac:dyDescent="0.2">
      <c r="C5450" s="209"/>
      <c r="D5450" s="209"/>
      <c r="E5450" s="209"/>
      <c r="J5450" s="124"/>
    </row>
    <row r="5451" spans="3:10" x14ac:dyDescent="0.2">
      <c r="C5451" s="209"/>
      <c r="D5451" s="209"/>
      <c r="E5451" s="209"/>
      <c r="J5451" s="124"/>
    </row>
    <row r="5452" spans="3:10" x14ac:dyDescent="0.2">
      <c r="C5452" s="209"/>
      <c r="D5452" s="209"/>
      <c r="E5452" s="209"/>
      <c r="J5452" s="124"/>
    </row>
    <row r="5453" spans="3:10" x14ac:dyDescent="0.2">
      <c r="C5453" s="209"/>
      <c r="D5453" s="209"/>
      <c r="E5453" s="209"/>
      <c r="J5453" s="124"/>
    </row>
    <row r="5454" spans="3:10" x14ac:dyDescent="0.2">
      <c r="C5454" s="209"/>
      <c r="D5454" s="209"/>
      <c r="E5454" s="209"/>
      <c r="J5454" s="124"/>
    </row>
    <row r="5455" spans="3:10" x14ac:dyDescent="0.2">
      <c r="C5455" s="209"/>
      <c r="D5455" s="209"/>
      <c r="E5455" s="209"/>
      <c r="J5455" s="124"/>
    </row>
    <row r="5456" spans="3:10" x14ac:dyDescent="0.2">
      <c r="C5456" s="209"/>
      <c r="D5456" s="209"/>
      <c r="E5456" s="209"/>
      <c r="J5456" s="124"/>
    </row>
    <row r="5457" spans="3:10" x14ac:dyDescent="0.2">
      <c r="C5457" s="209"/>
      <c r="D5457" s="209"/>
      <c r="E5457" s="209"/>
      <c r="J5457" s="124"/>
    </row>
    <row r="5458" spans="3:10" x14ac:dyDescent="0.2">
      <c r="C5458" s="209"/>
      <c r="D5458" s="209"/>
      <c r="E5458" s="209"/>
      <c r="J5458" s="124"/>
    </row>
    <row r="5459" spans="3:10" x14ac:dyDescent="0.2">
      <c r="C5459" s="209"/>
      <c r="D5459" s="209"/>
      <c r="E5459" s="209"/>
      <c r="J5459" s="124"/>
    </row>
    <row r="5460" spans="3:10" x14ac:dyDescent="0.2">
      <c r="C5460" s="209"/>
      <c r="D5460" s="209"/>
      <c r="E5460" s="209"/>
      <c r="J5460" s="124"/>
    </row>
    <row r="5461" spans="3:10" x14ac:dyDescent="0.2">
      <c r="C5461" s="209"/>
      <c r="D5461" s="209"/>
      <c r="E5461" s="209"/>
      <c r="J5461" s="124"/>
    </row>
    <row r="5462" spans="3:10" x14ac:dyDescent="0.2">
      <c r="C5462" s="209"/>
      <c r="D5462" s="209"/>
      <c r="E5462" s="209"/>
      <c r="J5462" s="124"/>
    </row>
    <row r="5463" spans="3:10" x14ac:dyDescent="0.2">
      <c r="C5463" s="209"/>
      <c r="D5463" s="209"/>
      <c r="E5463" s="209"/>
      <c r="J5463" s="124"/>
    </row>
    <row r="5464" spans="3:10" x14ac:dyDescent="0.2">
      <c r="C5464" s="209"/>
      <c r="D5464" s="209"/>
      <c r="E5464" s="209"/>
      <c r="J5464" s="124"/>
    </row>
    <row r="5465" spans="3:10" x14ac:dyDescent="0.2">
      <c r="C5465" s="209"/>
      <c r="D5465" s="209"/>
      <c r="E5465" s="209"/>
      <c r="J5465" s="124"/>
    </row>
    <row r="5466" spans="3:10" x14ac:dyDescent="0.2">
      <c r="C5466" s="209"/>
      <c r="D5466" s="209"/>
      <c r="E5466" s="209"/>
      <c r="J5466" s="124"/>
    </row>
    <row r="5467" spans="3:10" x14ac:dyDescent="0.2">
      <c r="C5467" s="209"/>
      <c r="D5467" s="209"/>
      <c r="E5467" s="209"/>
      <c r="J5467" s="124"/>
    </row>
    <row r="5468" spans="3:10" x14ac:dyDescent="0.2">
      <c r="C5468" s="209"/>
      <c r="D5468" s="209"/>
      <c r="E5468" s="209"/>
      <c r="J5468" s="124"/>
    </row>
    <row r="5469" spans="3:10" x14ac:dyDescent="0.2">
      <c r="C5469" s="209"/>
      <c r="D5469" s="209"/>
      <c r="E5469" s="209"/>
      <c r="J5469" s="124"/>
    </row>
    <row r="5470" spans="3:10" x14ac:dyDescent="0.2">
      <c r="C5470" s="209"/>
      <c r="D5470" s="209"/>
      <c r="E5470" s="209"/>
      <c r="J5470" s="124"/>
    </row>
    <row r="5471" spans="3:10" x14ac:dyDescent="0.2">
      <c r="C5471" s="209"/>
      <c r="D5471" s="209"/>
      <c r="E5471" s="209"/>
      <c r="J5471" s="124"/>
    </row>
    <row r="5472" spans="3:10" x14ac:dyDescent="0.2">
      <c r="C5472" s="209"/>
      <c r="D5472" s="209"/>
      <c r="E5472" s="209"/>
      <c r="J5472" s="124"/>
    </row>
    <row r="5473" spans="3:10" x14ac:dyDescent="0.2">
      <c r="C5473" s="209"/>
      <c r="D5473" s="209"/>
      <c r="E5473" s="209"/>
      <c r="J5473" s="124"/>
    </row>
    <row r="5474" spans="3:10" x14ac:dyDescent="0.2">
      <c r="C5474" s="209"/>
      <c r="D5474" s="209"/>
      <c r="E5474" s="209"/>
      <c r="J5474" s="124"/>
    </row>
    <row r="5475" spans="3:10" x14ac:dyDescent="0.2">
      <c r="C5475" s="209"/>
      <c r="D5475" s="209"/>
      <c r="E5475" s="209"/>
      <c r="J5475" s="124"/>
    </row>
    <row r="5476" spans="3:10" x14ac:dyDescent="0.2">
      <c r="C5476" s="209"/>
      <c r="D5476" s="209"/>
      <c r="E5476" s="209"/>
      <c r="J5476" s="124"/>
    </row>
    <row r="5477" spans="3:10" x14ac:dyDescent="0.2">
      <c r="C5477" s="209"/>
      <c r="D5477" s="209"/>
      <c r="E5477" s="209"/>
      <c r="J5477" s="124"/>
    </row>
    <row r="5478" spans="3:10" x14ac:dyDescent="0.2">
      <c r="C5478" s="209"/>
      <c r="D5478" s="209"/>
      <c r="E5478" s="209"/>
      <c r="J5478" s="124"/>
    </row>
    <row r="5479" spans="3:10" x14ac:dyDescent="0.2">
      <c r="C5479" s="209"/>
      <c r="D5479" s="209"/>
      <c r="E5479" s="209"/>
      <c r="J5479" s="124"/>
    </row>
    <row r="5480" spans="3:10" x14ac:dyDescent="0.2">
      <c r="C5480" s="209"/>
      <c r="D5480" s="209"/>
      <c r="E5480" s="209"/>
      <c r="J5480" s="124"/>
    </row>
    <row r="5481" spans="3:10" x14ac:dyDescent="0.2">
      <c r="C5481" s="209"/>
      <c r="D5481" s="209"/>
      <c r="E5481" s="209"/>
      <c r="J5481" s="124"/>
    </row>
    <row r="5482" spans="3:10" x14ac:dyDescent="0.2">
      <c r="C5482" s="209"/>
      <c r="D5482" s="209"/>
      <c r="E5482" s="209"/>
      <c r="J5482" s="124"/>
    </row>
    <row r="5483" spans="3:10" x14ac:dyDescent="0.2">
      <c r="C5483" s="209"/>
      <c r="D5483" s="209"/>
      <c r="E5483" s="209"/>
      <c r="J5483" s="124"/>
    </row>
    <row r="5484" spans="3:10" x14ac:dyDescent="0.2">
      <c r="C5484" s="209"/>
      <c r="D5484" s="209"/>
      <c r="E5484" s="209"/>
      <c r="J5484" s="124"/>
    </row>
    <row r="5485" spans="3:10" x14ac:dyDescent="0.2">
      <c r="C5485" s="209"/>
      <c r="D5485" s="209"/>
      <c r="E5485" s="209"/>
      <c r="J5485" s="124"/>
    </row>
    <row r="5486" spans="3:10" x14ac:dyDescent="0.2">
      <c r="C5486" s="209"/>
      <c r="D5486" s="209"/>
      <c r="E5486" s="209"/>
      <c r="J5486" s="124"/>
    </row>
    <row r="5487" spans="3:10" x14ac:dyDescent="0.2">
      <c r="C5487" s="209"/>
      <c r="D5487" s="209"/>
      <c r="E5487" s="209"/>
      <c r="J5487" s="124"/>
    </row>
    <row r="5488" spans="3:10" x14ac:dyDescent="0.2">
      <c r="C5488" s="209"/>
      <c r="D5488" s="209"/>
      <c r="E5488" s="209"/>
      <c r="J5488" s="124"/>
    </row>
    <row r="5489" spans="3:10" x14ac:dyDescent="0.2">
      <c r="C5489" s="209"/>
      <c r="D5489" s="209"/>
      <c r="E5489" s="209"/>
      <c r="J5489" s="124"/>
    </row>
    <row r="5490" spans="3:10" x14ac:dyDescent="0.2">
      <c r="C5490" s="209"/>
      <c r="D5490" s="209"/>
      <c r="E5490" s="209"/>
      <c r="J5490" s="124"/>
    </row>
    <row r="5491" spans="3:10" x14ac:dyDescent="0.2">
      <c r="C5491" s="209"/>
      <c r="D5491" s="209"/>
      <c r="E5491" s="209"/>
      <c r="J5491" s="124"/>
    </row>
    <row r="5492" spans="3:10" x14ac:dyDescent="0.2">
      <c r="C5492" s="209"/>
      <c r="D5492" s="209"/>
      <c r="E5492" s="209"/>
      <c r="J5492" s="124"/>
    </row>
    <row r="5493" spans="3:10" x14ac:dyDescent="0.2">
      <c r="C5493" s="209"/>
      <c r="D5493" s="209"/>
      <c r="E5493" s="209"/>
      <c r="J5493" s="124"/>
    </row>
    <row r="5494" spans="3:10" x14ac:dyDescent="0.2">
      <c r="C5494" s="209"/>
      <c r="D5494" s="209"/>
      <c r="E5494" s="209"/>
      <c r="J5494" s="124"/>
    </row>
    <row r="5495" spans="3:10" x14ac:dyDescent="0.2">
      <c r="C5495" s="209"/>
      <c r="D5495" s="209"/>
      <c r="E5495" s="209"/>
      <c r="J5495" s="124"/>
    </row>
    <row r="5496" spans="3:10" x14ac:dyDescent="0.2">
      <c r="C5496" s="209"/>
      <c r="D5496" s="209"/>
      <c r="E5496" s="209"/>
      <c r="J5496" s="124"/>
    </row>
    <row r="5497" spans="3:10" x14ac:dyDescent="0.2">
      <c r="C5497" s="209"/>
      <c r="D5497" s="209"/>
      <c r="E5497" s="209"/>
      <c r="J5497" s="124"/>
    </row>
    <row r="5498" spans="3:10" x14ac:dyDescent="0.2">
      <c r="C5498" s="209"/>
      <c r="D5498" s="209"/>
      <c r="E5498" s="209"/>
      <c r="J5498" s="124"/>
    </row>
    <row r="5499" spans="3:10" x14ac:dyDescent="0.2">
      <c r="C5499" s="209"/>
      <c r="D5499" s="209"/>
      <c r="E5499" s="209"/>
      <c r="J5499" s="124"/>
    </row>
    <row r="5500" spans="3:10" x14ac:dyDescent="0.2">
      <c r="C5500" s="209"/>
      <c r="D5500" s="209"/>
      <c r="E5500" s="209"/>
      <c r="J5500" s="124"/>
    </row>
    <row r="5501" spans="3:10" x14ac:dyDescent="0.2">
      <c r="C5501" s="209"/>
      <c r="D5501" s="209"/>
      <c r="E5501" s="209"/>
      <c r="J5501" s="124"/>
    </row>
    <row r="5502" spans="3:10" x14ac:dyDescent="0.2">
      <c r="C5502" s="209"/>
      <c r="D5502" s="209"/>
      <c r="E5502" s="209"/>
      <c r="J5502" s="124"/>
    </row>
    <row r="5503" spans="3:10" x14ac:dyDescent="0.2">
      <c r="C5503" s="209"/>
      <c r="D5503" s="209"/>
      <c r="E5503" s="209"/>
      <c r="J5503" s="124"/>
    </row>
    <row r="5504" spans="3:10" x14ac:dyDescent="0.2">
      <c r="C5504" s="209"/>
      <c r="D5504" s="209"/>
      <c r="E5504" s="209"/>
      <c r="J5504" s="124"/>
    </row>
    <row r="5505" spans="3:10" x14ac:dyDescent="0.2">
      <c r="C5505" s="209"/>
      <c r="D5505" s="209"/>
      <c r="E5505" s="209"/>
      <c r="J5505" s="124"/>
    </row>
    <row r="5506" spans="3:10" x14ac:dyDescent="0.2">
      <c r="C5506" s="209"/>
      <c r="D5506" s="209"/>
      <c r="E5506" s="209"/>
      <c r="J5506" s="124"/>
    </row>
    <row r="5507" spans="3:10" x14ac:dyDescent="0.2">
      <c r="C5507" s="209"/>
      <c r="D5507" s="209"/>
      <c r="E5507" s="209"/>
      <c r="J5507" s="124"/>
    </row>
    <row r="5508" spans="3:10" x14ac:dyDescent="0.2">
      <c r="C5508" s="209"/>
      <c r="D5508" s="209"/>
      <c r="E5508" s="209"/>
      <c r="J5508" s="124"/>
    </row>
    <row r="5509" spans="3:10" x14ac:dyDescent="0.2">
      <c r="C5509" s="209"/>
      <c r="D5509" s="209"/>
      <c r="E5509" s="209"/>
      <c r="J5509" s="124"/>
    </row>
    <row r="5510" spans="3:10" x14ac:dyDescent="0.2">
      <c r="C5510" s="209"/>
      <c r="D5510" s="209"/>
      <c r="E5510" s="209"/>
      <c r="J5510" s="124"/>
    </row>
    <row r="5511" spans="3:10" x14ac:dyDescent="0.2">
      <c r="C5511" s="209"/>
      <c r="D5511" s="209"/>
      <c r="E5511" s="209"/>
      <c r="J5511" s="124"/>
    </row>
    <row r="5512" spans="3:10" x14ac:dyDescent="0.2">
      <c r="C5512" s="209"/>
      <c r="D5512" s="209"/>
      <c r="E5512" s="209"/>
      <c r="J5512" s="124"/>
    </row>
    <row r="5513" spans="3:10" x14ac:dyDescent="0.2">
      <c r="C5513" s="209"/>
      <c r="D5513" s="209"/>
      <c r="E5513" s="209"/>
      <c r="J5513" s="124"/>
    </row>
    <row r="5514" spans="3:10" x14ac:dyDescent="0.2">
      <c r="C5514" s="209"/>
      <c r="D5514" s="209"/>
      <c r="E5514" s="209"/>
      <c r="J5514" s="124"/>
    </row>
    <row r="5515" spans="3:10" x14ac:dyDescent="0.2">
      <c r="C5515" s="209"/>
      <c r="D5515" s="209"/>
      <c r="E5515" s="209"/>
      <c r="J5515" s="124"/>
    </row>
    <row r="5516" spans="3:10" x14ac:dyDescent="0.2">
      <c r="C5516" s="209"/>
      <c r="D5516" s="209"/>
      <c r="E5516" s="209"/>
      <c r="J5516" s="124"/>
    </row>
    <row r="5517" spans="3:10" x14ac:dyDescent="0.2">
      <c r="C5517" s="209"/>
      <c r="D5517" s="209"/>
      <c r="E5517" s="209"/>
      <c r="J5517" s="124"/>
    </row>
    <row r="5518" spans="3:10" x14ac:dyDescent="0.2">
      <c r="C5518" s="209"/>
      <c r="D5518" s="209"/>
      <c r="E5518" s="209"/>
      <c r="J5518" s="124"/>
    </row>
    <row r="5519" spans="3:10" x14ac:dyDescent="0.2">
      <c r="C5519" s="209"/>
      <c r="D5519" s="209"/>
      <c r="E5519" s="209"/>
      <c r="J5519" s="124"/>
    </row>
    <row r="5520" spans="3:10" x14ac:dyDescent="0.2">
      <c r="C5520" s="209"/>
      <c r="D5520" s="209"/>
      <c r="E5520" s="209"/>
      <c r="J5520" s="124"/>
    </row>
    <row r="5521" spans="3:10" x14ac:dyDescent="0.2">
      <c r="C5521" s="209"/>
      <c r="D5521" s="209"/>
      <c r="E5521" s="209"/>
      <c r="J5521" s="124"/>
    </row>
    <row r="5522" spans="3:10" x14ac:dyDescent="0.2">
      <c r="C5522" s="209"/>
      <c r="D5522" s="209"/>
      <c r="E5522" s="209"/>
      <c r="J5522" s="124"/>
    </row>
    <row r="5523" spans="3:10" x14ac:dyDescent="0.2">
      <c r="C5523" s="209"/>
      <c r="D5523" s="209"/>
      <c r="E5523" s="209"/>
      <c r="J5523" s="124"/>
    </row>
    <row r="5524" spans="3:10" x14ac:dyDescent="0.2">
      <c r="C5524" s="209"/>
      <c r="D5524" s="209"/>
      <c r="E5524" s="209"/>
      <c r="J5524" s="124"/>
    </row>
    <row r="5525" spans="3:10" x14ac:dyDescent="0.2">
      <c r="C5525" s="209"/>
      <c r="D5525" s="209"/>
      <c r="E5525" s="209"/>
      <c r="J5525" s="124"/>
    </row>
    <row r="5526" spans="3:10" x14ac:dyDescent="0.2">
      <c r="C5526" s="209"/>
      <c r="D5526" s="209"/>
      <c r="E5526" s="209"/>
      <c r="J5526" s="124"/>
    </row>
    <row r="5527" spans="3:10" x14ac:dyDescent="0.2">
      <c r="C5527" s="209"/>
      <c r="D5527" s="209"/>
      <c r="E5527" s="209"/>
      <c r="J5527" s="124"/>
    </row>
    <row r="5528" spans="3:10" x14ac:dyDescent="0.2">
      <c r="C5528" s="209"/>
      <c r="D5528" s="209"/>
      <c r="E5528" s="209"/>
      <c r="J5528" s="124"/>
    </row>
    <row r="5529" spans="3:10" x14ac:dyDescent="0.2">
      <c r="C5529" s="209"/>
      <c r="D5529" s="209"/>
      <c r="E5529" s="209"/>
      <c r="J5529" s="124"/>
    </row>
    <row r="5530" spans="3:10" x14ac:dyDescent="0.2">
      <c r="C5530" s="209"/>
      <c r="D5530" s="209"/>
      <c r="E5530" s="209"/>
      <c r="J5530" s="124"/>
    </row>
    <row r="5531" spans="3:10" x14ac:dyDescent="0.2">
      <c r="C5531" s="209"/>
      <c r="D5531" s="209"/>
      <c r="E5531" s="209"/>
      <c r="J5531" s="124"/>
    </row>
    <row r="5532" spans="3:10" x14ac:dyDescent="0.2">
      <c r="C5532" s="209"/>
      <c r="D5532" s="209"/>
      <c r="E5532" s="209"/>
      <c r="J5532" s="124"/>
    </row>
    <row r="5533" spans="3:10" x14ac:dyDescent="0.2">
      <c r="C5533" s="209"/>
      <c r="D5533" s="209"/>
      <c r="E5533" s="209"/>
      <c r="J5533" s="124"/>
    </row>
    <row r="5534" spans="3:10" x14ac:dyDescent="0.2">
      <c r="C5534" s="209"/>
      <c r="D5534" s="209"/>
      <c r="E5534" s="209"/>
      <c r="J5534" s="124"/>
    </row>
    <row r="5535" spans="3:10" x14ac:dyDescent="0.2">
      <c r="C5535" s="209"/>
      <c r="D5535" s="209"/>
      <c r="E5535" s="209"/>
      <c r="J5535" s="124"/>
    </row>
    <row r="5536" spans="3:10" x14ac:dyDescent="0.2">
      <c r="C5536" s="209"/>
      <c r="D5536" s="209"/>
      <c r="E5536" s="209"/>
      <c r="J5536" s="124"/>
    </row>
    <row r="5537" spans="3:10" x14ac:dyDescent="0.2">
      <c r="C5537" s="209"/>
      <c r="D5537" s="209"/>
      <c r="E5537" s="209"/>
      <c r="J5537" s="124"/>
    </row>
    <row r="5538" spans="3:10" x14ac:dyDescent="0.2">
      <c r="C5538" s="209"/>
      <c r="D5538" s="209"/>
      <c r="E5538" s="209"/>
      <c r="J5538" s="124"/>
    </row>
    <row r="5539" spans="3:10" x14ac:dyDescent="0.2">
      <c r="C5539" s="209"/>
      <c r="D5539" s="209"/>
      <c r="E5539" s="209"/>
      <c r="J5539" s="124"/>
    </row>
    <row r="5540" spans="3:10" x14ac:dyDescent="0.2">
      <c r="C5540" s="209"/>
      <c r="D5540" s="209"/>
      <c r="E5540" s="209"/>
      <c r="J5540" s="124"/>
    </row>
    <row r="5541" spans="3:10" x14ac:dyDescent="0.2">
      <c r="C5541" s="209"/>
      <c r="D5541" s="209"/>
      <c r="E5541" s="209"/>
      <c r="J5541" s="124"/>
    </row>
    <row r="5542" spans="3:10" x14ac:dyDescent="0.2">
      <c r="C5542" s="209"/>
      <c r="D5542" s="209"/>
      <c r="E5542" s="209"/>
      <c r="J5542" s="124"/>
    </row>
    <row r="5543" spans="3:10" x14ac:dyDescent="0.2">
      <c r="C5543" s="209"/>
      <c r="D5543" s="209"/>
      <c r="E5543" s="209"/>
      <c r="J5543" s="124"/>
    </row>
    <row r="5544" spans="3:10" x14ac:dyDescent="0.2">
      <c r="C5544" s="209"/>
      <c r="D5544" s="209"/>
      <c r="E5544" s="209"/>
      <c r="J5544" s="124"/>
    </row>
    <row r="5545" spans="3:10" x14ac:dyDescent="0.2">
      <c r="C5545" s="209"/>
      <c r="D5545" s="209"/>
      <c r="E5545" s="209"/>
      <c r="J5545" s="124"/>
    </row>
    <row r="5546" spans="3:10" x14ac:dyDescent="0.2">
      <c r="C5546" s="209"/>
      <c r="D5546" s="209"/>
      <c r="E5546" s="209"/>
      <c r="J5546" s="124"/>
    </row>
    <row r="5547" spans="3:10" x14ac:dyDescent="0.2">
      <c r="C5547" s="209"/>
      <c r="D5547" s="209"/>
      <c r="E5547" s="209"/>
      <c r="J5547" s="124"/>
    </row>
    <row r="5548" spans="3:10" x14ac:dyDescent="0.2">
      <c r="C5548" s="209"/>
      <c r="D5548" s="209"/>
      <c r="E5548" s="209"/>
      <c r="J5548" s="124"/>
    </row>
    <row r="5549" spans="3:10" x14ac:dyDescent="0.2">
      <c r="C5549" s="209"/>
      <c r="D5549" s="209"/>
      <c r="E5549" s="209"/>
      <c r="J5549" s="124"/>
    </row>
    <row r="5550" spans="3:10" x14ac:dyDescent="0.2">
      <c r="C5550" s="209"/>
      <c r="D5550" s="209"/>
      <c r="E5550" s="209"/>
      <c r="J5550" s="124"/>
    </row>
    <row r="5551" spans="3:10" x14ac:dyDescent="0.2">
      <c r="C5551" s="209"/>
      <c r="D5551" s="209"/>
      <c r="E5551" s="209"/>
      <c r="J5551" s="124"/>
    </row>
    <row r="5552" spans="3:10" x14ac:dyDescent="0.2">
      <c r="C5552" s="209"/>
      <c r="D5552" s="209"/>
      <c r="E5552" s="209"/>
      <c r="J5552" s="124"/>
    </row>
    <row r="5553" spans="3:10" x14ac:dyDescent="0.2">
      <c r="C5553" s="209"/>
      <c r="D5553" s="209"/>
      <c r="E5553" s="209"/>
      <c r="J5553" s="124"/>
    </row>
    <row r="5554" spans="3:10" x14ac:dyDescent="0.2">
      <c r="C5554" s="209"/>
      <c r="D5554" s="209"/>
      <c r="E5554" s="209"/>
      <c r="J5554" s="124"/>
    </row>
    <row r="5555" spans="3:10" x14ac:dyDescent="0.2">
      <c r="C5555" s="209"/>
      <c r="D5555" s="209"/>
      <c r="E5555" s="209"/>
      <c r="J5555" s="124"/>
    </row>
    <row r="5556" spans="3:10" x14ac:dyDescent="0.2">
      <c r="C5556" s="209"/>
      <c r="D5556" s="209"/>
      <c r="E5556" s="209"/>
      <c r="J5556" s="124"/>
    </row>
    <row r="5557" spans="3:10" x14ac:dyDescent="0.2">
      <c r="C5557" s="209"/>
      <c r="D5557" s="209"/>
      <c r="E5557" s="209"/>
      <c r="J5557" s="124"/>
    </row>
    <row r="5558" spans="3:10" x14ac:dyDescent="0.2">
      <c r="C5558" s="209"/>
      <c r="D5558" s="209"/>
      <c r="E5558" s="209"/>
      <c r="J5558" s="124"/>
    </row>
    <row r="5559" spans="3:10" x14ac:dyDescent="0.2">
      <c r="C5559" s="209"/>
      <c r="D5559" s="209"/>
      <c r="E5559" s="209"/>
      <c r="J5559" s="124"/>
    </row>
    <row r="5560" spans="3:10" x14ac:dyDescent="0.2">
      <c r="C5560" s="209"/>
      <c r="D5560" s="209"/>
      <c r="E5560" s="209"/>
      <c r="J5560" s="124"/>
    </row>
    <row r="5561" spans="3:10" x14ac:dyDescent="0.2">
      <c r="C5561" s="209"/>
      <c r="D5561" s="209"/>
      <c r="E5561" s="209"/>
      <c r="J5561" s="124"/>
    </row>
    <row r="5562" spans="3:10" x14ac:dyDescent="0.2">
      <c r="C5562" s="209"/>
      <c r="D5562" s="209"/>
      <c r="E5562" s="209"/>
      <c r="J5562" s="124"/>
    </row>
    <row r="5563" spans="3:10" x14ac:dyDescent="0.2">
      <c r="C5563" s="209"/>
      <c r="D5563" s="209"/>
      <c r="E5563" s="209"/>
      <c r="J5563" s="124"/>
    </row>
    <row r="5564" spans="3:10" x14ac:dyDescent="0.2">
      <c r="C5564" s="209"/>
      <c r="D5564" s="209"/>
      <c r="E5564" s="209"/>
      <c r="J5564" s="124"/>
    </row>
    <row r="5565" spans="3:10" x14ac:dyDescent="0.2">
      <c r="C5565" s="209"/>
      <c r="D5565" s="209"/>
      <c r="E5565" s="209"/>
      <c r="J5565" s="124"/>
    </row>
    <row r="5566" spans="3:10" x14ac:dyDescent="0.2">
      <c r="C5566" s="209"/>
      <c r="D5566" s="209"/>
      <c r="E5566" s="209"/>
      <c r="J5566" s="124"/>
    </row>
    <row r="5567" spans="3:10" x14ac:dyDescent="0.2">
      <c r="C5567" s="209"/>
      <c r="D5567" s="209"/>
      <c r="E5567" s="209"/>
      <c r="J5567" s="124"/>
    </row>
    <row r="5568" spans="3:10" x14ac:dyDescent="0.2">
      <c r="C5568" s="209"/>
      <c r="D5568" s="209"/>
      <c r="E5568" s="209"/>
      <c r="J5568" s="124"/>
    </row>
    <row r="5569" spans="3:10" x14ac:dyDescent="0.2">
      <c r="C5569" s="209"/>
      <c r="D5569" s="209"/>
      <c r="E5569" s="209"/>
      <c r="J5569" s="124"/>
    </row>
    <row r="5570" spans="3:10" x14ac:dyDescent="0.2">
      <c r="C5570" s="209"/>
      <c r="D5570" s="209"/>
      <c r="E5570" s="209"/>
      <c r="J5570" s="124"/>
    </row>
    <row r="5571" spans="3:10" x14ac:dyDescent="0.2">
      <c r="C5571" s="209"/>
      <c r="D5571" s="209"/>
      <c r="E5571" s="209"/>
      <c r="J5571" s="124"/>
    </row>
    <row r="5572" spans="3:10" x14ac:dyDescent="0.2">
      <c r="C5572" s="209"/>
      <c r="D5572" s="209"/>
      <c r="E5572" s="209"/>
      <c r="J5572" s="124"/>
    </row>
    <row r="5573" spans="3:10" x14ac:dyDescent="0.2">
      <c r="C5573" s="209"/>
      <c r="D5573" s="209"/>
      <c r="E5573" s="209"/>
      <c r="J5573" s="124"/>
    </row>
    <row r="5574" spans="3:10" x14ac:dyDescent="0.2">
      <c r="C5574" s="209"/>
      <c r="D5574" s="209"/>
      <c r="E5574" s="209"/>
      <c r="J5574" s="124"/>
    </row>
    <row r="5575" spans="3:10" x14ac:dyDescent="0.2">
      <c r="C5575" s="209"/>
      <c r="D5575" s="209"/>
      <c r="E5575" s="209"/>
      <c r="J5575" s="124"/>
    </row>
    <row r="5576" spans="3:10" x14ac:dyDescent="0.2">
      <c r="C5576" s="209"/>
      <c r="D5576" s="209"/>
      <c r="E5576" s="209"/>
      <c r="J5576" s="124"/>
    </row>
    <row r="5577" spans="3:10" x14ac:dyDescent="0.2">
      <c r="C5577" s="209"/>
      <c r="D5577" s="209"/>
      <c r="E5577" s="209"/>
      <c r="J5577" s="124"/>
    </row>
    <row r="5578" spans="3:10" x14ac:dyDescent="0.2">
      <c r="C5578" s="209"/>
      <c r="D5578" s="209"/>
      <c r="E5578" s="209"/>
      <c r="J5578" s="124"/>
    </row>
    <row r="5579" spans="3:10" x14ac:dyDescent="0.2">
      <c r="C5579" s="209"/>
      <c r="D5579" s="209"/>
      <c r="E5579" s="209"/>
      <c r="J5579" s="124"/>
    </row>
    <row r="5580" spans="3:10" x14ac:dyDescent="0.2">
      <c r="C5580" s="209"/>
      <c r="D5580" s="209"/>
      <c r="E5580" s="209"/>
      <c r="J5580" s="124"/>
    </row>
    <row r="5581" spans="3:10" x14ac:dyDescent="0.2">
      <c r="C5581" s="209"/>
      <c r="D5581" s="209"/>
      <c r="E5581" s="209"/>
      <c r="J5581" s="124"/>
    </row>
    <row r="5582" spans="3:10" x14ac:dyDescent="0.2">
      <c r="C5582" s="209"/>
      <c r="D5582" s="209"/>
      <c r="E5582" s="209"/>
      <c r="J5582" s="124"/>
    </row>
    <row r="5583" spans="3:10" x14ac:dyDescent="0.2">
      <c r="C5583" s="209"/>
      <c r="D5583" s="209"/>
      <c r="E5583" s="209"/>
      <c r="J5583" s="124"/>
    </row>
    <row r="5584" spans="3:10" x14ac:dyDescent="0.2">
      <c r="C5584" s="209"/>
      <c r="D5584" s="209"/>
      <c r="E5584" s="209"/>
      <c r="J5584" s="124"/>
    </row>
    <row r="5585" spans="3:10" x14ac:dyDescent="0.2">
      <c r="C5585" s="209"/>
      <c r="D5585" s="209"/>
      <c r="E5585" s="209"/>
      <c r="J5585" s="124"/>
    </row>
    <row r="5586" spans="3:10" x14ac:dyDescent="0.2">
      <c r="C5586" s="209"/>
      <c r="D5586" s="209"/>
      <c r="E5586" s="209"/>
      <c r="J5586" s="124"/>
    </row>
    <row r="5587" spans="3:10" x14ac:dyDescent="0.2">
      <c r="C5587" s="209"/>
      <c r="D5587" s="209"/>
      <c r="E5587" s="209"/>
      <c r="J5587" s="124"/>
    </row>
    <row r="5588" spans="3:10" x14ac:dyDescent="0.2">
      <c r="C5588" s="209"/>
      <c r="D5588" s="209"/>
      <c r="E5588" s="209"/>
      <c r="J5588" s="124"/>
    </row>
    <row r="5589" spans="3:10" x14ac:dyDescent="0.2">
      <c r="C5589" s="209"/>
      <c r="D5589" s="209"/>
      <c r="E5589" s="209"/>
      <c r="J5589" s="124"/>
    </row>
    <row r="5590" spans="3:10" x14ac:dyDescent="0.2">
      <c r="C5590" s="209"/>
      <c r="D5590" s="209"/>
      <c r="E5590" s="209"/>
      <c r="J5590" s="124"/>
    </row>
    <row r="5591" spans="3:10" x14ac:dyDescent="0.2">
      <c r="C5591" s="209"/>
      <c r="D5591" s="209"/>
      <c r="E5591" s="209"/>
      <c r="J5591" s="124"/>
    </row>
    <row r="5592" spans="3:10" x14ac:dyDescent="0.2">
      <c r="C5592" s="209"/>
      <c r="D5592" s="209"/>
      <c r="E5592" s="209"/>
      <c r="J5592" s="124"/>
    </row>
    <row r="5593" spans="3:10" x14ac:dyDescent="0.2">
      <c r="C5593" s="209"/>
      <c r="D5593" s="209"/>
      <c r="E5593" s="209"/>
      <c r="J5593" s="124"/>
    </row>
    <row r="5594" spans="3:10" x14ac:dyDescent="0.2">
      <c r="C5594" s="209"/>
      <c r="D5594" s="209"/>
      <c r="E5594" s="209"/>
      <c r="J5594" s="124"/>
    </row>
    <row r="5595" spans="3:10" x14ac:dyDescent="0.2">
      <c r="C5595" s="209"/>
      <c r="D5595" s="209"/>
      <c r="E5595" s="209"/>
      <c r="J5595" s="124"/>
    </row>
    <row r="5596" spans="3:10" x14ac:dyDescent="0.2">
      <c r="C5596" s="209"/>
      <c r="D5596" s="209"/>
      <c r="E5596" s="209"/>
      <c r="J5596" s="124"/>
    </row>
    <row r="5597" spans="3:10" x14ac:dyDescent="0.2">
      <c r="C5597" s="209"/>
      <c r="D5597" s="209"/>
      <c r="E5597" s="209"/>
      <c r="J5597" s="124"/>
    </row>
    <row r="5598" spans="3:10" x14ac:dyDescent="0.2">
      <c r="C5598" s="209"/>
      <c r="D5598" s="209"/>
      <c r="E5598" s="209"/>
      <c r="J5598" s="124"/>
    </row>
    <row r="5599" spans="3:10" x14ac:dyDescent="0.2">
      <c r="C5599" s="209"/>
      <c r="D5599" s="209"/>
      <c r="E5599" s="209"/>
      <c r="J5599" s="124"/>
    </row>
    <row r="5600" spans="3:10" x14ac:dyDescent="0.2">
      <c r="C5600" s="209"/>
      <c r="D5600" s="209"/>
      <c r="E5600" s="209"/>
      <c r="J5600" s="124"/>
    </row>
    <row r="5601" spans="3:10" x14ac:dyDescent="0.2">
      <c r="C5601" s="209"/>
      <c r="D5601" s="209"/>
      <c r="E5601" s="209"/>
      <c r="J5601" s="124"/>
    </row>
    <row r="5602" spans="3:10" x14ac:dyDescent="0.2">
      <c r="C5602" s="209"/>
      <c r="D5602" s="209"/>
      <c r="E5602" s="209"/>
      <c r="J5602" s="124"/>
    </row>
    <row r="5603" spans="3:10" x14ac:dyDescent="0.2">
      <c r="C5603" s="209"/>
      <c r="D5603" s="209"/>
      <c r="E5603" s="209"/>
      <c r="J5603" s="124"/>
    </row>
    <row r="5604" spans="3:10" x14ac:dyDescent="0.2">
      <c r="C5604" s="209"/>
      <c r="D5604" s="209"/>
      <c r="E5604" s="209"/>
      <c r="J5604" s="124"/>
    </row>
    <row r="5605" spans="3:10" x14ac:dyDescent="0.2">
      <c r="C5605" s="209"/>
      <c r="D5605" s="209"/>
      <c r="E5605" s="209"/>
      <c r="J5605" s="124"/>
    </row>
    <row r="5606" spans="3:10" x14ac:dyDescent="0.2">
      <c r="C5606" s="209"/>
      <c r="D5606" s="209"/>
      <c r="E5606" s="209"/>
      <c r="J5606" s="124"/>
    </row>
    <row r="5607" spans="3:10" x14ac:dyDescent="0.2">
      <c r="C5607" s="209"/>
      <c r="D5607" s="209"/>
      <c r="E5607" s="209"/>
      <c r="J5607" s="124"/>
    </row>
    <row r="5608" spans="3:10" x14ac:dyDescent="0.2">
      <c r="C5608" s="209"/>
      <c r="D5608" s="209"/>
      <c r="E5608" s="209"/>
      <c r="J5608" s="124"/>
    </row>
    <row r="5609" spans="3:10" x14ac:dyDescent="0.2">
      <c r="C5609" s="209"/>
      <c r="D5609" s="209"/>
      <c r="E5609" s="209"/>
      <c r="J5609" s="124"/>
    </row>
    <row r="5610" spans="3:10" x14ac:dyDescent="0.2">
      <c r="C5610" s="209"/>
      <c r="D5610" s="209"/>
      <c r="E5610" s="209"/>
      <c r="J5610" s="124"/>
    </row>
    <row r="5611" spans="3:10" x14ac:dyDescent="0.2">
      <c r="C5611" s="209"/>
      <c r="D5611" s="209"/>
      <c r="E5611" s="209"/>
      <c r="J5611" s="124"/>
    </row>
    <row r="5612" spans="3:10" x14ac:dyDescent="0.2">
      <c r="C5612" s="209"/>
      <c r="D5612" s="209"/>
      <c r="E5612" s="209"/>
      <c r="J5612" s="124"/>
    </row>
    <row r="5613" spans="3:10" x14ac:dyDescent="0.2">
      <c r="C5613" s="209"/>
      <c r="D5613" s="209"/>
      <c r="E5613" s="209"/>
      <c r="J5613" s="124"/>
    </row>
    <row r="5614" spans="3:10" x14ac:dyDescent="0.2">
      <c r="C5614" s="209"/>
      <c r="D5614" s="209"/>
      <c r="E5614" s="209"/>
      <c r="J5614" s="124"/>
    </row>
    <row r="5615" spans="3:10" x14ac:dyDescent="0.2">
      <c r="C5615" s="209"/>
      <c r="D5615" s="209"/>
      <c r="E5615" s="209"/>
      <c r="J5615" s="124"/>
    </row>
    <row r="5616" spans="3:10" x14ac:dyDescent="0.2">
      <c r="C5616" s="209"/>
      <c r="D5616" s="209"/>
      <c r="E5616" s="209"/>
      <c r="J5616" s="124"/>
    </row>
    <row r="5617" spans="3:10" x14ac:dyDescent="0.2">
      <c r="C5617" s="209"/>
      <c r="D5617" s="209"/>
      <c r="E5617" s="209"/>
      <c r="J5617" s="124"/>
    </row>
    <row r="5618" spans="3:10" x14ac:dyDescent="0.2">
      <c r="C5618" s="209"/>
      <c r="D5618" s="209"/>
      <c r="E5618" s="209"/>
      <c r="J5618" s="124"/>
    </row>
    <row r="5619" spans="3:10" x14ac:dyDescent="0.2">
      <c r="C5619" s="209"/>
      <c r="D5619" s="209"/>
      <c r="E5619" s="209"/>
      <c r="J5619" s="124"/>
    </row>
    <row r="5620" spans="3:10" x14ac:dyDescent="0.2">
      <c r="C5620" s="209"/>
      <c r="D5620" s="209"/>
      <c r="E5620" s="209"/>
      <c r="J5620" s="124"/>
    </row>
    <row r="5621" spans="3:10" x14ac:dyDescent="0.2">
      <c r="C5621" s="209"/>
      <c r="D5621" s="209"/>
      <c r="E5621" s="209"/>
      <c r="J5621" s="124"/>
    </row>
    <row r="5622" spans="3:10" x14ac:dyDescent="0.2">
      <c r="C5622" s="209"/>
      <c r="D5622" s="209"/>
      <c r="E5622" s="209"/>
      <c r="J5622" s="124"/>
    </row>
    <row r="5623" spans="3:10" x14ac:dyDescent="0.2">
      <c r="C5623" s="209"/>
      <c r="D5623" s="209"/>
      <c r="E5623" s="209"/>
      <c r="J5623" s="124"/>
    </row>
    <row r="5624" spans="3:10" x14ac:dyDescent="0.2">
      <c r="C5624" s="209"/>
      <c r="D5624" s="209"/>
      <c r="E5624" s="209"/>
      <c r="J5624" s="124"/>
    </row>
    <row r="5625" spans="3:10" x14ac:dyDescent="0.2">
      <c r="C5625" s="209"/>
      <c r="D5625" s="209"/>
      <c r="E5625" s="209"/>
      <c r="J5625" s="124"/>
    </row>
    <row r="5626" spans="3:10" x14ac:dyDescent="0.2">
      <c r="C5626" s="209"/>
      <c r="D5626" s="209"/>
      <c r="E5626" s="209"/>
      <c r="J5626" s="124"/>
    </row>
    <row r="5627" spans="3:10" x14ac:dyDescent="0.2">
      <c r="C5627" s="209"/>
      <c r="D5627" s="209"/>
      <c r="E5627" s="209"/>
      <c r="J5627" s="124"/>
    </row>
    <row r="5628" spans="3:10" x14ac:dyDescent="0.2">
      <c r="C5628" s="209"/>
      <c r="D5628" s="209"/>
      <c r="E5628" s="209"/>
      <c r="J5628" s="124"/>
    </row>
    <row r="5629" spans="3:10" x14ac:dyDescent="0.2">
      <c r="C5629" s="209"/>
      <c r="D5629" s="209"/>
      <c r="E5629" s="209"/>
      <c r="J5629" s="124"/>
    </row>
    <row r="5630" spans="3:10" x14ac:dyDescent="0.2">
      <c r="C5630" s="209"/>
      <c r="D5630" s="209"/>
      <c r="E5630" s="209"/>
      <c r="J5630" s="124"/>
    </row>
    <row r="5631" spans="3:10" x14ac:dyDescent="0.2">
      <c r="C5631" s="209"/>
      <c r="D5631" s="209"/>
      <c r="E5631" s="209"/>
      <c r="J5631" s="124"/>
    </row>
    <row r="5632" spans="3:10" x14ac:dyDescent="0.2">
      <c r="C5632" s="209"/>
      <c r="D5632" s="209"/>
      <c r="E5632" s="209"/>
      <c r="J5632" s="124"/>
    </row>
    <row r="5633" spans="3:10" x14ac:dyDescent="0.2">
      <c r="C5633" s="209"/>
      <c r="D5633" s="209"/>
      <c r="E5633" s="209"/>
      <c r="J5633" s="124"/>
    </row>
    <row r="5634" spans="3:10" x14ac:dyDescent="0.2">
      <c r="C5634" s="209"/>
      <c r="D5634" s="209"/>
      <c r="E5634" s="209"/>
      <c r="J5634" s="124"/>
    </row>
    <row r="5635" spans="3:10" x14ac:dyDescent="0.2">
      <c r="C5635" s="209"/>
      <c r="D5635" s="209"/>
      <c r="E5635" s="209"/>
      <c r="J5635" s="124"/>
    </row>
    <row r="5636" spans="3:10" x14ac:dyDescent="0.2">
      <c r="C5636" s="209"/>
      <c r="D5636" s="209"/>
      <c r="E5636" s="209"/>
      <c r="J5636" s="124"/>
    </row>
    <row r="5637" spans="3:10" x14ac:dyDescent="0.2">
      <c r="C5637" s="209"/>
      <c r="D5637" s="209"/>
      <c r="E5637" s="209"/>
      <c r="J5637" s="124"/>
    </row>
    <row r="5638" spans="3:10" x14ac:dyDescent="0.2">
      <c r="C5638" s="209"/>
      <c r="D5638" s="209"/>
      <c r="E5638" s="209"/>
      <c r="J5638" s="124"/>
    </row>
    <row r="5639" spans="3:10" x14ac:dyDescent="0.2">
      <c r="C5639" s="209"/>
      <c r="D5639" s="209"/>
      <c r="E5639" s="209"/>
      <c r="J5639" s="124"/>
    </row>
    <row r="5640" spans="3:10" x14ac:dyDescent="0.2">
      <c r="C5640" s="209"/>
      <c r="D5640" s="209"/>
      <c r="E5640" s="209"/>
      <c r="J5640" s="124"/>
    </row>
    <row r="5641" spans="3:10" x14ac:dyDescent="0.2">
      <c r="C5641" s="209"/>
      <c r="D5641" s="209"/>
      <c r="E5641" s="209"/>
      <c r="J5641" s="124"/>
    </row>
    <row r="5642" spans="3:10" x14ac:dyDescent="0.2">
      <c r="C5642" s="209"/>
      <c r="D5642" s="209"/>
      <c r="E5642" s="209"/>
      <c r="J5642" s="124"/>
    </row>
    <row r="5643" spans="3:10" x14ac:dyDescent="0.2">
      <c r="C5643" s="209"/>
      <c r="D5643" s="209"/>
      <c r="E5643" s="209"/>
      <c r="J5643" s="124"/>
    </row>
    <row r="5644" spans="3:10" x14ac:dyDescent="0.2">
      <c r="C5644" s="209"/>
      <c r="D5644" s="209"/>
      <c r="E5644" s="209"/>
      <c r="J5644" s="124"/>
    </row>
    <row r="5645" spans="3:10" x14ac:dyDescent="0.2">
      <c r="C5645" s="209"/>
      <c r="D5645" s="209"/>
      <c r="E5645" s="209"/>
      <c r="J5645" s="124"/>
    </row>
    <row r="5646" spans="3:10" x14ac:dyDescent="0.2">
      <c r="C5646" s="209"/>
      <c r="D5646" s="209"/>
      <c r="E5646" s="209"/>
      <c r="J5646" s="124"/>
    </row>
    <row r="5647" spans="3:10" x14ac:dyDescent="0.2">
      <c r="C5647" s="209"/>
      <c r="D5647" s="209"/>
      <c r="E5647" s="209"/>
      <c r="J5647" s="124"/>
    </row>
    <row r="5648" spans="3:10" x14ac:dyDescent="0.2">
      <c r="C5648" s="209"/>
      <c r="D5648" s="209"/>
      <c r="E5648" s="209"/>
      <c r="J5648" s="124"/>
    </row>
    <row r="5649" spans="3:10" x14ac:dyDescent="0.2">
      <c r="C5649" s="209"/>
      <c r="D5649" s="209"/>
      <c r="E5649" s="209"/>
      <c r="J5649" s="124"/>
    </row>
    <row r="5650" spans="3:10" x14ac:dyDescent="0.2">
      <c r="C5650" s="209"/>
      <c r="D5650" s="209"/>
      <c r="E5650" s="209"/>
      <c r="J5650" s="124"/>
    </row>
    <row r="5651" spans="3:10" x14ac:dyDescent="0.2">
      <c r="C5651" s="209"/>
      <c r="D5651" s="209"/>
      <c r="E5651" s="209"/>
      <c r="J5651" s="124"/>
    </row>
    <row r="5652" spans="3:10" x14ac:dyDescent="0.2">
      <c r="C5652" s="209"/>
      <c r="D5652" s="209"/>
      <c r="E5652" s="209"/>
      <c r="J5652" s="124"/>
    </row>
    <row r="5653" spans="3:10" x14ac:dyDescent="0.2">
      <c r="C5653" s="209"/>
      <c r="D5653" s="209"/>
      <c r="E5653" s="209"/>
      <c r="J5653" s="124"/>
    </row>
    <row r="5654" spans="3:10" x14ac:dyDescent="0.2">
      <c r="C5654" s="209"/>
      <c r="D5654" s="209"/>
      <c r="E5654" s="209"/>
      <c r="J5654" s="124"/>
    </row>
    <row r="5655" spans="3:10" x14ac:dyDescent="0.2">
      <c r="C5655" s="209"/>
      <c r="D5655" s="209"/>
      <c r="E5655" s="209"/>
      <c r="J5655" s="124"/>
    </row>
    <row r="5656" spans="3:10" x14ac:dyDescent="0.2">
      <c r="C5656" s="209"/>
      <c r="D5656" s="209"/>
      <c r="E5656" s="209"/>
      <c r="J5656" s="124"/>
    </row>
    <row r="5657" spans="3:10" x14ac:dyDescent="0.2">
      <c r="C5657" s="209"/>
      <c r="D5657" s="209"/>
      <c r="E5657" s="209"/>
      <c r="J5657" s="124"/>
    </row>
    <row r="5658" spans="3:10" x14ac:dyDescent="0.2">
      <c r="C5658" s="209"/>
      <c r="D5658" s="209"/>
      <c r="E5658" s="209"/>
      <c r="J5658" s="124"/>
    </row>
    <row r="5659" spans="3:10" x14ac:dyDescent="0.2">
      <c r="C5659" s="209"/>
      <c r="D5659" s="209"/>
      <c r="E5659" s="209"/>
      <c r="J5659" s="124"/>
    </row>
    <row r="5660" spans="3:10" x14ac:dyDescent="0.2">
      <c r="C5660" s="209"/>
      <c r="D5660" s="209"/>
      <c r="E5660" s="209"/>
      <c r="J5660" s="124"/>
    </row>
    <row r="5661" spans="3:10" x14ac:dyDescent="0.2">
      <c r="C5661" s="209"/>
      <c r="D5661" s="209"/>
      <c r="E5661" s="209"/>
      <c r="J5661" s="124"/>
    </row>
    <row r="5662" spans="3:10" x14ac:dyDescent="0.2">
      <c r="C5662" s="209"/>
      <c r="D5662" s="209"/>
      <c r="E5662" s="209"/>
      <c r="J5662" s="124"/>
    </row>
    <row r="5663" spans="3:10" x14ac:dyDescent="0.2">
      <c r="C5663" s="209"/>
      <c r="D5663" s="209"/>
      <c r="E5663" s="209"/>
      <c r="J5663" s="124"/>
    </row>
    <row r="5664" spans="3:10" x14ac:dyDescent="0.2">
      <c r="C5664" s="209"/>
      <c r="D5664" s="209"/>
      <c r="E5664" s="209"/>
      <c r="J5664" s="124"/>
    </row>
    <row r="5665" spans="3:10" x14ac:dyDescent="0.2">
      <c r="C5665" s="209"/>
      <c r="D5665" s="209"/>
      <c r="E5665" s="209"/>
      <c r="J5665" s="124"/>
    </row>
    <row r="5666" spans="3:10" x14ac:dyDescent="0.2">
      <c r="C5666" s="209"/>
      <c r="D5666" s="209"/>
      <c r="E5666" s="209"/>
      <c r="J5666" s="124"/>
    </row>
    <row r="5667" spans="3:10" x14ac:dyDescent="0.2">
      <c r="C5667" s="209"/>
      <c r="D5667" s="209"/>
      <c r="E5667" s="209"/>
      <c r="J5667" s="124"/>
    </row>
    <row r="5668" spans="3:10" x14ac:dyDescent="0.2">
      <c r="C5668" s="209"/>
      <c r="D5668" s="209"/>
      <c r="E5668" s="209"/>
      <c r="J5668" s="124"/>
    </row>
    <row r="5669" spans="3:10" x14ac:dyDescent="0.2">
      <c r="C5669" s="209"/>
      <c r="D5669" s="209"/>
      <c r="E5669" s="209"/>
      <c r="J5669" s="124"/>
    </row>
    <row r="5670" spans="3:10" x14ac:dyDescent="0.2">
      <c r="C5670" s="209"/>
      <c r="D5670" s="209"/>
      <c r="E5670" s="209"/>
      <c r="J5670" s="124"/>
    </row>
    <row r="5671" spans="3:10" x14ac:dyDescent="0.2">
      <c r="C5671" s="209"/>
      <c r="D5671" s="209"/>
      <c r="E5671" s="209"/>
      <c r="J5671" s="124"/>
    </row>
    <row r="5672" spans="3:10" x14ac:dyDescent="0.2">
      <c r="C5672" s="209"/>
      <c r="D5672" s="209"/>
      <c r="E5672" s="209"/>
      <c r="J5672" s="124"/>
    </row>
    <row r="5673" spans="3:10" x14ac:dyDescent="0.2">
      <c r="C5673" s="209"/>
      <c r="D5673" s="209"/>
      <c r="E5673" s="209"/>
      <c r="J5673" s="124"/>
    </row>
    <row r="5674" spans="3:10" x14ac:dyDescent="0.2">
      <c r="C5674" s="209"/>
      <c r="D5674" s="209"/>
      <c r="E5674" s="209"/>
      <c r="J5674" s="124"/>
    </row>
    <row r="5675" spans="3:10" x14ac:dyDescent="0.2">
      <c r="C5675" s="209"/>
      <c r="D5675" s="209"/>
      <c r="E5675" s="209"/>
      <c r="J5675" s="124"/>
    </row>
    <row r="5676" spans="3:10" x14ac:dyDescent="0.2">
      <c r="C5676" s="209"/>
      <c r="D5676" s="209"/>
      <c r="E5676" s="209"/>
      <c r="J5676" s="124"/>
    </row>
    <row r="5677" spans="3:10" x14ac:dyDescent="0.2">
      <c r="C5677" s="209"/>
      <c r="D5677" s="209"/>
      <c r="E5677" s="209"/>
      <c r="J5677" s="124"/>
    </row>
    <row r="5678" spans="3:10" x14ac:dyDescent="0.2">
      <c r="C5678" s="209"/>
      <c r="D5678" s="209"/>
      <c r="E5678" s="209"/>
      <c r="J5678" s="124"/>
    </row>
    <row r="5679" spans="3:10" x14ac:dyDescent="0.2">
      <c r="C5679" s="209"/>
      <c r="D5679" s="209"/>
      <c r="E5679" s="209"/>
      <c r="J5679" s="124"/>
    </row>
    <row r="5680" spans="3:10" x14ac:dyDescent="0.2">
      <c r="C5680" s="209"/>
      <c r="D5680" s="209"/>
      <c r="E5680" s="209"/>
      <c r="J5680" s="124"/>
    </row>
    <row r="5681" spans="3:10" x14ac:dyDescent="0.2">
      <c r="C5681" s="209"/>
      <c r="D5681" s="209"/>
      <c r="E5681" s="209"/>
      <c r="J5681" s="124"/>
    </row>
    <row r="5682" spans="3:10" x14ac:dyDescent="0.2">
      <c r="C5682" s="209"/>
      <c r="D5682" s="209"/>
      <c r="E5682" s="209"/>
      <c r="J5682" s="124"/>
    </row>
    <row r="5683" spans="3:10" x14ac:dyDescent="0.2">
      <c r="C5683" s="209"/>
      <c r="D5683" s="209"/>
      <c r="E5683" s="209"/>
      <c r="J5683" s="124"/>
    </row>
    <row r="5684" spans="3:10" x14ac:dyDescent="0.2">
      <c r="C5684" s="209"/>
      <c r="D5684" s="209"/>
      <c r="E5684" s="209"/>
      <c r="J5684" s="124"/>
    </row>
    <row r="5685" spans="3:10" x14ac:dyDescent="0.2">
      <c r="C5685" s="209"/>
      <c r="D5685" s="209"/>
      <c r="E5685" s="209"/>
      <c r="J5685" s="124"/>
    </row>
    <row r="5686" spans="3:10" x14ac:dyDescent="0.2">
      <c r="C5686" s="209"/>
      <c r="D5686" s="209"/>
      <c r="E5686" s="209"/>
      <c r="J5686" s="124"/>
    </row>
    <row r="5687" spans="3:10" x14ac:dyDescent="0.2">
      <c r="C5687" s="209"/>
      <c r="D5687" s="209"/>
      <c r="E5687" s="209"/>
      <c r="J5687" s="124"/>
    </row>
    <row r="5688" spans="3:10" x14ac:dyDescent="0.2">
      <c r="C5688" s="209"/>
      <c r="D5688" s="209"/>
      <c r="E5688" s="209"/>
      <c r="J5688" s="124"/>
    </row>
    <row r="5689" spans="3:10" x14ac:dyDescent="0.2">
      <c r="C5689" s="209"/>
      <c r="D5689" s="209"/>
      <c r="E5689" s="209"/>
      <c r="J5689" s="124"/>
    </row>
    <row r="5690" spans="3:10" x14ac:dyDescent="0.2">
      <c r="C5690" s="209"/>
      <c r="D5690" s="209"/>
      <c r="E5690" s="209"/>
      <c r="J5690" s="124"/>
    </row>
    <row r="5691" spans="3:10" x14ac:dyDescent="0.2">
      <c r="C5691" s="209"/>
      <c r="D5691" s="209"/>
      <c r="E5691" s="209"/>
      <c r="J5691" s="124"/>
    </row>
    <row r="5692" spans="3:10" x14ac:dyDescent="0.2">
      <c r="C5692" s="209"/>
      <c r="D5692" s="209"/>
      <c r="E5692" s="209"/>
      <c r="J5692" s="124"/>
    </row>
    <row r="5693" spans="3:10" x14ac:dyDescent="0.2">
      <c r="C5693" s="209"/>
      <c r="D5693" s="209"/>
      <c r="E5693" s="209"/>
      <c r="J5693" s="124"/>
    </row>
    <row r="5694" spans="3:10" x14ac:dyDescent="0.2">
      <c r="C5694" s="209"/>
      <c r="D5694" s="209"/>
      <c r="E5694" s="209"/>
      <c r="J5694" s="124"/>
    </row>
    <row r="5695" spans="3:10" x14ac:dyDescent="0.2">
      <c r="C5695" s="209"/>
      <c r="D5695" s="209"/>
      <c r="E5695" s="209"/>
      <c r="J5695" s="124"/>
    </row>
    <row r="5696" spans="3:10" x14ac:dyDescent="0.2">
      <c r="C5696" s="209"/>
      <c r="D5696" s="209"/>
      <c r="E5696" s="209"/>
      <c r="J5696" s="124"/>
    </row>
    <row r="5697" spans="3:10" x14ac:dyDescent="0.2">
      <c r="C5697" s="209"/>
      <c r="D5697" s="209"/>
      <c r="E5697" s="209"/>
      <c r="J5697" s="124"/>
    </row>
    <row r="5698" spans="3:10" x14ac:dyDescent="0.2">
      <c r="C5698" s="209"/>
      <c r="D5698" s="209"/>
      <c r="E5698" s="209"/>
      <c r="J5698" s="124"/>
    </row>
    <row r="5699" spans="3:10" x14ac:dyDescent="0.2">
      <c r="C5699" s="209"/>
      <c r="D5699" s="209"/>
      <c r="E5699" s="209"/>
      <c r="J5699" s="124"/>
    </row>
    <row r="5700" spans="3:10" x14ac:dyDescent="0.2">
      <c r="C5700" s="209"/>
      <c r="D5700" s="209"/>
      <c r="E5700" s="209"/>
      <c r="J5700" s="124"/>
    </row>
    <row r="5701" spans="3:10" x14ac:dyDescent="0.2">
      <c r="C5701" s="209"/>
      <c r="D5701" s="209"/>
      <c r="E5701" s="209"/>
      <c r="J5701" s="124"/>
    </row>
    <row r="5702" spans="3:10" x14ac:dyDescent="0.2">
      <c r="C5702" s="209"/>
      <c r="D5702" s="209"/>
      <c r="E5702" s="209"/>
      <c r="J5702" s="124"/>
    </row>
    <row r="5703" spans="3:10" x14ac:dyDescent="0.2">
      <c r="C5703" s="209"/>
      <c r="D5703" s="209"/>
      <c r="E5703" s="209"/>
      <c r="J5703" s="124"/>
    </row>
    <row r="5704" spans="3:10" x14ac:dyDescent="0.2">
      <c r="C5704" s="209"/>
      <c r="D5704" s="209"/>
      <c r="E5704" s="209"/>
      <c r="J5704" s="124"/>
    </row>
    <row r="5705" spans="3:10" x14ac:dyDescent="0.2">
      <c r="C5705" s="209"/>
      <c r="D5705" s="209"/>
      <c r="E5705" s="209"/>
      <c r="J5705" s="124"/>
    </row>
    <row r="5706" spans="3:10" x14ac:dyDescent="0.2">
      <c r="C5706" s="209"/>
      <c r="D5706" s="209"/>
      <c r="E5706" s="209"/>
      <c r="J5706" s="124"/>
    </row>
    <row r="5707" spans="3:10" x14ac:dyDescent="0.2">
      <c r="C5707" s="209"/>
      <c r="D5707" s="209"/>
      <c r="E5707" s="209"/>
      <c r="J5707" s="124"/>
    </row>
    <row r="5708" spans="3:10" x14ac:dyDescent="0.2">
      <c r="C5708" s="209"/>
      <c r="D5708" s="209"/>
      <c r="E5708" s="209"/>
      <c r="J5708" s="124"/>
    </row>
    <row r="5709" spans="3:10" x14ac:dyDescent="0.2">
      <c r="C5709" s="209"/>
      <c r="D5709" s="209"/>
      <c r="E5709" s="209"/>
      <c r="J5709" s="124"/>
    </row>
    <row r="5710" spans="3:10" x14ac:dyDescent="0.2">
      <c r="C5710" s="209"/>
      <c r="D5710" s="209"/>
      <c r="E5710" s="209"/>
      <c r="J5710" s="124"/>
    </row>
    <row r="5711" spans="3:10" x14ac:dyDescent="0.2">
      <c r="C5711" s="209"/>
      <c r="D5711" s="209"/>
      <c r="E5711" s="209"/>
      <c r="J5711" s="124"/>
    </row>
    <row r="5712" spans="3:10" x14ac:dyDescent="0.2">
      <c r="C5712" s="209"/>
      <c r="D5712" s="209"/>
      <c r="E5712" s="209"/>
      <c r="J5712" s="124"/>
    </row>
    <row r="5713" spans="3:10" x14ac:dyDescent="0.2">
      <c r="C5713" s="209"/>
      <c r="D5713" s="209"/>
      <c r="E5713" s="209"/>
      <c r="J5713" s="124"/>
    </row>
    <row r="5714" spans="3:10" x14ac:dyDescent="0.2">
      <c r="C5714" s="209"/>
      <c r="D5714" s="209"/>
      <c r="E5714" s="209"/>
      <c r="J5714" s="124"/>
    </row>
    <row r="5715" spans="3:10" x14ac:dyDescent="0.2">
      <c r="C5715" s="209"/>
      <c r="D5715" s="209"/>
      <c r="E5715" s="209"/>
      <c r="J5715" s="124"/>
    </row>
    <row r="5716" spans="3:10" x14ac:dyDescent="0.2">
      <c r="C5716" s="209"/>
      <c r="D5716" s="209"/>
      <c r="E5716" s="209"/>
      <c r="J5716" s="124"/>
    </row>
    <row r="5717" spans="3:10" x14ac:dyDescent="0.2">
      <c r="C5717" s="209"/>
      <c r="D5717" s="209"/>
      <c r="E5717" s="209"/>
      <c r="J5717" s="124"/>
    </row>
    <row r="5718" spans="3:10" x14ac:dyDescent="0.2">
      <c r="C5718" s="209"/>
      <c r="D5718" s="209"/>
      <c r="E5718" s="209"/>
      <c r="J5718" s="124"/>
    </row>
    <row r="5719" spans="3:10" x14ac:dyDescent="0.2">
      <c r="C5719" s="209"/>
      <c r="D5719" s="209"/>
      <c r="E5719" s="209"/>
      <c r="J5719" s="124"/>
    </row>
    <row r="5720" spans="3:10" x14ac:dyDescent="0.2">
      <c r="C5720" s="209"/>
      <c r="D5720" s="209"/>
      <c r="E5720" s="209"/>
      <c r="J5720" s="124"/>
    </row>
    <row r="5721" spans="3:10" x14ac:dyDescent="0.2">
      <c r="C5721" s="209"/>
      <c r="D5721" s="209"/>
      <c r="E5721" s="209"/>
      <c r="J5721" s="124"/>
    </row>
    <row r="5722" spans="3:10" x14ac:dyDescent="0.2">
      <c r="C5722" s="209"/>
      <c r="D5722" s="209"/>
      <c r="E5722" s="209"/>
      <c r="J5722" s="124"/>
    </row>
    <row r="5723" spans="3:10" x14ac:dyDescent="0.2">
      <c r="C5723" s="209"/>
      <c r="D5723" s="209"/>
      <c r="E5723" s="209"/>
      <c r="J5723" s="124"/>
    </row>
    <row r="5724" spans="3:10" x14ac:dyDescent="0.2">
      <c r="C5724" s="209"/>
      <c r="D5724" s="209"/>
      <c r="E5724" s="209"/>
      <c r="J5724" s="124"/>
    </row>
    <row r="5725" spans="3:10" x14ac:dyDescent="0.2">
      <c r="C5725" s="209"/>
      <c r="D5725" s="209"/>
      <c r="E5725" s="209"/>
      <c r="J5725" s="124"/>
    </row>
    <row r="5726" spans="3:10" x14ac:dyDescent="0.2">
      <c r="C5726" s="209"/>
      <c r="D5726" s="209"/>
      <c r="E5726" s="209"/>
      <c r="J5726" s="124"/>
    </row>
    <row r="5727" spans="3:10" x14ac:dyDescent="0.2">
      <c r="C5727" s="209"/>
      <c r="D5727" s="209"/>
      <c r="E5727" s="209"/>
      <c r="J5727" s="124"/>
    </row>
    <row r="5728" spans="3:10" x14ac:dyDescent="0.2">
      <c r="C5728" s="209"/>
      <c r="D5728" s="209"/>
      <c r="E5728" s="209"/>
      <c r="J5728" s="124"/>
    </row>
    <row r="5729" spans="3:10" x14ac:dyDescent="0.2">
      <c r="C5729" s="209"/>
      <c r="D5729" s="209"/>
      <c r="E5729" s="209"/>
      <c r="J5729" s="124"/>
    </row>
    <row r="5730" spans="3:10" x14ac:dyDescent="0.2">
      <c r="C5730" s="209"/>
      <c r="D5730" s="209"/>
      <c r="E5730" s="209"/>
      <c r="J5730" s="124"/>
    </row>
    <row r="5731" spans="3:10" x14ac:dyDescent="0.2">
      <c r="C5731" s="209"/>
      <c r="D5731" s="209"/>
      <c r="E5731" s="209"/>
      <c r="J5731" s="124"/>
    </row>
    <row r="5732" spans="3:10" x14ac:dyDescent="0.2">
      <c r="C5732" s="209"/>
      <c r="D5732" s="209"/>
      <c r="E5732" s="209"/>
      <c r="J5732" s="124"/>
    </row>
    <row r="5733" spans="3:10" x14ac:dyDescent="0.2">
      <c r="C5733" s="209"/>
      <c r="D5733" s="209"/>
      <c r="E5733" s="209"/>
      <c r="J5733" s="124"/>
    </row>
    <row r="5734" spans="3:10" x14ac:dyDescent="0.2">
      <c r="C5734" s="209"/>
      <c r="D5734" s="209"/>
      <c r="E5734" s="209"/>
      <c r="J5734" s="124"/>
    </row>
    <row r="5735" spans="3:10" x14ac:dyDescent="0.2">
      <c r="C5735" s="209"/>
      <c r="D5735" s="209"/>
      <c r="E5735" s="209"/>
      <c r="J5735" s="124"/>
    </row>
    <row r="5736" spans="3:10" x14ac:dyDescent="0.2">
      <c r="C5736" s="209"/>
      <c r="D5736" s="209"/>
      <c r="E5736" s="209"/>
      <c r="J5736" s="124"/>
    </row>
    <row r="5737" spans="3:10" x14ac:dyDescent="0.2">
      <c r="C5737" s="209"/>
      <c r="D5737" s="209"/>
      <c r="E5737" s="209"/>
      <c r="J5737" s="124"/>
    </row>
    <row r="5738" spans="3:10" x14ac:dyDescent="0.2">
      <c r="C5738" s="209"/>
      <c r="D5738" s="209"/>
      <c r="E5738" s="209"/>
      <c r="J5738" s="124"/>
    </row>
    <row r="5739" spans="3:10" x14ac:dyDescent="0.2">
      <c r="C5739" s="209"/>
      <c r="D5739" s="209"/>
      <c r="E5739" s="209"/>
      <c r="J5739" s="124"/>
    </row>
    <row r="5740" spans="3:10" x14ac:dyDescent="0.2">
      <c r="C5740" s="209"/>
      <c r="D5740" s="209"/>
      <c r="E5740" s="209"/>
      <c r="J5740" s="124"/>
    </row>
    <row r="5741" spans="3:10" x14ac:dyDescent="0.2">
      <c r="C5741" s="209"/>
      <c r="D5741" s="209"/>
      <c r="E5741" s="209"/>
      <c r="J5741" s="124"/>
    </row>
    <row r="5742" spans="3:10" x14ac:dyDescent="0.2">
      <c r="C5742" s="209"/>
      <c r="D5742" s="209"/>
      <c r="E5742" s="209"/>
      <c r="J5742" s="124"/>
    </row>
    <row r="5743" spans="3:10" x14ac:dyDescent="0.2">
      <c r="C5743" s="209"/>
      <c r="D5743" s="209"/>
      <c r="E5743" s="209"/>
      <c r="J5743" s="124"/>
    </row>
    <row r="5744" spans="3:10" x14ac:dyDescent="0.2">
      <c r="C5744" s="209"/>
      <c r="D5744" s="209"/>
      <c r="E5744" s="209"/>
      <c r="J5744" s="124"/>
    </row>
    <row r="5745" spans="3:10" x14ac:dyDescent="0.2">
      <c r="C5745" s="209"/>
      <c r="D5745" s="209"/>
      <c r="E5745" s="209"/>
      <c r="J5745" s="124"/>
    </row>
    <row r="5746" spans="3:10" x14ac:dyDescent="0.2">
      <c r="C5746" s="209"/>
      <c r="D5746" s="209"/>
      <c r="E5746" s="209"/>
      <c r="J5746" s="124"/>
    </row>
    <row r="5747" spans="3:10" x14ac:dyDescent="0.2">
      <c r="C5747" s="209"/>
      <c r="D5747" s="209"/>
      <c r="E5747" s="209"/>
      <c r="J5747" s="124"/>
    </row>
    <row r="5748" spans="3:10" x14ac:dyDescent="0.2">
      <c r="C5748" s="209"/>
      <c r="D5748" s="209"/>
      <c r="E5748" s="209"/>
      <c r="J5748" s="124"/>
    </row>
    <row r="5749" spans="3:10" x14ac:dyDescent="0.2">
      <c r="C5749" s="209"/>
      <c r="D5749" s="209"/>
      <c r="E5749" s="209"/>
      <c r="J5749" s="124"/>
    </row>
    <row r="5750" spans="3:10" x14ac:dyDescent="0.2">
      <c r="C5750" s="209"/>
      <c r="D5750" s="209"/>
      <c r="E5750" s="209"/>
      <c r="J5750" s="124"/>
    </row>
    <row r="5751" spans="3:10" x14ac:dyDescent="0.2">
      <c r="C5751" s="209"/>
      <c r="D5751" s="209"/>
      <c r="E5751" s="209"/>
      <c r="J5751" s="124"/>
    </row>
    <row r="5752" spans="3:10" x14ac:dyDescent="0.2">
      <c r="C5752" s="209"/>
      <c r="D5752" s="209"/>
      <c r="E5752" s="209"/>
      <c r="J5752" s="124"/>
    </row>
    <row r="5753" spans="3:10" x14ac:dyDescent="0.2">
      <c r="C5753" s="209"/>
      <c r="D5753" s="209"/>
      <c r="E5753" s="209"/>
      <c r="J5753" s="124"/>
    </row>
    <row r="5754" spans="3:10" x14ac:dyDescent="0.2">
      <c r="C5754" s="209"/>
      <c r="D5754" s="209"/>
      <c r="E5754" s="209"/>
      <c r="J5754" s="124"/>
    </row>
    <row r="5755" spans="3:10" x14ac:dyDescent="0.2">
      <c r="C5755" s="209"/>
      <c r="D5755" s="209"/>
      <c r="E5755" s="209"/>
      <c r="J5755" s="124"/>
    </row>
    <row r="5756" spans="3:10" x14ac:dyDescent="0.2">
      <c r="C5756" s="209"/>
      <c r="D5756" s="209"/>
      <c r="E5756" s="209"/>
      <c r="J5756" s="124"/>
    </row>
    <row r="5757" spans="3:10" x14ac:dyDescent="0.2">
      <c r="C5757" s="209"/>
      <c r="D5757" s="209"/>
      <c r="E5757" s="209"/>
      <c r="J5757" s="124"/>
    </row>
    <row r="5758" spans="3:10" x14ac:dyDescent="0.2">
      <c r="C5758" s="209"/>
      <c r="D5758" s="209"/>
      <c r="E5758" s="209"/>
      <c r="J5758" s="124"/>
    </row>
    <row r="5759" spans="3:10" x14ac:dyDescent="0.2">
      <c r="C5759" s="209"/>
      <c r="D5759" s="209"/>
      <c r="E5759" s="209"/>
      <c r="J5759" s="124"/>
    </row>
    <row r="5760" spans="3:10" x14ac:dyDescent="0.2">
      <c r="C5760" s="209"/>
      <c r="D5760" s="209"/>
      <c r="E5760" s="209"/>
      <c r="J5760" s="124"/>
    </row>
    <row r="5761" spans="3:10" x14ac:dyDescent="0.2">
      <c r="C5761" s="209"/>
      <c r="D5761" s="209"/>
      <c r="E5761" s="209"/>
      <c r="J5761" s="124"/>
    </row>
    <row r="5762" spans="3:10" x14ac:dyDescent="0.2">
      <c r="C5762" s="209"/>
      <c r="D5762" s="209"/>
      <c r="E5762" s="209"/>
      <c r="J5762" s="124"/>
    </row>
    <row r="5763" spans="3:10" x14ac:dyDescent="0.2">
      <c r="C5763" s="209"/>
      <c r="D5763" s="209"/>
      <c r="E5763" s="209"/>
      <c r="J5763" s="124"/>
    </row>
    <row r="5764" spans="3:10" x14ac:dyDescent="0.2">
      <c r="C5764" s="209"/>
      <c r="D5764" s="209"/>
      <c r="E5764" s="209"/>
      <c r="J5764" s="124"/>
    </row>
    <row r="5765" spans="3:10" x14ac:dyDescent="0.2">
      <c r="C5765" s="209"/>
      <c r="D5765" s="209"/>
      <c r="E5765" s="209"/>
      <c r="J5765" s="124"/>
    </row>
    <row r="5766" spans="3:10" x14ac:dyDescent="0.2">
      <c r="C5766" s="209"/>
      <c r="D5766" s="209"/>
      <c r="E5766" s="209"/>
      <c r="J5766" s="124"/>
    </row>
    <row r="5767" spans="3:10" x14ac:dyDescent="0.2">
      <c r="C5767" s="209"/>
      <c r="D5767" s="209"/>
      <c r="E5767" s="209"/>
      <c r="J5767" s="124"/>
    </row>
    <row r="5768" spans="3:10" x14ac:dyDescent="0.2">
      <c r="C5768" s="209"/>
      <c r="D5768" s="209"/>
      <c r="E5768" s="209"/>
      <c r="J5768" s="124"/>
    </row>
    <row r="5769" spans="3:10" x14ac:dyDescent="0.2">
      <c r="C5769" s="209"/>
      <c r="D5769" s="209"/>
      <c r="E5769" s="209"/>
      <c r="J5769" s="124"/>
    </row>
    <row r="5770" spans="3:10" x14ac:dyDescent="0.2">
      <c r="C5770" s="209"/>
      <c r="D5770" s="209"/>
      <c r="E5770" s="209"/>
      <c r="J5770" s="124"/>
    </row>
    <row r="5771" spans="3:10" x14ac:dyDescent="0.2">
      <c r="C5771" s="209"/>
      <c r="D5771" s="209"/>
      <c r="E5771" s="209"/>
      <c r="J5771" s="124"/>
    </row>
    <row r="5772" spans="3:10" x14ac:dyDescent="0.2">
      <c r="C5772" s="209"/>
      <c r="D5772" s="209"/>
      <c r="E5772" s="209"/>
      <c r="J5772" s="124"/>
    </row>
    <row r="5773" spans="3:10" x14ac:dyDescent="0.2">
      <c r="C5773" s="209"/>
      <c r="D5773" s="209"/>
      <c r="E5773" s="209"/>
      <c r="J5773" s="124"/>
    </row>
    <row r="5774" spans="3:10" x14ac:dyDescent="0.2">
      <c r="C5774" s="209"/>
      <c r="D5774" s="209"/>
      <c r="E5774" s="209"/>
      <c r="J5774" s="124"/>
    </row>
    <row r="5775" spans="3:10" x14ac:dyDescent="0.2">
      <c r="C5775" s="209"/>
      <c r="D5775" s="209"/>
      <c r="E5775" s="209"/>
      <c r="J5775" s="124"/>
    </row>
    <row r="5776" spans="3:10" x14ac:dyDescent="0.2">
      <c r="C5776" s="209"/>
      <c r="D5776" s="209"/>
      <c r="E5776" s="209"/>
      <c r="J5776" s="124"/>
    </row>
    <row r="5777" spans="3:10" x14ac:dyDescent="0.2">
      <c r="C5777" s="209"/>
      <c r="D5777" s="209"/>
      <c r="E5777" s="209"/>
      <c r="J5777" s="124"/>
    </row>
    <row r="5778" spans="3:10" x14ac:dyDescent="0.2">
      <c r="C5778" s="209"/>
      <c r="D5778" s="209"/>
      <c r="E5778" s="209"/>
      <c r="J5778" s="124"/>
    </row>
    <row r="5779" spans="3:10" x14ac:dyDescent="0.2">
      <c r="C5779" s="209"/>
      <c r="D5779" s="209"/>
      <c r="E5779" s="209"/>
      <c r="J5779" s="124"/>
    </row>
    <row r="5780" spans="3:10" x14ac:dyDescent="0.2">
      <c r="C5780" s="209"/>
      <c r="D5780" s="209"/>
      <c r="E5780" s="209"/>
      <c r="J5780" s="124"/>
    </row>
    <row r="5781" spans="3:10" x14ac:dyDescent="0.2">
      <c r="C5781" s="209"/>
      <c r="D5781" s="209"/>
      <c r="E5781" s="209"/>
      <c r="J5781" s="124"/>
    </row>
    <row r="5782" spans="3:10" x14ac:dyDescent="0.2">
      <c r="C5782" s="209"/>
      <c r="D5782" s="209"/>
      <c r="E5782" s="209"/>
      <c r="J5782" s="124"/>
    </row>
    <row r="5783" spans="3:10" x14ac:dyDescent="0.2">
      <c r="C5783" s="209"/>
      <c r="D5783" s="209"/>
      <c r="E5783" s="209"/>
      <c r="J5783" s="124"/>
    </row>
    <row r="5784" spans="3:10" x14ac:dyDescent="0.2">
      <c r="C5784" s="209"/>
      <c r="D5784" s="209"/>
      <c r="E5784" s="209"/>
      <c r="J5784" s="124"/>
    </row>
    <row r="5785" spans="3:10" x14ac:dyDescent="0.2">
      <c r="C5785" s="209"/>
      <c r="D5785" s="209"/>
      <c r="E5785" s="209"/>
      <c r="J5785" s="124"/>
    </row>
    <row r="5786" spans="3:10" x14ac:dyDescent="0.2">
      <c r="C5786" s="209"/>
      <c r="D5786" s="209"/>
      <c r="E5786" s="209"/>
      <c r="J5786" s="124"/>
    </row>
    <row r="5787" spans="3:10" x14ac:dyDescent="0.2">
      <c r="C5787" s="209"/>
      <c r="D5787" s="209"/>
      <c r="E5787" s="209"/>
      <c r="J5787" s="124"/>
    </row>
    <row r="5788" spans="3:10" x14ac:dyDescent="0.2">
      <c r="C5788" s="209"/>
      <c r="D5788" s="209"/>
      <c r="E5788" s="209"/>
      <c r="J5788" s="124"/>
    </row>
    <row r="5789" spans="3:10" x14ac:dyDescent="0.2">
      <c r="C5789" s="209"/>
      <c r="D5789" s="209"/>
      <c r="E5789" s="209"/>
      <c r="J5789" s="124"/>
    </row>
    <row r="5790" spans="3:10" x14ac:dyDescent="0.2">
      <c r="C5790" s="209"/>
      <c r="D5790" s="209"/>
      <c r="E5790" s="209"/>
      <c r="J5790" s="124"/>
    </row>
    <row r="5791" spans="3:10" x14ac:dyDescent="0.2">
      <c r="C5791" s="209"/>
      <c r="D5791" s="209"/>
      <c r="E5791" s="209"/>
      <c r="J5791" s="124"/>
    </row>
    <row r="5792" spans="3:10" x14ac:dyDescent="0.2">
      <c r="C5792" s="209"/>
      <c r="D5792" s="209"/>
      <c r="E5792" s="209"/>
      <c r="J5792" s="124"/>
    </row>
    <row r="5793" spans="3:10" x14ac:dyDescent="0.2">
      <c r="C5793" s="209"/>
      <c r="D5793" s="209"/>
      <c r="E5793" s="209"/>
      <c r="J5793" s="124"/>
    </row>
    <row r="5794" spans="3:10" x14ac:dyDescent="0.2">
      <c r="C5794" s="209"/>
      <c r="D5794" s="209"/>
      <c r="E5794" s="209"/>
      <c r="J5794" s="124"/>
    </row>
    <row r="5795" spans="3:10" x14ac:dyDescent="0.2">
      <c r="C5795" s="209"/>
      <c r="D5795" s="209"/>
      <c r="E5795" s="209"/>
      <c r="J5795" s="124"/>
    </row>
    <row r="5796" spans="3:10" x14ac:dyDescent="0.2">
      <c r="C5796" s="209"/>
      <c r="D5796" s="209"/>
      <c r="E5796" s="209"/>
      <c r="J5796" s="124"/>
    </row>
    <row r="5797" spans="3:10" x14ac:dyDescent="0.2">
      <c r="C5797" s="209"/>
      <c r="D5797" s="209"/>
      <c r="E5797" s="209"/>
      <c r="J5797" s="124"/>
    </row>
    <row r="5798" spans="3:10" x14ac:dyDescent="0.2">
      <c r="C5798" s="209"/>
      <c r="D5798" s="209"/>
      <c r="E5798" s="209"/>
      <c r="J5798" s="124"/>
    </row>
    <row r="5799" spans="3:10" x14ac:dyDescent="0.2">
      <c r="C5799" s="209"/>
      <c r="D5799" s="209"/>
      <c r="E5799" s="209"/>
      <c r="J5799" s="124"/>
    </row>
    <row r="5800" spans="3:10" x14ac:dyDescent="0.2">
      <c r="C5800" s="209"/>
      <c r="D5800" s="209"/>
      <c r="E5800" s="209"/>
      <c r="J5800" s="124"/>
    </row>
    <row r="5801" spans="3:10" x14ac:dyDescent="0.2">
      <c r="C5801" s="209"/>
      <c r="D5801" s="209"/>
      <c r="E5801" s="209"/>
      <c r="J5801" s="124"/>
    </row>
    <row r="5802" spans="3:10" x14ac:dyDescent="0.2">
      <c r="C5802" s="209"/>
      <c r="D5802" s="209"/>
      <c r="E5802" s="209"/>
      <c r="J5802" s="124"/>
    </row>
    <row r="5803" spans="3:10" x14ac:dyDescent="0.2">
      <c r="C5803" s="209"/>
      <c r="D5803" s="209"/>
      <c r="E5803" s="209"/>
      <c r="J5803" s="124"/>
    </row>
    <row r="5804" spans="3:10" x14ac:dyDescent="0.2">
      <c r="C5804" s="209"/>
      <c r="D5804" s="209"/>
      <c r="E5804" s="209"/>
      <c r="J5804" s="124"/>
    </row>
    <row r="5805" spans="3:10" x14ac:dyDescent="0.2">
      <c r="C5805" s="209"/>
      <c r="D5805" s="209"/>
      <c r="E5805" s="209"/>
      <c r="J5805" s="124"/>
    </row>
    <row r="5806" spans="3:10" x14ac:dyDescent="0.2">
      <c r="C5806" s="209"/>
      <c r="D5806" s="209"/>
      <c r="E5806" s="209"/>
      <c r="J5806" s="124"/>
    </row>
    <row r="5807" spans="3:10" x14ac:dyDescent="0.2">
      <c r="C5807" s="209"/>
      <c r="D5807" s="209"/>
      <c r="E5807" s="209"/>
      <c r="J5807" s="124"/>
    </row>
    <row r="5808" spans="3:10" x14ac:dyDescent="0.2">
      <c r="C5808" s="209"/>
      <c r="D5808" s="209"/>
      <c r="E5808" s="209"/>
      <c r="J5808" s="124"/>
    </row>
    <row r="5809" spans="3:10" x14ac:dyDescent="0.2">
      <c r="C5809" s="209"/>
      <c r="D5809" s="209"/>
      <c r="E5809" s="209"/>
      <c r="J5809" s="124"/>
    </row>
    <row r="5810" spans="3:10" x14ac:dyDescent="0.2">
      <c r="C5810" s="209"/>
      <c r="D5810" s="209"/>
      <c r="E5810" s="209"/>
      <c r="J5810" s="124"/>
    </row>
    <row r="5811" spans="3:10" x14ac:dyDescent="0.2">
      <c r="C5811" s="209"/>
      <c r="D5811" s="209"/>
      <c r="E5811" s="209"/>
      <c r="J5811" s="124"/>
    </row>
    <row r="5812" spans="3:10" x14ac:dyDescent="0.2">
      <c r="C5812" s="209"/>
      <c r="D5812" s="209"/>
      <c r="E5812" s="209"/>
      <c r="J5812" s="124"/>
    </row>
    <row r="5813" spans="3:10" x14ac:dyDescent="0.2">
      <c r="C5813" s="209"/>
      <c r="D5813" s="209"/>
      <c r="E5813" s="209"/>
      <c r="J5813" s="124"/>
    </row>
    <row r="5814" spans="3:10" x14ac:dyDescent="0.2">
      <c r="C5814" s="209"/>
      <c r="D5814" s="209"/>
      <c r="E5814" s="209"/>
      <c r="J5814" s="124"/>
    </row>
    <row r="5815" spans="3:10" x14ac:dyDescent="0.2">
      <c r="C5815" s="209"/>
      <c r="D5815" s="209"/>
      <c r="E5815" s="209"/>
      <c r="J5815" s="124"/>
    </row>
    <row r="5816" spans="3:10" x14ac:dyDescent="0.2">
      <c r="C5816" s="209"/>
      <c r="D5816" s="209"/>
      <c r="E5816" s="209"/>
      <c r="J5816" s="124"/>
    </row>
    <row r="5817" spans="3:10" x14ac:dyDescent="0.2">
      <c r="C5817" s="209"/>
      <c r="D5817" s="209"/>
      <c r="E5817" s="209"/>
      <c r="J5817" s="124"/>
    </row>
    <row r="5818" spans="3:10" x14ac:dyDescent="0.2">
      <c r="C5818" s="209"/>
      <c r="D5818" s="209"/>
      <c r="E5818" s="209"/>
      <c r="J5818" s="124"/>
    </row>
    <row r="5819" spans="3:10" x14ac:dyDescent="0.2">
      <c r="C5819" s="209"/>
      <c r="D5819" s="209"/>
      <c r="E5819" s="209"/>
      <c r="J5819" s="124"/>
    </row>
    <row r="5820" spans="3:10" x14ac:dyDescent="0.2">
      <c r="C5820" s="209"/>
      <c r="D5820" s="209"/>
      <c r="E5820" s="209"/>
      <c r="J5820" s="124"/>
    </row>
    <row r="5821" spans="3:10" x14ac:dyDescent="0.2">
      <c r="C5821" s="209"/>
      <c r="D5821" s="209"/>
      <c r="E5821" s="209"/>
      <c r="J5821" s="124"/>
    </row>
    <row r="5822" spans="3:10" x14ac:dyDescent="0.2">
      <c r="C5822" s="209"/>
      <c r="D5822" s="209"/>
      <c r="E5822" s="209"/>
      <c r="J5822" s="124"/>
    </row>
    <row r="5823" spans="3:10" x14ac:dyDescent="0.2">
      <c r="C5823" s="209"/>
      <c r="D5823" s="209"/>
      <c r="E5823" s="209"/>
      <c r="J5823" s="124"/>
    </row>
    <row r="5824" spans="3:10" x14ac:dyDescent="0.2">
      <c r="C5824" s="209"/>
      <c r="D5824" s="209"/>
      <c r="E5824" s="209"/>
      <c r="J5824" s="124"/>
    </row>
    <row r="5825" spans="3:10" x14ac:dyDescent="0.2">
      <c r="C5825" s="209"/>
      <c r="D5825" s="209"/>
      <c r="E5825" s="209"/>
      <c r="J5825" s="124"/>
    </row>
    <row r="5826" spans="3:10" x14ac:dyDescent="0.2">
      <c r="C5826" s="209"/>
      <c r="D5826" s="209"/>
      <c r="E5826" s="209"/>
      <c r="J5826" s="124"/>
    </row>
    <row r="5827" spans="3:10" x14ac:dyDescent="0.2">
      <c r="C5827" s="209"/>
      <c r="D5827" s="209"/>
      <c r="E5827" s="209"/>
      <c r="J5827" s="124"/>
    </row>
    <row r="5828" spans="3:10" x14ac:dyDescent="0.2">
      <c r="C5828" s="209"/>
      <c r="D5828" s="209"/>
      <c r="E5828" s="209"/>
      <c r="J5828" s="124"/>
    </row>
    <row r="5829" spans="3:10" x14ac:dyDescent="0.2">
      <c r="C5829" s="209"/>
      <c r="D5829" s="209"/>
      <c r="E5829" s="209"/>
      <c r="J5829" s="124"/>
    </row>
    <row r="5830" spans="3:10" x14ac:dyDescent="0.2">
      <c r="C5830" s="209"/>
      <c r="D5830" s="209"/>
      <c r="E5830" s="209"/>
      <c r="J5830" s="124"/>
    </row>
    <row r="5831" spans="3:10" x14ac:dyDescent="0.2">
      <c r="C5831" s="209"/>
      <c r="D5831" s="209"/>
      <c r="E5831" s="209"/>
      <c r="J5831" s="124"/>
    </row>
    <row r="5832" spans="3:10" x14ac:dyDescent="0.2">
      <c r="C5832" s="209"/>
      <c r="D5832" s="209"/>
      <c r="E5832" s="209"/>
      <c r="J5832" s="124"/>
    </row>
    <row r="5833" spans="3:10" x14ac:dyDescent="0.2">
      <c r="C5833" s="209"/>
      <c r="D5833" s="209"/>
      <c r="E5833" s="209"/>
      <c r="J5833" s="124"/>
    </row>
    <row r="5834" spans="3:10" x14ac:dyDescent="0.2">
      <c r="C5834" s="209"/>
      <c r="D5834" s="209"/>
      <c r="E5834" s="209"/>
      <c r="J5834" s="124"/>
    </row>
    <row r="5835" spans="3:10" x14ac:dyDescent="0.2">
      <c r="C5835" s="209"/>
      <c r="D5835" s="209"/>
      <c r="E5835" s="209"/>
      <c r="J5835" s="124"/>
    </row>
    <row r="5836" spans="3:10" x14ac:dyDescent="0.2">
      <c r="C5836" s="209"/>
      <c r="D5836" s="209"/>
      <c r="E5836" s="209"/>
      <c r="J5836" s="124"/>
    </row>
    <row r="5837" spans="3:10" x14ac:dyDescent="0.2">
      <c r="C5837" s="209"/>
      <c r="D5837" s="209"/>
      <c r="E5837" s="209"/>
      <c r="J5837" s="124"/>
    </row>
    <row r="5838" spans="3:10" x14ac:dyDescent="0.2">
      <c r="C5838" s="209"/>
      <c r="D5838" s="209"/>
      <c r="E5838" s="209"/>
      <c r="J5838" s="124"/>
    </row>
    <row r="5839" spans="3:10" x14ac:dyDescent="0.2">
      <c r="C5839" s="209"/>
      <c r="D5839" s="209"/>
      <c r="E5839" s="209"/>
      <c r="J5839" s="124"/>
    </row>
    <row r="5840" spans="3:10" x14ac:dyDescent="0.2">
      <c r="C5840" s="209"/>
      <c r="D5840" s="209"/>
      <c r="E5840" s="209"/>
      <c r="J5840" s="124"/>
    </row>
    <row r="5841" spans="3:10" x14ac:dyDescent="0.2">
      <c r="C5841" s="209"/>
      <c r="D5841" s="209"/>
      <c r="E5841" s="209"/>
      <c r="J5841" s="124"/>
    </row>
    <row r="5842" spans="3:10" x14ac:dyDescent="0.2">
      <c r="C5842" s="209"/>
      <c r="D5842" s="209"/>
      <c r="E5842" s="209"/>
      <c r="J5842" s="124"/>
    </row>
    <row r="5843" spans="3:10" x14ac:dyDescent="0.2">
      <c r="C5843" s="209"/>
      <c r="D5843" s="209"/>
      <c r="E5843" s="209"/>
      <c r="J5843" s="124"/>
    </row>
    <row r="5844" spans="3:10" x14ac:dyDescent="0.2">
      <c r="C5844" s="209"/>
      <c r="D5844" s="209"/>
      <c r="E5844" s="209"/>
      <c r="J5844" s="124"/>
    </row>
    <row r="5845" spans="3:10" x14ac:dyDescent="0.2">
      <c r="C5845" s="209"/>
      <c r="D5845" s="209"/>
      <c r="E5845" s="209"/>
      <c r="J5845" s="124"/>
    </row>
    <row r="5846" spans="3:10" x14ac:dyDescent="0.2">
      <c r="C5846" s="209"/>
      <c r="D5846" s="209"/>
      <c r="E5846" s="209"/>
      <c r="J5846" s="124"/>
    </row>
    <row r="5847" spans="3:10" x14ac:dyDescent="0.2">
      <c r="C5847" s="209"/>
      <c r="D5847" s="209"/>
      <c r="E5847" s="209"/>
      <c r="J5847" s="124"/>
    </row>
    <row r="5848" spans="3:10" x14ac:dyDescent="0.2">
      <c r="C5848" s="209"/>
      <c r="D5848" s="209"/>
      <c r="E5848" s="209"/>
      <c r="J5848" s="124"/>
    </row>
    <row r="5849" spans="3:10" x14ac:dyDescent="0.2">
      <c r="C5849" s="209"/>
      <c r="D5849" s="209"/>
      <c r="E5849" s="209"/>
      <c r="J5849" s="124"/>
    </row>
    <row r="5850" spans="3:10" x14ac:dyDescent="0.2">
      <c r="C5850" s="209"/>
      <c r="D5850" s="209"/>
      <c r="E5850" s="209"/>
      <c r="J5850" s="124"/>
    </row>
    <row r="5851" spans="3:10" x14ac:dyDescent="0.2">
      <c r="C5851" s="209"/>
      <c r="D5851" s="209"/>
      <c r="E5851" s="209"/>
      <c r="J5851" s="124"/>
    </row>
    <row r="5852" spans="3:10" x14ac:dyDescent="0.2">
      <c r="C5852" s="209"/>
      <c r="D5852" s="209"/>
      <c r="E5852" s="209"/>
      <c r="J5852" s="124"/>
    </row>
    <row r="5853" spans="3:10" x14ac:dyDescent="0.2">
      <c r="C5853" s="209"/>
      <c r="D5853" s="209"/>
      <c r="E5853" s="209"/>
      <c r="J5853" s="124"/>
    </row>
    <row r="5854" spans="3:10" x14ac:dyDescent="0.2">
      <c r="C5854" s="209"/>
      <c r="D5854" s="209"/>
      <c r="E5854" s="209"/>
      <c r="J5854" s="124"/>
    </row>
    <row r="5855" spans="3:10" x14ac:dyDescent="0.2">
      <c r="C5855" s="209"/>
      <c r="D5855" s="209"/>
      <c r="E5855" s="209"/>
      <c r="J5855" s="124"/>
    </row>
    <row r="5856" spans="3:10" x14ac:dyDescent="0.2">
      <c r="C5856" s="209"/>
      <c r="D5856" s="209"/>
      <c r="E5856" s="209"/>
      <c r="J5856" s="124"/>
    </row>
    <row r="5857" spans="3:10" x14ac:dyDescent="0.2">
      <c r="C5857" s="209"/>
      <c r="D5857" s="209"/>
      <c r="E5857" s="209"/>
      <c r="J5857" s="124"/>
    </row>
    <row r="5858" spans="3:10" x14ac:dyDescent="0.2">
      <c r="C5858" s="209"/>
      <c r="D5858" s="209"/>
      <c r="E5858" s="209"/>
      <c r="J5858" s="124"/>
    </row>
    <row r="5859" spans="3:10" x14ac:dyDescent="0.2">
      <c r="C5859" s="209"/>
      <c r="D5859" s="209"/>
      <c r="E5859" s="209"/>
      <c r="J5859" s="124"/>
    </row>
    <row r="5860" spans="3:10" x14ac:dyDescent="0.2">
      <c r="C5860" s="209"/>
      <c r="D5860" s="209"/>
      <c r="E5860" s="209"/>
      <c r="J5860" s="124"/>
    </row>
    <row r="5861" spans="3:10" x14ac:dyDescent="0.2">
      <c r="C5861" s="209"/>
      <c r="D5861" s="209"/>
      <c r="E5861" s="209"/>
      <c r="J5861" s="124"/>
    </row>
    <row r="5862" spans="3:10" x14ac:dyDescent="0.2">
      <c r="C5862" s="209"/>
      <c r="D5862" s="209"/>
      <c r="E5862" s="209"/>
      <c r="J5862" s="124"/>
    </row>
    <row r="5863" spans="3:10" x14ac:dyDescent="0.2">
      <c r="C5863" s="209"/>
      <c r="D5863" s="209"/>
      <c r="E5863" s="209"/>
      <c r="J5863" s="124"/>
    </row>
    <row r="5864" spans="3:10" x14ac:dyDescent="0.2">
      <c r="C5864" s="209"/>
      <c r="D5864" s="209"/>
      <c r="E5864" s="209"/>
      <c r="J5864" s="124"/>
    </row>
    <row r="5865" spans="3:10" x14ac:dyDescent="0.2">
      <c r="C5865" s="209"/>
      <c r="D5865" s="209"/>
      <c r="E5865" s="209"/>
      <c r="J5865" s="124"/>
    </row>
    <row r="5866" spans="3:10" x14ac:dyDescent="0.2">
      <c r="C5866" s="209"/>
      <c r="D5866" s="209"/>
      <c r="E5866" s="209"/>
      <c r="J5866" s="124"/>
    </row>
    <row r="5867" spans="3:10" x14ac:dyDescent="0.2">
      <c r="C5867" s="209"/>
      <c r="D5867" s="209"/>
      <c r="E5867" s="209"/>
      <c r="J5867" s="124"/>
    </row>
    <row r="5868" spans="3:10" x14ac:dyDescent="0.2">
      <c r="C5868" s="209"/>
      <c r="D5868" s="209"/>
      <c r="E5868" s="209"/>
      <c r="J5868" s="124"/>
    </row>
    <row r="5869" spans="3:10" x14ac:dyDescent="0.2">
      <c r="C5869" s="209"/>
      <c r="D5869" s="209"/>
      <c r="E5869" s="209"/>
      <c r="J5869" s="124"/>
    </row>
    <row r="5870" spans="3:10" x14ac:dyDescent="0.2">
      <c r="C5870" s="209"/>
      <c r="D5870" s="209"/>
      <c r="E5870" s="209"/>
      <c r="J5870" s="124"/>
    </row>
    <row r="5871" spans="3:10" x14ac:dyDescent="0.2">
      <c r="C5871" s="209"/>
      <c r="D5871" s="209"/>
      <c r="E5871" s="209"/>
      <c r="J5871" s="124"/>
    </row>
    <row r="5872" spans="3:10" x14ac:dyDescent="0.2">
      <c r="C5872" s="209"/>
      <c r="D5872" s="209"/>
      <c r="E5872" s="209"/>
      <c r="J5872" s="124"/>
    </row>
    <row r="5873" spans="3:10" x14ac:dyDescent="0.2">
      <c r="C5873" s="209"/>
      <c r="D5873" s="209"/>
      <c r="E5873" s="209"/>
      <c r="J5873" s="124"/>
    </row>
    <row r="5874" spans="3:10" x14ac:dyDescent="0.2">
      <c r="C5874" s="209"/>
      <c r="D5874" s="209"/>
      <c r="E5874" s="209"/>
      <c r="J5874" s="124"/>
    </row>
    <row r="5875" spans="3:10" x14ac:dyDescent="0.2">
      <c r="C5875" s="209"/>
      <c r="D5875" s="209"/>
      <c r="E5875" s="209"/>
      <c r="J5875" s="124"/>
    </row>
    <row r="5876" spans="3:10" x14ac:dyDescent="0.2">
      <c r="C5876" s="209"/>
      <c r="D5876" s="209"/>
      <c r="E5876" s="209"/>
      <c r="J5876" s="124"/>
    </row>
    <row r="5877" spans="3:10" x14ac:dyDescent="0.2">
      <c r="C5877" s="209"/>
      <c r="D5877" s="209"/>
      <c r="E5877" s="209"/>
      <c r="J5877" s="124"/>
    </row>
    <row r="5878" spans="3:10" x14ac:dyDescent="0.2">
      <c r="C5878" s="209"/>
      <c r="D5878" s="209"/>
      <c r="E5878" s="209"/>
      <c r="J5878" s="124"/>
    </row>
    <row r="5879" spans="3:10" x14ac:dyDescent="0.2">
      <c r="C5879" s="209"/>
      <c r="D5879" s="209"/>
      <c r="E5879" s="209"/>
      <c r="J5879" s="124"/>
    </row>
    <row r="5880" spans="3:10" x14ac:dyDescent="0.2">
      <c r="C5880" s="209"/>
      <c r="D5880" s="209"/>
      <c r="E5880" s="209"/>
      <c r="J5880" s="124"/>
    </row>
    <row r="5881" spans="3:10" x14ac:dyDescent="0.2">
      <c r="C5881" s="209"/>
      <c r="D5881" s="209"/>
      <c r="E5881" s="209"/>
      <c r="J5881" s="124"/>
    </row>
    <row r="5882" spans="3:10" x14ac:dyDescent="0.2">
      <c r="C5882" s="209"/>
      <c r="D5882" s="209"/>
      <c r="E5882" s="209"/>
      <c r="J5882" s="124"/>
    </row>
    <row r="5883" spans="3:10" x14ac:dyDescent="0.2">
      <c r="C5883" s="209"/>
      <c r="D5883" s="209"/>
      <c r="E5883" s="209"/>
      <c r="J5883" s="124"/>
    </row>
    <row r="5884" spans="3:10" x14ac:dyDescent="0.2">
      <c r="C5884" s="209"/>
      <c r="D5884" s="209"/>
      <c r="E5884" s="209"/>
      <c r="J5884" s="124"/>
    </row>
    <row r="5885" spans="3:10" x14ac:dyDescent="0.2">
      <c r="C5885" s="209"/>
      <c r="D5885" s="209"/>
      <c r="E5885" s="209"/>
      <c r="J5885" s="124"/>
    </row>
    <row r="5886" spans="3:10" x14ac:dyDescent="0.2">
      <c r="C5886" s="209"/>
      <c r="D5886" s="209"/>
      <c r="E5886" s="209"/>
      <c r="J5886" s="124"/>
    </row>
    <row r="5887" spans="3:10" x14ac:dyDescent="0.2">
      <c r="C5887" s="209"/>
      <c r="D5887" s="209"/>
      <c r="E5887" s="209"/>
      <c r="J5887" s="124"/>
    </row>
    <row r="5888" spans="3:10" x14ac:dyDescent="0.2">
      <c r="C5888" s="209"/>
      <c r="D5888" s="209"/>
      <c r="E5888" s="209"/>
      <c r="J5888" s="124"/>
    </row>
    <row r="5889" spans="3:10" x14ac:dyDescent="0.2">
      <c r="C5889" s="209"/>
      <c r="D5889" s="209"/>
      <c r="E5889" s="209"/>
      <c r="J5889" s="124"/>
    </row>
    <row r="5890" spans="3:10" x14ac:dyDescent="0.2">
      <c r="C5890" s="209"/>
      <c r="D5890" s="209"/>
      <c r="E5890" s="209"/>
      <c r="J5890" s="124"/>
    </row>
    <row r="5891" spans="3:10" x14ac:dyDescent="0.2">
      <c r="C5891" s="209"/>
      <c r="D5891" s="209"/>
      <c r="E5891" s="209"/>
      <c r="J5891" s="124"/>
    </row>
    <row r="5892" spans="3:10" x14ac:dyDescent="0.2">
      <c r="C5892" s="209"/>
      <c r="D5892" s="209"/>
      <c r="E5892" s="209"/>
      <c r="J5892" s="124"/>
    </row>
    <row r="5893" spans="3:10" x14ac:dyDescent="0.2">
      <c r="C5893" s="209"/>
      <c r="D5893" s="209"/>
      <c r="E5893" s="209"/>
      <c r="J5893" s="124"/>
    </row>
    <row r="5894" spans="3:10" x14ac:dyDescent="0.2">
      <c r="C5894" s="209"/>
      <c r="D5894" s="209"/>
      <c r="E5894" s="209"/>
      <c r="J5894" s="124"/>
    </row>
    <row r="5895" spans="3:10" x14ac:dyDescent="0.2">
      <c r="C5895" s="209"/>
      <c r="D5895" s="209"/>
      <c r="E5895" s="209"/>
      <c r="J5895" s="124"/>
    </row>
    <row r="5896" spans="3:10" x14ac:dyDescent="0.2">
      <c r="C5896" s="209"/>
      <c r="D5896" s="209"/>
      <c r="E5896" s="209"/>
      <c r="J5896" s="124"/>
    </row>
    <row r="5897" spans="3:10" x14ac:dyDescent="0.2">
      <c r="C5897" s="209"/>
      <c r="D5897" s="209"/>
      <c r="E5897" s="209"/>
      <c r="J5897" s="124"/>
    </row>
    <row r="5898" spans="3:10" x14ac:dyDescent="0.2">
      <c r="C5898" s="209"/>
      <c r="D5898" s="209"/>
      <c r="E5898" s="209"/>
      <c r="J5898" s="124"/>
    </row>
    <row r="5899" spans="3:10" x14ac:dyDescent="0.2">
      <c r="C5899" s="209"/>
      <c r="D5899" s="209"/>
      <c r="E5899" s="209"/>
      <c r="J5899" s="124"/>
    </row>
    <row r="5900" spans="3:10" x14ac:dyDescent="0.2">
      <c r="C5900" s="209"/>
      <c r="D5900" s="209"/>
      <c r="E5900" s="209"/>
      <c r="J5900" s="124"/>
    </row>
    <row r="5901" spans="3:10" x14ac:dyDescent="0.2">
      <c r="C5901" s="209"/>
      <c r="D5901" s="209"/>
      <c r="E5901" s="209"/>
      <c r="J5901" s="124"/>
    </row>
    <row r="5902" spans="3:10" x14ac:dyDescent="0.2">
      <c r="C5902" s="209"/>
      <c r="D5902" s="209"/>
      <c r="E5902" s="209"/>
      <c r="J5902" s="124"/>
    </row>
    <row r="5903" spans="3:10" x14ac:dyDescent="0.2">
      <c r="C5903" s="209"/>
      <c r="D5903" s="209"/>
      <c r="E5903" s="209"/>
      <c r="J5903" s="124"/>
    </row>
    <row r="5904" spans="3:10" x14ac:dyDescent="0.2">
      <c r="C5904" s="209"/>
      <c r="D5904" s="209"/>
      <c r="E5904" s="209"/>
      <c r="J5904" s="124"/>
    </row>
    <row r="5905" spans="3:10" x14ac:dyDescent="0.2">
      <c r="C5905" s="209"/>
      <c r="D5905" s="209"/>
      <c r="E5905" s="209"/>
      <c r="J5905" s="124"/>
    </row>
    <row r="5906" spans="3:10" x14ac:dyDescent="0.2">
      <c r="C5906" s="209"/>
      <c r="D5906" s="209"/>
      <c r="E5906" s="209"/>
      <c r="J5906" s="124"/>
    </row>
    <row r="5907" spans="3:10" x14ac:dyDescent="0.2">
      <c r="C5907" s="209"/>
      <c r="D5907" s="209"/>
      <c r="E5907" s="209"/>
      <c r="J5907" s="124"/>
    </row>
    <row r="5908" spans="3:10" x14ac:dyDescent="0.2">
      <c r="C5908" s="209"/>
      <c r="D5908" s="209"/>
      <c r="E5908" s="209"/>
      <c r="J5908" s="124"/>
    </row>
    <row r="5909" spans="3:10" x14ac:dyDescent="0.2">
      <c r="C5909" s="209"/>
      <c r="D5909" s="209"/>
      <c r="E5909" s="209"/>
      <c r="J5909" s="124"/>
    </row>
    <row r="5910" spans="3:10" x14ac:dyDescent="0.2">
      <c r="C5910" s="209"/>
      <c r="D5910" s="209"/>
      <c r="E5910" s="209"/>
      <c r="J5910" s="124"/>
    </row>
    <row r="5911" spans="3:10" x14ac:dyDescent="0.2">
      <c r="C5911" s="209"/>
      <c r="D5911" s="209"/>
      <c r="E5911" s="209"/>
      <c r="J5911" s="124"/>
    </row>
    <row r="5912" spans="3:10" x14ac:dyDescent="0.2">
      <c r="C5912" s="209"/>
      <c r="D5912" s="209"/>
      <c r="E5912" s="209"/>
      <c r="J5912" s="124"/>
    </row>
    <row r="5913" spans="3:10" x14ac:dyDescent="0.2">
      <c r="C5913" s="209"/>
      <c r="D5913" s="209"/>
      <c r="E5913" s="209"/>
      <c r="J5913" s="124"/>
    </row>
    <row r="5914" spans="3:10" x14ac:dyDescent="0.2">
      <c r="C5914" s="209"/>
      <c r="D5914" s="209"/>
      <c r="E5914" s="209"/>
      <c r="J5914" s="124"/>
    </row>
    <row r="5915" spans="3:10" x14ac:dyDescent="0.2">
      <c r="C5915" s="209"/>
      <c r="D5915" s="209"/>
      <c r="E5915" s="209"/>
      <c r="J5915" s="124"/>
    </row>
    <row r="5916" spans="3:10" x14ac:dyDescent="0.2">
      <c r="C5916" s="209"/>
      <c r="D5916" s="209"/>
      <c r="E5916" s="209"/>
      <c r="J5916" s="124"/>
    </row>
    <row r="5917" spans="3:10" x14ac:dyDescent="0.2">
      <c r="C5917" s="209"/>
      <c r="D5917" s="209"/>
      <c r="E5917" s="209"/>
      <c r="J5917" s="124"/>
    </row>
    <row r="5918" spans="3:10" x14ac:dyDescent="0.2">
      <c r="C5918" s="209"/>
      <c r="D5918" s="209"/>
      <c r="E5918" s="209"/>
      <c r="J5918" s="124"/>
    </row>
    <row r="5919" spans="3:10" x14ac:dyDescent="0.2">
      <c r="C5919" s="209"/>
      <c r="D5919" s="209"/>
      <c r="E5919" s="209"/>
      <c r="J5919" s="124"/>
    </row>
    <row r="5920" spans="3:10" x14ac:dyDescent="0.2">
      <c r="C5920" s="209"/>
      <c r="D5920" s="209"/>
      <c r="E5920" s="209"/>
      <c r="J5920" s="124"/>
    </row>
    <row r="5921" spans="3:10" x14ac:dyDescent="0.2">
      <c r="C5921" s="209"/>
      <c r="D5921" s="209"/>
      <c r="E5921" s="209"/>
      <c r="J5921" s="124"/>
    </row>
    <row r="5922" spans="3:10" x14ac:dyDescent="0.2">
      <c r="C5922" s="209"/>
      <c r="D5922" s="209"/>
      <c r="E5922" s="209"/>
      <c r="J5922" s="124"/>
    </row>
    <row r="5923" spans="3:10" x14ac:dyDescent="0.2">
      <c r="C5923" s="209"/>
      <c r="D5923" s="209"/>
      <c r="E5923" s="209"/>
      <c r="J5923" s="124"/>
    </row>
    <row r="5924" spans="3:10" x14ac:dyDescent="0.2">
      <c r="C5924" s="209"/>
      <c r="D5924" s="209"/>
      <c r="E5924" s="209"/>
      <c r="J5924" s="124"/>
    </row>
    <row r="5925" spans="3:10" x14ac:dyDescent="0.2">
      <c r="C5925" s="209"/>
      <c r="D5925" s="209"/>
      <c r="E5925" s="209"/>
      <c r="J5925" s="124"/>
    </row>
    <row r="5926" spans="3:10" x14ac:dyDescent="0.2">
      <c r="C5926" s="209"/>
      <c r="D5926" s="209"/>
      <c r="E5926" s="209"/>
      <c r="J5926" s="124"/>
    </row>
    <row r="5927" spans="3:10" x14ac:dyDescent="0.2">
      <c r="C5927" s="209"/>
      <c r="D5927" s="209"/>
      <c r="E5927" s="209"/>
      <c r="J5927" s="124"/>
    </row>
    <row r="5928" spans="3:10" x14ac:dyDescent="0.2">
      <c r="C5928" s="209"/>
      <c r="D5928" s="209"/>
      <c r="E5928" s="209"/>
      <c r="J5928" s="124"/>
    </row>
    <row r="5929" spans="3:10" x14ac:dyDescent="0.2">
      <c r="C5929" s="209"/>
      <c r="D5929" s="209"/>
      <c r="E5929" s="209"/>
      <c r="J5929" s="124"/>
    </row>
    <row r="5930" spans="3:10" x14ac:dyDescent="0.2">
      <c r="C5930" s="209"/>
      <c r="D5930" s="209"/>
      <c r="E5930" s="209"/>
      <c r="J5930" s="124"/>
    </row>
    <row r="5931" spans="3:10" x14ac:dyDescent="0.2">
      <c r="C5931" s="209"/>
      <c r="D5931" s="209"/>
      <c r="E5931" s="209"/>
      <c r="J5931" s="124"/>
    </row>
    <row r="5932" spans="3:10" x14ac:dyDescent="0.2">
      <c r="C5932" s="209"/>
      <c r="D5932" s="209"/>
      <c r="E5932" s="209"/>
      <c r="J5932" s="124"/>
    </row>
    <row r="5933" spans="3:10" x14ac:dyDescent="0.2">
      <c r="C5933" s="209"/>
      <c r="D5933" s="209"/>
      <c r="E5933" s="209"/>
      <c r="J5933" s="124"/>
    </row>
    <row r="5934" spans="3:10" x14ac:dyDescent="0.2">
      <c r="C5934" s="209"/>
      <c r="D5934" s="209"/>
      <c r="E5934" s="209"/>
      <c r="J5934" s="124"/>
    </row>
    <row r="5935" spans="3:10" x14ac:dyDescent="0.2">
      <c r="C5935" s="209"/>
      <c r="D5935" s="209"/>
      <c r="E5935" s="209"/>
      <c r="J5935" s="124"/>
    </row>
    <row r="5936" spans="3:10" x14ac:dyDescent="0.2">
      <c r="C5936" s="209"/>
      <c r="D5936" s="209"/>
      <c r="E5936" s="209"/>
      <c r="J5936" s="124"/>
    </row>
    <row r="5937" spans="3:10" x14ac:dyDescent="0.2">
      <c r="C5937" s="209"/>
      <c r="D5937" s="209"/>
      <c r="E5937" s="209"/>
      <c r="J5937" s="124"/>
    </row>
    <row r="5938" spans="3:10" x14ac:dyDescent="0.2">
      <c r="C5938" s="209"/>
      <c r="D5938" s="209"/>
      <c r="E5938" s="209"/>
      <c r="J5938" s="124"/>
    </row>
    <row r="5939" spans="3:10" x14ac:dyDescent="0.2">
      <c r="C5939" s="209"/>
      <c r="D5939" s="209"/>
      <c r="E5939" s="209"/>
      <c r="J5939" s="124"/>
    </row>
    <row r="5940" spans="3:10" x14ac:dyDescent="0.2">
      <c r="C5940" s="209"/>
      <c r="D5940" s="209"/>
      <c r="E5940" s="209"/>
      <c r="J5940" s="124"/>
    </row>
    <row r="5941" spans="3:10" x14ac:dyDescent="0.2">
      <c r="C5941" s="209"/>
      <c r="D5941" s="209"/>
      <c r="E5941" s="209"/>
      <c r="J5941" s="124"/>
    </row>
    <row r="5942" spans="3:10" x14ac:dyDescent="0.2">
      <c r="C5942" s="209"/>
      <c r="D5942" s="209"/>
      <c r="E5942" s="209"/>
      <c r="J5942" s="124"/>
    </row>
    <row r="5943" spans="3:10" x14ac:dyDescent="0.2">
      <c r="C5943" s="209"/>
      <c r="D5943" s="209"/>
      <c r="E5943" s="209"/>
      <c r="J5943" s="124"/>
    </row>
    <row r="5944" spans="3:10" x14ac:dyDescent="0.2">
      <c r="C5944" s="209"/>
      <c r="D5944" s="209"/>
      <c r="E5944" s="209"/>
      <c r="J5944" s="124"/>
    </row>
    <row r="5945" spans="3:10" x14ac:dyDescent="0.2">
      <c r="C5945" s="209"/>
      <c r="D5945" s="209"/>
      <c r="E5945" s="209"/>
      <c r="J5945" s="124"/>
    </row>
    <row r="5946" spans="3:10" x14ac:dyDescent="0.2">
      <c r="C5946" s="209"/>
      <c r="D5946" s="209"/>
      <c r="E5946" s="209"/>
      <c r="J5946" s="124"/>
    </row>
    <row r="5947" spans="3:10" x14ac:dyDescent="0.2">
      <c r="C5947" s="209"/>
      <c r="D5947" s="209"/>
      <c r="E5947" s="209"/>
      <c r="J5947" s="124"/>
    </row>
    <row r="5948" spans="3:10" x14ac:dyDescent="0.2">
      <c r="C5948" s="209"/>
      <c r="D5948" s="209"/>
      <c r="E5948" s="209"/>
      <c r="J5948" s="124"/>
    </row>
    <row r="5949" spans="3:10" x14ac:dyDescent="0.2">
      <c r="C5949" s="209"/>
      <c r="D5949" s="209"/>
      <c r="E5949" s="209"/>
      <c r="J5949" s="124"/>
    </row>
    <row r="5950" spans="3:10" x14ac:dyDescent="0.2">
      <c r="C5950" s="209"/>
      <c r="D5950" s="209"/>
      <c r="E5950" s="209"/>
      <c r="J5950" s="124"/>
    </row>
    <row r="5951" spans="3:10" x14ac:dyDescent="0.2">
      <c r="C5951" s="209"/>
      <c r="D5951" s="209"/>
      <c r="E5951" s="209"/>
      <c r="J5951" s="124"/>
    </row>
    <row r="5952" spans="3:10" x14ac:dyDescent="0.2">
      <c r="C5952" s="209"/>
      <c r="D5952" s="209"/>
      <c r="E5952" s="209"/>
      <c r="J5952" s="124"/>
    </row>
    <row r="5953" spans="3:10" x14ac:dyDescent="0.2">
      <c r="C5953" s="209"/>
      <c r="D5953" s="209"/>
      <c r="E5953" s="209"/>
      <c r="J5953" s="124"/>
    </row>
    <row r="5954" spans="3:10" x14ac:dyDescent="0.2">
      <c r="C5954" s="209"/>
      <c r="D5954" s="209"/>
      <c r="E5954" s="209"/>
      <c r="J5954" s="124"/>
    </row>
    <row r="5955" spans="3:10" x14ac:dyDescent="0.2">
      <c r="C5955" s="209"/>
      <c r="D5955" s="209"/>
      <c r="E5955" s="209"/>
      <c r="J5955" s="124"/>
    </row>
    <row r="5956" spans="3:10" x14ac:dyDescent="0.2">
      <c r="C5956" s="209"/>
      <c r="D5956" s="209"/>
      <c r="E5956" s="209"/>
      <c r="J5956" s="124"/>
    </row>
    <row r="5957" spans="3:10" x14ac:dyDescent="0.2">
      <c r="C5957" s="209"/>
      <c r="D5957" s="209"/>
      <c r="E5957" s="209"/>
      <c r="J5957" s="124"/>
    </row>
    <row r="5958" spans="3:10" x14ac:dyDescent="0.2">
      <c r="C5958" s="209"/>
      <c r="D5958" s="209"/>
      <c r="E5958" s="209"/>
      <c r="J5958" s="124"/>
    </row>
    <row r="5959" spans="3:10" x14ac:dyDescent="0.2">
      <c r="C5959" s="209"/>
      <c r="D5959" s="209"/>
      <c r="E5959" s="209"/>
      <c r="J5959" s="124"/>
    </row>
    <row r="5960" spans="3:10" x14ac:dyDescent="0.2">
      <c r="C5960" s="209"/>
      <c r="D5960" s="209"/>
      <c r="E5960" s="209"/>
      <c r="J5960" s="124"/>
    </row>
    <row r="5961" spans="3:10" x14ac:dyDescent="0.2">
      <c r="C5961" s="209"/>
      <c r="D5961" s="209"/>
      <c r="E5961" s="209"/>
      <c r="J5961" s="124"/>
    </row>
    <row r="5962" spans="3:10" x14ac:dyDescent="0.2">
      <c r="C5962" s="209"/>
      <c r="D5962" s="209"/>
      <c r="E5962" s="209"/>
      <c r="J5962" s="124"/>
    </row>
    <row r="5963" spans="3:10" x14ac:dyDescent="0.2">
      <c r="C5963" s="209"/>
      <c r="D5963" s="209"/>
      <c r="E5963" s="209"/>
      <c r="J5963" s="124"/>
    </row>
    <row r="5964" spans="3:10" x14ac:dyDescent="0.2">
      <c r="C5964" s="209"/>
      <c r="D5964" s="209"/>
      <c r="E5964" s="209"/>
      <c r="J5964" s="124"/>
    </row>
    <row r="5965" spans="3:10" x14ac:dyDescent="0.2">
      <c r="C5965" s="209"/>
      <c r="D5965" s="209"/>
      <c r="E5965" s="209"/>
      <c r="J5965" s="124"/>
    </row>
    <row r="5966" spans="3:10" x14ac:dyDescent="0.2">
      <c r="C5966" s="209"/>
      <c r="D5966" s="209"/>
      <c r="E5966" s="209"/>
      <c r="J5966" s="124"/>
    </row>
    <row r="5967" spans="3:10" x14ac:dyDescent="0.2">
      <c r="C5967" s="209"/>
      <c r="D5967" s="209"/>
      <c r="E5967" s="209"/>
      <c r="J5967" s="124"/>
    </row>
    <row r="5968" spans="3:10" x14ac:dyDescent="0.2">
      <c r="C5968" s="209"/>
      <c r="D5968" s="209"/>
      <c r="E5968" s="209"/>
      <c r="J5968" s="124"/>
    </row>
    <row r="5969" spans="3:10" x14ac:dyDescent="0.2">
      <c r="C5969" s="209"/>
      <c r="D5969" s="209"/>
      <c r="E5969" s="209"/>
      <c r="J5969" s="124"/>
    </row>
    <row r="5970" spans="3:10" x14ac:dyDescent="0.2">
      <c r="C5970" s="209"/>
      <c r="D5970" s="209"/>
      <c r="E5970" s="209"/>
      <c r="J5970" s="124"/>
    </row>
    <row r="5971" spans="3:10" x14ac:dyDescent="0.2">
      <c r="C5971" s="209"/>
      <c r="D5971" s="209"/>
      <c r="E5971" s="209"/>
      <c r="J5971" s="124"/>
    </row>
    <row r="5972" spans="3:10" x14ac:dyDescent="0.2">
      <c r="C5972" s="209"/>
      <c r="D5972" s="209"/>
      <c r="E5972" s="209"/>
      <c r="J5972" s="124"/>
    </row>
    <row r="5973" spans="3:10" x14ac:dyDescent="0.2">
      <c r="C5973" s="209"/>
      <c r="D5973" s="209"/>
      <c r="E5973" s="209"/>
      <c r="J5973" s="124"/>
    </row>
    <row r="5974" spans="3:10" x14ac:dyDescent="0.2">
      <c r="C5974" s="209"/>
      <c r="D5974" s="209"/>
      <c r="E5974" s="209"/>
      <c r="J5974" s="124"/>
    </row>
    <row r="5975" spans="3:10" x14ac:dyDescent="0.2">
      <c r="C5975" s="209"/>
      <c r="D5975" s="209"/>
      <c r="E5975" s="209"/>
      <c r="J5975" s="124"/>
    </row>
    <row r="5976" spans="3:10" x14ac:dyDescent="0.2">
      <c r="C5976" s="209"/>
      <c r="D5976" s="209"/>
      <c r="E5976" s="209"/>
      <c r="J5976" s="124"/>
    </row>
    <row r="5977" spans="3:10" x14ac:dyDescent="0.2">
      <c r="C5977" s="209"/>
      <c r="D5977" s="209"/>
      <c r="E5977" s="209"/>
      <c r="J5977" s="124"/>
    </row>
    <row r="5978" spans="3:10" x14ac:dyDescent="0.2">
      <c r="C5978" s="209"/>
      <c r="D5978" s="209"/>
      <c r="E5978" s="209"/>
      <c r="J5978" s="124"/>
    </row>
    <row r="5979" spans="3:10" x14ac:dyDescent="0.2">
      <c r="C5979" s="209"/>
      <c r="D5979" s="209"/>
      <c r="E5979" s="209"/>
      <c r="J5979" s="124"/>
    </row>
    <row r="5980" spans="3:10" x14ac:dyDescent="0.2">
      <c r="C5980" s="209"/>
      <c r="D5980" s="209"/>
      <c r="E5980" s="209"/>
      <c r="J5980" s="124"/>
    </row>
    <row r="5981" spans="3:10" x14ac:dyDescent="0.2">
      <c r="C5981" s="209"/>
      <c r="D5981" s="209"/>
      <c r="E5981" s="209"/>
      <c r="J5981" s="124"/>
    </row>
    <row r="5982" spans="3:10" x14ac:dyDescent="0.2">
      <c r="C5982" s="209"/>
      <c r="D5982" s="209"/>
      <c r="E5982" s="209"/>
      <c r="J5982" s="124"/>
    </row>
    <row r="5983" spans="3:10" x14ac:dyDescent="0.2">
      <c r="C5983" s="209"/>
      <c r="D5983" s="209"/>
      <c r="E5983" s="209"/>
      <c r="J5983" s="124"/>
    </row>
    <row r="5984" spans="3:10" x14ac:dyDescent="0.2">
      <c r="C5984" s="209"/>
      <c r="D5984" s="209"/>
      <c r="E5984" s="209"/>
      <c r="J5984" s="124"/>
    </row>
    <row r="5985" spans="3:10" x14ac:dyDescent="0.2">
      <c r="C5985" s="209"/>
      <c r="D5985" s="209"/>
      <c r="E5985" s="209"/>
      <c r="J5985" s="124"/>
    </row>
    <row r="5986" spans="3:10" x14ac:dyDescent="0.2">
      <c r="C5986" s="209"/>
      <c r="D5986" s="209"/>
      <c r="E5986" s="209"/>
      <c r="J5986" s="124"/>
    </row>
    <row r="5987" spans="3:10" x14ac:dyDescent="0.2">
      <c r="C5987" s="209"/>
      <c r="D5987" s="209"/>
      <c r="E5987" s="209"/>
      <c r="J5987" s="124"/>
    </row>
    <row r="5988" spans="3:10" x14ac:dyDescent="0.2">
      <c r="C5988" s="209"/>
      <c r="D5988" s="209"/>
      <c r="E5988" s="209"/>
      <c r="J5988" s="124"/>
    </row>
    <row r="5989" spans="3:10" x14ac:dyDescent="0.2">
      <c r="C5989" s="209"/>
      <c r="D5989" s="209"/>
      <c r="E5989" s="209"/>
      <c r="J5989" s="124"/>
    </row>
    <row r="5990" spans="3:10" x14ac:dyDescent="0.2">
      <c r="C5990" s="209"/>
      <c r="D5990" s="209"/>
      <c r="E5990" s="209"/>
      <c r="J5990" s="124"/>
    </row>
    <row r="5991" spans="3:10" x14ac:dyDescent="0.2">
      <c r="C5991" s="209"/>
      <c r="D5991" s="209"/>
      <c r="E5991" s="209"/>
      <c r="J5991" s="124"/>
    </row>
    <row r="5992" spans="3:10" x14ac:dyDescent="0.2">
      <c r="C5992" s="209"/>
      <c r="D5992" s="209"/>
      <c r="E5992" s="209"/>
      <c r="J5992" s="124"/>
    </row>
    <row r="5993" spans="3:10" x14ac:dyDescent="0.2">
      <c r="C5993" s="209"/>
      <c r="D5993" s="209"/>
      <c r="E5993" s="209"/>
      <c r="J5993" s="124"/>
    </row>
    <row r="5994" spans="3:10" x14ac:dyDescent="0.2">
      <c r="C5994" s="209"/>
      <c r="D5994" s="209"/>
      <c r="E5994" s="209"/>
      <c r="J5994" s="124"/>
    </row>
    <row r="5995" spans="3:10" x14ac:dyDescent="0.2">
      <c r="C5995" s="209"/>
      <c r="D5995" s="209"/>
      <c r="E5995" s="209"/>
      <c r="J5995" s="124"/>
    </row>
    <row r="5996" spans="3:10" x14ac:dyDescent="0.2">
      <c r="C5996" s="209"/>
      <c r="D5996" s="209"/>
      <c r="E5996" s="209"/>
      <c r="J5996" s="124"/>
    </row>
    <row r="5997" spans="3:10" x14ac:dyDescent="0.2">
      <c r="C5997" s="209"/>
      <c r="D5997" s="209"/>
      <c r="E5997" s="209"/>
      <c r="J5997" s="124"/>
    </row>
    <row r="5998" spans="3:10" x14ac:dyDescent="0.2">
      <c r="C5998" s="209"/>
      <c r="D5998" s="209"/>
      <c r="E5998" s="209"/>
      <c r="J5998" s="124"/>
    </row>
    <row r="5999" spans="3:10" x14ac:dyDescent="0.2">
      <c r="C5999" s="209"/>
      <c r="D5999" s="209"/>
      <c r="E5999" s="209"/>
      <c r="J5999" s="124"/>
    </row>
    <row r="6000" spans="3:10" x14ac:dyDescent="0.2">
      <c r="C6000" s="209"/>
      <c r="D6000" s="209"/>
      <c r="E6000" s="209"/>
      <c r="J6000" s="124"/>
    </row>
    <row r="6001" spans="3:10" x14ac:dyDescent="0.2">
      <c r="C6001" s="209"/>
      <c r="D6001" s="209"/>
      <c r="E6001" s="209"/>
      <c r="J6001" s="124"/>
    </row>
    <row r="6002" spans="3:10" x14ac:dyDescent="0.2">
      <c r="C6002" s="209"/>
      <c r="D6002" s="209"/>
      <c r="E6002" s="209"/>
      <c r="J6002" s="124"/>
    </row>
    <row r="6003" spans="3:10" x14ac:dyDescent="0.2">
      <c r="C6003" s="209"/>
      <c r="D6003" s="209"/>
      <c r="E6003" s="209"/>
      <c r="J6003" s="124"/>
    </row>
    <row r="6004" spans="3:10" x14ac:dyDescent="0.2">
      <c r="C6004" s="209"/>
      <c r="D6004" s="209"/>
      <c r="E6004" s="209"/>
      <c r="J6004" s="124"/>
    </row>
    <row r="6005" spans="3:10" x14ac:dyDescent="0.2">
      <c r="C6005" s="209"/>
      <c r="D6005" s="209"/>
      <c r="E6005" s="209"/>
      <c r="J6005" s="124"/>
    </row>
    <row r="6006" spans="3:10" x14ac:dyDescent="0.2">
      <c r="C6006" s="209"/>
      <c r="D6006" s="209"/>
      <c r="E6006" s="209"/>
      <c r="J6006" s="124"/>
    </row>
    <row r="6007" spans="3:10" x14ac:dyDescent="0.2">
      <c r="C6007" s="209"/>
      <c r="D6007" s="209"/>
      <c r="E6007" s="209"/>
      <c r="J6007" s="124"/>
    </row>
    <row r="6008" spans="3:10" x14ac:dyDescent="0.2">
      <c r="C6008" s="209"/>
      <c r="D6008" s="209"/>
      <c r="E6008" s="209"/>
      <c r="J6008" s="124"/>
    </row>
    <row r="6009" spans="3:10" x14ac:dyDescent="0.2">
      <c r="C6009" s="209"/>
      <c r="D6009" s="209"/>
      <c r="E6009" s="209"/>
      <c r="J6009" s="124"/>
    </row>
    <row r="6010" spans="3:10" x14ac:dyDescent="0.2">
      <c r="C6010" s="209"/>
      <c r="D6010" s="209"/>
      <c r="E6010" s="209"/>
      <c r="J6010" s="124"/>
    </row>
    <row r="6011" spans="3:10" x14ac:dyDescent="0.2">
      <c r="C6011" s="209"/>
      <c r="D6011" s="209"/>
      <c r="E6011" s="209"/>
      <c r="J6011" s="124"/>
    </row>
    <row r="6012" spans="3:10" x14ac:dyDescent="0.2">
      <c r="C6012" s="209"/>
      <c r="D6012" s="209"/>
      <c r="E6012" s="209"/>
      <c r="J6012" s="124"/>
    </row>
    <row r="6013" spans="3:10" x14ac:dyDescent="0.2">
      <c r="C6013" s="209"/>
      <c r="D6013" s="209"/>
      <c r="E6013" s="209"/>
      <c r="J6013" s="124"/>
    </row>
    <row r="6014" spans="3:10" x14ac:dyDescent="0.2">
      <c r="C6014" s="209"/>
      <c r="D6014" s="209"/>
      <c r="E6014" s="209"/>
      <c r="J6014" s="124"/>
    </row>
    <row r="6015" spans="3:10" x14ac:dyDescent="0.2">
      <c r="C6015" s="209"/>
      <c r="D6015" s="209"/>
      <c r="E6015" s="209"/>
      <c r="J6015" s="124"/>
    </row>
    <row r="6016" spans="3:10" x14ac:dyDescent="0.2">
      <c r="C6016" s="209"/>
      <c r="D6016" s="209"/>
      <c r="E6016" s="209"/>
      <c r="J6016" s="124"/>
    </row>
    <row r="6017" spans="3:10" x14ac:dyDescent="0.2">
      <c r="C6017" s="209"/>
      <c r="D6017" s="209"/>
      <c r="E6017" s="209"/>
      <c r="J6017" s="124"/>
    </row>
    <row r="6018" spans="3:10" x14ac:dyDescent="0.2">
      <c r="C6018" s="209"/>
      <c r="D6018" s="209"/>
      <c r="E6018" s="209"/>
      <c r="J6018" s="124"/>
    </row>
    <row r="6019" spans="3:10" x14ac:dyDescent="0.2">
      <c r="C6019" s="209"/>
      <c r="D6019" s="209"/>
      <c r="E6019" s="209"/>
      <c r="J6019" s="124"/>
    </row>
    <row r="6020" spans="3:10" x14ac:dyDescent="0.2">
      <c r="C6020" s="209"/>
      <c r="D6020" s="209"/>
      <c r="E6020" s="209"/>
      <c r="J6020" s="124"/>
    </row>
    <row r="6021" spans="3:10" x14ac:dyDescent="0.2">
      <c r="C6021" s="209"/>
      <c r="D6021" s="209"/>
      <c r="E6021" s="209"/>
      <c r="J6021" s="124"/>
    </row>
    <row r="6022" spans="3:10" x14ac:dyDescent="0.2">
      <c r="C6022" s="209"/>
      <c r="D6022" s="209"/>
      <c r="E6022" s="209"/>
      <c r="J6022" s="124"/>
    </row>
    <row r="6023" spans="3:10" x14ac:dyDescent="0.2">
      <c r="C6023" s="209"/>
      <c r="D6023" s="209"/>
      <c r="E6023" s="209"/>
      <c r="J6023" s="124"/>
    </row>
    <row r="6024" spans="3:10" x14ac:dyDescent="0.2">
      <c r="C6024" s="209"/>
      <c r="D6024" s="209"/>
      <c r="E6024" s="209"/>
      <c r="J6024" s="124"/>
    </row>
    <row r="6025" spans="3:10" x14ac:dyDescent="0.2">
      <c r="C6025" s="209"/>
      <c r="D6025" s="209"/>
      <c r="E6025" s="209"/>
      <c r="J6025" s="124"/>
    </row>
    <row r="6026" spans="3:10" x14ac:dyDescent="0.2">
      <c r="C6026" s="209"/>
      <c r="D6026" s="209"/>
      <c r="E6026" s="209"/>
      <c r="J6026" s="124"/>
    </row>
    <row r="6027" spans="3:10" x14ac:dyDescent="0.2">
      <c r="C6027" s="209"/>
      <c r="D6027" s="209"/>
      <c r="E6027" s="209"/>
      <c r="J6027" s="124"/>
    </row>
    <row r="6028" spans="3:10" x14ac:dyDescent="0.2">
      <c r="C6028" s="209"/>
      <c r="D6028" s="209"/>
      <c r="E6028" s="209"/>
      <c r="J6028" s="124"/>
    </row>
    <row r="6029" spans="3:10" x14ac:dyDescent="0.2">
      <c r="C6029" s="209"/>
      <c r="D6029" s="209"/>
      <c r="E6029" s="209"/>
      <c r="J6029" s="124"/>
    </row>
    <row r="6030" spans="3:10" x14ac:dyDescent="0.2">
      <c r="C6030" s="209"/>
      <c r="D6030" s="209"/>
      <c r="E6030" s="209"/>
      <c r="J6030" s="124"/>
    </row>
    <row r="6031" spans="3:10" x14ac:dyDescent="0.2">
      <c r="C6031" s="209"/>
      <c r="D6031" s="209"/>
      <c r="E6031" s="209"/>
      <c r="J6031" s="124"/>
    </row>
    <row r="6032" spans="3:10" x14ac:dyDescent="0.2">
      <c r="C6032" s="209"/>
      <c r="D6032" s="209"/>
      <c r="E6032" s="209"/>
      <c r="J6032" s="124"/>
    </row>
    <row r="6033" spans="3:10" x14ac:dyDescent="0.2">
      <c r="C6033" s="209"/>
      <c r="D6033" s="209"/>
      <c r="E6033" s="209"/>
      <c r="J6033" s="124"/>
    </row>
    <row r="6034" spans="3:10" x14ac:dyDescent="0.2">
      <c r="C6034" s="209"/>
      <c r="D6034" s="209"/>
      <c r="E6034" s="209"/>
      <c r="J6034" s="124"/>
    </row>
    <row r="6035" spans="3:10" x14ac:dyDescent="0.2">
      <c r="C6035" s="209"/>
      <c r="D6035" s="209"/>
      <c r="E6035" s="209"/>
      <c r="J6035" s="124"/>
    </row>
    <row r="6036" spans="3:10" x14ac:dyDescent="0.2">
      <c r="C6036" s="209"/>
      <c r="D6036" s="209"/>
      <c r="E6036" s="209"/>
      <c r="J6036" s="124"/>
    </row>
    <row r="6037" spans="3:10" x14ac:dyDescent="0.2">
      <c r="C6037" s="209"/>
      <c r="D6037" s="209"/>
      <c r="E6037" s="209"/>
      <c r="J6037" s="124"/>
    </row>
    <row r="6038" spans="3:10" x14ac:dyDescent="0.2">
      <c r="C6038" s="209"/>
      <c r="D6038" s="209"/>
      <c r="E6038" s="209"/>
      <c r="J6038" s="124"/>
    </row>
    <row r="6039" spans="3:10" x14ac:dyDescent="0.2">
      <c r="C6039" s="209"/>
      <c r="D6039" s="209"/>
      <c r="E6039" s="209"/>
      <c r="J6039" s="124"/>
    </row>
    <row r="6040" spans="3:10" x14ac:dyDescent="0.2">
      <c r="C6040" s="209"/>
      <c r="D6040" s="209"/>
      <c r="E6040" s="209"/>
      <c r="J6040" s="124"/>
    </row>
    <row r="6041" spans="3:10" x14ac:dyDescent="0.2">
      <c r="C6041" s="209"/>
      <c r="D6041" s="209"/>
      <c r="E6041" s="209"/>
      <c r="J6041" s="124"/>
    </row>
    <row r="6042" spans="3:10" x14ac:dyDescent="0.2">
      <c r="C6042" s="209"/>
      <c r="D6042" s="209"/>
      <c r="E6042" s="209"/>
      <c r="J6042" s="124"/>
    </row>
    <row r="6043" spans="3:10" x14ac:dyDescent="0.2">
      <c r="C6043" s="209"/>
      <c r="D6043" s="209"/>
      <c r="E6043" s="209"/>
      <c r="J6043" s="124"/>
    </row>
    <row r="6044" spans="3:10" x14ac:dyDescent="0.2">
      <c r="C6044" s="209"/>
      <c r="D6044" s="209"/>
      <c r="E6044" s="209"/>
      <c r="J6044" s="124"/>
    </row>
    <row r="6045" spans="3:10" x14ac:dyDescent="0.2">
      <c r="C6045" s="209"/>
      <c r="D6045" s="209"/>
      <c r="E6045" s="209"/>
      <c r="J6045" s="124"/>
    </row>
    <row r="6046" spans="3:10" x14ac:dyDescent="0.2">
      <c r="C6046" s="209"/>
      <c r="D6046" s="209"/>
      <c r="E6046" s="209"/>
      <c r="J6046" s="124"/>
    </row>
    <row r="6047" spans="3:10" x14ac:dyDescent="0.2">
      <c r="C6047" s="209"/>
      <c r="D6047" s="209"/>
      <c r="E6047" s="209"/>
      <c r="J6047" s="124"/>
    </row>
    <row r="6048" spans="3:10" x14ac:dyDescent="0.2">
      <c r="C6048" s="209"/>
      <c r="D6048" s="209"/>
      <c r="E6048" s="209"/>
      <c r="J6048" s="124"/>
    </row>
    <row r="6049" spans="3:10" x14ac:dyDescent="0.2">
      <c r="C6049" s="209"/>
      <c r="D6049" s="209"/>
      <c r="E6049" s="209"/>
      <c r="J6049" s="124"/>
    </row>
    <row r="6050" spans="3:10" x14ac:dyDescent="0.2">
      <c r="C6050" s="209"/>
      <c r="D6050" s="209"/>
      <c r="E6050" s="209"/>
      <c r="J6050" s="124"/>
    </row>
    <row r="6051" spans="3:10" x14ac:dyDescent="0.2">
      <c r="C6051" s="209"/>
      <c r="D6051" s="209"/>
      <c r="E6051" s="209"/>
      <c r="J6051" s="124"/>
    </row>
    <row r="6052" spans="3:10" x14ac:dyDescent="0.2">
      <c r="C6052" s="209"/>
      <c r="D6052" s="209"/>
      <c r="E6052" s="209"/>
      <c r="J6052" s="124"/>
    </row>
    <row r="6053" spans="3:10" x14ac:dyDescent="0.2">
      <c r="C6053" s="209"/>
      <c r="D6053" s="209"/>
      <c r="E6053" s="209"/>
      <c r="J6053" s="124"/>
    </row>
    <row r="6054" spans="3:10" x14ac:dyDescent="0.2">
      <c r="C6054" s="209"/>
      <c r="D6054" s="209"/>
      <c r="E6054" s="209"/>
      <c r="J6054" s="124"/>
    </row>
    <row r="6055" spans="3:10" x14ac:dyDescent="0.2">
      <c r="C6055" s="209"/>
      <c r="D6055" s="209"/>
      <c r="E6055" s="209"/>
      <c r="J6055" s="124"/>
    </row>
    <row r="6056" spans="3:10" x14ac:dyDescent="0.2">
      <c r="C6056" s="209"/>
      <c r="D6056" s="209"/>
      <c r="E6056" s="209"/>
      <c r="J6056" s="124"/>
    </row>
    <row r="6057" spans="3:10" x14ac:dyDescent="0.2">
      <c r="C6057" s="209"/>
      <c r="D6057" s="209"/>
      <c r="E6057" s="209"/>
      <c r="J6057" s="124"/>
    </row>
    <row r="6058" spans="3:10" x14ac:dyDescent="0.2">
      <c r="C6058" s="209"/>
      <c r="D6058" s="209"/>
      <c r="E6058" s="209"/>
      <c r="J6058" s="124"/>
    </row>
    <row r="6059" spans="3:10" x14ac:dyDescent="0.2">
      <c r="C6059" s="209"/>
      <c r="D6059" s="209"/>
      <c r="E6059" s="209"/>
      <c r="J6059" s="124"/>
    </row>
    <row r="6060" spans="3:10" x14ac:dyDescent="0.2">
      <c r="C6060" s="209"/>
      <c r="D6060" s="209"/>
      <c r="E6060" s="209"/>
      <c r="J6060" s="124"/>
    </row>
    <row r="6061" spans="3:10" x14ac:dyDescent="0.2">
      <c r="C6061" s="209"/>
      <c r="D6061" s="209"/>
      <c r="E6061" s="209"/>
      <c r="J6061" s="124"/>
    </row>
    <row r="6062" spans="3:10" x14ac:dyDescent="0.2">
      <c r="C6062" s="209"/>
      <c r="D6062" s="209"/>
      <c r="E6062" s="209"/>
      <c r="J6062" s="124"/>
    </row>
    <row r="6063" spans="3:10" x14ac:dyDescent="0.2">
      <c r="C6063" s="209"/>
      <c r="D6063" s="209"/>
      <c r="E6063" s="209"/>
      <c r="J6063" s="124"/>
    </row>
    <row r="6064" spans="3:10" x14ac:dyDescent="0.2">
      <c r="C6064" s="209"/>
      <c r="D6064" s="209"/>
      <c r="E6064" s="209"/>
      <c r="J6064" s="124"/>
    </row>
    <row r="6065" spans="3:10" x14ac:dyDescent="0.2">
      <c r="C6065" s="209"/>
      <c r="D6065" s="209"/>
      <c r="E6065" s="209"/>
      <c r="J6065" s="124"/>
    </row>
    <row r="6066" spans="3:10" x14ac:dyDescent="0.2">
      <c r="C6066" s="209"/>
      <c r="D6066" s="209"/>
      <c r="E6066" s="209"/>
      <c r="J6066" s="124"/>
    </row>
    <row r="6067" spans="3:10" x14ac:dyDescent="0.2">
      <c r="C6067" s="209"/>
      <c r="D6067" s="209"/>
      <c r="E6067" s="209"/>
      <c r="J6067" s="124"/>
    </row>
    <row r="6068" spans="3:10" x14ac:dyDescent="0.2">
      <c r="C6068" s="209"/>
      <c r="D6068" s="209"/>
      <c r="E6068" s="209"/>
      <c r="J6068" s="124"/>
    </row>
    <row r="6069" spans="3:10" x14ac:dyDescent="0.2">
      <c r="C6069" s="209"/>
      <c r="D6069" s="209"/>
      <c r="E6069" s="209"/>
      <c r="J6069" s="124"/>
    </row>
    <row r="6070" spans="3:10" x14ac:dyDescent="0.2">
      <c r="C6070" s="209"/>
      <c r="D6070" s="209"/>
      <c r="E6070" s="209"/>
      <c r="J6070" s="124"/>
    </row>
    <row r="6071" spans="3:10" x14ac:dyDescent="0.2">
      <c r="C6071" s="209"/>
      <c r="D6071" s="209"/>
      <c r="E6071" s="209"/>
      <c r="J6071" s="124"/>
    </row>
    <row r="6072" spans="3:10" x14ac:dyDescent="0.2">
      <c r="C6072" s="209"/>
      <c r="D6072" s="209"/>
      <c r="E6072" s="209"/>
      <c r="J6072" s="124"/>
    </row>
    <row r="6073" spans="3:10" x14ac:dyDescent="0.2">
      <c r="C6073" s="209"/>
      <c r="D6073" s="209"/>
      <c r="E6073" s="209"/>
      <c r="J6073" s="124"/>
    </row>
    <row r="6074" spans="3:10" x14ac:dyDescent="0.2">
      <c r="C6074" s="209"/>
      <c r="D6074" s="209"/>
      <c r="E6074" s="209"/>
      <c r="J6074" s="124"/>
    </row>
    <row r="6075" spans="3:10" x14ac:dyDescent="0.2">
      <c r="C6075" s="209"/>
      <c r="D6075" s="209"/>
      <c r="E6075" s="209"/>
      <c r="J6075" s="124"/>
    </row>
    <row r="6076" spans="3:10" x14ac:dyDescent="0.2">
      <c r="C6076" s="209"/>
      <c r="D6076" s="209"/>
      <c r="E6076" s="209"/>
      <c r="J6076" s="124"/>
    </row>
    <row r="6077" spans="3:10" x14ac:dyDescent="0.2">
      <c r="C6077" s="209"/>
      <c r="D6077" s="209"/>
      <c r="E6077" s="209"/>
      <c r="J6077" s="124"/>
    </row>
    <row r="6078" spans="3:10" x14ac:dyDescent="0.2">
      <c r="C6078" s="209"/>
      <c r="D6078" s="209"/>
      <c r="E6078" s="209"/>
      <c r="J6078" s="124"/>
    </row>
    <row r="6079" spans="3:10" x14ac:dyDescent="0.2">
      <c r="C6079" s="209"/>
      <c r="D6079" s="209"/>
      <c r="E6079" s="209"/>
      <c r="J6079" s="124"/>
    </row>
    <row r="6080" spans="3:10" x14ac:dyDescent="0.2">
      <c r="C6080" s="209"/>
      <c r="D6080" s="209"/>
      <c r="E6080" s="209"/>
      <c r="J6080" s="124"/>
    </row>
    <row r="6081" spans="3:10" x14ac:dyDescent="0.2">
      <c r="C6081" s="209"/>
      <c r="D6081" s="209"/>
      <c r="E6081" s="209"/>
      <c r="J6081" s="124"/>
    </row>
    <row r="6082" spans="3:10" x14ac:dyDescent="0.2">
      <c r="C6082" s="209"/>
      <c r="D6082" s="209"/>
      <c r="E6082" s="209"/>
      <c r="J6082" s="124"/>
    </row>
    <row r="6083" spans="3:10" x14ac:dyDescent="0.2">
      <c r="C6083" s="209"/>
      <c r="D6083" s="209"/>
      <c r="E6083" s="209"/>
      <c r="J6083" s="124"/>
    </row>
    <row r="6084" spans="3:10" x14ac:dyDescent="0.2">
      <c r="C6084" s="209"/>
      <c r="D6084" s="209"/>
      <c r="E6084" s="209"/>
      <c r="J6084" s="124"/>
    </row>
    <row r="6085" spans="3:10" x14ac:dyDescent="0.2">
      <c r="C6085" s="209"/>
      <c r="D6085" s="209"/>
      <c r="E6085" s="209"/>
      <c r="J6085" s="124"/>
    </row>
    <row r="6086" spans="3:10" x14ac:dyDescent="0.2">
      <c r="C6086" s="209"/>
      <c r="D6086" s="209"/>
      <c r="E6086" s="209"/>
      <c r="J6086" s="124"/>
    </row>
    <row r="6087" spans="3:10" x14ac:dyDescent="0.2">
      <c r="C6087" s="209"/>
      <c r="D6087" s="209"/>
      <c r="E6087" s="209"/>
      <c r="J6087" s="124"/>
    </row>
    <row r="6088" spans="3:10" x14ac:dyDescent="0.2">
      <c r="C6088" s="209"/>
      <c r="D6088" s="209"/>
      <c r="E6088" s="209"/>
      <c r="J6088" s="124"/>
    </row>
    <row r="6089" spans="3:10" x14ac:dyDescent="0.2">
      <c r="C6089" s="209"/>
      <c r="D6089" s="209"/>
      <c r="E6089" s="209"/>
      <c r="J6089" s="124"/>
    </row>
    <row r="6090" spans="3:10" x14ac:dyDescent="0.2">
      <c r="C6090" s="209"/>
      <c r="D6090" s="209"/>
      <c r="E6090" s="209"/>
      <c r="J6090" s="124"/>
    </row>
    <row r="6091" spans="3:10" x14ac:dyDescent="0.2">
      <c r="C6091" s="209"/>
      <c r="D6091" s="209"/>
      <c r="E6091" s="209"/>
      <c r="J6091" s="124"/>
    </row>
    <row r="6092" spans="3:10" x14ac:dyDescent="0.2">
      <c r="C6092" s="209"/>
      <c r="D6092" s="209"/>
      <c r="E6092" s="209"/>
      <c r="J6092" s="124"/>
    </row>
    <row r="6093" spans="3:10" x14ac:dyDescent="0.2">
      <c r="C6093" s="209"/>
      <c r="D6093" s="209"/>
      <c r="E6093" s="209"/>
      <c r="J6093" s="124"/>
    </row>
    <row r="6094" spans="3:10" x14ac:dyDescent="0.2">
      <c r="C6094" s="209"/>
      <c r="D6094" s="209"/>
      <c r="E6094" s="209"/>
      <c r="J6094" s="124"/>
    </row>
    <row r="6095" spans="3:10" x14ac:dyDescent="0.2">
      <c r="C6095" s="209"/>
      <c r="D6095" s="209"/>
      <c r="E6095" s="209"/>
      <c r="J6095" s="124"/>
    </row>
    <row r="6096" spans="3:10" x14ac:dyDescent="0.2">
      <c r="C6096" s="209"/>
      <c r="D6096" s="209"/>
      <c r="E6096" s="209"/>
      <c r="J6096" s="124"/>
    </row>
    <row r="6097" spans="3:10" x14ac:dyDescent="0.2">
      <c r="C6097" s="209"/>
      <c r="D6097" s="209"/>
      <c r="E6097" s="209"/>
      <c r="J6097" s="124"/>
    </row>
    <row r="6098" spans="3:10" x14ac:dyDescent="0.2">
      <c r="C6098" s="209"/>
      <c r="D6098" s="209"/>
      <c r="E6098" s="209"/>
      <c r="J6098" s="124"/>
    </row>
    <row r="6099" spans="3:10" x14ac:dyDescent="0.2">
      <c r="C6099" s="209"/>
      <c r="D6099" s="209"/>
      <c r="E6099" s="209"/>
      <c r="J6099" s="124"/>
    </row>
    <row r="6100" spans="3:10" x14ac:dyDescent="0.2">
      <c r="C6100" s="209"/>
      <c r="D6100" s="209"/>
      <c r="E6100" s="209"/>
      <c r="J6100" s="124"/>
    </row>
    <row r="6101" spans="3:10" x14ac:dyDescent="0.2">
      <c r="C6101" s="209"/>
      <c r="D6101" s="209"/>
      <c r="E6101" s="209"/>
      <c r="J6101" s="124"/>
    </row>
    <row r="6102" spans="3:10" x14ac:dyDescent="0.2">
      <c r="C6102" s="209"/>
      <c r="D6102" s="209"/>
      <c r="E6102" s="209"/>
      <c r="J6102" s="124"/>
    </row>
    <row r="6103" spans="3:10" x14ac:dyDescent="0.2">
      <c r="C6103" s="209"/>
      <c r="D6103" s="209"/>
      <c r="E6103" s="209"/>
      <c r="J6103" s="124"/>
    </row>
    <row r="6104" spans="3:10" x14ac:dyDescent="0.2">
      <c r="C6104" s="209"/>
      <c r="D6104" s="209"/>
      <c r="E6104" s="209"/>
      <c r="J6104" s="124"/>
    </row>
    <row r="6105" spans="3:10" x14ac:dyDescent="0.2">
      <c r="C6105" s="209"/>
      <c r="D6105" s="209"/>
      <c r="E6105" s="209"/>
      <c r="J6105" s="124"/>
    </row>
    <row r="6106" spans="3:10" x14ac:dyDescent="0.2">
      <c r="C6106" s="209"/>
      <c r="D6106" s="209"/>
      <c r="E6106" s="209"/>
      <c r="J6106" s="124"/>
    </row>
    <row r="6107" spans="3:10" x14ac:dyDescent="0.2">
      <c r="C6107" s="209"/>
      <c r="D6107" s="209"/>
      <c r="E6107" s="209"/>
      <c r="J6107" s="124"/>
    </row>
    <row r="6108" spans="3:10" x14ac:dyDescent="0.2">
      <c r="C6108" s="209"/>
      <c r="D6108" s="209"/>
      <c r="E6108" s="209"/>
      <c r="J6108" s="124"/>
    </row>
    <row r="6109" spans="3:10" x14ac:dyDescent="0.2">
      <c r="C6109" s="209"/>
      <c r="D6109" s="209"/>
      <c r="E6109" s="209"/>
      <c r="J6109" s="124"/>
    </row>
    <row r="6110" spans="3:10" x14ac:dyDescent="0.2">
      <c r="C6110" s="209"/>
      <c r="D6110" s="209"/>
      <c r="E6110" s="209"/>
      <c r="J6110" s="124"/>
    </row>
    <row r="6111" spans="3:10" x14ac:dyDescent="0.2">
      <c r="C6111" s="209"/>
      <c r="D6111" s="209"/>
      <c r="E6111" s="209"/>
      <c r="J6111" s="124"/>
    </row>
    <row r="6112" spans="3:10" x14ac:dyDescent="0.2">
      <c r="C6112" s="209"/>
      <c r="D6112" s="209"/>
      <c r="E6112" s="209"/>
      <c r="J6112" s="124"/>
    </row>
    <row r="6113" spans="3:10" x14ac:dyDescent="0.2">
      <c r="C6113" s="209"/>
      <c r="D6113" s="209"/>
      <c r="E6113" s="209"/>
      <c r="J6113" s="124"/>
    </row>
    <row r="6114" spans="3:10" x14ac:dyDescent="0.2">
      <c r="C6114" s="209"/>
      <c r="D6114" s="209"/>
      <c r="E6114" s="209"/>
      <c r="J6114" s="124"/>
    </row>
    <row r="6115" spans="3:10" x14ac:dyDescent="0.2">
      <c r="C6115" s="209"/>
      <c r="D6115" s="209"/>
      <c r="E6115" s="209"/>
      <c r="J6115" s="124"/>
    </row>
    <row r="6116" spans="3:10" x14ac:dyDescent="0.2">
      <c r="C6116" s="209"/>
      <c r="D6116" s="209"/>
      <c r="E6116" s="209"/>
      <c r="J6116" s="124"/>
    </row>
    <row r="6117" spans="3:10" x14ac:dyDescent="0.2">
      <c r="C6117" s="209"/>
      <c r="D6117" s="209"/>
      <c r="E6117" s="209"/>
      <c r="J6117" s="124"/>
    </row>
    <row r="6118" spans="3:10" x14ac:dyDescent="0.2">
      <c r="C6118" s="209"/>
      <c r="D6118" s="209"/>
      <c r="E6118" s="209"/>
      <c r="J6118" s="124"/>
    </row>
    <row r="6119" spans="3:10" x14ac:dyDescent="0.2">
      <c r="C6119" s="209"/>
      <c r="D6119" s="209"/>
      <c r="E6119" s="209"/>
      <c r="J6119" s="124"/>
    </row>
    <row r="6120" spans="3:10" x14ac:dyDescent="0.2">
      <c r="C6120" s="209"/>
      <c r="D6120" s="209"/>
      <c r="E6120" s="209"/>
      <c r="J6120" s="124"/>
    </row>
    <row r="6121" spans="3:10" x14ac:dyDescent="0.2">
      <c r="C6121" s="209"/>
      <c r="D6121" s="209"/>
      <c r="E6121" s="209"/>
      <c r="J6121" s="124"/>
    </row>
    <row r="6122" spans="3:10" x14ac:dyDescent="0.2">
      <c r="C6122" s="209"/>
      <c r="D6122" s="209"/>
      <c r="E6122" s="209"/>
      <c r="J6122" s="124"/>
    </row>
    <row r="6123" spans="3:10" x14ac:dyDescent="0.2">
      <c r="C6123" s="209"/>
      <c r="D6123" s="209"/>
      <c r="E6123" s="209"/>
      <c r="J6123" s="124"/>
    </row>
    <row r="6124" spans="3:10" x14ac:dyDescent="0.2">
      <c r="C6124" s="209"/>
      <c r="D6124" s="209"/>
      <c r="E6124" s="209"/>
      <c r="J6124" s="124"/>
    </row>
    <row r="6125" spans="3:10" x14ac:dyDescent="0.2">
      <c r="C6125" s="209"/>
      <c r="D6125" s="209"/>
      <c r="E6125" s="209"/>
      <c r="J6125" s="124"/>
    </row>
    <row r="6126" spans="3:10" x14ac:dyDescent="0.2">
      <c r="C6126" s="209"/>
      <c r="D6126" s="209"/>
      <c r="E6126" s="209"/>
      <c r="J6126" s="124"/>
    </row>
    <row r="6127" spans="3:10" x14ac:dyDescent="0.2">
      <c r="C6127" s="209"/>
      <c r="D6127" s="209"/>
      <c r="E6127" s="209"/>
      <c r="J6127" s="124"/>
    </row>
    <row r="6128" spans="3:10" x14ac:dyDescent="0.2">
      <c r="C6128" s="209"/>
      <c r="D6128" s="209"/>
      <c r="E6128" s="209"/>
      <c r="J6128" s="124"/>
    </row>
    <row r="6129" spans="3:10" x14ac:dyDescent="0.2">
      <c r="C6129" s="209"/>
      <c r="D6129" s="209"/>
      <c r="E6129" s="209"/>
      <c r="J6129" s="124"/>
    </row>
    <row r="6130" spans="3:10" x14ac:dyDescent="0.2">
      <c r="C6130" s="209"/>
      <c r="D6130" s="209"/>
      <c r="E6130" s="209"/>
      <c r="J6130" s="124"/>
    </row>
    <row r="6131" spans="3:10" x14ac:dyDescent="0.2">
      <c r="C6131" s="209"/>
      <c r="D6131" s="209"/>
      <c r="E6131" s="209"/>
      <c r="J6131" s="124"/>
    </row>
    <row r="6132" spans="3:10" x14ac:dyDescent="0.2">
      <c r="C6132" s="209"/>
      <c r="D6132" s="209"/>
      <c r="E6132" s="209"/>
      <c r="J6132" s="124"/>
    </row>
    <row r="6133" spans="3:10" x14ac:dyDescent="0.2">
      <c r="C6133" s="209"/>
      <c r="D6133" s="209"/>
      <c r="E6133" s="209"/>
      <c r="J6133" s="124"/>
    </row>
    <row r="6134" spans="3:10" x14ac:dyDescent="0.2">
      <c r="C6134" s="209"/>
      <c r="D6134" s="209"/>
      <c r="E6134" s="209"/>
      <c r="J6134" s="124"/>
    </row>
    <row r="6135" spans="3:10" x14ac:dyDescent="0.2">
      <c r="C6135" s="209"/>
      <c r="D6135" s="209"/>
      <c r="E6135" s="209"/>
      <c r="J6135" s="124"/>
    </row>
    <row r="6136" spans="3:10" x14ac:dyDescent="0.2">
      <c r="C6136" s="209"/>
      <c r="D6136" s="209"/>
      <c r="E6136" s="209"/>
      <c r="J6136" s="124"/>
    </row>
    <row r="6137" spans="3:10" x14ac:dyDescent="0.2">
      <c r="C6137" s="209"/>
      <c r="D6137" s="209"/>
      <c r="E6137" s="209"/>
      <c r="J6137" s="124"/>
    </row>
    <row r="6138" spans="3:10" x14ac:dyDescent="0.2">
      <c r="C6138" s="209"/>
      <c r="D6138" s="209"/>
      <c r="E6138" s="209"/>
      <c r="J6138" s="124"/>
    </row>
    <row r="6139" spans="3:10" x14ac:dyDescent="0.2">
      <c r="C6139" s="209"/>
      <c r="D6139" s="209"/>
      <c r="E6139" s="209"/>
      <c r="J6139" s="124"/>
    </row>
    <row r="6140" spans="3:10" x14ac:dyDescent="0.2">
      <c r="C6140" s="209"/>
      <c r="D6140" s="209"/>
      <c r="E6140" s="209"/>
      <c r="J6140" s="124"/>
    </row>
    <row r="6141" spans="3:10" x14ac:dyDescent="0.2">
      <c r="C6141" s="209"/>
      <c r="D6141" s="209"/>
      <c r="E6141" s="209"/>
      <c r="J6141" s="124"/>
    </row>
    <row r="6142" spans="3:10" x14ac:dyDescent="0.2">
      <c r="C6142" s="209"/>
      <c r="D6142" s="209"/>
      <c r="E6142" s="209"/>
      <c r="J6142" s="124"/>
    </row>
    <row r="6143" spans="3:10" x14ac:dyDescent="0.2">
      <c r="C6143" s="209"/>
      <c r="D6143" s="209"/>
      <c r="E6143" s="209"/>
      <c r="J6143" s="124"/>
    </row>
    <row r="6144" spans="3:10" x14ac:dyDescent="0.2">
      <c r="C6144" s="209"/>
      <c r="D6144" s="209"/>
      <c r="E6144" s="209"/>
      <c r="J6144" s="124"/>
    </row>
    <row r="6145" spans="3:10" x14ac:dyDescent="0.2">
      <c r="C6145" s="209"/>
      <c r="D6145" s="209"/>
      <c r="E6145" s="209"/>
      <c r="J6145" s="124"/>
    </row>
    <row r="6146" spans="3:10" x14ac:dyDescent="0.2">
      <c r="C6146" s="209"/>
      <c r="D6146" s="209"/>
      <c r="E6146" s="209"/>
      <c r="J6146" s="124"/>
    </row>
    <row r="6147" spans="3:10" x14ac:dyDescent="0.2">
      <c r="C6147" s="209"/>
      <c r="D6147" s="209"/>
      <c r="E6147" s="209"/>
      <c r="J6147" s="124"/>
    </row>
    <row r="6148" spans="3:10" x14ac:dyDescent="0.2">
      <c r="C6148" s="209"/>
      <c r="D6148" s="209"/>
      <c r="E6148" s="209"/>
      <c r="J6148" s="124"/>
    </row>
    <row r="6149" spans="3:10" x14ac:dyDescent="0.2">
      <c r="C6149" s="209"/>
      <c r="D6149" s="209"/>
      <c r="E6149" s="209"/>
      <c r="J6149" s="124"/>
    </row>
    <row r="6150" spans="3:10" x14ac:dyDescent="0.2">
      <c r="C6150" s="209"/>
      <c r="D6150" s="209"/>
      <c r="E6150" s="209"/>
      <c r="J6150" s="124"/>
    </row>
    <row r="6151" spans="3:10" x14ac:dyDescent="0.2">
      <c r="C6151" s="209"/>
      <c r="D6151" s="209"/>
      <c r="E6151" s="209"/>
      <c r="J6151" s="124"/>
    </row>
    <row r="6152" spans="3:10" x14ac:dyDescent="0.2">
      <c r="C6152" s="209"/>
      <c r="D6152" s="209"/>
      <c r="E6152" s="209"/>
      <c r="J6152" s="124"/>
    </row>
    <row r="6153" spans="3:10" x14ac:dyDescent="0.2">
      <c r="C6153" s="209"/>
      <c r="D6153" s="209"/>
      <c r="E6153" s="209"/>
      <c r="J6153" s="124"/>
    </row>
    <row r="6154" spans="3:10" x14ac:dyDescent="0.2">
      <c r="C6154" s="209"/>
      <c r="D6154" s="209"/>
      <c r="E6154" s="209"/>
      <c r="J6154" s="124"/>
    </row>
    <row r="6155" spans="3:10" x14ac:dyDescent="0.2">
      <c r="C6155" s="209"/>
      <c r="D6155" s="209"/>
      <c r="E6155" s="209"/>
      <c r="J6155" s="124"/>
    </row>
    <row r="6156" spans="3:10" x14ac:dyDescent="0.2">
      <c r="C6156" s="209"/>
      <c r="D6156" s="209"/>
      <c r="E6156" s="209"/>
      <c r="J6156" s="124"/>
    </row>
    <row r="6157" spans="3:10" x14ac:dyDescent="0.2">
      <c r="C6157" s="209"/>
      <c r="D6157" s="209"/>
      <c r="E6157" s="209"/>
      <c r="J6157" s="124"/>
    </row>
    <row r="6158" spans="3:10" x14ac:dyDescent="0.2">
      <c r="C6158" s="209"/>
      <c r="D6158" s="209"/>
      <c r="E6158" s="209"/>
      <c r="J6158" s="124"/>
    </row>
    <row r="6159" spans="3:10" x14ac:dyDescent="0.2">
      <c r="C6159" s="209"/>
      <c r="D6159" s="209"/>
      <c r="E6159" s="209"/>
      <c r="J6159" s="124"/>
    </row>
    <row r="6160" spans="3:10" x14ac:dyDescent="0.2">
      <c r="C6160" s="209"/>
      <c r="D6160" s="209"/>
      <c r="E6160" s="209"/>
      <c r="J6160" s="124"/>
    </row>
    <row r="6161" spans="3:10" x14ac:dyDescent="0.2">
      <c r="C6161" s="209"/>
      <c r="D6161" s="209"/>
      <c r="E6161" s="209"/>
      <c r="J6161" s="124"/>
    </row>
    <row r="6162" spans="3:10" x14ac:dyDescent="0.2">
      <c r="C6162" s="209"/>
      <c r="D6162" s="209"/>
      <c r="E6162" s="209"/>
      <c r="J6162" s="124"/>
    </row>
    <row r="6163" spans="3:10" x14ac:dyDescent="0.2">
      <c r="C6163" s="209"/>
      <c r="D6163" s="209"/>
      <c r="E6163" s="209"/>
      <c r="J6163" s="124"/>
    </row>
    <row r="6164" spans="3:10" x14ac:dyDescent="0.2">
      <c r="C6164" s="209"/>
      <c r="D6164" s="209"/>
      <c r="E6164" s="209"/>
      <c r="J6164" s="124"/>
    </row>
    <row r="6165" spans="3:10" x14ac:dyDescent="0.2">
      <c r="C6165" s="209"/>
      <c r="D6165" s="209"/>
      <c r="E6165" s="209"/>
      <c r="J6165" s="124"/>
    </row>
    <row r="6166" spans="3:10" x14ac:dyDescent="0.2">
      <c r="C6166" s="209"/>
      <c r="D6166" s="209"/>
      <c r="E6166" s="209"/>
      <c r="J6166" s="124"/>
    </row>
    <row r="6167" spans="3:10" x14ac:dyDescent="0.2">
      <c r="C6167" s="209"/>
      <c r="D6167" s="209"/>
      <c r="E6167" s="209"/>
      <c r="J6167" s="124"/>
    </row>
    <row r="6168" spans="3:10" x14ac:dyDescent="0.2">
      <c r="C6168" s="209"/>
      <c r="D6168" s="209"/>
      <c r="E6168" s="209"/>
      <c r="J6168" s="124"/>
    </row>
    <row r="6169" spans="3:10" x14ac:dyDescent="0.2">
      <c r="C6169" s="209"/>
      <c r="D6169" s="209"/>
      <c r="E6169" s="209"/>
      <c r="J6169" s="124"/>
    </row>
    <row r="6170" spans="3:10" x14ac:dyDescent="0.2">
      <c r="C6170" s="209"/>
      <c r="D6170" s="209"/>
      <c r="E6170" s="209"/>
      <c r="J6170" s="124"/>
    </row>
    <row r="6171" spans="3:10" x14ac:dyDescent="0.2">
      <c r="C6171" s="209"/>
      <c r="D6171" s="209"/>
      <c r="E6171" s="209"/>
      <c r="J6171" s="124"/>
    </row>
    <row r="6172" spans="3:10" x14ac:dyDescent="0.2">
      <c r="C6172" s="209"/>
      <c r="D6172" s="209"/>
      <c r="E6172" s="209"/>
      <c r="J6172" s="124"/>
    </row>
    <row r="6173" spans="3:10" x14ac:dyDescent="0.2">
      <c r="C6173" s="209"/>
      <c r="D6173" s="209"/>
      <c r="E6173" s="209"/>
      <c r="J6173" s="124"/>
    </row>
    <row r="6174" spans="3:10" x14ac:dyDescent="0.2">
      <c r="C6174" s="209"/>
      <c r="D6174" s="209"/>
      <c r="E6174" s="209"/>
      <c r="J6174" s="124"/>
    </row>
    <row r="6175" spans="3:10" x14ac:dyDescent="0.2">
      <c r="C6175" s="209"/>
      <c r="D6175" s="209"/>
      <c r="E6175" s="209"/>
      <c r="J6175" s="124"/>
    </row>
    <row r="6176" spans="3:10" x14ac:dyDescent="0.2">
      <c r="C6176" s="209"/>
      <c r="D6176" s="209"/>
      <c r="E6176" s="209"/>
      <c r="J6176" s="124"/>
    </row>
    <row r="6177" spans="3:10" x14ac:dyDescent="0.2">
      <c r="C6177" s="209"/>
      <c r="D6177" s="209"/>
      <c r="E6177" s="209"/>
      <c r="J6177" s="124"/>
    </row>
    <row r="6178" spans="3:10" x14ac:dyDescent="0.2">
      <c r="C6178" s="209"/>
      <c r="D6178" s="209"/>
      <c r="E6178" s="209"/>
      <c r="J6178" s="124"/>
    </row>
    <row r="6179" spans="3:10" x14ac:dyDescent="0.2">
      <c r="C6179" s="209"/>
      <c r="D6179" s="209"/>
      <c r="E6179" s="209"/>
      <c r="J6179" s="124"/>
    </row>
    <row r="6180" spans="3:10" x14ac:dyDescent="0.2">
      <c r="C6180" s="209"/>
      <c r="D6180" s="209"/>
      <c r="E6180" s="209"/>
      <c r="J6180" s="124"/>
    </row>
    <row r="6181" spans="3:10" x14ac:dyDescent="0.2">
      <c r="C6181" s="209"/>
      <c r="D6181" s="209"/>
      <c r="E6181" s="209"/>
      <c r="J6181" s="124"/>
    </row>
    <row r="6182" spans="3:10" x14ac:dyDescent="0.2">
      <c r="C6182" s="209"/>
      <c r="D6182" s="209"/>
      <c r="E6182" s="209"/>
      <c r="J6182" s="124"/>
    </row>
    <row r="6183" spans="3:10" x14ac:dyDescent="0.2">
      <c r="C6183" s="209"/>
      <c r="D6183" s="209"/>
      <c r="E6183" s="209"/>
      <c r="J6183" s="124"/>
    </row>
    <row r="6184" spans="3:10" x14ac:dyDescent="0.2">
      <c r="C6184" s="209"/>
      <c r="D6184" s="209"/>
      <c r="E6184" s="209"/>
      <c r="J6184" s="124"/>
    </row>
    <row r="6185" spans="3:10" x14ac:dyDescent="0.2">
      <c r="C6185" s="209"/>
      <c r="D6185" s="209"/>
      <c r="E6185" s="209"/>
      <c r="J6185" s="124"/>
    </row>
    <row r="6186" spans="3:10" x14ac:dyDescent="0.2">
      <c r="C6186" s="209"/>
      <c r="D6186" s="209"/>
      <c r="E6186" s="209"/>
      <c r="J6186" s="124"/>
    </row>
    <row r="6187" spans="3:10" x14ac:dyDescent="0.2">
      <c r="C6187" s="209"/>
      <c r="D6187" s="209"/>
      <c r="E6187" s="209"/>
      <c r="J6187" s="124"/>
    </row>
    <row r="6188" spans="3:10" x14ac:dyDescent="0.2">
      <c r="C6188" s="209"/>
      <c r="D6188" s="209"/>
      <c r="E6188" s="209"/>
      <c r="J6188" s="124"/>
    </row>
    <row r="6189" spans="3:10" x14ac:dyDescent="0.2">
      <c r="C6189" s="209"/>
      <c r="D6189" s="209"/>
      <c r="E6189" s="209"/>
      <c r="J6189" s="124"/>
    </row>
    <row r="6190" spans="3:10" x14ac:dyDescent="0.2">
      <c r="C6190" s="209"/>
      <c r="D6190" s="209"/>
      <c r="E6190" s="209"/>
      <c r="J6190" s="124"/>
    </row>
    <row r="6191" spans="3:10" x14ac:dyDescent="0.2">
      <c r="C6191" s="209"/>
      <c r="D6191" s="209"/>
      <c r="E6191" s="209"/>
      <c r="J6191" s="124"/>
    </row>
    <row r="6192" spans="3:10" x14ac:dyDescent="0.2">
      <c r="C6192" s="209"/>
      <c r="D6192" s="209"/>
      <c r="E6192" s="209"/>
      <c r="J6192" s="124"/>
    </row>
    <row r="6193" spans="3:10" x14ac:dyDescent="0.2">
      <c r="C6193" s="209"/>
      <c r="D6193" s="209"/>
      <c r="E6193" s="209"/>
      <c r="J6193" s="124"/>
    </row>
    <row r="6194" spans="3:10" x14ac:dyDescent="0.2">
      <c r="C6194" s="209"/>
      <c r="D6194" s="209"/>
      <c r="E6194" s="209"/>
      <c r="J6194" s="124"/>
    </row>
    <row r="6195" spans="3:10" x14ac:dyDescent="0.2">
      <c r="C6195" s="209"/>
      <c r="D6195" s="209"/>
      <c r="E6195" s="209"/>
      <c r="J6195" s="124"/>
    </row>
    <row r="6196" spans="3:10" x14ac:dyDescent="0.2">
      <c r="C6196" s="209"/>
      <c r="D6196" s="209"/>
      <c r="E6196" s="209"/>
      <c r="J6196" s="124"/>
    </row>
    <row r="6197" spans="3:10" x14ac:dyDescent="0.2">
      <c r="C6197" s="209"/>
      <c r="D6197" s="209"/>
      <c r="E6197" s="209"/>
      <c r="J6197" s="124"/>
    </row>
    <row r="6198" spans="3:10" x14ac:dyDescent="0.2">
      <c r="C6198" s="209"/>
      <c r="D6198" s="209"/>
      <c r="E6198" s="209"/>
      <c r="J6198" s="124"/>
    </row>
    <row r="6199" spans="3:10" x14ac:dyDescent="0.2">
      <c r="C6199" s="209"/>
      <c r="D6199" s="209"/>
      <c r="E6199" s="209"/>
      <c r="J6199" s="124"/>
    </row>
    <row r="6200" spans="3:10" x14ac:dyDescent="0.2">
      <c r="C6200" s="209"/>
      <c r="D6200" s="209"/>
      <c r="E6200" s="209"/>
      <c r="J6200" s="124"/>
    </row>
    <row r="6201" spans="3:10" x14ac:dyDescent="0.2">
      <c r="C6201" s="209"/>
      <c r="D6201" s="209"/>
      <c r="E6201" s="209"/>
      <c r="J6201" s="124"/>
    </row>
    <row r="6202" spans="3:10" x14ac:dyDescent="0.2">
      <c r="C6202" s="209"/>
      <c r="D6202" s="209"/>
      <c r="E6202" s="209"/>
      <c r="J6202" s="124"/>
    </row>
    <row r="6203" spans="3:10" x14ac:dyDescent="0.2">
      <c r="C6203" s="209"/>
      <c r="D6203" s="209"/>
      <c r="E6203" s="209"/>
      <c r="J6203" s="124"/>
    </row>
    <row r="6204" spans="3:10" x14ac:dyDescent="0.2">
      <c r="C6204" s="209"/>
      <c r="D6204" s="209"/>
      <c r="E6204" s="209"/>
      <c r="J6204" s="124"/>
    </row>
    <row r="6205" spans="3:10" x14ac:dyDescent="0.2">
      <c r="C6205" s="209"/>
      <c r="D6205" s="209"/>
      <c r="E6205" s="209"/>
      <c r="J6205" s="124"/>
    </row>
    <row r="6206" spans="3:10" x14ac:dyDescent="0.2">
      <c r="C6206" s="209"/>
      <c r="D6206" s="209"/>
      <c r="E6206" s="209"/>
      <c r="J6206" s="124"/>
    </row>
    <row r="6207" spans="3:10" x14ac:dyDescent="0.2">
      <c r="C6207" s="209"/>
      <c r="D6207" s="209"/>
      <c r="E6207" s="209"/>
      <c r="J6207" s="124"/>
    </row>
    <row r="6208" spans="3:10" x14ac:dyDescent="0.2">
      <c r="C6208" s="209"/>
      <c r="D6208" s="209"/>
      <c r="E6208" s="209"/>
      <c r="J6208" s="124"/>
    </row>
    <row r="6209" spans="3:10" x14ac:dyDescent="0.2">
      <c r="C6209" s="209"/>
      <c r="D6209" s="209"/>
      <c r="E6209" s="209"/>
      <c r="J6209" s="124"/>
    </row>
    <row r="6210" spans="3:10" x14ac:dyDescent="0.2">
      <c r="C6210" s="209"/>
      <c r="D6210" s="209"/>
      <c r="E6210" s="209"/>
      <c r="J6210" s="124"/>
    </row>
    <row r="6211" spans="3:10" x14ac:dyDescent="0.2">
      <c r="C6211" s="209"/>
      <c r="D6211" s="209"/>
      <c r="E6211" s="209"/>
      <c r="J6211" s="124"/>
    </row>
    <row r="6212" spans="3:10" x14ac:dyDescent="0.2">
      <c r="C6212" s="209"/>
      <c r="D6212" s="209"/>
      <c r="E6212" s="209"/>
      <c r="J6212" s="124"/>
    </row>
    <row r="6213" spans="3:10" x14ac:dyDescent="0.2">
      <c r="C6213" s="209"/>
      <c r="D6213" s="209"/>
      <c r="E6213" s="209"/>
      <c r="J6213" s="124"/>
    </row>
    <row r="6214" spans="3:10" x14ac:dyDescent="0.2">
      <c r="C6214" s="209"/>
      <c r="D6214" s="209"/>
      <c r="E6214" s="209"/>
      <c r="J6214" s="124"/>
    </row>
    <row r="6215" spans="3:10" x14ac:dyDescent="0.2">
      <c r="C6215" s="209"/>
      <c r="D6215" s="209"/>
      <c r="E6215" s="209"/>
      <c r="J6215" s="124"/>
    </row>
    <row r="6216" spans="3:10" x14ac:dyDescent="0.2">
      <c r="C6216" s="209"/>
      <c r="D6216" s="209"/>
      <c r="E6216" s="209"/>
      <c r="J6216" s="124"/>
    </row>
    <row r="6217" spans="3:10" x14ac:dyDescent="0.2">
      <c r="C6217" s="209"/>
      <c r="D6217" s="209"/>
      <c r="E6217" s="209"/>
      <c r="J6217" s="124"/>
    </row>
    <row r="6218" spans="3:10" x14ac:dyDescent="0.2">
      <c r="C6218" s="209"/>
      <c r="D6218" s="209"/>
      <c r="E6218" s="209"/>
      <c r="J6218" s="124"/>
    </row>
    <row r="6219" spans="3:10" x14ac:dyDescent="0.2">
      <c r="C6219" s="209"/>
      <c r="D6219" s="209"/>
      <c r="E6219" s="209"/>
      <c r="J6219" s="124"/>
    </row>
    <row r="6220" spans="3:10" x14ac:dyDescent="0.2">
      <c r="C6220" s="209"/>
      <c r="D6220" s="209"/>
      <c r="E6220" s="209"/>
      <c r="J6220" s="124"/>
    </row>
    <row r="6221" spans="3:10" x14ac:dyDescent="0.2">
      <c r="C6221" s="209"/>
      <c r="D6221" s="209"/>
      <c r="E6221" s="209"/>
      <c r="J6221" s="124"/>
    </row>
    <row r="6222" spans="3:10" x14ac:dyDescent="0.2">
      <c r="C6222" s="209"/>
      <c r="D6222" s="209"/>
      <c r="E6222" s="209"/>
      <c r="J6222" s="124"/>
    </row>
    <row r="6223" spans="3:10" x14ac:dyDescent="0.2">
      <c r="C6223" s="209"/>
      <c r="D6223" s="209"/>
      <c r="E6223" s="209"/>
      <c r="J6223" s="124"/>
    </row>
    <row r="6224" spans="3:10" x14ac:dyDescent="0.2">
      <c r="C6224" s="209"/>
      <c r="D6224" s="209"/>
      <c r="E6224" s="209"/>
      <c r="J6224" s="124"/>
    </row>
    <row r="6225" spans="3:10" x14ac:dyDescent="0.2">
      <c r="C6225" s="209"/>
      <c r="D6225" s="209"/>
      <c r="E6225" s="209"/>
      <c r="J6225" s="124"/>
    </row>
    <row r="6226" spans="3:10" x14ac:dyDescent="0.2">
      <c r="C6226" s="209"/>
      <c r="D6226" s="209"/>
      <c r="E6226" s="209"/>
      <c r="J6226" s="124"/>
    </row>
    <row r="6227" spans="3:10" x14ac:dyDescent="0.2">
      <c r="C6227" s="209"/>
      <c r="D6227" s="209"/>
      <c r="E6227" s="209"/>
      <c r="J6227" s="124"/>
    </row>
    <row r="6228" spans="3:10" x14ac:dyDescent="0.2">
      <c r="C6228" s="209"/>
      <c r="D6228" s="209"/>
      <c r="E6228" s="209"/>
      <c r="J6228" s="124"/>
    </row>
    <row r="6229" spans="3:10" x14ac:dyDescent="0.2">
      <c r="C6229" s="209"/>
      <c r="D6229" s="209"/>
      <c r="E6229" s="209"/>
      <c r="J6229" s="124"/>
    </row>
    <row r="6230" spans="3:10" x14ac:dyDescent="0.2">
      <c r="C6230" s="209"/>
      <c r="D6230" s="209"/>
      <c r="E6230" s="209"/>
      <c r="J6230" s="124"/>
    </row>
    <row r="6231" spans="3:10" x14ac:dyDescent="0.2">
      <c r="C6231" s="209"/>
      <c r="D6231" s="209"/>
      <c r="E6231" s="209"/>
      <c r="J6231" s="124"/>
    </row>
    <row r="6232" spans="3:10" x14ac:dyDescent="0.2">
      <c r="C6232" s="209"/>
      <c r="D6232" s="209"/>
      <c r="E6232" s="209"/>
      <c r="J6232" s="124"/>
    </row>
    <row r="6233" spans="3:10" x14ac:dyDescent="0.2">
      <c r="C6233" s="209"/>
      <c r="D6233" s="209"/>
      <c r="E6233" s="209"/>
      <c r="J6233" s="124"/>
    </row>
    <row r="6234" spans="3:10" x14ac:dyDescent="0.2">
      <c r="C6234" s="209"/>
      <c r="D6234" s="209"/>
      <c r="E6234" s="209"/>
      <c r="J6234" s="124"/>
    </row>
    <row r="6235" spans="3:10" x14ac:dyDescent="0.2">
      <c r="C6235" s="209"/>
      <c r="D6235" s="209"/>
      <c r="E6235" s="209"/>
      <c r="J6235" s="124"/>
    </row>
    <row r="6236" spans="3:10" x14ac:dyDescent="0.2">
      <c r="C6236" s="209"/>
      <c r="D6236" s="209"/>
      <c r="E6236" s="209"/>
      <c r="J6236" s="124"/>
    </row>
    <row r="6237" spans="3:10" x14ac:dyDescent="0.2">
      <c r="C6237" s="209"/>
      <c r="D6237" s="209"/>
      <c r="E6237" s="209"/>
      <c r="J6237" s="124"/>
    </row>
    <row r="6238" spans="3:10" x14ac:dyDescent="0.2">
      <c r="C6238" s="209"/>
      <c r="D6238" s="209"/>
      <c r="E6238" s="209"/>
      <c r="J6238" s="124"/>
    </row>
    <row r="6239" spans="3:10" x14ac:dyDescent="0.2">
      <c r="C6239" s="209"/>
      <c r="D6239" s="209"/>
      <c r="E6239" s="209"/>
      <c r="J6239" s="124"/>
    </row>
    <row r="6240" spans="3:10" x14ac:dyDescent="0.2">
      <c r="C6240" s="209"/>
      <c r="D6240" s="209"/>
      <c r="E6240" s="209"/>
      <c r="J6240" s="124"/>
    </row>
    <row r="6241" spans="3:10" x14ac:dyDescent="0.2">
      <c r="C6241" s="209"/>
      <c r="D6241" s="209"/>
      <c r="E6241" s="209"/>
      <c r="J6241" s="124"/>
    </row>
    <row r="6242" spans="3:10" x14ac:dyDescent="0.2">
      <c r="C6242" s="209"/>
      <c r="D6242" s="209"/>
      <c r="E6242" s="209"/>
      <c r="J6242" s="124"/>
    </row>
    <row r="6243" spans="3:10" x14ac:dyDescent="0.2">
      <c r="C6243" s="209"/>
      <c r="D6243" s="209"/>
      <c r="E6243" s="209"/>
      <c r="J6243" s="124"/>
    </row>
    <row r="6244" spans="3:10" x14ac:dyDescent="0.2">
      <c r="C6244" s="209"/>
      <c r="D6244" s="209"/>
      <c r="E6244" s="209"/>
      <c r="J6244" s="124"/>
    </row>
    <row r="6245" spans="3:10" x14ac:dyDescent="0.2">
      <c r="C6245" s="209"/>
      <c r="D6245" s="209"/>
      <c r="E6245" s="209"/>
      <c r="J6245" s="124"/>
    </row>
    <row r="6246" spans="3:10" x14ac:dyDescent="0.2">
      <c r="C6246" s="209"/>
      <c r="D6246" s="209"/>
      <c r="E6246" s="209"/>
      <c r="J6246" s="124"/>
    </row>
    <row r="6247" spans="3:10" x14ac:dyDescent="0.2">
      <c r="C6247" s="209"/>
      <c r="D6247" s="209"/>
      <c r="E6247" s="209"/>
      <c r="J6247" s="124"/>
    </row>
    <row r="6248" spans="3:10" x14ac:dyDescent="0.2">
      <c r="C6248" s="209"/>
      <c r="D6248" s="209"/>
      <c r="E6248" s="209"/>
      <c r="J6248" s="124"/>
    </row>
    <row r="6249" spans="3:10" x14ac:dyDescent="0.2">
      <c r="C6249" s="209"/>
      <c r="D6249" s="209"/>
      <c r="E6249" s="209"/>
      <c r="J6249" s="124"/>
    </row>
    <row r="6250" spans="3:10" x14ac:dyDescent="0.2">
      <c r="C6250" s="209"/>
      <c r="D6250" s="209"/>
      <c r="E6250" s="209"/>
      <c r="J6250" s="124"/>
    </row>
    <row r="6251" spans="3:10" x14ac:dyDescent="0.2">
      <c r="C6251" s="209"/>
      <c r="D6251" s="209"/>
      <c r="E6251" s="209"/>
      <c r="J6251" s="124"/>
    </row>
    <row r="6252" spans="3:10" x14ac:dyDescent="0.2">
      <c r="C6252" s="209"/>
      <c r="D6252" s="209"/>
      <c r="E6252" s="209"/>
      <c r="J6252" s="124"/>
    </row>
    <row r="6253" spans="3:10" x14ac:dyDescent="0.2">
      <c r="C6253" s="209"/>
      <c r="D6253" s="209"/>
      <c r="E6253" s="209"/>
      <c r="J6253" s="124"/>
    </row>
    <row r="6254" spans="3:10" x14ac:dyDescent="0.2">
      <c r="C6254" s="209"/>
      <c r="D6254" s="209"/>
      <c r="E6254" s="209"/>
      <c r="J6254" s="124"/>
    </row>
    <row r="6255" spans="3:10" x14ac:dyDescent="0.2">
      <c r="C6255" s="209"/>
      <c r="D6255" s="209"/>
      <c r="E6255" s="209"/>
      <c r="J6255" s="124"/>
    </row>
    <row r="6256" spans="3:10" x14ac:dyDescent="0.2">
      <c r="C6256" s="209"/>
      <c r="D6256" s="209"/>
      <c r="E6256" s="209"/>
      <c r="J6256" s="124"/>
    </row>
    <row r="6257" spans="3:10" x14ac:dyDescent="0.2">
      <c r="C6257" s="209"/>
      <c r="D6257" s="209"/>
      <c r="E6257" s="209"/>
      <c r="J6257" s="124"/>
    </row>
    <row r="6258" spans="3:10" x14ac:dyDescent="0.2">
      <c r="C6258" s="209"/>
      <c r="D6258" s="209"/>
      <c r="E6258" s="209"/>
      <c r="J6258" s="124"/>
    </row>
    <row r="6259" spans="3:10" x14ac:dyDescent="0.2">
      <c r="C6259" s="209"/>
      <c r="D6259" s="209"/>
      <c r="E6259" s="209"/>
      <c r="J6259" s="124"/>
    </row>
    <row r="6260" spans="3:10" x14ac:dyDescent="0.2">
      <c r="C6260" s="209"/>
      <c r="D6260" s="209"/>
      <c r="E6260" s="209"/>
      <c r="J6260" s="124"/>
    </row>
    <row r="6261" spans="3:10" x14ac:dyDescent="0.2">
      <c r="C6261" s="209"/>
      <c r="D6261" s="209"/>
      <c r="E6261" s="209"/>
      <c r="J6261" s="124"/>
    </row>
    <row r="6262" spans="3:10" x14ac:dyDescent="0.2">
      <c r="C6262" s="209"/>
      <c r="D6262" s="209"/>
      <c r="E6262" s="209"/>
      <c r="J6262" s="124"/>
    </row>
    <row r="6263" spans="3:10" x14ac:dyDescent="0.2">
      <c r="C6263" s="209"/>
      <c r="D6263" s="209"/>
      <c r="E6263" s="209"/>
      <c r="J6263" s="124"/>
    </row>
    <row r="6264" spans="3:10" x14ac:dyDescent="0.2">
      <c r="C6264" s="209"/>
      <c r="D6264" s="209"/>
      <c r="E6264" s="209"/>
      <c r="J6264" s="124"/>
    </row>
    <row r="6265" spans="3:10" x14ac:dyDescent="0.2">
      <c r="C6265" s="209"/>
      <c r="D6265" s="209"/>
      <c r="E6265" s="209"/>
      <c r="J6265" s="124"/>
    </row>
    <row r="6266" spans="3:10" x14ac:dyDescent="0.2">
      <c r="C6266" s="209"/>
      <c r="D6266" s="209"/>
      <c r="E6266" s="209"/>
      <c r="J6266" s="124"/>
    </row>
    <row r="6267" spans="3:10" x14ac:dyDescent="0.2">
      <c r="C6267" s="209"/>
      <c r="D6267" s="209"/>
      <c r="E6267" s="209"/>
      <c r="J6267" s="124"/>
    </row>
    <row r="6268" spans="3:10" x14ac:dyDescent="0.2">
      <c r="C6268" s="209"/>
      <c r="D6268" s="209"/>
      <c r="E6268" s="209"/>
      <c r="J6268" s="124"/>
    </row>
    <row r="6269" spans="3:10" x14ac:dyDescent="0.2">
      <c r="C6269" s="209"/>
      <c r="D6269" s="209"/>
      <c r="E6269" s="209"/>
      <c r="J6269" s="124"/>
    </row>
    <row r="6270" spans="3:10" x14ac:dyDescent="0.2">
      <c r="C6270" s="209"/>
      <c r="D6270" s="209"/>
      <c r="E6270" s="209"/>
      <c r="J6270" s="124"/>
    </row>
    <row r="6271" spans="3:10" x14ac:dyDescent="0.2">
      <c r="C6271" s="209"/>
      <c r="D6271" s="209"/>
      <c r="E6271" s="209"/>
      <c r="J6271" s="124"/>
    </row>
    <row r="6272" spans="3:10" x14ac:dyDescent="0.2">
      <c r="C6272" s="209"/>
      <c r="D6272" s="209"/>
      <c r="E6272" s="209"/>
      <c r="J6272" s="124"/>
    </row>
    <row r="6273" spans="3:10" x14ac:dyDescent="0.2">
      <c r="C6273" s="209"/>
      <c r="D6273" s="209"/>
      <c r="E6273" s="209"/>
      <c r="J6273" s="124"/>
    </row>
    <row r="6274" spans="3:10" x14ac:dyDescent="0.2">
      <c r="C6274" s="209"/>
      <c r="D6274" s="209"/>
      <c r="E6274" s="209"/>
      <c r="J6274" s="124"/>
    </row>
    <row r="6275" spans="3:10" x14ac:dyDescent="0.2">
      <c r="C6275" s="209"/>
      <c r="D6275" s="209"/>
      <c r="E6275" s="209"/>
      <c r="J6275" s="124"/>
    </row>
    <row r="6276" spans="3:10" x14ac:dyDescent="0.2">
      <c r="C6276" s="209"/>
      <c r="D6276" s="209"/>
      <c r="E6276" s="209"/>
      <c r="J6276" s="124"/>
    </row>
    <row r="6277" spans="3:10" x14ac:dyDescent="0.2">
      <c r="C6277" s="209"/>
      <c r="D6277" s="209"/>
      <c r="E6277" s="209"/>
      <c r="J6277" s="124"/>
    </row>
    <row r="6278" spans="3:10" x14ac:dyDescent="0.2">
      <c r="C6278" s="209"/>
      <c r="D6278" s="209"/>
      <c r="E6278" s="209"/>
      <c r="J6278" s="124"/>
    </row>
    <row r="6279" spans="3:10" x14ac:dyDescent="0.2">
      <c r="C6279" s="209"/>
      <c r="D6279" s="209"/>
      <c r="E6279" s="209"/>
      <c r="J6279" s="124"/>
    </row>
    <row r="6280" spans="3:10" x14ac:dyDescent="0.2">
      <c r="C6280" s="209"/>
      <c r="D6280" s="209"/>
      <c r="E6280" s="209"/>
      <c r="J6280" s="124"/>
    </row>
    <row r="6281" spans="3:10" x14ac:dyDescent="0.2">
      <c r="C6281" s="209"/>
      <c r="D6281" s="209"/>
      <c r="E6281" s="209"/>
      <c r="J6281" s="124"/>
    </row>
    <row r="6282" spans="3:10" x14ac:dyDescent="0.2">
      <c r="C6282" s="209"/>
      <c r="D6282" s="209"/>
      <c r="E6282" s="209"/>
      <c r="J6282" s="124"/>
    </row>
    <row r="6283" spans="3:10" x14ac:dyDescent="0.2">
      <c r="C6283" s="209"/>
      <c r="D6283" s="209"/>
      <c r="E6283" s="209"/>
      <c r="J6283" s="124"/>
    </row>
    <row r="6284" spans="3:10" x14ac:dyDescent="0.2">
      <c r="C6284" s="209"/>
      <c r="D6284" s="209"/>
      <c r="E6284" s="209"/>
      <c r="J6284" s="124"/>
    </row>
    <row r="6285" spans="3:10" x14ac:dyDescent="0.2">
      <c r="C6285" s="209"/>
      <c r="D6285" s="209"/>
      <c r="E6285" s="209"/>
      <c r="J6285" s="124"/>
    </row>
    <row r="6286" spans="3:10" x14ac:dyDescent="0.2">
      <c r="C6286" s="209"/>
      <c r="D6286" s="209"/>
      <c r="E6286" s="209"/>
      <c r="J6286" s="124"/>
    </row>
    <row r="6287" spans="3:10" x14ac:dyDescent="0.2">
      <c r="C6287" s="209"/>
      <c r="D6287" s="209"/>
      <c r="E6287" s="209"/>
      <c r="J6287" s="124"/>
    </row>
    <row r="6288" spans="3:10" x14ac:dyDescent="0.2">
      <c r="C6288" s="209"/>
      <c r="D6288" s="209"/>
      <c r="E6288" s="209"/>
      <c r="J6288" s="124"/>
    </row>
    <row r="6289" spans="3:10" x14ac:dyDescent="0.2">
      <c r="C6289" s="209"/>
      <c r="D6289" s="209"/>
      <c r="E6289" s="209"/>
      <c r="J6289" s="124"/>
    </row>
    <row r="6290" spans="3:10" x14ac:dyDescent="0.2">
      <c r="C6290" s="209"/>
      <c r="D6290" s="209"/>
      <c r="E6290" s="209"/>
      <c r="J6290" s="124"/>
    </row>
    <row r="6291" spans="3:10" x14ac:dyDescent="0.2">
      <c r="C6291" s="209"/>
      <c r="D6291" s="209"/>
      <c r="E6291" s="209"/>
      <c r="J6291" s="124"/>
    </row>
    <row r="6292" spans="3:10" x14ac:dyDescent="0.2">
      <c r="C6292" s="209"/>
      <c r="D6292" s="209"/>
      <c r="E6292" s="209"/>
      <c r="J6292" s="124"/>
    </row>
    <row r="6293" spans="3:10" x14ac:dyDescent="0.2">
      <c r="C6293" s="209"/>
      <c r="D6293" s="209"/>
      <c r="E6293" s="209"/>
      <c r="J6293" s="124"/>
    </row>
    <row r="6294" spans="3:10" x14ac:dyDescent="0.2">
      <c r="C6294" s="209"/>
      <c r="D6294" s="209"/>
      <c r="E6294" s="209"/>
      <c r="J6294" s="124"/>
    </row>
    <row r="6295" spans="3:10" x14ac:dyDescent="0.2">
      <c r="C6295" s="209"/>
      <c r="D6295" s="209"/>
      <c r="E6295" s="209"/>
      <c r="J6295" s="124"/>
    </row>
    <row r="6296" spans="3:10" x14ac:dyDescent="0.2">
      <c r="C6296" s="209"/>
      <c r="D6296" s="209"/>
      <c r="E6296" s="209"/>
      <c r="J6296" s="124"/>
    </row>
    <row r="6297" spans="3:10" x14ac:dyDescent="0.2">
      <c r="C6297" s="209"/>
      <c r="D6297" s="209"/>
      <c r="E6297" s="209"/>
      <c r="J6297" s="124"/>
    </row>
    <row r="6298" spans="3:10" x14ac:dyDescent="0.2">
      <c r="C6298" s="209"/>
      <c r="D6298" s="209"/>
      <c r="E6298" s="209"/>
      <c r="J6298" s="124"/>
    </row>
    <row r="6299" spans="3:10" x14ac:dyDescent="0.2">
      <c r="C6299" s="209"/>
      <c r="D6299" s="209"/>
      <c r="E6299" s="209"/>
      <c r="J6299" s="124"/>
    </row>
    <row r="6300" spans="3:10" x14ac:dyDescent="0.2">
      <c r="C6300" s="209"/>
      <c r="D6300" s="209"/>
      <c r="E6300" s="209"/>
      <c r="J6300" s="124"/>
    </row>
    <row r="6301" spans="3:10" x14ac:dyDescent="0.2">
      <c r="C6301" s="209"/>
      <c r="D6301" s="209"/>
      <c r="E6301" s="209"/>
      <c r="J6301" s="124"/>
    </row>
    <row r="6302" spans="3:10" x14ac:dyDescent="0.2">
      <c r="C6302" s="209"/>
      <c r="D6302" s="209"/>
      <c r="E6302" s="209"/>
      <c r="J6302" s="124"/>
    </row>
    <row r="6303" spans="3:10" x14ac:dyDescent="0.2">
      <c r="C6303" s="209"/>
      <c r="D6303" s="209"/>
      <c r="E6303" s="209"/>
      <c r="J6303" s="124"/>
    </row>
    <row r="6304" spans="3:10" x14ac:dyDescent="0.2">
      <c r="C6304" s="209"/>
      <c r="D6304" s="209"/>
      <c r="E6304" s="209"/>
      <c r="J6304" s="124"/>
    </row>
    <row r="6305" spans="3:10" x14ac:dyDescent="0.2">
      <c r="C6305" s="209"/>
      <c r="D6305" s="209"/>
      <c r="E6305" s="209"/>
      <c r="J6305" s="124"/>
    </row>
    <row r="6306" spans="3:10" x14ac:dyDescent="0.2">
      <c r="C6306" s="209"/>
      <c r="D6306" s="209"/>
      <c r="E6306" s="209"/>
      <c r="J6306" s="124"/>
    </row>
    <row r="6307" spans="3:10" x14ac:dyDescent="0.2">
      <c r="C6307" s="209"/>
      <c r="D6307" s="209"/>
      <c r="E6307" s="209"/>
      <c r="J6307" s="124"/>
    </row>
    <row r="6308" spans="3:10" x14ac:dyDescent="0.2">
      <c r="C6308" s="209"/>
      <c r="D6308" s="209"/>
      <c r="E6308" s="209"/>
      <c r="J6308" s="124"/>
    </row>
    <row r="6309" spans="3:10" x14ac:dyDescent="0.2">
      <c r="C6309" s="209"/>
      <c r="D6309" s="209"/>
      <c r="E6309" s="209"/>
      <c r="J6309" s="124"/>
    </row>
    <row r="6310" spans="3:10" x14ac:dyDescent="0.2">
      <c r="C6310" s="209"/>
      <c r="D6310" s="209"/>
      <c r="E6310" s="209"/>
      <c r="J6310" s="124"/>
    </row>
    <row r="6311" spans="3:10" x14ac:dyDescent="0.2">
      <c r="C6311" s="209"/>
      <c r="D6311" s="209"/>
      <c r="E6311" s="209"/>
      <c r="J6311" s="124"/>
    </row>
    <row r="6312" spans="3:10" x14ac:dyDescent="0.2">
      <c r="C6312" s="209"/>
      <c r="D6312" s="209"/>
      <c r="E6312" s="209"/>
      <c r="J6312" s="124"/>
    </row>
    <row r="6313" spans="3:10" x14ac:dyDescent="0.2">
      <c r="C6313" s="209"/>
      <c r="D6313" s="209"/>
      <c r="E6313" s="209"/>
      <c r="J6313" s="124"/>
    </row>
    <row r="6314" spans="3:10" x14ac:dyDescent="0.2">
      <c r="C6314" s="209"/>
      <c r="D6314" s="209"/>
      <c r="E6314" s="209"/>
      <c r="J6314" s="124"/>
    </row>
    <row r="6315" spans="3:10" x14ac:dyDescent="0.2">
      <c r="C6315" s="209"/>
      <c r="D6315" s="209"/>
      <c r="E6315" s="209"/>
      <c r="J6315" s="124"/>
    </row>
    <row r="6316" spans="3:10" x14ac:dyDescent="0.2">
      <c r="C6316" s="209"/>
      <c r="D6316" s="209"/>
      <c r="E6316" s="209"/>
      <c r="J6316" s="124"/>
    </row>
    <row r="6317" spans="3:10" x14ac:dyDescent="0.2">
      <c r="C6317" s="209"/>
      <c r="D6317" s="209"/>
      <c r="E6317" s="209"/>
      <c r="J6317" s="124"/>
    </row>
    <row r="6318" spans="3:10" x14ac:dyDescent="0.2">
      <c r="C6318" s="209"/>
      <c r="D6318" s="209"/>
      <c r="E6318" s="209"/>
      <c r="J6318" s="124"/>
    </row>
    <row r="6319" spans="3:10" x14ac:dyDescent="0.2">
      <c r="C6319" s="209"/>
      <c r="D6319" s="209"/>
      <c r="E6319" s="209"/>
      <c r="J6319" s="124"/>
    </row>
    <row r="6320" spans="3:10" x14ac:dyDescent="0.2">
      <c r="C6320" s="209"/>
      <c r="D6320" s="209"/>
      <c r="E6320" s="209"/>
      <c r="J6320" s="124"/>
    </row>
    <row r="6321" spans="3:10" x14ac:dyDescent="0.2">
      <c r="C6321" s="209"/>
      <c r="D6321" s="209"/>
      <c r="E6321" s="209"/>
      <c r="J6321" s="124"/>
    </row>
    <row r="6322" spans="3:10" x14ac:dyDescent="0.2">
      <c r="C6322" s="209"/>
      <c r="D6322" s="209"/>
      <c r="E6322" s="209"/>
      <c r="J6322" s="124"/>
    </row>
    <row r="6323" spans="3:10" x14ac:dyDescent="0.2">
      <c r="C6323" s="209"/>
      <c r="D6323" s="209"/>
      <c r="E6323" s="209"/>
      <c r="J6323" s="124"/>
    </row>
    <row r="6324" spans="3:10" x14ac:dyDescent="0.2">
      <c r="C6324" s="209"/>
      <c r="D6324" s="209"/>
      <c r="E6324" s="209"/>
      <c r="J6324" s="124"/>
    </row>
    <row r="6325" spans="3:10" x14ac:dyDescent="0.2">
      <c r="C6325" s="209"/>
      <c r="D6325" s="209"/>
      <c r="E6325" s="209"/>
      <c r="J6325" s="124"/>
    </row>
    <row r="6326" spans="3:10" x14ac:dyDescent="0.2">
      <c r="C6326" s="209"/>
      <c r="D6326" s="209"/>
      <c r="E6326" s="209"/>
      <c r="J6326" s="124"/>
    </row>
    <row r="6327" spans="3:10" x14ac:dyDescent="0.2">
      <c r="C6327" s="209"/>
      <c r="D6327" s="209"/>
      <c r="E6327" s="209"/>
      <c r="J6327" s="124"/>
    </row>
    <row r="6328" spans="3:10" x14ac:dyDescent="0.2">
      <c r="C6328" s="209"/>
      <c r="D6328" s="209"/>
      <c r="E6328" s="209"/>
      <c r="J6328" s="124"/>
    </row>
    <row r="6329" spans="3:10" x14ac:dyDescent="0.2">
      <c r="C6329" s="209"/>
      <c r="D6329" s="209"/>
      <c r="E6329" s="209"/>
      <c r="J6329" s="124"/>
    </row>
    <row r="6330" spans="3:10" x14ac:dyDescent="0.2">
      <c r="C6330" s="209"/>
      <c r="D6330" s="209"/>
      <c r="E6330" s="209"/>
      <c r="J6330" s="124"/>
    </row>
    <row r="6331" spans="3:10" x14ac:dyDescent="0.2">
      <c r="C6331" s="209"/>
      <c r="D6331" s="209"/>
      <c r="E6331" s="209"/>
      <c r="J6331" s="124"/>
    </row>
    <row r="6332" spans="3:10" x14ac:dyDescent="0.2">
      <c r="C6332" s="209"/>
      <c r="D6332" s="209"/>
      <c r="E6332" s="209"/>
      <c r="J6332" s="124"/>
    </row>
    <row r="6333" spans="3:10" x14ac:dyDescent="0.2">
      <c r="C6333" s="209"/>
      <c r="D6333" s="209"/>
      <c r="E6333" s="209"/>
      <c r="J6333" s="124"/>
    </row>
    <row r="6334" spans="3:10" x14ac:dyDescent="0.2">
      <c r="C6334" s="209"/>
      <c r="D6334" s="209"/>
      <c r="E6334" s="209"/>
      <c r="J6334" s="124"/>
    </row>
    <row r="6335" spans="3:10" x14ac:dyDescent="0.2">
      <c r="C6335" s="209"/>
      <c r="D6335" s="209"/>
      <c r="E6335" s="209"/>
      <c r="J6335" s="124"/>
    </row>
    <row r="6336" spans="3:10" x14ac:dyDescent="0.2">
      <c r="C6336" s="209"/>
      <c r="D6336" s="209"/>
      <c r="E6336" s="209"/>
      <c r="J6336" s="124"/>
    </row>
    <row r="6337" spans="3:10" x14ac:dyDescent="0.2">
      <c r="C6337" s="209"/>
      <c r="D6337" s="209"/>
      <c r="E6337" s="209"/>
      <c r="J6337" s="124"/>
    </row>
    <row r="6338" spans="3:10" x14ac:dyDescent="0.2">
      <c r="C6338" s="209"/>
      <c r="D6338" s="209"/>
      <c r="E6338" s="209"/>
      <c r="J6338" s="124"/>
    </row>
    <row r="6339" spans="3:10" x14ac:dyDescent="0.2">
      <c r="C6339" s="209"/>
      <c r="D6339" s="209"/>
      <c r="E6339" s="209"/>
      <c r="J6339" s="124"/>
    </row>
    <row r="6340" spans="3:10" x14ac:dyDescent="0.2">
      <c r="C6340" s="209"/>
      <c r="D6340" s="209"/>
      <c r="E6340" s="209"/>
      <c r="J6340" s="124"/>
    </row>
    <row r="6341" spans="3:10" x14ac:dyDescent="0.2">
      <c r="C6341" s="209"/>
      <c r="D6341" s="209"/>
      <c r="E6341" s="209"/>
      <c r="J6341" s="124"/>
    </row>
    <row r="6342" spans="3:10" x14ac:dyDescent="0.2">
      <c r="C6342" s="209"/>
      <c r="D6342" s="209"/>
      <c r="E6342" s="209"/>
      <c r="J6342" s="124"/>
    </row>
    <row r="6343" spans="3:10" x14ac:dyDescent="0.2">
      <c r="C6343" s="209"/>
      <c r="D6343" s="209"/>
      <c r="E6343" s="209"/>
      <c r="J6343" s="124"/>
    </row>
    <row r="6344" spans="3:10" x14ac:dyDescent="0.2">
      <c r="C6344" s="209"/>
      <c r="D6344" s="209"/>
      <c r="E6344" s="209"/>
      <c r="J6344" s="124"/>
    </row>
    <row r="6345" spans="3:10" x14ac:dyDescent="0.2">
      <c r="C6345" s="209"/>
      <c r="D6345" s="209"/>
      <c r="E6345" s="209"/>
      <c r="J6345" s="124"/>
    </row>
    <row r="6346" spans="3:10" x14ac:dyDescent="0.2">
      <c r="C6346" s="209"/>
      <c r="D6346" s="209"/>
      <c r="E6346" s="209"/>
      <c r="J6346" s="124"/>
    </row>
    <row r="6347" spans="3:10" x14ac:dyDescent="0.2">
      <c r="C6347" s="209"/>
      <c r="D6347" s="209"/>
      <c r="E6347" s="209"/>
      <c r="J6347" s="124"/>
    </row>
    <row r="6348" spans="3:10" x14ac:dyDescent="0.2">
      <c r="C6348" s="209"/>
      <c r="D6348" s="209"/>
      <c r="E6348" s="209"/>
      <c r="J6348" s="124"/>
    </row>
    <row r="6349" spans="3:10" x14ac:dyDescent="0.2">
      <c r="C6349" s="209"/>
      <c r="D6349" s="209"/>
      <c r="E6349" s="209"/>
      <c r="J6349" s="124"/>
    </row>
    <row r="6350" spans="3:10" x14ac:dyDescent="0.2">
      <c r="C6350" s="209"/>
      <c r="D6350" s="209"/>
      <c r="E6350" s="209"/>
      <c r="J6350" s="124"/>
    </row>
    <row r="6351" spans="3:10" x14ac:dyDescent="0.2">
      <c r="C6351" s="209"/>
      <c r="D6351" s="209"/>
      <c r="E6351" s="209"/>
      <c r="J6351" s="124"/>
    </row>
    <row r="6352" spans="3:10" x14ac:dyDescent="0.2">
      <c r="C6352" s="209"/>
      <c r="D6352" s="209"/>
      <c r="E6352" s="209"/>
      <c r="J6352" s="124"/>
    </row>
    <row r="6353" spans="3:10" x14ac:dyDescent="0.2">
      <c r="C6353" s="209"/>
      <c r="D6353" s="209"/>
      <c r="E6353" s="209"/>
      <c r="J6353" s="124"/>
    </row>
    <row r="6354" spans="3:10" x14ac:dyDescent="0.2">
      <c r="C6354" s="209"/>
      <c r="D6354" s="209"/>
      <c r="E6354" s="209"/>
      <c r="J6354" s="124"/>
    </row>
    <row r="6355" spans="3:10" x14ac:dyDescent="0.2">
      <c r="C6355" s="209"/>
      <c r="D6355" s="209"/>
      <c r="E6355" s="209"/>
      <c r="J6355" s="124"/>
    </row>
    <row r="6356" spans="3:10" x14ac:dyDescent="0.2">
      <c r="C6356" s="209"/>
      <c r="D6356" s="209"/>
      <c r="E6356" s="209"/>
      <c r="J6356" s="124"/>
    </row>
    <row r="6357" spans="3:10" x14ac:dyDescent="0.2">
      <c r="C6357" s="209"/>
      <c r="D6357" s="209"/>
      <c r="E6357" s="209"/>
      <c r="J6357" s="124"/>
    </row>
    <row r="6358" spans="3:10" x14ac:dyDescent="0.2">
      <c r="C6358" s="209"/>
      <c r="D6358" s="209"/>
      <c r="E6358" s="209"/>
      <c r="J6358" s="124"/>
    </row>
    <row r="6359" spans="3:10" x14ac:dyDescent="0.2">
      <c r="C6359" s="209"/>
      <c r="D6359" s="209"/>
      <c r="E6359" s="209"/>
      <c r="J6359" s="124"/>
    </row>
    <row r="6360" spans="3:10" x14ac:dyDescent="0.2">
      <c r="C6360" s="209"/>
      <c r="D6360" s="209"/>
      <c r="E6360" s="209"/>
      <c r="J6360" s="124"/>
    </row>
    <row r="6361" spans="3:10" x14ac:dyDescent="0.2">
      <c r="C6361" s="209"/>
      <c r="D6361" s="209"/>
      <c r="E6361" s="209"/>
      <c r="J6361" s="124"/>
    </row>
    <row r="6362" spans="3:10" x14ac:dyDescent="0.2">
      <c r="C6362" s="209"/>
      <c r="D6362" s="209"/>
      <c r="E6362" s="209"/>
      <c r="J6362" s="124"/>
    </row>
    <row r="6363" spans="3:10" x14ac:dyDescent="0.2">
      <c r="C6363" s="209"/>
      <c r="D6363" s="209"/>
      <c r="E6363" s="209"/>
      <c r="J6363" s="124"/>
    </row>
    <row r="6364" spans="3:10" x14ac:dyDescent="0.2">
      <c r="C6364" s="209"/>
      <c r="D6364" s="209"/>
      <c r="E6364" s="209"/>
      <c r="J6364" s="124"/>
    </row>
    <row r="6365" spans="3:10" x14ac:dyDescent="0.2">
      <c r="C6365" s="209"/>
      <c r="D6365" s="209"/>
      <c r="E6365" s="209"/>
      <c r="J6365" s="124"/>
    </row>
    <row r="6366" spans="3:10" x14ac:dyDescent="0.2">
      <c r="C6366" s="209"/>
      <c r="D6366" s="209"/>
      <c r="E6366" s="209"/>
      <c r="J6366" s="124"/>
    </row>
    <row r="6367" spans="3:10" x14ac:dyDescent="0.2">
      <c r="C6367" s="209"/>
      <c r="D6367" s="209"/>
      <c r="E6367" s="209"/>
      <c r="J6367" s="124"/>
    </row>
    <row r="6368" spans="3:10" x14ac:dyDescent="0.2">
      <c r="C6368" s="209"/>
      <c r="D6368" s="209"/>
      <c r="E6368" s="209"/>
      <c r="J6368" s="124"/>
    </row>
    <row r="6369" spans="3:10" x14ac:dyDescent="0.2">
      <c r="C6369" s="209"/>
      <c r="D6369" s="209"/>
      <c r="E6369" s="209"/>
      <c r="J6369" s="124"/>
    </row>
    <row r="6370" spans="3:10" x14ac:dyDescent="0.2">
      <c r="C6370" s="209"/>
      <c r="D6370" s="209"/>
      <c r="E6370" s="209"/>
      <c r="J6370" s="124"/>
    </row>
    <row r="6371" spans="3:10" x14ac:dyDescent="0.2">
      <c r="C6371" s="209"/>
      <c r="D6371" s="209"/>
      <c r="E6371" s="209"/>
      <c r="J6371" s="124"/>
    </row>
    <row r="6372" spans="3:10" x14ac:dyDescent="0.2">
      <c r="C6372" s="209"/>
      <c r="D6372" s="209"/>
      <c r="E6372" s="209"/>
      <c r="J6372" s="124"/>
    </row>
    <row r="6373" spans="3:10" x14ac:dyDescent="0.2">
      <c r="C6373" s="209"/>
      <c r="D6373" s="209"/>
      <c r="E6373" s="209"/>
      <c r="J6373" s="124"/>
    </row>
    <row r="6374" spans="3:10" x14ac:dyDescent="0.2">
      <c r="C6374" s="209"/>
      <c r="D6374" s="209"/>
      <c r="E6374" s="209"/>
      <c r="J6374" s="124"/>
    </row>
    <row r="6375" spans="3:10" x14ac:dyDescent="0.2">
      <c r="C6375" s="209"/>
      <c r="D6375" s="209"/>
      <c r="E6375" s="209"/>
      <c r="J6375" s="124"/>
    </row>
    <row r="6376" spans="3:10" x14ac:dyDescent="0.2">
      <c r="C6376" s="209"/>
      <c r="D6376" s="209"/>
      <c r="E6376" s="209"/>
      <c r="J6376" s="124"/>
    </row>
    <row r="6377" spans="3:10" x14ac:dyDescent="0.2">
      <c r="C6377" s="209"/>
      <c r="D6377" s="209"/>
      <c r="E6377" s="209"/>
      <c r="J6377" s="124"/>
    </row>
    <row r="6378" spans="3:10" x14ac:dyDescent="0.2">
      <c r="C6378" s="209"/>
      <c r="D6378" s="209"/>
      <c r="E6378" s="209"/>
      <c r="J6378" s="124"/>
    </row>
    <row r="6379" spans="3:10" x14ac:dyDescent="0.2">
      <c r="C6379" s="209"/>
      <c r="D6379" s="209"/>
      <c r="E6379" s="209"/>
      <c r="J6379" s="124"/>
    </row>
    <row r="6380" spans="3:10" x14ac:dyDescent="0.2">
      <c r="C6380" s="209"/>
      <c r="D6380" s="209"/>
      <c r="E6380" s="209"/>
      <c r="J6380" s="124"/>
    </row>
    <row r="6381" spans="3:10" x14ac:dyDescent="0.2">
      <c r="C6381" s="209"/>
      <c r="D6381" s="209"/>
      <c r="E6381" s="209"/>
      <c r="J6381" s="124"/>
    </row>
    <row r="6382" spans="3:10" x14ac:dyDescent="0.2">
      <c r="C6382" s="209"/>
      <c r="D6382" s="209"/>
      <c r="E6382" s="209"/>
      <c r="J6382" s="124"/>
    </row>
    <row r="6383" spans="3:10" x14ac:dyDescent="0.2">
      <c r="C6383" s="209"/>
      <c r="D6383" s="209"/>
      <c r="E6383" s="209"/>
      <c r="J6383" s="124"/>
    </row>
    <row r="6384" spans="3:10" x14ac:dyDescent="0.2">
      <c r="C6384" s="209"/>
      <c r="D6384" s="209"/>
      <c r="E6384" s="209"/>
      <c r="J6384" s="124"/>
    </row>
    <row r="6385" spans="3:10" x14ac:dyDescent="0.2">
      <c r="C6385" s="209"/>
      <c r="D6385" s="209"/>
      <c r="E6385" s="209"/>
      <c r="J6385" s="124"/>
    </row>
    <row r="6386" spans="3:10" x14ac:dyDescent="0.2">
      <c r="C6386" s="209"/>
      <c r="D6386" s="209"/>
      <c r="E6386" s="209"/>
      <c r="J6386" s="124"/>
    </row>
    <row r="6387" spans="3:10" x14ac:dyDescent="0.2">
      <c r="C6387" s="209"/>
      <c r="D6387" s="209"/>
      <c r="E6387" s="209"/>
      <c r="J6387" s="124"/>
    </row>
    <row r="6388" spans="3:10" x14ac:dyDescent="0.2">
      <c r="C6388" s="209"/>
      <c r="D6388" s="209"/>
      <c r="E6388" s="209"/>
      <c r="J6388" s="124"/>
    </row>
    <row r="6389" spans="3:10" x14ac:dyDescent="0.2">
      <c r="C6389" s="209"/>
      <c r="D6389" s="209"/>
      <c r="E6389" s="209"/>
      <c r="J6389" s="124"/>
    </row>
    <row r="6390" spans="3:10" x14ac:dyDescent="0.2">
      <c r="C6390" s="209"/>
      <c r="D6390" s="209"/>
      <c r="E6390" s="209"/>
      <c r="J6390" s="124"/>
    </row>
    <row r="6391" spans="3:10" x14ac:dyDescent="0.2">
      <c r="C6391" s="209"/>
      <c r="D6391" s="209"/>
      <c r="E6391" s="209"/>
      <c r="J6391" s="124"/>
    </row>
    <row r="6392" spans="3:10" x14ac:dyDescent="0.2">
      <c r="C6392" s="209"/>
      <c r="D6392" s="209"/>
      <c r="E6392" s="209"/>
      <c r="J6392" s="124"/>
    </row>
    <row r="6393" spans="3:10" x14ac:dyDescent="0.2">
      <c r="C6393" s="209"/>
      <c r="D6393" s="209"/>
      <c r="E6393" s="209"/>
      <c r="J6393" s="124"/>
    </row>
    <row r="6394" spans="3:10" x14ac:dyDescent="0.2">
      <c r="C6394" s="209"/>
      <c r="D6394" s="209"/>
      <c r="E6394" s="209"/>
      <c r="J6394" s="124"/>
    </row>
    <row r="6395" spans="3:10" x14ac:dyDescent="0.2">
      <c r="C6395" s="209"/>
      <c r="D6395" s="209"/>
      <c r="E6395" s="209"/>
      <c r="J6395" s="124"/>
    </row>
    <row r="6396" spans="3:10" x14ac:dyDescent="0.2">
      <c r="C6396" s="209"/>
      <c r="D6396" s="209"/>
      <c r="E6396" s="209"/>
      <c r="J6396" s="124"/>
    </row>
    <row r="6397" spans="3:10" x14ac:dyDescent="0.2">
      <c r="C6397" s="209"/>
      <c r="D6397" s="209"/>
      <c r="E6397" s="209"/>
      <c r="J6397" s="124"/>
    </row>
    <row r="6398" spans="3:10" x14ac:dyDescent="0.2">
      <c r="C6398" s="209"/>
      <c r="D6398" s="209"/>
      <c r="E6398" s="209"/>
      <c r="J6398" s="124"/>
    </row>
    <row r="6399" spans="3:10" x14ac:dyDescent="0.2">
      <c r="C6399" s="209"/>
      <c r="D6399" s="209"/>
      <c r="E6399" s="209"/>
      <c r="J6399" s="124"/>
    </row>
    <row r="6400" spans="3:10" x14ac:dyDescent="0.2">
      <c r="C6400" s="209"/>
      <c r="D6400" s="209"/>
      <c r="E6400" s="209"/>
      <c r="J6400" s="124"/>
    </row>
    <row r="6401" spans="3:10" x14ac:dyDescent="0.2">
      <c r="C6401" s="209"/>
      <c r="D6401" s="209"/>
      <c r="E6401" s="209"/>
      <c r="J6401" s="124"/>
    </row>
    <row r="6402" spans="3:10" x14ac:dyDescent="0.2">
      <c r="C6402" s="209"/>
      <c r="D6402" s="209"/>
      <c r="E6402" s="209"/>
      <c r="J6402" s="124"/>
    </row>
    <row r="6403" spans="3:10" x14ac:dyDescent="0.2">
      <c r="C6403" s="209"/>
      <c r="D6403" s="209"/>
      <c r="E6403" s="209"/>
      <c r="J6403" s="124"/>
    </row>
    <row r="6404" spans="3:10" x14ac:dyDescent="0.2">
      <c r="C6404" s="209"/>
      <c r="D6404" s="209"/>
      <c r="E6404" s="209"/>
      <c r="J6404" s="124"/>
    </row>
    <row r="6405" spans="3:10" x14ac:dyDescent="0.2">
      <c r="C6405" s="209"/>
      <c r="D6405" s="209"/>
      <c r="E6405" s="209"/>
      <c r="J6405" s="124"/>
    </row>
    <row r="6406" spans="3:10" x14ac:dyDescent="0.2">
      <c r="C6406" s="209"/>
      <c r="D6406" s="209"/>
      <c r="E6406" s="209"/>
      <c r="J6406" s="124"/>
    </row>
    <row r="6407" spans="3:10" x14ac:dyDescent="0.2">
      <c r="C6407" s="209"/>
      <c r="D6407" s="209"/>
      <c r="E6407" s="209"/>
      <c r="J6407" s="124"/>
    </row>
    <row r="6408" spans="3:10" x14ac:dyDescent="0.2">
      <c r="C6408" s="209"/>
      <c r="D6408" s="209"/>
      <c r="E6408" s="209"/>
      <c r="J6408" s="124"/>
    </row>
    <row r="6409" spans="3:10" x14ac:dyDescent="0.2">
      <c r="C6409" s="209"/>
      <c r="D6409" s="209"/>
      <c r="E6409" s="209"/>
      <c r="J6409" s="124"/>
    </row>
    <row r="6410" spans="3:10" x14ac:dyDescent="0.2">
      <c r="C6410" s="209"/>
      <c r="D6410" s="209"/>
      <c r="E6410" s="209"/>
      <c r="J6410" s="124"/>
    </row>
    <row r="6411" spans="3:10" x14ac:dyDescent="0.2">
      <c r="C6411" s="209"/>
      <c r="D6411" s="209"/>
      <c r="E6411" s="209"/>
      <c r="J6411" s="124"/>
    </row>
    <row r="6412" spans="3:10" x14ac:dyDescent="0.2">
      <c r="C6412" s="209"/>
      <c r="D6412" s="209"/>
      <c r="E6412" s="209"/>
      <c r="J6412" s="124"/>
    </row>
    <row r="6413" spans="3:10" x14ac:dyDescent="0.2">
      <c r="C6413" s="209"/>
      <c r="D6413" s="209"/>
      <c r="E6413" s="209"/>
      <c r="J6413" s="124"/>
    </row>
    <row r="6414" spans="3:10" x14ac:dyDescent="0.2">
      <c r="C6414" s="209"/>
      <c r="D6414" s="209"/>
      <c r="E6414" s="209"/>
      <c r="J6414" s="124"/>
    </row>
    <row r="6415" spans="3:10" x14ac:dyDescent="0.2">
      <c r="C6415" s="209"/>
      <c r="D6415" s="209"/>
      <c r="E6415" s="209"/>
      <c r="J6415" s="124"/>
    </row>
    <row r="6416" spans="3:10" x14ac:dyDescent="0.2">
      <c r="C6416" s="209"/>
      <c r="D6416" s="209"/>
      <c r="E6416" s="209"/>
      <c r="J6416" s="124"/>
    </row>
    <row r="6417" spans="3:10" x14ac:dyDescent="0.2">
      <c r="C6417" s="209"/>
      <c r="D6417" s="209"/>
      <c r="E6417" s="209"/>
      <c r="J6417" s="124"/>
    </row>
    <row r="6418" spans="3:10" x14ac:dyDescent="0.2">
      <c r="C6418" s="209"/>
      <c r="D6418" s="209"/>
      <c r="E6418" s="209"/>
      <c r="J6418" s="124"/>
    </row>
    <row r="6419" spans="3:10" x14ac:dyDescent="0.2">
      <c r="C6419" s="209"/>
      <c r="D6419" s="209"/>
      <c r="E6419" s="209"/>
      <c r="J6419" s="124"/>
    </row>
    <row r="6420" spans="3:10" x14ac:dyDescent="0.2">
      <c r="C6420" s="209"/>
      <c r="D6420" s="209"/>
      <c r="E6420" s="209"/>
      <c r="J6420" s="124"/>
    </row>
    <row r="6421" spans="3:10" x14ac:dyDescent="0.2">
      <c r="C6421" s="209"/>
      <c r="D6421" s="209"/>
      <c r="E6421" s="209"/>
      <c r="J6421" s="124"/>
    </row>
    <row r="6422" spans="3:10" x14ac:dyDescent="0.2">
      <c r="C6422" s="209"/>
      <c r="D6422" s="209"/>
      <c r="E6422" s="209"/>
      <c r="J6422" s="124"/>
    </row>
    <row r="6423" spans="3:10" x14ac:dyDescent="0.2">
      <c r="C6423" s="209"/>
      <c r="D6423" s="209"/>
      <c r="E6423" s="209"/>
      <c r="J6423" s="124"/>
    </row>
    <row r="6424" spans="3:10" x14ac:dyDescent="0.2">
      <c r="C6424" s="209"/>
      <c r="D6424" s="209"/>
      <c r="E6424" s="209"/>
      <c r="J6424" s="124"/>
    </row>
    <row r="6425" spans="3:10" x14ac:dyDescent="0.2">
      <c r="C6425" s="209"/>
      <c r="D6425" s="209"/>
      <c r="E6425" s="209"/>
      <c r="J6425" s="124"/>
    </row>
    <row r="6426" spans="3:10" x14ac:dyDescent="0.2">
      <c r="C6426" s="209"/>
      <c r="D6426" s="209"/>
      <c r="E6426" s="209"/>
      <c r="J6426" s="124"/>
    </row>
    <row r="6427" spans="3:10" x14ac:dyDescent="0.2">
      <c r="C6427" s="209"/>
      <c r="D6427" s="209"/>
      <c r="E6427" s="209"/>
      <c r="J6427" s="124"/>
    </row>
    <row r="6428" spans="3:10" x14ac:dyDescent="0.2">
      <c r="C6428" s="209"/>
      <c r="D6428" s="209"/>
      <c r="E6428" s="209"/>
      <c r="J6428" s="124"/>
    </row>
    <row r="6429" spans="3:10" x14ac:dyDescent="0.2">
      <c r="C6429" s="209"/>
      <c r="D6429" s="209"/>
      <c r="E6429" s="209"/>
      <c r="J6429" s="124"/>
    </row>
    <row r="6430" spans="3:10" x14ac:dyDescent="0.2">
      <c r="C6430" s="209"/>
      <c r="D6430" s="209"/>
      <c r="E6430" s="209"/>
      <c r="J6430" s="124"/>
    </row>
    <row r="6431" spans="3:10" x14ac:dyDescent="0.2">
      <c r="C6431" s="209"/>
      <c r="D6431" s="209"/>
      <c r="E6431" s="209"/>
      <c r="J6431" s="124"/>
    </row>
    <row r="6432" spans="3:10" x14ac:dyDescent="0.2">
      <c r="C6432" s="209"/>
      <c r="D6432" s="209"/>
      <c r="E6432" s="209"/>
      <c r="J6432" s="124"/>
    </row>
    <row r="6433" spans="3:10" x14ac:dyDescent="0.2">
      <c r="C6433" s="209"/>
      <c r="D6433" s="209"/>
      <c r="E6433" s="209"/>
      <c r="J6433" s="124"/>
    </row>
    <row r="6434" spans="3:10" x14ac:dyDescent="0.2">
      <c r="C6434" s="209"/>
      <c r="D6434" s="209"/>
      <c r="E6434" s="209"/>
      <c r="J6434" s="124"/>
    </row>
    <row r="6435" spans="3:10" x14ac:dyDescent="0.2">
      <c r="C6435" s="209"/>
      <c r="D6435" s="209"/>
      <c r="E6435" s="209"/>
      <c r="J6435" s="124"/>
    </row>
    <row r="6436" spans="3:10" x14ac:dyDescent="0.2">
      <c r="C6436" s="209"/>
      <c r="D6436" s="209"/>
      <c r="E6436" s="209"/>
      <c r="J6436" s="124"/>
    </row>
    <row r="6437" spans="3:10" x14ac:dyDescent="0.2">
      <c r="C6437" s="209"/>
      <c r="D6437" s="209"/>
      <c r="E6437" s="209"/>
      <c r="J6437" s="124"/>
    </row>
    <row r="6438" spans="3:10" x14ac:dyDescent="0.2">
      <c r="C6438" s="209"/>
      <c r="D6438" s="209"/>
      <c r="E6438" s="209"/>
      <c r="J6438" s="124"/>
    </row>
    <row r="6439" spans="3:10" x14ac:dyDescent="0.2">
      <c r="C6439" s="209"/>
      <c r="D6439" s="209"/>
      <c r="E6439" s="209"/>
      <c r="J6439" s="124"/>
    </row>
    <row r="6440" spans="3:10" x14ac:dyDescent="0.2">
      <c r="C6440" s="209"/>
      <c r="D6440" s="209"/>
      <c r="E6440" s="209"/>
      <c r="J6440" s="124"/>
    </row>
    <row r="6441" spans="3:10" x14ac:dyDescent="0.2">
      <c r="C6441" s="209"/>
      <c r="D6441" s="209"/>
      <c r="E6441" s="209"/>
      <c r="J6441" s="124"/>
    </row>
    <row r="6442" spans="3:10" x14ac:dyDescent="0.2">
      <c r="C6442" s="209"/>
      <c r="D6442" s="209"/>
      <c r="E6442" s="209"/>
      <c r="J6442" s="124"/>
    </row>
    <row r="6443" spans="3:10" x14ac:dyDescent="0.2">
      <c r="C6443" s="209"/>
      <c r="D6443" s="209"/>
      <c r="E6443" s="209"/>
      <c r="J6443" s="124"/>
    </row>
    <row r="6444" spans="3:10" x14ac:dyDescent="0.2">
      <c r="C6444" s="209"/>
      <c r="D6444" s="209"/>
      <c r="E6444" s="209"/>
      <c r="J6444" s="124"/>
    </row>
    <row r="6445" spans="3:10" x14ac:dyDescent="0.2">
      <c r="C6445" s="209"/>
      <c r="D6445" s="209"/>
      <c r="E6445" s="209"/>
      <c r="J6445" s="124"/>
    </row>
    <row r="6446" spans="3:10" x14ac:dyDescent="0.2">
      <c r="C6446" s="209"/>
      <c r="D6446" s="209"/>
      <c r="E6446" s="209"/>
      <c r="J6446" s="124"/>
    </row>
    <row r="6447" spans="3:10" x14ac:dyDescent="0.2">
      <c r="C6447" s="209"/>
      <c r="D6447" s="209"/>
      <c r="E6447" s="209"/>
      <c r="J6447" s="124"/>
    </row>
    <row r="6448" spans="3:10" x14ac:dyDescent="0.2">
      <c r="C6448" s="209"/>
      <c r="D6448" s="209"/>
      <c r="E6448" s="209"/>
      <c r="J6448" s="124"/>
    </row>
    <row r="6449" spans="3:10" x14ac:dyDescent="0.2">
      <c r="C6449" s="209"/>
      <c r="D6449" s="209"/>
      <c r="E6449" s="209"/>
      <c r="J6449" s="124"/>
    </row>
    <row r="6450" spans="3:10" x14ac:dyDescent="0.2">
      <c r="C6450" s="209"/>
      <c r="D6450" s="209"/>
      <c r="E6450" s="209"/>
      <c r="J6450" s="124"/>
    </row>
    <row r="6451" spans="3:10" x14ac:dyDescent="0.2">
      <c r="C6451" s="209"/>
      <c r="D6451" s="209"/>
      <c r="E6451" s="209"/>
      <c r="J6451" s="124"/>
    </row>
    <row r="6452" spans="3:10" x14ac:dyDescent="0.2">
      <c r="C6452" s="209"/>
      <c r="D6452" s="209"/>
      <c r="E6452" s="209"/>
      <c r="J6452" s="124"/>
    </row>
    <row r="6453" spans="3:10" x14ac:dyDescent="0.2">
      <c r="C6453" s="209"/>
      <c r="D6453" s="209"/>
      <c r="E6453" s="209"/>
      <c r="J6453" s="124"/>
    </row>
    <row r="6454" spans="3:10" x14ac:dyDescent="0.2">
      <c r="C6454" s="209"/>
      <c r="D6454" s="209"/>
      <c r="E6454" s="209"/>
      <c r="J6454" s="124"/>
    </row>
    <row r="6455" spans="3:10" x14ac:dyDescent="0.2">
      <c r="C6455" s="209"/>
      <c r="D6455" s="209"/>
      <c r="E6455" s="209"/>
      <c r="J6455" s="124"/>
    </row>
    <row r="6456" spans="3:10" x14ac:dyDescent="0.2">
      <c r="C6456" s="209"/>
      <c r="D6456" s="209"/>
      <c r="E6456" s="209"/>
      <c r="J6456" s="124"/>
    </row>
    <row r="6457" spans="3:10" x14ac:dyDescent="0.2">
      <c r="C6457" s="209"/>
      <c r="D6457" s="209"/>
      <c r="E6457" s="209"/>
      <c r="J6457" s="124"/>
    </row>
    <row r="6458" spans="3:10" x14ac:dyDescent="0.2">
      <c r="C6458" s="209"/>
      <c r="D6458" s="209"/>
      <c r="E6458" s="209"/>
      <c r="J6458" s="124"/>
    </row>
    <row r="6459" spans="3:10" x14ac:dyDescent="0.2">
      <c r="C6459" s="209"/>
      <c r="D6459" s="209"/>
      <c r="E6459" s="209"/>
      <c r="J6459" s="124"/>
    </row>
    <row r="6460" spans="3:10" x14ac:dyDescent="0.2">
      <c r="C6460" s="209"/>
      <c r="D6460" s="209"/>
      <c r="E6460" s="209"/>
      <c r="J6460" s="124"/>
    </row>
    <row r="6461" spans="3:10" x14ac:dyDescent="0.2">
      <c r="C6461" s="209"/>
      <c r="D6461" s="209"/>
      <c r="E6461" s="209"/>
      <c r="J6461" s="124"/>
    </row>
    <row r="6462" spans="3:10" x14ac:dyDescent="0.2">
      <c r="C6462" s="209"/>
      <c r="D6462" s="209"/>
      <c r="E6462" s="209"/>
      <c r="J6462" s="124"/>
    </row>
    <row r="6463" spans="3:10" x14ac:dyDescent="0.2">
      <c r="C6463" s="209"/>
      <c r="D6463" s="209"/>
      <c r="E6463" s="209"/>
      <c r="J6463" s="124"/>
    </row>
    <row r="6464" spans="3:10" x14ac:dyDescent="0.2">
      <c r="C6464" s="209"/>
      <c r="D6464" s="209"/>
      <c r="E6464" s="209"/>
      <c r="J6464" s="124"/>
    </row>
    <row r="6465" spans="3:10" x14ac:dyDescent="0.2">
      <c r="C6465" s="209"/>
      <c r="D6465" s="209"/>
      <c r="E6465" s="209"/>
      <c r="J6465" s="124"/>
    </row>
    <row r="6466" spans="3:10" x14ac:dyDescent="0.2">
      <c r="C6466" s="209"/>
      <c r="D6466" s="209"/>
      <c r="E6466" s="209"/>
      <c r="J6466" s="124"/>
    </row>
    <row r="6467" spans="3:10" x14ac:dyDescent="0.2">
      <c r="C6467" s="209"/>
      <c r="D6467" s="209"/>
      <c r="E6467" s="209"/>
      <c r="J6467" s="124"/>
    </row>
    <row r="6468" spans="3:10" x14ac:dyDescent="0.2">
      <c r="C6468" s="209"/>
      <c r="D6468" s="209"/>
      <c r="E6468" s="209"/>
      <c r="J6468" s="124"/>
    </row>
    <row r="6469" spans="3:10" x14ac:dyDescent="0.2">
      <c r="C6469" s="209"/>
      <c r="D6469" s="209"/>
      <c r="E6469" s="209"/>
      <c r="J6469" s="124"/>
    </row>
    <row r="6470" spans="3:10" x14ac:dyDescent="0.2">
      <c r="C6470" s="209"/>
      <c r="D6470" s="209"/>
      <c r="E6470" s="209"/>
      <c r="J6470" s="124"/>
    </row>
    <row r="6471" spans="3:10" x14ac:dyDescent="0.2">
      <c r="C6471" s="209"/>
      <c r="D6471" s="209"/>
      <c r="E6471" s="209"/>
      <c r="J6471" s="124"/>
    </row>
    <row r="6472" spans="3:10" x14ac:dyDescent="0.2">
      <c r="C6472" s="209"/>
      <c r="D6472" s="209"/>
      <c r="E6472" s="209"/>
      <c r="J6472" s="124"/>
    </row>
    <row r="6473" spans="3:10" x14ac:dyDescent="0.2">
      <c r="C6473" s="209"/>
      <c r="D6473" s="209"/>
      <c r="E6473" s="209"/>
      <c r="J6473" s="124"/>
    </row>
    <row r="6474" spans="3:10" x14ac:dyDescent="0.2">
      <c r="C6474" s="209"/>
      <c r="D6474" s="209"/>
      <c r="E6474" s="209"/>
      <c r="J6474" s="124"/>
    </row>
    <row r="6475" spans="3:10" x14ac:dyDescent="0.2">
      <c r="C6475" s="209"/>
      <c r="D6475" s="209"/>
      <c r="E6475" s="209"/>
      <c r="J6475" s="124"/>
    </row>
    <row r="6476" spans="3:10" x14ac:dyDescent="0.2">
      <c r="C6476" s="209"/>
      <c r="D6476" s="209"/>
      <c r="E6476" s="209"/>
      <c r="J6476" s="124"/>
    </row>
    <row r="6477" spans="3:10" x14ac:dyDescent="0.2">
      <c r="C6477" s="209"/>
      <c r="D6477" s="209"/>
      <c r="E6477" s="209"/>
      <c r="J6477" s="124"/>
    </row>
    <row r="6478" spans="3:10" x14ac:dyDescent="0.2">
      <c r="C6478" s="209"/>
      <c r="D6478" s="209"/>
      <c r="E6478" s="209"/>
      <c r="J6478" s="124"/>
    </row>
    <row r="6479" spans="3:10" x14ac:dyDescent="0.2">
      <c r="C6479" s="209"/>
      <c r="D6479" s="209"/>
      <c r="E6479" s="209"/>
      <c r="J6479" s="124"/>
    </row>
    <row r="6480" spans="3:10" x14ac:dyDescent="0.2">
      <c r="C6480" s="209"/>
      <c r="D6480" s="209"/>
      <c r="E6480" s="209"/>
      <c r="J6480" s="124"/>
    </row>
    <row r="6481" spans="3:10" x14ac:dyDescent="0.2">
      <c r="C6481" s="209"/>
      <c r="D6481" s="209"/>
      <c r="E6481" s="209"/>
      <c r="J6481" s="124"/>
    </row>
    <row r="6482" spans="3:10" x14ac:dyDescent="0.2">
      <c r="C6482" s="209"/>
      <c r="D6482" s="209"/>
      <c r="E6482" s="209"/>
      <c r="J6482" s="124"/>
    </row>
    <row r="6483" spans="3:10" x14ac:dyDescent="0.2">
      <c r="C6483" s="209"/>
      <c r="D6483" s="209"/>
      <c r="E6483" s="209"/>
      <c r="J6483" s="124"/>
    </row>
    <row r="6484" spans="3:10" x14ac:dyDescent="0.2">
      <c r="C6484" s="209"/>
      <c r="D6484" s="209"/>
      <c r="E6484" s="209"/>
      <c r="J6484" s="124"/>
    </row>
    <row r="6485" spans="3:10" x14ac:dyDescent="0.2">
      <c r="C6485" s="209"/>
      <c r="D6485" s="209"/>
      <c r="E6485" s="209"/>
      <c r="J6485" s="124"/>
    </row>
    <row r="6486" spans="3:10" x14ac:dyDescent="0.2">
      <c r="C6486" s="209"/>
      <c r="D6486" s="209"/>
      <c r="E6486" s="209"/>
      <c r="J6486" s="124"/>
    </row>
    <row r="6487" spans="3:10" x14ac:dyDescent="0.2">
      <c r="C6487" s="209"/>
      <c r="D6487" s="209"/>
      <c r="E6487" s="209"/>
      <c r="J6487" s="124"/>
    </row>
    <row r="6488" spans="3:10" x14ac:dyDescent="0.2">
      <c r="C6488" s="209"/>
      <c r="D6488" s="209"/>
      <c r="E6488" s="209"/>
      <c r="J6488" s="124"/>
    </row>
    <row r="6489" spans="3:10" x14ac:dyDescent="0.2">
      <c r="C6489" s="209"/>
      <c r="D6489" s="209"/>
      <c r="E6489" s="209"/>
      <c r="J6489" s="124"/>
    </row>
    <row r="6490" spans="3:10" x14ac:dyDescent="0.2">
      <c r="C6490" s="209"/>
      <c r="D6490" s="209"/>
      <c r="E6490" s="209"/>
      <c r="J6490" s="124"/>
    </row>
    <row r="6491" spans="3:10" x14ac:dyDescent="0.2">
      <c r="C6491" s="209"/>
      <c r="D6491" s="209"/>
      <c r="E6491" s="209"/>
      <c r="J6491" s="124"/>
    </row>
    <row r="6492" spans="3:10" x14ac:dyDescent="0.2">
      <c r="C6492" s="209"/>
      <c r="D6492" s="209"/>
      <c r="E6492" s="209"/>
      <c r="J6492" s="124"/>
    </row>
    <row r="6493" spans="3:10" x14ac:dyDescent="0.2">
      <c r="C6493" s="209"/>
      <c r="D6493" s="209"/>
      <c r="E6493" s="209"/>
      <c r="J6493" s="124"/>
    </row>
    <row r="6494" spans="3:10" x14ac:dyDescent="0.2">
      <c r="C6494" s="209"/>
      <c r="D6494" s="209"/>
      <c r="E6494" s="209"/>
      <c r="J6494" s="124"/>
    </row>
    <row r="6495" spans="3:10" x14ac:dyDescent="0.2">
      <c r="C6495" s="209"/>
      <c r="D6495" s="209"/>
      <c r="E6495" s="209"/>
      <c r="J6495" s="124"/>
    </row>
    <row r="6496" spans="3:10" x14ac:dyDescent="0.2">
      <c r="C6496" s="209"/>
      <c r="D6496" s="209"/>
      <c r="E6496" s="209"/>
      <c r="J6496" s="124"/>
    </row>
    <row r="6497" spans="3:10" x14ac:dyDescent="0.2">
      <c r="C6497" s="209"/>
      <c r="D6497" s="209"/>
      <c r="E6497" s="209"/>
      <c r="J6497" s="124"/>
    </row>
    <row r="6498" spans="3:10" x14ac:dyDescent="0.2">
      <c r="C6498" s="209"/>
      <c r="D6498" s="209"/>
      <c r="E6498" s="209"/>
      <c r="J6498" s="124"/>
    </row>
    <row r="6499" spans="3:10" x14ac:dyDescent="0.2">
      <c r="C6499" s="209"/>
      <c r="D6499" s="209"/>
      <c r="E6499" s="209"/>
      <c r="J6499" s="124"/>
    </row>
    <row r="6500" spans="3:10" x14ac:dyDescent="0.2">
      <c r="C6500" s="209"/>
      <c r="D6500" s="209"/>
      <c r="E6500" s="209"/>
      <c r="J6500" s="124"/>
    </row>
    <row r="6501" spans="3:10" x14ac:dyDescent="0.2">
      <c r="C6501" s="209"/>
      <c r="D6501" s="209"/>
      <c r="E6501" s="209"/>
      <c r="J6501" s="124"/>
    </row>
    <row r="6502" spans="3:10" x14ac:dyDescent="0.2">
      <c r="C6502" s="209"/>
      <c r="D6502" s="209"/>
      <c r="E6502" s="209"/>
      <c r="J6502" s="124"/>
    </row>
    <row r="6503" spans="3:10" x14ac:dyDescent="0.2">
      <c r="C6503" s="209"/>
      <c r="D6503" s="209"/>
      <c r="E6503" s="209"/>
      <c r="J6503" s="124"/>
    </row>
    <row r="6504" spans="3:10" x14ac:dyDescent="0.2">
      <c r="C6504" s="209"/>
      <c r="D6504" s="209"/>
      <c r="E6504" s="209"/>
      <c r="J6504" s="124"/>
    </row>
    <row r="6505" spans="3:10" x14ac:dyDescent="0.2">
      <c r="C6505" s="209"/>
      <c r="D6505" s="209"/>
      <c r="E6505" s="209"/>
      <c r="J6505" s="124"/>
    </row>
    <row r="6506" spans="3:10" x14ac:dyDescent="0.2">
      <c r="C6506" s="209"/>
      <c r="D6506" s="209"/>
      <c r="E6506" s="209"/>
      <c r="J6506" s="124"/>
    </row>
    <row r="6507" spans="3:10" x14ac:dyDescent="0.2">
      <c r="C6507" s="209"/>
      <c r="D6507" s="209"/>
      <c r="E6507" s="209"/>
      <c r="J6507" s="124"/>
    </row>
    <row r="6508" spans="3:10" x14ac:dyDescent="0.2">
      <c r="C6508" s="209"/>
      <c r="D6508" s="209"/>
      <c r="E6508" s="209"/>
      <c r="J6508" s="124"/>
    </row>
    <row r="6509" spans="3:10" x14ac:dyDescent="0.2">
      <c r="C6509" s="209"/>
      <c r="D6509" s="209"/>
      <c r="E6509" s="209"/>
      <c r="J6509" s="124"/>
    </row>
    <row r="6510" spans="3:10" x14ac:dyDescent="0.2">
      <c r="C6510" s="209"/>
      <c r="D6510" s="209"/>
      <c r="E6510" s="209"/>
      <c r="J6510" s="124"/>
    </row>
    <row r="6511" spans="3:10" x14ac:dyDescent="0.2">
      <c r="C6511" s="209"/>
      <c r="D6511" s="209"/>
      <c r="E6511" s="209"/>
      <c r="J6511" s="124"/>
    </row>
    <row r="6512" spans="3:10" x14ac:dyDescent="0.2">
      <c r="C6512" s="209"/>
      <c r="D6512" s="209"/>
      <c r="E6512" s="209"/>
      <c r="J6512" s="124"/>
    </row>
    <row r="6513" spans="3:10" x14ac:dyDescent="0.2">
      <c r="C6513" s="209"/>
      <c r="D6513" s="209"/>
      <c r="E6513" s="209"/>
      <c r="J6513" s="124"/>
    </row>
    <row r="6514" spans="3:10" x14ac:dyDescent="0.2">
      <c r="C6514" s="209"/>
      <c r="D6514" s="209"/>
      <c r="E6514" s="209"/>
      <c r="J6514" s="124"/>
    </row>
    <row r="6515" spans="3:10" x14ac:dyDescent="0.2">
      <c r="C6515" s="209"/>
      <c r="D6515" s="209"/>
      <c r="E6515" s="209"/>
      <c r="J6515" s="124"/>
    </row>
    <row r="6516" spans="3:10" x14ac:dyDescent="0.2">
      <c r="C6516" s="209"/>
      <c r="D6516" s="209"/>
      <c r="E6516" s="209"/>
      <c r="J6516" s="124"/>
    </row>
    <row r="6517" spans="3:10" x14ac:dyDescent="0.2">
      <c r="C6517" s="209"/>
      <c r="D6517" s="209"/>
      <c r="E6517" s="209"/>
      <c r="J6517" s="124"/>
    </row>
    <row r="6518" spans="3:10" x14ac:dyDescent="0.2">
      <c r="C6518" s="209"/>
      <c r="D6518" s="209"/>
      <c r="E6518" s="209"/>
      <c r="J6518" s="124"/>
    </row>
    <row r="6519" spans="3:10" x14ac:dyDescent="0.2">
      <c r="C6519" s="209"/>
      <c r="D6519" s="209"/>
      <c r="E6519" s="209"/>
      <c r="J6519" s="124"/>
    </row>
    <row r="6520" spans="3:10" x14ac:dyDescent="0.2">
      <c r="C6520" s="209"/>
      <c r="D6520" s="209"/>
      <c r="E6520" s="209"/>
      <c r="J6520" s="124"/>
    </row>
    <row r="6521" spans="3:10" x14ac:dyDescent="0.2">
      <c r="C6521" s="209"/>
      <c r="D6521" s="209"/>
      <c r="E6521" s="209"/>
      <c r="J6521" s="124"/>
    </row>
    <row r="6522" spans="3:10" x14ac:dyDescent="0.2">
      <c r="C6522" s="209"/>
      <c r="D6522" s="209"/>
      <c r="E6522" s="209"/>
      <c r="J6522" s="124"/>
    </row>
    <row r="6523" spans="3:10" x14ac:dyDescent="0.2">
      <c r="C6523" s="209"/>
      <c r="D6523" s="209"/>
      <c r="E6523" s="209"/>
      <c r="J6523" s="124"/>
    </row>
    <row r="6524" spans="3:10" x14ac:dyDescent="0.2">
      <c r="C6524" s="209"/>
      <c r="D6524" s="209"/>
      <c r="E6524" s="209"/>
      <c r="J6524" s="124"/>
    </row>
    <row r="6525" spans="3:10" x14ac:dyDescent="0.2">
      <c r="C6525" s="209"/>
      <c r="D6525" s="209"/>
      <c r="E6525" s="209"/>
      <c r="J6525" s="124"/>
    </row>
    <row r="6526" spans="3:10" x14ac:dyDescent="0.2">
      <c r="C6526" s="209"/>
      <c r="D6526" s="209"/>
      <c r="E6526" s="209"/>
      <c r="J6526" s="124"/>
    </row>
    <row r="6527" spans="3:10" x14ac:dyDescent="0.2">
      <c r="C6527" s="209"/>
      <c r="D6527" s="209"/>
      <c r="E6527" s="209"/>
      <c r="J6527" s="124"/>
    </row>
    <row r="6528" spans="3:10" x14ac:dyDescent="0.2">
      <c r="C6528" s="209"/>
      <c r="D6528" s="209"/>
      <c r="E6528" s="209"/>
      <c r="J6528" s="124"/>
    </row>
    <row r="6529" spans="3:10" x14ac:dyDescent="0.2">
      <c r="C6529" s="209"/>
      <c r="D6529" s="209"/>
      <c r="E6529" s="209"/>
      <c r="J6529" s="124"/>
    </row>
    <row r="6530" spans="3:10" x14ac:dyDescent="0.2">
      <c r="C6530" s="209"/>
      <c r="D6530" s="209"/>
      <c r="E6530" s="209"/>
      <c r="J6530" s="124"/>
    </row>
    <row r="6531" spans="3:10" x14ac:dyDescent="0.2">
      <c r="C6531" s="209"/>
      <c r="D6531" s="209"/>
      <c r="E6531" s="209"/>
      <c r="J6531" s="124"/>
    </row>
    <row r="6532" spans="3:10" x14ac:dyDescent="0.2">
      <c r="C6532" s="209"/>
      <c r="D6532" s="209"/>
      <c r="E6532" s="209"/>
      <c r="J6532" s="124"/>
    </row>
    <row r="6533" spans="3:10" x14ac:dyDescent="0.2">
      <c r="C6533" s="209"/>
      <c r="D6533" s="209"/>
      <c r="E6533" s="209"/>
      <c r="J6533" s="124"/>
    </row>
    <row r="6534" spans="3:10" x14ac:dyDescent="0.2">
      <c r="C6534" s="209"/>
      <c r="D6534" s="209"/>
      <c r="E6534" s="209"/>
      <c r="J6534" s="124"/>
    </row>
    <row r="6535" spans="3:10" x14ac:dyDescent="0.2">
      <c r="C6535" s="209"/>
      <c r="D6535" s="209"/>
      <c r="E6535" s="209"/>
      <c r="J6535" s="124"/>
    </row>
    <row r="6536" spans="3:10" x14ac:dyDescent="0.2">
      <c r="C6536" s="209"/>
      <c r="D6536" s="209"/>
      <c r="E6536" s="209"/>
      <c r="J6536" s="124"/>
    </row>
    <row r="6537" spans="3:10" x14ac:dyDescent="0.2">
      <c r="C6537" s="209"/>
      <c r="D6537" s="209"/>
      <c r="E6537" s="209"/>
      <c r="J6537" s="124"/>
    </row>
    <row r="6538" spans="3:10" x14ac:dyDescent="0.2">
      <c r="C6538" s="209"/>
      <c r="D6538" s="209"/>
      <c r="E6538" s="209"/>
      <c r="J6538" s="124"/>
    </row>
    <row r="6539" spans="3:10" x14ac:dyDescent="0.2">
      <c r="C6539" s="209"/>
      <c r="D6539" s="209"/>
      <c r="E6539" s="209"/>
      <c r="J6539" s="124"/>
    </row>
    <row r="6540" spans="3:10" x14ac:dyDescent="0.2">
      <c r="C6540" s="209"/>
      <c r="D6540" s="209"/>
      <c r="E6540" s="209"/>
      <c r="J6540" s="124"/>
    </row>
    <row r="6541" spans="3:10" x14ac:dyDescent="0.2">
      <c r="C6541" s="209"/>
      <c r="D6541" s="209"/>
      <c r="E6541" s="209"/>
      <c r="J6541" s="124"/>
    </row>
    <row r="6542" spans="3:10" x14ac:dyDescent="0.2">
      <c r="C6542" s="209"/>
      <c r="D6542" s="209"/>
      <c r="E6542" s="209"/>
      <c r="J6542" s="124"/>
    </row>
    <row r="6543" spans="3:10" x14ac:dyDescent="0.2">
      <c r="C6543" s="209"/>
      <c r="D6543" s="209"/>
      <c r="E6543" s="209"/>
      <c r="J6543" s="124"/>
    </row>
    <row r="6544" spans="3:10" x14ac:dyDescent="0.2">
      <c r="C6544" s="209"/>
      <c r="D6544" s="209"/>
      <c r="E6544" s="209"/>
      <c r="J6544" s="124"/>
    </row>
    <row r="6545" spans="3:10" x14ac:dyDescent="0.2">
      <c r="C6545" s="209"/>
      <c r="D6545" s="209"/>
      <c r="E6545" s="209"/>
      <c r="J6545" s="124"/>
    </row>
    <row r="6546" spans="3:10" x14ac:dyDescent="0.2">
      <c r="C6546" s="209"/>
      <c r="D6546" s="209"/>
      <c r="E6546" s="209"/>
      <c r="J6546" s="124"/>
    </row>
    <row r="6547" spans="3:10" x14ac:dyDescent="0.2">
      <c r="C6547" s="209"/>
      <c r="D6547" s="209"/>
      <c r="E6547" s="209"/>
      <c r="J6547" s="124"/>
    </row>
    <row r="6548" spans="3:10" x14ac:dyDescent="0.2">
      <c r="C6548" s="209"/>
      <c r="D6548" s="209"/>
      <c r="E6548" s="209"/>
      <c r="J6548" s="124"/>
    </row>
    <row r="6549" spans="3:10" x14ac:dyDescent="0.2">
      <c r="C6549" s="209"/>
      <c r="D6549" s="209"/>
      <c r="E6549" s="209"/>
      <c r="J6549" s="124"/>
    </row>
    <row r="6550" spans="3:10" x14ac:dyDescent="0.2">
      <c r="C6550" s="209"/>
      <c r="D6550" s="209"/>
      <c r="E6550" s="209"/>
      <c r="J6550" s="124"/>
    </row>
    <row r="6551" spans="3:10" x14ac:dyDescent="0.2">
      <c r="C6551" s="209"/>
      <c r="D6551" s="209"/>
      <c r="E6551" s="209"/>
      <c r="J6551" s="124"/>
    </row>
    <row r="6552" spans="3:10" x14ac:dyDescent="0.2">
      <c r="C6552" s="209"/>
      <c r="D6552" s="209"/>
      <c r="E6552" s="209"/>
      <c r="J6552" s="124"/>
    </row>
    <row r="6553" spans="3:10" x14ac:dyDescent="0.2">
      <c r="C6553" s="209"/>
      <c r="D6553" s="209"/>
      <c r="E6553" s="209"/>
      <c r="J6553" s="124"/>
    </row>
    <row r="6554" spans="3:10" x14ac:dyDescent="0.2">
      <c r="C6554" s="209"/>
      <c r="D6554" s="209"/>
      <c r="E6554" s="209"/>
      <c r="J6554" s="124"/>
    </row>
    <row r="6555" spans="3:10" x14ac:dyDescent="0.2">
      <c r="C6555" s="209"/>
      <c r="D6555" s="209"/>
      <c r="E6555" s="209"/>
      <c r="J6555" s="124"/>
    </row>
    <row r="6556" spans="3:10" x14ac:dyDescent="0.2">
      <c r="C6556" s="209"/>
      <c r="D6556" s="209"/>
      <c r="E6556" s="209"/>
      <c r="J6556" s="124"/>
    </row>
    <row r="6557" spans="3:10" x14ac:dyDescent="0.2">
      <c r="C6557" s="209"/>
      <c r="D6557" s="209"/>
      <c r="E6557" s="209"/>
      <c r="J6557" s="124"/>
    </row>
    <row r="6558" spans="3:10" x14ac:dyDescent="0.2">
      <c r="C6558" s="209"/>
      <c r="D6558" s="209"/>
      <c r="E6558" s="209"/>
      <c r="J6558" s="124"/>
    </row>
    <row r="6559" spans="3:10" x14ac:dyDescent="0.2">
      <c r="C6559" s="209"/>
      <c r="D6559" s="209"/>
      <c r="E6559" s="209"/>
      <c r="J6559" s="124"/>
    </row>
    <row r="6560" spans="3:10" x14ac:dyDescent="0.2">
      <c r="C6560" s="209"/>
      <c r="D6560" s="209"/>
      <c r="E6560" s="209"/>
      <c r="J6560" s="124"/>
    </row>
    <row r="6561" spans="3:10" x14ac:dyDescent="0.2">
      <c r="C6561" s="209"/>
      <c r="D6561" s="209"/>
      <c r="E6561" s="209"/>
      <c r="J6561" s="124"/>
    </row>
    <row r="6562" spans="3:10" x14ac:dyDescent="0.2">
      <c r="C6562" s="209"/>
      <c r="D6562" s="209"/>
      <c r="E6562" s="209"/>
      <c r="J6562" s="124"/>
    </row>
    <row r="6563" spans="3:10" x14ac:dyDescent="0.2">
      <c r="C6563" s="209"/>
      <c r="D6563" s="209"/>
      <c r="E6563" s="209"/>
      <c r="J6563" s="124"/>
    </row>
    <row r="6564" spans="3:10" x14ac:dyDescent="0.2">
      <c r="C6564" s="209"/>
      <c r="D6564" s="209"/>
      <c r="E6564" s="209"/>
      <c r="J6564" s="124"/>
    </row>
    <row r="6565" spans="3:10" x14ac:dyDescent="0.2">
      <c r="C6565" s="209"/>
      <c r="D6565" s="209"/>
      <c r="E6565" s="209"/>
      <c r="J6565" s="124"/>
    </row>
    <row r="6566" spans="3:10" x14ac:dyDescent="0.2">
      <c r="C6566" s="209"/>
      <c r="D6566" s="209"/>
      <c r="E6566" s="209"/>
      <c r="J6566" s="124"/>
    </row>
    <row r="6567" spans="3:10" x14ac:dyDescent="0.2">
      <c r="C6567" s="209"/>
      <c r="D6567" s="209"/>
      <c r="E6567" s="209"/>
      <c r="J6567" s="124"/>
    </row>
    <row r="6568" spans="3:10" x14ac:dyDescent="0.2">
      <c r="C6568" s="209"/>
      <c r="D6568" s="209"/>
      <c r="E6568" s="209"/>
      <c r="J6568" s="124"/>
    </row>
    <row r="6569" spans="3:10" x14ac:dyDescent="0.2">
      <c r="C6569" s="209"/>
      <c r="D6569" s="209"/>
      <c r="E6569" s="209"/>
      <c r="J6569" s="124"/>
    </row>
    <row r="6570" spans="3:10" x14ac:dyDescent="0.2">
      <c r="C6570" s="209"/>
      <c r="D6570" s="209"/>
      <c r="E6570" s="209"/>
      <c r="J6570" s="124"/>
    </row>
    <row r="6571" spans="3:10" x14ac:dyDescent="0.2">
      <c r="C6571" s="209"/>
      <c r="D6571" s="209"/>
      <c r="E6571" s="209"/>
      <c r="J6571" s="124"/>
    </row>
    <row r="6572" spans="3:10" x14ac:dyDescent="0.2">
      <c r="C6572" s="209"/>
      <c r="D6572" s="209"/>
      <c r="E6572" s="209"/>
      <c r="J6572" s="124"/>
    </row>
    <row r="6573" spans="3:10" x14ac:dyDescent="0.2">
      <c r="C6573" s="209"/>
      <c r="D6573" s="209"/>
      <c r="E6573" s="209"/>
      <c r="J6573" s="124"/>
    </row>
    <row r="6574" spans="3:10" x14ac:dyDescent="0.2">
      <c r="C6574" s="209"/>
      <c r="D6574" s="209"/>
      <c r="E6574" s="209"/>
      <c r="J6574" s="124"/>
    </row>
    <row r="6575" spans="3:10" x14ac:dyDescent="0.2">
      <c r="C6575" s="209"/>
      <c r="D6575" s="209"/>
      <c r="E6575" s="209"/>
      <c r="J6575" s="124"/>
    </row>
    <row r="6576" spans="3:10" x14ac:dyDescent="0.2">
      <c r="C6576" s="209"/>
      <c r="D6576" s="209"/>
      <c r="E6576" s="209"/>
      <c r="J6576" s="124"/>
    </row>
    <row r="6577" spans="3:10" x14ac:dyDescent="0.2">
      <c r="C6577" s="209"/>
      <c r="D6577" s="209"/>
      <c r="E6577" s="209"/>
      <c r="J6577" s="124"/>
    </row>
    <row r="6578" spans="3:10" x14ac:dyDescent="0.2">
      <c r="C6578" s="209"/>
      <c r="D6578" s="209"/>
      <c r="E6578" s="209"/>
      <c r="J6578" s="124"/>
    </row>
    <row r="6579" spans="3:10" x14ac:dyDescent="0.2">
      <c r="C6579" s="209"/>
      <c r="D6579" s="209"/>
      <c r="E6579" s="209"/>
      <c r="J6579" s="124"/>
    </row>
    <row r="6580" spans="3:10" x14ac:dyDescent="0.2">
      <c r="C6580" s="209"/>
      <c r="D6580" s="209"/>
      <c r="E6580" s="209"/>
      <c r="J6580" s="124"/>
    </row>
    <row r="6581" spans="3:10" x14ac:dyDescent="0.2">
      <c r="C6581" s="209"/>
      <c r="D6581" s="209"/>
      <c r="E6581" s="209"/>
      <c r="J6581" s="124"/>
    </row>
    <row r="6582" spans="3:10" x14ac:dyDescent="0.2">
      <c r="C6582" s="209"/>
      <c r="D6582" s="209"/>
      <c r="E6582" s="209"/>
      <c r="J6582" s="124"/>
    </row>
    <row r="6583" spans="3:10" x14ac:dyDescent="0.2">
      <c r="C6583" s="209"/>
      <c r="D6583" s="209"/>
      <c r="E6583" s="209"/>
      <c r="J6583" s="124"/>
    </row>
    <row r="6584" spans="3:10" x14ac:dyDescent="0.2">
      <c r="C6584" s="209"/>
      <c r="D6584" s="209"/>
      <c r="E6584" s="209"/>
      <c r="J6584" s="124"/>
    </row>
    <row r="6585" spans="3:10" x14ac:dyDescent="0.2">
      <c r="C6585" s="209"/>
      <c r="D6585" s="209"/>
      <c r="E6585" s="209"/>
      <c r="J6585" s="124"/>
    </row>
    <row r="6586" spans="3:10" x14ac:dyDescent="0.2">
      <c r="C6586" s="209"/>
      <c r="D6586" s="209"/>
      <c r="E6586" s="209"/>
      <c r="J6586" s="124"/>
    </row>
    <row r="6587" spans="3:10" x14ac:dyDescent="0.2">
      <c r="C6587" s="209"/>
      <c r="D6587" s="209"/>
      <c r="E6587" s="209"/>
      <c r="J6587" s="124"/>
    </row>
    <row r="6588" spans="3:10" x14ac:dyDescent="0.2">
      <c r="C6588" s="209"/>
      <c r="D6588" s="209"/>
      <c r="E6588" s="209"/>
      <c r="J6588" s="124"/>
    </row>
    <row r="6589" spans="3:10" x14ac:dyDescent="0.2">
      <c r="C6589" s="209"/>
      <c r="D6589" s="209"/>
      <c r="E6589" s="209"/>
      <c r="J6589" s="124"/>
    </row>
    <row r="6590" spans="3:10" x14ac:dyDescent="0.2">
      <c r="C6590" s="209"/>
      <c r="D6590" s="209"/>
      <c r="E6590" s="209"/>
      <c r="J6590" s="124"/>
    </row>
    <row r="6591" spans="3:10" x14ac:dyDescent="0.2">
      <c r="C6591" s="209"/>
      <c r="D6591" s="209"/>
      <c r="E6591" s="209"/>
      <c r="J6591" s="124"/>
    </row>
    <row r="6592" spans="3:10" x14ac:dyDescent="0.2">
      <c r="C6592" s="209"/>
      <c r="D6592" s="209"/>
      <c r="E6592" s="209"/>
      <c r="J6592" s="124"/>
    </row>
    <row r="6593" spans="3:10" x14ac:dyDescent="0.2">
      <c r="C6593" s="209"/>
      <c r="D6593" s="209"/>
      <c r="E6593" s="209"/>
      <c r="J6593" s="124"/>
    </row>
    <row r="6594" spans="3:10" x14ac:dyDescent="0.2">
      <c r="C6594" s="209"/>
      <c r="D6594" s="209"/>
      <c r="E6594" s="209"/>
      <c r="J6594" s="124"/>
    </row>
    <row r="6595" spans="3:10" x14ac:dyDescent="0.2">
      <c r="C6595" s="209"/>
      <c r="D6595" s="209"/>
      <c r="E6595" s="209"/>
      <c r="J6595" s="124"/>
    </row>
    <row r="6596" spans="3:10" x14ac:dyDescent="0.2">
      <c r="C6596" s="209"/>
      <c r="D6596" s="209"/>
      <c r="E6596" s="209"/>
      <c r="J6596" s="124"/>
    </row>
    <row r="6597" spans="3:10" x14ac:dyDescent="0.2">
      <c r="C6597" s="209"/>
      <c r="D6597" s="209"/>
      <c r="E6597" s="209"/>
      <c r="J6597" s="124"/>
    </row>
    <row r="6598" spans="3:10" x14ac:dyDescent="0.2">
      <c r="C6598" s="209"/>
      <c r="D6598" s="209"/>
      <c r="E6598" s="209"/>
      <c r="J6598" s="124"/>
    </row>
    <row r="6599" spans="3:10" x14ac:dyDescent="0.2">
      <c r="C6599" s="209"/>
      <c r="D6599" s="209"/>
      <c r="E6599" s="209"/>
      <c r="J6599" s="124"/>
    </row>
    <row r="6600" spans="3:10" x14ac:dyDescent="0.2">
      <c r="C6600" s="209"/>
      <c r="D6600" s="209"/>
      <c r="E6600" s="209"/>
      <c r="J6600" s="124"/>
    </row>
    <row r="6601" spans="3:10" x14ac:dyDescent="0.2">
      <c r="C6601" s="209"/>
      <c r="D6601" s="209"/>
      <c r="E6601" s="209"/>
      <c r="J6601" s="124"/>
    </row>
    <row r="6602" spans="3:10" x14ac:dyDescent="0.2">
      <c r="C6602" s="209"/>
      <c r="D6602" s="209"/>
      <c r="E6602" s="209"/>
      <c r="J6602" s="124"/>
    </row>
    <row r="6603" spans="3:10" x14ac:dyDescent="0.2">
      <c r="C6603" s="209"/>
      <c r="D6603" s="209"/>
      <c r="E6603" s="209"/>
      <c r="J6603" s="124"/>
    </row>
    <row r="6604" spans="3:10" x14ac:dyDescent="0.2">
      <c r="C6604" s="209"/>
      <c r="D6604" s="209"/>
      <c r="E6604" s="209"/>
      <c r="J6604" s="124"/>
    </row>
    <row r="6605" spans="3:10" x14ac:dyDescent="0.2">
      <c r="C6605" s="209"/>
      <c r="D6605" s="209"/>
      <c r="E6605" s="209"/>
      <c r="J6605" s="124"/>
    </row>
    <row r="6606" spans="3:10" x14ac:dyDescent="0.2">
      <c r="C6606" s="209"/>
      <c r="D6606" s="209"/>
      <c r="E6606" s="209"/>
      <c r="J6606" s="124"/>
    </row>
    <row r="6607" spans="3:10" x14ac:dyDescent="0.2">
      <c r="C6607" s="209"/>
      <c r="D6607" s="209"/>
      <c r="E6607" s="209"/>
      <c r="J6607" s="124"/>
    </row>
    <row r="6608" spans="3:10" x14ac:dyDescent="0.2">
      <c r="C6608" s="209"/>
      <c r="D6608" s="209"/>
      <c r="E6608" s="209"/>
      <c r="J6608" s="124"/>
    </row>
    <row r="6609" spans="3:10" x14ac:dyDescent="0.2">
      <c r="C6609" s="209"/>
      <c r="D6609" s="209"/>
      <c r="E6609" s="209"/>
      <c r="J6609" s="124"/>
    </row>
    <row r="6610" spans="3:10" x14ac:dyDescent="0.2">
      <c r="C6610" s="209"/>
      <c r="D6610" s="209"/>
      <c r="E6610" s="209"/>
      <c r="J6610" s="124"/>
    </row>
    <row r="6611" spans="3:10" x14ac:dyDescent="0.2">
      <c r="C6611" s="209"/>
      <c r="D6611" s="209"/>
      <c r="E6611" s="209"/>
      <c r="J6611" s="124"/>
    </row>
    <row r="6612" spans="3:10" x14ac:dyDescent="0.2">
      <c r="C6612" s="209"/>
      <c r="D6612" s="209"/>
      <c r="E6612" s="209"/>
      <c r="J6612" s="124"/>
    </row>
    <row r="6613" spans="3:10" x14ac:dyDescent="0.2">
      <c r="C6613" s="209"/>
      <c r="D6613" s="209"/>
      <c r="E6613" s="209"/>
      <c r="J6613" s="124"/>
    </row>
    <row r="6614" spans="3:10" x14ac:dyDescent="0.2">
      <c r="C6614" s="209"/>
      <c r="D6614" s="209"/>
      <c r="E6614" s="209"/>
      <c r="J6614" s="124"/>
    </row>
    <row r="6615" spans="3:10" x14ac:dyDescent="0.2">
      <c r="C6615" s="209"/>
      <c r="D6615" s="209"/>
      <c r="E6615" s="209"/>
      <c r="J6615" s="124"/>
    </row>
    <row r="6616" spans="3:10" x14ac:dyDescent="0.2">
      <c r="C6616" s="209"/>
      <c r="D6616" s="209"/>
      <c r="E6616" s="209"/>
      <c r="J6616" s="124"/>
    </row>
    <row r="6617" spans="3:10" x14ac:dyDescent="0.2">
      <c r="C6617" s="209"/>
      <c r="D6617" s="209"/>
      <c r="E6617" s="209"/>
      <c r="J6617" s="124"/>
    </row>
    <row r="6618" spans="3:10" x14ac:dyDescent="0.2">
      <c r="C6618" s="209"/>
      <c r="D6618" s="209"/>
      <c r="E6618" s="209"/>
      <c r="J6618" s="124"/>
    </row>
    <row r="6619" spans="3:10" x14ac:dyDescent="0.2">
      <c r="C6619" s="209"/>
      <c r="D6619" s="209"/>
      <c r="E6619" s="209"/>
      <c r="J6619" s="124"/>
    </row>
    <row r="6620" spans="3:10" x14ac:dyDescent="0.2">
      <c r="C6620" s="209"/>
      <c r="D6620" s="209"/>
      <c r="E6620" s="209"/>
      <c r="J6620" s="124"/>
    </row>
    <row r="6621" spans="3:10" x14ac:dyDescent="0.2">
      <c r="C6621" s="209"/>
      <c r="D6621" s="209"/>
      <c r="E6621" s="209"/>
      <c r="J6621" s="124"/>
    </row>
    <row r="6622" spans="3:10" x14ac:dyDescent="0.2">
      <c r="C6622" s="209"/>
      <c r="D6622" s="209"/>
      <c r="E6622" s="209"/>
      <c r="J6622" s="124"/>
    </row>
    <row r="6623" spans="3:10" x14ac:dyDescent="0.2">
      <c r="C6623" s="209"/>
      <c r="D6623" s="209"/>
      <c r="E6623" s="209"/>
      <c r="J6623" s="124"/>
    </row>
    <row r="6624" spans="3:10" x14ac:dyDescent="0.2">
      <c r="C6624" s="209"/>
      <c r="D6624" s="209"/>
      <c r="E6624" s="209"/>
      <c r="J6624" s="124"/>
    </row>
    <row r="6625" spans="3:10" x14ac:dyDescent="0.2">
      <c r="C6625" s="209"/>
      <c r="D6625" s="209"/>
      <c r="E6625" s="209"/>
      <c r="J6625" s="124"/>
    </row>
    <row r="6626" spans="3:10" x14ac:dyDescent="0.2">
      <c r="C6626" s="209"/>
      <c r="D6626" s="209"/>
      <c r="E6626" s="209"/>
      <c r="J6626" s="124"/>
    </row>
    <row r="6627" spans="3:10" x14ac:dyDescent="0.2">
      <c r="C6627" s="209"/>
      <c r="D6627" s="209"/>
      <c r="E6627" s="209"/>
      <c r="J6627" s="124"/>
    </row>
    <row r="6628" spans="3:10" x14ac:dyDescent="0.2">
      <c r="C6628" s="209"/>
      <c r="D6628" s="209"/>
      <c r="E6628" s="209"/>
      <c r="J6628" s="124"/>
    </row>
    <row r="6629" spans="3:10" x14ac:dyDescent="0.2">
      <c r="C6629" s="209"/>
      <c r="D6629" s="209"/>
      <c r="E6629" s="209"/>
      <c r="J6629" s="124"/>
    </row>
    <row r="6630" spans="3:10" x14ac:dyDescent="0.2">
      <c r="C6630" s="209"/>
      <c r="D6630" s="209"/>
      <c r="E6630" s="209"/>
      <c r="J6630" s="124"/>
    </row>
    <row r="6631" spans="3:10" x14ac:dyDescent="0.2">
      <c r="C6631" s="209"/>
      <c r="D6631" s="209"/>
      <c r="E6631" s="209"/>
      <c r="J6631" s="124"/>
    </row>
    <row r="6632" spans="3:10" x14ac:dyDescent="0.2">
      <c r="C6632" s="209"/>
      <c r="D6632" s="209"/>
      <c r="E6632" s="209"/>
      <c r="J6632" s="124"/>
    </row>
    <row r="6633" spans="3:10" x14ac:dyDescent="0.2">
      <c r="C6633" s="209"/>
      <c r="D6633" s="209"/>
      <c r="E6633" s="209"/>
      <c r="J6633" s="124"/>
    </row>
    <row r="6634" spans="3:10" x14ac:dyDescent="0.2">
      <c r="C6634" s="209"/>
      <c r="D6634" s="209"/>
      <c r="E6634" s="209"/>
      <c r="J6634" s="124"/>
    </row>
    <row r="6635" spans="3:10" x14ac:dyDescent="0.2">
      <c r="C6635" s="209"/>
      <c r="D6635" s="209"/>
      <c r="E6635" s="209"/>
      <c r="J6635" s="124"/>
    </row>
    <row r="6636" spans="3:10" x14ac:dyDescent="0.2">
      <c r="C6636" s="209"/>
      <c r="D6636" s="209"/>
      <c r="E6636" s="209"/>
      <c r="J6636" s="124"/>
    </row>
    <row r="6637" spans="3:10" x14ac:dyDescent="0.2">
      <c r="C6637" s="209"/>
      <c r="D6637" s="209"/>
      <c r="E6637" s="209"/>
      <c r="J6637" s="124"/>
    </row>
    <row r="6638" spans="3:10" x14ac:dyDescent="0.2">
      <c r="C6638" s="209"/>
      <c r="D6638" s="209"/>
      <c r="E6638" s="209"/>
      <c r="J6638" s="124"/>
    </row>
    <row r="6639" spans="3:10" x14ac:dyDescent="0.2">
      <c r="C6639" s="209"/>
      <c r="D6639" s="209"/>
      <c r="E6639" s="209"/>
      <c r="J6639" s="124"/>
    </row>
    <row r="6640" spans="3:10" x14ac:dyDescent="0.2">
      <c r="C6640" s="209"/>
      <c r="D6640" s="209"/>
      <c r="E6640" s="209"/>
      <c r="J6640" s="124"/>
    </row>
    <row r="6641" spans="3:10" x14ac:dyDescent="0.2">
      <c r="C6641" s="209"/>
      <c r="D6641" s="209"/>
      <c r="E6641" s="209"/>
      <c r="J6641" s="124"/>
    </row>
    <row r="6642" spans="3:10" x14ac:dyDescent="0.2">
      <c r="C6642" s="209"/>
      <c r="D6642" s="209"/>
      <c r="E6642" s="209"/>
      <c r="J6642" s="124"/>
    </row>
    <row r="6643" spans="3:10" x14ac:dyDescent="0.2">
      <c r="C6643" s="209"/>
      <c r="D6643" s="209"/>
      <c r="E6643" s="209"/>
      <c r="J6643" s="124"/>
    </row>
    <row r="6644" spans="3:10" x14ac:dyDescent="0.2">
      <c r="C6644" s="209"/>
      <c r="D6644" s="209"/>
      <c r="E6644" s="209"/>
      <c r="J6644" s="124"/>
    </row>
    <row r="6645" spans="3:10" x14ac:dyDescent="0.2">
      <c r="C6645" s="209"/>
      <c r="D6645" s="209"/>
      <c r="E6645" s="209"/>
      <c r="J6645" s="124"/>
    </row>
    <row r="6646" spans="3:10" x14ac:dyDescent="0.2">
      <c r="C6646" s="209"/>
      <c r="D6646" s="209"/>
      <c r="E6646" s="209"/>
      <c r="J6646" s="124"/>
    </row>
    <row r="6647" spans="3:10" x14ac:dyDescent="0.2">
      <c r="C6647" s="209"/>
      <c r="D6647" s="209"/>
      <c r="E6647" s="209"/>
      <c r="J6647" s="124"/>
    </row>
    <row r="6648" spans="3:10" x14ac:dyDescent="0.2">
      <c r="C6648" s="209"/>
      <c r="D6648" s="209"/>
      <c r="E6648" s="209"/>
      <c r="J6648" s="124"/>
    </row>
    <row r="6649" spans="3:10" x14ac:dyDescent="0.2">
      <c r="C6649" s="209"/>
      <c r="D6649" s="209"/>
      <c r="E6649" s="209"/>
      <c r="J6649" s="124"/>
    </row>
    <row r="6650" spans="3:10" x14ac:dyDescent="0.2">
      <c r="C6650" s="209"/>
      <c r="D6650" s="209"/>
      <c r="E6650" s="209"/>
      <c r="J6650" s="124"/>
    </row>
    <row r="6651" spans="3:10" x14ac:dyDescent="0.2">
      <c r="C6651" s="209"/>
      <c r="D6651" s="209"/>
      <c r="E6651" s="209"/>
      <c r="J6651" s="124"/>
    </row>
    <row r="6652" spans="3:10" x14ac:dyDescent="0.2">
      <c r="C6652" s="209"/>
      <c r="D6652" s="209"/>
      <c r="E6652" s="209"/>
      <c r="J6652" s="124"/>
    </row>
    <row r="6653" spans="3:10" x14ac:dyDescent="0.2">
      <c r="C6653" s="209"/>
      <c r="D6653" s="209"/>
      <c r="E6653" s="209"/>
      <c r="J6653" s="124"/>
    </row>
    <row r="6654" spans="3:10" x14ac:dyDescent="0.2">
      <c r="C6654" s="209"/>
      <c r="D6654" s="209"/>
      <c r="E6654" s="209"/>
      <c r="J6654" s="124"/>
    </row>
    <row r="6655" spans="3:10" x14ac:dyDescent="0.2">
      <c r="C6655" s="209"/>
      <c r="D6655" s="209"/>
      <c r="E6655" s="209"/>
      <c r="J6655" s="124"/>
    </row>
    <row r="6656" spans="3:10" x14ac:dyDescent="0.2">
      <c r="C6656" s="209"/>
      <c r="D6656" s="209"/>
      <c r="E6656" s="209"/>
      <c r="J6656" s="124"/>
    </row>
    <row r="6657" spans="3:10" x14ac:dyDescent="0.2">
      <c r="C6657" s="209"/>
      <c r="D6657" s="209"/>
      <c r="E6657" s="209"/>
      <c r="J6657" s="124"/>
    </row>
    <row r="6658" spans="3:10" x14ac:dyDescent="0.2">
      <c r="C6658" s="209"/>
      <c r="D6658" s="209"/>
      <c r="E6658" s="209"/>
      <c r="J6658" s="124"/>
    </row>
    <row r="6659" spans="3:10" x14ac:dyDescent="0.2">
      <c r="C6659" s="209"/>
      <c r="D6659" s="209"/>
      <c r="E6659" s="209"/>
      <c r="J6659" s="124"/>
    </row>
    <row r="6660" spans="3:10" x14ac:dyDescent="0.2">
      <c r="C6660" s="209"/>
      <c r="D6660" s="209"/>
      <c r="E6660" s="209"/>
      <c r="J6660" s="124"/>
    </row>
    <row r="6661" spans="3:10" x14ac:dyDescent="0.2">
      <c r="C6661" s="209"/>
      <c r="D6661" s="209"/>
      <c r="E6661" s="209"/>
      <c r="J6661" s="124"/>
    </row>
    <row r="6662" spans="3:10" x14ac:dyDescent="0.2">
      <c r="C6662" s="209"/>
      <c r="D6662" s="209"/>
      <c r="E6662" s="209"/>
      <c r="J6662" s="124"/>
    </row>
    <row r="6663" spans="3:10" x14ac:dyDescent="0.2">
      <c r="C6663" s="209"/>
      <c r="D6663" s="209"/>
      <c r="E6663" s="209"/>
      <c r="J6663" s="124"/>
    </row>
    <row r="6664" spans="3:10" x14ac:dyDescent="0.2">
      <c r="C6664" s="209"/>
      <c r="D6664" s="209"/>
      <c r="E6664" s="209"/>
      <c r="J6664" s="124"/>
    </row>
    <row r="6665" spans="3:10" x14ac:dyDescent="0.2">
      <c r="C6665" s="209"/>
      <c r="D6665" s="209"/>
      <c r="E6665" s="209"/>
      <c r="J6665" s="124"/>
    </row>
    <row r="6666" spans="3:10" x14ac:dyDescent="0.2">
      <c r="C6666" s="209"/>
      <c r="D6666" s="209"/>
      <c r="E6666" s="209"/>
      <c r="J6666" s="124"/>
    </row>
    <row r="6667" spans="3:10" x14ac:dyDescent="0.2">
      <c r="C6667" s="209"/>
      <c r="D6667" s="209"/>
      <c r="E6667" s="209"/>
      <c r="J6667" s="124"/>
    </row>
    <row r="6668" spans="3:10" x14ac:dyDescent="0.2">
      <c r="C6668" s="209"/>
      <c r="D6668" s="209"/>
      <c r="E6668" s="209"/>
      <c r="J6668" s="124"/>
    </row>
    <row r="6669" spans="3:10" x14ac:dyDescent="0.2">
      <c r="C6669" s="209"/>
      <c r="D6669" s="209"/>
      <c r="E6669" s="209"/>
      <c r="J6669" s="124"/>
    </row>
    <row r="6670" spans="3:10" x14ac:dyDescent="0.2">
      <c r="C6670" s="209"/>
      <c r="D6670" s="209"/>
      <c r="E6670" s="209"/>
      <c r="J6670" s="124"/>
    </row>
    <row r="6671" spans="3:10" x14ac:dyDescent="0.2">
      <c r="C6671" s="209"/>
      <c r="D6671" s="209"/>
      <c r="E6671" s="209"/>
      <c r="J6671" s="124"/>
    </row>
    <row r="6672" spans="3:10" x14ac:dyDescent="0.2">
      <c r="C6672" s="209"/>
      <c r="D6672" s="209"/>
      <c r="E6672" s="209"/>
      <c r="J6672" s="124"/>
    </row>
    <row r="6673" spans="3:10" x14ac:dyDescent="0.2">
      <c r="C6673" s="209"/>
      <c r="D6673" s="209"/>
      <c r="E6673" s="209"/>
      <c r="J6673" s="124"/>
    </row>
    <row r="6674" spans="3:10" x14ac:dyDescent="0.2">
      <c r="C6674" s="209"/>
      <c r="D6674" s="209"/>
      <c r="E6674" s="209"/>
      <c r="J6674" s="124"/>
    </row>
    <row r="6675" spans="3:10" x14ac:dyDescent="0.2">
      <c r="C6675" s="209"/>
      <c r="D6675" s="209"/>
      <c r="E6675" s="209"/>
      <c r="J6675" s="124"/>
    </row>
    <row r="6676" spans="3:10" x14ac:dyDescent="0.2">
      <c r="C6676" s="209"/>
      <c r="D6676" s="209"/>
      <c r="E6676" s="209"/>
      <c r="J6676" s="124"/>
    </row>
    <row r="6677" spans="3:10" x14ac:dyDescent="0.2">
      <c r="C6677" s="209"/>
      <c r="D6677" s="209"/>
      <c r="E6677" s="209"/>
      <c r="J6677" s="124"/>
    </row>
    <row r="6678" spans="3:10" x14ac:dyDescent="0.2">
      <c r="C6678" s="209"/>
      <c r="D6678" s="209"/>
      <c r="E6678" s="209"/>
      <c r="J6678" s="124"/>
    </row>
    <row r="6679" spans="3:10" x14ac:dyDescent="0.2">
      <c r="C6679" s="209"/>
      <c r="D6679" s="209"/>
      <c r="E6679" s="209"/>
      <c r="J6679" s="124"/>
    </row>
    <row r="6680" spans="3:10" x14ac:dyDescent="0.2">
      <c r="C6680" s="209"/>
      <c r="D6680" s="209"/>
      <c r="E6680" s="209"/>
      <c r="J6680" s="124"/>
    </row>
    <row r="6681" spans="3:10" x14ac:dyDescent="0.2">
      <c r="C6681" s="209"/>
      <c r="D6681" s="209"/>
      <c r="E6681" s="209"/>
      <c r="J6681" s="124"/>
    </row>
    <row r="6682" spans="3:10" x14ac:dyDescent="0.2">
      <c r="C6682" s="209"/>
      <c r="D6682" s="209"/>
      <c r="E6682" s="209"/>
      <c r="J6682" s="124"/>
    </row>
    <row r="6683" spans="3:10" x14ac:dyDescent="0.2">
      <c r="C6683" s="209"/>
      <c r="D6683" s="209"/>
      <c r="E6683" s="209"/>
      <c r="J6683" s="124"/>
    </row>
    <row r="6684" spans="3:10" x14ac:dyDescent="0.2">
      <c r="C6684" s="209"/>
      <c r="D6684" s="209"/>
      <c r="E6684" s="209"/>
      <c r="J6684" s="124"/>
    </row>
    <row r="6685" spans="3:10" x14ac:dyDescent="0.2">
      <c r="C6685" s="209"/>
      <c r="D6685" s="209"/>
      <c r="E6685" s="209"/>
      <c r="J6685" s="124"/>
    </row>
    <row r="6686" spans="3:10" x14ac:dyDescent="0.2">
      <c r="C6686" s="209"/>
      <c r="D6686" s="209"/>
      <c r="E6686" s="209"/>
      <c r="J6686" s="124"/>
    </row>
    <row r="6687" spans="3:10" x14ac:dyDescent="0.2">
      <c r="C6687" s="209"/>
      <c r="D6687" s="209"/>
      <c r="E6687" s="209"/>
      <c r="J6687" s="124"/>
    </row>
    <row r="6688" spans="3:10" x14ac:dyDescent="0.2">
      <c r="C6688" s="209"/>
      <c r="D6688" s="209"/>
      <c r="E6688" s="209"/>
      <c r="J6688" s="124"/>
    </row>
    <row r="6689" spans="3:10" x14ac:dyDescent="0.2">
      <c r="C6689" s="209"/>
      <c r="D6689" s="209"/>
      <c r="E6689" s="209"/>
      <c r="J6689" s="124"/>
    </row>
    <row r="6690" spans="3:10" x14ac:dyDescent="0.2">
      <c r="C6690" s="209"/>
      <c r="D6690" s="209"/>
      <c r="E6690" s="209"/>
      <c r="J6690" s="124"/>
    </row>
    <row r="6691" spans="3:10" x14ac:dyDescent="0.2">
      <c r="C6691" s="209"/>
      <c r="D6691" s="209"/>
      <c r="E6691" s="209"/>
      <c r="J6691" s="124"/>
    </row>
    <row r="6692" spans="3:10" x14ac:dyDescent="0.2">
      <c r="C6692" s="209"/>
      <c r="D6692" s="209"/>
      <c r="E6692" s="209"/>
      <c r="J6692" s="124"/>
    </row>
    <row r="6693" spans="3:10" x14ac:dyDescent="0.2">
      <c r="C6693" s="209"/>
      <c r="D6693" s="209"/>
      <c r="E6693" s="209"/>
      <c r="J6693" s="124"/>
    </row>
    <row r="6694" spans="3:10" x14ac:dyDescent="0.2">
      <c r="C6694" s="209"/>
      <c r="D6694" s="209"/>
      <c r="E6694" s="209"/>
      <c r="J6694" s="124"/>
    </row>
    <row r="6695" spans="3:10" x14ac:dyDescent="0.2">
      <c r="C6695" s="209"/>
      <c r="D6695" s="209"/>
      <c r="E6695" s="209"/>
      <c r="J6695" s="124"/>
    </row>
    <row r="6696" spans="3:10" x14ac:dyDescent="0.2">
      <c r="C6696" s="209"/>
      <c r="D6696" s="209"/>
      <c r="E6696" s="209"/>
      <c r="J6696" s="124"/>
    </row>
    <row r="6697" spans="3:10" x14ac:dyDescent="0.2">
      <c r="C6697" s="209"/>
      <c r="D6697" s="209"/>
      <c r="E6697" s="209"/>
      <c r="J6697" s="124"/>
    </row>
    <row r="6698" spans="3:10" x14ac:dyDescent="0.2">
      <c r="C6698" s="209"/>
      <c r="D6698" s="209"/>
      <c r="E6698" s="209"/>
      <c r="J6698" s="124"/>
    </row>
    <row r="6699" spans="3:10" x14ac:dyDescent="0.2">
      <c r="C6699" s="209"/>
      <c r="D6699" s="209"/>
      <c r="E6699" s="209"/>
      <c r="J6699" s="124"/>
    </row>
    <row r="6700" spans="3:10" x14ac:dyDescent="0.2">
      <c r="C6700" s="209"/>
      <c r="D6700" s="209"/>
      <c r="E6700" s="209"/>
      <c r="J6700" s="124"/>
    </row>
    <row r="6701" spans="3:10" x14ac:dyDescent="0.2">
      <c r="C6701" s="209"/>
      <c r="D6701" s="209"/>
      <c r="E6701" s="209"/>
      <c r="J6701" s="124"/>
    </row>
    <row r="6702" spans="3:10" x14ac:dyDescent="0.2">
      <c r="C6702" s="209"/>
      <c r="D6702" s="209"/>
      <c r="E6702" s="209"/>
      <c r="J6702" s="124"/>
    </row>
    <row r="6703" spans="3:10" x14ac:dyDescent="0.2">
      <c r="C6703" s="209"/>
      <c r="D6703" s="209"/>
      <c r="E6703" s="209"/>
      <c r="J6703" s="124"/>
    </row>
    <row r="6704" spans="3:10" x14ac:dyDescent="0.2">
      <c r="C6704" s="209"/>
      <c r="D6704" s="209"/>
      <c r="E6704" s="209"/>
      <c r="J6704" s="124"/>
    </row>
    <row r="6705" spans="3:10" x14ac:dyDescent="0.2">
      <c r="C6705" s="209"/>
      <c r="D6705" s="209"/>
      <c r="E6705" s="209"/>
      <c r="J6705" s="124"/>
    </row>
    <row r="6706" spans="3:10" x14ac:dyDescent="0.2">
      <c r="C6706" s="209"/>
      <c r="D6706" s="209"/>
      <c r="E6706" s="209"/>
      <c r="J6706" s="124"/>
    </row>
    <row r="6707" spans="3:10" x14ac:dyDescent="0.2">
      <c r="C6707" s="209"/>
      <c r="D6707" s="209"/>
      <c r="E6707" s="209"/>
      <c r="J6707" s="124"/>
    </row>
    <row r="6708" spans="3:10" x14ac:dyDescent="0.2">
      <c r="C6708" s="209"/>
      <c r="D6708" s="209"/>
      <c r="E6708" s="209"/>
      <c r="J6708" s="124"/>
    </row>
    <row r="6709" spans="3:10" x14ac:dyDescent="0.2">
      <c r="C6709" s="209"/>
      <c r="D6709" s="209"/>
      <c r="E6709" s="209"/>
      <c r="J6709" s="124"/>
    </row>
    <row r="6710" spans="3:10" x14ac:dyDescent="0.2">
      <c r="C6710" s="209"/>
      <c r="D6710" s="209"/>
      <c r="E6710" s="209"/>
      <c r="J6710" s="124"/>
    </row>
    <row r="6711" spans="3:10" x14ac:dyDescent="0.2">
      <c r="C6711" s="209"/>
      <c r="D6711" s="209"/>
      <c r="E6711" s="209"/>
      <c r="J6711" s="124"/>
    </row>
    <row r="6712" spans="3:10" x14ac:dyDescent="0.2">
      <c r="C6712" s="209"/>
      <c r="D6712" s="209"/>
      <c r="E6712" s="209"/>
      <c r="J6712" s="124"/>
    </row>
    <row r="6713" spans="3:10" x14ac:dyDescent="0.2">
      <c r="C6713" s="209"/>
      <c r="D6713" s="209"/>
      <c r="E6713" s="209"/>
      <c r="J6713" s="124"/>
    </row>
    <row r="6714" spans="3:10" x14ac:dyDescent="0.2">
      <c r="C6714" s="209"/>
      <c r="D6714" s="209"/>
      <c r="E6714" s="209"/>
      <c r="J6714" s="124"/>
    </row>
    <row r="6715" spans="3:10" x14ac:dyDescent="0.2">
      <c r="C6715" s="209"/>
      <c r="D6715" s="209"/>
      <c r="E6715" s="209"/>
      <c r="J6715" s="124"/>
    </row>
    <row r="6716" spans="3:10" x14ac:dyDescent="0.2">
      <c r="C6716" s="209"/>
      <c r="D6716" s="209"/>
      <c r="E6716" s="209"/>
      <c r="J6716" s="124"/>
    </row>
    <row r="6717" spans="3:10" x14ac:dyDescent="0.2">
      <c r="C6717" s="209"/>
      <c r="D6717" s="209"/>
      <c r="E6717" s="209"/>
      <c r="J6717" s="124"/>
    </row>
    <row r="6718" spans="3:10" x14ac:dyDescent="0.2">
      <c r="C6718" s="209"/>
      <c r="D6718" s="209"/>
      <c r="E6718" s="209"/>
      <c r="J6718" s="124"/>
    </row>
    <row r="6719" spans="3:10" x14ac:dyDescent="0.2">
      <c r="C6719" s="209"/>
      <c r="D6719" s="209"/>
      <c r="E6719" s="209"/>
      <c r="J6719" s="124"/>
    </row>
    <row r="6720" spans="3:10" x14ac:dyDescent="0.2">
      <c r="C6720" s="209"/>
      <c r="D6720" s="209"/>
      <c r="E6720" s="209"/>
      <c r="J6720" s="124"/>
    </row>
    <row r="6721" spans="3:10" x14ac:dyDescent="0.2">
      <c r="C6721" s="209"/>
      <c r="D6721" s="209"/>
      <c r="E6721" s="209"/>
      <c r="J6721" s="124"/>
    </row>
    <row r="6722" spans="3:10" x14ac:dyDescent="0.2">
      <c r="C6722" s="209"/>
      <c r="D6722" s="209"/>
      <c r="E6722" s="209"/>
      <c r="J6722" s="124"/>
    </row>
    <row r="6723" spans="3:10" x14ac:dyDescent="0.2">
      <c r="C6723" s="209"/>
      <c r="D6723" s="209"/>
      <c r="E6723" s="209"/>
      <c r="J6723" s="124"/>
    </row>
    <row r="6724" spans="3:10" x14ac:dyDescent="0.2">
      <c r="C6724" s="209"/>
      <c r="D6724" s="209"/>
      <c r="E6724" s="209"/>
      <c r="J6724" s="124"/>
    </row>
    <row r="6725" spans="3:10" x14ac:dyDescent="0.2">
      <c r="C6725" s="209"/>
      <c r="D6725" s="209"/>
      <c r="E6725" s="209"/>
      <c r="J6725" s="124"/>
    </row>
    <row r="6726" spans="3:10" x14ac:dyDescent="0.2">
      <c r="C6726" s="209"/>
      <c r="D6726" s="209"/>
      <c r="E6726" s="209"/>
      <c r="J6726" s="124"/>
    </row>
    <row r="6727" spans="3:10" x14ac:dyDescent="0.2">
      <c r="C6727" s="209"/>
      <c r="D6727" s="209"/>
      <c r="E6727" s="209"/>
      <c r="J6727" s="124"/>
    </row>
    <row r="6728" spans="3:10" x14ac:dyDescent="0.2">
      <c r="C6728" s="209"/>
      <c r="D6728" s="209"/>
      <c r="E6728" s="209"/>
      <c r="J6728" s="124"/>
    </row>
    <row r="6729" spans="3:10" x14ac:dyDescent="0.2">
      <c r="C6729" s="209"/>
      <c r="D6729" s="209"/>
      <c r="E6729" s="209"/>
      <c r="J6729" s="124"/>
    </row>
    <row r="6730" spans="3:10" x14ac:dyDescent="0.2">
      <c r="C6730" s="209"/>
      <c r="D6730" s="209"/>
      <c r="E6730" s="209"/>
      <c r="J6730" s="124"/>
    </row>
    <row r="6731" spans="3:10" x14ac:dyDescent="0.2">
      <c r="C6731" s="209"/>
      <c r="D6731" s="209"/>
      <c r="E6731" s="209"/>
      <c r="J6731" s="124"/>
    </row>
    <row r="6732" spans="3:10" x14ac:dyDescent="0.2">
      <c r="C6732" s="209"/>
      <c r="D6732" s="209"/>
      <c r="E6732" s="209"/>
      <c r="J6732" s="124"/>
    </row>
    <row r="6733" spans="3:10" x14ac:dyDescent="0.2">
      <c r="C6733" s="209"/>
      <c r="D6733" s="209"/>
      <c r="E6733" s="209"/>
      <c r="J6733" s="124"/>
    </row>
    <row r="6734" spans="3:10" x14ac:dyDescent="0.2">
      <c r="C6734" s="209"/>
      <c r="D6734" s="209"/>
      <c r="E6734" s="209"/>
      <c r="J6734" s="124"/>
    </row>
    <row r="6735" spans="3:10" x14ac:dyDescent="0.2">
      <c r="C6735" s="209"/>
      <c r="D6735" s="209"/>
      <c r="E6735" s="209"/>
      <c r="J6735" s="124"/>
    </row>
    <row r="6736" spans="3:10" x14ac:dyDescent="0.2">
      <c r="C6736" s="209"/>
      <c r="D6736" s="209"/>
      <c r="E6736" s="209"/>
      <c r="J6736" s="124"/>
    </row>
    <row r="6737" spans="3:10" x14ac:dyDescent="0.2">
      <c r="C6737" s="209"/>
      <c r="D6737" s="209"/>
      <c r="E6737" s="209"/>
      <c r="J6737" s="124"/>
    </row>
    <row r="6738" spans="3:10" x14ac:dyDescent="0.2">
      <c r="C6738" s="209"/>
      <c r="D6738" s="209"/>
      <c r="E6738" s="209"/>
      <c r="J6738" s="124"/>
    </row>
    <row r="6739" spans="3:10" x14ac:dyDescent="0.2">
      <c r="C6739" s="209"/>
      <c r="D6739" s="209"/>
      <c r="E6739" s="209"/>
      <c r="J6739" s="124"/>
    </row>
    <row r="6740" spans="3:10" x14ac:dyDescent="0.2">
      <c r="C6740" s="209"/>
      <c r="D6740" s="209"/>
      <c r="E6740" s="209"/>
      <c r="J6740" s="124"/>
    </row>
    <row r="6741" spans="3:10" x14ac:dyDescent="0.2">
      <c r="C6741" s="209"/>
      <c r="D6741" s="209"/>
      <c r="E6741" s="209"/>
      <c r="J6741" s="124"/>
    </row>
    <row r="6742" spans="3:10" x14ac:dyDescent="0.2">
      <c r="C6742" s="209"/>
      <c r="D6742" s="209"/>
      <c r="E6742" s="209"/>
      <c r="J6742" s="124"/>
    </row>
    <row r="6743" spans="3:10" x14ac:dyDescent="0.2">
      <c r="C6743" s="209"/>
      <c r="D6743" s="209"/>
      <c r="E6743" s="209"/>
      <c r="J6743" s="124"/>
    </row>
    <row r="6744" spans="3:10" x14ac:dyDescent="0.2">
      <c r="C6744" s="209"/>
      <c r="D6744" s="209"/>
      <c r="E6744" s="209"/>
      <c r="J6744" s="124"/>
    </row>
    <row r="6745" spans="3:10" x14ac:dyDescent="0.2">
      <c r="C6745" s="209"/>
      <c r="D6745" s="209"/>
      <c r="E6745" s="209"/>
      <c r="J6745" s="124"/>
    </row>
    <row r="6746" spans="3:10" x14ac:dyDescent="0.2">
      <c r="C6746" s="209"/>
      <c r="D6746" s="209"/>
      <c r="E6746" s="209"/>
      <c r="J6746" s="124"/>
    </row>
    <row r="6747" spans="3:10" x14ac:dyDescent="0.2">
      <c r="C6747" s="209"/>
      <c r="D6747" s="209"/>
      <c r="E6747" s="209"/>
      <c r="J6747" s="124"/>
    </row>
    <row r="6748" spans="3:10" x14ac:dyDescent="0.2">
      <c r="C6748" s="209"/>
      <c r="D6748" s="209"/>
      <c r="E6748" s="209"/>
      <c r="J6748" s="124"/>
    </row>
    <row r="6749" spans="3:10" x14ac:dyDescent="0.2">
      <c r="C6749" s="209"/>
      <c r="D6749" s="209"/>
      <c r="E6749" s="209"/>
      <c r="J6749" s="124"/>
    </row>
    <row r="6750" spans="3:10" x14ac:dyDescent="0.2">
      <c r="C6750" s="209"/>
      <c r="D6750" s="209"/>
      <c r="E6750" s="209"/>
      <c r="J6750" s="124"/>
    </row>
    <row r="6751" spans="3:10" x14ac:dyDescent="0.2">
      <c r="C6751" s="209"/>
      <c r="D6751" s="209"/>
      <c r="E6751" s="209"/>
      <c r="J6751" s="124"/>
    </row>
    <row r="6752" spans="3:10" x14ac:dyDescent="0.2">
      <c r="C6752" s="209"/>
      <c r="D6752" s="209"/>
      <c r="E6752" s="209"/>
      <c r="J6752" s="124"/>
    </row>
    <row r="6753" spans="3:10" x14ac:dyDescent="0.2">
      <c r="C6753" s="209"/>
      <c r="D6753" s="209"/>
      <c r="E6753" s="209"/>
      <c r="J6753" s="124"/>
    </row>
    <row r="6754" spans="3:10" x14ac:dyDescent="0.2">
      <c r="C6754" s="209"/>
      <c r="D6754" s="209"/>
      <c r="E6754" s="209"/>
      <c r="J6754" s="124"/>
    </row>
    <row r="6755" spans="3:10" x14ac:dyDescent="0.2">
      <c r="C6755" s="209"/>
      <c r="D6755" s="209"/>
      <c r="E6755" s="209"/>
      <c r="J6755" s="124"/>
    </row>
    <row r="6756" spans="3:10" x14ac:dyDescent="0.2">
      <c r="C6756" s="209"/>
      <c r="D6756" s="209"/>
      <c r="E6756" s="209"/>
      <c r="J6756" s="124"/>
    </row>
    <row r="6757" spans="3:10" x14ac:dyDescent="0.2">
      <c r="C6757" s="209"/>
      <c r="D6757" s="209"/>
      <c r="E6757" s="209"/>
      <c r="J6757" s="124"/>
    </row>
    <row r="6758" spans="3:10" x14ac:dyDescent="0.2">
      <c r="C6758" s="209"/>
      <c r="D6758" s="209"/>
      <c r="E6758" s="209"/>
      <c r="J6758" s="124"/>
    </row>
    <row r="6759" spans="3:10" x14ac:dyDescent="0.2">
      <c r="C6759" s="209"/>
      <c r="D6759" s="209"/>
      <c r="E6759" s="209"/>
      <c r="J6759" s="124"/>
    </row>
    <row r="6760" spans="3:10" x14ac:dyDescent="0.2">
      <c r="C6760" s="209"/>
      <c r="D6760" s="209"/>
      <c r="E6760" s="209"/>
      <c r="J6760" s="124"/>
    </row>
    <row r="6761" spans="3:10" x14ac:dyDescent="0.2">
      <c r="C6761" s="209"/>
      <c r="D6761" s="209"/>
      <c r="E6761" s="209"/>
      <c r="J6761" s="124"/>
    </row>
    <row r="6762" spans="3:10" x14ac:dyDescent="0.2">
      <c r="C6762" s="209"/>
      <c r="D6762" s="209"/>
      <c r="E6762" s="209"/>
      <c r="J6762" s="124"/>
    </row>
    <row r="6763" spans="3:10" x14ac:dyDescent="0.2">
      <c r="C6763" s="209"/>
      <c r="D6763" s="209"/>
      <c r="E6763" s="209"/>
      <c r="J6763" s="124"/>
    </row>
    <row r="6764" spans="3:10" x14ac:dyDescent="0.2">
      <c r="C6764" s="209"/>
      <c r="D6764" s="209"/>
      <c r="E6764" s="209"/>
      <c r="J6764" s="124"/>
    </row>
    <row r="6765" spans="3:10" x14ac:dyDescent="0.2">
      <c r="C6765" s="209"/>
      <c r="D6765" s="209"/>
      <c r="E6765" s="209"/>
      <c r="J6765" s="124"/>
    </row>
    <row r="6766" spans="3:10" x14ac:dyDescent="0.2">
      <c r="C6766" s="209"/>
      <c r="D6766" s="209"/>
      <c r="E6766" s="209"/>
      <c r="J6766" s="124"/>
    </row>
    <row r="6767" spans="3:10" x14ac:dyDescent="0.2">
      <c r="C6767" s="209"/>
      <c r="D6767" s="209"/>
      <c r="E6767" s="209"/>
      <c r="J6767" s="124"/>
    </row>
    <row r="6768" spans="3:10" x14ac:dyDescent="0.2">
      <c r="C6768" s="209"/>
      <c r="D6768" s="209"/>
      <c r="E6768" s="209"/>
      <c r="J6768" s="124"/>
    </row>
    <row r="6769" spans="3:10" x14ac:dyDescent="0.2">
      <c r="C6769" s="209"/>
      <c r="D6769" s="209"/>
      <c r="E6769" s="209"/>
      <c r="J6769" s="124"/>
    </row>
    <row r="6770" spans="3:10" x14ac:dyDescent="0.2">
      <c r="C6770" s="209"/>
      <c r="D6770" s="209"/>
      <c r="E6770" s="209"/>
      <c r="J6770" s="124"/>
    </row>
    <row r="6771" spans="3:10" x14ac:dyDescent="0.2">
      <c r="C6771" s="209"/>
      <c r="D6771" s="209"/>
      <c r="E6771" s="209"/>
      <c r="J6771" s="124"/>
    </row>
    <row r="6772" spans="3:10" x14ac:dyDescent="0.2">
      <c r="C6772" s="209"/>
      <c r="D6772" s="209"/>
      <c r="E6772" s="209"/>
      <c r="J6772" s="124"/>
    </row>
    <row r="6773" spans="3:10" x14ac:dyDescent="0.2">
      <c r="C6773" s="209"/>
      <c r="D6773" s="209"/>
      <c r="E6773" s="209"/>
      <c r="J6773" s="124"/>
    </row>
    <row r="6774" spans="3:10" x14ac:dyDescent="0.2">
      <c r="C6774" s="209"/>
      <c r="D6774" s="209"/>
      <c r="E6774" s="209"/>
      <c r="J6774" s="124"/>
    </row>
    <row r="6775" spans="3:10" x14ac:dyDescent="0.2">
      <c r="C6775" s="209"/>
      <c r="D6775" s="209"/>
      <c r="E6775" s="209"/>
      <c r="J6775" s="124"/>
    </row>
    <row r="6776" spans="3:10" x14ac:dyDescent="0.2">
      <c r="C6776" s="209"/>
      <c r="D6776" s="209"/>
      <c r="E6776" s="209"/>
      <c r="J6776" s="124"/>
    </row>
    <row r="6777" spans="3:10" x14ac:dyDescent="0.2">
      <c r="C6777" s="209"/>
      <c r="D6777" s="209"/>
      <c r="E6777" s="209"/>
      <c r="J6777" s="124"/>
    </row>
    <row r="6778" spans="3:10" x14ac:dyDescent="0.2">
      <c r="C6778" s="209"/>
      <c r="D6778" s="209"/>
      <c r="E6778" s="209"/>
      <c r="J6778" s="124"/>
    </row>
    <row r="6779" spans="3:10" x14ac:dyDescent="0.2">
      <c r="C6779" s="209"/>
      <c r="D6779" s="209"/>
      <c r="E6779" s="209"/>
      <c r="J6779" s="124"/>
    </row>
    <row r="6780" spans="3:10" x14ac:dyDescent="0.2">
      <c r="C6780" s="209"/>
      <c r="D6780" s="209"/>
      <c r="E6780" s="209"/>
      <c r="J6780" s="124"/>
    </row>
    <row r="6781" spans="3:10" x14ac:dyDescent="0.2">
      <c r="C6781" s="209"/>
      <c r="D6781" s="209"/>
      <c r="E6781" s="209"/>
      <c r="J6781" s="124"/>
    </row>
    <row r="6782" spans="3:10" x14ac:dyDescent="0.2">
      <c r="C6782" s="209"/>
      <c r="D6782" s="209"/>
      <c r="E6782" s="209"/>
      <c r="J6782" s="124"/>
    </row>
    <row r="6783" spans="3:10" x14ac:dyDescent="0.2">
      <c r="C6783" s="209"/>
      <c r="D6783" s="209"/>
      <c r="E6783" s="209"/>
      <c r="J6783" s="124"/>
    </row>
    <row r="6784" spans="3:10" x14ac:dyDescent="0.2">
      <c r="C6784" s="209"/>
      <c r="D6784" s="209"/>
      <c r="E6784" s="209"/>
      <c r="J6784" s="124"/>
    </row>
    <row r="6785" spans="3:10" x14ac:dyDescent="0.2">
      <c r="C6785" s="209"/>
      <c r="D6785" s="209"/>
      <c r="E6785" s="209"/>
      <c r="J6785" s="124"/>
    </row>
    <row r="6786" spans="3:10" x14ac:dyDescent="0.2">
      <c r="C6786" s="209"/>
      <c r="D6786" s="209"/>
      <c r="E6786" s="209"/>
      <c r="J6786" s="124"/>
    </row>
    <row r="6787" spans="3:10" x14ac:dyDescent="0.2">
      <c r="C6787" s="209"/>
      <c r="D6787" s="209"/>
      <c r="E6787" s="209"/>
      <c r="J6787" s="124"/>
    </row>
    <row r="6788" spans="3:10" x14ac:dyDescent="0.2">
      <c r="C6788" s="209"/>
      <c r="D6788" s="209"/>
      <c r="E6788" s="209"/>
      <c r="J6788" s="124"/>
    </row>
    <row r="6789" spans="3:10" x14ac:dyDescent="0.2">
      <c r="C6789" s="209"/>
      <c r="D6789" s="209"/>
      <c r="E6789" s="209"/>
      <c r="J6789" s="124"/>
    </row>
    <row r="6790" spans="3:10" x14ac:dyDescent="0.2">
      <c r="C6790" s="209"/>
      <c r="D6790" s="209"/>
      <c r="E6790" s="209"/>
      <c r="J6790" s="124"/>
    </row>
    <row r="6791" spans="3:10" x14ac:dyDescent="0.2">
      <c r="C6791" s="209"/>
      <c r="D6791" s="209"/>
      <c r="E6791" s="209"/>
      <c r="J6791" s="124"/>
    </row>
    <row r="6792" spans="3:10" x14ac:dyDescent="0.2">
      <c r="C6792" s="209"/>
      <c r="D6792" s="209"/>
      <c r="E6792" s="209"/>
      <c r="J6792" s="124"/>
    </row>
    <row r="6793" spans="3:10" x14ac:dyDescent="0.2">
      <c r="C6793" s="209"/>
      <c r="D6793" s="209"/>
      <c r="E6793" s="209"/>
      <c r="J6793" s="124"/>
    </row>
    <row r="6794" spans="3:10" x14ac:dyDescent="0.2">
      <c r="C6794" s="209"/>
      <c r="D6794" s="209"/>
      <c r="E6794" s="209"/>
      <c r="J6794" s="124"/>
    </row>
    <row r="6795" spans="3:10" x14ac:dyDescent="0.2">
      <c r="C6795" s="209"/>
      <c r="D6795" s="209"/>
      <c r="E6795" s="209"/>
      <c r="J6795" s="124"/>
    </row>
    <row r="6796" spans="3:10" x14ac:dyDescent="0.2">
      <c r="C6796" s="209"/>
      <c r="D6796" s="209"/>
      <c r="E6796" s="209"/>
      <c r="J6796" s="124"/>
    </row>
    <row r="6797" spans="3:10" x14ac:dyDescent="0.2">
      <c r="C6797" s="209"/>
      <c r="D6797" s="209"/>
      <c r="E6797" s="209"/>
      <c r="J6797" s="124"/>
    </row>
    <row r="6798" spans="3:10" x14ac:dyDescent="0.2">
      <c r="C6798" s="209"/>
      <c r="D6798" s="209"/>
      <c r="E6798" s="209"/>
      <c r="J6798" s="124"/>
    </row>
    <row r="6799" spans="3:10" x14ac:dyDescent="0.2">
      <c r="C6799" s="209"/>
      <c r="D6799" s="209"/>
      <c r="E6799" s="209"/>
      <c r="J6799" s="124"/>
    </row>
    <row r="6800" spans="3:10" x14ac:dyDescent="0.2">
      <c r="C6800" s="209"/>
      <c r="D6800" s="209"/>
      <c r="E6800" s="209"/>
      <c r="J6800" s="124"/>
    </row>
    <row r="6801" spans="3:10" x14ac:dyDescent="0.2">
      <c r="C6801" s="209"/>
      <c r="D6801" s="209"/>
      <c r="E6801" s="209"/>
      <c r="J6801" s="124"/>
    </row>
    <row r="6802" spans="3:10" x14ac:dyDescent="0.2">
      <c r="C6802" s="209"/>
      <c r="D6802" s="209"/>
      <c r="E6802" s="209"/>
      <c r="J6802" s="124"/>
    </row>
    <row r="6803" spans="3:10" x14ac:dyDescent="0.2">
      <c r="C6803" s="209"/>
      <c r="D6803" s="209"/>
      <c r="E6803" s="209"/>
      <c r="J6803" s="124"/>
    </row>
    <row r="6804" spans="3:10" x14ac:dyDescent="0.2">
      <c r="C6804" s="209"/>
      <c r="D6804" s="209"/>
      <c r="E6804" s="209"/>
      <c r="J6804" s="124"/>
    </row>
    <row r="6805" spans="3:10" x14ac:dyDescent="0.2">
      <c r="C6805" s="209"/>
      <c r="D6805" s="209"/>
      <c r="E6805" s="209"/>
      <c r="J6805" s="124"/>
    </row>
    <row r="6806" spans="3:10" x14ac:dyDescent="0.2">
      <c r="C6806" s="209"/>
      <c r="D6806" s="209"/>
      <c r="E6806" s="209"/>
      <c r="J6806" s="124"/>
    </row>
    <row r="6807" spans="3:10" x14ac:dyDescent="0.2">
      <c r="C6807" s="209"/>
      <c r="D6807" s="209"/>
      <c r="E6807" s="209"/>
      <c r="J6807" s="124"/>
    </row>
    <row r="6808" spans="3:10" x14ac:dyDescent="0.2">
      <c r="C6808" s="209"/>
      <c r="D6808" s="209"/>
      <c r="E6808" s="209"/>
      <c r="J6808" s="124"/>
    </row>
    <row r="6809" spans="3:10" x14ac:dyDescent="0.2">
      <c r="C6809" s="209"/>
      <c r="D6809" s="209"/>
      <c r="E6809" s="209"/>
      <c r="J6809" s="124"/>
    </row>
    <row r="6810" spans="3:10" x14ac:dyDescent="0.2">
      <c r="C6810" s="209"/>
      <c r="D6810" s="209"/>
      <c r="E6810" s="209"/>
      <c r="J6810" s="124"/>
    </row>
    <row r="6811" spans="3:10" x14ac:dyDescent="0.2">
      <c r="C6811" s="209"/>
      <c r="D6811" s="209"/>
      <c r="E6811" s="209"/>
      <c r="J6811" s="124"/>
    </row>
    <row r="6812" spans="3:10" x14ac:dyDescent="0.2">
      <c r="C6812" s="209"/>
      <c r="D6812" s="209"/>
      <c r="E6812" s="209"/>
      <c r="J6812" s="124"/>
    </row>
    <row r="6813" spans="3:10" x14ac:dyDescent="0.2">
      <c r="C6813" s="209"/>
      <c r="D6813" s="209"/>
      <c r="E6813" s="209"/>
      <c r="J6813" s="124"/>
    </row>
    <row r="6814" spans="3:10" x14ac:dyDescent="0.2">
      <c r="C6814" s="209"/>
      <c r="D6814" s="209"/>
      <c r="E6814" s="209"/>
      <c r="J6814" s="124"/>
    </row>
    <row r="6815" spans="3:10" x14ac:dyDescent="0.2">
      <c r="C6815" s="209"/>
      <c r="D6815" s="209"/>
      <c r="E6815" s="209"/>
      <c r="J6815" s="124"/>
    </row>
    <row r="6816" spans="3:10" x14ac:dyDescent="0.2">
      <c r="C6816" s="209"/>
      <c r="D6816" s="209"/>
      <c r="E6816" s="209"/>
      <c r="J6816" s="124"/>
    </row>
    <row r="6817" spans="3:10" x14ac:dyDescent="0.2">
      <c r="C6817" s="209"/>
      <c r="D6817" s="209"/>
      <c r="E6817" s="209"/>
      <c r="J6817" s="124"/>
    </row>
    <row r="6818" spans="3:10" x14ac:dyDescent="0.2">
      <c r="C6818" s="209"/>
      <c r="D6818" s="209"/>
      <c r="E6818" s="209"/>
      <c r="J6818" s="124"/>
    </row>
    <row r="6819" spans="3:10" x14ac:dyDescent="0.2">
      <c r="C6819" s="209"/>
      <c r="D6819" s="209"/>
      <c r="E6819" s="209"/>
      <c r="J6819" s="124"/>
    </row>
    <row r="6820" spans="3:10" x14ac:dyDescent="0.2">
      <c r="C6820" s="209"/>
      <c r="D6820" s="209"/>
      <c r="E6820" s="209"/>
      <c r="J6820" s="124"/>
    </row>
    <row r="6821" spans="3:10" x14ac:dyDescent="0.2">
      <c r="C6821" s="209"/>
      <c r="D6821" s="209"/>
      <c r="E6821" s="209"/>
      <c r="J6821" s="124"/>
    </row>
    <row r="6822" spans="3:10" x14ac:dyDescent="0.2">
      <c r="C6822" s="209"/>
      <c r="D6822" s="209"/>
      <c r="E6822" s="209"/>
      <c r="J6822" s="124"/>
    </row>
    <row r="6823" spans="3:10" x14ac:dyDescent="0.2">
      <c r="C6823" s="209"/>
      <c r="D6823" s="209"/>
      <c r="E6823" s="209"/>
      <c r="J6823" s="124"/>
    </row>
    <row r="6824" spans="3:10" x14ac:dyDescent="0.2">
      <c r="C6824" s="209"/>
      <c r="D6824" s="209"/>
      <c r="E6824" s="209"/>
      <c r="J6824" s="124"/>
    </row>
    <row r="6825" spans="3:10" x14ac:dyDescent="0.2">
      <c r="C6825" s="209"/>
      <c r="D6825" s="209"/>
      <c r="E6825" s="209"/>
      <c r="J6825" s="124"/>
    </row>
    <row r="6826" spans="3:10" x14ac:dyDescent="0.2">
      <c r="C6826" s="209"/>
      <c r="D6826" s="209"/>
      <c r="E6826" s="209"/>
      <c r="J6826" s="124"/>
    </row>
    <row r="6827" spans="3:10" x14ac:dyDescent="0.2">
      <c r="C6827" s="209"/>
      <c r="D6827" s="209"/>
      <c r="E6827" s="209"/>
      <c r="J6827" s="124"/>
    </row>
    <row r="6828" spans="3:10" x14ac:dyDescent="0.2">
      <c r="C6828" s="209"/>
      <c r="D6828" s="209"/>
      <c r="E6828" s="209"/>
      <c r="J6828" s="124"/>
    </row>
    <row r="6829" spans="3:10" x14ac:dyDescent="0.2">
      <c r="C6829" s="209"/>
      <c r="D6829" s="209"/>
      <c r="E6829" s="209"/>
      <c r="J6829" s="124"/>
    </row>
    <row r="6830" spans="3:10" x14ac:dyDescent="0.2">
      <c r="C6830" s="209"/>
      <c r="D6830" s="209"/>
      <c r="E6830" s="209"/>
      <c r="J6830" s="124"/>
    </row>
    <row r="6831" spans="3:10" x14ac:dyDescent="0.2">
      <c r="C6831" s="209"/>
      <c r="D6831" s="209"/>
      <c r="E6831" s="209"/>
      <c r="J6831" s="124"/>
    </row>
    <row r="6832" spans="3:10" x14ac:dyDescent="0.2">
      <c r="C6832" s="209"/>
      <c r="D6832" s="209"/>
      <c r="E6832" s="209"/>
      <c r="J6832" s="124"/>
    </row>
    <row r="6833" spans="3:10" x14ac:dyDescent="0.2">
      <c r="C6833" s="209"/>
      <c r="D6833" s="209"/>
      <c r="E6833" s="209"/>
      <c r="J6833" s="124"/>
    </row>
    <row r="6834" spans="3:10" x14ac:dyDescent="0.2">
      <c r="C6834" s="209"/>
      <c r="D6834" s="209"/>
      <c r="E6834" s="209"/>
      <c r="J6834" s="124"/>
    </row>
    <row r="6835" spans="3:10" x14ac:dyDescent="0.2">
      <c r="C6835" s="209"/>
      <c r="D6835" s="209"/>
      <c r="E6835" s="209"/>
      <c r="J6835" s="124"/>
    </row>
    <row r="6836" spans="3:10" x14ac:dyDescent="0.2">
      <c r="C6836" s="209"/>
      <c r="D6836" s="209"/>
      <c r="E6836" s="209"/>
      <c r="J6836" s="124"/>
    </row>
    <row r="6837" spans="3:10" x14ac:dyDescent="0.2">
      <c r="C6837" s="209"/>
      <c r="D6837" s="209"/>
      <c r="E6837" s="209"/>
      <c r="J6837" s="124"/>
    </row>
    <row r="6838" spans="3:10" x14ac:dyDescent="0.2">
      <c r="C6838" s="209"/>
      <c r="D6838" s="209"/>
      <c r="E6838" s="209"/>
      <c r="J6838" s="124"/>
    </row>
    <row r="6839" spans="3:10" x14ac:dyDescent="0.2">
      <c r="C6839" s="209"/>
      <c r="D6839" s="209"/>
      <c r="E6839" s="209"/>
      <c r="J6839" s="124"/>
    </row>
    <row r="6840" spans="3:10" x14ac:dyDescent="0.2">
      <c r="C6840" s="209"/>
      <c r="D6840" s="209"/>
      <c r="E6840" s="209"/>
      <c r="J6840" s="124"/>
    </row>
    <row r="6841" spans="3:10" x14ac:dyDescent="0.2">
      <c r="C6841" s="209"/>
      <c r="D6841" s="209"/>
      <c r="E6841" s="209"/>
      <c r="J6841" s="124"/>
    </row>
    <row r="6842" spans="3:10" x14ac:dyDescent="0.2">
      <c r="C6842" s="209"/>
      <c r="D6842" s="209"/>
      <c r="E6842" s="209"/>
      <c r="J6842" s="124"/>
    </row>
    <row r="6843" spans="3:10" x14ac:dyDescent="0.2">
      <c r="C6843" s="209"/>
      <c r="D6843" s="209"/>
      <c r="E6843" s="209"/>
      <c r="J6843" s="124"/>
    </row>
    <row r="6844" spans="3:10" x14ac:dyDescent="0.2">
      <c r="C6844" s="209"/>
      <c r="D6844" s="209"/>
      <c r="E6844" s="209"/>
      <c r="J6844" s="124"/>
    </row>
    <row r="6845" spans="3:10" x14ac:dyDescent="0.2">
      <c r="C6845" s="209"/>
      <c r="D6845" s="209"/>
      <c r="E6845" s="209"/>
      <c r="J6845" s="124"/>
    </row>
    <row r="6846" spans="3:10" x14ac:dyDescent="0.2">
      <c r="C6846" s="209"/>
      <c r="D6846" s="209"/>
      <c r="E6846" s="209"/>
      <c r="J6846" s="124"/>
    </row>
    <row r="6847" spans="3:10" x14ac:dyDescent="0.2">
      <c r="C6847" s="209"/>
      <c r="D6847" s="209"/>
      <c r="E6847" s="209"/>
      <c r="J6847" s="124"/>
    </row>
    <row r="6848" spans="3:10" x14ac:dyDescent="0.2">
      <c r="C6848" s="209"/>
      <c r="D6848" s="209"/>
      <c r="E6848" s="209"/>
      <c r="J6848" s="124"/>
    </row>
    <row r="6849" spans="3:10" x14ac:dyDescent="0.2">
      <c r="C6849" s="209"/>
      <c r="D6849" s="209"/>
      <c r="E6849" s="209"/>
      <c r="J6849" s="124"/>
    </row>
    <row r="6850" spans="3:10" x14ac:dyDescent="0.2">
      <c r="C6850" s="209"/>
      <c r="D6850" s="209"/>
      <c r="E6850" s="209"/>
      <c r="J6850" s="124"/>
    </row>
    <row r="6851" spans="3:10" x14ac:dyDescent="0.2">
      <c r="C6851" s="209"/>
      <c r="D6851" s="209"/>
      <c r="E6851" s="209"/>
      <c r="J6851" s="124"/>
    </row>
    <row r="6852" spans="3:10" x14ac:dyDescent="0.2">
      <c r="C6852" s="209"/>
      <c r="D6852" s="209"/>
      <c r="E6852" s="209"/>
      <c r="J6852" s="124"/>
    </row>
    <row r="6853" spans="3:10" x14ac:dyDescent="0.2">
      <c r="C6853" s="209"/>
      <c r="D6853" s="209"/>
      <c r="E6853" s="209"/>
      <c r="J6853" s="124"/>
    </row>
    <row r="6854" spans="3:10" x14ac:dyDescent="0.2">
      <c r="C6854" s="209"/>
      <c r="D6854" s="209"/>
      <c r="E6854" s="209"/>
      <c r="J6854" s="124"/>
    </row>
    <row r="6855" spans="3:10" x14ac:dyDescent="0.2">
      <c r="C6855" s="209"/>
      <c r="D6855" s="209"/>
      <c r="E6855" s="209"/>
      <c r="J6855" s="124"/>
    </row>
    <row r="6856" spans="3:10" x14ac:dyDescent="0.2">
      <c r="C6856" s="209"/>
      <c r="D6856" s="209"/>
      <c r="E6856" s="209"/>
      <c r="J6856" s="124"/>
    </row>
    <row r="6857" spans="3:10" x14ac:dyDescent="0.2">
      <c r="C6857" s="209"/>
      <c r="D6857" s="209"/>
      <c r="E6857" s="209"/>
      <c r="J6857" s="124"/>
    </row>
    <row r="6858" spans="3:10" x14ac:dyDescent="0.2">
      <c r="C6858" s="209"/>
      <c r="D6858" s="209"/>
      <c r="E6858" s="209"/>
      <c r="J6858" s="124"/>
    </row>
    <row r="6859" spans="3:10" x14ac:dyDescent="0.2">
      <c r="C6859" s="209"/>
      <c r="D6859" s="209"/>
      <c r="E6859" s="209"/>
      <c r="J6859" s="124"/>
    </row>
    <row r="6860" spans="3:10" x14ac:dyDescent="0.2">
      <c r="C6860" s="209"/>
      <c r="D6860" s="209"/>
      <c r="E6860" s="209"/>
      <c r="J6860" s="124"/>
    </row>
    <row r="6861" spans="3:10" x14ac:dyDescent="0.2">
      <c r="C6861" s="209"/>
      <c r="D6861" s="209"/>
      <c r="E6861" s="209"/>
      <c r="J6861" s="124"/>
    </row>
    <row r="6862" spans="3:10" x14ac:dyDescent="0.2">
      <c r="C6862" s="209"/>
      <c r="D6862" s="209"/>
      <c r="E6862" s="209"/>
      <c r="J6862" s="124"/>
    </row>
    <row r="6863" spans="3:10" x14ac:dyDescent="0.2">
      <c r="C6863" s="209"/>
      <c r="D6863" s="209"/>
      <c r="E6863" s="209"/>
      <c r="J6863" s="124"/>
    </row>
    <row r="6864" spans="3:10" x14ac:dyDescent="0.2">
      <c r="C6864" s="209"/>
      <c r="D6864" s="209"/>
      <c r="E6864" s="209"/>
      <c r="J6864" s="124"/>
    </row>
    <row r="6865" spans="3:10" x14ac:dyDescent="0.2">
      <c r="C6865" s="209"/>
      <c r="D6865" s="209"/>
      <c r="E6865" s="209"/>
      <c r="J6865" s="124"/>
    </row>
    <row r="6866" spans="3:10" x14ac:dyDescent="0.2">
      <c r="C6866" s="209"/>
      <c r="D6866" s="209"/>
      <c r="E6866" s="209"/>
      <c r="J6866" s="124"/>
    </row>
    <row r="6867" spans="3:10" x14ac:dyDescent="0.2">
      <c r="C6867" s="209"/>
      <c r="D6867" s="209"/>
      <c r="E6867" s="209"/>
      <c r="J6867" s="124"/>
    </row>
    <row r="6868" spans="3:10" x14ac:dyDescent="0.2">
      <c r="C6868" s="209"/>
      <c r="D6868" s="209"/>
      <c r="E6868" s="209"/>
      <c r="J6868" s="124"/>
    </row>
    <row r="6869" spans="3:10" x14ac:dyDescent="0.2">
      <c r="C6869" s="209"/>
      <c r="D6869" s="209"/>
      <c r="E6869" s="209"/>
      <c r="J6869" s="124"/>
    </row>
    <row r="6870" spans="3:10" x14ac:dyDescent="0.2">
      <c r="C6870" s="209"/>
      <c r="D6870" s="209"/>
      <c r="E6870" s="209"/>
      <c r="J6870" s="124"/>
    </row>
    <row r="6871" spans="3:10" x14ac:dyDescent="0.2">
      <c r="C6871" s="209"/>
      <c r="D6871" s="209"/>
      <c r="E6871" s="209"/>
      <c r="J6871" s="124"/>
    </row>
    <row r="6872" spans="3:10" x14ac:dyDescent="0.2">
      <c r="C6872" s="209"/>
      <c r="D6872" s="209"/>
      <c r="E6872" s="209"/>
      <c r="J6872" s="124"/>
    </row>
    <row r="6873" spans="3:10" x14ac:dyDescent="0.2">
      <c r="C6873" s="209"/>
      <c r="D6873" s="209"/>
      <c r="E6873" s="209"/>
      <c r="J6873" s="124"/>
    </row>
    <row r="6874" spans="3:10" x14ac:dyDescent="0.2">
      <c r="C6874" s="209"/>
      <c r="D6874" s="209"/>
      <c r="E6874" s="209"/>
      <c r="J6874" s="124"/>
    </row>
    <row r="6875" spans="3:10" x14ac:dyDescent="0.2">
      <c r="C6875" s="209"/>
      <c r="D6875" s="209"/>
      <c r="E6875" s="209"/>
      <c r="J6875" s="124"/>
    </row>
    <row r="6876" spans="3:10" x14ac:dyDescent="0.2">
      <c r="C6876" s="209"/>
      <c r="D6876" s="209"/>
      <c r="E6876" s="209"/>
      <c r="J6876" s="124"/>
    </row>
    <row r="6877" spans="3:10" x14ac:dyDescent="0.2">
      <c r="C6877" s="209"/>
      <c r="D6877" s="209"/>
      <c r="E6877" s="209"/>
      <c r="J6877" s="124"/>
    </row>
    <row r="6878" spans="3:10" x14ac:dyDescent="0.2">
      <c r="C6878" s="209"/>
      <c r="D6878" s="209"/>
      <c r="E6878" s="209"/>
      <c r="J6878" s="124"/>
    </row>
    <row r="6879" spans="3:10" x14ac:dyDescent="0.2">
      <c r="C6879" s="209"/>
      <c r="D6879" s="209"/>
      <c r="E6879" s="209"/>
      <c r="J6879" s="124"/>
    </row>
    <row r="6880" spans="3:10" x14ac:dyDescent="0.2">
      <c r="C6880" s="209"/>
      <c r="D6880" s="209"/>
      <c r="E6880" s="209"/>
      <c r="J6880" s="124"/>
    </row>
    <row r="6881" spans="3:10" x14ac:dyDescent="0.2">
      <c r="C6881" s="209"/>
      <c r="D6881" s="209"/>
      <c r="E6881" s="209"/>
      <c r="J6881" s="124"/>
    </row>
    <row r="6882" spans="3:10" x14ac:dyDescent="0.2">
      <c r="C6882" s="209"/>
      <c r="D6882" s="209"/>
      <c r="E6882" s="209"/>
      <c r="J6882" s="124"/>
    </row>
    <row r="6883" spans="3:10" x14ac:dyDescent="0.2">
      <c r="C6883" s="209"/>
      <c r="D6883" s="209"/>
      <c r="E6883" s="209"/>
      <c r="J6883" s="124"/>
    </row>
    <row r="6884" spans="3:10" x14ac:dyDescent="0.2">
      <c r="C6884" s="209"/>
      <c r="D6884" s="209"/>
      <c r="E6884" s="209"/>
      <c r="J6884" s="124"/>
    </row>
    <row r="6885" spans="3:10" x14ac:dyDescent="0.2">
      <c r="C6885" s="209"/>
      <c r="D6885" s="209"/>
      <c r="E6885" s="209"/>
      <c r="J6885" s="124"/>
    </row>
    <row r="6886" spans="3:10" x14ac:dyDescent="0.2">
      <c r="C6886" s="209"/>
      <c r="D6886" s="209"/>
      <c r="E6886" s="209"/>
      <c r="J6886" s="124"/>
    </row>
    <row r="6887" spans="3:10" x14ac:dyDescent="0.2">
      <c r="C6887" s="209"/>
      <c r="D6887" s="209"/>
      <c r="E6887" s="209"/>
      <c r="J6887" s="124"/>
    </row>
    <row r="6888" spans="3:10" x14ac:dyDescent="0.2">
      <c r="C6888" s="209"/>
      <c r="D6888" s="209"/>
      <c r="E6888" s="209"/>
      <c r="J6888" s="124"/>
    </row>
    <row r="6889" spans="3:10" x14ac:dyDescent="0.2">
      <c r="C6889" s="209"/>
      <c r="D6889" s="209"/>
      <c r="E6889" s="209"/>
      <c r="J6889" s="124"/>
    </row>
    <row r="6890" spans="3:10" x14ac:dyDescent="0.2">
      <c r="C6890" s="209"/>
      <c r="D6890" s="209"/>
      <c r="E6890" s="209"/>
      <c r="J6890" s="124"/>
    </row>
    <row r="6891" spans="3:10" x14ac:dyDescent="0.2">
      <c r="C6891" s="209"/>
      <c r="D6891" s="209"/>
      <c r="E6891" s="209"/>
      <c r="J6891" s="124"/>
    </row>
    <row r="6892" spans="3:10" x14ac:dyDescent="0.2">
      <c r="C6892" s="209"/>
      <c r="D6892" s="209"/>
      <c r="E6892" s="209"/>
      <c r="J6892" s="124"/>
    </row>
    <row r="6893" spans="3:10" x14ac:dyDescent="0.2">
      <c r="C6893" s="209"/>
      <c r="D6893" s="209"/>
      <c r="E6893" s="209"/>
      <c r="J6893" s="124"/>
    </row>
    <row r="6894" spans="3:10" x14ac:dyDescent="0.2">
      <c r="C6894" s="209"/>
      <c r="D6894" s="209"/>
      <c r="E6894" s="209"/>
      <c r="J6894" s="124"/>
    </row>
    <row r="6895" spans="3:10" x14ac:dyDescent="0.2">
      <c r="C6895" s="209"/>
      <c r="D6895" s="209"/>
      <c r="E6895" s="209"/>
      <c r="J6895" s="124"/>
    </row>
    <row r="6896" spans="3:10" x14ac:dyDescent="0.2">
      <c r="C6896" s="209"/>
      <c r="D6896" s="209"/>
      <c r="E6896" s="209"/>
      <c r="J6896" s="124"/>
    </row>
    <row r="6897" spans="3:10" x14ac:dyDescent="0.2">
      <c r="C6897" s="209"/>
      <c r="D6897" s="209"/>
      <c r="E6897" s="209"/>
      <c r="J6897" s="124"/>
    </row>
    <row r="6898" spans="3:10" x14ac:dyDescent="0.2">
      <c r="C6898" s="209"/>
      <c r="D6898" s="209"/>
      <c r="E6898" s="209"/>
      <c r="J6898" s="124"/>
    </row>
    <row r="6899" spans="3:10" x14ac:dyDescent="0.2">
      <c r="C6899" s="209"/>
      <c r="D6899" s="209"/>
      <c r="E6899" s="209"/>
      <c r="J6899" s="124"/>
    </row>
    <row r="6900" spans="3:10" x14ac:dyDescent="0.2">
      <c r="C6900" s="209"/>
      <c r="D6900" s="209"/>
      <c r="E6900" s="209"/>
      <c r="J6900" s="124"/>
    </row>
    <row r="6901" spans="3:10" x14ac:dyDescent="0.2">
      <c r="C6901" s="209"/>
      <c r="D6901" s="209"/>
      <c r="E6901" s="209"/>
      <c r="J6901" s="124"/>
    </row>
    <row r="6902" spans="3:10" x14ac:dyDescent="0.2">
      <c r="C6902" s="209"/>
      <c r="D6902" s="209"/>
      <c r="E6902" s="209"/>
      <c r="J6902" s="124"/>
    </row>
    <row r="6903" spans="3:10" x14ac:dyDescent="0.2">
      <c r="C6903" s="209"/>
      <c r="D6903" s="209"/>
      <c r="E6903" s="209"/>
      <c r="J6903" s="124"/>
    </row>
    <row r="6904" spans="3:10" x14ac:dyDescent="0.2">
      <c r="C6904" s="209"/>
      <c r="D6904" s="209"/>
      <c r="E6904" s="209"/>
      <c r="J6904" s="124"/>
    </row>
    <row r="6905" spans="3:10" x14ac:dyDescent="0.2">
      <c r="C6905" s="209"/>
      <c r="D6905" s="209"/>
      <c r="E6905" s="209"/>
      <c r="J6905" s="124"/>
    </row>
    <row r="6906" spans="3:10" x14ac:dyDescent="0.2">
      <c r="C6906" s="209"/>
      <c r="D6906" s="209"/>
      <c r="E6906" s="209"/>
      <c r="J6906" s="124"/>
    </row>
    <row r="6907" spans="3:10" x14ac:dyDescent="0.2">
      <c r="C6907" s="209"/>
      <c r="D6907" s="209"/>
      <c r="E6907" s="209"/>
      <c r="J6907" s="124"/>
    </row>
    <row r="6908" spans="3:10" x14ac:dyDescent="0.2">
      <c r="C6908" s="209"/>
      <c r="D6908" s="209"/>
      <c r="E6908" s="209"/>
      <c r="J6908" s="124"/>
    </row>
    <row r="6909" spans="3:10" x14ac:dyDescent="0.2">
      <c r="C6909" s="209"/>
      <c r="D6909" s="209"/>
      <c r="E6909" s="209"/>
      <c r="J6909" s="124"/>
    </row>
    <row r="6910" spans="3:10" x14ac:dyDescent="0.2">
      <c r="C6910" s="209"/>
      <c r="D6910" s="209"/>
      <c r="E6910" s="209"/>
      <c r="J6910" s="124"/>
    </row>
    <row r="6911" spans="3:10" x14ac:dyDescent="0.2">
      <c r="C6911" s="209"/>
      <c r="D6911" s="209"/>
      <c r="E6911" s="209"/>
      <c r="J6911" s="124"/>
    </row>
    <row r="6912" spans="3:10" x14ac:dyDescent="0.2">
      <c r="C6912" s="209"/>
      <c r="D6912" s="209"/>
      <c r="E6912" s="209"/>
      <c r="J6912" s="124"/>
    </row>
    <row r="6913" spans="3:10" x14ac:dyDescent="0.2">
      <c r="C6913" s="209"/>
      <c r="D6913" s="209"/>
      <c r="E6913" s="209"/>
      <c r="J6913" s="124"/>
    </row>
    <row r="6914" spans="3:10" x14ac:dyDescent="0.2">
      <c r="C6914" s="209"/>
      <c r="D6914" s="209"/>
      <c r="E6914" s="209"/>
      <c r="J6914" s="124"/>
    </row>
    <row r="6915" spans="3:10" x14ac:dyDescent="0.2">
      <c r="C6915" s="209"/>
      <c r="D6915" s="209"/>
      <c r="E6915" s="209"/>
      <c r="J6915" s="124"/>
    </row>
    <row r="6916" spans="3:10" x14ac:dyDescent="0.2">
      <c r="C6916" s="209"/>
      <c r="D6916" s="209"/>
      <c r="E6916" s="209"/>
      <c r="J6916" s="124"/>
    </row>
    <row r="6917" spans="3:10" x14ac:dyDescent="0.2">
      <c r="C6917" s="209"/>
      <c r="D6917" s="209"/>
      <c r="E6917" s="209"/>
      <c r="J6917" s="124"/>
    </row>
    <row r="6918" spans="3:10" x14ac:dyDescent="0.2">
      <c r="C6918" s="209"/>
      <c r="D6918" s="209"/>
      <c r="E6918" s="209"/>
      <c r="J6918" s="124"/>
    </row>
    <row r="6919" spans="3:10" x14ac:dyDescent="0.2">
      <c r="C6919" s="209"/>
      <c r="D6919" s="209"/>
      <c r="E6919" s="209"/>
      <c r="J6919" s="124"/>
    </row>
    <row r="6920" spans="3:10" x14ac:dyDescent="0.2">
      <c r="C6920" s="209"/>
      <c r="D6920" s="209"/>
      <c r="E6920" s="209"/>
      <c r="J6920" s="124"/>
    </row>
    <row r="6921" spans="3:10" x14ac:dyDescent="0.2">
      <c r="C6921" s="209"/>
      <c r="D6921" s="209"/>
      <c r="E6921" s="209"/>
      <c r="J6921" s="124"/>
    </row>
    <row r="6922" spans="3:10" x14ac:dyDescent="0.2">
      <c r="C6922" s="209"/>
      <c r="D6922" s="209"/>
      <c r="E6922" s="209"/>
      <c r="J6922" s="124"/>
    </row>
    <row r="6923" spans="3:10" x14ac:dyDescent="0.2">
      <c r="C6923" s="209"/>
      <c r="D6923" s="209"/>
      <c r="E6923" s="209"/>
      <c r="J6923" s="124"/>
    </row>
    <row r="6924" spans="3:10" x14ac:dyDescent="0.2">
      <c r="C6924" s="209"/>
      <c r="D6924" s="209"/>
      <c r="E6924" s="209"/>
      <c r="J6924" s="124"/>
    </row>
    <row r="6925" spans="3:10" x14ac:dyDescent="0.2">
      <c r="C6925" s="209"/>
      <c r="D6925" s="209"/>
      <c r="E6925" s="209"/>
      <c r="J6925" s="124"/>
    </row>
    <row r="6926" spans="3:10" x14ac:dyDescent="0.2">
      <c r="C6926" s="209"/>
      <c r="D6926" s="209"/>
      <c r="E6926" s="209"/>
      <c r="J6926" s="124"/>
    </row>
    <row r="6927" spans="3:10" x14ac:dyDescent="0.2">
      <c r="C6927" s="209"/>
      <c r="D6927" s="209"/>
      <c r="E6927" s="209"/>
      <c r="J6927" s="124"/>
    </row>
    <row r="6928" spans="3:10" x14ac:dyDescent="0.2">
      <c r="C6928" s="209"/>
      <c r="D6928" s="209"/>
      <c r="E6928" s="209"/>
      <c r="J6928" s="124"/>
    </row>
    <row r="6929" spans="3:10" x14ac:dyDescent="0.2">
      <c r="C6929" s="209"/>
      <c r="D6929" s="209"/>
      <c r="E6929" s="209"/>
      <c r="J6929" s="124"/>
    </row>
    <row r="6930" spans="3:10" x14ac:dyDescent="0.2">
      <c r="C6930" s="209"/>
      <c r="D6930" s="209"/>
      <c r="E6930" s="209"/>
      <c r="J6930" s="124"/>
    </row>
    <row r="6931" spans="3:10" x14ac:dyDescent="0.2">
      <c r="C6931" s="209"/>
      <c r="D6931" s="209"/>
      <c r="E6931" s="209"/>
      <c r="J6931" s="124"/>
    </row>
    <row r="6932" spans="3:10" x14ac:dyDescent="0.2">
      <c r="C6932" s="209"/>
      <c r="D6932" s="209"/>
      <c r="E6932" s="209"/>
      <c r="J6932" s="124"/>
    </row>
    <row r="6933" spans="3:10" x14ac:dyDescent="0.2">
      <c r="C6933" s="209"/>
      <c r="D6933" s="209"/>
      <c r="E6933" s="209"/>
      <c r="J6933" s="124"/>
    </row>
    <row r="6934" spans="3:10" x14ac:dyDescent="0.2">
      <c r="C6934" s="209"/>
      <c r="D6934" s="209"/>
      <c r="E6934" s="209"/>
      <c r="J6934" s="124"/>
    </row>
    <row r="6935" spans="3:10" x14ac:dyDescent="0.2">
      <c r="C6935" s="209"/>
      <c r="D6935" s="209"/>
      <c r="E6935" s="209"/>
      <c r="J6935" s="124"/>
    </row>
    <row r="6936" spans="3:10" x14ac:dyDescent="0.2">
      <c r="C6936" s="209"/>
      <c r="D6936" s="209"/>
      <c r="E6936" s="209"/>
      <c r="J6936" s="124"/>
    </row>
    <row r="6937" spans="3:10" x14ac:dyDescent="0.2">
      <c r="C6937" s="209"/>
      <c r="D6937" s="209"/>
      <c r="E6937" s="209"/>
      <c r="J6937" s="124"/>
    </row>
    <row r="6938" spans="3:10" x14ac:dyDescent="0.2">
      <c r="C6938" s="209"/>
      <c r="D6938" s="209"/>
      <c r="E6938" s="209"/>
      <c r="J6938" s="124"/>
    </row>
    <row r="6939" spans="3:10" x14ac:dyDescent="0.2">
      <c r="C6939" s="209"/>
      <c r="D6939" s="209"/>
      <c r="E6939" s="209"/>
      <c r="J6939" s="124"/>
    </row>
    <row r="6940" spans="3:10" x14ac:dyDescent="0.2">
      <c r="C6940" s="209"/>
      <c r="D6940" s="209"/>
      <c r="E6940" s="209"/>
      <c r="J6940" s="124"/>
    </row>
    <row r="6941" spans="3:10" x14ac:dyDescent="0.2">
      <c r="C6941" s="209"/>
      <c r="D6941" s="209"/>
      <c r="E6941" s="209"/>
      <c r="J6941" s="124"/>
    </row>
    <row r="6942" spans="3:10" x14ac:dyDescent="0.2">
      <c r="C6942" s="209"/>
      <c r="D6942" s="209"/>
      <c r="E6942" s="209"/>
      <c r="J6942" s="124"/>
    </row>
    <row r="6943" spans="3:10" x14ac:dyDescent="0.2">
      <c r="C6943" s="209"/>
      <c r="D6943" s="209"/>
      <c r="E6943" s="209"/>
      <c r="J6943" s="124"/>
    </row>
    <row r="6944" spans="3:10" x14ac:dyDescent="0.2">
      <c r="C6944" s="209"/>
      <c r="D6944" s="209"/>
      <c r="E6944" s="209"/>
      <c r="J6944" s="124"/>
    </row>
    <row r="6945" spans="3:10" x14ac:dyDescent="0.2">
      <c r="C6945" s="209"/>
      <c r="D6945" s="209"/>
      <c r="E6945" s="209"/>
      <c r="J6945" s="124"/>
    </row>
    <row r="6946" spans="3:10" x14ac:dyDescent="0.2">
      <c r="C6946" s="209"/>
      <c r="D6946" s="209"/>
      <c r="E6946" s="209"/>
      <c r="J6946" s="124"/>
    </row>
    <row r="6947" spans="3:10" x14ac:dyDescent="0.2">
      <c r="C6947" s="209"/>
      <c r="D6947" s="209"/>
      <c r="E6947" s="209"/>
      <c r="J6947" s="124"/>
    </row>
    <row r="6948" spans="3:10" x14ac:dyDescent="0.2">
      <c r="C6948" s="209"/>
      <c r="D6948" s="209"/>
      <c r="E6948" s="209"/>
      <c r="J6948" s="124"/>
    </row>
    <row r="6949" spans="3:10" x14ac:dyDescent="0.2">
      <c r="C6949" s="209"/>
      <c r="D6949" s="209"/>
      <c r="E6949" s="209"/>
      <c r="J6949" s="124"/>
    </row>
    <row r="6950" spans="3:10" x14ac:dyDescent="0.2">
      <c r="C6950" s="209"/>
      <c r="D6950" s="209"/>
      <c r="E6950" s="209"/>
      <c r="J6950" s="124"/>
    </row>
    <row r="6951" spans="3:10" x14ac:dyDescent="0.2">
      <c r="C6951" s="209"/>
      <c r="D6951" s="209"/>
      <c r="E6951" s="209"/>
      <c r="J6951" s="124"/>
    </row>
    <row r="6952" spans="3:10" x14ac:dyDescent="0.2">
      <c r="C6952" s="209"/>
      <c r="D6952" s="209"/>
      <c r="E6952" s="209"/>
      <c r="J6952" s="124"/>
    </row>
    <row r="6953" spans="3:10" x14ac:dyDescent="0.2">
      <c r="C6953" s="209"/>
      <c r="D6953" s="209"/>
      <c r="E6953" s="209"/>
      <c r="J6953" s="124"/>
    </row>
    <row r="6954" spans="3:10" x14ac:dyDescent="0.2">
      <c r="C6954" s="209"/>
      <c r="D6954" s="209"/>
      <c r="E6954" s="209"/>
      <c r="J6954" s="124"/>
    </row>
    <row r="6955" spans="3:10" x14ac:dyDescent="0.2">
      <c r="C6955" s="209"/>
      <c r="D6955" s="209"/>
      <c r="E6955" s="209"/>
      <c r="J6955" s="124"/>
    </row>
    <row r="6956" spans="3:10" x14ac:dyDescent="0.2">
      <c r="C6956" s="209"/>
      <c r="D6956" s="209"/>
      <c r="E6956" s="209"/>
      <c r="J6956" s="124"/>
    </row>
    <row r="6957" spans="3:10" x14ac:dyDescent="0.2">
      <c r="C6957" s="209"/>
      <c r="D6957" s="209"/>
      <c r="E6957" s="209"/>
      <c r="J6957" s="124"/>
    </row>
    <row r="6958" spans="3:10" x14ac:dyDescent="0.2">
      <c r="C6958" s="209"/>
      <c r="D6958" s="209"/>
      <c r="E6958" s="209"/>
      <c r="J6958" s="124"/>
    </row>
    <row r="6959" spans="3:10" x14ac:dyDescent="0.2">
      <c r="C6959" s="209"/>
      <c r="D6959" s="209"/>
      <c r="E6959" s="209"/>
      <c r="J6959" s="124"/>
    </row>
    <row r="6960" spans="3:10" x14ac:dyDescent="0.2">
      <c r="C6960" s="209"/>
      <c r="D6960" s="209"/>
      <c r="E6960" s="209"/>
      <c r="J6960" s="124"/>
    </row>
    <row r="6961" spans="3:10" x14ac:dyDescent="0.2">
      <c r="C6961" s="209"/>
      <c r="D6961" s="209"/>
      <c r="E6961" s="209"/>
      <c r="J6961" s="124"/>
    </row>
    <row r="6962" spans="3:10" x14ac:dyDescent="0.2">
      <c r="C6962" s="209"/>
      <c r="D6962" s="209"/>
      <c r="E6962" s="209"/>
      <c r="J6962" s="124"/>
    </row>
    <row r="6963" spans="3:10" x14ac:dyDescent="0.2">
      <c r="C6963" s="209"/>
      <c r="D6963" s="209"/>
      <c r="E6963" s="209"/>
      <c r="J6963" s="124"/>
    </row>
    <row r="6964" spans="3:10" x14ac:dyDescent="0.2">
      <c r="C6964" s="209"/>
      <c r="D6964" s="209"/>
      <c r="E6964" s="209"/>
      <c r="J6964" s="124"/>
    </row>
    <row r="6965" spans="3:10" x14ac:dyDescent="0.2">
      <c r="C6965" s="209"/>
      <c r="D6965" s="209"/>
      <c r="E6965" s="209"/>
      <c r="J6965" s="124"/>
    </row>
    <row r="6966" spans="3:10" x14ac:dyDescent="0.2">
      <c r="C6966" s="209"/>
      <c r="D6966" s="209"/>
      <c r="E6966" s="209"/>
      <c r="J6966" s="124"/>
    </row>
    <row r="6967" spans="3:10" x14ac:dyDescent="0.2">
      <c r="C6967" s="209"/>
      <c r="D6967" s="209"/>
      <c r="E6967" s="209"/>
      <c r="J6967" s="124"/>
    </row>
    <row r="6968" spans="3:10" x14ac:dyDescent="0.2">
      <c r="C6968" s="209"/>
      <c r="D6968" s="209"/>
      <c r="E6968" s="209"/>
      <c r="J6968" s="124"/>
    </row>
    <row r="6969" spans="3:10" x14ac:dyDescent="0.2">
      <c r="C6969" s="209"/>
      <c r="D6969" s="209"/>
      <c r="E6969" s="209"/>
      <c r="J6969" s="124"/>
    </row>
    <row r="6970" spans="3:10" x14ac:dyDescent="0.2">
      <c r="C6970" s="209"/>
      <c r="D6970" s="209"/>
      <c r="E6970" s="209"/>
      <c r="J6970" s="124"/>
    </row>
    <row r="6971" spans="3:10" x14ac:dyDescent="0.2">
      <c r="C6971" s="209"/>
      <c r="D6971" s="209"/>
      <c r="E6971" s="209"/>
      <c r="J6971" s="124"/>
    </row>
    <row r="6972" spans="3:10" x14ac:dyDescent="0.2">
      <c r="C6972" s="209"/>
      <c r="D6972" s="209"/>
      <c r="E6972" s="209"/>
      <c r="J6972" s="124"/>
    </row>
    <row r="6973" spans="3:10" x14ac:dyDescent="0.2">
      <c r="C6973" s="209"/>
      <c r="D6973" s="209"/>
      <c r="E6973" s="209"/>
      <c r="J6973" s="124"/>
    </row>
    <row r="6974" spans="3:10" x14ac:dyDescent="0.2">
      <c r="C6974" s="209"/>
      <c r="D6974" s="209"/>
      <c r="E6974" s="209"/>
      <c r="J6974" s="124"/>
    </row>
    <row r="6975" spans="3:10" x14ac:dyDescent="0.2">
      <c r="C6975" s="209"/>
      <c r="D6975" s="209"/>
      <c r="E6975" s="209"/>
      <c r="J6975" s="124"/>
    </row>
    <row r="6976" spans="3:10" x14ac:dyDescent="0.2">
      <c r="C6976" s="209"/>
      <c r="D6976" s="209"/>
      <c r="E6976" s="209"/>
      <c r="J6976" s="124"/>
    </row>
    <row r="6977" spans="3:10" x14ac:dyDescent="0.2">
      <c r="C6977" s="209"/>
      <c r="D6977" s="209"/>
      <c r="E6977" s="209"/>
      <c r="J6977" s="124"/>
    </row>
    <row r="6978" spans="3:10" x14ac:dyDescent="0.2">
      <c r="C6978" s="209"/>
      <c r="D6978" s="209"/>
      <c r="E6978" s="209"/>
      <c r="J6978" s="124"/>
    </row>
    <row r="6979" spans="3:10" x14ac:dyDescent="0.2">
      <c r="C6979" s="209"/>
      <c r="D6979" s="209"/>
      <c r="E6979" s="209"/>
      <c r="J6979" s="124"/>
    </row>
    <row r="6980" spans="3:10" x14ac:dyDescent="0.2">
      <c r="C6980" s="209"/>
      <c r="D6980" s="209"/>
      <c r="E6980" s="209"/>
      <c r="J6980" s="124"/>
    </row>
    <row r="6981" spans="3:10" x14ac:dyDescent="0.2">
      <c r="C6981" s="209"/>
      <c r="D6981" s="209"/>
      <c r="E6981" s="209"/>
      <c r="J6981" s="124"/>
    </row>
    <row r="6982" spans="3:10" x14ac:dyDescent="0.2">
      <c r="C6982" s="209"/>
      <c r="D6982" s="209"/>
      <c r="E6982" s="209"/>
      <c r="J6982" s="124"/>
    </row>
    <row r="6983" spans="3:10" x14ac:dyDescent="0.2">
      <c r="C6983" s="209"/>
      <c r="D6983" s="209"/>
      <c r="E6983" s="209"/>
      <c r="J6983" s="124"/>
    </row>
    <row r="6984" spans="3:10" x14ac:dyDescent="0.2">
      <c r="C6984" s="209"/>
      <c r="D6984" s="209"/>
      <c r="E6984" s="209"/>
      <c r="J6984" s="124"/>
    </row>
    <row r="6985" spans="3:10" x14ac:dyDescent="0.2">
      <c r="C6985" s="209"/>
      <c r="D6985" s="209"/>
      <c r="E6985" s="209"/>
      <c r="J6985" s="124"/>
    </row>
    <row r="6986" spans="3:10" x14ac:dyDescent="0.2">
      <c r="C6986" s="209"/>
      <c r="D6986" s="209"/>
      <c r="E6986" s="209"/>
      <c r="J6986" s="124"/>
    </row>
    <row r="6987" spans="3:10" x14ac:dyDescent="0.2">
      <c r="C6987" s="209"/>
      <c r="D6987" s="209"/>
      <c r="E6987" s="209"/>
      <c r="J6987" s="124"/>
    </row>
    <row r="6988" spans="3:10" x14ac:dyDescent="0.2">
      <c r="C6988" s="209"/>
      <c r="D6988" s="209"/>
      <c r="E6988" s="209"/>
      <c r="J6988" s="124"/>
    </row>
    <row r="6989" spans="3:10" x14ac:dyDescent="0.2">
      <c r="C6989" s="209"/>
      <c r="D6989" s="209"/>
      <c r="E6989" s="209"/>
      <c r="J6989" s="124"/>
    </row>
    <row r="6990" spans="3:10" x14ac:dyDescent="0.2">
      <c r="C6990" s="209"/>
      <c r="D6990" s="209"/>
      <c r="E6990" s="209"/>
      <c r="J6990" s="124"/>
    </row>
    <row r="6991" spans="3:10" x14ac:dyDescent="0.2">
      <c r="C6991" s="209"/>
      <c r="D6991" s="209"/>
      <c r="E6991" s="209"/>
      <c r="J6991" s="124"/>
    </row>
    <row r="6992" spans="3:10" x14ac:dyDescent="0.2">
      <c r="C6992" s="209"/>
      <c r="D6992" s="209"/>
      <c r="E6992" s="209"/>
      <c r="J6992" s="124"/>
    </row>
    <row r="6993" spans="3:10" x14ac:dyDescent="0.2">
      <c r="C6993" s="209"/>
      <c r="D6993" s="209"/>
      <c r="E6993" s="209"/>
      <c r="J6993" s="124"/>
    </row>
    <row r="6994" spans="3:10" x14ac:dyDescent="0.2">
      <c r="C6994" s="209"/>
      <c r="D6994" s="209"/>
      <c r="E6994" s="209"/>
      <c r="J6994" s="124"/>
    </row>
    <row r="6995" spans="3:10" x14ac:dyDescent="0.2">
      <c r="C6995" s="209"/>
      <c r="D6995" s="209"/>
      <c r="E6995" s="209"/>
      <c r="J6995" s="124"/>
    </row>
    <row r="6996" spans="3:10" x14ac:dyDescent="0.2">
      <c r="C6996" s="209"/>
      <c r="D6996" s="209"/>
      <c r="E6996" s="209"/>
      <c r="J6996" s="124"/>
    </row>
    <row r="6997" spans="3:10" x14ac:dyDescent="0.2">
      <c r="C6997" s="209"/>
      <c r="D6997" s="209"/>
      <c r="E6997" s="209"/>
      <c r="J6997" s="124"/>
    </row>
    <row r="6998" spans="3:10" x14ac:dyDescent="0.2">
      <c r="C6998" s="209"/>
      <c r="D6998" s="209"/>
      <c r="E6998" s="209"/>
      <c r="J6998" s="124"/>
    </row>
    <row r="6999" spans="3:10" x14ac:dyDescent="0.2">
      <c r="C6999" s="209"/>
      <c r="D6999" s="209"/>
      <c r="E6999" s="209"/>
      <c r="J6999" s="124"/>
    </row>
    <row r="7000" spans="3:10" x14ac:dyDescent="0.2">
      <c r="C7000" s="209"/>
      <c r="D7000" s="209"/>
      <c r="E7000" s="209"/>
      <c r="J7000" s="124"/>
    </row>
    <row r="7001" spans="3:10" x14ac:dyDescent="0.2">
      <c r="C7001" s="209"/>
      <c r="D7001" s="209"/>
      <c r="E7001" s="209"/>
      <c r="J7001" s="124"/>
    </row>
    <row r="7002" spans="3:10" x14ac:dyDescent="0.2">
      <c r="C7002" s="209"/>
      <c r="D7002" s="209"/>
      <c r="E7002" s="209"/>
      <c r="J7002" s="124"/>
    </row>
    <row r="7003" spans="3:10" x14ac:dyDescent="0.2">
      <c r="C7003" s="209"/>
      <c r="D7003" s="209"/>
      <c r="E7003" s="209"/>
      <c r="J7003" s="124"/>
    </row>
    <row r="7004" spans="3:10" x14ac:dyDescent="0.2">
      <c r="C7004" s="209"/>
      <c r="D7004" s="209"/>
      <c r="E7004" s="209"/>
      <c r="J7004" s="124"/>
    </row>
    <row r="7005" spans="3:10" x14ac:dyDescent="0.2">
      <c r="C7005" s="209"/>
      <c r="D7005" s="209"/>
      <c r="E7005" s="209"/>
      <c r="J7005" s="124"/>
    </row>
    <row r="7006" spans="3:10" x14ac:dyDescent="0.2">
      <c r="C7006" s="209"/>
      <c r="D7006" s="209"/>
      <c r="E7006" s="209"/>
      <c r="J7006" s="124"/>
    </row>
    <row r="7007" spans="3:10" x14ac:dyDescent="0.2">
      <c r="C7007" s="209"/>
      <c r="D7007" s="209"/>
      <c r="E7007" s="209"/>
      <c r="J7007" s="124"/>
    </row>
    <row r="7008" spans="3:10" x14ac:dyDescent="0.2">
      <c r="C7008" s="209"/>
      <c r="D7008" s="209"/>
      <c r="E7008" s="209"/>
      <c r="J7008" s="124"/>
    </row>
    <row r="7009" spans="3:10" x14ac:dyDescent="0.2">
      <c r="C7009" s="209"/>
      <c r="D7009" s="209"/>
      <c r="E7009" s="209"/>
      <c r="J7009" s="124"/>
    </row>
    <row r="7010" spans="3:10" x14ac:dyDescent="0.2">
      <c r="C7010" s="209"/>
      <c r="D7010" s="209"/>
      <c r="E7010" s="209"/>
      <c r="J7010" s="124"/>
    </row>
    <row r="7011" spans="3:10" x14ac:dyDescent="0.2">
      <c r="C7011" s="209"/>
      <c r="D7011" s="209"/>
      <c r="E7011" s="209"/>
      <c r="J7011" s="124"/>
    </row>
    <row r="7012" spans="3:10" x14ac:dyDescent="0.2">
      <c r="C7012" s="209"/>
      <c r="D7012" s="209"/>
      <c r="E7012" s="209"/>
      <c r="J7012" s="124"/>
    </row>
    <row r="7013" spans="3:10" x14ac:dyDescent="0.2">
      <c r="C7013" s="209"/>
      <c r="D7013" s="209"/>
      <c r="E7013" s="209"/>
      <c r="J7013" s="124"/>
    </row>
    <row r="7014" spans="3:10" x14ac:dyDescent="0.2">
      <c r="C7014" s="209"/>
      <c r="D7014" s="209"/>
      <c r="E7014" s="209"/>
      <c r="J7014" s="124"/>
    </row>
    <row r="7015" spans="3:10" x14ac:dyDescent="0.2">
      <c r="C7015" s="209"/>
      <c r="D7015" s="209"/>
      <c r="E7015" s="209"/>
      <c r="J7015" s="124"/>
    </row>
    <row r="7016" spans="3:10" x14ac:dyDescent="0.2">
      <c r="C7016" s="209"/>
      <c r="D7016" s="209"/>
      <c r="E7016" s="209"/>
      <c r="J7016" s="124"/>
    </row>
    <row r="7017" spans="3:10" x14ac:dyDescent="0.2">
      <c r="C7017" s="209"/>
      <c r="D7017" s="209"/>
      <c r="E7017" s="209"/>
      <c r="J7017" s="124"/>
    </row>
    <row r="7018" spans="3:10" x14ac:dyDescent="0.2">
      <c r="C7018" s="209"/>
      <c r="D7018" s="209"/>
      <c r="E7018" s="209"/>
      <c r="J7018" s="124"/>
    </row>
    <row r="7019" spans="3:10" x14ac:dyDescent="0.2">
      <c r="C7019" s="209"/>
      <c r="D7019" s="209"/>
      <c r="E7019" s="209"/>
      <c r="J7019" s="124"/>
    </row>
    <row r="7020" spans="3:10" x14ac:dyDescent="0.2">
      <c r="C7020" s="209"/>
      <c r="D7020" s="209"/>
      <c r="E7020" s="209"/>
      <c r="J7020" s="124"/>
    </row>
    <row r="7021" spans="3:10" x14ac:dyDescent="0.2">
      <c r="C7021" s="209"/>
      <c r="D7021" s="209"/>
      <c r="E7021" s="209"/>
      <c r="J7021" s="124"/>
    </row>
    <row r="7022" spans="3:10" x14ac:dyDescent="0.2">
      <c r="C7022" s="209"/>
      <c r="D7022" s="209"/>
      <c r="E7022" s="209"/>
      <c r="J7022" s="124"/>
    </row>
    <row r="7023" spans="3:10" x14ac:dyDescent="0.2">
      <c r="C7023" s="209"/>
      <c r="D7023" s="209"/>
      <c r="E7023" s="209"/>
      <c r="J7023" s="124"/>
    </row>
    <row r="7024" spans="3:10" x14ac:dyDescent="0.2">
      <c r="C7024" s="209"/>
      <c r="D7024" s="209"/>
      <c r="E7024" s="209"/>
      <c r="J7024" s="124"/>
    </row>
    <row r="7025" spans="3:10" x14ac:dyDescent="0.2">
      <c r="C7025" s="209"/>
      <c r="D7025" s="209"/>
      <c r="E7025" s="209"/>
      <c r="J7025" s="124"/>
    </row>
    <row r="7026" spans="3:10" x14ac:dyDescent="0.2">
      <c r="C7026" s="209"/>
      <c r="D7026" s="209"/>
      <c r="E7026" s="209"/>
      <c r="J7026" s="124"/>
    </row>
    <row r="7027" spans="3:10" x14ac:dyDescent="0.2">
      <c r="C7027" s="209"/>
      <c r="D7027" s="209"/>
      <c r="E7027" s="209"/>
      <c r="J7027" s="124"/>
    </row>
    <row r="7028" spans="3:10" x14ac:dyDescent="0.2">
      <c r="C7028" s="209"/>
      <c r="D7028" s="209"/>
      <c r="E7028" s="209"/>
      <c r="J7028" s="124"/>
    </row>
    <row r="7029" spans="3:10" x14ac:dyDescent="0.2">
      <c r="C7029" s="209"/>
      <c r="D7029" s="209"/>
      <c r="E7029" s="209"/>
      <c r="J7029" s="124"/>
    </row>
    <row r="7030" spans="3:10" x14ac:dyDescent="0.2">
      <c r="C7030" s="209"/>
      <c r="D7030" s="209"/>
      <c r="E7030" s="209"/>
      <c r="J7030" s="124"/>
    </row>
    <row r="7031" spans="3:10" x14ac:dyDescent="0.2">
      <c r="C7031" s="209"/>
      <c r="D7031" s="209"/>
      <c r="E7031" s="209"/>
      <c r="J7031" s="124"/>
    </row>
    <row r="7032" spans="3:10" x14ac:dyDescent="0.2">
      <c r="C7032" s="209"/>
      <c r="D7032" s="209"/>
      <c r="E7032" s="209"/>
      <c r="J7032" s="124"/>
    </row>
    <row r="7033" spans="3:10" x14ac:dyDescent="0.2">
      <c r="C7033" s="209"/>
      <c r="D7033" s="209"/>
      <c r="E7033" s="209"/>
      <c r="J7033" s="124"/>
    </row>
    <row r="7034" spans="3:10" x14ac:dyDescent="0.2">
      <c r="C7034" s="209"/>
      <c r="D7034" s="209"/>
      <c r="E7034" s="209"/>
      <c r="J7034" s="124"/>
    </row>
    <row r="7035" spans="3:10" x14ac:dyDescent="0.2">
      <c r="C7035" s="209"/>
      <c r="D7035" s="209"/>
      <c r="E7035" s="209"/>
      <c r="J7035" s="124"/>
    </row>
    <row r="7036" spans="3:10" x14ac:dyDescent="0.2">
      <c r="C7036" s="209"/>
      <c r="D7036" s="209"/>
      <c r="E7036" s="209"/>
      <c r="J7036" s="124"/>
    </row>
    <row r="7037" spans="3:10" x14ac:dyDescent="0.2">
      <c r="C7037" s="209"/>
      <c r="D7037" s="209"/>
      <c r="E7037" s="209"/>
      <c r="J7037" s="124"/>
    </row>
    <row r="7038" spans="3:10" x14ac:dyDescent="0.2">
      <c r="C7038" s="209"/>
      <c r="D7038" s="209"/>
      <c r="E7038" s="209"/>
      <c r="J7038" s="124"/>
    </row>
    <row r="7039" spans="3:10" x14ac:dyDescent="0.2">
      <c r="C7039" s="209"/>
      <c r="D7039" s="209"/>
      <c r="E7039" s="209"/>
      <c r="J7039" s="124"/>
    </row>
    <row r="7040" spans="3:10" x14ac:dyDescent="0.2">
      <c r="C7040" s="209"/>
      <c r="D7040" s="209"/>
      <c r="E7040" s="209"/>
      <c r="J7040" s="124"/>
    </row>
    <row r="7041" spans="3:10" x14ac:dyDescent="0.2">
      <c r="C7041" s="209"/>
      <c r="D7041" s="209"/>
      <c r="E7041" s="209"/>
      <c r="J7041" s="124"/>
    </row>
    <row r="7042" spans="3:10" x14ac:dyDescent="0.2">
      <c r="C7042" s="209"/>
      <c r="D7042" s="209"/>
      <c r="E7042" s="209"/>
      <c r="J7042" s="124"/>
    </row>
    <row r="7043" spans="3:10" x14ac:dyDescent="0.2">
      <c r="C7043" s="209"/>
      <c r="D7043" s="209"/>
      <c r="E7043" s="209"/>
      <c r="J7043" s="124"/>
    </row>
    <row r="7044" spans="3:10" x14ac:dyDescent="0.2">
      <c r="C7044" s="209"/>
      <c r="D7044" s="209"/>
      <c r="E7044" s="209"/>
      <c r="J7044" s="124"/>
    </row>
    <row r="7045" spans="3:10" x14ac:dyDescent="0.2">
      <c r="C7045" s="209"/>
      <c r="D7045" s="209"/>
      <c r="E7045" s="209"/>
      <c r="J7045" s="124"/>
    </row>
    <row r="7046" spans="3:10" x14ac:dyDescent="0.2">
      <c r="C7046" s="209"/>
      <c r="D7046" s="209"/>
      <c r="E7046" s="209"/>
      <c r="J7046" s="124"/>
    </row>
    <row r="7047" spans="3:10" x14ac:dyDescent="0.2">
      <c r="C7047" s="209"/>
      <c r="D7047" s="209"/>
      <c r="E7047" s="209"/>
      <c r="J7047" s="124"/>
    </row>
    <row r="7048" spans="3:10" x14ac:dyDescent="0.2">
      <c r="C7048" s="209"/>
      <c r="D7048" s="209"/>
      <c r="E7048" s="209"/>
      <c r="J7048" s="124"/>
    </row>
    <row r="7049" spans="3:10" x14ac:dyDescent="0.2">
      <c r="C7049" s="209"/>
      <c r="D7049" s="209"/>
      <c r="E7049" s="209"/>
      <c r="J7049" s="124"/>
    </row>
    <row r="7050" spans="3:10" x14ac:dyDescent="0.2">
      <c r="C7050" s="209"/>
      <c r="D7050" s="209"/>
      <c r="E7050" s="209"/>
      <c r="J7050" s="124"/>
    </row>
    <row r="7051" spans="3:10" x14ac:dyDescent="0.2">
      <c r="C7051" s="209"/>
      <c r="D7051" s="209"/>
      <c r="E7051" s="209"/>
      <c r="J7051" s="124"/>
    </row>
    <row r="7052" spans="3:10" x14ac:dyDescent="0.2">
      <c r="C7052" s="209"/>
      <c r="D7052" s="209"/>
      <c r="E7052" s="209"/>
      <c r="J7052" s="124"/>
    </row>
    <row r="7053" spans="3:10" x14ac:dyDescent="0.2">
      <c r="C7053" s="209"/>
      <c r="D7053" s="209"/>
      <c r="E7053" s="209"/>
      <c r="J7053" s="124"/>
    </row>
    <row r="7054" spans="3:10" x14ac:dyDescent="0.2">
      <c r="C7054" s="209"/>
      <c r="D7054" s="209"/>
      <c r="E7054" s="209"/>
      <c r="J7054" s="124"/>
    </row>
    <row r="7055" spans="3:10" x14ac:dyDescent="0.2">
      <c r="C7055" s="209"/>
      <c r="D7055" s="209"/>
      <c r="E7055" s="209"/>
      <c r="J7055" s="124"/>
    </row>
    <row r="7056" spans="3:10" x14ac:dyDescent="0.2">
      <c r="C7056" s="209"/>
      <c r="D7056" s="209"/>
      <c r="E7056" s="209"/>
      <c r="J7056" s="124"/>
    </row>
    <row r="7057" spans="3:10" x14ac:dyDescent="0.2">
      <c r="C7057" s="209"/>
      <c r="D7057" s="209"/>
      <c r="E7057" s="209"/>
      <c r="J7057" s="124"/>
    </row>
    <row r="7058" spans="3:10" x14ac:dyDescent="0.2">
      <c r="C7058" s="209"/>
      <c r="D7058" s="209"/>
      <c r="E7058" s="209"/>
      <c r="J7058" s="124"/>
    </row>
    <row r="7059" spans="3:10" x14ac:dyDescent="0.2">
      <c r="C7059" s="209"/>
      <c r="D7059" s="209"/>
      <c r="E7059" s="209"/>
      <c r="J7059" s="124"/>
    </row>
    <row r="7060" spans="3:10" x14ac:dyDescent="0.2">
      <c r="C7060" s="209"/>
      <c r="D7060" s="209"/>
      <c r="E7060" s="209"/>
      <c r="J7060" s="124"/>
    </row>
    <row r="7061" spans="3:10" x14ac:dyDescent="0.2">
      <c r="C7061" s="209"/>
      <c r="D7061" s="209"/>
      <c r="E7061" s="209"/>
      <c r="J7061" s="124"/>
    </row>
    <row r="7062" spans="3:10" x14ac:dyDescent="0.2">
      <c r="C7062" s="209"/>
      <c r="D7062" s="209"/>
      <c r="E7062" s="209"/>
      <c r="J7062" s="124"/>
    </row>
    <row r="7063" spans="3:10" x14ac:dyDescent="0.2">
      <c r="C7063" s="209"/>
      <c r="D7063" s="209"/>
      <c r="E7063" s="209"/>
      <c r="J7063" s="124"/>
    </row>
    <row r="7064" spans="3:10" x14ac:dyDescent="0.2">
      <c r="C7064" s="209"/>
      <c r="D7064" s="209"/>
      <c r="E7064" s="209"/>
      <c r="J7064" s="124"/>
    </row>
    <row r="7065" spans="3:10" x14ac:dyDescent="0.2">
      <c r="C7065" s="209"/>
      <c r="D7065" s="209"/>
      <c r="E7065" s="209"/>
      <c r="J7065" s="124"/>
    </row>
    <row r="7066" spans="3:10" x14ac:dyDescent="0.2">
      <c r="C7066" s="209"/>
      <c r="D7066" s="209"/>
      <c r="E7066" s="209"/>
      <c r="J7066" s="124"/>
    </row>
    <row r="7067" spans="3:10" x14ac:dyDescent="0.2">
      <c r="C7067" s="209"/>
      <c r="D7067" s="209"/>
      <c r="E7067" s="209"/>
      <c r="J7067" s="124"/>
    </row>
    <row r="7068" spans="3:10" x14ac:dyDescent="0.2">
      <c r="C7068" s="209"/>
      <c r="D7068" s="209"/>
      <c r="E7068" s="209"/>
      <c r="J7068" s="124"/>
    </row>
    <row r="7069" spans="3:10" x14ac:dyDescent="0.2">
      <c r="C7069" s="209"/>
      <c r="D7069" s="209"/>
      <c r="E7069" s="209"/>
      <c r="J7069" s="124"/>
    </row>
    <row r="7070" spans="3:10" x14ac:dyDescent="0.2">
      <c r="C7070" s="209"/>
      <c r="D7070" s="209"/>
      <c r="E7070" s="209"/>
      <c r="J7070" s="124"/>
    </row>
    <row r="7071" spans="3:10" x14ac:dyDescent="0.2">
      <c r="C7071" s="209"/>
      <c r="D7071" s="209"/>
      <c r="E7071" s="209"/>
      <c r="J7071" s="124"/>
    </row>
    <row r="7072" spans="3:10" x14ac:dyDescent="0.2">
      <c r="C7072" s="209"/>
      <c r="D7072" s="209"/>
      <c r="E7072" s="209"/>
      <c r="J7072" s="124"/>
    </row>
    <row r="7073" spans="3:10" x14ac:dyDescent="0.2">
      <c r="C7073" s="209"/>
      <c r="D7073" s="209"/>
      <c r="E7073" s="209"/>
      <c r="J7073" s="124"/>
    </row>
    <row r="7074" spans="3:10" x14ac:dyDescent="0.2">
      <c r="C7074" s="209"/>
      <c r="D7074" s="209"/>
      <c r="E7074" s="209"/>
      <c r="J7074" s="124"/>
    </row>
    <row r="7075" spans="3:10" x14ac:dyDescent="0.2">
      <c r="C7075" s="209"/>
      <c r="D7075" s="209"/>
      <c r="E7075" s="209"/>
      <c r="J7075" s="124"/>
    </row>
    <row r="7076" spans="3:10" x14ac:dyDescent="0.2">
      <c r="C7076" s="209"/>
      <c r="D7076" s="209"/>
      <c r="E7076" s="209"/>
      <c r="J7076" s="124"/>
    </row>
    <row r="7077" spans="3:10" x14ac:dyDescent="0.2">
      <c r="C7077" s="209"/>
      <c r="D7077" s="209"/>
      <c r="E7077" s="209"/>
      <c r="J7077" s="124"/>
    </row>
    <row r="7078" spans="3:10" x14ac:dyDescent="0.2">
      <c r="C7078" s="209"/>
      <c r="D7078" s="209"/>
      <c r="E7078" s="209"/>
      <c r="J7078" s="124"/>
    </row>
    <row r="7079" spans="3:10" x14ac:dyDescent="0.2">
      <c r="C7079" s="209"/>
      <c r="D7079" s="209"/>
      <c r="E7079" s="209"/>
      <c r="J7079" s="124"/>
    </row>
    <row r="7080" spans="3:10" x14ac:dyDescent="0.2">
      <c r="C7080" s="209"/>
      <c r="D7080" s="209"/>
      <c r="E7080" s="209"/>
      <c r="J7080" s="124"/>
    </row>
    <row r="7081" spans="3:10" x14ac:dyDescent="0.2">
      <c r="C7081" s="209"/>
      <c r="D7081" s="209"/>
      <c r="E7081" s="209"/>
      <c r="J7081" s="124"/>
    </row>
    <row r="7082" spans="3:10" x14ac:dyDescent="0.2">
      <c r="C7082" s="209"/>
      <c r="D7082" s="209"/>
      <c r="E7082" s="209"/>
      <c r="J7082" s="124"/>
    </row>
    <row r="7083" spans="3:10" x14ac:dyDescent="0.2">
      <c r="C7083" s="209"/>
      <c r="D7083" s="209"/>
      <c r="E7083" s="209"/>
      <c r="J7083" s="124"/>
    </row>
    <row r="7084" spans="3:10" x14ac:dyDescent="0.2">
      <c r="C7084" s="209"/>
      <c r="D7084" s="209"/>
      <c r="E7084" s="209"/>
      <c r="J7084" s="124"/>
    </row>
    <row r="7085" spans="3:10" x14ac:dyDescent="0.2">
      <c r="C7085" s="209"/>
      <c r="D7085" s="209"/>
      <c r="E7085" s="209"/>
      <c r="J7085" s="124"/>
    </row>
    <row r="7086" spans="3:10" x14ac:dyDescent="0.2">
      <c r="C7086" s="209"/>
      <c r="D7086" s="209"/>
      <c r="E7086" s="209"/>
      <c r="J7086" s="124"/>
    </row>
    <row r="7087" spans="3:10" x14ac:dyDescent="0.2">
      <c r="C7087" s="209"/>
      <c r="D7087" s="209"/>
      <c r="E7087" s="209"/>
      <c r="J7087" s="124"/>
    </row>
    <row r="7088" spans="3:10" x14ac:dyDescent="0.2">
      <c r="C7088" s="209"/>
      <c r="D7088" s="209"/>
      <c r="E7088" s="209"/>
      <c r="J7088" s="124"/>
    </row>
    <row r="7089" spans="3:10" x14ac:dyDescent="0.2">
      <c r="C7089" s="209"/>
      <c r="D7089" s="209"/>
      <c r="E7089" s="209"/>
      <c r="J7089" s="124"/>
    </row>
    <row r="7090" spans="3:10" x14ac:dyDescent="0.2">
      <c r="C7090" s="209"/>
      <c r="D7090" s="209"/>
      <c r="E7090" s="209"/>
      <c r="J7090" s="124"/>
    </row>
    <row r="7091" spans="3:10" x14ac:dyDescent="0.2">
      <c r="C7091" s="209"/>
      <c r="D7091" s="209"/>
      <c r="E7091" s="209"/>
      <c r="J7091" s="124"/>
    </row>
    <row r="7092" spans="3:10" x14ac:dyDescent="0.2">
      <c r="C7092" s="209"/>
      <c r="D7092" s="209"/>
      <c r="E7092" s="209"/>
      <c r="J7092" s="124"/>
    </row>
    <row r="7093" spans="3:10" x14ac:dyDescent="0.2">
      <c r="C7093" s="209"/>
      <c r="D7093" s="209"/>
      <c r="E7093" s="209"/>
      <c r="J7093" s="124"/>
    </row>
    <row r="7094" spans="3:10" x14ac:dyDescent="0.2">
      <c r="C7094" s="209"/>
      <c r="D7094" s="209"/>
      <c r="E7094" s="209"/>
      <c r="J7094" s="124"/>
    </row>
    <row r="7095" spans="3:10" x14ac:dyDescent="0.2">
      <c r="C7095" s="209"/>
      <c r="D7095" s="209"/>
      <c r="E7095" s="209"/>
      <c r="J7095" s="124"/>
    </row>
    <row r="7096" spans="3:10" x14ac:dyDescent="0.2">
      <c r="C7096" s="209"/>
      <c r="D7096" s="209"/>
      <c r="E7096" s="209"/>
      <c r="J7096" s="124"/>
    </row>
    <row r="7097" spans="3:10" x14ac:dyDescent="0.2">
      <c r="C7097" s="209"/>
      <c r="D7097" s="209"/>
      <c r="E7097" s="209"/>
      <c r="J7097" s="124"/>
    </row>
    <row r="7098" spans="3:10" x14ac:dyDescent="0.2">
      <c r="C7098" s="209"/>
      <c r="D7098" s="209"/>
      <c r="E7098" s="209"/>
      <c r="J7098" s="124"/>
    </row>
    <row r="7099" spans="3:10" x14ac:dyDescent="0.2">
      <c r="C7099" s="209"/>
      <c r="D7099" s="209"/>
      <c r="E7099" s="209"/>
      <c r="J7099" s="124"/>
    </row>
    <row r="7100" spans="3:10" x14ac:dyDescent="0.2">
      <c r="C7100" s="209"/>
      <c r="D7100" s="209"/>
      <c r="E7100" s="209"/>
      <c r="J7100" s="124"/>
    </row>
    <row r="7101" spans="3:10" x14ac:dyDescent="0.2">
      <c r="C7101" s="209"/>
      <c r="D7101" s="209"/>
      <c r="E7101" s="209"/>
      <c r="J7101" s="124"/>
    </row>
    <row r="7102" spans="3:10" x14ac:dyDescent="0.2">
      <c r="C7102" s="209"/>
      <c r="D7102" s="209"/>
      <c r="E7102" s="209"/>
      <c r="J7102" s="124"/>
    </row>
    <row r="7103" spans="3:10" x14ac:dyDescent="0.2">
      <c r="C7103" s="209"/>
      <c r="D7103" s="209"/>
      <c r="E7103" s="209"/>
      <c r="J7103" s="124"/>
    </row>
    <row r="7104" spans="3:10" x14ac:dyDescent="0.2">
      <c r="C7104" s="209"/>
      <c r="D7104" s="209"/>
      <c r="E7104" s="209"/>
      <c r="J7104" s="124"/>
    </row>
    <row r="7105" spans="3:10" x14ac:dyDescent="0.2">
      <c r="C7105" s="209"/>
      <c r="D7105" s="209"/>
      <c r="E7105" s="209"/>
      <c r="J7105" s="124"/>
    </row>
    <row r="7106" spans="3:10" x14ac:dyDescent="0.2">
      <c r="C7106" s="209"/>
      <c r="D7106" s="209"/>
      <c r="E7106" s="209"/>
      <c r="J7106" s="124"/>
    </row>
    <row r="7107" spans="3:10" x14ac:dyDescent="0.2">
      <c r="C7107" s="209"/>
      <c r="D7107" s="209"/>
      <c r="E7107" s="209"/>
      <c r="J7107" s="124"/>
    </row>
    <row r="7108" spans="3:10" x14ac:dyDescent="0.2">
      <c r="C7108" s="209"/>
      <c r="D7108" s="209"/>
      <c r="E7108" s="209"/>
      <c r="J7108" s="124"/>
    </row>
    <row r="7109" spans="3:10" x14ac:dyDescent="0.2">
      <c r="C7109" s="209"/>
      <c r="D7109" s="209"/>
      <c r="E7109" s="209"/>
      <c r="J7109" s="124"/>
    </row>
    <row r="7110" spans="3:10" x14ac:dyDescent="0.2">
      <c r="C7110" s="209"/>
      <c r="D7110" s="209"/>
      <c r="E7110" s="209"/>
      <c r="J7110" s="124"/>
    </row>
    <row r="7111" spans="3:10" x14ac:dyDescent="0.2">
      <c r="C7111" s="209"/>
      <c r="D7111" s="209"/>
      <c r="E7111" s="209"/>
      <c r="J7111" s="124"/>
    </row>
    <row r="7112" spans="3:10" x14ac:dyDescent="0.2">
      <c r="C7112" s="209"/>
      <c r="D7112" s="209"/>
      <c r="E7112" s="209"/>
      <c r="J7112" s="124"/>
    </row>
    <row r="7113" spans="3:10" x14ac:dyDescent="0.2">
      <c r="C7113" s="209"/>
      <c r="D7113" s="209"/>
      <c r="E7113" s="209"/>
      <c r="J7113" s="124"/>
    </row>
    <row r="7114" spans="3:10" x14ac:dyDescent="0.2">
      <c r="C7114" s="209"/>
      <c r="D7114" s="209"/>
      <c r="E7114" s="209"/>
      <c r="J7114" s="124"/>
    </row>
    <row r="7115" spans="3:10" x14ac:dyDescent="0.2">
      <c r="C7115" s="209"/>
      <c r="D7115" s="209"/>
      <c r="E7115" s="209"/>
      <c r="J7115" s="124"/>
    </row>
    <row r="7116" spans="3:10" x14ac:dyDescent="0.2">
      <c r="C7116" s="209"/>
      <c r="D7116" s="209"/>
      <c r="E7116" s="209"/>
      <c r="J7116" s="124"/>
    </row>
    <row r="7117" spans="3:10" x14ac:dyDescent="0.2">
      <c r="C7117" s="209"/>
      <c r="D7117" s="209"/>
      <c r="E7117" s="209"/>
      <c r="J7117" s="124"/>
    </row>
    <row r="7118" spans="3:10" x14ac:dyDescent="0.2">
      <c r="C7118" s="209"/>
      <c r="D7118" s="209"/>
      <c r="E7118" s="209"/>
      <c r="J7118" s="124"/>
    </row>
    <row r="7119" spans="3:10" x14ac:dyDescent="0.2">
      <c r="C7119" s="209"/>
      <c r="D7119" s="209"/>
      <c r="E7119" s="209"/>
      <c r="J7119" s="124"/>
    </row>
    <row r="7120" spans="3:10" x14ac:dyDescent="0.2">
      <c r="C7120" s="209"/>
      <c r="D7120" s="209"/>
      <c r="E7120" s="209"/>
      <c r="J7120" s="124"/>
    </row>
    <row r="7121" spans="3:10" x14ac:dyDescent="0.2">
      <c r="C7121" s="209"/>
      <c r="D7121" s="209"/>
      <c r="E7121" s="209"/>
      <c r="J7121" s="124"/>
    </row>
    <row r="7122" spans="3:10" x14ac:dyDescent="0.2">
      <c r="C7122" s="209"/>
      <c r="D7122" s="209"/>
      <c r="E7122" s="209"/>
      <c r="J7122" s="124"/>
    </row>
    <row r="7123" spans="3:10" x14ac:dyDescent="0.2">
      <c r="C7123" s="209"/>
      <c r="D7123" s="209"/>
      <c r="E7123" s="209"/>
      <c r="J7123" s="124"/>
    </row>
    <row r="7124" spans="3:10" x14ac:dyDescent="0.2">
      <c r="C7124" s="209"/>
      <c r="D7124" s="209"/>
      <c r="E7124" s="209"/>
      <c r="J7124" s="124"/>
    </row>
    <row r="7125" spans="3:10" x14ac:dyDescent="0.2">
      <c r="C7125" s="209"/>
      <c r="D7125" s="209"/>
      <c r="E7125" s="209"/>
      <c r="J7125" s="124"/>
    </row>
    <row r="7126" spans="3:10" x14ac:dyDescent="0.2">
      <c r="C7126" s="209"/>
      <c r="D7126" s="209"/>
      <c r="E7126" s="209"/>
      <c r="J7126" s="124"/>
    </row>
    <row r="7127" spans="3:10" x14ac:dyDescent="0.2">
      <c r="C7127" s="209"/>
      <c r="D7127" s="209"/>
      <c r="E7127" s="209"/>
      <c r="J7127" s="124"/>
    </row>
    <row r="7128" spans="3:10" x14ac:dyDescent="0.2">
      <c r="C7128" s="209"/>
      <c r="D7128" s="209"/>
      <c r="E7128" s="209"/>
      <c r="J7128" s="124"/>
    </row>
    <row r="7129" spans="3:10" x14ac:dyDescent="0.2">
      <c r="C7129" s="209"/>
      <c r="D7129" s="209"/>
      <c r="E7129" s="209"/>
      <c r="J7129" s="124"/>
    </row>
    <row r="7130" spans="3:10" x14ac:dyDescent="0.2">
      <c r="C7130" s="209"/>
      <c r="D7130" s="209"/>
      <c r="E7130" s="209"/>
      <c r="J7130" s="124"/>
    </row>
    <row r="7131" spans="3:10" x14ac:dyDescent="0.2">
      <c r="C7131" s="209"/>
      <c r="D7131" s="209"/>
      <c r="E7131" s="209"/>
      <c r="J7131" s="124"/>
    </row>
    <row r="7132" spans="3:10" x14ac:dyDescent="0.2">
      <c r="C7132" s="209"/>
      <c r="D7132" s="209"/>
      <c r="E7132" s="209"/>
      <c r="J7132" s="124"/>
    </row>
    <row r="7133" spans="3:10" x14ac:dyDescent="0.2">
      <c r="C7133" s="209"/>
      <c r="D7133" s="209"/>
      <c r="E7133" s="209"/>
      <c r="J7133" s="124"/>
    </row>
    <row r="7134" spans="3:10" x14ac:dyDescent="0.2">
      <c r="C7134" s="209"/>
      <c r="D7134" s="209"/>
      <c r="E7134" s="209"/>
      <c r="J7134" s="124"/>
    </row>
    <row r="7135" spans="3:10" x14ac:dyDescent="0.2">
      <c r="C7135" s="209"/>
      <c r="D7135" s="209"/>
      <c r="E7135" s="209"/>
      <c r="J7135" s="124"/>
    </row>
    <row r="7136" spans="3:10" x14ac:dyDescent="0.2">
      <c r="C7136" s="209"/>
      <c r="D7136" s="209"/>
      <c r="E7136" s="209"/>
      <c r="J7136" s="124"/>
    </row>
    <row r="7137" spans="3:10" x14ac:dyDescent="0.2">
      <c r="C7137" s="209"/>
      <c r="D7137" s="209"/>
      <c r="E7137" s="209"/>
      <c r="J7137" s="124"/>
    </row>
    <row r="7138" spans="3:10" x14ac:dyDescent="0.2">
      <c r="C7138" s="209"/>
      <c r="D7138" s="209"/>
      <c r="E7138" s="209"/>
      <c r="J7138" s="124"/>
    </row>
    <row r="7139" spans="3:10" x14ac:dyDescent="0.2">
      <c r="C7139" s="209"/>
      <c r="D7139" s="209"/>
      <c r="E7139" s="209"/>
      <c r="J7139" s="124"/>
    </row>
    <row r="7140" spans="3:10" x14ac:dyDescent="0.2">
      <c r="C7140" s="209"/>
      <c r="D7140" s="209"/>
      <c r="E7140" s="209"/>
      <c r="J7140" s="124"/>
    </row>
    <row r="7141" spans="3:10" x14ac:dyDescent="0.2">
      <c r="C7141" s="209"/>
      <c r="D7141" s="209"/>
      <c r="E7141" s="209"/>
      <c r="J7141" s="124"/>
    </row>
    <row r="7142" spans="3:10" x14ac:dyDescent="0.2">
      <c r="C7142" s="209"/>
      <c r="D7142" s="209"/>
      <c r="E7142" s="209"/>
      <c r="J7142" s="124"/>
    </row>
    <row r="7143" spans="3:10" x14ac:dyDescent="0.2">
      <c r="C7143" s="209"/>
      <c r="D7143" s="209"/>
      <c r="E7143" s="209"/>
      <c r="J7143" s="124"/>
    </row>
    <row r="7144" spans="3:10" x14ac:dyDescent="0.2">
      <c r="C7144" s="209"/>
      <c r="D7144" s="209"/>
      <c r="E7144" s="209"/>
      <c r="J7144" s="124"/>
    </row>
    <row r="7145" spans="3:10" x14ac:dyDescent="0.2">
      <c r="C7145" s="209"/>
      <c r="D7145" s="209"/>
      <c r="E7145" s="209"/>
      <c r="J7145" s="124"/>
    </row>
    <row r="7146" spans="3:10" x14ac:dyDescent="0.2">
      <c r="C7146" s="209"/>
      <c r="D7146" s="209"/>
      <c r="E7146" s="209"/>
      <c r="J7146" s="124"/>
    </row>
    <row r="7147" spans="3:10" x14ac:dyDescent="0.2">
      <c r="C7147" s="209"/>
      <c r="D7147" s="209"/>
      <c r="E7147" s="209"/>
      <c r="J7147" s="124"/>
    </row>
    <row r="7148" spans="3:10" x14ac:dyDescent="0.2">
      <c r="C7148" s="209"/>
      <c r="D7148" s="209"/>
      <c r="E7148" s="209"/>
      <c r="J7148" s="124"/>
    </row>
    <row r="7149" spans="3:10" x14ac:dyDescent="0.2">
      <c r="C7149" s="209"/>
      <c r="D7149" s="209"/>
      <c r="E7149" s="209"/>
      <c r="J7149" s="124"/>
    </row>
    <row r="7150" spans="3:10" x14ac:dyDescent="0.2">
      <c r="C7150" s="209"/>
      <c r="D7150" s="209"/>
      <c r="E7150" s="209"/>
      <c r="J7150" s="124"/>
    </row>
    <row r="7151" spans="3:10" x14ac:dyDescent="0.2">
      <c r="C7151" s="209"/>
      <c r="D7151" s="209"/>
      <c r="E7151" s="209"/>
      <c r="J7151" s="124"/>
    </row>
    <row r="7152" spans="3:10" x14ac:dyDescent="0.2">
      <c r="C7152" s="209"/>
      <c r="D7152" s="209"/>
      <c r="E7152" s="209"/>
      <c r="J7152" s="124"/>
    </row>
    <row r="7153" spans="3:10" x14ac:dyDescent="0.2">
      <c r="C7153" s="209"/>
      <c r="D7153" s="209"/>
      <c r="E7153" s="209"/>
      <c r="J7153" s="124"/>
    </row>
    <row r="7154" spans="3:10" x14ac:dyDescent="0.2">
      <c r="C7154" s="209"/>
      <c r="D7154" s="209"/>
      <c r="E7154" s="209"/>
      <c r="J7154" s="124"/>
    </row>
    <row r="7155" spans="3:10" x14ac:dyDescent="0.2">
      <c r="C7155" s="209"/>
      <c r="D7155" s="209"/>
      <c r="E7155" s="209"/>
      <c r="J7155" s="124"/>
    </row>
    <row r="7156" spans="3:10" x14ac:dyDescent="0.2">
      <c r="C7156" s="209"/>
      <c r="D7156" s="209"/>
      <c r="E7156" s="209"/>
      <c r="J7156" s="124"/>
    </row>
    <row r="7157" spans="3:10" x14ac:dyDescent="0.2">
      <c r="C7157" s="209"/>
      <c r="D7157" s="209"/>
      <c r="E7157" s="209"/>
      <c r="J7157" s="124"/>
    </row>
    <row r="7158" spans="3:10" x14ac:dyDescent="0.2">
      <c r="C7158" s="209"/>
      <c r="D7158" s="209"/>
      <c r="E7158" s="209"/>
      <c r="J7158" s="124"/>
    </row>
    <row r="7159" spans="3:10" x14ac:dyDescent="0.2">
      <c r="C7159" s="209"/>
      <c r="D7159" s="209"/>
      <c r="E7159" s="209"/>
      <c r="J7159" s="124"/>
    </row>
    <row r="7160" spans="3:10" x14ac:dyDescent="0.2">
      <c r="C7160" s="209"/>
      <c r="D7160" s="209"/>
      <c r="E7160" s="209"/>
      <c r="J7160" s="124"/>
    </row>
    <row r="7161" spans="3:10" x14ac:dyDescent="0.2">
      <c r="C7161" s="209"/>
      <c r="D7161" s="209"/>
      <c r="E7161" s="209"/>
      <c r="J7161" s="124"/>
    </row>
    <row r="7162" spans="3:10" x14ac:dyDescent="0.2">
      <c r="C7162" s="209"/>
      <c r="D7162" s="209"/>
      <c r="E7162" s="209"/>
      <c r="J7162" s="124"/>
    </row>
    <row r="7163" spans="3:10" x14ac:dyDescent="0.2">
      <c r="C7163" s="209"/>
      <c r="D7163" s="209"/>
      <c r="E7163" s="209"/>
      <c r="J7163" s="124"/>
    </row>
    <row r="7164" spans="3:10" x14ac:dyDescent="0.2">
      <c r="C7164" s="209"/>
      <c r="D7164" s="209"/>
      <c r="E7164" s="209"/>
      <c r="J7164" s="124"/>
    </row>
    <row r="7165" spans="3:10" x14ac:dyDescent="0.2">
      <c r="C7165" s="209"/>
      <c r="D7165" s="209"/>
      <c r="E7165" s="209"/>
      <c r="J7165" s="124"/>
    </row>
    <row r="7166" spans="3:10" x14ac:dyDescent="0.2">
      <c r="C7166" s="209"/>
      <c r="D7166" s="209"/>
      <c r="E7166" s="209"/>
      <c r="J7166" s="124"/>
    </row>
    <row r="7167" spans="3:10" x14ac:dyDescent="0.2">
      <c r="C7167" s="209"/>
      <c r="D7167" s="209"/>
      <c r="E7167" s="209"/>
      <c r="J7167" s="124"/>
    </row>
    <row r="7168" spans="3:10" x14ac:dyDescent="0.2">
      <c r="C7168" s="209"/>
      <c r="D7168" s="209"/>
      <c r="E7168" s="209"/>
      <c r="J7168" s="124"/>
    </row>
    <row r="7169" spans="3:10" x14ac:dyDescent="0.2">
      <c r="C7169" s="209"/>
      <c r="D7169" s="209"/>
      <c r="E7169" s="209"/>
      <c r="J7169" s="124"/>
    </row>
    <row r="7170" spans="3:10" x14ac:dyDescent="0.2">
      <c r="C7170" s="209"/>
      <c r="D7170" s="209"/>
      <c r="E7170" s="209"/>
      <c r="J7170" s="124"/>
    </row>
    <row r="7171" spans="3:10" x14ac:dyDescent="0.2">
      <c r="C7171" s="209"/>
      <c r="D7171" s="209"/>
      <c r="E7171" s="209"/>
      <c r="J7171" s="124"/>
    </row>
    <row r="7172" spans="3:10" x14ac:dyDescent="0.2">
      <c r="C7172" s="209"/>
      <c r="D7172" s="209"/>
      <c r="E7172" s="209"/>
      <c r="J7172" s="124"/>
    </row>
    <row r="7173" spans="3:10" x14ac:dyDescent="0.2">
      <c r="C7173" s="209"/>
      <c r="D7173" s="209"/>
      <c r="E7173" s="209"/>
      <c r="J7173" s="124"/>
    </row>
    <row r="7174" spans="3:10" x14ac:dyDescent="0.2">
      <c r="C7174" s="209"/>
      <c r="D7174" s="209"/>
      <c r="E7174" s="209"/>
      <c r="J7174" s="124"/>
    </row>
    <row r="7175" spans="3:10" x14ac:dyDescent="0.2">
      <c r="C7175" s="209"/>
      <c r="D7175" s="209"/>
      <c r="E7175" s="209"/>
      <c r="J7175" s="124"/>
    </row>
    <row r="7176" spans="3:10" x14ac:dyDescent="0.2">
      <c r="C7176" s="209"/>
      <c r="D7176" s="209"/>
      <c r="E7176" s="209"/>
      <c r="J7176" s="124"/>
    </row>
    <row r="7177" spans="3:10" x14ac:dyDescent="0.2">
      <c r="C7177" s="209"/>
      <c r="D7177" s="209"/>
      <c r="E7177" s="209"/>
      <c r="J7177" s="124"/>
    </row>
    <row r="7178" spans="3:10" x14ac:dyDescent="0.2">
      <c r="C7178" s="209"/>
      <c r="D7178" s="209"/>
      <c r="E7178" s="209"/>
      <c r="J7178" s="124"/>
    </row>
    <row r="7179" spans="3:10" x14ac:dyDescent="0.2">
      <c r="C7179" s="209"/>
      <c r="D7179" s="209"/>
      <c r="E7179" s="209"/>
      <c r="J7179" s="124"/>
    </row>
    <row r="7180" spans="3:10" x14ac:dyDescent="0.2">
      <c r="C7180" s="209"/>
      <c r="D7180" s="209"/>
      <c r="E7180" s="209"/>
      <c r="J7180" s="124"/>
    </row>
    <row r="7181" spans="3:10" x14ac:dyDescent="0.2">
      <c r="C7181" s="209"/>
      <c r="D7181" s="209"/>
      <c r="E7181" s="209"/>
      <c r="J7181" s="124"/>
    </row>
    <row r="7182" spans="3:10" x14ac:dyDescent="0.2">
      <c r="C7182" s="209"/>
      <c r="D7182" s="209"/>
      <c r="E7182" s="209"/>
      <c r="J7182" s="124"/>
    </row>
    <row r="7183" spans="3:10" x14ac:dyDescent="0.2">
      <c r="C7183" s="209"/>
      <c r="D7183" s="209"/>
      <c r="E7183" s="209"/>
      <c r="J7183" s="124"/>
    </row>
    <row r="7184" spans="3:10" x14ac:dyDescent="0.2">
      <c r="C7184" s="209"/>
      <c r="D7184" s="209"/>
      <c r="E7184" s="209"/>
      <c r="J7184" s="124"/>
    </row>
    <row r="7185" spans="3:10" x14ac:dyDescent="0.2">
      <c r="C7185" s="209"/>
      <c r="D7185" s="209"/>
      <c r="E7185" s="209"/>
      <c r="J7185" s="124"/>
    </row>
    <row r="7186" spans="3:10" x14ac:dyDescent="0.2">
      <c r="C7186" s="209"/>
      <c r="D7186" s="209"/>
      <c r="E7186" s="209"/>
      <c r="J7186" s="124"/>
    </row>
    <row r="7187" spans="3:10" x14ac:dyDescent="0.2">
      <c r="C7187" s="209"/>
      <c r="D7187" s="209"/>
      <c r="E7187" s="209"/>
      <c r="J7187" s="124"/>
    </row>
    <row r="7188" spans="3:10" x14ac:dyDescent="0.2">
      <c r="C7188" s="209"/>
      <c r="D7188" s="209"/>
      <c r="E7188" s="209"/>
      <c r="J7188" s="124"/>
    </row>
    <row r="7189" spans="3:10" x14ac:dyDescent="0.2">
      <c r="C7189" s="209"/>
      <c r="D7189" s="209"/>
      <c r="E7189" s="209"/>
      <c r="J7189" s="124"/>
    </row>
    <row r="7190" spans="3:10" x14ac:dyDescent="0.2">
      <c r="C7190" s="209"/>
      <c r="D7190" s="209"/>
      <c r="E7190" s="209"/>
      <c r="J7190" s="124"/>
    </row>
    <row r="7191" spans="3:10" x14ac:dyDescent="0.2">
      <c r="C7191" s="209"/>
      <c r="D7191" s="209"/>
      <c r="E7191" s="209"/>
      <c r="J7191" s="124"/>
    </row>
    <row r="7192" spans="3:10" x14ac:dyDescent="0.2">
      <c r="C7192" s="209"/>
      <c r="D7192" s="209"/>
      <c r="E7192" s="209"/>
      <c r="J7192" s="124"/>
    </row>
    <row r="7193" spans="3:10" x14ac:dyDescent="0.2">
      <c r="C7193" s="209"/>
      <c r="D7193" s="209"/>
      <c r="E7193" s="209"/>
      <c r="J7193" s="124"/>
    </row>
    <row r="7194" spans="3:10" x14ac:dyDescent="0.2">
      <c r="C7194" s="209"/>
      <c r="D7194" s="209"/>
      <c r="E7194" s="209"/>
      <c r="J7194" s="124"/>
    </row>
    <row r="7195" spans="3:10" x14ac:dyDescent="0.2">
      <c r="C7195" s="209"/>
      <c r="D7195" s="209"/>
      <c r="E7195" s="209"/>
      <c r="J7195" s="124"/>
    </row>
    <row r="7196" spans="3:10" x14ac:dyDescent="0.2">
      <c r="C7196" s="209"/>
      <c r="D7196" s="209"/>
      <c r="E7196" s="209"/>
      <c r="J7196" s="124"/>
    </row>
    <row r="7197" spans="3:10" x14ac:dyDescent="0.2">
      <c r="C7197" s="209"/>
      <c r="D7197" s="209"/>
      <c r="E7197" s="209"/>
      <c r="J7197" s="124"/>
    </row>
    <row r="7198" spans="3:10" x14ac:dyDescent="0.2">
      <c r="C7198" s="209"/>
      <c r="D7198" s="209"/>
      <c r="E7198" s="209"/>
      <c r="J7198" s="124"/>
    </row>
    <row r="7199" spans="3:10" x14ac:dyDescent="0.2">
      <c r="C7199" s="209"/>
      <c r="D7199" s="209"/>
      <c r="E7199" s="209"/>
      <c r="J7199" s="124"/>
    </row>
    <row r="7200" spans="3:10" x14ac:dyDescent="0.2">
      <c r="C7200" s="209"/>
      <c r="D7200" s="209"/>
      <c r="E7200" s="209"/>
      <c r="J7200" s="124"/>
    </row>
    <row r="7201" spans="3:10" x14ac:dyDescent="0.2">
      <c r="C7201" s="209"/>
      <c r="D7201" s="209"/>
      <c r="E7201" s="209"/>
      <c r="J7201" s="124"/>
    </row>
    <row r="7202" spans="3:10" x14ac:dyDescent="0.2">
      <c r="C7202" s="209"/>
      <c r="D7202" s="209"/>
      <c r="E7202" s="209"/>
      <c r="J7202" s="124"/>
    </row>
    <row r="7203" spans="3:10" x14ac:dyDescent="0.2">
      <c r="C7203" s="209"/>
      <c r="D7203" s="209"/>
      <c r="E7203" s="209"/>
      <c r="J7203" s="124"/>
    </row>
    <row r="7204" spans="3:10" x14ac:dyDescent="0.2">
      <c r="C7204" s="209"/>
      <c r="D7204" s="209"/>
      <c r="E7204" s="209"/>
      <c r="J7204" s="124"/>
    </row>
    <row r="7205" spans="3:10" x14ac:dyDescent="0.2">
      <c r="C7205" s="209"/>
      <c r="D7205" s="209"/>
      <c r="E7205" s="209"/>
      <c r="J7205" s="124"/>
    </row>
    <row r="7206" spans="3:10" x14ac:dyDescent="0.2">
      <c r="C7206" s="209"/>
      <c r="D7206" s="209"/>
      <c r="E7206" s="209"/>
      <c r="J7206" s="124"/>
    </row>
    <row r="7207" spans="3:10" x14ac:dyDescent="0.2">
      <c r="C7207" s="209"/>
      <c r="D7207" s="209"/>
      <c r="E7207" s="209"/>
      <c r="J7207" s="124"/>
    </row>
    <row r="7208" spans="3:10" x14ac:dyDescent="0.2">
      <c r="C7208" s="209"/>
      <c r="D7208" s="209"/>
      <c r="E7208" s="209"/>
      <c r="J7208" s="124"/>
    </row>
    <row r="7209" spans="3:10" x14ac:dyDescent="0.2">
      <c r="C7209" s="209"/>
      <c r="D7209" s="209"/>
      <c r="E7209" s="209"/>
      <c r="J7209" s="124"/>
    </row>
    <row r="7210" spans="3:10" x14ac:dyDescent="0.2">
      <c r="C7210" s="209"/>
      <c r="D7210" s="209"/>
      <c r="E7210" s="209"/>
      <c r="J7210" s="124"/>
    </row>
    <row r="7211" spans="3:10" x14ac:dyDescent="0.2">
      <c r="C7211" s="209"/>
      <c r="D7211" s="209"/>
      <c r="E7211" s="209"/>
      <c r="J7211" s="124"/>
    </row>
    <row r="7212" spans="3:10" x14ac:dyDescent="0.2">
      <c r="C7212" s="209"/>
      <c r="D7212" s="209"/>
      <c r="E7212" s="209"/>
      <c r="J7212" s="124"/>
    </row>
    <row r="7213" spans="3:10" x14ac:dyDescent="0.2">
      <c r="C7213" s="209"/>
      <c r="D7213" s="209"/>
      <c r="E7213" s="209"/>
      <c r="J7213" s="124"/>
    </row>
    <row r="7214" spans="3:10" x14ac:dyDescent="0.2">
      <c r="C7214" s="209"/>
      <c r="D7214" s="209"/>
      <c r="E7214" s="209"/>
      <c r="J7214" s="124"/>
    </row>
    <row r="7215" spans="3:10" x14ac:dyDescent="0.2">
      <c r="C7215" s="209"/>
      <c r="D7215" s="209"/>
      <c r="E7215" s="209"/>
      <c r="J7215" s="124"/>
    </row>
    <row r="7216" spans="3:10" x14ac:dyDescent="0.2">
      <c r="C7216" s="209"/>
      <c r="D7216" s="209"/>
      <c r="E7216" s="209"/>
      <c r="J7216" s="124"/>
    </row>
    <row r="7217" spans="3:10" x14ac:dyDescent="0.2">
      <c r="C7217" s="209"/>
      <c r="D7217" s="209"/>
      <c r="E7217" s="209"/>
      <c r="J7217" s="124"/>
    </row>
    <row r="7218" spans="3:10" x14ac:dyDescent="0.2">
      <c r="C7218" s="209"/>
      <c r="D7218" s="209"/>
      <c r="E7218" s="209"/>
      <c r="J7218" s="124"/>
    </row>
    <row r="7219" spans="3:10" x14ac:dyDescent="0.2">
      <c r="C7219" s="209"/>
      <c r="D7219" s="209"/>
      <c r="E7219" s="209"/>
      <c r="J7219" s="124"/>
    </row>
    <row r="7220" spans="3:10" x14ac:dyDescent="0.2">
      <c r="C7220" s="209"/>
      <c r="D7220" s="209"/>
      <c r="E7220" s="209"/>
      <c r="J7220" s="124"/>
    </row>
    <row r="7221" spans="3:10" x14ac:dyDescent="0.2">
      <c r="C7221" s="209"/>
      <c r="D7221" s="209"/>
      <c r="E7221" s="209"/>
      <c r="J7221" s="124"/>
    </row>
    <row r="7222" spans="3:10" x14ac:dyDescent="0.2">
      <c r="C7222" s="209"/>
      <c r="D7222" s="209"/>
      <c r="E7222" s="209"/>
      <c r="J7222" s="124"/>
    </row>
    <row r="7223" spans="3:10" x14ac:dyDescent="0.2">
      <c r="C7223" s="209"/>
      <c r="D7223" s="209"/>
      <c r="E7223" s="209"/>
      <c r="J7223" s="124"/>
    </row>
    <row r="7224" spans="3:10" x14ac:dyDescent="0.2">
      <c r="C7224" s="209"/>
      <c r="D7224" s="209"/>
      <c r="E7224" s="209"/>
      <c r="J7224" s="124"/>
    </row>
    <row r="7225" spans="3:10" x14ac:dyDescent="0.2">
      <c r="C7225" s="209"/>
      <c r="D7225" s="209"/>
      <c r="E7225" s="209"/>
      <c r="J7225" s="124"/>
    </row>
    <row r="7226" spans="3:10" x14ac:dyDescent="0.2">
      <c r="C7226" s="209"/>
      <c r="D7226" s="209"/>
      <c r="E7226" s="209"/>
      <c r="J7226" s="124"/>
    </row>
    <row r="7227" spans="3:10" x14ac:dyDescent="0.2">
      <c r="C7227" s="209"/>
      <c r="D7227" s="209"/>
      <c r="E7227" s="209"/>
      <c r="J7227" s="124"/>
    </row>
    <row r="7228" spans="3:10" x14ac:dyDescent="0.2">
      <c r="C7228" s="209"/>
      <c r="D7228" s="209"/>
      <c r="E7228" s="209"/>
      <c r="J7228" s="124"/>
    </row>
    <row r="7229" spans="3:10" x14ac:dyDescent="0.2">
      <c r="C7229" s="209"/>
      <c r="D7229" s="209"/>
      <c r="E7229" s="209"/>
      <c r="J7229" s="124"/>
    </row>
    <row r="7230" spans="3:10" x14ac:dyDescent="0.2">
      <c r="C7230" s="209"/>
      <c r="D7230" s="209"/>
      <c r="E7230" s="209"/>
      <c r="J7230" s="124"/>
    </row>
    <row r="7231" spans="3:10" x14ac:dyDescent="0.2">
      <c r="C7231" s="209"/>
      <c r="D7231" s="209"/>
      <c r="E7231" s="209"/>
      <c r="J7231" s="124"/>
    </row>
    <row r="7232" spans="3:10" x14ac:dyDescent="0.2">
      <c r="C7232" s="209"/>
      <c r="D7232" s="209"/>
      <c r="E7232" s="209"/>
      <c r="J7232" s="124"/>
    </row>
    <row r="7233" spans="3:10" x14ac:dyDescent="0.2">
      <c r="C7233" s="209"/>
      <c r="D7233" s="209"/>
      <c r="E7233" s="209"/>
      <c r="J7233" s="124"/>
    </row>
    <row r="7234" spans="3:10" x14ac:dyDescent="0.2">
      <c r="C7234" s="209"/>
      <c r="D7234" s="209"/>
      <c r="E7234" s="209"/>
      <c r="J7234" s="124"/>
    </row>
    <row r="7235" spans="3:10" x14ac:dyDescent="0.2">
      <c r="C7235" s="209"/>
      <c r="D7235" s="209"/>
      <c r="E7235" s="209"/>
      <c r="J7235" s="124"/>
    </row>
    <row r="7236" spans="3:10" x14ac:dyDescent="0.2">
      <c r="C7236" s="209"/>
      <c r="D7236" s="209"/>
      <c r="E7236" s="209"/>
      <c r="J7236" s="124"/>
    </row>
    <row r="7237" spans="3:10" x14ac:dyDescent="0.2">
      <c r="C7237" s="209"/>
      <c r="D7237" s="209"/>
      <c r="E7237" s="209"/>
      <c r="J7237" s="124"/>
    </row>
    <row r="7238" spans="3:10" x14ac:dyDescent="0.2">
      <c r="C7238" s="209"/>
      <c r="D7238" s="209"/>
      <c r="E7238" s="209"/>
      <c r="J7238" s="124"/>
    </row>
    <row r="7239" spans="3:10" x14ac:dyDescent="0.2">
      <c r="C7239" s="209"/>
      <c r="D7239" s="209"/>
      <c r="E7239" s="209"/>
      <c r="J7239" s="124"/>
    </row>
    <row r="7240" spans="3:10" x14ac:dyDescent="0.2">
      <c r="C7240" s="209"/>
      <c r="D7240" s="209"/>
      <c r="E7240" s="209"/>
      <c r="J7240" s="124"/>
    </row>
    <row r="7241" spans="3:10" x14ac:dyDescent="0.2">
      <c r="C7241" s="209"/>
      <c r="D7241" s="209"/>
      <c r="E7241" s="209"/>
      <c r="J7241" s="124"/>
    </row>
    <row r="7242" spans="3:10" x14ac:dyDescent="0.2">
      <c r="C7242" s="209"/>
      <c r="D7242" s="209"/>
      <c r="E7242" s="209"/>
      <c r="J7242" s="124"/>
    </row>
    <row r="7243" spans="3:10" x14ac:dyDescent="0.2">
      <c r="C7243" s="209"/>
      <c r="D7243" s="209"/>
      <c r="E7243" s="209"/>
      <c r="J7243" s="124"/>
    </row>
    <row r="7244" spans="3:10" x14ac:dyDescent="0.2">
      <c r="C7244" s="209"/>
      <c r="D7244" s="209"/>
      <c r="E7244" s="209"/>
      <c r="J7244" s="124"/>
    </row>
    <row r="7245" spans="3:10" x14ac:dyDescent="0.2">
      <c r="C7245" s="209"/>
      <c r="D7245" s="209"/>
      <c r="E7245" s="209"/>
      <c r="J7245" s="124"/>
    </row>
    <row r="7246" spans="3:10" x14ac:dyDescent="0.2">
      <c r="C7246" s="209"/>
      <c r="D7246" s="209"/>
      <c r="E7246" s="209"/>
      <c r="J7246" s="124"/>
    </row>
    <row r="7247" spans="3:10" x14ac:dyDescent="0.2">
      <c r="C7247" s="209"/>
      <c r="D7247" s="209"/>
      <c r="E7247" s="209"/>
      <c r="J7247" s="124"/>
    </row>
    <row r="7248" spans="3:10" x14ac:dyDescent="0.2">
      <c r="C7248" s="209"/>
      <c r="D7248" s="209"/>
      <c r="E7248" s="209"/>
      <c r="J7248" s="124"/>
    </row>
    <row r="7249" spans="3:10" x14ac:dyDescent="0.2">
      <c r="C7249" s="209"/>
      <c r="D7249" s="209"/>
      <c r="E7249" s="209"/>
      <c r="J7249" s="124"/>
    </row>
    <row r="7250" spans="3:10" x14ac:dyDescent="0.2">
      <c r="C7250" s="209"/>
      <c r="D7250" s="209"/>
      <c r="E7250" s="209"/>
      <c r="J7250" s="124"/>
    </row>
    <row r="7251" spans="3:10" x14ac:dyDescent="0.2">
      <c r="C7251" s="209"/>
      <c r="D7251" s="209"/>
      <c r="E7251" s="209"/>
      <c r="J7251" s="124"/>
    </row>
    <row r="7252" spans="3:10" x14ac:dyDescent="0.2">
      <c r="C7252" s="209"/>
      <c r="D7252" s="209"/>
      <c r="E7252" s="209"/>
      <c r="J7252" s="124"/>
    </row>
    <row r="7253" spans="3:10" x14ac:dyDescent="0.2">
      <c r="C7253" s="209"/>
      <c r="D7253" s="209"/>
      <c r="E7253" s="209"/>
      <c r="J7253" s="124"/>
    </row>
    <row r="7254" spans="3:10" x14ac:dyDescent="0.2">
      <c r="C7254" s="209"/>
      <c r="D7254" s="209"/>
      <c r="E7254" s="209"/>
      <c r="J7254" s="124"/>
    </row>
    <row r="7255" spans="3:10" x14ac:dyDescent="0.2">
      <c r="C7255" s="209"/>
      <c r="D7255" s="209"/>
      <c r="E7255" s="209"/>
      <c r="J7255" s="124"/>
    </row>
    <row r="7256" spans="3:10" x14ac:dyDescent="0.2">
      <c r="C7256" s="209"/>
      <c r="D7256" s="209"/>
      <c r="E7256" s="209"/>
      <c r="J7256" s="124"/>
    </row>
    <row r="7257" spans="3:10" x14ac:dyDescent="0.2">
      <c r="C7257" s="209"/>
      <c r="D7257" s="209"/>
      <c r="E7257" s="209"/>
      <c r="J7257" s="124"/>
    </row>
    <row r="7258" spans="3:10" x14ac:dyDescent="0.2">
      <c r="C7258" s="209"/>
      <c r="D7258" s="209"/>
      <c r="E7258" s="209"/>
      <c r="J7258" s="124"/>
    </row>
    <row r="7259" spans="3:10" x14ac:dyDescent="0.2">
      <c r="C7259" s="209"/>
      <c r="D7259" s="209"/>
      <c r="E7259" s="209"/>
      <c r="J7259" s="124"/>
    </row>
    <row r="7260" spans="3:10" x14ac:dyDescent="0.2">
      <c r="C7260" s="209"/>
      <c r="D7260" s="209"/>
      <c r="E7260" s="209"/>
      <c r="J7260" s="124"/>
    </row>
    <row r="7261" spans="3:10" x14ac:dyDescent="0.2">
      <c r="C7261" s="209"/>
      <c r="D7261" s="209"/>
      <c r="E7261" s="209"/>
      <c r="J7261" s="124"/>
    </row>
    <row r="7262" spans="3:10" x14ac:dyDescent="0.2">
      <c r="C7262" s="209"/>
      <c r="D7262" s="209"/>
      <c r="E7262" s="209"/>
      <c r="J7262" s="124"/>
    </row>
    <row r="7263" spans="3:10" x14ac:dyDescent="0.2">
      <c r="C7263" s="209"/>
      <c r="D7263" s="209"/>
      <c r="E7263" s="209"/>
      <c r="J7263" s="124"/>
    </row>
    <row r="7264" spans="3:10" x14ac:dyDescent="0.2">
      <c r="C7264" s="209"/>
      <c r="D7264" s="209"/>
      <c r="E7264" s="209"/>
      <c r="J7264" s="124"/>
    </row>
    <row r="7265" spans="3:10" x14ac:dyDescent="0.2">
      <c r="C7265" s="209"/>
      <c r="D7265" s="209"/>
      <c r="E7265" s="209"/>
      <c r="J7265" s="124"/>
    </row>
    <row r="7266" spans="3:10" x14ac:dyDescent="0.2">
      <c r="C7266" s="209"/>
      <c r="D7266" s="209"/>
      <c r="E7266" s="209"/>
      <c r="J7266" s="124"/>
    </row>
    <row r="7267" spans="3:10" x14ac:dyDescent="0.2">
      <c r="C7267" s="209"/>
      <c r="D7267" s="209"/>
      <c r="E7267" s="209"/>
      <c r="J7267" s="124"/>
    </row>
    <row r="7268" spans="3:10" x14ac:dyDescent="0.2">
      <c r="C7268" s="209"/>
      <c r="D7268" s="209"/>
      <c r="E7268" s="209"/>
      <c r="J7268" s="124"/>
    </row>
    <row r="7269" spans="3:10" x14ac:dyDescent="0.2">
      <c r="C7269" s="209"/>
      <c r="D7269" s="209"/>
      <c r="E7269" s="209"/>
      <c r="J7269" s="124"/>
    </row>
    <row r="7270" spans="3:10" x14ac:dyDescent="0.2">
      <c r="C7270" s="209"/>
      <c r="D7270" s="209"/>
      <c r="E7270" s="209"/>
      <c r="J7270" s="124"/>
    </row>
    <row r="7271" spans="3:10" x14ac:dyDescent="0.2">
      <c r="C7271" s="209"/>
      <c r="D7271" s="209"/>
      <c r="E7271" s="209"/>
      <c r="J7271" s="124"/>
    </row>
    <row r="7272" spans="3:10" x14ac:dyDescent="0.2">
      <c r="C7272" s="209"/>
      <c r="D7272" s="209"/>
      <c r="E7272" s="209"/>
      <c r="J7272" s="124"/>
    </row>
    <row r="7273" spans="3:10" x14ac:dyDescent="0.2">
      <c r="C7273" s="209"/>
      <c r="D7273" s="209"/>
      <c r="E7273" s="209"/>
      <c r="J7273" s="124"/>
    </row>
    <row r="7274" spans="3:10" x14ac:dyDescent="0.2">
      <c r="C7274" s="209"/>
      <c r="D7274" s="209"/>
      <c r="E7274" s="209"/>
      <c r="J7274" s="124"/>
    </row>
    <row r="7275" spans="3:10" x14ac:dyDescent="0.2">
      <c r="C7275" s="209"/>
      <c r="D7275" s="209"/>
      <c r="E7275" s="209"/>
      <c r="J7275" s="124"/>
    </row>
    <row r="7276" spans="3:10" x14ac:dyDescent="0.2">
      <c r="C7276" s="209"/>
      <c r="D7276" s="209"/>
      <c r="E7276" s="209"/>
      <c r="J7276" s="124"/>
    </row>
    <row r="7277" spans="3:10" x14ac:dyDescent="0.2">
      <c r="C7277" s="209"/>
      <c r="D7277" s="209"/>
      <c r="E7277" s="209"/>
      <c r="J7277" s="124"/>
    </row>
    <row r="7278" spans="3:10" x14ac:dyDescent="0.2">
      <c r="C7278" s="209"/>
      <c r="D7278" s="209"/>
      <c r="E7278" s="209"/>
      <c r="J7278" s="124"/>
    </row>
    <row r="7279" spans="3:10" x14ac:dyDescent="0.2">
      <c r="C7279" s="209"/>
      <c r="D7279" s="209"/>
      <c r="E7279" s="209"/>
      <c r="J7279" s="124"/>
    </row>
    <row r="7280" spans="3:10" x14ac:dyDescent="0.2">
      <c r="C7280" s="209"/>
      <c r="D7280" s="209"/>
      <c r="E7280" s="209"/>
      <c r="J7280" s="124"/>
    </row>
    <row r="7281" spans="3:10" x14ac:dyDescent="0.2">
      <c r="C7281" s="209"/>
      <c r="D7281" s="209"/>
      <c r="E7281" s="209"/>
      <c r="J7281" s="124"/>
    </row>
    <row r="7282" spans="3:10" x14ac:dyDescent="0.2">
      <c r="C7282" s="209"/>
      <c r="D7282" s="209"/>
      <c r="E7282" s="209"/>
      <c r="J7282" s="124"/>
    </row>
    <row r="7283" spans="3:10" x14ac:dyDescent="0.2">
      <c r="C7283" s="209"/>
      <c r="D7283" s="209"/>
      <c r="E7283" s="209"/>
      <c r="J7283" s="124"/>
    </row>
    <row r="7284" spans="3:10" x14ac:dyDescent="0.2">
      <c r="C7284" s="209"/>
      <c r="D7284" s="209"/>
      <c r="E7284" s="209"/>
      <c r="J7284" s="124"/>
    </row>
    <row r="7285" spans="3:10" x14ac:dyDescent="0.2">
      <c r="C7285" s="209"/>
      <c r="D7285" s="209"/>
      <c r="E7285" s="209"/>
      <c r="J7285" s="124"/>
    </row>
    <row r="7286" spans="3:10" x14ac:dyDescent="0.2">
      <c r="C7286" s="209"/>
      <c r="D7286" s="209"/>
      <c r="E7286" s="209"/>
      <c r="J7286" s="124"/>
    </row>
    <row r="7287" spans="3:10" x14ac:dyDescent="0.2">
      <c r="C7287" s="209"/>
      <c r="D7287" s="209"/>
      <c r="E7287" s="209"/>
      <c r="J7287" s="124"/>
    </row>
    <row r="7288" spans="3:10" x14ac:dyDescent="0.2">
      <c r="C7288" s="209"/>
      <c r="D7288" s="209"/>
      <c r="E7288" s="209"/>
      <c r="J7288" s="124"/>
    </row>
    <row r="7289" spans="3:10" x14ac:dyDescent="0.2">
      <c r="C7289" s="209"/>
      <c r="D7289" s="209"/>
      <c r="E7289" s="209"/>
      <c r="J7289" s="124"/>
    </row>
    <row r="7290" spans="3:10" x14ac:dyDescent="0.2">
      <c r="C7290" s="209"/>
      <c r="D7290" s="209"/>
      <c r="E7290" s="209"/>
      <c r="J7290" s="124"/>
    </row>
    <row r="7291" spans="3:10" x14ac:dyDescent="0.2">
      <c r="C7291" s="209"/>
      <c r="D7291" s="209"/>
      <c r="E7291" s="209"/>
      <c r="J7291" s="124"/>
    </row>
    <row r="7292" spans="3:10" x14ac:dyDescent="0.2">
      <c r="C7292" s="209"/>
      <c r="D7292" s="209"/>
      <c r="E7292" s="209"/>
      <c r="J7292" s="124"/>
    </row>
    <row r="7293" spans="3:10" x14ac:dyDescent="0.2">
      <c r="C7293" s="209"/>
      <c r="D7293" s="209"/>
      <c r="E7293" s="209"/>
      <c r="J7293" s="124"/>
    </row>
    <row r="7294" spans="3:10" x14ac:dyDescent="0.2">
      <c r="C7294" s="209"/>
      <c r="D7294" s="209"/>
      <c r="E7294" s="209"/>
      <c r="J7294" s="124"/>
    </row>
    <row r="7295" spans="3:10" x14ac:dyDescent="0.2">
      <c r="C7295" s="209"/>
      <c r="D7295" s="209"/>
      <c r="E7295" s="209"/>
      <c r="J7295" s="124"/>
    </row>
    <row r="7296" spans="3:10" x14ac:dyDescent="0.2">
      <c r="C7296" s="209"/>
      <c r="D7296" s="209"/>
      <c r="E7296" s="209"/>
      <c r="J7296" s="124"/>
    </row>
    <row r="7297" spans="3:10" x14ac:dyDescent="0.2">
      <c r="C7297" s="209"/>
      <c r="D7297" s="209"/>
      <c r="E7297" s="209"/>
      <c r="J7297" s="124"/>
    </row>
    <row r="7298" spans="3:10" x14ac:dyDescent="0.2">
      <c r="C7298" s="209"/>
      <c r="D7298" s="209"/>
      <c r="E7298" s="209"/>
      <c r="J7298" s="124"/>
    </row>
    <row r="7299" spans="3:10" x14ac:dyDescent="0.2">
      <c r="C7299" s="209"/>
      <c r="D7299" s="209"/>
      <c r="E7299" s="209"/>
      <c r="J7299" s="124"/>
    </row>
    <row r="7300" spans="3:10" x14ac:dyDescent="0.2">
      <c r="C7300" s="209"/>
      <c r="D7300" s="209"/>
      <c r="E7300" s="209"/>
      <c r="J7300" s="124"/>
    </row>
    <row r="7301" spans="3:10" x14ac:dyDescent="0.2">
      <c r="C7301" s="209"/>
      <c r="D7301" s="209"/>
      <c r="E7301" s="209"/>
      <c r="J7301" s="124"/>
    </row>
    <row r="7302" spans="3:10" x14ac:dyDescent="0.2">
      <c r="C7302" s="209"/>
      <c r="D7302" s="209"/>
      <c r="E7302" s="209"/>
      <c r="J7302" s="124"/>
    </row>
    <row r="7303" spans="3:10" x14ac:dyDescent="0.2">
      <c r="C7303" s="209"/>
      <c r="D7303" s="209"/>
      <c r="E7303" s="209"/>
      <c r="J7303" s="124"/>
    </row>
    <row r="7304" spans="3:10" x14ac:dyDescent="0.2">
      <c r="C7304" s="209"/>
      <c r="D7304" s="209"/>
      <c r="E7304" s="209"/>
      <c r="J7304" s="124"/>
    </row>
    <row r="7305" spans="3:10" x14ac:dyDescent="0.2">
      <c r="C7305" s="209"/>
      <c r="D7305" s="209"/>
      <c r="E7305" s="209"/>
      <c r="J7305" s="124"/>
    </row>
    <row r="7306" spans="3:10" x14ac:dyDescent="0.2">
      <c r="C7306" s="209"/>
      <c r="D7306" s="209"/>
      <c r="E7306" s="209"/>
      <c r="J7306" s="124"/>
    </row>
    <row r="7307" spans="3:10" x14ac:dyDescent="0.2">
      <c r="C7307" s="209"/>
      <c r="D7307" s="209"/>
      <c r="E7307" s="209"/>
      <c r="J7307" s="124"/>
    </row>
    <row r="7308" spans="3:10" x14ac:dyDescent="0.2">
      <c r="C7308" s="209"/>
      <c r="D7308" s="209"/>
      <c r="E7308" s="209"/>
      <c r="J7308" s="124"/>
    </row>
    <row r="7309" spans="3:10" x14ac:dyDescent="0.2">
      <c r="C7309" s="209"/>
      <c r="D7309" s="209"/>
      <c r="E7309" s="209"/>
      <c r="J7309" s="124"/>
    </row>
    <row r="7310" spans="3:10" x14ac:dyDescent="0.2">
      <c r="C7310" s="209"/>
      <c r="D7310" s="209"/>
      <c r="E7310" s="209"/>
      <c r="J7310" s="124"/>
    </row>
    <row r="7311" spans="3:10" x14ac:dyDescent="0.2">
      <c r="C7311" s="209"/>
      <c r="D7311" s="209"/>
      <c r="E7311" s="209"/>
      <c r="J7311" s="124"/>
    </row>
    <row r="7312" spans="3:10" x14ac:dyDescent="0.2">
      <c r="C7312" s="209"/>
      <c r="D7312" s="209"/>
      <c r="E7312" s="209"/>
      <c r="J7312" s="124"/>
    </row>
    <row r="7313" spans="3:10" x14ac:dyDescent="0.2">
      <c r="C7313" s="209"/>
      <c r="D7313" s="209"/>
      <c r="E7313" s="209"/>
      <c r="J7313" s="124"/>
    </row>
    <row r="7314" spans="3:10" x14ac:dyDescent="0.2">
      <c r="C7314" s="209"/>
      <c r="D7314" s="209"/>
      <c r="E7314" s="209"/>
      <c r="J7314" s="124"/>
    </row>
    <row r="7315" spans="3:10" x14ac:dyDescent="0.2">
      <c r="C7315" s="209"/>
      <c r="D7315" s="209"/>
      <c r="E7315" s="209"/>
      <c r="J7315" s="124"/>
    </row>
    <row r="7316" spans="3:10" x14ac:dyDescent="0.2">
      <c r="C7316" s="209"/>
      <c r="D7316" s="209"/>
      <c r="E7316" s="209"/>
      <c r="J7316" s="124"/>
    </row>
    <row r="7317" spans="3:10" x14ac:dyDescent="0.2">
      <c r="C7317" s="209"/>
      <c r="D7317" s="209"/>
      <c r="E7317" s="209"/>
      <c r="J7317" s="124"/>
    </row>
    <row r="7318" spans="3:10" x14ac:dyDescent="0.2">
      <c r="C7318" s="209"/>
      <c r="D7318" s="209"/>
      <c r="E7318" s="209"/>
      <c r="J7318" s="124"/>
    </row>
    <row r="7319" spans="3:10" x14ac:dyDescent="0.2">
      <c r="C7319" s="209"/>
      <c r="D7319" s="209"/>
      <c r="E7319" s="209"/>
      <c r="J7319" s="124"/>
    </row>
    <row r="7320" spans="3:10" x14ac:dyDescent="0.2">
      <c r="C7320" s="209"/>
      <c r="D7320" s="209"/>
      <c r="E7320" s="209"/>
      <c r="J7320" s="124"/>
    </row>
    <row r="7321" spans="3:10" x14ac:dyDescent="0.2">
      <c r="C7321" s="209"/>
      <c r="D7321" s="209"/>
      <c r="E7321" s="209"/>
      <c r="J7321" s="124"/>
    </row>
    <row r="7322" spans="3:10" x14ac:dyDescent="0.2">
      <c r="C7322" s="209"/>
      <c r="D7322" s="209"/>
      <c r="E7322" s="209"/>
      <c r="J7322" s="124"/>
    </row>
    <row r="7323" spans="3:10" x14ac:dyDescent="0.2">
      <c r="C7323" s="209"/>
      <c r="D7323" s="209"/>
      <c r="E7323" s="209"/>
      <c r="J7323" s="124"/>
    </row>
    <row r="7324" spans="3:10" x14ac:dyDescent="0.2">
      <c r="C7324" s="209"/>
      <c r="D7324" s="209"/>
      <c r="E7324" s="209"/>
      <c r="J7324" s="124"/>
    </row>
    <row r="7325" spans="3:10" x14ac:dyDescent="0.2">
      <c r="C7325" s="209"/>
      <c r="D7325" s="209"/>
      <c r="E7325" s="209"/>
      <c r="J7325" s="124"/>
    </row>
    <row r="7326" spans="3:10" x14ac:dyDescent="0.2">
      <c r="C7326" s="209"/>
      <c r="D7326" s="209"/>
      <c r="E7326" s="209"/>
      <c r="J7326" s="124"/>
    </row>
    <row r="7327" spans="3:10" x14ac:dyDescent="0.2">
      <c r="C7327" s="209"/>
      <c r="D7327" s="209"/>
      <c r="E7327" s="209"/>
      <c r="J7327" s="124"/>
    </row>
    <row r="7328" spans="3:10" x14ac:dyDescent="0.2">
      <c r="C7328" s="209"/>
      <c r="D7328" s="209"/>
      <c r="E7328" s="209"/>
      <c r="J7328" s="124"/>
    </row>
    <row r="7329" spans="3:10" x14ac:dyDescent="0.2">
      <c r="C7329" s="209"/>
      <c r="D7329" s="209"/>
      <c r="E7329" s="209"/>
      <c r="J7329" s="124"/>
    </row>
    <row r="7330" spans="3:10" x14ac:dyDescent="0.2">
      <c r="C7330" s="209"/>
      <c r="D7330" s="209"/>
      <c r="E7330" s="209"/>
      <c r="J7330" s="124"/>
    </row>
    <row r="7331" spans="3:10" x14ac:dyDescent="0.2">
      <c r="C7331" s="209"/>
      <c r="D7331" s="209"/>
      <c r="E7331" s="209"/>
      <c r="J7331" s="124"/>
    </row>
    <row r="7332" spans="3:10" x14ac:dyDescent="0.2">
      <c r="C7332" s="209"/>
      <c r="D7332" s="209"/>
      <c r="E7332" s="209"/>
      <c r="J7332" s="124"/>
    </row>
    <row r="7333" spans="3:10" x14ac:dyDescent="0.2">
      <c r="C7333" s="209"/>
      <c r="D7333" s="209"/>
      <c r="E7333" s="209"/>
      <c r="J7333" s="124"/>
    </row>
    <row r="7334" spans="3:10" x14ac:dyDescent="0.2">
      <c r="C7334" s="209"/>
      <c r="D7334" s="209"/>
      <c r="E7334" s="209"/>
      <c r="J7334" s="124"/>
    </row>
    <row r="7335" spans="3:10" x14ac:dyDescent="0.2">
      <c r="C7335" s="209"/>
      <c r="D7335" s="209"/>
      <c r="E7335" s="209"/>
      <c r="J7335" s="124"/>
    </row>
    <row r="7336" spans="3:10" x14ac:dyDescent="0.2">
      <c r="C7336" s="209"/>
      <c r="D7336" s="209"/>
      <c r="E7336" s="209"/>
      <c r="J7336" s="124"/>
    </row>
    <row r="7337" spans="3:10" x14ac:dyDescent="0.2">
      <c r="C7337" s="209"/>
      <c r="D7337" s="209"/>
      <c r="E7337" s="209"/>
      <c r="J7337" s="124"/>
    </row>
    <row r="7338" spans="3:10" x14ac:dyDescent="0.2">
      <c r="C7338" s="209"/>
      <c r="D7338" s="209"/>
      <c r="E7338" s="209"/>
      <c r="J7338" s="124"/>
    </row>
    <row r="7339" spans="3:10" x14ac:dyDescent="0.2">
      <c r="C7339" s="209"/>
      <c r="D7339" s="209"/>
      <c r="E7339" s="209"/>
      <c r="J7339" s="124"/>
    </row>
    <row r="7340" spans="3:10" x14ac:dyDescent="0.2">
      <c r="C7340" s="209"/>
      <c r="D7340" s="209"/>
      <c r="E7340" s="209"/>
      <c r="J7340" s="124"/>
    </row>
    <row r="7341" spans="3:10" x14ac:dyDescent="0.2">
      <c r="C7341" s="209"/>
      <c r="D7341" s="209"/>
      <c r="E7341" s="209"/>
      <c r="J7341" s="124"/>
    </row>
    <row r="7342" spans="3:10" x14ac:dyDescent="0.2">
      <c r="C7342" s="209"/>
      <c r="D7342" s="209"/>
      <c r="E7342" s="209"/>
      <c r="J7342" s="124"/>
    </row>
    <row r="7343" spans="3:10" x14ac:dyDescent="0.2">
      <c r="C7343" s="209"/>
      <c r="D7343" s="209"/>
      <c r="E7343" s="209"/>
      <c r="J7343" s="124"/>
    </row>
    <row r="7344" spans="3:10" x14ac:dyDescent="0.2">
      <c r="C7344" s="209"/>
      <c r="D7344" s="209"/>
      <c r="E7344" s="209"/>
      <c r="J7344" s="124"/>
    </row>
    <row r="7345" spans="3:10" x14ac:dyDescent="0.2">
      <c r="C7345" s="209"/>
      <c r="D7345" s="209"/>
      <c r="E7345" s="209"/>
      <c r="J7345" s="124"/>
    </row>
    <row r="7346" spans="3:10" x14ac:dyDescent="0.2">
      <c r="C7346" s="209"/>
      <c r="D7346" s="209"/>
      <c r="E7346" s="209"/>
      <c r="J7346" s="124"/>
    </row>
    <row r="7347" spans="3:10" x14ac:dyDescent="0.2">
      <c r="C7347" s="209"/>
      <c r="D7347" s="209"/>
      <c r="E7347" s="209"/>
      <c r="J7347" s="124"/>
    </row>
    <row r="7348" spans="3:10" x14ac:dyDescent="0.2">
      <c r="C7348" s="209"/>
      <c r="D7348" s="209"/>
      <c r="E7348" s="209"/>
      <c r="J7348" s="124"/>
    </row>
    <row r="7349" spans="3:10" x14ac:dyDescent="0.2">
      <c r="C7349" s="209"/>
      <c r="D7349" s="209"/>
      <c r="E7349" s="209"/>
      <c r="J7349" s="124"/>
    </row>
    <row r="7350" spans="3:10" x14ac:dyDescent="0.2">
      <c r="C7350" s="209"/>
      <c r="D7350" s="209"/>
      <c r="E7350" s="209"/>
      <c r="J7350" s="124"/>
    </row>
    <row r="7351" spans="3:10" x14ac:dyDescent="0.2">
      <c r="C7351" s="209"/>
      <c r="D7351" s="209"/>
      <c r="E7351" s="209"/>
      <c r="J7351" s="124"/>
    </row>
    <row r="7352" spans="3:10" x14ac:dyDescent="0.2">
      <c r="C7352" s="209"/>
      <c r="D7352" s="209"/>
      <c r="E7352" s="209"/>
      <c r="J7352" s="124"/>
    </row>
    <row r="7353" spans="3:10" x14ac:dyDescent="0.2">
      <c r="C7353" s="209"/>
      <c r="D7353" s="209"/>
      <c r="E7353" s="209"/>
      <c r="J7353" s="124"/>
    </row>
    <row r="7354" spans="3:10" x14ac:dyDescent="0.2">
      <c r="C7354" s="209"/>
      <c r="D7354" s="209"/>
      <c r="E7354" s="209"/>
      <c r="J7354" s="124"/>
    </row>
    <row r="7355" spans="3:10" x14ac:dyDescent="0.2">
      <c r="C7355" s="209"/>
      <c r="D7355" s="209"/>
      <c r="E7355" s="209"/>
      <c r="J7355" s="124"/>
    </row>
    <row r="7356" spans="3:10" x14ac:dyDescent="0.2">
      <c r="C7356" s="209"/>
      <c r="D7356" s="209"/>
      <c r="E7356" s="209"/>
      <c r="J7356" s="124"/>
    </row>
    <row r="7357" spans="3:10" x14ac:dyDescent="0.2">
      <c r="C7357" s="209"/>
      <c r="D7357" s="209"/>
      <c r="E7357" s="209"/>
      <c r="J7357" s="124"/>
    </row>
    <row r="7358" spans="3:10" x14ac:dyDescent="0.2">
      <c r="C7358" s="209"/>
      <c r="D7358" s="209"/>
      <c r="E7358" s="209"/>
      <c r="J7358" s="124"/>
    </row>
    <row r="7359" spans="3:10" x14ac:dyDescent="0.2">
      <c r="C7359" s="209"/>
      <c r="D7359" s="209"/>
      <c r="E7359" s="209"/>
      <c r="J7359" s="124"/>
    </row>
    <row r="7360" spans="3:10" x14ac:dyDescent="0.2">
      <c r="C7360" s="209"/>
      <c r="D7360" s="209"/>
      <c r="E7360" s="209"/>
      <c r="J7360" s="124"/>
    </row>
    <row r="7361" spans="3:10" x14ac:dyDescent="0.2">
      <c r="C7361" s="209"/>
      <c r="D7361" s="209"/>
      <c r="E7361" s="209"/>
      <c r="J7361" s="124"/>
    </row>
    <row r="7362" spans="3:10" x14ac:dyDescent="0.2">
      <c r="C7362" s="209"/>
      <c r="D7362" s="209"/>
      <c r="E7362" s="209"/>
      <c r="J7362" s="124"/>
    </row>
    <row r="7363" spans="3:10" x14ac:dyDescent="0.2">
      <c r="C7363" s="209"/>
      <c r="D7363" s="209"/>
      <c r="E7363" s="209"/>
      <c r="J7363" s="124"/>
    </row>
    <row r="7364" spans="3:10" x14ac:dyDescent="0.2">
      <c r="C7364" s="209"/>
      <c r="D7364" s="209"/>
      <c r="E7364" s="209"/>
      <c r="J7364" s="124"/>
    </row>
    <row r="7365" spans="3:10" x14ac:dyDescent="0.2">
      <c r="C7365" s="209"/>
      <c r="D7365" s="209"/>
      <c r="E7365" s="209"/>
      <c r="J7365" s="124"/>
    </row>
    <row r="7366" spans="3:10" x14ac:dyDescent="0.2">
      <c r="C7366" s="209"/>
      <c r="D7366" s="209"/>
      <c r="E7366" s="209"/>
      <c r="J7366" s="124"/>
    </row>
    <row r="7367" spans="3:10" x14ac:dyDescent="0.2">
      <c r="C7367" s="209"/>
      <c r="D7367" s="209"/>
      <c r="E7367" s="209"/>
      <c r="J7367" s="124"/>
    </row>
    <row r="7368" spans="3:10" x14ac:dyDescent="0.2">
      <c r="C7368" s="209"/>
      <c r="D7368" s="209"/>
      <c r="E7368" s="209"/>
      <c r="J7368" s="124"/>
    </row>
    <row r="7369" spans="3:10" x14ac:dyDescent="0.2">
      <c r="C7369" s="209"/>
      <c r="D7369" s="209"/>
      <c r="E7369" s="209"/>
      <c r="J7369" s="124"/>
    </row>
    <row r="7370" spans="3:10" x14ac:dyDescent="0.2">
      <c r="C7370" s="209"/>
      <c r="D7370" s="209"/>
      <c r="E7370" s="209"/>
      <c r="J7370" s="124"/>
    </row>
    <row r="7371" spans="3:10" x14ac:dyDescent="0.2">
      <c r="C7371" s="209"/>
      <c r="D7371" s="209"/>
      <c r="E7371" s="209"/>
      <c r="J7371" s="124"/>
    </row>
    <row r="7372" spans="3:10" x14ac:dyDescent="0.2">
      <c r="C7372" s="209"/>
      <c r="D7372" s="209"/>
      <c r="E7372" s="209"/>
      <c r="J7372" s="124"/>
    </row>
    <row r="7373" spans="3:10" x14ac:dyDescent="0.2">
      <c r="C7373" s="209"/>
      <c r="D7373" s="209"/>
      <c r="E7373" s="209"/>
      <c r="J7373" s="124"/>
    </row>
    <row r="7374" spans="3:10" x14ac:dyDescent="0.2">
      <c r="C7374" s="209"/>
      <c r="D7374" s="209"/>
      <c r="E7374" s="209"/>
      <c r="J7374" s="124"/>
    </row>
    <row r="7375" spans="3:10" x14ac:dyDescent="0.2">
      <c r="C7375" s="209"/>
      <c r="D7375" s="209"/>
      <c r="E7375" s="209"/>
      <c r="J7375" s="124"/>
    </row>
    <row r="7376" spans="3:10" x14ac:dyDescent="0.2">
      <c r="C7376" s="209"/>
      <c r="D7376" s="209"/>
      <c r="E7376" s="209"/>
      <c r="J7376" s="124"/>
    </row>
    <row r="7377" spans="3:10" x14ac:dyDescent="0.2">
      <c r="C7377" s="209"/>
      <c r="D7377" s="209"/>
      <c r="E7377" s="209"/>
      <c r="J7377" s="124"/>
    </row>
    <row r="7378" spans="3:10" x14ac:dyDescent="0.2">
      <c r="C7378" s="209"/>
      <c r="D7378" s="209"/>
      <c r="E7378" s="209"/>
      <c r="J7378" s="124"/>
    </row>
    <row r="7379" spans="3:10" x14ac:dyDescent="0.2">
      <c r="C7379" s="209"/>
      <c r="D7379" s="209"/>
      <c r="E7379" s="209"/>
      <c r="J7379" s="124"/>
    </row>
    <row r="7380" spans="3:10" x14ac:dyDescent="0.2">
      <c r="C7380" s="209"/>
      <c r="D7380" s="209"/>
      <c r="E7380" s="209"/>
      <c r="J7380" s="124"/>
    </row>
    <row r="7381" spans="3:10" x14ac:dyDescent="0.2">
      <c r="C7381" s="209"/>
      <c r="D7381" s="209"/>
      <c r="E7381" s="209"/>
      <c r="J7381" s="124"/>
    </row>
    <row r="7382" spans="3:10" x14ac:dyDescent="0.2">
      <c r="C7382" s="209"/>
      <c r="D7382" s="209"/>
      <c r="E7382" s="209"/>
      <c r="J7382" s="124"/>
    </row>
    <row r="7383" spans="3:10" x14ac:dyDescent="0.2">
      <c r="C7383" s="209"/>
      <c r="D7383" s="209"/>
      <c r="E7383" s="209"/>
      <c r="J7383" s="124"/>
    </row>
    <row r="7384" spans="3:10" x14ac:dyDescent="0.2">
      <c r="C7384" s="209"/>
      <c r="D7384" s="209"/>
      <c r="E7384" s="209"/>
      <c r="J7384" s="124"/>
    </row>
    <row r="7385" spans="3:10" x14ac:dyDescent="0.2">
      <c r="C7385" s="209"/>
      <c r="D7385" s="209"/>
      <c r="E7385" s="209"/>
      <c r="J7385" s="124"/>
    </row>
    <row r="7386" spans="3:10" x14ac:dyDescent="0.2">
      <c r="C7386" s="209"/>
      <c r="D7386" s="209"/>
      <c r="E7386" s="209"/>
      <c r="J7386" s="124"/>
    </row>
    <row r="7387" spans="3:10" x14ac:dyDescent="0.2">
      <c r="C7387" s="209"/>
      <c r="D7387" s="209"/>
      <c r="E7387" s="209"/>
      <c r="J7387" s="124"/>
    </row>
    <row r="7388" spans="3:10" x14ac:dyDescent="0.2">
      <c r="C7388" s="209"/>
      <c r="D7388" s="209"/>
      <c r="E7388" s="209"/>
      <c r="J7388" s="124"/>
    </row>
    <row r="7389" spans="3:10" x14ac:dyDescent="0.2">
      <c r="C7389" s="209"/>
      <c r="D7389" s="209"/>
      <c r="E7389" s="209"/>
      <c r="J7389" s="124"/>
    </row>
    <row r="7390" spans="3:10" x14ac:dyDescent="0.2">
      <c r="C7390" s="209"/>
      <c r="D7390" s="209"/>
      <c r="E7390" s="209"/>
      <c r="J7390" s="124"/>
    </row>
    <row r="7391" spans="3:10" x14ac:dyDescent="0.2">
      <c r="C7391" s="209"/>
      <c r="D7391" s="209"/>
      <c r="E7391" s="209"/>
      <c r="J7391" s="124"/>
    </row>
    <row r="7392" spans="3:10" x14ac:dyDescent="0.2">
      <c r="C7392" s="209"/>
      <c r="D7392" s="209"/>
      <c r="E7392" s="209"/>
      <c r="J7392" s="124"/>
    </row>
    <row r="7393" spans="3:10" x14ac:dyDescent="0.2">
      <c r="C7393" s="209"/>
      <c r="D7393" s="209"/>
      <c r="E7393" s="209"/>
      <c r="J7393" s="124"/>
    </row>
    <row r="7394" spans="3:10" x14ac:dyDescent="0.2">
      <c r="C7394" s="209"/>
      <c r="D7394" s="209"/>
      <c r="E7394" s="209"/>
      <c r="J7394" s="124"/>
    </row>
    <row r="7395" spans="3:10" x14ac:dyDescent="0.2">
      <c r="C7395" s="209"/>
      <c r="D7395" s="209"/>
      <c r="E7395" s="209"/>
      <c r="J7395" s="124"/>
    </row>
    <row r="7396" spans="3:10" x14ac:dyDescent="0.2">
      <c r="C7396" s="209"/>
      <c r="D7396" s="209"/>
      <c r="E7396" s="209"/>
      <c r="J7396" s="124"/>
    </row>
    <row r="7397" spans="3:10" x14ac:dyDescent="0.2">
      <c r="C7397" s="209"/>
      <c r="D7397" s="209"/>
      <c r="E7397" s="209"/>
      <c r="J7397" s="124"/>
    </row>
    <row r="7398" spans="3:10" x14ac:dyDescent="0.2">
      <c r="C7398" s="209"/>
      <c r="D7398" s="209"/>
      <c r="E7398" s="209"/>
      <c r="J7398" s="124"/>
    </row>
    <row r="7399" spans="3:10" x14ac:dyDescent="0.2">
      <c r="C7399" s="209"/>
      <c r="D7399" s="209"/>
      <c r="E7399" s="209"/>
      <c r="J7399" s="124"/>
    </row>
    <row r="7400" spans="3:10" x14ac:dyDescent="0.2">
      <c r="C7400" s="209"/>
      <c r="D7400" s="209"/>
      <c r="E7400" s="209"/>
      <c r="J7400" s="124"/>
    </row>
    <row r="7401" spans="3:10" x14ac:dyDescent="0.2">
      <c r="C7401" s="209"/>
      <c r="D7401" s="209"/>
      <c r="E7401" s="209"/>
      <c r="J7401" s="124"/>
    </row>
    <row r="7402" spans="3:10" x14ac:dyDescent="0.2">
      <c r="C7402" s="209"/>
      <c r="D7402" s="209"/>
      <c r="E7402" s="209"/>
      <c r="J7402" s="124"/>
    </row>
    <row r="7403" spans="3:10" x14ac:dyDescent="0.2">
      <c r="C7403" s="209"/>
      <c r="D7403" s="209"/>
      <c r="E7403" s="209"/>
      <c r="J7403" s="124"/>
    </row>
    <row r="7404" spans="3:10" x14ac:dyDescent="0.2">
      <c r="C7404" s="209"/>
      <c r="D7404" s="209"/>
      <c r="E7404" s="209"/>
      <c r="J7404" s="124"/>
    </row>
    <row r="7405" spans="3:10" x14ac:dyDescent="0.2">
      <c r="C7405" s="209"/>
      <c r="D7405" s="209"/>
      <c r="E7405" s="209"/>
      <c r="J7405" s="124"/>
    </row>
    <row r="7406" spans="3:10" x14ac:dyDescent="0.2">
      <c r="C7406" s="209"/>
      <c r="D7406" s="209"/>
      <c r="E7406" s="209"/>
      <c r="J7406" s="124"/>
    </row>
    <row r="7407" spans="3:10" x14ac:dyDescent="0.2">
      <c r="C7407" s="209"/>
      <c r="D7407" s="209"/>
      <c r="E7407" s="209"/>
      <c r="J7407" s="124"/>
    </row>
    <row r="7408" spans="3:10" x14ac:dyDescent="0.2">
      <c r="C7408" s="209"/>
      <c r="D7408" s="209"/>
      <c r="E7408" s="209"/>
      <c r="J7408" s="124"/>
    </row>
    <row r="7409" spans="3:10" x14ac:dyDescent="0.2">
      <c r="C7409" s="209"/>
      <c r="D7409" s="209"/>
      <c r="E7409" s="209"/>
      <c r="J7409" s="124"/>
    </row>
    <row r="7410" spans="3:10" x14ac:dyDescent="0.2">
      <c r="C7410" s="209"/>
      <c r="D7410" s="209"/>
      <c r="E7410" s="209"/>
      <c r="J7410" s="124"/>
    </row>
    <row r="7411" spans="3:10" x14ac:dyDescent="0.2">
      <c r="C7411" s="209"/>
      <c r="D7411" s="209"/>
      <c r="E7411" s="209"/>
      <c r="J7411" s="124"/>
    </row>
    <row r="7412" spans="3:10" x14ac:dyDescent="0.2">
      <c r="C7412" s="209"/>
      <c r="D7412" s="209"/>
      <c r="E7412" s="209"/>
      <c r="J7412" s="124"/>
    </row>
    <row r="7413" spans="3:10" x14ac:dyDescent="0.2">
      <c r="C7413" s="209"/>
      <c r="D7413" s="209"/>
      <c r="E7413" s="209"/>
      <c r="J7413" s="124"/>
    </row>
    <row r="7414" spans="3:10" x14ac:dyDescent="0.2">
      <c r="C7414" s="209"/>
      <c r="D7414" s="209"/>
      <c r="E7414" s="209"/>
      <c r="J7414" s="124"/>
    </row>
    <row r="7415" spans="3:10" x14ac:dyDescent="0.2">
      <c r="C7415" s="209"/>
      <c r="D7415" s="209"/>
      <c r="E7415" s="209"/>
      <c r="J7415" s="124"/>
    </row>
    <row r="7416" spans="3:10" x14ac:dyDescent="0.2">
      <c r="C7416" s="209"/>
      <c r="D7416" s="209"/>
      <c r="E7416" s="209"/>
      <c r="J7416" s="124"/>
    </row>
    <row r="7417" spans="3:10" x14ac:dyDescent="0.2">
      <c r="C7417" s="209"/>
      <c r="D7417" s="209"/>
      <c r="E7417" s="209"/>
      <c r="J7417" s="124"/>
    </row>
    <row r="7418" spans="3:10" x14ac:dyDescent="0.2">
      <c r="C7418" s="209"/>
      <c r="D7418" s="209"/>
      <c r="E7418" s="209"/>
      <c r="J7418" s="124"/>
    </row>
    <row r="7419" spans="3:10" x14ac:dyDescent="0.2">
      <c r="C7419" s="209"/>
      <c r="D7419" s="209"/>
      <c r="E7419" s="209"/>
      <c r="J7419" s="124"/>
    </row>
    <row r="7420" spans="3:10" x14ac:dyDescent="0.2">
      <c r="C7420" s="209"/>
      <c r="D7420" s="209"/>
      <c r="E7420" s="209"/>
      <c r="J7420" s="124"/>
    </row>
    <row r="7421" spans="3:10" x14ac:dyDescent="0.2">
      <c r="C7421" s="209"/>
      <c r="D7421" s="209"/>
      <c r="E7421" s="209"/>
      <c r="J7421" s="124"/>
    </row>
    <row r="7422" spans="3:10" x14ac:dyDescent="0.2">
      <c r="C7422" s="209"/>
      <c r="D7422" s="209"/>
      <c r="E7422" s="209"/>
      <c r="J7422" s="124"/>
    </row>
    <row r="7423" spans="3:10" x14ac:dyDescent="0.2">
      <c r="C7423" s="209"/>
      <c r="D7423" s="209"/>
      <c r="E7423" s="209"/>
      <c r="J7423" s="124"/>
    </row>
    <row r="7424" spans="3:10" x14ac:dyDescent="0.2">
      <c r="C7424" s="209"/>
      <c r="D7424" s="209"/>
      <c r="E7424" s="209"/>
      <c r="J7424" s="124"/>
    </row>
    <row r="7425" spans="3:10" x14ac:dyDescent="0.2">
      <c r="C7425" s="209"/>
      <c r="D7425" s="209"/>
      <c r="E7425" s="209"/>
      <c r="J7425" s="124"/>
    </row>
    <row r="7426" spans="3:10" x14ac:dyDescent="0.2">
      <c r="C7426" s="209"/>
      <c r="D7426" s="209"/>
      <c r="E7426" s="209"/>
      <c r="J7426" s="124"/>
    </row>
    <row r="7427" spans="3:10" x14ac:dyDescent="0.2">
      <c r="C7427" s="209"/>
      <c r="D7427" s="209"/>
      <c r="E7427" s="209"/>
      <c r="J7427" s="124"/>
    </row>
    <row r="7428" spans="3:10" x14ac:dyDescent="0.2">
      <c r="C7428" s="209"/>
      <c r="D7428" s="209"/>
      <c r="E7428" s="209"/>
      <c r="J7428" s="124"/>
    </row>
    <row r="7429" spans="3:10" x14ac:dyDescent="0.2">
      <c r="C7429" s="209"/>
      <c r="D7429" s="209"/>
      <c r="E7429" s="209"/>
      <c r="J7429" s="124"/>
    </row>
    <row r="7430" spans="3:10" x14ac:dyDescent="0.2">
      <c r="C7430" s="209"/>
      <c r="D7430" s="209"/>
      <c r="E7430" s="209"/>
      <c r="J7430" s="124"/>
    </row>
    <row r="7431" spans="3:10" x14ac:dyDescent="0.2">
      <c r="C7431" s="209"/>
      <c r="D7431" s="209"/>
      <c r="E7431" s="209"/>
      <c r="J7431" s="124"/>
    </row>
    <row r="7432" spans="3:10" x14ac:dyDescent="0.2">
      <c r="C7432" s="209"/>
      <c r="D7432" s="209"/>
      <c r="E7432" s="209"/>
      <c r="J7432" s="124"/>
    </row>
    <row r="7433" spans="3:10" x14ac:dyDescent="0.2">
      <c r="C7433" s="209"/>
      <c r="D7433" s="209"/>
      <c r="E7433" s="209"/>
      <c r="J7433" s="124"/>
    </row>
    <row r="7434" spans="3:10" x14ac:dyDescent="0.2">
      <c r="C7434" s="209"/>
      <c r="D7434" s="209"/>
      <c r="E7434" s="209"/>
      <c r="J7434" s="124"/>
    </row>
    <row r="7435" spans="3:10" x14ac:dyDescent="0.2">
      <c r="C7435" s="209"/>
      <c r="D7435" s="209"/>
      <c r="E7435" s="209"/>
      <c r="J7435" s="124"/>
    </row>
    <row r="7436" spans="3:10" x14ac:dyDescent="0.2">
      <c r="C7436" s="209"/>
      <c r="D7436" s="209"/>
      <c r="E7436" s="209"/>
      <c r="J7436" s="124"/>
    </row>
    <row r="7437" spans="3:10" x14ac:dyDescent="0.2">
      <c r="C7437" s="209"/>
      <c r="D7437" s="209"/>
      <c r="E7437" s="209"/>
      <c r="J7437" s="124"/>
    </row>
    <row r="7438" spans="3:10" x14ac:dyDescent="0.2">
      <c r="C7438" s="209"/>
      <c r="D7438" s="209"/>
      <c r="E7438" s="209"/>
      <c r="J7438" s="124"/>
    </row>
    <row r="7439" spans="3:10" x14ac:dyDescent="0.2">
      <c r="C7439" s="209"/>
      <c r="D7439" s="209"/>
      <c r="E7439" s="209"/>
      <c r="J7439" s="124"/>
    </row>
    <row r="7440" spans="3:10" x14ac:dyDescent="0.2">
      <c r="C7440" s="209"/>
      <c r="D7440" s="209"/>
      <c r="E7440" s="209"/>
      <c r="J7440" s="124"/>
    </row>
    <row r="7441" spans="3:10" x14ac:dyDescent="0.2">
      <c r="C7441" s="209"/>
      <c r="D7441" s="209"/>
      <c r="E7441" s="209"/>
      <c r="J7441" s="124"/>
    </row>
    <row r="7442" spans="3:10" x14ac:dyDescent="0.2">
      <c r="C7442" s="209"/>
      <c r="D7442" s="209"/>
      <c r="E7442" s="209"/>
      <c r="J7442" s="124"/>
    </row>
    <row r="7443" spans="3:10" x14ac:dyDescent="0.2">
      <c r="C7443" s="209"/>
      <c r="D7443" s="209"/>
      <c r="E7443" s="209"/>
      <c r="J7443" s="124"/>
    </row>
    <row r="7444" spans="3:10" x14ac:dyDescent="0.2">
      <c r="C7444" s="209"/>
      <c r="D7444" s="209"/>
      <c r="E7444" s="209"/>
      <c r="J7444" s="124"/>
    </row>
    <row r="7445" spans="3:10" x14ac:dyDescent="0.2">
      <c r="C7445" s="209"/>
      <c r="D7445" s="209"/>
      <c r="E7445" s="209"/>
      <c r="J7445" s="124"/>
    </row>
    <row r="7446" spans="3:10" x14ac:dyDescent="0.2">
      <c r="C7446" s="209"/>
      <c r="D7446" s="209"/>
      <c r="E7446" s="209"/>
      <c r="J7446" s="124"/>
    </row>
    <row r="7447" spans="3:10" x14ac:dyDescent="0.2">
      <c r="C7447" s="209"/>
      <c r="D7447" s="209"/>
      <c r="E7447" s="209"/>
      <c r="J7447" s="124"/>
    </row>
    <row r="7448" spans="3:10" x14ac:dyDescent="0.2">
      <c r="C7448" s="209"/>
      <c r="D7448" s="209"/>
      <c r="E7448" s="209"/>
      <c r="J7448" s="124"/>
    </row>
    <row r="7449" spans="3:10" x14ac:dyDescent="0.2">
      <c r="C7449" s="209"/>
      <c r="D7449" s="209"/>
      <c r="E7449" s="209"/>
      <c r="J7449" s="124"/>
    </row>
    <row r="7450" spans="3:10" x14ac:dyDescent="0.2">
      <c r="C7450" s="209"/>
      <c r="D7450" s="209"/>
      <c r="E7450" s="209"/>
      <c r="J7450" s="124"/>
    </row>
    <row r="7451" spans="3:10" x14ac:dyDescent="0.2">
      <c r="C7451" s="209"/>
      <c r="D7451" s="209"/>
      <c r="E7451" s="209"/>
      <c r="J7451" s="124"/>
    </row>
    <row r="7452" spans="3:10" x14ac:dyDescent="0.2">
      <c r="C7452" s="209"/>
      <c r="D7452" s="209"/>
      <c r="E7452" s="209"/>
      <c r="J7452" s="124"/>
    </row>
    <row r="7453" spans="3:10" x14ac:dyDescent="0.2">
      <c r="C7453" s="209"/>
      <c r="D7453" s="209"/>
      <c r="E7453" s="209"/>
      <c r="J7453" s="124"/>
    </row>
    <row r="7454" spans="3:10" x14ac:dyDescent="0.2">
      <c r="C7454" s="209"/>
      <c r="D7454" s="209"/>
      <c r="E7454" s="209"/>
      <c r="J7454" s="124"/>
    </row>
    <row r="7455" spans="3:10" x14ac:dyDescent="0.2">
      <c r="C7455" s="209"/>
      <c r="D7455" s="209"/>
      <c r="E7455" s="209"/>
      <c r="J7455" s="124"/>
    </row>
    <row r="7456" spans="3:10" x14ac:dyDescent="0.2">
      <c r="C7456" s="209"/>
      <c r="D7456" s="209"/>
      <c r="E7456" s="209"/>
      <c r="J7456" s="124"/>
    </row>
    <row r="7457" spans="3:10" x14ac:dyDescent="0.2">
      <c r="C7457" s="209"/>
      <c r="D7457" s="209"/>
      <c r="E7457" s="209"/>
      <c r="J7457" s="124"/>
    </row>
    <row r="7458" spans="3:10" x14ac:dyDescent="0.2">
      <c r="C7458" s="209"/>
      <c r="D7458" s="209"/>
      <c r="E7458" s="209"/>
      <c r="J7458" s="124"/>
    </row>
    <row r="7459" spans="3:10" x14ac:dyDescent="0.2">
      <c r="C7459" s="209"/>
      <c r="D7459" s="209"/>
      <c r="E7459" s="209"/>
      <c r="J7459" s="124"/>
    </row>
    <row r="7460" spans="3:10" x14ac:dyDescent="0.2">
      <c r="C7460" s="209"/>
      <c r="D7460" s="209"/>
      <c r="E7460" s="209"/>
      <c r="J7460" s="124"/>
    </row>
    <row r="7461" spans="3:10" x14ac:dyDescent="0.2">
      <c r="C7461" s="209"/>
      <c r="D7461" s="209"/>
      <c r="E7461" s="209"/>
      <c r="J7461" s="124"/>
    </row>
    <row r="7462" spans="3:10" x14ac:dyDescent="0.2">
      <c r="C7462" s="209"/>
      <c r="D7462" s="209"/>
      <c r="E7462" s="209"/>
      <c r="J7462" s="124"/>
    </row>
    <row r="7463" spans="3:10" x14ac:dyDescent="0.2">
      <c r="C7463" s="209"/>
      <c r="D7463" s="209"/>
      <c r="E7463" s="209"/>
      <c r="J7463" s="124"/>
    </row>
    <row r="7464" spans="3:10" x14ac:dyDescent="0.2">
      <c r="C7464" s="209"/>
      <c r="D7464" s="209"/>
      <c r="E7464" s="209"/>
      <c r="J7464" s="124"/>
    </row>
    <row r="7465" spans="3:10" x14ac:dyDescent="0.2">
      <c r="C7465" s="209"/>
      <c r="D7465" s="209"/>
      <c r="E7465" s="209"/>
      <c r="J7465" s="124"/>
    </row>
    <row r="7466" spans="3:10" x14ac:dyDescent="0.2">
      <c r="C7466" s="209"/>
      <c r="D7466" s="209"/>
      <c r="E7466" s="209"/>
      <c r="J7466" s="124"/>
    </row>
    <row r="7467" spans="3:10" x14ac:dyDescent="0.2">
      <c r="C7467" s="209"/>
      <c r="D7467" s="209"/>
      <c r="E7467" s="209"/>
      <c r="J7467" s="124"/>
    </row>
    <row r="7468" spans="3:10" x14ac:dyDescent="0.2">
      <c r="C7468" s="209"/>
      <c r="D7468" s="209"/>
      <c r="E7468" s="209"/>
      <c r="J7468" s="124"/>
    </row>
    <row r="7469" spans="3:10" x14ac:dyDescent="0.2">
      <c r="C7469" s="209"/>
      <c r="D7469" s="209"/>
      <c r="E7469" s="209"/>
      <c r="J7469" s="124"/>
    </row>
    <row r="7470" spans="3:10" x14ac:dyDescent="0.2">
      <c r="C7470" s="209"/>
      <c r="D7470" s="209"/>
      <c r="E7470" s="209"/>
      <c r="J7470" s="124"/>
    </row>
    <row r="7471" spans="3:10" x14ac:dyDescent="0.2">
      <c r="C7471" s="209"/>
      <c r="D7471" s="209"/>
      <c r="E7471" s="209"/>
      <c r="J7471" s="124"/>
    </row>
    <row r="7472" spans="3:10" x14ac:dyDescent="0.2">
      <c r="C7472" s="209"/>
      <c r="D7472" s="209"/>
      <c r="E7472" s="209"/>
      <c r="J7472" s="124"/>
    </row>
    <row r="7473" spans="3:10" x14ac:dyDescent="0.2">
      <c r="C7473" s="209"/>
      <c r="D7473" s="209"/>
      <c r="E7473" s="209"/>
      <c r="J7473" s="124"/>
    </row>
    <row r="7474" spans="3:10" x14ac:dyDescent="0.2">
      <c r="C7474" s="209"/>
      <c r="D7474" s="209"/>
      <c r="E7474" s="209"/>
      <c r="J7474" s="124"/>
    </row>
    <row r="7475" spans="3:10" x14ac:dyDescent="0.2">
      <c r="C7475" s="209"/>
      <c r="D7475" s="209"/>
      <c r="E7475" s="209"/>
      <c r="J7475" s="124"/>
    </row>
    <row r="7476" spans="3:10" x14ac:dyDescent="0.2">
      <c r="C7476" s="209"/>
      <c r="D7476" s="209"/>
      <c r="E7476" s="209"/>
      <c r="J7476" s="124"/>
    </row>
    <row r="7477" spans="3:10" x14ac:dyDescent="0.2">
      <c r="C7477" s="209"/>
      <c r="D7477" s="209"/>
      <c r="E7477" s="209"/>
      <c r="J7477" s="124"/>
    </row>
    <row r="7478" spans="3:10" x14ac:dyDescent="0.2">
      <c r="C7478" s="209"/>
      <c r="D7478" s="209"/>
      <c r="E7478" s="209"/>
      <c r="J7478" s="124"/>
    </row>
    <row r="7479" spans="3:10" x14ac:dyDescent="0.2">
      <c r="C7479" s="209"/>
      <c r="D7479" s="209"/>
      <c r="E7479" s="209"/>
      <c r="J7479" s="124"/>
    </row>
    <row r="7480" spans="3:10" x14ac:dyDescent="0.2">
      <c r="C7480" s="209"/>
      <c r="D7480" s="209"/>
      <c r="E7480" s="209"/>
      <c r="J7480" s="124"/>
    </row>
    <row r="7481" spans="3:10" x14ac:dyDescent="0.2">
      <c r="C7481" s="209"/>
      <c r="D7481" s="209"/>
      <c r="E7481" s="209"/>
      <c r="J7481" s="124"/>
    </row>
    <row r="7482" spans="3:10" x14ac:dyDescent="0.2">
      <c r="C7482" s="209"/>
      <c r="D7482" s="209"/>
      <c r="E7482" s="209"/>
      <c r="J7482" s="124"/>
    </row>
    <row r="7483" spans="3:10" x14ac:dyDescent="0.2">
      <c r="C7483" s="209"/>
      <c r="D7483" s="209"/>
      <c r="E7483" s="209"/>
      <c r="J7483" s="124"/>
    </row>
    <row r="7484" spans="3:10" x14ac:dyDescent="0.2">
      <c r="C7484" s="209"/>
      <c r="D7484" s="209"/>
      <c r="E7484" s="209"/>
      <c r="J7484" s="124"/>
    </row>
    <row r="7485" spans="3:10" x14ac:dyDescent="0.2">
      <c r="C7485" s="209"/>
      <c r="D7485" s="209"/>
      <c r="E7485" s="209"/>
      <c r="J7485" s="124"/>
    </row>
    <row r="7486" spans="3:10" x14ac:dyDescent="0.2">
      <c r="C7486" s="209"/>
      <c r="D7486" s="209"/>
      <c r="E7486" s="209"/>
      <c r="J7486" s="124"/>
    </row>
    <row r="7487" spans="3:10" x14ac:dyDescent="0.2">
      <c r="C7487" s="209"/>
      <c r="D7487" s="209"/>
      <c r="E7487" s="209"/>
      <c r="J7487" s="124"/>
    </row>
    <row r="7488" spans="3:10" x14ac:dyDescent="0.2">
      <c r="C7488" s="209"/>
      <c r="D7488" s="209"/>
      <c r="E7488" s="209"/>
      <c r="J7488" s="124"/>
    </row>
    <row r="7489" spans="3:10" x14ac:dyDescent="0.2">
      <c r="C7489" s="209"/>
      <c r="D7489" s="209"/>
      <c r="E7489" s="209"/>
      <c r="J7489" s="124"/>
    </row>
    <row r="7490" spans="3:10" x14ac:dyDescent="0.2">
      <c r="C7490" s="209"/>
      <c r="D7490" s="209"/>
      <c r="E7490" s="209"/>
      <c r="J7490" s="124"/>
    </row>
    <row r="7491" spans="3:10" x14ac:dyDescent="0.2">
      <c r="C7491" s="209"/>
      <c r="D7491" s="209"/>
      <c r="E7491" s="209"/>
      <c r="J7491" s="124"/>
    </row>
    <row r="7492" spans="3:10" x14ac:dyDescent="0.2">
      <c r="C7492" s="209"/>
      <c r="D7492" s="209"/>
      <c r="E7492" s="209"/>
      <c r="J7492" s="124"/>
    </row>
    <row r="7493" spans="3:10" x14ac:dyDescent="0.2">
      <c r="C7493" s="209"/>
      <c r="D7493" s="209"/>
      <c r="E7493" s="209"/>
      <c r="J7493" s="124"/>
    </row>
    <row r="7494" spans="3:10" x14ac:dyDescent="0.2">
      <c r="C7494" s="209"/>
      <c r="D7494" s="209"/>
      <c r="E7494" s="209"/>
      <c r="J7494" s="124"/>
    </row>
    <row r="7495" spans="3:10" x14ac:dyDescent="0.2">
      <c r="C7495" s="209"/>
      <c r="D7495" s="209"/>
      <c r="E7495" s="209"/>
      <c r="J7495" s="124"/>
    </row>
    <row r="7496" spans="3:10" x14ac:dyDescent="0.2">
      <c r="C7496" s="209"/>
      <c r="D7496" s="209"/>
      <c r="E7496" s="209"/>
      <c r="J7496" s="124"/>
    </row>
    <row r="7497" spans="3:10" x14ac:dyDescent="0.2">
      <c r="C7497" s="209"/>
      <c r="D7497" s="209"/>
      <c r="E7497" s="209"/>
      <c r="J7497" s="124"/>
    </row>
    <row r="7498" spans="3:10" x14ac:dyDescent="0.2">
      <c r="C7498" s="209"/>
      <c r="D7498" s="209"/>
      <c r="E7498" s="209"/>
      <c r="J7498" s="124"/>
    </row>
    <row r="7499" spans="3:10" x14ac:dyDescent="0.2">
      <c r="C7499" s="209"/>
      <c r="D7499" s="209"/>
      <c r="E7499" s="209"/>
      <c r="J7499" s="124"/>
    </row>
    <row r="7500" spans="3:10" x14ac:dyDescent="0.2">
      <c r="C7500" s="209"/>
      <c r="D7500" s="209"/>
      <c r="E7500" s="209"/>
      <c r="J7500" s="124"/>
    </row>
    <row r="7501" spans="3:10" x14ac:dyDescent="0.2">
      <c r="C7501" s="209"/>
      <c r="D7501" s="209"/>
      <c r="E7501" s="209"/>
      <c r="J7501" s="124"/>
    </row>
    <row r="7502" spans="3:10" x14ac:dyDescent="0.2">
      <c r="C7502" s="209"/>
      <c r="D7502" s="209"/>
      <c r="E7502" s="209"/>
      <c r="J7502" s="124"/>
    </row>
    <row r="7503" spans="3:10" x14ac:dyDescent="0.2">
      <c r="C7503" s="209"/>
      <c r="D7503" s="209"/>
      <c r="E7503" s="209"/>
      <c r="J7503" s="124"/>
    </row>
    <row r="7504" spans="3:10" x14ac:dyDescent="0.2">
      <c r="C7504" s="209"/>
      <c r="D7504" s="209"/>
      <c r="E7504" s="209"/>
      <c r="J7504" s="124"/>
    </row>
    <row r="7505" spans="3:10" x14ac:dyDescent="0.2">
      <c r="C7505" s="209"/>
      <c r="D7505" s="209"/>
      <c r="E7505" s="209"/>
      <c r="J7505" s="124"/>
    </row>
    <row r="7506" spans="3:10" x14ac:dyDescent="0.2">
      <c r="C7506" s="209"/>
      <c r="D7506" s="209"/>
      <c r="E7506" s="209"/>
      <c r="J7506" s="124"/>
    </row>
    <row r="7507" spans="3:10" x14ac:dyDescent="0.2">
      <c r="C7507" s="209"/>
      <c r="D7507" s="209"/>
      <c r="E7507" s="209"/>
      <c r="J7507" s="124"/>
    </row>
    <row r="7508" spans="3:10" x14ac:dyDescent="0.2">
      <c r="C7508" s="209"/>
      <c r="D7508" s="209"/>
      <c r="E7508" s="209"/>
      <c r="J7508" s="124"/>
    </row>
    <row r="7509" spans="3:10" x14ac:dyDescent="0.2">
      <c r="C7509" s="209"/>
      <c r="D7509" s="209"/>
      <c r="E7509" s="209"/>
      <c r="J7509" s="124"/>
    </row>
    <row r="7510" spans="3:10" x14ac:dyDescent="0.2">
      <c r="C7510" s="209"/>
      <c r="D7510" s="209"/>
      <c r="E7510" s="209"/>
      <c r="J7510" s="124"/>
    </row>
    <row r="7511" spans="3:10" x14ac:dyDescent="0.2">
      <c r="C7511" s="209"/>
      <c r="D7511" s="209"/>
      <c r="E7511" s="209"/>
      <c r="J7511" s="124"/>
    </row>
    <row r="7512" spans="3:10" x14ac:dyDescent="0.2">
      <c r="C7512" s="209"/>
      <c r="D7512" s="209"/>
      <c r="E7512" s="209"/>
      <c r="J7512" s="124"/>
    </row>
    <row r="7513" spans="3:10" x14ac:dyDescent="0.2">
      <c r="C7513" s="209"/>
      <c r="D7513" s="209"/>
      <c r="E7513" s="209"/>
      <c r="J7513" s="124"/>
    </row>
    <row r="7514" spans="3:10" x14ac:dyDescent="0.2">
      <c r="C7514" s="209"/>
      <c r="D7514" s="209"/>
      <c r="E7514" s="209"/>
      <c r="J7514" s="124"/>
    </row>
    <row r="7515" spans="3:10" x14ac:dyDescent="0.2">
      <c r="C7515" s="209"/>
      <c r="D7515" s="209"/>
      <c r="E7515" s="209"/>
      <c r="J7515" s="124"/>
    </row>
    <row r="7516" spans="3:10" x14ac:dyDescent="0.2">
      <c r="C7516" s="209"/>
      <c r="D7516" s="209"/>
      <c r="E7516" s="209"/>
      <c r="J7516" s="124"/>
    </row>
    <row r="7517" spans="3:10" x14ac:dyDescent="0.2">
      <c r="C7517" s="209"/>
      <c r="D7517" s="209"/>
      <c r="E7517" s="209"/>
      <c r="J7517" s="124"/>
    </row>
    <row r="7518" spans="3:10" x14ac:dyDescent="0.2">
      <c r="C7518" s="209"/>
      <c r="D7518" s="209"/>
      <c r="E7518" s="209"/>
      <c r="J7518" s="124"/>
    </row>
    <row r="7519" spans="3:10" x14ac:dyDescent="0.2">
      <c r="C7519" s="209"/>
      <c r="D7519" s="209"/>
      <c r="E7519" s="209"/>
      <c r="J7519" s="124"/>
    </row>
    <row r="7520" spans="3:10" x14ac:dyDescent="0.2">
      <c r="C7520" s="209"/>
      <c r="D7520" s="209"/>
      <c r="E7520" s="209"/>
      <c r="J7520" s="124"/>
    </row>
    <row r="7521" spans="3:10" x14ac:dyDescent="0.2">
      <c r="C7521" s="209"/>
      <c r="D7521" s="209"/>
      <c r="E7521" s="209"/>
      <c r="J7521" s="124"/>
    </row>
    <row r="7522" spans="3:10" x14ac:dyDescent="0.2">
      <c r="C7522" s="209"/>
      <c r="D7522" s="209"/>
      <c r="E7522" s="209"/>
      <c r="J7522" s="124"/>
    </row>
    <row r="7523" spans="3:10" x14ac:dyDescent="0.2">
      <c r="C7523" s="209"/>
      <c r="D7523" s="209"/>
      <c r="E7523" s="209"/>
      <c r="J7523" s="124"/>
    </row>
    <row r="7524" spans="3:10" x14ac:dyDescent="0.2">
      <c r="C7524" s="209"/>
      <c r="D7524" s="209"/>
      <c r="E7524" s="209"/>
      <c r="J7524" s="124"/>
    </row>
    <row r="7525" spans="3:10" x14ac:dyDescent="0.2">
      <c r="C7525" s="209"/>
      <c r="D7525" s="209"/>
      <c r="E7525" s="209"/>
      <c r="J7525" s="124"/>
    </row>
    <row r="7526" spans="3:10" x14ac:dyDescent="0.2">
      <c r="C7526" s="209"/>
      <c r="D7526" s="209"/>
      <c r="E7526" s="209"/>
      <c r="J7526" s="124"/>
    </row>
    <row r="7527" spans="3:10" x14ac:dyDescent="0.2">
      <c r="C7527" s="209"/>
      <c r="D7527" s="209"/>
      <c r="E7527" s="209"/>
      <c r="J7527" s="124"/>
    </row>
    <row r="7528" spans="3:10" x14ac:dyDescent="0.2">
      <c r="C7528" s="209"/>
      <c r="D7528" s="209"/>
      <c r="E7528" s="209"/>
      <c r="J7528" s="124"/>
    </row>
    <row r="7529" spans="3:10" x14ac:dyDescent="0.2">
      <c r="C7529" s="209"/>
      <c r="D7529" s="209"/>
      <c r="E7529" s="209"/>
      <c r="J7529" s="124"/>
    </row>
    <row r="7530" spans="3:10" x14ac:dyDescent="0.2">
      <c r="C7530" s="209"/>
      <c r="D7530" s="209"/>
      <c r="E7530" s="209"/>
      <c r="J7530" s="124"/>
    </row>
    <row r="7531" spans="3:10" x14ac:dyDescent="0.2">
      <c r="C7531" s="209"/>
      <c r="D7531" s="209"/>
      <c r="E7531" s="209"/>
      <c r="J7531" s="124"/>
    </row>
    <row r="7532" spans="3:10" x14ac:dyDescent="0.2">
      <c r="C7532" s="209"/>
      <c r="D7532" s="209"/>
      <c r="E7532" s="209"/>
      <c r="J7532" s="124"/>
    </row>
    <row r="7533" spans="3:10" x14ac:dyDescent="0.2">
      <c r="C7533" s="209"/>
      <c r="D7533" s="209"/>
      <c r="E7533" s="209"/>
      <c r="J7533" s="124"/>
    </row>
    <row r="7534" spans="3:10" x14ac:dyDescent="0.2">
      <c r="C7534" s="209"/>
      <c r="D7534" s="209"/>
      <c r="E7534" s="209"/>
      <c r="J7534" s="124"/>
    </row>
    <row r="7535" spans="3:10" x14ac:dyDescent="0.2">
      <c r="C7535" s="209"/>
      <c r="D7535" s="209"/>
      <c r="E7535" s="209"/>
      <c r="J7535" s="124"/>
    </row>
    <row r="7536" spans="3:10" x14ac:dyDescent="0.2">
      <c r="C7536" s="209"/>
      <c r="D7536" s="209"/>
      <c r="E7536" s="209"/>
      <c r="J7536" s="124"/>
    </row>
    <row r="7537" spans="3:10" x14ac:dyDescent="0.2">
      <c r="C7537" s="209"/>
      <c r="D7537" s="209"/>
      <c r="E7537" s="209"/>
      <c r="J7537" s="124"/>
    </row>
    <row r="7538" spans="3:10" x14ac:dyDescent="0.2">
      <c r="C7538" s="209"/>
      <c r="D7538" s="209"/>
      <c r="E7538" s="209"/>
      <c r="J7538" s="124"/>
    </row>
    <row r="7539" spans="3:10" x14ac:dyDescent="0.2">
      <c r="C7539" s="209"/>
      <c r="D7539" s="209"/>
      <c r="E7539" s="209"/>
      <c r="J7539" s="124"/>
    </row>
    <row r="7540" spans="3:10" x14ac:dyDescent="0.2">
      <c r="C7540" s="209"/>
      <c r="D7540" s="209"/>
      <c r="E7540" s="209"/>
      <c r="J7540" s="124"/>
    </row>
    <row r="7541" spans="3:10" x14ac:dyDescent="0.2">
      <c r="C7541" s="209"/>
      <c r="D7541" s="209"/>
      <c r="E7541" s="209"/>
      <c r="J7541" s="124"/>
    </row>
    <row r="7542" spans="3:10" x14ac:dyDescent="0.2">
      <c r="C7542" s="209"/>
      <c r="D7542" s="209"/>
      <c r="E7542" s="209"/>
      <c r="J7542" s="124"/>
    </row>
    <row r="7543" spans="3:10" x14ac:dyDescent="0.2">
      <c r="C7543" s="209"/>
      <c r="D7543" s="209"/>
      <c r="E7543" s="209"/>
      <c r="J7543" s="124"/>
    </row>
    <row r="7544" spans="3:10" x14ac:dyDescent="0.2">
      <c r="C7544" s="209"/>
      <c r="D7544" s="209"/>
      <c r="E7544" s="209"/>
      <c r="J7544" s="124"/>
    </row>
    <row r="7545" spans="3:10" x14ac:dyDescent="0.2">
      <c r="C7545" s="209"/>
      <c r="D7545" s="209"/>
      <c r="E7545" s="209"/>
      <c r="J7545" s="124"/>
    </row>
    <row r="7546" spans="3:10" x14ac:dyDescent="0.2">
      <c r="C7546" s="209"/>
      <c r="D7546" s="209"/>
      <c r="E7546" s="209"/>
      <c r="J7546" s="124"/>
    </row>
    <row r="7547" spans="3:10" x14ac:dyDescent="0.2">
      <c r="C7547" s="209"/>
      <c r="D7547" s="209"/>
      <c r="E7547" s="209"/>
      <c r="J7547" s="124"/>
    </row>
    <row r="7548" spans="3:10" x14ac:dyDescent="0.2">
      <c r="C7548" s="209"/>
      <c r="D7548" s="209"/>
      <c r="E7548" s="209"/>
      <c r="J7548" s="124"/>
    </row>
    <row r="7549" spans="3:10" x14ac:dyDescent="0.2">
      <c r="C7549" s="209"/>
      <c r="D7549" s="209"/>
      <c r="E7549" s="209"/>
      <c r="J7549" s="124"/>
    </row>
    <row r="7550" spans="3:10" x14ac:dyDescent="0.2">
      <c r="C7550" s="209"/>
      <c r="D7550" s="209"/>
      <c r="E7550" s="209"/>
      <c r="J7550" s="124"/>
    </row>
    <row r="7551" spans="3:10" x14ac:dyDescent="0.2">
      <c r="C7551" s="209"/>
      <c r="D7551" s="209"/>
      <c r="E7551" s="209"/>
      <c r="J7551" s="124"/>
    </row>
    <row r="7552" spans="3:10" x14ac:dyDescent="0.2">
      <c r="C7552" s="209"/>
      <c r="D7552" s="209"/>
      <c r="E7552" s="209"/>
      <c r="J7552" s="124"/>
    </row>
    <row r="7553" spans="3:10" x14ac:dyDescent="0.2">
      <c r="C7553" s="209"/>
      <c r="D7553" s="209"/>
      <c r="E7553" s="209"/>
      <c r="J7553" s="124"/>
    </row>
    <row r="7554" spans="3:10" x14ac:dyDescent="0.2">
      <c r="C7554" s="209"/>
      <c r="D7554" s="209"/>
      <c r="E7554" s="209"/>
      <c r="J7554" s="124"/>
    </row>
    <row r="7555" spans="3:10" x14ac:dyDescent="0.2">
      <c r="C7555" s="209"/>
      <c r="D7555" s="209"/>
      <c r="E7555" s="209"/>
      <c r="J7555" s="124"/>
    </row>
    <row r="7556" spans="3:10" x14ac:dyDescent="0.2">
      <c r="C7556" s="209"/>
      <c r="D7556" s="209"/>
      <c r="E7556" s="209"/>
      <c r="J7556" s="124"/>
    </row>
    <row r="7557" spans="3:10" x14ac:dyDescent="0.2">
      <c r="C7557" s="209"/>
      <c r="D7557" s="209"/>
      <c r="E7557" s="209"/>
      <c r="J7557" s="124"/>
    </row>
    <row r="7558" spans="3:10" x14ac:dyDescent="0.2">
      <c r="C7558" s="209"/>
      <c r="D7558" s="209"/>
      <c r="E7558" s="209"/>
      <c r="J7558" s="124"/>
    </row>
    <row r="7559" spans="3:10" x14ac:dyDescent="0.2">
      <c r="C7559" s="209"/>
      <c r="D7559" s="209"/>
      <c r="E7559" s="209"/>
      <c r="J7559" s="124"/>
    </row>
    <row r="7560" spans="3:10" x14ac:dyDescent="0.2">
      <c r="C7560" s="209"/>
      <c r="D7560" s="209"/>
      <c r="E7560" s="209"/>
      <c r="J7560" s="124"/>
    </row>
    <row r="7561" spans="3:10" x14ac:dyDescent="0.2">
      <c r="C7561" s="209"/>
      <c r="D7561" s="209"/>
      <c r="E7561" s="209"/>
      <c r="J7561" s="124"/>
    </row>
    <row r="7562" spans="3:10" x14ac:dyDescent="0.2">
      <c r="C7562" s="209"/>
      <c r="D7562" s="209"/>
      <c r="E7562" s="209"/>
      <c r="J7562" s="124"/>
    </row>
    <row r="7563" spans="3:10" x14ac:dyDescent="0.2">
      <c r="C7563" s="209"/>
      <c r="D7563" s="209"/>
      <c r="E7563" s="209"/>
      <c r="J7563" s="124"/>
    </row>
    <row r="7564" spans="3:10" x14ac:dyDescent="0.2">
      <c r="C7564" s="209"/>
      <c r="D7564" s="209"/>
      <c r="E7564" s="209"/>
      <c r="J7564" s="124"/>
    </row>
    <row r="7565" spans="3:10" x14ac:dyDescent="0.2">
      <c r="C7565" s="209"/>
      <c r="D7565" s="209"/>
      <c r="E7565" s="209"/>
      <c r="J7565" s="124"/>
    </row>
    <row r="7566" spans="3:10" x14ac:dyDescent="0.2">
      <c r="C7566" s="209"/>
      <c r="D7566" s="209"/>
      <c r="E7566" s="209"/>
      <c r="J7566" s="124"/>
    </row>
    <row r="7567" spans="3:10" x14ac:dyDescent="0.2">
      <c r="C7567" s="209"/>
      <c r="D7567" s="209"/>
      <c r="E7567" s="209"/>
      <c r="J7567" s="124"/>
    </row>
    <row r="7568" spans="3:10" x14ac:dyDescent="0.2">
      <c r="C7568" s="209"/>
      <c r="D7568" s="209"/>
      <c r="E7568" s="209"/>
      <c r="J7568" s="124"/>
    </row>
    <row r="7569" spans="3:10" x14ac:dyDescent="0.2">
      <c r="C7569" s="209"/>
      <c r="D7569" s="209"/>
      <c r="E7569" s="209"/>
      <c r="J7569" s="124"/>
    </row>
    <row r="7570" spans="3:10" x14ac:dyDescent="0.2">
      <c r="C7570" s="209"/>
      <c r="D7570" s="209"/>
      <c r="E7570" s="209"/>
      <c r="J7570" s="124"/>
    </row>
    <row r="7571" spans="3:10" x14ac:dyDescent="0.2">
      <c r="C7571" s="209"/>
      <c r="D7571" s="209"/>
      <c r="E7571" s="209"/>
      <c r="J7571" s="124"/>
    </row>
    <row r="7572" spans="3:10" x14ac:dyDescent="0.2">
      <c r="C7572" s="209"/>
      <c r="D7572" s="209"/>
      <c r="E7572" s="209"/>
      <c r="J7572" s="124"/>
    </row>
    <row r="7573" spans="3:10" x14ac:dyDescent="0.2">
      <c r="C7573" s="209"/>
      <c r="D7573" s="209"/>
      <c r="E7573" s="209"/>
      <c r="J7573" s="124"/>
    </row>
    <row r="7574" spans="3:10" x14ac:dyDescent="0.2">
      <c r="C7574" s="209"/>
      <c r="D7574" s="209"/>
      <c r="E7574" s="209"/>
      <c r="J7574" s="124"/>
    </row>
    <row r="7575" spans="3:10" x14ac:dyDescent="0.2">
      <c r="C7575" s="209"/>
      <c r="D7575" s="209"/>
      <c r="E7575" s="209"/>
      <c r="J7575" s="124"/>
    </row>
    <row r="7576" spans="3:10" x14ac:dyDescent="0.2">
      <c r="C7576" s="209"/>
      <c r="D7576" s="209"/>
      <c r="E7576" s="209"/>
      <c r="J7576" s="124"/>
    </row>
    <row r="7577" spans="3:10" x14ac:dyDescent="0.2">
      <c r="C7577" s="209"/>
      <c r="D7577" s="209"/>
      <c r="E7577" s="209"/>
      <c r="J7577" s="124"/>
    </row>
    <row r="7578" spans="3:10" x14ac:dyDescent="0.2">
      <c r="C7578" s="209"/>
      <c r="D7578" s="209"/>
      <c r="E7578" s="209"/>
      <c r="J7578" s="124"/>
    </row>
    <row r="7579" spans="3:10" x14ac:dyDescent="0.2">
      <c r="C7579" s="209"/>
      <c r="D7579" s="209"/>
      <c r="E7579" s="209"/>
      <c r="J7579" s="124"/>
    </row>
    <row r="7580" spans="3:10" x14ac:dyDescent="0.2">
      <c r="C7580" s="209"/>
      <c r="D7580" s="209"/>
      <c r="E7580" s="209"/>
      <c r="J7580" s="124"/>
    </row>
    <row r="7581" spans="3:10" x14ac:dyDescent="0.2">
      <c r="C7581" s="209"/>
      <c r="D7581" s="209"/>
      <c r="E7581" s="209"/>
      <c r="J7581" s="124"/>
    </row>
    <row r="7582" spans="3:10" x14ac:dyDescent="0.2">
      <c r="C7582" s="209"/>
      <c r="D7582" s="209"/>
      <c r="E7582" s="209"/>
      <c r="J7582" s="124"/>
    </row>
    <row r="7583" spans="3:10" x14ac:dyDescent="0.2">
      <c r="C7583" s="209"/>
      <c r="D7583" s="209"/>
      <c r="E7583" s="209"/>
      <c r="J7583" s="124"/>
    </row>
    <row r="7584" spans="3:10" x14ac:dyDescent="0.2">
      <c r="C7584" s="209"/>
      <c r="D7584" s="209"/>
      <c r="E7584" s="209"/>
      <c r="J7584" s="124"/>
    </row>
    <row r="7585" spans="3:10" x14ac:dyDescent="0.2">
      <c r="C7585" s="209"/>
      <c r="D7585" s="209"/>
      <c r="E7585" s="209"/>
      <c r="J7585" s="124"/>
    </row>
    <row r="7586" spans="3:10" x14ac:dyDescent="0.2">
      <c r="C7586" s="209"/>
      <c r="D7586" s="209"/>
      <c r="E7586" s="209"/>
      <c r="J7586" s="124"/>
    </row>
    <row r="7587" spans="3:10" x14ac:dyDescent="0.2">
      <c r="C7587" s="209"/>
      <c r="D7587" s="209"/>
      <c r="E7587" s="209"/>
      <c r="J7587" s="124"/>
    </row>
    <row r="7588" spans="3:10" x14ac:dyDescent="0.2">
      <c r="C7588" s="209"/>
      <c r="D7588" s="209"/>
      <c r="E7588" s="209"/>
      <c r="J7588" s="124"/>
    </row>
    <row r="7589" spans="3:10" x14ac:dyDescent="0.2">
      <c r="C7589" s="209"/>
      <c r="D7589" s="209"/>
      <c r="E7589" s="209"/>
      <c r="J7589" s="124"/>
    </row>
    <row r="7590" spans="3:10" x14ac:dyDescent="0.2">
      <c r="C7590" s="209"/>
      <c r="D7590" s="209"/>
      <c r="E7590" s="209"/>
      <c r="J7590" s="124"/>
    </row>
    <row r="7591" spans="3:10" x14ac:dyDescent="0.2">
      <c r="C7591" s="209"/>
      <c r="D7591" s="209"/>
      <c r="E7591" s="209"/>
      <c r="J7591" s="124"/>
    </row>
    <row r="7592" spans="3:10" x14ac:dyDescent="0.2">
      <c r="C7592" s="209"/>
      <c r="D7592" s="209"/>
      <c r="E7592" s="209"/>
      <c r="J7592" s="124"/>
    </row>
    <row r="7593" spans="3:10" x14ac:dyDescent="0.2">
      <c r="C7593" s="209"/>
      <c r="D7593" s="209"/>
      <c r="E7593" s="209"/>
      <c r="J7593" s="124"/>
    </row>
    <row r="7594" spans="3:10" x14ac:dyDescent="0.2">
      <c r="C7594" s="209"/>
      <c r="D7594" s="209"/>
      <c r="E7594" s="209"/>
      <c r="J7594" s="124"/>
    </row>
    <row r="7595" spans="3:10" x14ac:dyDescent="0.2">
      <c r="C7595" s="209"/>
      <c r="D7595" s="209"/>
      <c r="E7595" s="209"/>
      <c r="J7595" s="124"/>
    </row>
    <row r="7596" spans="3:10" x14ac:dyDescent="0.2">
      <c r="C7596" s="209"/>
      <c r="D7596" s="209"/>
      <c r="E7596" s="209"/>
      <c r="J7596" s="124"/>
    </row>
    <row r="7597" spans="3:10" x14ac:dyDescent="0.2">
      <c r="C7597" s="209"/>
      <c r="D7597" s="209"/>
      <c r="E7597" s="209"/>
      <c r="J7597" s="124"/>
    </row>
    <row r="7598" spans="3:10" x14ac:dyDescent="0.2">
      <c r="C7598" s="209"/>
      <c r="D7598" s="209"/>
      <c r="E7598" s="209"/>
      <c r="J7598" s="124"/>
    </row>
    <row r="7599" spans="3:10" x14ac:dyDescent="0.2">
      <c r="C7599" s="209"/>
      <c r="D7599" s="209"/>
      <c r="E7599" s="209"/>
      <c r="J7599" s="124"/>
    </row>
    <row r="7600" spans="3:10" x14ac:dyDescent="0.2">
      <c r="C7600" s="209"/>
      <c r="D7600" s="209"/>
      <c r="E7600" s="209"/>
      <c r="J7600" s="124"/>
    </row>
    <row r="7601" spans="3:10" x14ac:dyDescent="0.2">
      <c r="C7601" s="209"/>
      <c r="D7601" s="209"/>
      <c r="E7601" s="209"/>
      <c r="J7601" s="124"/>
    </row>
    <row r="7602" spans="3:10" x14ac:dyDescent="0.2">
      <c r="C7602" s="209"/>
      <c r="D7602" s="209"/>
      <c r="E7602" s="209"/>
      <c r="J7602" s="124"/>
    </row>
    <row r="7603" spans="3:10" x14ac:dyDescent="0.2">
      <c r="C7603" s="209"/>
      <c r="D7603" s="209"/>
      <c r="E7603" s="209"/>
      <c r="J7603" s="124"/>
    </row>
    <row r="7604" spans="3:10" x14ac:dyDescent="0.2">
      <c r="C7604" s="209"/>
      <c r="D7604" s="209"/>
      <c r="E7604" s="209"/>
      <c r="J7604" s="124"/>
    </row>
    <row r="7605" spans="3:10" x14ac:dyDescent="0.2">
      <c r="C7605" s="209"/>
      <c r="D7605" s="209"/>
      <c r="E7605" s="209"/>
      <c r="J7605" s="124"/>
    </row>
    <row r="7606" spans="3:10" x14ac:dyDescent="0.2">
      <c r="C7606" s="209"/>
      <c r="D7606" s="209"/>
      <c r="E7606" s="209"/>
      <c r="J7606" s="124"/>
    </row>
    <row r="7607" spans="3:10" x14ac:dyDescent="0.2">
      <c r="C7607" s="209"/>
      <c r="D7607" s="209"/>
      <c r="E7607" s="209"/>
      <c r="J7607" s="124"/>
    </row>
    <row r="7608" spans="3:10" x14ac:dyDescent="0.2">
      <c r="C7608" s="209"/>
      <c r="D7608" s="209"/>
      <c r="E7608" s="209"/>
      <c r="J7608" s="124"/>
    </row>
    <row r="7609" spans="3:10" x14ac:dyDescent="0.2">
      <c r="C7609" s="209"/>
      <c r="D7609" s="209"/>
      <c r="E7609" s="209"/>
      <c r="J7609" s="124"/>
    </row>
    <row r="7610" spans="3:10" x14ac:dyDescent="0.2">
      <c r="C7610" s="209"/>
      <c r="D7610" s="209"/>
      <c r="E7610" s="209"/>
      <c r="J7610" s="124"/>
    </row>
    <row r="7611" spans="3:10" x14ac:dyDescent="0.2">
      <c r="C7611" s="209"/>
      <c r="D7611" s="209"/>
      <c r="E7611" s="209"/>
      <c r="J7611" s="124"/>
    </row>
    <row r="7612" spans="3:10" x14ac:dyDescent="0.2">
      <c r="C7612" s="209"/>
      <c r="D7612" s="209"/>
      <c r="E7612" s="209"/>
      <c r="J7612" s="124"/>
    </row>
    <row r="7613" spans="3:10" x14ac:dyDescent="0.2">
      <c r="C7613" s="209"/>
      <c r="D7613" s="209"/>
      <c r="E7613" s="209"/>
      <c r="J7613" s="124"/>
    </row>
    <row r="7614" spans="3:10" x14ac:dyDescent="0.2">
      <c r="C7614" s="209"/>
      <c r="D7614" s="209"/>
      <c r="E7614" s="209"/>
      <c r="J7614" s="124"/>
    </row>
    <row r="7615" spans="3:10" x14ac:dyDescent="0.2">
      <c r="C7615" s="209"/>
      <c r="D7615" s="209"/>
      <c r="E7615" s="209"/>
      <c r="J7615" s="124"/>
    </row>
    <row r="7616" spans="3:10" x14ac:dyDescent="0.2">
      <c r="C7616" s="209"/>
      <c r="D7616" s="209"/>
      <c r="E7616" s="209"/>
      <c r="J7616" s="124"/>
    </row>
    <row r="7617" spans="3:10" x14ac:dyDescent="0.2">
      <c r="C7617" s="209"/>
      <c r="D7617" s="209"/>
      <c r="E7617" s="209"/>
      <c r="J7617" s="124"/>
    </row>
    <row r="7618" spans="3:10" x14ac:dyDescent="0.2">
      <c r="C7618" s="209"/>
      <c r="D7618" s="209"/>
      <c r="E7618" s="209"/>
      <c r="J7618" s="124"/>
    </row>
    <row r="7619" spans="3:10" x14ac:dyDescent="0.2">
      <c r="C7619" s="209"/>
      <c r="D7619" s="209"/>
      <c r="E7619" s="209"/>
      <c r="J7619" s="124"/>
    </row>
    <row r="7620" spans="3:10" x14ac:dyDescent="0.2">
      <c r="C7620" s="209"/>
      <c r="D7620" s="209"/>
      <c r="E7620" s="209"/>
      <c r="J7620" s="124"/>
    </row>
    <row r="7621" spans="3:10" x14ac:dyDescent="0.2">
      <c r="C7621" s="209"/>
      <c r="D7621" s="209"/>
      <c r="E7621" s="209"/>
      <c r="J7621" s="124"/>
    </row>
    <row r="7622" spans="3:10" x14ac:dyDescent="0.2">
      <c r="C7622" s="209"/>
      <c r="D7622" s="209"/>
      <c r="E7622" s="209"/>
      <c r="J7622" s="124"/>
    </row>
    <row r="7623" spans="3:10" x14ac:dyDescent="0.2">
      <c r="C7623" s="209"/>
      <c r="D7623" s="209"/>
      <c r="E7623" s="209"/>
      <c r="J7623" s="124"/>
    </row>
    <row r="7624" spans="3:10" x14ac:dyDescent="0.2">
      <c r="C7624" s="209"/>
      <c r="D7624" s="209"/>
      <c r="E7624" s="209"/>
      <c r="J7624" s="124"/>
    </row>
    <row r="7625" spans="3:10" x14ac:dyDescent="0.2">
      <c r="C7625" s="209"/>
      <c r="D7625" s="209"/>
      <c r="E7625" s="209"/>
      <c r="J7625" s="124"/>
    </row>
    <row r="7626" spans="3:10" x14ac:dyDescent="0.2">
      <c r="C7626" s="209"/>
      <c r="D7626" s="209"/>
      <c r="E7626" s="209"/>
      <c r="J7626" s="124"/>
    </row>
    <row r="7627" spans="3:10" x14ac:dyDescent="0.2">
      <c r="C7627" s="209"/>
      <c r="D7627" s="209"/>
      <c r="E7627" s="209"/>
      <c r="J7627" s="124"/>
    </row>
    <row r="7628" spans="3:10" x14ac:dyDescent="0.2">
      <c r="C7628" s="209"/>
      <c r="D7628" s="209"/>
      <c r="E7628" s="209"/>
      <c r="J7628" s="124"/>
    </row>
    <row r="7629" spans="3:10" x14ac:dyDescent="0.2">
      <c r="C7629" s="209"/>
      <c r="D7629" s="209"/>
      <c r="E7629" s="209"/>
      <c r="J7629" s="124"/>
    </row>
    <row r="7630" spans="3:10" x14ac:dyDescent="0.2">
      <c r="C7630" s="209"/>
      <c r="D7630" s="209"/>
      <c r="E7630" s="209"/>
      <c r="J7630" s="124"/>
    </row>
    <row r="7631" spans="3:10" x14ac:dyDescent="0.2">
      <c r="C7631" s="209"/>
      <c r="D7631" s="209"/>
      <c r="E7631" s="209"/>
      <c r="J7631" s="124"/>
    </row>
    <row r="7632" spans="3:10" x14ac:dyDescent="0.2">
      <c r="C7632" s="209"/>
      <c r="D7632" s="209"/>
      <c r="E7632" s="209"/>
      <c r="J7632" s="124"/>
    </row>
    <row r="7633" spans="3:10" x14ac:dyDescent="0.2">
      <c r="C7633" s="209"/>
      <c r="D7633" s="209"/>
      <c r="E7633" s="209"/>
      <c r="J7633" s="124"/>
    </row>
    <row r="7634" spans="3:10" x14ac:dyDescent="0.2">
      <c r="C7634" s="209"/>
      <c r="D7634" s="209"/>
      <c r="E7634" s="209"/>
      <c r="J7634" s="124"/>
    </row>
    <row r="7635" spans="3:10" x14ac:dyDescent="0.2">
      <c r="C7635" s="209"/>
      <c r="D7635" s="209"/>
      <c r="E7635" s="209"/>
      <c r="J7635" s="124"/>
    </row>
    <row r="7636" spans="3:10" x14ac:dyDescent="0.2">
      <c r="C7636" s="209"/>
      <c r="D7636" s="209"/>
      <c r="E7636" s="209"/>
      <c r="J7636" s="124"/>
    </row>
    <row r="7637" spans="3:10" x14ac:dyDescent="0.2">
      <c r="C7637" s="209"/>
      <c r="D7637" s="209"/>
      <c r="E7637" s="209"/>
      <c r="J7637" s="124"/>
    </row>
    <row r="7638" spans="3:10" x14ac:dyDescent="0.2">
      <c r="C7638" s="209"/>
      <c r="D7638" s="209"/>
      <c r="E7638" s="209"/>
      <c r="J7638" s="124"/>
    </row>
    <row r="7639" spans="3:10" x14ac:dyDescent="0.2">
      <c r="C7639" s="209"/>
      <c r="D7639" s="209"/>
      <c r="E7639" s="209"/>
      <c r="J7639" s="124"/>
    </row>
    <row r="7640" spans="3:10" x14ac:dyDescent="0.2">
      <c r="C7640" s="209"/>
      <c r="D7640" s="209"/>
      <c r="E7640" s="209"/>
      <c r="J7640" s="124"/>
    </row>
    <row r="7641" spans="3:10" x14ac:dyDescent="0.2">
      <c r="C7641" s="209"/>
      <c r="D7641" s="209"/>
      <c r="E7641" s="209"/>
      <c r="J7641" s="124"/>
    </row>
    <row r="7642" spans="3:10" x14ac:dyDescent="0.2">
      <c r="C7642" s="209"/>
      <c r="D7642" s="209"/>
      <c r="E7642" s="209"/>
      <c r="J7642" s="124"/>
    </row>
    <row r="7643" spans="3:10" x14ac:dyDescent="0.2">
      <c r="C7643" s="209"/>
      <c r="D7643" s="209"/>
      <c r="E7643" s="209"/>
      <c r="J7643" s="124"/>
    </row>
    <row r="7644" spans="3:10" x14ac:dyDescent="0.2">
      <c r="C7644" s="209"/>
      <c r="D7644" s="209"/>
      <c r="E7644" s="209"/>
      <c r="J7644" s="124"/>
    </row>
    <row r="7645" spans="3:10" x14ac:dyDescent="0.2">
      <c r="C7645" s="209"/>
      <c r="D7645" s="209"/>
      <c r="E7645" s="209"/>
      <c r="J7645" s="124"/>
    </row>
    <row r="7646" spans="3:10" x14ac:dyDescent="0.2">
      <c r="C7646" s="209"/>
      <c r="D7646" s="209"/>
      <c r="E7646" s="209"/>
      <c r="J7646" s="124"/>
    </row>
    <row r="7647" spans="3:10" x14ac:dyDescent="0.2">
      <c r="C7647" s="209"/>
      <c r="D7647" s="209"/>
      <c r="E7647" s="209"/>
      <c r="J7647" s="124"/>
    </row>
    <row r="7648" spans="3:10" x14ac:dyDescent="0.2">
      <c r="C7648" s="209"/>
      <c r="D7648" s="209"/>
      <c r="E7648" s="209"/>
      <c r="J7648" s="124"/>
    </row>
    <row r="7649" spans="3:10" x14ac:dyDescent="0.2">
      <c r="C7649" s="209"/>
      <c r="D7649" s="209"/>
      <c r="E7649" s="209"/>
      <c r="J7649" s="124"/>
    </row>
    <row r="7650" spans="3:10" x14ac:dyDescent="0.2">
      <c r="C7650" s="209"/>
      <c r="D7650" s="209"/>
      <c r="E7650" s="209"/>
      <c r="J7650" s="124"/>
    </row>
    <row r="7651" spans="3:10" x14ac:dyDescent="0.2">
      <c r="C7651" s="209"/>
      <c r="D7651" s="209"/>
      <c r="E7651" s="209"/>
      <c r="J7651" s="124"/>
    </row>
    <row r="7652" spans="3:10" x14ac:dyDescent="0.2">
      <c r="C7652" s="209"/>
      <c r="D7652" s="209"/>
      <c r="E7652" s="209"/>
      <c r="J7652" s="124"/>
    </row>
    <row r="7653" spans="3:10" x14ac:dyDescent="0.2">
      <c r="C7653" s="209"/>
      <c r="D7653" s="209"/>
      <c r="E7653" s="209"/>
      <c r="J7653" s="124"/>
    </row>
    <row r="7654" spans="3:10" x14ac:dyDescent="0.2">
      <c r="C7654" s="209"/>
      <c r="D7654" s="209"/>
      <c r="E7654" s="209"/>
      <c r="J7654" s="124"/>
    </row>
    <row r="7655" spans="3:10" x14ac:dyDescent="0.2">
      <c r="C7655" s="209"/>
      <c r="D7655" s="209"/>
      <c r="E7655" s="209"/>
      <c r="J7655" s="124"/>
    </row>
    <row r="7656" spans="3:10" x14ac:dyDescent="0.2">
      <c r="C7656" s="209"/>
      <c r="D7656" s="209"/>
      <c r="E7656" s="209"/>
      <c r="J7656" s="124"/>
    </row>
    <row r="7657" spans="3:10" x14ac:dyDescent="0.2">
      <c r="C7657" s="209"/>
      <c r="D7657" s="209"/>
      <c r="E7657" s="209"/>
      <c r="J7657" s="124"/>
    </row>
    <row r="7658" spans="3:10" x14ac:dyDescent="0.2">
      <c r="C7658" s="209"/>
      <c r="D7658" s="209"/>
      <c r="E7658" s="209"/>
      <c r="J7658" s="124"/>
    </row>
    <row r="7659" spans="3:10" x14ac:dyDescent="0.2">
      <c r="C7659" s="209"/>
      <c r="D7659" s="209"/>
      <c r="E7659" s="209"/>
      <c r="J7659" s="124"/>
    </row>
    <row r="7660" spans="3:10" x14ac:dyDescent="0.2">
      <c r="C7660" s="209"/>
      <c r="D7660" s="209"/>
      <c r="E7660" s="209"/>
      <c r="J7660" s="124"/>
    </row>
    <row r="7661" spans="3:10" x14ac:dyDescent="0.2">
      <c r="C7661" s="209"/>
      <c r="D7661" s="209"/>
      <c r="E7661" s="209"/>
      <c r="J7661" s="124"/>
    </row>
    <row r="7662" spans="3:10" x14ac:dyDescent="0.2">
      <c r="C7662" s="209"/>
      <c r="D7662" s="209"/>
      <c r="E7662" s="209"/>
      <c r="J7662" s="124"/>
    </row>
    <row r="7663" spans="3:10" x14ac:dyDescent="0.2">
      <c r="C7663" s="209"/>
      <c r="D7663" s="209"/>
      <c r="E7663" s="209"/>
      <c r="J7663" s="124"/>
    </row>
    <row r="7664" spans="3:10" x14ac:dyDescent="0.2">
      <c r="C7664" s="209"/>
      <c r="D7664" s="209"/>
      <c r="E7664" s="209"/>
      <c r="J7664" s="124"/>
    </row>
    <row r="7665" spans="3:10" x14ac:dyDescent="0.2">
      <c r="C7665" s="209"/>
      <c r="D7665" s="209"/>
      <c r="E7665" s="209"/>
      <c r="J7665" s="124"/>
    </row>
    <row r="7666" spans="3:10" x14ac:dyDescent="0.2">
      <c r="C7666" s="209"/>
      <c r="D7666" s="209"/>
      <c r="E7666" s="209"/>
      <c r="J7666" s="124"/>
    </row>
    <row r="7667" spans="3:10" x14ac:dyDescent="0.2">
      <c r="C7667" s="209"/>
      <c r="D7667" s="209"/>
      <c r="E7667" s="209"/>
      <c r="J7667" s="124"/>
    </row>
    <row r="7668" spans="3:10" x14ac:dyDescent="0.2">
      <c r="C7668" s="209"/>
      <c r="D7668" s="209"/>
      <c r="E7668" s="209"/>
      <c r="J7668" s="124"/>
    </row>
    <row r="7669" spans="3:10" x14ac:dyDescent="0.2">
      <c r="C7669" s="209"/>
      <c r="D7669" s="209"/>
      <c r="E7669" s="209"/>
      <c r="J7669" s="124"/>
    </row>
    <row r="7670" spans="3:10" x14ac:dyDescent="0.2">
      <c r="C7670" s="209"/>
      <c r="D7670" s="209"/>
      <c r="E7670" s="209"/>
      <c r="J7670" s="124"/>
    </row>
    <row r="7671" spans="3:10" x14ac:dyDescent="0.2">
      <c r="C7671" s="209"/>
      <c r="D7671" s="209"/>
      <c r="E7671" s="209"/>
      <c r="J7671" s="124"/>
    </row>
    <row r="7672" spans="3:10" x14ac:dyDescent="0.2">
      <c r="C7672" s="209"/>
      <c r="D7672" s="209"/>
      <c r="E7672" s="209"/>
      <c r="J7672" s="124"/>
    </row>
    <row r="7673" spans="3:10" x14ac:dyDescent="0.2">
      <c r="C7673" s="209"/>
      <c r="D7673" s="209"/>
      <c r="E7673" s="209"/>
      <c r="J7673" s="124"/>
    </row>
    <row r="7674" spans="3:10" x14ac:dyDescent="0.2">
      <c r="C7674" s="209"/>
      <c r="D7674" s="209"/>
      <c r="E7674" s="209"/>
      <c r="J7674" s="124"/>
    </row>
    <row r="7675" spans="3:10" x14ac:dyDescent="0.2">
      <c r="C7675" s="209"/>
      <c r="D7675" s="209"/>
      <c r="E7675" s="209"/>
      <c r="J7675" s="124"/>
    </row>
    <row r="7676" spans="3:10" x14ac:dyDescent="0.2">
      <c r="C7676" s="209"/>
      <c r="D7676" s="209"/>
      <c r="E7676" s="209"/>
      <c r="J7676" s="124"/>
    </row>
    <row r="7677" spans="3:10" x14ac:dyDescent="0.2">
      <c r="C7677" s="209"/>
      <c r="D7677" s="209"/>
      <c r="E7677" s="209"/>
      <c r="J7677" s="124"/>
    </row>
    <row r="7678" spans="3:10" x14ac:dyDescent="0.2">
      <c r="C7678" s="209"/>
      <c r="D7678" s="209"/>
      <c r="E7678" s="209"/>
      <c r="J7678" s="124"/>
    </row>
    <row r="7679" spans="3:10" x14ac:dyDescent="0.2">
      <c r="C7679" s="209"/>
      <c r="D7679" s="209"/>
      <c r="E7679" s="209"/>
      <c r="J7679" s="124"/>
    </row>
    <row r="7680" spans="3:10" x14ac:dyDescent="0.2">
      <c r="C7680" s="209"/>
      <c r="D7680" s="209"/>
      <c r="E7680" s="209"/>
      <c r="J7680" s="124"/>
    </row>
    <row r="7681" spans="3:10" x14ac:dyDescent="0.2">
      <c r="C7681" s="209"/>
      <c r="D7681" s="209"/>
      <c r="E7681" s="209"/>
      <c r="J7681" s="124"/>
    </row>
    <row r="7682" spans="3:10" x14ac:dyDescent="0.2">
      <c r="C7682" s="209"/>
      <c r="D7682" s="209"/>
      <c r="E7682" s="209"/>
      <c r="J7682" s="124"/>
    </row>
    <row r="7683" spans="3:10" x14ac:dyDescent="0.2">
      <c r="C7683" s="209"/>
      <c r="D7683" s="209"/>
      <c r="E7683" s="209"/>
      <c r="J7683" s="124"/>
    </row>
    <row r="7684" spans="3:10" x14ac:dyDescent="0.2">
      <c r="C7684" s="209"/>
      <c r="D7684" s="209"/>
      <c r="E7684" s="209"/>
      <c r="J7684" s="124"/>
    </row>
    <row r="7685" spans="3:10" x14ac:dyDescent="0.2">
      <c r="C7685" s="209"/>
      <c r="D7685" s="209"/>
      <c r="E7685" s="209"/>
      <c r="J7685" s="124"/>
    </row>
    <row r="7686" spans="3:10" x14ac:dyDescent="0.2">
      <c r="C7686" s="209"/>
      <c r="D7686" s="209"/>
      <c r="E7686" s="209"/>
      <c r="J7686" s="124"/>
    </row>
    <row r="7687" spans="3:10" x14ac:dyDescent="0.2">
      <c r="C7687" s="209"/>
      <c r="D7687" s="209"/>
      <c r="E7687" s="209"/>
      <c r="J7687" s="124"/>
    </row>
    <row r="7688" spans="3:10" x14ac:dyDescent="0.2">
      <c r="C7688" s="209"/>
      <c r="D7688" s="209"/>
      <c r="E7688" s="209"/>
      <c r="J7688" s="124"/>
    </row>
    <row r="7689" spans="3:10" x14ac:dyDescent="0.2">
      <c r="C7689" s="209"/>
      <c r="D7689" s="209"/>
      <c r="E7689" s="209"/>
      <c r="J7689" s="124"/>
    </row>
    <row r="7690" spans="3:10" x14ac:dyDescent="0.2">
      <c r="C7690" s="209"/>
      <c r="D7690" s="209"/>
      <c r="E7690" s="209"/>
      <c r="J7690" s="124"/>
    </row>
    <row r="7691" spans="3:10" x14ac:dyDescent="0.2">
      <c r="C7691" s="209"/>
      <c r="D7691" s="209"/>
      <c r="E7691" s="209"/>
      <c r="J7691" s="124"/>
    </row>
    <row r="7692" spans="3:10" x14ac:dyDescent="0.2">
      <c r="C7692" s="209"/>
      <c r="D7692" s="209"/>
      <c r="E7692" s="209"/>
      <c r="J7692" s="124"/>
    </row>
    <row r="7693" spans="3:10" x14ac:dyDescent="0.2">
      <c r="C7693" s="209"/>
      <c r="D7693" s="209"/>
      <c r="E7693" s="209"/>
      <c r="J7693" s="124"/>
    </row>
    <row r="7694" spans="3:10" x14ac:dyDescent="0.2">
      <c r="C7694" s="209"/>
      <c r="D7694" s="209"/>
      <c r="E7694" s="209"/>
      <c r="J7694" s="124"/>
    </row>
    <row r="7695" spans="3:10" x14ac:dyDescent="0.2">
      <c r="C7695" s="209"/>
      <c r="D7695" s="209"/>
      <c r="E7695" s="209"/>
      <c r="J7695" s="124"/>
    </row>
    <row r="7696" spans="3:10" x14ac:dyDescent="0.2">
      <c r="C7696" s="209"/>
      <c r="D7696" s="209"/>
      <c r="E7696" s="209"/>
      <c r="J7696" s="124"/>
    </row>
    <row r="7697" spans="3:10" x14ac:dyDescent="0.2">
      <c r="C7697" s="209"/>
      <c r="D7697" s="209"/>
      <c r="E7697" s="209"/>
      <c r="J7697" s="124"/>
    </row>
    <row r="7698" spans="3:10" x14ac:dyDescent="0.2">
      <c r="C7698" s="209"/>
      <c r="D7698" s="209"/>
      <c r="E7698" s="209"/>
      <c r="J7698" s="124"/>
    </row>
    <row r="7699" spans="3:10" x14ac:dyDescent="0.2">
      <c r="C7699" s="209"/>
      <c r="D7699" s="209"/>
      <c r="E7699" s="209"/>
      <c r="J7699" s="124"/>
    </row>
    <row r="7700" spans="3:10" x14ac:dyDescent="0.2">
      <c r="C7700" s="209"/>
      <c r="D7700" s="209"/>
      <c r="E7700" s="209"/>
      <c r="J7700" s="124"/>
    </row>
    <row r="7701" spans="3:10" x14ac:dyDescent="0.2">
      <c r="C7701" s="209"/>
      <c r="D7701" s="209"/>
      <c r="E7701" s="209"/>
      <c r="J7701" s="124"/>
    </row>
    <row r="7702" spans="3:10" x14ac:dyDescent="0.2">
      <c r="C7702" s="209"/>
      <c r="D7702" s="209"/>
      <c r="E7702" s="209"/>
      <c r="J7702" s="124"/>
    </row>
    <row r="7703" spans="3:10" x14ac:dyDescent="0.2">
      <c r="C7703" s="209"/>
      <c r="D7703" s="209"/>
      <c r="E7703" s="209"/>
      <c r="J7703" s="124"/>
    </row>
    <row r="7704" spans="3:10" x14ac:dyDescent="0.2">
      <c r="C7704" s="209"/>
      <c r="D7704" s="209"/>
      <c r="E7704" s="209"/>
      <c r="J7704" s="124"/>
    </row>
    <row r="7705" spans="3:10" x14ac:dyDescent="0.2">
      <c r="C7705" s="209"/>
      <c r="D7705" s="209"/>
      <c r="E7705" s="209"/>
      <c r="J7705" s="124"/>
    </row>
    <row r="7706" spans="3:10" x14ac:dyDescent="0.2">
      <c r="C7706" s="209"/>
      <c r="D7706" s="209"/>
      <c r="E7706" s="209"/>
      <c r="J7706" s="124"/>
    </row>
    <row r="7707" spans="3:10" x14ac:dyDescent="0.2">
      <c r="C7707" s="209"/>
      <c r="D7707" s="209"/>
      <c r="E7707" s="209"/>
      <c r="J7707" s="124"/>
    </row>
    <row r="7708" spans="3:10" x14ac:dyDescent="0.2">
      <c r="C7708" s="209"/>
      <c r="D7708" s="209"/>
      <c r="E7708" s="209"/>
      <c r="J7708" s="124"/>
    </row>
    <row r="7709" spans="3:10" x14ac:dyDescent="0.2">
      <c r="C7709" s="209"/>
      <c r="D7709" s="209"/>
      <c r="E7709" s="209"/>
      <c r="J7709" s="124"/>
    </row>
    <row r="7710" spans="3:10" x14ac:dyDescent="0.2">
      <c r="C7710" s="209"/>
      <c r="D7710" s="209"/>
      <c r="E7710" s="209"/>
      <c r="J7710" s="124"/>
    </row>
    <row r="7711" spans="3:10" x14ac:dyDescent="0.2">
      <c r="C7711" s="209"/>
      <c r="D7711" s="209"/>
      <c r="E7711" s="209"/>
      <c r="J7711" s="124"/>
    </row>
    <row r="7712" spans="3:10" x14ac:dyDescent="0.2">
      <c r="C7712" s="209"/>
      <c r="D7712" s="209"/>
      <c r="E7712" s="209"/>
      <c r="J7712" s="124"/>
    </row>
    <row r="7713" spans="3:10" x14ac:dyDescent="0.2">
      <c r="C7713" s="209"/>
      <c r="D7713" s="209"/>
      <c r="E7713" s="209"/>
      <c r="J7713" s="124"/>
    </row>
    <row r="7714" spans="3:10" x14ac:dyDescent="0.2">
      <c r="C7714" s="209"/>
      <c r="D7714" s="209"/>
      <c r="E7714" s="209"/>
      <c r="J7714" s="124"/>
    </row>
    <row r="7715" spans="3:10" x14ac:dyDescent="0.2">
      <c r="C7715" s="209"/>
      <c r="D7715" s="209"/>
      <c r="E7715" s="209"/>
      <c r="J7715" s="124"/>
    </row>
    <row r="7716" spans="3:10" x14ac:dyDescent="0.2">
      <c r="C7716" s="209"/>
      <c r="D7716" s="209"/>
      <c r="E7716" s="209"/>
      <c r="J7716" s="124"/>
    </row>
    <row r="7717" spans="3:10" x14ac:dyDescent="0.2">
      <c r="C7717" s="209"/>
      <c r="D7717" s="209"/>
      <c r="E7717" s="209"/>
      <c r="J7717" s="124"/>
    </row>
    <row r="7718" spans="3:10" x14ac:dyDescent="0.2">
      <c r="C7718" s="209"/>
      <c r="D7718" s="209"/>
      <c r="E7718" s="209"/>
      <c r="J7718" s="124"/>
    </row>
    <row r="7719" spans="3:10" x14ac:dyDescent="0.2">
      <c r="C7719" s="209"/>
      <c r="D7719" s="209"/>
      <c r="E7719" s="209"/>
      <c r="J7719" s="124"/>
    </row>
    <row r="7720" spans="3:10" x14ac:dyDescent="0.2">
      <c r="C7720" s="209"/>
      <c r="D7720" s="209"/>
      <c r="E7720" s="209"/>
      <c r="J7720" s="124"/>
    </row>
    <row r="7721" spans="3:10" x14ac:dyDescent="0.2">
      <c r="C7721" s="209"/>
      <c r="D7721" s="209"/>
      <c r="E7721" s="209"/>
      <c r="J7721" s="124"/>
    </row>
    <row r="7722" spans="3:10" x14ac:dyDescent="0.2">
      <c r="C7722" s="209"/>
      <c r="D7722" s="209"/>
      <c r="E7722" s="209"/>
      <c r="J7722" s="124"/>
    </row>
    <row r="7723" spans="3:10" x14ac:dyDescent="0.2">
      <c r="C7723" s="209"/>
      <c r="D7723" s="209"/>
      <c r="E7723" s="209"/>
      <c r="J7723" s="124"/>
    </row>
    <row r="7724" spans="3:10" x14ac:dyDescent="0.2">
      <c r="C7724" s="209"/>
      <c r="D7724" s="209"/>
      <c r="E7724" s="209"/>
      <c r="J7724" s="124"/>
    </row>
    <row r="7725" spans="3:10" x14ac:dyDescent="0.2">
      <c r="C7725" s="209"/>
      <c r="D7725" s="209"/>
      <c r="E7725" s="209"/>
      <c r="J7725" s="124"/>
    </row>
    <row r="7726" spans="3:10" x14ac:dyDescent="0.2">
      <c r="C7726" s="209"/>
      <c r="D7726" s="209"/>
      <c r="E7726" s="209"/>
      <c r="J7726" s="124"/>
    </row>
    <row r="7727" spans="3:10" x14ac:dyDescent="0.2">
      <c r="C7727" s="209"/>
      <c r="D7727" s="209"/>
      <c r="E7727" s="209"/>
      <c r="J7727" s="124"/>
    </row>
    <row r="7728" spans="3:10" x14ac:dyDescent="0.2">
      <c r="C7728" s="209"/>
      <c r="D7728" s="209"/>
      <c r="E7728" s="209"/>
      <c r="J7728" s="124"/>
    </row>
    <row r="7729" spans="3:10" x14ac:dyDescent="0.2">
      <c r="C7729" s="209"/>
      <c r="D7729" s="209"/>
      <c r="E7729" s="209"/>
      <c r="J7729" s="124"/>
    </row>
    <row r="7730" spans="3:10" x14ac:dyDescent="0.2">
      <c r="C7730" s="209"/>
      <c r="D7730" s="209"/>
      <c r="E7730" s="209"/>
      <c r="J7730" s="124"/>
    </row>
    <row r="7731" spans="3:10" x14ac:dyDescent="0.2">
      <c r="C7731" s="209"/>
      <c r="D7731" s="209"/>
      <c r="E7731" s="209"/>
      <c r="J7731" s="124"/>
    </row>
    <row r="7732" spans="3:10" x14ac:dyDescent="0.2">
      <c r="C7732" s="209"/>
      <c r="D7732" s="209"/>
      <c r="E7732" s="209"/>
      <c r="J7732" s="124"/>
    </row>
    <row r="7733" spans="3:10" x14ac:dyDescent="0.2">
      <c r="C7733" s="209"/>
      <c r="D7733" s="209"/>
      <c r="E7733" s="209"/>
      <c r="J7733" s="124"/>
    </row>
    <row r="7734" spans="3:10" x14ac:dyDescent="0.2">
      <c r="C7734" s="209"/>
      <c r="D7734" s="209"/>
      <c r="E7734" s="209"/>
      <c r="J7734" s="124"/>
    </row>
    <row r="7735" spans="3:10" x14ac:dyDescent="0.2">
      <c r="C7735" s="209"/>
      <c r="D7735" s="209"/>
      <c r="E7735" s="209"/>
      <c r="J7735" s="124"/>
    </row>
    <row r="7736" spans="3:10" x14ac:dyDescent="0.2">
      <c r="C7736" s="209"/>
      <c r="D7736" s="209"/>
      <c r="E7736" s="209"/>
      <c r="J7736" s="124"/>
    </row>
    <row r="7737" spans="3:10" x14ac:dyDescent="0.2">
      <c r="C7737" s="209"/>
      <c r="D7737" s="209"/>
      <c r="E7737" s="209"/>
      <c r="J7737" s="124"/>
    </row>
    <row r="7738" spans="3:10" x14ac:dyDescent="0.2">
      <c r="C7738" s="209"/>
      <c r="D7738" s="209"/>
      <c r="E7738" s="209"/>
      <c r="J7738" s="124"/>
    </row>
    <row r="7739" spans="3:10" x14ac:dyDescent="0.2">
      <c r="C7739" s="209"/>
      <c r="D7739" s="209"/>
      <c r="E7739" s="209"/>
      <c r="J7739" s="124"/>
    </row>
    <row r="7740" spans="3:10" x14ac:dyDescent="0.2">
      <c r="C7740" s="209"/>
      <c r="D7740" s="209"/>
      <c r="E7740" s="209"/>
      <c r="J7740" s="124"/>
    </row>
    <row r="7741" spans="3:10" x14ac:dyDescent="0.2">
      <c r="C7741" s="209"/>
      <c r="D7741" s="209"/>
      <c r="E7741" s="209"/>
      <c r="J7741" s="124"/>
    </row>
    <row r="7742" spans="3:10" x14ac:dyDescent="0.2">
      <c r="C7742" s="209"/>
      <c r="D7742" s="209"/>
      <c r="E7742" s="209"/>
      <c r="J7742" s="124"/>
    </row>
    <row r="7743" spans="3:10" x14ac:dyDescent="0.2">
      <c r="C7743" s="209"/>
      <c r="D7743" s="209"/>
      <c r="E7743" s="209"/>
      <c r="J7743" s="124"/>
    </row>
    <row r="7744" spans="3:10" x14ac:dyDescent="0.2">
      <c r="C7744" s="209"/>
      <c r="D7744" s="209"/>
      <c r="E7744" s="209"/>
      <c r="J7744" s="124"/>
    </row>
    <row r="7745" spans="3:10" x14ac:dyDescent="0.2">
      <c r="C7745" s="209"/>
      <c r="D7745" s="209"/>
      <c r="E7745" s="209"/>
      <c r="J7745" s="124"/>
    </row>
    <row r="7746" spans="3:10" x14ac:dyDescent="0.2">
      <c r="C7746" s="209"/>
      <c r="D7746" s="209"/>
      <c r="E7746" s="209"/>
      <c r="J7746" s="124"/>
    </row>
    <row r="7747" spans="3:10" x14ac:dyDescent="0.2">
      <c r="C7747" s="209"/>
      <c r="D7747" s="209"/>
      <c r="E7747" s="209"/>
      <c r="J7747" s="124"/>
    </row>
    <row r="7748" spans="3:10" x14ac:dyDescent="0.2">
      <c r="C7748" s="209"/>
      <c r="D7748" s="209"/>
      <c r="E7748" s="209"/>
      <c r="J7748" s="124"/>
    </row>
    <row r="7749" spans="3:10" x14ac:dyDescent="0.2">
      <c r="C7749" s="209"/>
      <c r="D7749" s="209"/>
      <c r="E7749" s="209"/>
      <c r="J7749" s="124"/>
    </row>
    <row r="7750" spans="3:10" x14ac:dyDescent="0.2">
      <c r="C7750" s="209"/>
      <c r="D7750" s="209"/>
      <c r="E7750" s="209"/>
      <c r="J7750" s="124"/>
    </row>
    <row r="7751" spans="3:10" x14ac:dyDescent="0.2">
      <c r="C7751" s="209"/>
      <c r="D7751" s="209"/>
      <c r="E7751" s="209"/>
      <c r="J7751" s="124"/>
    </row>
    <row r="7752" spans="3:10" x14ac:dyDescent="0.2">
      <c r="C7752" s="209"/>
      <c r="D7752" s="209"/>
      <c r="E7752" s="209"/>
      <c r="J7752" s="124"/>
    </row>
    <row r="7753" spans="3:10" x14ac:dyDescent="0.2">
      <c r="C7753" s="209"/>
      <c r="D7753" s="209"/>
      <c r="E7753" s="209"/>
      <c r="J7753" s="124"/>
    </row>
    <row r="7754" spans="3:10" x14ac:dyDescent="0.2">
      <c r="C7754" s="209"/>
      <c r="D7754" s="209"/>
      <c r="E7754" s="209"/>
      <c r="J7754" s="124"/>
    </row>
    <row r="7755" spans="3:10" x14ac:dyDescent="0.2">
      <c r="C7755" s="209"/>
      <c r="D7755" s="209"/>
      <c r="E7755" s="209"/>
      <c r="J7755" s="124"/>
    </row>
    <row r="7756" spans="3:10" x14ac:dyDescent="0.2">
      <c r="C7756" s="209"/>
      <c r="D7756" s="209"/>
      <c r="E7756" s="209"/>
      <c r="J7756" s="124"/>
    </row>
    <row r="7757" spans="3:10" x14ac:dyDescent="0.2">
      <c r="C7757" s="209"/>
      <c r="D7757" s="209"/>
      <c r="E7757" s="209"/>
      <c r="J7757" s="124"/>
    </row>
    <row r="7758" spans="3:10" x14ac:dyDescent="0.2">
      <c r="C7758" s="209"/>
      <c r="D7758" s="209"/>
      <c r="E7758" s="209"/>
      <c r="J7758" s="124"/>
    </row>
    <row r="7759" spans="3:10" x14ac:dyDescent="0.2">
      <c r="C7759" s="209"/>
      <c r="D7759" s="209"/>
      <c r="E7759" s="209"/>
      <c r="J7759" s="124"/>
    </row>
    <row r="7760" spans="3:10" x14ac:dyDescent="0.2">
      <c r="C7760" s="209"/>
      <c r="D7760" s="209"/>
      <c r="E7760" s="209"/>
      <c r="J7760" s="124"/>
    </row>
    <row r="7761" spans="3:10" x14ac:dyDescent="0.2">
      <c r="C7761" s="209"/>
      <c r="D7761" s="209"/>
      <c r="E7761" s="209"/>
      <c r="J7761" s="124"/>
    </row>
    <row r="7762" spans="3:10" x14ac:dyDescent="0.2">
      <c r="C7762" s="209"/>
      <c r="D7762" s="209"/>
      <c r="E7762" s="209"/>
      <c r="J7762" s="124"/>
    </row>
    <row r="7763" spans="3:10" x14ac:dyDescent="0.2">
      <c r="C7763" s="209"/>
      <c r="D7763" s="209"/>
      <c r="E7763" s="209"/>
      <c r="J7763" s="124"/>
    </row>
    <row r="7764" spans="3:10" x14ac:dyDescent="0.2">
      <c r="C7764" s="209"/>
      <c r="D7764" s="209"/>
      <c r="E7764" s="209"/>
      <c r="J7764" s="124"/>
    </row>
    <row r="7765" spans="3:10" x14ac:dyDescent="0.2">
      <c r="C7765" s="209"/>
      <c r="D7765" s="209"/>
      <c r="E7765" s="209"/>
      <c r="J7765" s="124"/>
    </row>
    <row r="7766" spans="3:10" x14ac:dyDescent="0.2">
      <c r="C7766" s="209"/>
      <c r="D7766" s="209"/>
      <c r="E7766" s="209"/>
      <c r="J7766" s="124"/>
    </row>
    <row r="7767" spans="3:10" x14ac:dyDescent="0.2">
      <c r="C7767" s="209"/>
      <c r="D7767" s="209"/>
      <c r="E7767" s="209"/>
      <c r="J7767" s="124"/>
    </row>
    <row r="7768" spans="3:10" x14ac:dyDescent="0.2">
      <c r="C7768" s="209"/>
      <c r="D7768" s="209"/>
      <c r="E7768" s="209"/>
      <c r="J7768" s="124"/>
    </row>
    <row r="7769" spans="3:10" x14ac:dyDescent="0.2">
      <c r="C7769" s="209"/>
      <c r="D7769" s="209"/>
      <c r="E7769" s="209"/>
      <c r="J7769" s="124"/>
    </row>
    <row r="7770" spans="3:10" x14ac:dyDescent="0.2">
      <c r="C7770" s="209"/>
      <c r="D7770" s="209"/>
      <c r="E7770" s="209"/>
      <c r="J7770" s="124"/>
    </row>
    <row r="7771" spans="3:10" x14ac:dyDescent="0.2">
      <c r="C7771" s="209"/>
      <c r="D7771" s="209"/>
      <c r="E7771" s="209"/>
      <c r="J7771" s="124"/>
    </row>
    <row r="7772" spans="3:10" x14ac:dyDescent="0.2">
      <c r="C7772" s="209"/>
      <c r="D7772" s="209"/>
      <c r="E7772" s="209"/>
      <c r="J7772" s="124"/>
    </row>
    <row r="7773" spans="3:10" x14ac:dyDescent="0.2">
      <c r="C7773" s="209"/>
      <c r="D7773" s="209"/>
      <c r="E7773" s="209"/>
      <c r="J7773" s="124"/>
    </row>
    <row r="7774" spans="3:10" x14ac:dyDescent="0.2">
      <c r="C7774" s="209"/>
      <c r="D7774" s="209"/>
      <c r="E7774" s="209"/>
      <c r="J7774" s="124"/>
    </row>
    <row r="7775" spans="3:10" x14ac:dyDescent="0.2">
      <c r="C7775" s="209"/>
      <c r="D7775" s="209"/>
      <c r="E7775" s="209"/>
      <c r="J7775" s="124"/>
    </row>
    <row r="7776" spans="3:10" x14ac:dyDescent="0.2">
      <c r="C7776" s="209"/>
      <c r="D7776" s="209"/>
      <c r="E7776" s="209"/>
      <c r="J7776" s="124"/>
    </row>
    <row r="7777" spans="3:10" x14ac:dyDescent="0.2">
      <c r="C7777" s="209"/>
      <c r="D7777" s="209"/>
      <c r="E7777" s="209"/>
      <c r="J7777" s="124"/>
    </row>
    <row r="7778" spans="3:10" x14ac:dyDescent="0.2">
      <c r="C7778" s="209"/>
      <c r="D7778" s="209"/>
      <c r="E7778" s="209"/>
      <c r="J7778" s="124"/>
    </row>
    <row r="7779" spans="3:10" x14ac:dyDescent="0.2">
      <c r="C7779" s="209"/>
      <c r="D7779" s="209"/>
      <c r="E7779" s="209"/>
      <c r="J7779" s="124"/>
    </row>
    <row r="7780" spans="3:10" x14ac:dyDescent="0.2">
      <c r="C7780" s="209"/>
      <c r="D7780" s="209"/>
      <c r="E7780" s="209"/>
      <c r="J7780" s="124"/>
    </row>
    <row r="7781" spans="3:10" x14ac:dyDescent="0.2">
      <c r="C7781" s="209"/>
      <c r="D7781" s="209"/>
      <c r="E7781" s="209"/>
      <c r="J7781" s="124"/>
    </row>
    <row r="7782" spans="3:10" x14ac:dyDescent="0.2">
      <c r="C7782" s="209"/>
      <c r="D7782" s="209"/>
      <c r="E7782" s="209"/>
      <c r="J7782" s="124"/>
    </row>
    <row r="7783" spans="3:10" x14ac:dyDescent="0.2">
      <c r="C7783" s="209"/>
      <c r="D7783" s="209"/>
      <c r="E7783" s="209"/>
      <c r="J7783" s="124"/>
    </row>
    <row r="7784" spans="3:10" x14ac:dyDescent="0.2">
      <c r="C7784" s="209"/>
      <c r="D7784" s="209"/>
      <c r="E7784" s="209"/>
      <c r="J7784" s="124"/>
    </row>
    <row r="7785" spans="3:10" x14ac:dyDescent="0.2">
      <c r="C7785" s="209"/>
      <c r="D7785" s="209"/>
      <c r="E7785" s="209"/>
      <c r="J7785" s="124"/>
    </row>
    <row r="7786" spans="3:10" x14ac:dyDescent="0.2">
      <c r="C7786" s="209"/>
      <c r="D7786" s="209"/>
      <c r="E7786" s="209"/>
      <c r="J7786" s="124"/>
    </row>
    <row r="7787" spans="3:10" x14ac:dyDescent="0.2">
      <c r="C7787" s="209"/>
      <c r="D7787" s="209"/>
      <c r="E7787" s="209"/>
      <c r="J7787" s="124"/>
    </row>
    <row r="7788" spans="3:10" x14ac:dyDescent="0.2">
      <c r="C7788" s="209"/>
      <c r="D7788" s="209"/>
      <c r="E7788" s="209"/>
      <c r="J7788" s="124"/>
    </row>
    <row r="7789" spans="3:10" x14ac:dyDescent="0.2">
      <c r="C7789" s="209"/>
      <c r="D7789" s="209"/>
      <c r="E7789" s="209"/>
      <c r="J7789" s="124"/>
    </row>
    <row r="7790" spans="3:10" x14ac:dyDescent="0.2">
      <c r="C7790" s="209"/>
      <c r="D7790" s="209"/>
      <c r="E7790" s="209"/>
      <c r="J7790" s="124"/>
    </row>
    <row r="7791" spans="3:10" x14ac:dyDescent="0.2">
      <c r="C7791" s="209"/>
      <c r="D7791" s="209"/>
      <c r="E7791" s="209"/>
      <c r="J7791" s="124"/>
    </row>
    <row r="7792" spans="3:10" x14ac:dyDescent="0.2">
      <c r="C7792" s="209"/>
      <c r="D7792" s="209"/>
      <c r="E7792" s="209"/>
      <c r="J7792" s="124"/>
    </row>
    <row r="7793" spans="3:10" x14ac:dyDescent="0.2">
      <c r="C7793" s="209"/>
      <c r="D7793" s="209"/>
      <c r="E7793" s="209"/>
      <c r="J7793" s="124"/>
    </row>
    <row r="7794" spans="3:10" x14ac:dyDescent="0.2">
      <c r="C7794" s="209"/>
      <c r="D7794" s="209"/>
      <c r="E7794" s="209"/>
      <c r="J7794" s="124"/>
    </row>
    <row r="7795" spans="3:10" x14ac:dyDescent="0.2">
      <c r="C7795" s="209"/>
      <c r="D7795" s="209"/>
      <c r="E7795" s="209"/>
      <c r="J7795" s="124"/>
    </row>
    <row r="7796" spans="3:10" x14ac:dyDescent="0.2">
      <c r="C7796" s="209"/>
      <c r="D7796" s="209"/>
      <c r="E7796" s="209"/>
      <c r="J7796" s="124"/>
    </row>
    <row r="7797" spans="3:10" x14ac:dyDescent="0.2">
      <c r="C7797" s="209"/>
      <c r="D7797" s="209"/>
      <c r="E7797" s="209"/>
      <c r="J7797" s="124"/>
    </row>
    <row r="7798" spans="3:10" x14ac:dyDescent="0.2">
      <c r="C7798" s="209"/>
      <c r="D7798" s="209"/>
      <c r="E7798" s="209"/>
      <c r="J7798" s="124"/>
    </row>
    <row r="7799" spans="3:10" x14ac:dyDescent="0.2">
      <c r="C7799" s="209"/>
      <c r="D7799" s="209"/>
      <c r="E7799" s="209"/>
      <c r="J7799" s="124"/>
    </row>
    <row r="7800" spans="3:10" x14ac:dyDescent="0.2">
      <c r="C7800" s="209"/>
      <c r="D7800" s="209"/>
      <c r="E7800" s="209"/>
      <c r="J7800" s="124"/>
    </row>
    <row r="7801" spans="3:10" x14ac:dyDescent="0.2">
      <c r="C7801" s="209"/>
      <c r="D7801" s="209"/>
      <c r="E7801" s="209"/>
      <c r="J7801" s="124"/>
    </row>
    <row r="7802" spans="3:10" x14ac:dyDescent="0.2">
      <c r="C7802" s="209"/>
      <c r="D7802" s="209"/>
      <c r="E7802" s="209"/>
      <c r="J7802" s="124"/>
    </row>
    <row r="7803" spans="3:10" x14ac:dyDescent="0.2">
      <c r="C7803" s="209"/>
      <c r="D7803" s="209"/>
      <c r="E7803" s="209"/>
      <c r="J7803" s="124"/>
    </row>
    <row r="7804" spans="3:10" x14ac:dyDescent="0.2">
      <c r="C7804" s="209"/>
      <c r="D7804" s="209"/>
      <c r="E7804" s="209"/>
      <c r="J7804" s="124"/>
    </row>
    <row r="7805" spans="3:10" x14ac:dyDescent="0.2">
      <c r="C7805" s="209"/>
      <c r="D7805" s="209"/>
      <c r="E7805" s="209"/>
      <c r="J7805" s="124"/>
    </row>
    <row r="7806" spans="3:10" x14ac:dyDescent="0.2">
      <c r="C7806" s="209"/>
      <c r="D7806" s="209"/>
      <c r="E7806" s="209"/>
      <c r="J7806" s="124"/>
    </row>
    <row r="7807" spans="3:10" x14ac:dyDescent="0.2">
      <c r="C7807" s="209"/>
      <c r="D7807" s="209"/>
      <c r="E7807" s="209"/>
      <c r="J7807" s="124"/>
    </row>
    <row r="7808" spans="3:10" x14ac:dyDescent="0.2">
      <c r="C7808" s="209"/>
      <c r="D7808" s="209"/>
      <c r="E7808" s="209"/>
      <c r="J7808" s="124"/>
    </row>
    <row r="7809" spans="3:10" x14ac:dyDescent="0.2">
      <c r="C7809" s="209"/>
      <c r="D7809" s="209"/>
      <c r="E7809" s="209"/>
      <c r="J7809" s="124"/>
    </row>
    <row r="7810" spans="3:10" x14ac:dyDescent="0.2">
      <c r="C7810" s="209"/>
      <c r="D7810" s="209"/>
      <c r="E7810" s="209"/>
      <c r="J7810" s="124"/>
    </row>
    <row r="7811" spans="3:10" x14ac:dyDescent="0.2">
      <c r="C7811" s="209"/>
      <c r="D7811" s="209"/>
      <c r="E7811" s="209"/>
      <c r="J7811" s="124"/>
    </row>
    <row r="7812" spans="3:10" x14ac:dyDescent="0.2">
      <c r="C7812" s="209"/>
      <c r="D7812" s="209"/>
      <c r="E7812" s="209"/>
      <c r="J7812" s="124"/>
    </row>
    <row r="7813" spans="3:10" x14ac:dyDescent="0.2">
      <c r="C7813" s="209"/>
      <c r="D7813" s="209"/>
      <c r="E7813" s="209"/>
      <c r="J7813" s="124"/>
    </row>
    <row r="7814" spans="3:10" x14ac:dyDescent="0.2">
      <c r="C7814" s="209"/>
      <c r="D7814" s="209"/>
      <c r="E7814" s="209"/>
      <c r="J7814" s="124"/>
    </row>
    <row r="7815" spans="3:10" x14ac:dyDescent="0.2">
      <c r="C7815" s="209"/>
      <c r="D7815" s="209"/>
      <c r="E7815" s="209"/>
      <c r="J7815" s="124"/>
    </row>
    <row r="7816" spans="3:10" x14ac:dyDescent="0.2">
      <c r="C7816" s="209"/>
      <c r="D7816" s="209"/>
      <c r="E7816" s="209"/>
      <c r="J7816" s="124"/>
    </row>
    <row r="7817" spans="3:10" x14ac:dyDescent="0.2">
      <c r="C7817" s="209"/>
      <c r="D7817" s="209"/>
      <c r="E7817" s="209"/>
      <c r="J7817" s="124"/>
    </row>
    <row r="7818" spans="3:10" x14ac:dyDescent="0.2">
      <c r="C7818" s="209"/>
      <c r="D7818" s="209"/>
      <c r="E7818" s="209"/>
      <c r="J7818" s="124"/>
    </row>
    <row r="7819" spans="3:10" x14ac:dyDescent="0.2">
      <c r="C7819" s="209"/>
      <c r="D7819" s="209"/>
      <c r="E7819" s="209"/>
      <c r="J7819" s="124"/>
    </row>
    <row r="7820" spans="3:10" x14ac:dyDescent="0.2">
      <c r="C7820" s="209"/>
      <c r="D7820" s="209"/>
      <c r="E7820" s="209"/>
      <c r="J7820" s="124"/>
    </row>
    <row r="7821" spans="3:10" x14ac:dyDescent="0.2">
      <c r="C7821" s="209"/>
      <c r="D7821" s="209"/>
      <c r="E7821" s="209"/>
      <c r="J7821" s="124"/>
    </row>
    <row r="7822" spans="3:10" x14ac:dyDescent="0.2">
      <c r="C7822" s="209"/>
      <c r="D7822" s="209"/>
      <c r="E7822" s="209"/>
      <c r="J7822" s="124"/>
    </row>
    <row r="7823" spans="3:10" x14ac:dyDescent="0.2">
      <c r="C7823" s="209"/>
      <c r="D7823" s="209"/>
      <c r="E7823" s="209"/>
      <c r="J7823" s="124"/>
    </row>
    <row r="7824" spans="3:10" x14ac:dyDescent="0.2">
      <c r="C7824" s="209"/>
      <c r="D7824" s="209"/>
      <c r="E7824" s="209"/>
      <c r="J7824" s="124"/>
    </row>
    <row r="7825" spans="3:10" x14ac:dyDescent="0.2">
      <c r="C7825" s="209"/>
      <c r="D7825" s="209"/>
      <c r="E7825" s="209"/>
      <c r="J7825" s="124"/>
    </row>
    <row r="7826" spans="3:10" x14ac:dyDescent="0.2">
      <c r="C7826" s="209"/>
      <c r="D7826" s="209"/>
      <c r="E7826" s="209"/>
      <c r="J7826" s="124"/>
    </row>
    <row r="7827" spans="3:10" x14ac:dyDescent="0.2">
      <c r="C7827" s="209"/>
      <c r="D7827" s="209"/>
      <c r="E7827" s="209"/>
      <c r="J7827" s="124"/>
    </row>
    <row r="7828" spans="3:10" x14ac:dyDescent="0.2">
      <c r="C7828" s="209"/>
      <c r="D7828" s="209"/>
      <c r="E7828" s="209"/>
      <c r="J7828" s="124"/>
    </row>
    <row r="7829" spans="3:10" x14ac:dyDescent="0.2">
      <c r="C7829" s="209"/>
      <c r="D7829" s="209"/>
      <c r="E7829" s="209"/>
      <c r="J7829" s="124"/>
    </row>
    <row r="7830" spans="3:10" x14ac:dyDescent="0.2">
      <c r="C7830" s="209"/>
      <c r="D7830" s="209"/>
      <c r="E7830" s="209"/>
      <c r="J7830" s="124"/>
    </row>
    <row r="7831" spans="3:10" x14ac:dyDescent="0.2">
      <c r="C7831" s="209"/>
      <c r="D7831" s="209"/>
      <c r="E7831" s="209"/>
      <c r="J7831" s="124"/>
    </row>
    <row r="7832" spans="3:10" x14ac:dyDescent="0.2">
      <c r="C7832" s="209"/>
      <c r="D7832" s="209"/>
      <c r="E7832" s="209"/>
      <c r="J7832" s="124"/>
    </row>
    <row r="7833" spans="3:10" x14ac:dyDescent="0.2">
      <c r="C7833" s="209"/>
      <c r="D7833" s="209"/>
      <c r="E7833" s="209"/>
      <c r="J7833" s="124"/>
    </row>
    <row r="7834" spans="3:10" x14ac:dyDescent="0.2">
      <c r="C7834" s="209"/>
      <c r="D7834" s="209"/>
      <c r="E7834" s="209"/>
      <c r="J7834" s="124"/>
    </row>
    <row r="7835" spans="3:10" x14ac:dyDescent="0.2">
      <c r="C7835" s="209"/>
      <c r="D7835" s="209"/>
      <c r="E7835" s="209"/>
      <c r="J7835" s="124"/>
    </row>
    <row r="7836" spans="3:10" x14ac:dyDescent="0.2">
      <c r="C7836" s="209"/>
      <c r="D7836" s="209"/>
      <c r="E7836" s="209"/>
      <c r="J7836" s="124"/>
    </row>
    <row r="7837" spans="3:10" x14ac:dyDescent="0.2">
      <c r="C7837" s="209"/>
      <c r="D7837" s="209"/>
      <c r="E7837" s="209"/>
      <c r="J7837" s="124"/>
    </row>
    <row r="7838" spans="3:10" x14ac:dyDescent="0.2">
      <c r="C7838" s="209"/>
      <c r="D7838" s="209"/>
      <c r="E7838" s="209"/>
      <c r="J7838" s="124"/>
    </row>
    <row r="7839" spans="3:10" x14ac:dyDescent="0.2">
      <c r="C7839" s="209"/>
      <c r="D7839" s="209"/>
      <c r="E7839" s="209"/>
      <c r="J7839" s="124"/>
    </row>
    <row r="7840" spans="3:10" x14ac:dyDescent="0.2">
      <c r="C7840" s="209"/>
      <c r="D7840" s="209"/>
      <c r="E7840" s="209"/>
      <c r="J7840" s="124"/>
    </row>
    <row r="7841" spans="3:10" x14ac:dyDescent="0.2">
      <c r="C7841" s="209"/>
      <c r="D7841" s="209"/>
      <c r="E7841" s="209"/>
      <c r="J7841" s="124"/>
    </row>
    <row r="7842" spans="3:10" x14ac:dyDescent="0.2">
      <c r="C7842" s="209"/>
      <c r="D7842" s="209"/>
      <c r="E7842" s="209"/>
      <c r="J7842" s="124"/>
    </row>
    <row r="7843" spans="3:10" x14ac:dyDescent="0.2">
      <c r="C7843" s="209"/>
      <c r="D7843" s="209"/>
      <c r="E7843" s="209"/>
      <c r="J7843" s="124"/>
    </row>
    <row r="7844" spans="3:10" x14ac:dyDescent="0.2">
      <c r="C7844" s="209"/>
      <c r="D7844" s="209"/>
      <c r="E7844" s="209"/>
      <c r="J7844" s="124"/>
    </row>
    <row r="7845" spans="3:10" x14ac:dyDescent="0.2">
      <c r="C7845" s="209"/>
      <c r="D7845" s="209"/>
      <c r="E7845" s="209"/>
      <c r="J7845" s="124"/>
    </row>
    <row r="7846" spans="3:10" x14ac:dyDescent="0.2">
      <c r="C7846" s="209"/>
      <c r="D7846" s="209"/>
      <c r="E7846" s="209"/>
      <c r="J7846" s="124"/>
    </row>
    <row r="7847" spans="3:10" x14ac:dyDescent="0.2">
      <c r="C7847" s="209"/>
      <c r="D7847" s="209"/>
      <c r="E7847" s="209"/>
      <c r="J7847" s="124"/>
    </row>
    <row r="7848" spans="3:10" x14ac:dyDescent="0.2">
      <c r="C7848" s="209"/>
      <c r="D7848" s="209"/>
      <c r="E7848" s="209"/>
      <c r="J7848" s="124"/>
    </row>
    <row r="7849" spans="3:10" x14ac:dyDescent="0.2">
      <c r="C7849" s="209"/>
      <c r="D7849" s="209"/>
      <c r="E7849" s="209"/>
      <c r="J7849" s="124"/>
    </row>
    <row r="7850" spans="3:10" x14ac:dyDescent="0.2">
      <c r="C7850" s="209"/>
      <c r="D7850" s="209"/>
      <c r="E7850" s="209"/>
      <c r="J7850" s="124"/>
    </row>
    <row r="7851" spans="3:10" x14ac:dyDescent="0.2">
      <c r="C7851" s="209"/>
      <c r="D7851" s="209"/>
      <c r="E7851" s="209"/>
      <c r="J7851" s="124"/>
    </row>
    <row r="7852" spans="3:10" x14ac:dyDescent="0.2">
      <c r="C7852" s="209"/>
      <c r="D7852" s="209"/>
      <c r="E7852" s="209"/>
      <c r="J7852" s="124"/>
    </row>
    <row r="7853" spans="3:10" x14ac:dyDescent="0.2">
      <c r="C7853" s="209"/>
      <c r="D7853" s="209"/>
      <c r="E7853" s="209"/>
      <c r="J7853" s="124"/>
    </row>
    <row r="7854" spans="3:10" x14ac:dyDescent="0.2">
      <c r="C7854" s="209"/>
      <c r="D7854" s="209"/>
      <c r="E7854" s="209"/>
      <c r="J7854" s="124"/>
    </row>
    <row r="7855" spans="3:10" x14ac:dyDescent="0.2">
      <c r="C7855" s="209"/>
      <c r="D7855" s="209"/>
      <c r="E7855" s="209"/>
      <c r="J7855" s="124"/>
    </row>
    <row r="7856" spans="3:10" x14ac:dyDescent="0.2">
      <c r="C7856" s="209"/>
      <c r="D7856" s="209"/>
      <c r="E7856" s="209"/>
      <c r="J7856" s="124"/>
    </row>
    <row r="7857" spans="3:10" x14ac:dyDescent="0.2">
      <c r="C7857" s="209"/>
      <c r="D7857" s="209"/>
      <c r="E7857" s="209"/>
      <c r="J7857" s="124"/>
    </row>
    <row r="7858" spans="3:10" x14ac:dyDescent="0.2">
      <c r="C7858" s="209"/>
      <c r="D7858" s="209"/>
      <c r="E7858" s="209"/>
      <c r="J7858" s="124"/>
    </row>
    <row r="7859" spans="3:10" x14ac:dyDescent="0.2">
      <c r="C7859" s="209"/>
      <c r="D7859" s="209"/>
      <c r="E7859" s="209"/>
      <c r="J7859" s="124"/>
    </row>
    <row r="7860" spans="3:10" x14ac:dyDescent="0.2">
      <c r="C7860" s="209"/>
      <c r="D7860" s="209"/>
      <c r="E7860" s="209"/>
      <c r="J7860" s="124"/>
    </row>
    <row r="7861" spans="3:10" x14ac:dyDescent="0.2">
      <c r="C7861" s="209"/>
      <c r="D7861" s="209"/>
      <c r="E7861" s="209"/>
      <c r="J7861" s="124"/>
    </row>
    <row r="7862" spans="3:10" x14ac:dyDescent="0.2">
      <c r="C7862" s="209"/>
      <c r="D7862" s="209"/>
      <c r="E7862" s="209"/>
      <c r="J7862" s="124"/>
    </row>
    <row r="7863" spans="3:10" x14ac:dyDescent="0.2">
      <c r="C7863" s="209"/>
      <c r="D7863" s="209"/>
      <c r="E7863" s="209"/>
      <c r="J7863" s="124"/>
    </row>
    <row r="7864" spans="3:10" x14ac:dyDescent="0.2">
      <c r="C7864" s="209"/>
      <c r="D7864" s="209"/>
      <c r="E7864" s="209"/>
      <c r="J7864" s="124"/>
    </row>
    <row r="7865" spans="3:10" x14ac:dyDescent="0.2">
      <c r="C7865" s="209"/>
      <c r="D7865" s="209"/>
      <c r="E7865" s="209"/>
      <c r="J7865" s="124"/>
    </row>
    <row r="7866" spans="3:10" x14ac:dyDescent="0.2">
      <c r="C7866" s="209"/>
      <c r="D7866" s="209"/>
      <c r="E7866" s="209"/>
      <c r="J7866" s="124"/>
    </row>
    <row r="7867" spans="3:10" x14ac:dyDescent="0.2">
      <c r="C7867" s="209"/>
      <c r="D7867" s="209"/>
      <c r="E7867" s="209"/>
      <c r="J7867" s="124"/>
    </row>
    <row r="7868" spans="3:10" x14ac:dyDescent="0.2">
      <c r="C7868" s="209"/>
      <c r="D7868" s="209"/>
      <c r="E7868" s="209"/>
      <c r="J7868" s="124"/>
    </row>
    <row r="7869" spans="3:10" x14ac:dyDescent="0.2">
      <c r="C7869" s="209"/>
      <c r="D7869" s="209"/>
      <c r="E7869" s="209"/>
      <c r="J7869" s="124"/>
    </row>
    <row r="7870" spans="3:10" x14ac:dyDescent="0.2">
      <c r="C7870" s="209"/>
      <c r="D7870" s="209"/>
      <c r="E7870" s="209"/>
      <c r="J7870" s="124"/>
    </row>
    <row r="7871" spans="3:10" x14ac:dyDescent="0.2">
      <c r="C7871" s="209"/>
      <c r="D7871" s="209"/>
      <c r="E7871" s="209"/>
      <c r="J7871" s="124"/>
    </row>
    <row r="7872" spans="3:10" x14ac:dyDescent="0.2">
      <c r="C7872" s="209"/>
      <c r="D7872" s="209"/>
      <c r="E7872" s="209"/>
      <c r="J7872" s="124"/>
    </row>
    <row r="7873" spans="3:10" x14ac:dyDescent="0.2">
      <c r="C7873" s="209"/>
      <c r="D7873" s="209"/>
      <c r="E7873" s="209"/>
      <c r="J7873" s="124"/>
    </row>
    <row r="7874" spans="3:10" x14ac:dyDescent="0.2">
      <c r="C7874" s="209"/>
      <c r="D7874" s="209"/>
      <c r="E7874" s="209"/>
      <c r="J7874" s="124"/>
    </row>
    <row r="7875" spans="3:10" x14ac:dyDescent="0.2">
      <c r="C7875" s="209"/>
      <c r="D7875" s="209"/>
      <c r="E7875" s="209"/>
      <c r="J7875" s="124"/>
    </row>
    <row r="7876" spans="3:10" x14ac:dyDescent="0.2">
      <c r="C7876" s="209"/>
      <c r="D7876" s="209"/>
      <c r="E7876" s="209"/>
      <c r="J7876" s="124"/>
    </row>
    <row r="7877" spans="3:10" x14ac:dyDescent="0.2">
      <c r="C7877" s="209"/>
      <c r="D7877" s="209"/>
      <c r="E7877" s="209"/>
      <c r="J7877" s="124"/>
    </row>
    <row r="7878" spans="3:10" x14ac:dyDescent="0.2">
      <c r="C7878" s="209"/>
      <c r="D7878" s="209"/>
      <c r="E7878" s="209"/>
      <c r="J7878" s="124"/>
    </row>
    <row r="7879" spans="3:10" x14ac:dyDescent="0.2">
      <c r="C7879" s="209"/>
      <c r="D7879" s="209"/>
      <c r="E7879" s="209"/>
      <c r="J7879" s="124"/>
    </row>
    <row r="7880" spans="3:10" x14ac:dyDescent="0.2">
      <c r="C7880" s="209"/>
      <c r="D7880" s="209"/>
      <c r="E7880" s="209"/>
      <c r="J7880" s="124"/>
    </row>
    <row r="7881" spans="3:10" x14ac:dyDescent="0.2">
      <c r="C7881" s="209"/>
      <c r="D7881" s="209"/>
      <c r="E7881" s="209"/>
      <c r="J7881" s="124"/>
    </row>
    <row r="7882" spans="3:10" x14ac:dyDescent="0.2">
      <c r="C7882" s="209"/>
      <c r="D7882" s="209"/>
      <c r="E7882" s="209"/>
      <c r="J7882" s="124"/>
    </row>
    <row r="7883" spans="3:10" x14ac:dyDescent="0.2">
      <c r="C7883" s="209"/>
      <c r="D7883" s="209"/>
      <c r="E7883" s="209"/>
      <c r="J7883" s="124"/>
    </row>
    <row r="7884" spans="3:10" x14ac:dyDescent="0.2">
      <c r="C7884" s="209"/>
      <c r="D7884" s="209"/>
      <c r="E7884" s="209"/>
      <c r="J7884" s="124"/>
    </row>
    <row r="7885" spans="3:10" x14ac:dyDescent="0.2">
      <c r="C7885" s="209"/>
      <c r="D7885" s="209"/>
      <c r="E7885" s="209"/>
      <c r="J7885" s="124"/>
    </row>
    <row r="7886" spans="3:10" x14ac:dyDescent="0.2">
      <c r="C7886" s="209"/>
      <c r="D7886" s="209"/>
      <c r="E7886" s="209"/>
      <c r="J7886" s="124"/>
    </row>
    <row r="7887" spans="3:10" x14ac:dyDescent="0.2">
      <c r="C7887" s="209"/>
      <c r="D7887" s="209"/>
      <c r="E7887" s="209"/>
      <c r="J7887" s="124"/>
    </row>
    <row r="7888" spans="3:10" x14ac:dyDescent="0.2">
      <c r="C7888" s="209"/>
      <c r="D7888" s="209"/>
      <c r="E7888" s="209"/>
      <c r="J7888" s="124"/>
    </row>
    <row r="7889" spans="3:10" x14ac:dyDescent="0.2">
      <c r="C7889" s="209"/>
      <c r="D7889" s="209"/>
      <c r="E7889" s="209"/>
      <c r="J7889" s="124"/>
    </row>
    <row r="7890" spans="3:10" x14ac:dyDescent="0.2">
      <c r="C7890" s="209"/>
      <c r="D7890" s="209"/>
      <c r="E7890" s="209"/>
      <c r="J7890" s="124"/>
    </row>
    <row r="7891" spans="3:10" x14ac:dyDescent="0.2">
      <c r="C7891" s="209"/>
      <c r="D7891" s="209"/>
      <c r="E7891" s="209"/>
      <c r="J7891" s="124"/>
    </row>
    <row r="7892" spans="3:10" x14ac:dyDescent="0.2">
      <c r="C7892" s="209"/>
      <c r="D7892" s="209"/>
      <c r="E7892" s="209"/>
      <c r="J7892" s="124"/>
    </row>
    <row r="7893" spans="3:10" x14ac:dyDescent="0.2">
      <c r="C7893" s="209"/>
      <c r="D7893" s="209"/>
      <c r="E7893" s="209"/>
      <c r="J7893" s="124"/>
    </row>
    <row r="7894" spans="3:10" x14ac:dyDescent="0.2">
      <c r="C7894" s="209"/>
      <c r="D7894" s="209"/>
      <c r="E7894" s="209"/>
      <c r="J7894" s="124"/>
    </row>
    <row r="7895" spans="3:10" x14ac:dyDescent="0.2">
      <c r="C7895" s="209"/>
      <c r="D7895" s="209"/>
      <c r="E7895" s="209"/>
      <c r="J7895" s="124"/>
    </row>
    <row r="7896" spans="3:10" x14ac:dyDescent="0.2">
      <c r="C7896" s="209"/>
      <c r="D7896" s="209"/>
      <c r="E7896" s="209"/>
      <c r="J7896" s="124"/>
    </row>
    <row r="7897" spans="3:10" x14ac:dyDescent="0.2">
      <c r="C7897" s="209"/>
      <c r="D7897" s="209"/>
      <c r="E7897" s="209"/>
      <c r="J7897" s="124"/>
    </row>
    <row r="7898" spans="3:10" x14ac:dyDescent="0.2">
      <c r="C7898" s="209"/>
      <c r="D7898" s="209"/>
      <c r="E7898" s="209"/>
      <c r="J7898" s="124"/>
    </row>
    <row r="7899" spans="3:10" x14ac:dyDescent="0.2">
      <c r="C7899" s="209"/>
      <c r="D7899" s="209"/>
      <c r="E7899" s="209"/>
      <c r="J7899" s="124"/>
    </row>
    <row r="7900" spans="3:10" x14ac:dyDescent="0.2">
      <c r="C7900" s="209"/>
      <c r="D7900" s="209"/>
      <c r="E7900" s="209"/>
      <c r="J7900" s="124"/>
    </row>
    <row r="7901" spans="3:10" x14ac:dyDescent="0.2">
      <c r="C7901" s="209"/>
      <c r="D7901" s="209"/>
      <c r="E7901" s="209"/>
      <c r="J7901" s="124"/>
    </row>
    <row r="7902" spans="3:10" x14ac:dyDescent="0.2">
      <c r="C7902" s="209"/>
      <c r="D7902" s="209"/>
      <c r="E7902" s="209"/>
      <c r="J7902" s="124"/>
    </row>
    <row r="7903" spans="3:10" x14ac:dyDescent="0.2">
      <c r="C7903" s="209"/>
      <c r="D7903" s="209"/>
      <c r="E7903" s="209"/>
      <c r="J7903" s="124"/>
    </row>
    <row r="7904" spans="3:10" x14ac:dyDescent="0.2">
      <c r="C7904" s="209"/>
      <c r="D7904" s="209"/>
      <c r="E7904" s="209"/>
      <c r="J7904" s="124"/>
    </row>
    <row r="7905" spans="3:10" x14ac:dyDescent="0.2">
      <c r="C7905" s="209"/>
      <c r="D7905" s="209"/>
      <c r="E7905" s="209"/>
      <c r="J7905" s="124"/>
    </row>
    <row r="7906" spans="3:10" x14ac:dyDescent="0.2">
      <c r="C7906" s="209"/>
      <c r="D7906" s="209"/>
      <c r="E7906" s="209"/>
      <c r="J7906" s="124"/>
    </row>
    <row r="7907" spans="3:10" x14ac:dyDescent="0.2">
      <c r="C7907" s="209"/>
      <c r="D7907" s="209"/>
      <c r="E7907" s="209"/>
      <c r="J7907" s="124"/>
    </row>
    <row r="7908" spans="3:10" x14ac:dyDescent="0.2">
      <c r="C7908" s="209"/>
      <c r="D7908" s="209"/>
      <c r="E7908" s="209"/>
      <c r="J7908" s="124"/>
    </row>
    <row r="7909" spans="3:10" x14ac:dyDescent="0.2">
      <c r="C7909" s="209"/>
      <c r="D7909" s="209"/>
      <c r="E7909" s="209"/>
      <c r="J7909" s="124"/>
    </row>
    <row r="7910" spans="3:10" x14ac:dyDescent="0.2">
      <c r="C7910" s="209"/>
      <c r="D7910" s="209"/>
      <c r="E7910" s="209"/>
      <c r="J7910" s="124"/>
    </row>
    <row r="7911" spans="3:10" x14ac:dyDescent="0.2">
      <c r="C7911" s="209"/>
      <c r="D7911" s="209"/>
      <c r="E7911" s="209"/>
      <c r="J7911" s="124"/>
    </row>
    <row r="7912" spans="3:10" x14ac:dyDescent="0.2">
      <c r="C7912" s="209"/>
      <c r="D7912" s="209"/>
      <c r="E7912" s="209"/>
      <c r="J7912" s="124"/>
    </row>
    <row r="7913" spans="3:10" x14ac:dyDescent="0.2">
      <c r="C7913" s="209"/>
      <c r="D7913" s="209"/>
      <c r="E7913" s="209"/>
      <c r="J7913" s="124"/>
    </row>
    <row r="7914" spans="3:10" x14ac:dyDescent="0.2">
      <c r="C7914" s="209"/>
      <c r="D7914" s="209"/>
      <c r="E7914" s="209"/>
      <c r="J7914" s="124"/>
    </row>
    <row r="7915" spans="3:10" x14ac:dyDescent="0.2">
      <c r="C7915" s="209"/>
      <c r="D7915" s="209"/>
      <c r="E7915" s="209"/>
      <c r="J7915" s="124"/>
    </row>
    <row r="7916" spans="3:10" x14ac:dyDescent="0.2">
      <c r="C7916" s="209"/>
      <c r="D7916" s="209"/>
      <c r="E7916" s="209"/>
      <c r="J7916" s="124"/>
    </row>
    <row r="7917" spans="3:10" x14ac:dyDescent="0.2">
      <c r="C7917" s="209"/>
      <c r="D7917" s="209"/>
      <c r="E7917" s="209"/>
      <c r="J7917" s="124"/>
    </row>
    <row r="7918" spans="3:10" x14ac:dyDescent="0.2">
      <c r="C7918" s="209"/>
      <c r="D7918" s="209"/>
      <c r="E7918" s="209"/>
      <c r="J7918" s="124"/>
    </row>
    <row r="7919" spans="3:10" x14ac:dyDescent="0.2">
      <c r="C7919" s="209"/>
      <c r="D7919" s="209"/>
      <c r="E7919" s="209"/>
      <c r="J7919" s="124"/>
    </row>
    <row r="7920" spans="3:10" x14ac:dyDescent="0.2">
      <c r="C7920" s="209"/>
      <c r="D7920" s="209"/>
      <c r="E7920" s="209"/>
      <c r="J7920" s="124"/>
    </row>
    <row r="7921" spans="3:10" x14ac:dyDescent="0.2">
      <c r="C7921" s="209"/>
      <c r="D7921" s="209"/>
      <c r="E7921" s="209"/>
      <c r="J7921" s="124"/>
    </row>
    <row r="7922" spans="3:10" x14ac:dyDescent="0.2">
      <c r="C7922" s="209"/>
      <c r="D7922" s="209"/>
      <c r="E7922" s="209"/>
      <c r="J7922" s="124"/>
    </row>
    <row r="7923" spans="3:10" x14ac:dyDescent="0.2">
      <c r="C7923" s="209"/>
      <c r="D7923" s="209"/>
      <c r="E7923" s="209"/>
      <c r="J7923" s="124"/>
    </row>
    <row r="7924" spans="3:10" x14ac:dyDescent="0.2">
      <c r="C7924" s="209"/>
      <c r="D7924" s="209"/>
      <c r="E7924" s="209"/>
      <c r="J7924" s="124"/>
    </row>
    <row r="7925" spans="3:10" x14ac:dyDescent="0.2">
      <c r="C7925" s="209"/>
      <c r="D7925" s="209"/>
      <c r="E7925" s="209"/>
      <c r="J7925" s="124"/>
    </row>
    <row r="7926" spans="3:10" x14ac:dyDescent="0.2">
      <c r="C7926" s="209"/>
      <c r="D7926" s="209"/>
      <c r="E7926" s="209"/>
      <c r="J7926" s="124"/>
    </row>
    <row r="7927" spans="3:10" x14ac:dyDescent="0.2">
      <c r="C7927" s="209"/>
      <c r="D7927" s="209"/>
      <c r="E7927" s="209"/>
      <c r="J7927" s="124"/>
    </row>
    <row r="7928" spans="3:10" x14ac:dyDescent="0.2">
      <c r="C7928" s="209"/>
      <c r="D7928" s="209"/>
      <c r="E7928" s="209"/>
      <c r="J7928" s="124"/>
    </row>
    <row r="7929" spans="3:10" x14ac:dyDescent="0.2">
      <c r="C7929" s="209"/>
      <c r="D7929" s="209"/>
      <c r="E7929" s="209"/>
      <c r="J7929" s="124"/>
    </row>
    <row r="7930" spans="3:10" x14ac:dyDescent="0.2">
      <c r="C7930" s="209"/>
      <c r="D7930" s="209"/>
      <c r="E7930" s="209"/>
      <c r="J7930" s="124"/>
    </row>
    <row r="7931" spans="3:10" x14ac:dyDescent="0.2">
      <c r="C7931" s="209"/>
      <c r="D7931" s="209"/>
      <c r="E7931" s="209"/>
      <c r="J7931" s="124"/>
    </row>
    <row r="7932" spans="3:10" x14ac:dyDescent="0.2">
      <c r="C7932" s="209"/>
      <c r="D7932" s="209"/>
      <c r="E7932" s="209"/>
      <c r="J7932" s="124"/>
    </row>
    <row r="7933" spans="3:10" x14ac:dyDescent="0.2">
      <c r="C7933" s="209"/>
      <c r="D7933" s="209"/>
      <c r="E7933" s="209"/>
      <c r="J7933" s="124"/>
    </row>
    <row r="7934" spans="3:10" x14ac:dyDescent="0.2">
      <c r="C7934" s="209"/>
      <c r="D7934" s="209"/>
      <c r="E7934" s="209"/>
      <c r="J7934" s="124"/>
    </row>
    <row r="7935" spans="3:10" x14ac:dyDescent="0.2">
      <c r="C7935" s="209"/>
      <c r="D7935" s="209"/>
      <c r="E7935" s="209"/>
      <c r="J7935" s="124"/>
    </row>
    <row r="7936" spans="3:10" x14ac:dyDescent="0.2">
      <c r="C7936" s="209"/>
      <c r="D7936" s="209"/>
      <c r="E7936" s="209"/>
      <c r="J7936" s="124"/>
    </row>
    <row r="7937" spans="3:10" x14ac:dyDescent="0.2">
      <c r="C7937" s="209"/>
      <c r="D7937" s="209"/>
      <c r="E7937" s="209"/>
      <c r="J7937" s="124"/>
    </row>
    <row r="7938" spans="3:10" x14ac:dyDescent="0.2">
      <c r="C7938" s="209"/>
      <c r="D7938" s="209"/>
      <c r="E7938" s="209"/>
      <c r="J7938" s="124"/>
    </row>
    <row r="7939" spans="3:10" x14ac:dyDescent="0.2">
      <c r="C7939" s="209"/>
      <c r="D7939" s="209"/>
      <c r="E7939" s="209"/>
      <c r="J7939" s="124"/>
    </row>
    <row r="7940" spans="3:10" x14ac:dyDescent="0.2">
      <c r="C7940" s="209"/>
      <c r="D7940" s="209"/>
      <c r="E7940" s="209"/>
      <c r="J7940" s="124"/>
    </row>
    <row r="7941" spans="3:10" x14ac:dyDescent="0.2">
      <c r="C7941" s="209"/>
      <c r="D7941" s="209"/>
      <c r="E7941" s="209"/>
      <c r="J7941" s="124"/>
    </row>
    <row r="7942" spans="3:10" x14ac:dyDescent="0.2">
      <c r="C7942" s="209"/>
      <c r="D7942" s="209"/>
      <c r="E7942" s="209"/>
      <c r="J7942" s="124"/>
    </row>
    <row r="7943" spans="3:10" x14ac:dyDescent="0.2">
      <c r="C7943" s="209"/>
      <c r="D7943" s="209"/>
      <c r="E7943" s="209"/>
      <c r="J7943" s="124"/>
    </row>
    <row r="7944" spans="3:10" x14ac:dyDescent="0.2">
      <c r="C7944" s="209"/>
      <c r="D7944" s="209"/>
      <c r="E7944" s="209"/>
      <c r="J7944" s="124"/>
    </row>
    <row r="7945" spans="3:10" x14ac:dyDescent="0.2">
      <c r="C7945" s="209"/>
      <c r="D7945" s="209"/>
      <c r="E7945" s="209"/>
      <c r="J7945" s="124"/>
    </row>
    <row r="7946" spans="3:10" x14ac:dyDescent="0.2">
      <c r="C7946" s="209"/>
      <c r="D7946" s="209"/>
      <c r="E7946" s="209"/>
      <c r="J7946" s="124"/>
    </row>
    <row r="7947" spans="3:10" x14ac:dyDescent="0.2">
      <c r="C7947" s="209"/>
      <c r="D7947" s="209"/>
      <c r="E7947" s="209"/>
      <c r="J7947" s="124"/>
    </row>
    <row r="7948" spans="3:10" x14ac:dyDescent="0.2">
      <c r="C7948" s="209"/>
      <c r="D7948" s="209"/>
      <c r="E7948" s="209"/>
      <c r="J7948" s="124"/>
    </row>
    <row r="7949" spans="3:10" x14ac:dyDescent="0.2">
      <c r="C7949" s="209"/>
      <c r="D7949" s="209"/>
      <c r="E7949" s="209"/>
      <c r="J7949" s="124"/>
    </row>
    <row r="7950" spans="3:10" x14ac:dyDescent="0.2">
      <c r="C7950" s="209"/>
      <c r="D7950" s="209"/>
      <c r="E7950" s="209"/>
      <c r="J7950" s="124"/>
    </row>
    <row r="7951" spans="3:10" x14ac:dyDescent="0.2">
      <c r="C7951" s="209"/>
      <c r="D7951" s="209"/>
      <c r="E7951" s="209"/>
      <c r="J7951" s="124"/>
    </row>
    <row r="7952" spans="3:10" x14ac:dyDescent="0.2">
      <c r="C7952" s="209"/>
      <c r="D7952" s="209"/>
      <c r="E7952" s="209"/>
      <c r="J7952" s="124"/>
    </row>
    <row r="7953" spans="3:10" x14ac:dyDescent="0.2">
      <c r="C7953" s="209"/>
      <c r="D7953" s="209"/>
      <c r="E7953" s="209"/>
      <c r="J7953" s="124"/>
    </row>
    <row r="7954" spans="3:10" x14ac:dyDescent="0.2">
      <c r="C7954" s="209"/>
      <c r="D7954" s="209"/>
      <c r="E7954" s="209"/>
      <c r="J7954" s="124"/>
    </row>
    <row r="7955" spans="3:10" x14ac:dyDescent="0.2">
      <c r="C7955" s="209"/>
      <c r="D7955" s="209"/>
      <c r="E7955" s="209"/>
      <c r="J7955" s="124"/>
    </row>
    <row r="7956" spans="3:10" x14ac:dyDescent="0.2">
      <c r="C7956" s="209"/>
      <c r="D7956" s="209"/>
      <c r="E7956" s="209"/>
      <c r="J7956" s="124"/>
    </row>
    <row r="7957" spans="3:10" x14ac:dyDescent="0.2">
      <c r="C7957" s="209"/>
      <c r="D7957" s="209"/>
      <c r="E7957" s="209"/>
      <c r="J7957" s="124"/>
    </row>
    <row r="7958" spans="3:10" x14ac:dyDescent="0.2">
      <c r="C7958" s="209"/>
      <c r="D7958" s="209"/>
      <c r="E7958" s="209"/>
      <c r="J7958" s="124"/>
    </row>
    <row r="7959" spans="3:10" x14ac:dyDescent="0.2">
      <c r="C7959" s="209"/>
      <c r="D7959" s="209"/>
      <c r="E7959" s="209"/>
      <c r="J7959" s="124"/>
    </row>
    <row r="7960" spans="3:10" x14ac:dyDescent="0.2">
      <c r="C7960" s="209"/>
      <c r="D7960" s="209"/>
      <c r="E7960" s="209"/>
      <c r="J7960" s="124"/>
    </row>
    <row r="7961" spans="3:10" x14ac:dyDescent="0.2">
      <c r="C7961" s="209"/>
      <c r="D7961" s="209"/>
      <c r="E7961" s="209"/>
      <c r="J7961" s="124"/>
    </row>
    <row r="7962" spans="3:10" x14ac:dyDescent="0.2">
      <c r="C7962" s="209"/>
      <c r="D7962" s="209"/>
      <c r="E7962" s="209"/>
      <c r="J7962" s="124"/>
    </row>
    <row r="7963" spans="3:10" x14ac:dyDescent="0.2">
      <c r="C7963" s="209"/>
      <c r="D7963" s="209"/>
      <c r="E7963" s="209"/>
      <c r="J7963" s="124"/>
    </row>
    <row r="7964" spans="3:10" x14ac:dyDescent="0.2">
      <c r="C7964" s="209"/>
      <c r="D7964" s="209"/>
      <c r="E7964" s="209"/>
      <c r="J7964" s="124"/>
    </row>
    <row r="7965" spans="3:10" x14ac:dyDescent="0.2">
      <c r="C7965" s="209"/>
      <c r="D7965" s="209"/>
      <c r="E7965" s="209"/>
      <c r="J7965" s="124"/>
    </row>
    <row r="7966" spans="3:10" x14ac:dyDescent="0.2">
      <c r="C7966" s="209"/>
      <c r="D7966" s="209"/>
      <c r="E7966" s="209"/>
      <c r="J7966" s="124"/>
    </row>
    <row r="7967" spans="3:10" x14ac:dyDescent="0.2">
      <c r="C7967" s="209"/>
      <c r="D7967" s="209"/>
      <c r="E7967" s="209"/>
      <c r="J7967" s="124"/>
    </row>
    <row r="7968" spans="3:10" x14ac:dyDescent="0.2">
      <c r="C7968" s="209"/>
      <c r="D7968" s="209"/>
      <c r="E7968" s="209"/>
      <c r="J7968" s="124"/>
    </row>
    <row r="7969" spans="3:10" x14ac:dyDescent="0.2">
      <c r="C7969" s="209"/>
      <c r="D7969" s="209"/>
      <c r="E7969" s="209"/>
      <c r="J7969" s="124"/>
    </row>
    <row r="7970" spans="3:10" x14ac:dyDescent="0.2">
      <c r="C7970" s="209"/>
      <c r="D7970" s="209"/>
      <c r="E7970" s="209"/>
      <c r="J7970" s="124"/>
    </row>
    <row r="7971" spans="3:10" x14ac:dyDescent="0.2">
      <c r="C7971" s="209"/>
      <c r="D7971" s="209"/>
      <c r="E7971" s="209"/>
      <c r="J7971" s="124"/>
    </row>
    <row r="7972" spans="3:10" x14ac:dyDescent="0.2">
      <c r="C7972" s="209"/>
      <c r="D7972" s="209"/>
      <c r="E7972" s="209"/>
      <c r="J7972" s="124"/>
    </row>
    <row r="7973" spans="3:10" x14ac:dyDescent="0.2">
      <c r="C7973" s="209"/>
      <c r="D7973" s="209"/>
      <c r="E7973" s="209"/>
      <c r="J7973" s="124"/>
    </row>
    <row r="7974" spans="3:10" x14ac:dyDescent="0.2">
      <c r="C7974" s="209"/>
      <c r="D7974" s="209"/>
      <c r="E7974" s="209"/>
      <c r="J7974" s="124"/>
    </row>
    <row r="7975" spans="3:10" x14ac:dyDescent="0.2">
      <c r="C7975" s="209"/>
      <c r="D7975" s="209"/>
      <c r="E7975" s="209"/>
      <c r="J7975" s="124"/>
    </row>
    <row r="7976" spans="3:10" x14ac:dyDescent="0.2">
      <c r="C7976" s="209"/>
      <c r="D7976" s="209"/>
      <c r="E7976" s="209"/>
      <c r="J7976" s="124"/>
    </row>
    <row r="7977" spans="3:10" x14ac:dyDescent="0.2">
      <c r="C7977" s="209"/>
      <c r="D7977" s="209"/>
      <c r="E7977" s="209"/>
      <c r="J7977" s="124"/>
    </row>
    <row r="7978" spans="3:10" x14ac:dyDescent="0.2">
      <c r="C7978" s="209"/>
      <c r="D7978" s="209"/>
      <c r="E7978" s="209"/>
      <c r="J7978" s="124"/>
    </row>
    <row r="7979" spans="3:10" x14ac:dyDescent="0.2">
      <c r="C7979" s="209"/>
      <c r="D7979" s="209"/>
      <c r="E7979" s="209"/>
      <c r="J7979" s="124"/>
    </row>
    <row r="7980" spans="3:10" x14ac:dyDescent="0.2">
      <c r="C7980" s="209"/>
      <c r="D7980" s="209"/>
      <c r="E7980" s="209"/>
      <c r="J7980" s="124"/>
    </row>
    <row r="7981" spans="3:10" x14ac:dyDescent="0.2">
      <c r="C7981" s="209"/>
      <c r="D7981" s="209"/>
      <c r="E7981" s="209"/>
      <c r="J7981" s="124"/>
    </row>
    <row r="7982" spans="3:10" x14ac:dyDescent="0.2">
      <c r="C7982" s="209"/>
      <c r="D7982" s="209"/>
      <c r="E7982" s="209"/>
      <c r="J7982" s="124"/>
    </row>
    <row r="7983" spans="3:10" x14ac:dyDescent="0.2">
      <c r="C7983" s="209"/>
      <c r="D7983" s="209"/>
      <c r="E7983" s="209"/>
      <c r="J7983" s="124"/>
    </row>
    <row r="7984" spans="3:10" x14ac:dyDescent="0.2">
      <c r="C7984" s="209"/>
      <c r="D7984" s="209"/>
      <c r="E7984" s="209"/>
      <c r="J7984" s="124"/>
    </row>
    <row r="7985" spans="3:10" x14ac:dyDescent="0.2">
      <c r="C7985" s="209"/>
      <c r="D7985" s="209"/>
      <c r="E7985" s="209"/>
      <c r="J7985" s="124"/>
    </row>
    <row r="7986" spans="3:10" x14ac:dyDescent="0.2">
      <c r="C7986" s="209"/>
      <c r="D7986" s="209"/>
      <c r="E7986" s="209"/>
      <c r="J7986" s="124"/>
    </row>
    <row r="7987" spans="3:10" x14ac:dyDescent="0.2">
      <c r="C7987" s="209"/>
      <c r="D7987" s="209"/>
      <c r="E7987" s="209"/>
      <c r="J7987" s="124"/>
    </row>
    <row r="7988" spans="3:10" x14ac:dyDescent="0.2">
      <c r="C7988" s="209"/>
      <c r="D7988" s="209"/>
      <c r="E7988" s="209"/>
      <c r="J7988" s="124"/>
    </row>
    <row r="7989" spans="3:10" x14ac:dyDescent="0.2">
      <c r="C7989" s="209"/>
      <c r="D7989" s="209"/>
      <c r="E7989" s="209"/>
      <c r="J7989" s="124"/>
    </row>
    <row r="7990" spans="3:10" x14ac:dyDescent="0.2">
      <c r="C7990" s="209"/>
      <c r="D7990" s="209"/>
      <c r="E7990" s="209"/>
      <c r="J7990" s="124"/>
    </row>
    <row r="7991" spans="3:10" x14ac:dyDescent="0.2">
      <c r="C7991" s="209"/>
      <c r="D7991" s="209"/>
      <c r="E7991" s="209"/>
      <c r="J7991" s="124"/>
    </row>
    <row r="7992" spans="3:10" x14ac:dyDescent="0.2">
      <c r="C7992" s="209"/>
      <c r="D7992" s="209"/>
      <c r="E7992" s="209"/>
      <c r="J7992" s="124"/>
    </row>
    <row r="7993" spans="3:10" x14ac:dyDescent="0.2">
      <c r="C7993" s="209"/>
      <c r="D7993" s="209"/>
      <c r="E7993" s="209"/>
      <c r="J7993" s="124"/>
    </row>
    <row r="7994" spans="3:10" x14ac:dyDescent="0.2">
      <c r="C7994" s="209"/>
      <c r="D7994" s="209"/>
      <c r="E7994" s="209"/>
      <c r="J7994" s="124"/>
    </row>
    <row r="7995" spans="3:10" x14ac:dyDescent="0.2">
      <c r="C7995" s="209"/>
      <c r="D7995" s="209"/>
      <c r="E7995" s="209"/>
      <c r="J7995" s="124"/>
    </row>
    <row r="7996" spans="3:10" x14ac:dyDescent="0.2">
      <c r="C7996" s="209"/>
      <c r="D7996" s="209"/>
      <c r="E7996" s="209"/>
      <c r="J7996" s="124"/>
    </row>
    <row r="7997" spans="3:10" x14ac:dyDescent="0.2">
      <c r="C7997" s="209"/>
      <c r="D7997" s="209"/>
      <c r="E7997" s="209"/>
      <c r="J7997" s="124"/>
    </row>
    <row r="7998" spans="3:10" x14ac:dyDescent="0.2">
      <c r="C7998" s="209"/>
      <c r="D7998" s="209"/>
      <c r="E7998" s="209"/>
      <c r="J7998" s="124"/>
    </row>
    <row r="7999" spans="3:10" x14ac:dyDescent="0.2">
      <c r="C7999" s="209"/>
      <c r="D7999" s="209"/>
      <c r="E7999" s="209"/>
      <c r="J7999" s="124"/>
    </row>
    <row r="8000" spans="3:10" x14ac:dyDescent="0.2">
      <c r="C8000" s="209"/>
      <c r="D8000" s="209"/>
      <c r="E8000" s="209"/>
      <c r="J8000" s="124"/>
    </row>
    <row r="8001" spans="3:10" x14ac:dyDescent="0.2">
      <c r="C8001" s="209"/>
      <c r="D8001" s="209"/>
      <c r="E8001" s="209"/>
      <c r="J8001" s="124"/>
    </row>
    <row r="8002" spans="3:10" x14ac:dyDescent="0.2">
      <c r="C8002" s="209"/>
      <c r="D8002" s="209"/>
      <c r="E8002" s="209"/>
      <c r="J8002" s="124"/>
    </row>
    <row r="8003" spans="3:10" x14ac:dyDescent="0.2">
      <c r="C8003" s="209"/>
      <c r="D8003" s="209"/>
      <c r="E8003" s="209"/>
      <c r="J8003" s="124"/>
    </row>
    <row r="8004" spans="3:10" x14ac:dyDescent="0.2">
      <c r="C8004" s="209"/>
      <c r="D8004" s="209"/>
      <c r="E8004" s="209"/>
      <c r="J8004" s="124"/>
    </row>
    <row r="8005" spans="3:10" x14ac:dyDescent="0.2">
      <c r="C8005" s="209"/>
      <c r="D8005" s="209"/>
      <c r="E8005" s="209"/>
      <c r="J8005" s="124"/>
    </row>
    <row r="8006" spans="3:10" x14ac:dyDescent="0.2">
      <c r="C8006" s="209"/>
      <c r="D8006" s="209"/>
      <c r="E8006" s="209"/>
      <c r="J8006" s="124"/>
    </row>
    <row r="8007" spans="3:10" x14ac:dyDescent="0.2">
      <c r="C8007" s="209"/>
      <c r="D8007" s="209"/>
      <c r="E8007" s="209"/>
      <c r="J8007" s="124"/>
    </row>
    <row r="8008" spans="3:10" x14ac:dyDescent="0.2">
      <c r="C8008" s="209"/>
      <c r="D8008" s="209"/>
      <c r="E8008" s="209"/>
      <c r="J8008" s="124"/>
    </row>
    <row r="8009" spans="3:10" x14ac:dyDescent="0.2">
      <c r="C8009" s="209"/>
      <c r="D8009" s="209"/>
      <c r="E8009" s="209"/>
      <c r="J8009" s="124"/>
    </row>
    <row r="8010" spans="3:10" x14ac:dyDescent="0.2">
      <c r="C8010" s="209"/>
      <c r="D8010" s="209"/>
      <c r="E8010" s="209"/>
      <c r="J8010" s="124"/>
    </row>
    <row r="8011" spans="3:10" x14ac:dyDescent="0.2">
      <c r="C8011" s="209"/>
      <c r="D8011" s="209"/>
      <c r="E8011" s="209"/>
      <c r="J8011" s="124"/>
    </row>
    <row r="8012" spans="3:10" x14ac:dyDescent="0.2">
      <c r="C8012" s="209"/>
      <c r="D8012" s="209"/>
      <c r="E8012" s="209"/>
      <c r="J8012" s="124"/>
    </row>
    <row r="8013" spans="3:10" x14ac:dyDescent="0.2">
      <c r="C8013" s="209"/>
      <c r="D8013" s="209"/>
      <c r="E8013" s="209"/>
      <c r="J8013" s="124"/>
    </row>
    <row r="8014" spans="3:10" x14ac:dyDescent="0.2">
      <c r="C8014" s="209"/>
      <c r="D8014" s="209"/>
      <c r="E8014" s="209"/>
      <c r="J8014" s="124"/>
    </row>
    <row r="8015" spans="3:10" x14ac:dyDescent="0.2">
      <c r="C8015" s="209"/>
      <c r="D8015" s="209"/>
      <c r="E8015" s="209"/>
      <c r="J8015" s="124"/>
    </row>
    <row r="8016" spans="3:10" x14ac:dyDescent="0.2">
      <c r="C8016" s="209"/>
      <c r="D8016" s="209"/>
      <c r="E8016" s="209"/>
      <c r="J8016" s="124"/>
    </row>
    <row r="8017" spans="3:10" x14ac:dyDescent="0.2">
      <c r="C8017" s="209"/>
      <c r="D8017" s="209"/>
      <c r="E8017" s="209"/>
      <c r="J8017" s="124"/>
    </row>
    <row r="8018" spans="3:10" x14ac:dyDescent="0.2">
      <c r="C8018" s="209"/>
      <c r="D8018" s="209"/>
      <c r="E8018" s="209"/>
      <c r="J8018" s="124"/>
    </row>
    <row r="8019" spans="3:10" x14ac:dyDescent="0.2">
      <c r="C8019" s="209"/>
      <c r="D8019" s="209"/>
      <c r="E8019" s="209"/>
      <c r="J8019" s="124"/>
    </row>
    <row r="8020" spans="3:10" x14ac:dyDescent="0.2">
      <c r="C8020" s="209"/>
      <c r="D8020" s="209"/>
      <c r="E8020" s="209"/>
      <c r="J8020" s="124"/>
    </row>
    <row r="8021" spans="3:10" x14ac:dyDescent="0.2">
      <c r="C8021" s="209"/>
      <c r="D8021" s="209"/>
      <c r="E8021" s="209"/>
      <c r="J8021" s="124"/>
    </row>
    <row r="8022" spans="3:10" x14ac:dyDescent="0.2">
      <c r="C8022" s="209"/>
      <c r="D8022" s="209"/>
      <c r="E8022" s="209"/>
      <c r="J8022" s="124"/>
    </row>
    <row r="8023" spans="3:10" x14ac:dyDescent="0.2">
      <c r="C8023" s="209"/>
      <c r="D8023" s="209"/>
      <c r="E8023" s="209"/>
      <c r="J8023" s="124"/>
    </row>
    <row r="8024" spans="3:10" x14ac:dyDescent="0.2">
      <c r="C8024" s="209"/>
      <c r="D8024" s="209"/>
      <c r="E8024" s="209"/>
      <c r="J8024" s="124"/>
    </row>
    <row r="8025" spans="3:10" x14ac:dyDescent="0.2">
      <c r="C8025" s="209"/>
      <c r="D8025" s="209"/>
      <c r="E8025" s="209"/>
      <c r="J8025" s="124"/>
    </row>
    <row r="8026" spans="3:10" x14ac:dyDescent="0.2">
      <c r="C8026" s="209"/>
      <c r="D8026" s="209"/>
      <c r="E8026" s="209"/>
      <c r="J8026" s="124"/>
    </row>
    <row r="8027" spans="3:10" x14ac:dyDescent="0.2">
      <c r="C8027" s="209"/>
      <c r="D8027" s="209"/>
      <c r="E8027" s="209"/>
      <c r="J8027" s="124"/>
    </row>
    <row r="8028" spans="3:10" x14ac:dyDescent="0.2">
      <c r="C8028" s="209"/>
      <c r="D8028" s="209"/>
      <c r="E8028" s="209"/>
      <c r="J8028" s="124"/>
    </row>
    <row r="8029" spans="3:10" x14ac:dyDescent="0.2">
      <c r="C8029" s="209"/>
      <c r="D8029" s="209"/>
      <c r="E8029" s="209"/>
      <c r="J8029" s="124"/>
    </row>
    <row r="8030" spans="3:10" x14ac:dyDescent="0.2">
      <c r="C8030" s="209"/>
      <c r="D8030" s="209"/>
      <c r="E8030" s="209"/>
      <c r="J8030" s="124"/>
    </row>
    <row r="8031" spans="3:10" x14ac:dyDescent="0.2">
      <c r="C8031" s="209"/>
      <c r="D8031" s="209"/>
      <c r="E8031" s="209"/>
      <c r="J8031" s="124"/>
    </row>
    <row r="8032" spans="3:10" x14ac:dyDescent="0.2">
      <c r="C8032" s="209"/>
      <c r="D8032" s="209"/>
      <c r="E8032" s="209"/>
      <c r="J8032" s="124"/>
    </row>
    <row r="8033" spans="3:10" x14ac:dyDescent="0.2">
      <c r="C8033" s="209"/>
      <c r="D8033" s="209"/>
      <c r="E8033" s="209"/>
      <c r="J8033" s="124"/>
    </row>
    <row r="8034" spans="3:10" x14ac:dyDescent="0.2">
      <c r="C8034" s="209"/>
      <c r="D8034" s="209"/>
      <c r="E8034" s="209"/>
      <c r="J8034" s="124"/>
    </row>
    <row r="8035" spans="3:10" x14ac:dyDescent="0.2">
      <c r="C8035" s="209"/>
      <c r="D8035" s="209"/>
      <c r="E8035" s="209"/>
      <c r="J8035" s="124"/>
    </row>
    <row r="8036" spans="3:10" x14ac:dyDescent="0.2">
      <c r="C8036" s="209"/>
      <c r="D8036" s="209"/>
      <c r="E8036" s="209"/>
      <c r="J8036" s="124"/>
    </row>
    <row r="8037" spans="3:10" x14ac:dyDescent="0.2">
      <c r="C8037" s="209"/>
      <c r="D8037" s="209"/>
      <c r="E8037" s="209"/>
      <c r="J8037" s="124"/>
    </row>
    <row r="8038" spans="3:10" x14ac:dyDescent="0.2">
      <c r="C8038" s="209"/>
      <c r="D8038" s="209"/>
      <c r="E8038" s="209"/>
      <c r="J8038" s="124"/>
    </row>
    <row r="8039" spans="3:10" x14ac:dyDescent="0.2">
      <c r="C8039" s="209"/>
      <c r="D8039" s="209"/>
      <c r="E8039" s="209"/>
      <c r="J8039" s="124"/>
    </row>
    <row r="8040" spans="3:10" x14ac:dyDescent="0.2">
      <c r="C8040" s="209"/>
      <c r="D8040" s="209"/>
      <c r="E8040" s="209"/>
      <c r="J8040" s="124"/>
    </row>
    <row r="8041" spans="3:10" x14ac:dyDescent="0.2">
      <c r="C8041" s="209"/>
      <c r="D8041" s="209"/>
      <c r="E8041" s="209"/>
      <c r="J8041" s="124"/>
    </row>
    <row r="8042" spans="3:10" x14ac:dyDescent="0.2">
      <c r="C8042" s="209"/>
      <c r="D8042" s="209"/>
      <c r="E8042" s="209"/>
      <c r="J8042" s="124"/>
    </row>
    <row r="8043" spans="3:10" x14ac:dyDescent="0.2">
      <c r="C8043" s="209"/>
      <c r="D8043" s="209"/>
      <c r="E8043" s="209"/>
      <c r="J8043" s="124"/>
    </row>
    <row r="8044" spans="3:10" x14ac:dyDescent="0.2">
      <c r="C8044" s="209"/>
      <c r="D8044" s="209"/>
      <c r="E8044" s="209"/>
      <c r="J8044" s="124"/>
    </row>
    <row r="8045" spans="3:10" x14ac:dyDescent="0.2">
      <c r="C8045" s="209"/>
      <c r="D8045" s="209"/>
      <c r="E8045" s="209"/>
      <c r="J8045" s="124"/>
    </row>
    <row r="8046" spans="3:10" x14ac:dyDescent="0.2">
      <c r="C8046" s="209"/>
      <c r="D8046" s="209"/>
      <c r="E8046" s="209"/>
      <c r="J8046" s="124"/>
    </row>
    <row r="8047" spans="3:10" x14ac:dyDescent="0.2">
      <c r="C8047" s="209"/>
      <c r="D8047" s="209"/>
      <c r="E8047" s="209"/>
      <c r="J8047" s="124"/>
    </row>
    <row r="8048" spans="3:10" x14ac:dyDescent="0.2">
      <c r="C8048" s="209"/>
      <c r="D8048" s="209"/>
      <c r="E8048" s="209"/>
      <c r="J8048" s="124"/>
    </row>
    <row r="8049" spans="3:10" x14ac:dyDescent="0.2">
      <c r="C8049" s="209"/>
      <c r="D8049" s="209"/>
      <c r="E8049" s="209"/>
      <c r="J8049" s="124"/>
    </row>
    <row r="8050" spans="3:10" x14ac:dyDescent="0.2">
      <c r="C8050" s="209"/>
      <c r="D8050" s="209"/>
      <c r="E8050" s="209"/>
      <c r="J8050" s="124"/>
    </row>
    <row r="8051" spans="3:10" x14ac:dyDescent="0.2">
      <c r="C8051" s="209"/>
      <c r="D8051" s="209"/>
      <c r="E8051" s="209"/>
      <c r="J8051" s="124"/>
    </row>
    <row r="8052" spans="3:10" x14ac:dyDescent="0.2">
      <c r="C8052" s="209"/>
      <c r="D8052" s="209"/>
      <c r="E8052" s="209"/>
      <c r="J8052" s="124"/>
    </row>
    <row r="8053" spans="3:10" x14ac:dyDescent="0.2">
      <c r="C8053" s="209"/>
      <c r="D8053" s="209"/>
      <c r="E8053" s="209"/>
      <c r="J8053" s="124"/>
    </row>
    <row r="8054" spans="3:10" x14ac:dyDescent="0.2">
      <c r="C8054" s="209"/>
      <c r="D8054" s="209"/>
      <c r="E8054" s="209"/>
      <c r="J8054" s="124"/>
    </row>
    <row r="8055" spans="3:10" x14ac:dyDescent="0.2">
      <c r="C8055" s="209"/>
      <c r="D8055" s="209"/>
      <c r="E8055" s="209"/>
      <c r="J8055" s="124"/>
    </row>
    <row r="8056" spans="3:10" x14ac:dyDescent="0.2">
      <c r="C8056" s="209"/>
      <c r="D8056" s="209"/>
      <c r="E8056" s="209"/>
      <c r="J8056" s="124"/>
    </row>
    <row r="8057" spans="3:10" x14ac:dyDescent="0.2">
      <c r="C8057" s="209"/>
      <c r="D8057" s="209"/>
      <c r="E8057" s="209"/>
      <c r="J8057" s="124"/>
    </row>
    <row r="8058" spans="3:10" x14ac:dyDescent="0.2">
      <c r="C8058" s="209"/>
      <c r="D8058" s="209"/>
      <c r="E8058" s="209"/>
      <c r="J8058" s="124"/>
    </row>
    <row r="8059" spans="3:10" x14ac:dyDescent="0.2">
      <c r="C8059" s="209"/>
      <c r="D8059" s="209"/>
      <c r="E8059" s="209"/>
      <c r="J8059" s="124"/>
    </row>
    <row r="8060" spans="3:10" x14ac:dyDescent="0.2">
      <c r="C8060" s="209"/>
      <c r="D8060" s="209"/>
      <c r="E8060" s="209"/>
      <c r="J8060" s="124"/>
    </row>
    <row r="8061" spans="3:10" x14ac:dyDescent="0.2">
      <c r="C8061" s="209"/>
      <c r="D8061" s="209"/>
      <c r="E8061" s="209"/>
      <c r="J8061" s="124"/>
    </row>
    <row r="8062" spans="3:10" x14ac:dyDescent="0.2">
      <c r="C8062" s="209"/>
      <c r="D8062" s="209"/>
      <c r="E8062" s="209"/>
      <c r="J8062" s="124"/>
    </row>
    <row r="8063" spans="3:10" x14ac:dyDescent="0.2">
      <c r="C8063" s="209"/>
      <c r="D8063" s="209"/>
      <c r="E8063" s="209"/>
      <c r="J8063" s="124"/>
    </row>
    <row r="8064" spans="3:10" x14ac:dyDescent="0.2">
      <c r="C8064" s="209"/>
      <c r="D8064" s="209"/>
      <c r="E8064" s="209"/>
      <c r="J8064" s="124"/>
    </row>
    <row r="8065" spans="3:10" x14ac:dyDescent="0.2">
      <c r="C8065" s="209"/>
      <c r="D8065" s="209"/>
      <c r="E8065" s="209"/>
      <c r="J8065" s="124"/>
    </row>
    <row r="8066" spans="3:10" x14ac:dyDescent="0.2">
      <c r="C8066" s="209"/>
      <c r="D8066" s="209"/>
      <c r="E8066" s="209"/>
      <c r="J8066" s="124"/>
    </row>
    <row r="8067" spans="3:10" x14ac:dyDescent="0.2">
      <c r="C8067" s="209"/>
      <c r="D8067" s="209"/>
      <c r="E8067" s="209"/>
      <c r="J8067" s="124"/>
    </row>
    <row r="8068" spans="3:10" x14ac:dyDescent="0.2">
      <c r="C8068" s="209"/>
      <c r="D8068" s="209"/>
      <c r="E8068" s="209"/>
      <c r="J8068" s="124"/>
    </row>
    <row r="8069" spans="3:10" x14ac:dyDescent="0.2">
      <c r="C8069" s="209"/>
      <c r="D8069" s="209"/>
      <c r="E8069" s="209"/>
      <c r="J8069" s="124"/>
    </row>
    <row r="8070" spans="3:10" x14ac:dyDescent="0.2">
      <c r="C8070" s="209"/>
      <c r="D8070" s="209"/>
      <c r="E8070" s="209"/>
      <c r="J8070" s="124"/>
    </row>
    <row r="8071" spans="3:10" x14ac:dyDescent="0.2">
      <c r="C8071" s="209"/>
      <c r="D8071" s="209"/>
      <c r="E8071" s="209"/>
      <c r="J8071" s="124"/>
    </row>
    <row r="8072" spans="3:10" x14ac:dyDescent="0.2">
      <c r="C8072" s="209"/>
      <c r="D8072" s="209"/>
      <c r="E8072" s="209"/>
      <c r="J8072" s="124"/>
    </row>
    <row r="8073" spans="3:10" x14ac:dyDescent="0.2">
      <c r="C8073" s="209"/>
      <c r="D8073" s="209"/>
      <c r="E8073" s="209"/>
      <c r="J8073" s="124"/>
    </row>
    <row r="8074" spans="3:10" x14ac:dyDescent="0.2">
      <c r="C8074" s="209"/>
      <c r="D8074" s="209"/>
      <c r="E8074" s="209"/>
      <c r="J8074" s="124"/>
    </row>
    <row r="8075" spans="3:10" x14ac:dyDescent="0.2">
      <c r="C8075" s="209"/>
      <c r="D8075" s="209"/>
      <c r="E8075" s="209"/>
      <c r="J8075" s="124"/>
    </row>
    <row r="8076" spans="3:10" x14ac:dyDescent="0.2">
      <c r="C8076" s="209"/>
      <c r="D8076" s="209"/>
      <c r="E8076" s="209"/>
      <c r="J8076" s="124"/>
    </row>
    <row r="8077" spans="3:10" x14ac:dyDescent="0.2">
      <c r="C8077" s="209"/>
      <c r="D8077" s="209"/>
      <c r="E8077" s="209"/>
      <c r="J8077" s="124"/>
    </row>
    <row r="8078" spans="3:10" x14ac:dyDescent="0.2">
      <c r="C8078" s="209"/>
      <c r="D8078" s="209"/>
      <c r="E8078" s="209"/>
      <c r="J8078" s="124"/>
    </row>
    <row r="8079" spans="3:10" x14ac:dyDescent="0.2">
      <c r="C8079" s="209"/>
      <c r="D8079" s="209"/>
      <c r="E8079" s="209"/>
      <c r="J8079" s="124"/>
    </row>
    <row r="8080" spans="3:10" x14ac:dyDescent="0.2">
      <c r="C8080" s="209"/>
      <c r="D8080" s="209"/>
      <c r="E8080" s="209"/>
      <c r="J8080" s="124"/>
    </row>
    <row r="8081" spans="3:10" x14ac:dyDescent="0.2">
      <c r="C8081" s="209"/>
      <c r="D8081" s="209"/>
      <c r="E8081" s="209"/>
      <c r="J8081" s="124"/>
    </row>
    <row r="8082" spans="3:10" x14ac:dyDescent="0.2">
      <c r="C8082" s="209"/>
      <c r="D8082" s="209"/>
      <c r="E8082" s="209"/>
      <c r="J8082" s="124"/>
    </row>
    <row r="8083" spans="3:10" x14ac:dyDescent="0.2">
      <c r="C8083" s="209"/>
      <c r="D8083" s="209"/>
      <c r="E8083" s="209"/>
      <c r="J8083" s="124"/>
    </row>
    <row r="8084" spans="3:10" x14ac:dyDescent="0.2">
      <c r="C8084" s="209"/>
      <c r="D8084" s="209"/>
      <c r="E8084" s="209"/>
      <c r="J8084" s="124"/>
    </row>
    <row r="8085" spans="3:10" x14ac:dyDescent="0.2">
      <c r="C8085" s="209"/>
      <c r="D8085" s="209"/>
      <c r="E8085" s="209"/>
      <c r="J8085" s="124"/>
    </row>
    <row r="8086" spans="3:10" x14ac:dyDescent="0.2">
      <c r="C8086" s="209"/>
      <c r="D8086" s="209"/>
      <c r="E8086" s="209"/>
      <c r="J8086" s="124"/>
    </row>
    <row r="8087" spans="3:10" x14ac:dyDescent="0.2">
      <c r="C8087" s="209"/>
      <c r="D8087" s="209"/>
      <c r="E8087" s="209"/>
      <c r="J8087" s="124"/>
    </row>
    <row r="8088" spans="3:10" x14ac:dyDescent="0.2">
      <c r="C8088" s="209"/>
      <c r="D8088" s="209"/>
      <c r="E8088" s="209"/>
      <c r="J8088" s="124"/>
    </row>
    <row r="8089" spans="3:10" x14ac:dyDescent="0.2">
      <c r="C8089" s="209"/>
      <c r="D8089" s="209"/>
      <c r="E8089" s="209"/>
      <c r="J8089" s="124"/>
    </row>
    <row r="8090" spans="3:10" x14ac:dyDescent="0.2">
      <c r="C8090" s="209"/>
      <c r="D8090" s="209"/>
      <c r="E8090" s="209"/>
      <c r="J8090" s="124"/>
    </row>
    <row r="8091" spans="3:10" x14ac:dyDescent="0.2">
      <c r="C8091" s="209"/>
      <c r="D8091" s="209"/>
      <c r="E8091" s="209"/>
      <c r="J8091" s="124"/>
    </row>
    <row r="8092" spans="3:10" x14ac:dyDescent="0.2">
      <c r="C8092" s="209"/>
      <c r="D8092" s="209"/>
      <c r="E8092" s="209"/>
      <c r="J8092" s="124"/>
    </row>
    <row r="8093" spans="3:10" x14ac:dyDescent="0.2">
      <c r="C8093" s="209"/>
      <c r="D8093" s="209"/>
      <c r="E8093" s="209"/>
      <c r="J8093" s="124"/>
    </row>
    <row r="8094" spans="3:10" x14ac:dyDescent="0.2">
      <c r="C8094" s="209"/>
      <c r="D8094" s="209"/>
      <c r="E8094" s="209"/>
      <c r="J8094" s="124"/>
    </row>
    <row r="8095" spans="3:10" x14ac:dyDescent="0.2">
      <c r="C8095" s="209"/>
      <c r="D8095" s="209"/>
      <c r="E8095" s="209"/>
      <c r="J8095" s="124"/>
    </row>
    <row r="8096" spans="3:10" x14ac:dyDescent="0.2">
      <c r="C8096" s="209"/>
      <c r="D8096" s="209"/>
      <c r="E8096" s="209"/>
      <c r="J8096" s="124"/>
    </row>
    <row r="8097" spans="3:10" x14ac:dyDescent="0.2">
      <c r="C8097" s="209"/>
      <c r="D8097" s="209"/>
      <c r="E8097" s="209"/>
      <c r="J8097" s="124"/>
    </row>
    <row r="8098" spans="3:10" x14ac:dyDescent="0.2">
      <c r="C8098" s="209"/>
      <c r="D8098" s="209"/>
      <c r="E8098" s="209"/>
      <c r="J8098" s="124"/>
    </row>
    <row r="8099" spans="3:10" x14ac:dyDescent="0.2">
      <c r="C8099" s="209"/>
      <c r="D8099" s="209"/>
      <c r="E8099" s="209"/>
      <c r="J8099" s="124"/>
    </row>
    <row r="8100" spans="3:10" x14ac:dyDescent="0.2">
      <c r="C8100" s="209"/>
      <c r="D8100" s="209"/>
      <c r="E8100" s="209"/>
      <c r="J8100" s="124"/>
    </row>
    <row r="8101" spans="3:10" x14ac:dyDescent="0.2">
      <c r="C8101" s="209"/>
      <c r="D8101" s="209"/>
      <c r="E8101" s="209"/>
      <c r="J8101" s="124"/>
    </row>
    <row r="8102" spans="3:10" x14ac:dyDescent="0.2">
      <c r="C8102" s="209"/>
      <c r="D8102" s="209"/>
      <c r="E8102" s="209"/>
      <c r="J8102" s="124"/>
    </row>
    <row r="8103" spans="3:10" x14ac:dyDescent="0.2">
      <c r="C8103" s="209"/>
      <c r="D8103" s="209"/>
      <c r="E8103" s="209"/>
      <c r="J8103" s="124"/>
    </row>
    <row r="8104" spans="3:10" x14ac:dyDescent="0.2">
      <c r="C8104" s="209"/>
      <c r="D8104" s="209"/>
      <c r="E8104" s="209"/>
      <c r="J8104" s="124"/>
    </row>
    <row r="8105" spans="3:10" x14ac:dyDescent="0.2">
      <c r="C8105" s="209"/>
      <c r="D8105" s="209"/>
      <c r="E8105" s="209"/>
      <c r="J8105" s="124"/>
    </row>
    <row r="8106" spans="3:10" x14ac:dyDescent="0.2">
      <c r="C8106" s="209"/>
      <c r="D8106" s="209"/>
      <c r="E8106" s="209"/>
      <c r="J8106" s="124"/>
    </row>
    <row r="8107" spans="3:10" x14ac:dyDescent="0.2">
      <c r="C8107" s="209"/>
      <c r="D8107" s="209"/>
      <c r="E8107" s="209"/>
      <c r="J8107" s="124"/>
    </row>
    <row r="8108" spans="3:10" x14ac:dyDescent="0.2">
      <c r="C8108" s="209"/>
      <c r="D8108" s="209"/>
      <c r="E8108" s="209"/>
      <c r="J8108" s="124"/>
    </row>
    <row r="8109" spans="3:10" x14ac:dyDescent="0.2">
      <c r="C8109" s="209"/>
      <c r="D8109" s="209"/>
      <c r="E8109" s="209"/>
      <c r="J8109" s="124"/>
    </row>
    <row r="8110" spans="3:10" x14ac:dyDescent="0.2">
      <c r="C8110" s="209"/>
      <c r="D8110" s="209"/>
      <c r="E8110" s="209"/>
      <c r="J8110" s="124"/>
    </row>
    <row r="8111" spans="3:10" x14ac:dyDescent="0.2">
      <c r="C8111" s="209"/>
      <c r="D8111" s="209"/>
      <c r="E8111" s="209"/>
      <c r="J8111" s="124"/>
    </row>
    <row r="8112" spans="3:10" x14ac:dyDescent="0.2">
      <c r="C8112" s="209"/>
      <c r="D8112" s="209"/>
      <c r="E8112" s="209"/>
      <c r="J8112" s="124"/>
    </row>
    <row r="8113" spans="3:10" x14ac:dyDescent="0.2">
      <c r="C8113" s="209"/>
      <c r="D8113" s="209"/>
      <c r="E8113" s="209"/>
      <c r="J8113" s="124"/>
    </row>
    <row r="8114" spans="3:10" x14ac:dyDescent="0.2">
      <c r="C8114" s="209"/>
      <c r="D8114" s="209"/>
      <c r="E8114" s="209"/>
      <c r="J8114" s="124"/>
    </row>
    <row r="8115" spans="3:10" x14ac:dyDescent="0.2">
      <c r="C8115" s="209"/>
      <c r="D8115" s="209"/>
      <c r="E8115" s="209"/>
      <c r="J8115" s="124"/>
    </row>
    <row r="8116" spans="3:10" x14ac:dyDescent="0.2">
      <c r="C8116" s="209"/>
      <c r="D8116" s="209"/>
      <c r="E8116" s="209"/>
      <c r="J8116" s="124"/>
    </row>
    <row r="8117" spans="3:10" x14ac:dyDescent="0.2">
      <c r="C8117" s="209"/>
      <c r="D8117" s="209"/>
      <c r="E8117" s="209"/>
      <c r="J8117" s="124"/>
    </row>
    <row r="8118" spans="3:10" x14ac:dyDescent="0.2">
      <c r="C8118" s="209"/>
      <c r="D8118" s="209"/>
      <c r="E8118" s="209"/>
      <c r="J8118" s="124"/>
    </row>
    <row r="8119" spans="3:10" x14ac:dyDescent="0.2">
      <c r="C8119" s="209"/>
      <c r="D8119" s="209"/>
      <c r="E8119" s="209"/>
      <c r="J8119" s="124"/>
    </row>
    <row r="8120" spans="3:10" x14ac:dyDescent="0.2">
      <c r="C8120" s="209"/>
      <c r="D8120" s="209"/>
      <c r="E8120" s="209"/>
      <c r="J8120" s="124"/>
    </row>
    <row r="8121" spans="3:10" x14ac:dyDescent="0.2">
      <c r="C8121" s="209"/>
      <c r="D8121" s="209"/>
      <c r="E8121" s="209"/>
      <c r="J8121" s="124"/>
    </row>
    <row r="8122" spans="3:10" x14ac:dyDescent="0.2">
      <c r="C8122" s="209"/>
      <c r="D8122" s="209"/>
      <c r="E8122" s="209"/>
      <c r="J8122" s="124"/>
    </row>
    <row r="8123" spans="3:10" x14ac:dyDescent="0.2">
      <c r="C8123" s="209"/>
      <c r="D8123" s="209"/>
      <c r="E8123" s="209"/>
      <c r="J8123" s="124"/>
    </row>
    <row r="8124" spans="3:10" x14ac:dyDescent="0.2">
      <c r="C8124" s="209"/>
      <c r="D8124" s="209"/>
      <c r="E8124" s="209"/>
      <c r="J8124" s="124"/>
    </row>
    <row r="8125" spans="3:10" x14ac:dyDescent="0.2">
      <c r="C8125" s="209"/>
      <c r="D8125" s="209"/>
      <c r="E8125" s="209"/>
      <c r="J8125" s="124"/>
    </row>
    <row r="8126" spans="3:10" x14ac:dyDescent="0.2">
      <c r="C8126" s="209"/>
      <c r="D8126" s="209"/>
      <c r="E8126" s="209"/>
      <c r="J8126" s="124"/>
    </row>
    <row r="8127" spans="3:10" x14ac:dyDescent="0.2">
      <c r="C8127" s="209"/>
      <c r="D8127" s="209"/>
      <c r="E8127" s="209"/>
      <c r="J8127" s="124"/>
    </row>
    <row r="8128" spans="3:10" x14ac:dyDescent="0.2">
      <c r="C8128" s="209"/>
      <c r="D8128" s="209"/>
      <c r="E8128" s="209"/>
      <c r="J8128" s="124"/>
    </row>
    <row r="8129" spans="3:10" x14ac:dyDescent="0.2">
      <c r="C8129" s="209"/>
      <c r="D8129" s="209"/>
      <c r="E8129" s="209"/>
      <c r="J8129" s="124"/>
    </row>
    <row r="8130" spans="3:10" x14ac:dyDescent="0.2">
      <c r="C8130" s="209"/>
      <c r="D8130" s="209"/>
      <c r="E8130" s="209"/>
      <c r="J8130" s="124"/>
    </row>
    <row r="8131" spans="3:10" x14ac:dyDescent="0.2">
      <c r="C8131" s="209"/>
      <c r="D8131" s="209"/>
      <c r="E8131" s="209"/>
      <c r="J8131" s="124"/>
    </row>
    <row r="8132" spans="3:10" x14ac:dyDescent="0.2">
      <c r="C8132" s="209"/>
      <c r="D8132" s="209"/>
      <c r="E8132" s="209"/>
      <c r="J8132" s="124"/>
    </row>
    <row r="8133" spans="3:10" x14ac:dyDescent="0.2">
      <c r="C8133" s="209"/>
      <c r="D8133" s="209"/>
      <c r="E8133" s="209"/>
      <c r="J8133" s="124"/>
    </row>
    <row r="8134" spans="3:10" x14ac:dyDescent="0.2">
      <c r="C8134" s="209"/>
      <c r="D8134" s="209"/>
      <c r="E8134" s="209"/>
      <c r="J8134" s="124"/>
    </row>
    <row r="8135" spans="3:10" x14ac:dyDescent="0.2">
      <c r="C8135" s="209"/>
      <c r="D8135" s="209"/>
      <c r="E8135" s="209"/>
      <c r="J8135" s="124"/>
    </row>
    <row r="8136" spans="3:10" x14ac:dyDescent="0.2">
      <c r="C8136" s="209"/>
      <c r="D8136" s="209"/>
      <c r="E8136" s="209"/>
      <c r="J8136" s="124"/>
    </row>
    <row r="8137" spans="3:10" x14ac:dyDescent="0.2">
      <c r="C8137" s="209"/>
      <c r="D8137" s="209"/>
      <c r="E8137" s="209"/>
      <c r="J8137" s="124"/>
    </row>
    <row r="8138" spans="3:10" x14ac:dyDescent="0.2">
      <c r="C8138" s="209"/>
      <c r="D8138" s="209"/>
      <c r="E8138" s="209"/>
      <c r="J8138" s="124"/>
    </row>
    <row r="8139" spans="3:10" x14ac:dyDescent="0.2">
      <c r="C8139" s="209"/>
      <c r="D8139" s="209"/>
      <c r="E8139" s="209"/>
      <c r="J8139" s="124"/>
    </row>
    <row r="8140" spans="3:10" x14ac:dyDescent="0.2">
      <c r="C8140" s="209"/>
      <c r="D8140" s="209"/>
      <c r="E8140" s="209"/>
      <c r="J8140" s="124"/>
    </row>
    <row r="8141" spans="3:10" x14ac:dyDescent="0.2">
      <c r="C8141" s="209"/>
      <c r="D8141" s="209"/>
      <c r="E8141" s="209"/>
      <c r="J8141" s="124"/>
    </row>
    <row r="8142" spans="3:10" x14ac:dyDescent="0.2">
      <c r="C8142" s="209"/>
      <c r="D8142" s="209"/>
      <c r="E8142" s="209"/>
      <c r="J8142" s="124"/>
    </row>
    <row r="8143" spans="3:10" x14ac:dyDescent="0.2">
      <c r="C8143" s="209"/>
      <c r="D8143" s="209"/>
      <c r="E8143" s="209"/>
      <c r="J8143" s="124"/>
    </row>
    <row r="8144" spans="3:10" x14ac:dyDescent="0.2">
      <c r="C8144" s="209"/>
      <c r="D8144" s="209"/>
      <c r="E8144" s="209"/>
      <c r="J8144" s="124"/>
    </row>
    <row r="8145" spans="3:10" x14ac:dyDescent="0.2">
      <c r="C8145" s="209"/>
      <c r="D8145" s="209"/>
      <c r="E8145" s="209"/>
      <c r="J8145" s="124"/>
    </row>
    <row r="8146" spans="3:10" x14ac:dyDescent="0.2">
      <c r="C8146" s="209"/>
      <c r="D8146" s="209"/>
      <c r="E8146" s="209"/>
      <c r="J8146" s="124"/>
    </row>
    <row r="8147" spans="3:10" x14ac:dyDescent="0.2">
      <c r="C8147" s="209"/>
      <c r="D8147" s="209"/>
      <c r="E8147" s="209"/>
      <c r="J8147" s="124"/>
    </row>
    <row r="8148" spans="3:10" x14ac:dyDescent="0.2">
      <c r="C8148" s="209"/>
      <c r="D8148" s="209"/>
      <c r="E8148" s="209"/>
      <c r="J8148" s="124"/>
    </row>
    <row r="8149" spans="3:10" x14ac:dyDescent="0.2">
      <c r="C8149" s="209"/>
      <c r="D8149" s="209"/>
      <c r="E8149" s="209"/>
      <c r="J8149" s="124"/>
    </row>
    <row r="8150" spans="3:10" x14ac:dyDescent="0.2">
      <c r="C8150" s="209"/>
      <c r="D8150" s="209"/>
      <c r="E8150" s="209"/>
      <c r="J8150" s="124"/>
    </row>
    <row r="8151" spans="3:10" x14ac:dyDescent="0.2">
      <c r="C8151" s="209"/>
      <c r="D8151" s="209"/>
      <c r="E8151" s="209"/>
      <c r="J8151" s="124"/>
    </row>
    <row r="8152" spans="3:10" x14ac:dyDescent="0.2">
      <c r="C8152" s="209"/>
      <c r="D8152" s="209"/>
      <c r="E8152" s="209"/>
      <c r="J8152" s="124"/>
    </row>
    <row r="8153" spans="3:10" x14ac:dyDescent="0.2">
      <c r="C8153" s="209"/>
      <c r="D8153" s="209"/>
      <c r="E8153" s="209"/>
      <c r="J8153" s="124"/>
    </row>
    <row r="8154" spans="3:10" x14ac:dyDescent="0.2">
      <c r="C8154" s="209"/>
      <c r="D8154" s="209"/>
      <c r="E8154" s="209"/>
      <c r="J8154" s="124"/>
    </row>
    <row r="8155" spans="3:10" x14ac:dyDescent="0.2">
      <c r="C8155" s="209"/>
      <c r="D8155" s="209"/>
      <c r="E8155" s="209"/>
      <c r="J8155" s="124"/>
    </row>
    <row r="8156" spans="3:10" x14ac:dyDescent="0.2">
      <c r="C8156" s="209"/>
      <c r="D8156" s="209"/>
      <c r="E8156" s="209"/>
      <c r="J8156" s="124"/>
    </row>
    <row r="8157" spans="3:10" x14ac:dyDescent="0.2">
      <c r="C8157" s="209"/>
      <c r="D8157" s="209"/>
      <c r="E8157" s="209"/>
      <c r="J8157" s="124"/>
    </row>
    <row r="8158" spans="3:10" x14ac:dyDescent="0.2">
      <c r="C8158" s="209"/>
      <c r="D8158" s="209"/>
      <c r="E8158" s="209"/>
      <c r="J8158" s="124"/>
    </row>
    <row r="8159" spans="3:10" x14ac:dyDescent="0.2">
      <c r="C8159" s="209"/>
      <c r="D8159" s="209"/>
      <c r="E8159" s="209"/>
      <c r="J8159" s="124"/>
    </row>
    <row r="8160" spans="3:10" x14ac:dyDescent="0.2">
      <c r="C8160" s="209"/>
      <c r="D8160" s="209"/>
      <c r="E8160" s="209"/>
      <c r="J8160" s="124"/>
    </row>
    <row r="8161" spans="3:10" x14ac:dyDescent="0.2">
      <c r="C8161" s="209"/>
      <c r="D8161" s="209"/>
      <c r="E8161" s="209"/>
      <c r="J8161" s="124"/>
    </row>
    <row r="8162" spans="3:10" x14ac:dyDescent="0.2">
      <c r="C8162" s="209"/>
      <c r="D8162" s="209"/>
      <c r="E8162" s="209"/>
      <c r="J8162" s="124"/>
    </row>
    <row r="8163" spans="3:10" x14ac:dyDescent="0.2">
      <c r="C8163" s="209"/>
      <c r="D8163" s="209"/>
      <c r="E8163" s="209"/>
      <c r="J8163" s="124"/>
    </row>
    <row r="8164" spans="3:10" x14ac:dyDescent="0.2">
      <c r="C8164" s="209"/>
      <c r="D8164" s="209"/>
      <c r="E8164" s="209"/>
      <c r="J8164" s="124"/>
    </row>
    <row r="8165" spans="3:10" x14ac:dyDescent="0.2">
      <c r="C8165" s="209"/>
      <c r="D8165" s="209"/>
      <c r="E8165" s="209"/>
      <c r="J8165" s="124"/>
    </row>
    <row r="8166" spans="3:10" x14ac:dyDescent="0.2">
      <c r="C8166" s="209"/>
      <c r="D8166" s="209"/>
      <c r="E8166" s="209"/>
      <c r="J8166" s="124"/>
    </row>
    <row r="8167" spans="3:10" x14ac:dyDescent="0.2">
      <c r="C8167" s="209"/>
      <c r="D8167" s="209"/>
      <c r="E8167" s="209"/>
      <c r="J8167" s="124"/>
    </row>
    <row r="8168" spans="3:10" x14ac:dyDescent="0.2">
      <c r="C8168" s="209"/>
      <c r="D8168" s="209"/>
      <c r="E8168" s="209"/>
      <c r="J8168" s="124"/>
    </row>
    <row r="8169" spans="3:10" x14ac:dyDescent="0.2">
      <c r="C8169" s="209"/>
      <c r="D8169" s="209"/>
      <c r="E8169" s="209"/>
      <c r="J8169" s="124"/>
    </row>
    <row r="8170" spans="3:10" x14ac:dyDescent="0.2">
      <c r="C8170" s="209"/>
      <c r="D8170" s="209"/>
      <c r="E8170" s="209"/>
      <c r="J8170" s="124"/>
    </row>
    <row r="8171" spans="3:10" x14ac:dyDescent="0.2">
      <c r="C8171" s="209"/>
      <c r="D8171" s="209"/>
      <c r="E8171" s="209"/>
      <c r="J8171" s="124"/>
    </row>
    <row r="8172" spans="3:10" x14ac:dyDescent="0.2">
      <c r="C8172" s="209"/>
      <c r="D8172" s="209"/>
      <c r="E8172" s="209"/>
      <c r="J8172" s="124"/>
    </row>
    <row r="8173" spans="3:10" x14ac:dyDescent="0.2">
      <c r="C8173" s="209"/>
      <c r="D8173" s="209"/>
      <c r="E8173" s="209"/>
      <c r="J8173" s="124"/>
    </row>
    <row r="8174" spans="3:10" x14ac:dyDescent="0.2">
      <c r="C8174" s="209"/>
      <c r="D8174" s="209"/>
      <c r="E8174" s="209"/>
      <c r="J8174" s="124"/>
    </row>
    <row r="8175" spans="3:10" x14ac:dyDescent="0.2">
      <c r="C8175" s="209"/>
      <c r="D8175" s="209"/>
      <c r="E8175" s="209"/>
      <c r="J8175" s="124"/>
    </row>
    <row r="8176" spans="3:10" x14ac:dyDescent="0.2">
      <c r="C8176" s="209"/>
      <c r="D8176" s="209"/>
      <c r="E8176" s="209"/>
      <c r="J8176" s="124"/>
    </row>
    <row r="8177" spans="3:10" x14ac:dyDescent="0.2">
      <c r="C8177" s="209"/>
      <c r="D8177" s="209"/>
      <c r="E8177" s="209"/>
      <c r="J8177" s="124"/>
    </row>
    <row r="8178" spans="3:10" x14ac:dyDescent="0.2">
      <c r="C8178" s="209"/>
      <c r="D8178" s="209"/>
      <c r="E8178" s="209"/>
      <c r="J8178" s="124"/>
    </row>
    <row r="8179" spans="3:10" x14ac:dyDescent="0.2">
      <c r="C8179" s="209"/>
      <c r="D8179" s="209"/>
      <c r="E8179" s="209"/>
      <c r="J8179" s="124"/>
    </row>
    <row r="8180" spans="3:10" x14ac:dyDescent="0.2">
      <c r="C8180" s="209"/>
      <c r="D8180" s="209"/>
      <c r="E8180" s="209"/>
      <c r="J8180" s="124"/>
    </row>
    <row r="8181" spans="3:10" x14ac:dyDescent="0.2">
      <c r="C8181" s="209"/>
      <c r="D8181" s="209"/>
      <c r="E8181" s="209"/>
      <c r="J8181" s="124"/>
    </row>
    <row r="8182" spans="3:10" x14ac:dyDescent="0.2">
      <c r="C8182" s="209"/>
      <c r="D8182" s="209"/>
      <c r="E8182" s="209"/>
      <c r="J8182" s="124"/>
    </row>
    <row r="8183" spans="3:10" x14ac:dyDescent="0.2">
      <c r="C8183" s="209"/>
      <c r="D8183" s="209"/>
      <c r="E8183" s="209"/>
      <c r="J8183" s="124"/>
    </row>
    <row r="8184" spans="3:10" x14ac:dyDescent="0.2">
      <c r="C8184" s="209"/>
      <c r="D8184" s="209"/>
      <c r="E8184" s="209"/>
      <c r="J8184" s="124"/>
    </row>
    <row r="8185" spans="3:10" x14ac:dyDescent="0.2">
      <c r="C8185" s="209"/>
      <c r="D8185" s="209"/>
      <c r="E8185" s="209"/>
      <c r="J8185" s="124"/>
    </row>
    <row r="8186" spans="3:10" x14ac:dyDescent="0.2">
      <c r="C8186" s="209"/>
      <c r="D8186" s="209"/>
      <c r="E8186" s="209"/>
      <c r="J8186" s="124"/>
    </row>
    <row r="8187" spans="3:10" x14ac:dyDescent="0.2">
      <c r="C8187" s="209"/>
      <c r="D8187" s="209"/>
      <c r="E8187" s="209"/>
      <c r="J8187" s="124"/>
    </row>
    <row r="8188" spans="3:10" x14ac:dyDescent="0.2">
      <c r="C8188" s="209"/>
      <c r="D8188" s="209"/>
      <c r="E8188" s="209"/>
      <c r="J8188" s="124"/>
    </row>
    <row r="8189" spans="3:10" x14ac:dyDescent="0.2">
      <c r="C8189" s="209"/>
      <c r="D8189" s="209"/>
      <c r="E8189" s="209"/>
      <c r="J8189" s="124"/>
    </row>
    <row r="8190" spans="3:10" x14ac:dyDescent="0.2">
      <c r="C8190" s="209"/>
      <c r="D8190" s="209"/>
      <c r="E8190" s="209"/>
      <c r="J8190" s="124"/>
    </row>
    <row r="8191" spans="3:10" x14ac:dyDescent="0.2">
      <c r="C8191" s="209"/>
      <c r="D8191" s="209"/>
      <c r="E8191" s="209"/>
      <c r="J8191" s="124"/>
    </row>
    <row r="8192" spans="3:10" x14ac:dyDescent="0.2">
      <c r="C8192" s="209"/>
      <c r="D8192" s="209"/>
      <c r="E8192" s="209"/>
      <c r="J8192" s="124"/>
    </row>
    <row r="8193" spans="3:10" x14ac:dyDescent="0.2">
      <c r="C8193" s="209"/>
      <c r="D8193" s="209"/>
      <c r="E8193" s="209"/>
      <c r="J8193" s="124"/>
    </row>
    <row r="8194" spans="3:10" x14ac:dyDescent="0.2">
      <c r="C8194" s="209"/>
      <c r="D8194" s="209"/>
      <c r="E8194" s="209"/>
      <c r="J8194" s="124"/>
    </row>
    <row r="8195" spans="3:10" x14ac:dyDescent="0.2">
      <c r="C8195" s="209"/>
      <c r="D8195" s="209"/>
      <c r="E8195" s="209"/>
      <c r="J8195" s="124"/>
    </row>
    <row r="8196" spans="3:10" x14ac:dyDescent="0.2">
      <c r="C8196" s="209"/>
      <c r="D8196" s="209"/>
      <c r="E8196" s="209"/>
      <c r="J8196" s="124"/>
    </row>
    <row r="8197" spans="3:10" x14ac:dyDescent="0.2">
      <c r="C8197" s="209"/>
      <c r="D8197" s="209"/>
      <c r="E8197" s="209"/>
      <c r="J8197" s="124"/>
    </row>
    <row r="8198" spans="3:10" x14ac:dyDescent="0.2">
      <c r="C8198" s="209"/>
      <c r="D8198" s="209"/>
      <c r="E8198" s="209"/>
      <c r="J8198" s="124"/>
    </row>
    <row r="8199" spans="3:10" x14ac:dyDescent="0.2">
      <c r="C8199" s="209"/>
      <c r="D8199" s="209"/>
      <c r="E8199" s="209"/>
      <c r="J8199" s="124"/>
    </row>
    <row r="8200" spans="3:10" x14ac:dyDescent="0.2">
      <c r="C8200" s="209"/>
      <c r="D8200" s="209"/>
      <c r="E8200" s="209"/>
      <c r="J8200" s="124"/>
    </row>
    <row r="8201" spans="3:10" x14ac:dyDescent="0.2">
      <c r="C8201" s="209"/>
      <c r="D8201" s="209"/>
      <c r="E8201" s="209"/>
      <c r="J8201" s="124"/>
    </row>
    <row r="8202" spans="3:10" x14ac:dyDescent="0.2">
      <c r="C8202" s="209"/>
      <c r="D8202" s="209"/>
      <c r="E8202" s="209"/>
      <c r="J8202" s="124"/>
    </row>
    <row r="8203" spans="3:10" x14ac:dyDescent="0.2">
      <c r="C8203" s="209"/>
      <c r="D8203" s="209"/>
      <c r="E8203" s="209"/>
      <c r="J8203" s="124"/>
    </row>
    <row r="8204" spans="3:10" x14ac:dyDescent="0.2">
      <c r="C8204" s="209"/>
      <c r="D8204" s="209"/>
      <c r="E8204" s="209"/>
      <c r="J8204" s="124"/>
    </row>
    <row r="8205" spans="3:10" x14ac:dyDescent="0.2">
      <c r="C8205" s="209"/>
      <c r="D8205" s="209"/>
      <c r="E8205" s="209"/>
      <c r="J8205" s="124"/>
    </row>
    <row r="8206" spans="3:10" x14ac:dyDescent="0.2">
      <c r="C8206" s="209"/>
      <c r="D8206" s="209"/>
      <c r="E8206" s="209"/>
      <c r="J8206" s="124"/>
    </row>
    <row r="8207" spans="3:10" x14ac:dyDescent="0.2">
      <c r="C8207" s="209"/>
      <c r="D8207" s="209"/>
      <c r="E8207" s="209"/>
      <c r="J8207" s="124"/>
    </row>
    <row r="8208" spans="3:10" x14ac:dyDescent="0.2">
      <c r="C8208" s="209"/>
      <c r="D8208" s="209"/>
      <c r="E8208" s="209"/>
      <c r="J8208" s="124"/>
    </row>
    <row r="8209" spans="3:10" x14ac:dyDescent="0.2">
      <c r="C8209" s="209"/>
      <c r="D8209" s="209"/>
      <c r="E8209" s="209"/>
      <c r="J8209" s="124"/>
    </row>
    <row r="8210" spans="3:10" x14ac:dyDescent="0.2">
      <c r="C8210" s="209"/>
      <c r="D8210" s="209"/>
      <c r="E8210" s="209"/>
      <c r="J8210" s="124"/>
    </row>
    <row r="8211" spans="3:10" x14ac:dyDescent="0.2">
      <c r="C8211" s="209"/>
      <c r="D8211" s="209"/>
      <c r="E8211" s="209"/>
      <c r="J8211" s="124"/>
    </row>
    <row r="8212" spans="3:10" x14ac:dyDescent="0.2">
      <c r="C8212" s="209"/>
      <c r="D8212" s="209"/>
      <c r="E8212" s="209"/>
      <c r="J8212" s="124"/>
    </row>
    <row r="8213" spans="3:10" x14ac:dyDescent="0.2">
      <c r="C8213" s="209"/>
      <c r="D8213" s="209"/>
      <c r="E8213" s="209"/>
      <c r="J8213" s="124"/>
    </row>
    <row r="8214" spans="3:10" x14ac:dyDescent="0.2">
      <c r="C8214" s="209"/>
      <c r="D8214" s="209"/>
      <c r="E8214" s="209"/>
      <c r="J8214" s="124"/>
    </row>
    <row r="8215" spans="3:10" x14ac:dyDescent="0.2">
      <c r="C8215" s="209"/>
      <c r="D8215" s="209"/>
      <c r="E8215" s="209"/>
      <c r="J8215" s="124"/>
    </row>
    <row r="8216" spans="3:10" x14ac:dyDescent="0.2">
      <c r="C8216" s="209"/>
      <c r="D8216" s="209"/>
      <c r="E8216" s="209"/>
      <c r="J8216" s="124"/>
    </row>
    <row r="8217" spans="3:10" x14ac:dyDescent="0.2">
      <c r="C8217" s="209"/>
      <c r="D8217" s="209"/>
      <c r="E8217" s="209"/>
      <c r="J8217" s="124"/>
    </row>
    <row r="8218" spans="3:10" x14ac:dyDescent="0.2">
      <c r="C8218" s="209"/>
      <c r="D8218" s="209"/>
      <c r="E8218" s="209"/>
      <c r="J8218" s="124"/>
    </row>
    <row r="8219" spans="3:10" x14ac:dyDescent="0.2">
      <c r="C8219" s="209"/>
      <c r="D8219" s="209"/>
      <c r="E8219" s="209"/>
      <c r="J8219" s="124"/>
    </row>
    <row r="8220" spans="3:10" x14ac:dyDescent="0.2">
      <c r="C8220" s="209"/>
      <c r="D8220" s="209"/>
      <c r="E8220" s="209"/>
      <c r="J8220" s="124"/>
    </row>
    <row r="8221" spans="3:10" x14ac:dyDescent="0.2">
      <c r="C8221" s="209"/>
      <c r="D8221" s="209"/>
      <c r="E8221" s="209"/>
      <c r="J8221" s="124"/>
    </row>
    <row r="8222" spans="3:10" x14ac:dyDescent="0.2">
      <c r="C8222" s="209"/>
      <c r="D8222" s="209"/>
      <c r="E8222" s="209"/>
      <c r="J8222" s="124"/>
    </row>
    <row r="8223" spans="3:10" x14ac:dyDescent="0.2">
      <c r="C8223" s="209"/>
      <c r="D8223" s="209"/>
      <c r="E8223" s="209"/>
      <c r="J8223" s="124"/>
    </row>
    <row r="8224" spans="3:10" x14ac:dyDescent="0.2">
      <c r="C8224" s="209"/>
      <c r="D8224" s="209"/>
      <c r="E8224" s="209"/>
      <c r="J8224" s="124"/>
    </row>
    <row r="8225" spans="3:10" x14ac:dyDescent="0.2">
      <c r="C8225" s="209"/>
      <c r="D8225" s="209"/>
      <c r="E8225" s="209"/>
      <c r="J8225" s="124"/>
    </row>
    <row r="8226" spans="3:10" x14ac:dyDescent="0.2">
      <c r="C8226" s="209"/>
      <c r="D8226" s="209"/>
      <c r="E8226" s="209"/>
      <c r="J8226" s="124"/>
    </row>
    <row r="8227" spans="3:10" x14ac:dyDescent="0.2">
      <c r="C8227" s="209"/>
      <c r="D8227" s="209"/>
      <c r="E8227" s="209"/>
      <c r="J8227" s="124"/>
    </row>
    <row r="8228" spans="3:10" x14ac:dyDescent="0.2">
      <c r="C8228" s="209"/>
      <c r="D8228" s="209"/>
      <c r="E8228" s="209"/>
      <c r="J8228" s="124"/>
    </row>
    <row r="8229" spans="3:10" x14ac:dyDescent="0.2">
      <c r="C8229" s="209"/>
      <c r="D8229" s="209"/>
      <c r="E8229" s="209"/>
      <c r="J8229" s="124"/>
    </row>
    <row r="8230" spans="3:10" x14ac:dyDescent="0.2">
      <c r="C8230" s="209"/>
      <c r="D8230" s="209"/>
      <c r="E8230" s="209"/>
      <c r="J8230" s="124"/>
    </row>
    <row r="8231" spans="3:10" x14ac:dyDescent="0.2">
      <c r="C8231" s="209"/>
      <c r="D8231" s="209"/>
      <c r="E8231" s="209"/>
      <c r="J8231" s="124"/>
    </row>
    <row r="8232" spans="3:10" x14ac:dyDescent="0.2">
      <c r="C8232" s="209"/>
      <c r="D8232" s="209"/>
      <c r="E8232" s="209"/>
      <c r="J8232" s="124"/>
    </row>
    <row r="8233" spans="3:10" x14ac:dyDescent="0.2">
      <c r="C8233" s="209"/>
      <c r="D8233" s="209"/>
      <c r="E8233" s="209"/>
      <c r="J8233" s="124"/>
    </row>
    <row r="8234" spans="3:10" x14ac:dyDescent="0.2">
      <c r="C8234" s="209"/>
      <c r="D8234" s="209"/>
      <c r="E8234" s="209"/>
      <c r="J8234" s="124"/>
    </row>
    <row r="8235" spans="3:10" x14ac:dyDescent="0.2">
      <c r="C8235" s="209"/>
      <c r="D8235" s="209"/>
      <c r="E8235" s="209"/>
      <c r="J8235" s="124"/>
    </row>
    <row r="8236" spans="3:10" x14ac:dyDescent="0.2">
      <c r="C8236" s="209"/>
      <c r="D8236" s="209"/>
      <c r="E8236" s="209"/>
      <c r="J8236" s="124"/>
    </row>
    <row r="8237" spans="3:10" x14ac:dyDescent="0.2">
      <c r="C8237" s="209"/>
      <c r="D8237" s="209"/>
      <c r="E8237" s="209"/>
      <c r="J8237" s="124"/>
    </row>
    <row r="8238" spans="3:10" x14ac:dyDescent="0.2">
      <c r="C8238" s="209"/>
      <c r="D8238" s="209"/>
      <c r="E8238" s="209"/>
      <c r="J8238" s="124"/>
    </row>
    <row r="8239" spans="3:10" x14ac:dyDescent="0.2">
      <c r="C8239" s="209"/>
      <c r="D8239" s="209"/>
      <c r="E8239" s="209"/>
      <c r="J8239" s="124"/>
    </row>
    <row r="8240" spans="3:10" x14ac:dyDescent="0.2">
      <c r="C8240" s="209"/>
      <c r="D8240" s="209"/>
      <c r="E8240" s="209"/>
      <c r="J8240" s="124"/>
    </row>
    <row r="8241" spans="3:10" x14ac:dyDescent="0.2">
      <c r="C8241" s="209"/>
      <c r="D8241" s="209"/>
      <c r="E8241" s="209"/>
      <c r="J8241" s="124"/>
    </row>
    <row r="8242" spans="3:10" x14ac:dyDescent="0.2">
      <c r="C8242" s="209"/>
      <c r="D8242" s="209"/>
      <c r="E8242" s="209"/>
      <c r="J8242" s="124"/>
    </row>
    <row r="8243" spans="3:10" x14ac:dyDescent="0.2">
      <c r="C8243" s="209"/>
      <c r="D8243" s="209"/>
      <c r="E8243" s="209"/>
      <c r="J8243" s="124"/>
    </row>
    <row r="8244" spans="3:10" x14ac:dyDescent="0.2">
      <c r="C8244" s="209"/>
      <c r="D8244" s="209"/>
      <c r="E8244" s="209"/>
      <c r="J8244" s="124"/>
    </row>
    <row r="8245" spans="3:10" x14ac:dyDescent="0.2">
      <c r="C8245" s="209"/>
      <c r="D8245" s="209"/>
      <c r="E8245" s="209"/>
      <c r="J8245" s="124"/>
    </row>
    <row r="8246" spans="3:10" x14ac:dyDescent="0.2">
      <c r="C8246" s="209"/>
      <c r="D8246" s="209"/>
      <c r="E8246" s="209"/>
      <c r="J8246" s="124"/>
    </row>
    <row r="8247" spans="3:10" x14ac:dyDescent="0.2">
      <c r="C8247" s="209"/>
      <c r="D8247" s="209"/>
      <c r="E8247" s="209"/>
      <c r="J8247" s="124"/>
    </row>
    <row r="8248" spans="3:10" x14ac:dyDescent="0.2">
      <c r="C8248" s="209"/>
      <c r="D8248" s="209"/>
      <c r="E8248" s="209"/>
      <c r="J8248" s="124"/>
    </row>
    <row r="8249" spans="3:10" x14ac:dyDescent="0.2">
      <c r="C8249" s="209"/>
      <c r="D8249" s="209"/>
      <c r="E8249" s="209"/>
      <c r="J8249" s="124"/>
    </row>
    <row r="8250" spans="3:10" x14ac:dyDescent="0.2">
      <c r="C8250" s="209"/>
      <c r="D8250" s="209"/>
      <c r="E8250" s="209"/>
      <c r="J8250" s="124"/>
    </row>
    <row r="8251" spans="3:10" x14ac:dyDescent="0.2">
      <c r="C8251" s="209"/>
      <c r="D8251" s="209"/>
      <c r="E8251" s="209"/>
      <c r="J8251" s="124"/>
    </row>
    <row r="8252" spans="3:10" x14ac:dyDescent="0.2">
      <c r="C8252" s="209"/>
      <c r="D8252" s="209"/>
      <c r="E8252" s="209"/>
      <c r="J8252" s="124"/>
    </row>
    <row r="8253" spans="3:10" x14ac:dyDescent="0.2">
      <c r="C8253" s="209"/>
      <c r="D8253" s="209"/>
      <c r="E8253" s="209"/>
      <c r="J8253" s="124"/>
    </row>
    <row r="8254" spans="3:10" x14ac:dyDescent="0.2">
      <c r="C8254" s="209"/>
      <c r="D8254" s="209"/>
      <c r="E8254" s="209"/>
      <c r="J8254" s="124"/>
    </row>
    <row r="8255" spans="3:10" x14ac:dyDescent="0.2">
      <c r="C8255" s="209"/>
      <c r="D8255" s="209"/>
      <c r="E8255" s="209"/>
      <c r="J8255" s="124"/>
    </row>
    <row r="8256" spans="3:10" x14ac:dyDescent="0.2">
      <c r="C8256" s="209"/>
      <c r="D8256" s="209"/>
      <c r="E8256" s="209"/>
      <c r="J8256" s="124"/>
    </row>
    <row r="8257" spans="3:10" x14ac:dyDescent="0.2">
      <c r="C8257" s="209"/>
      <c r="D8257" s="209"/>
      <c r="E8257" s="209"/>
      <c r="J8257" s="124"/>
    </row>
    <row r="8258" spans="3:10" x14ac:dyDescent="0.2">
      <c r="C8258" s="209"/>
      <c r="D8258" s="209"/>
      <c r="E8258" s="209"/>
      <c r="J8258" s="124"/>
    </row>
    <row r="8259" spans="3:10" x14ac:dyDescent="0.2">
      <c r="C8259" s="209"/>
      <c r="D8259" s="209"/>
      <c r="E8259" s="209"/>
      <c r="J8259" s="124"/>
    </row>
    <row r="8260" spans="3:10" x14ac:dyDescent="0.2">
      <c r="C8260" s="209"/>
      <c r="D8260" s="209"/>
      <c r="E8260" s="209"/>
      <c r="J8260" s="124"/>
    </row>
    <row r="8261" spans="3:10" x14ac:dyDescent="0.2">
      <c r="C8261" s="209"/>
      <c r="D8261" s="209"/>
      <c r="E8261" s="209"/>
      <c r="J8261" s="124"/>
    </row>
    <row r="8262" spans="3:10" x14ac:dyDescent="0.2">
      <c r="C8262" s="209"/>
      <c r="D8262" s="209"/>
      <c r="E8262" s="209"/>
      <c r="J8262" s="124"/>
    </row>
    <row r="8263" spans="3:10" x14ac:dyDescent="0.2">
      <c r="C8263" s="209"/>
      <c r="D8263" s="209"/>
      <c r="E8263" s="209"/>
      <c r="J8263" s="124"/>
    </row>
    <row r="8264" spans="3:10" x14ac:dyDescent="0.2">
      <c r="C8264" s="209"/>
      <c r="D8264" s="209"/>
      <c r="E8264" s="209"/>
      <c r="J8264" s="124"/>
    </row>
    <row r="8265" spans="3:10" x14ac:dyDescent="0.2">
      <c r="C8265" s="209"/>
      <c r="D8265" s="209"/>
      <c r="E8265" s="209"/>
      <c r="J8265" s="124"/>
    </row>
    <row r="8266" spans="3:10" x14ac:dyDescent="0.2">
      <c r="C8266" s="209"/>
      <c r="D8266" s="209"/>
      <c r="E8266" s="209"/>
      <c r="J8266" s="124"/>
    </row>
    <row r="8267" spans="3:10" x14ac:dyDescent="0.2">
      <c r="C8267" s="209"/>
      <c r="D8267" s="209"/>
      <c r="E8267" s="209"/>
      <c r="J8267" s="124"/>
    </row>
    <row r="8268" spans="3:10" x14ac:dyDescent="0.2">
      <c r="C8268" s="209"/>
      <c r="D8268" s="209"/>
      <c r="E8268" s="209"/>
      <c r="J8268" s="124"/>
    </row>
    <row r="8269" spans="3:10" x14ac:dyDescent="0.2">
      <c r="C8269" s="209"/>
      <c r="D8269" s="209"/>
      <c r="E8269" s="209"/>
      <c r="J8269" s="124"/>
    </row>
    <row r="8270" spans="3:10" x14ac:dyDescent="0.2">
      <c r="C8270" s="209"/>
      <c r="D8270" s="209"/>
      <c r="E8270" s="209"/>
      <c r="J8270" s="124"/>
    </row>
    <row r="8271" spans="3:10" x14ac:dyDescent="0.2">
      <c r="C8271" s="209"/>
      <c r="D8271" s="209"/>
      <c r="E8271" s="209"/>
      <c r="J8271" s="124"/>
    </row>
    <row r="8272" spans="3:10" x14ac:dyDescent="0.2">
      <c r="C8272" s="209"/>
      <c r="D8272" s="209"/>
      <c r="E8272" s="209"/>
      <c r="J8272" s="124"/>
    </row>
    <row r="8273" spans="3:10" x14ac:dyDescent="0.2">
      <c r="C8273" s="209"/>
      <c r="D8273" s="209"/>
      <c r="E8273" s="209"/>
      <c r="J8273" s="124"/>
    </row>
    <row r="8274" spans="3:10" x14ac:dyDescent="0.2">
      <c r="C8274" s="209"/>
      <c r="D8274" s="209"/>
      <c r="E8274" s="209"/>
      <c r="J8274" s="124"/>
    </row>
    <row r="8275" spans="3:10" x14ac:dyDescent="0.2">
      <c r="C8275" s="209"/>
      <c r="D8275" s="209"/>
      <c r="E8275" s="209"/>
      <c r="J8275" s="124"/>
    </row>
    <row r="8276" spans="3:10" x14ac:dyDescent="0.2">
      <c r="C8276" s="209"/>
      <c r="D8276" s="209"/>
      <c r="E8276" s="209"/>
      <c r="J8276" s="124"/>
    </row>
    <row r="8277" spans="3:10" x14ac:dyDescent="0.2">
      <c r="C8277" s="209"/>
      <c r="D8277" s="209"/>
      <c r="E8277" s="209"/>
      <c r="J8277" s="124"/>
    </row>
    <row r="8278" spans="3:10" x14ac:dyDescent="0.2">
      <c r="C8278" s="209"/>
      <c r="D8278" s="209"/>
      <c r="E8278" s="209"/>
      <c r="J8278" s="124"/>
    </row>
    <row r="8279" spans="3:10" x14ac:dyDescent="0.2">
      <c r="C8279" s="209"/>
      <c r="D8279" s="209"/>
      <c r="E8279" s="209"/>
      <c r="J8279" s="124"/>
    </row>
    <row r="8280" spans="3:10" x14ac:dyDescent="0.2">
      <c r="C8280" s="209"/>
      <c r="D8280" s="209"/>
      <c r="E8280" s="209"/>
      <c r="J8280" s="124"/>
    </row>
    <row r="8281" spans="3:10" x14ac:dyDescent="0.2">
      <c r="C8281" s="209"/>
      <c r="D8281" s="209"/>
      <c r="E8281" s="209"/>
      <c r="J8281" s="124"/>
    </row>
    <row r="8282" spans="3:10" x14ac:dyDescent="0.2">
      <c r="C8282" s="209"/>
      <c r="D8282" s="209"/>
      <c r="E8282" s="209"/>
      <c r="J8282" s="124"/>
    </row>
    <row r="8283" spans="3:10" x14ac:dyDescent="0.2">
      <c r="C8283" s="209"/>
      <c r="D8283" s="209"/>
      <c r="E8283" s="209"/>
      <c r="J8283" s="124"/>
    </row>
    <row r="8284" spans="3:10" x14ac:dyDescent="0.2">
      <c r="C8284" s="209"/>
      <c r="D8284" s="209"/>
      <c r="E8284" s="209"/>
      <c r="J8284" s="124"/>
    </row>
    <row r="8285" spans="3:10" x14ac:dyDescent="0.2">
      <c r="C8285" s="209"/>
      <c r="D8285" s="209"/>
      <c r="E8285" s="209"/>
      <c r="J8285" s="124"/>
    </row>
    <row r="8286" spans="3:10" x14ac:dyDescent="0.2">
      <c r="C8286" s="209"/>
      <c r="D8286" s="209"/>
      <c r="E8286" s="209"/>
      <c r="J8286" s="124"/>
    </row>
    <row r="8287" spans="3:10" x14ac:dyDescent="0.2">
      <c r="C8287" s="209"/>
      <c r="D8287" s="209"/>
      <c r="E8287" s="209"/>
      <c r="J8287" s="124"/>
    </row>
    <row r="8288" spans="3:10" x14ac:dyDescent="0.2">
      <c r="C8288" s="209"/>
      <c r="D8288" s="209"/>
      <c r="E8288" s="209"/>
      <c r="J8288" s="124"/>
    </row>
    <row r="8289" spans="3:10" x14ac:dyDescent="0.2">
      <c r="C8289" s="209"/>
      <c r="D8289" s="209"/>
      <c r="E8289" s="209"/>
      <c r="J8289" s="124"/>
    </row>
    <row r="8290" spans="3:10" x14ac:dyDescent="0.2">
      <c r="C8290" s="209"/>
      <c r="D8290" s="209"/>
      <c r="E8290" s="209"/>
      <c r="J8290" s="124"/>
    </row>
    <row r="8291" spans="3:10" x14ac:dyDescent="0.2">
      <c r="C8291" s="209"/>
      <c r="D8291" s="209"/>
      <c r="E8291" s="209"/>
      <c r="J8291" s="124"/>
    </row>
    <row r="8292" spans="3:10" x14ac:dyDescent="0.2">
      <c r="C8292" s="209"/>
      <c r="D8292" s="209"/>
      <c r="E8292" s="209"/>
      <c r="J8292" s="124"/>
    </row>
    <row r="8293" spans="3:10" x14ac:dyDescent="0.2">
      <c r="C8293" s="209"/>
      <c r="D8293" s="209"/>
      <c r="E8293" s="209"/>
      <c r="J8293" s="124"/>
    </row>
    <row r="8294" spans="3:10" x14ac:dyDescent="0.2">
      <c r="C8294" s="209"/>
      <c r="D8294" s="209"/>
      <c r="E8294" s="209"/>
      <c r="J8294" s="124"/>
    </row>
    <row r="8295" spans="3:10" x14ac:dyDescent="0.2">
      <c r="C8295" s="209"/>
      <c r="D8295" s="209"/>
      <c r="E8295" s="209"/>
      <c r="J8295" s="124"/>
    </row>
    <row r="8296" spans="3:10" x14ac:dyDescent="0.2">
      <c r="C8296" s="209"/>
      <c r="D8296" s="209"/>
      <c r="E8296" s="209"/>
      <c r="J8296" s="124"/>
    </row>
    <row r="8297" spans="3:10" x14ac:dyDescent="0.2">
      <c r="C8297" s="209"/>
      <c r="D8297" s="209"/>
      <c r="E8297" s="209"/>
      <c r="J8297" s="124"/>
    </row>
    <row r="8298" spans="3:10" x14ac:dyDescent="0.2">
      <c r="C8298" s="209"/>
      <c r="D8298" s="209"/>
      <c r="E8298" s="209"/>
      <c r="J8298" s="124"/>
    </row>
    <row r="8299" spans="3:10" x14ac:dyDescent="0.2">
      <c r="C8299" s="209"/>
      <c r="D8299" s="209"/>
      <c r="E8299" s="209"/>
      <c r="J8299" s="124"/>
    </row>
    <row r="8300" spans="3:10" x14ac:dyDescent="0.2">
      <c r="C8300" s="209"/>
      <c r="D8300" s="209"/>
      <c r="E8300" s="209"/>
      <c r="J8300" s="124"/>
    </row>
    <row r="8301" spans="3:10" x14ac:dyDescent="0.2">
      <c r="C8301" s="209"/>
      <c r="D8301" s="209"/>
      <c r="E8301" s="209"/>
      <c r="J8301" s="124"/>
    </row>
    <row r="8302" spans="3:10" x14ac:dyDescent="0.2">
      <c r="C8302" s="209"/>
      <c r="D8302" s="209"/>
      <c r="E8302" s="209"/>
      <c r="J8302" s="124"/>
    </row>
    <row r="8303" spans="3:10" x14ac:dyDescent="0.2">
      <c r="C8303" s="209"/>
      <c r="D8303" s="209"/>
      <c r="E8303" s="209"/>
      <c r="J8303" s="124"/>
    </row>
    <row r="8304" spans="3:10" x14ac:dyDescent="0.2">
      <c r="C8304" s="209"/>
      <c r="D8304" s="209"/>
      <c r="E8304" s="209"/>
      <c r="J8304" s="124"/>
    </row>
    <row r="8305" spans="3:10" x14ac:dyDescent="0.2">
      <c r="C8305" s="209"/>
      <c r="D8305" s="209"/>
      <c r="E8305" s="209"/>
      <c r="J8305" s="124"/>
    </row>
    <row r="8306" spans="3:10" x14ac:dyDescent="0.2">
      <c r="C8306" s="209"/>
      <c r="D8306" s="209"/>
      <c r="E8306" s="209"/>
      <c r="J8306" s="124"/>
    </row>
    <row r="8307" spans="3:10" x14ac:dyDescent="0.2">
      <c r="C8307" s="209"/>
      <c r="D8307" s="209"/>
      <c r="E8307" s="209"/>
      <c r="J8307" s="124"/>
    </row>
    <row r="8308" spans="3:10" x14ac:dyDescent="0.2">
      <c r="C8308" s="209"/>
      <c r="D8308" s="209"/>
      <c r="E8308" s="209"/>
      <c r="J8308" s="124"/>
    </row>
    <row r="8309" spans="3:10" x14ac:dyDescent="0.2">
      <c r="C8309" s="209"/>
      <c r="D8309" s="209"/>
      <c r="E8309" s="209"/>
      <c r="J8309" s="124"/>
    </row>
    <row r="8310" spans="3:10" x14ac:dyDescent="0.2">
      <c r="C8310" s="209"/>
      <c r="D8310" s="209"/>
      <c r="E8310" s="209"/>
      <c r="J8310" s="124"/>
    </row>
    <row r="8311" spans="3:10" x14ac:dyDescent="0.2">
      <c r="C8311" s="209"/>
      <c r="D8311" s="209"/>
      <c r="E8311" s="209"/>
      <c r="J8311" s="124"/>
    </row>
    <row r="8312" spans="3:10" x14ac:dyDescent="0.2">
      <c r="C8312" s="209"/>
      <c r="D8312" s="209"/>
      <c r="E8312" s="209"/>
      <c r="J8312" s="124"/>
    </row>
    <row r="8313" spans="3:10" x14ac:dyDescent="0.2">
      <c r="C8313" s="209"/>
      <c r="D8313" s="209"/>
      <c r="E8313" s="209"/>
      <c r="J8313" s="124"/>
    </row>
    <row r="8314" spans="3:10" x14ac:dyDescent="0.2">
      <c r="C8314" s="209"/>
      <c r="D8314" s="209"/>
      <c r="E8314" s="209"/>
      <c r="J8314" s="124"/>
    </row>
    <row r="8315" spans="3:10" x14ac:dyDescent="0.2">
      <c r="C8315" s="209"/>
      <c r="D8315" s="209"/>
      <c r="E8315" s="209"/>
      <c r="J8315" s="124"/>
    </row>
    <row r="8316" spans="3:10" x14ac:dyDescent="0.2">
      <c r="C8316" s="209"/>
      <c r="D8316" s="209"/>
      <c r="E8316" s="209"/>
      <c r="J8316" s="124"/>
    </row>
    <row r="8317" spans="3:10" x14ac:dyDescent="0.2">
      <c r="C8317" s="209"/>
      <c r="D8317" s="209"/>
      <c r="E8317" s="209"/>
      <c r="J8317" s="124"/>
    </row>
    <row r="8318" spans="3:10" x14ac:dyDescent="0.2">
      <c r="C8318" s="209"/>
      <c r="D8318" s="209"/>
      <c r="E8318" s="209"/>
      <c r="J8318" s="124"/>
    </row>
    <row r="8319" spans="3:10" x14ac:dyDescent="0.2">
      <c r="C8319" s="209"/>
      <c r="D8319" s="209"/>
      <c r="E8319" s="209"/>
      <c r="J8319" s="124"/>
    </row>
    <row r="8320" spans="3:10" x14ac:dyDescent="0.2">
      <c r="C8320" s="209"/>
      <c r="D8320" s="209"/>
      <c r="E8320" s="209"/>
      <c r="J8320" s="124"/>
    </row>
    <row r="8321" spans="3:10" x14ac:dyDescent="0.2">
      <c r="C8321" s="209"/>
      <c r="D8321" s="209"/>
      <c r="E8321" s="209"/>
      <c r="J8321" s="124"/>
    </row>
    <row r="8322" spans="3:10" x14ac:dyDescent="0.2">
      <c r="C8322" s="209"/>
      <c r="D8322" s="209"/>
      <c r="E8322" s="209"/>
      <c r="J8322" s="124"/>
    </row>
    <row r="8323" spans="3:10" x14ac:dyDescent="0.2">
      <c r="C8323" s="209"/>
      <c r="D8323" s="209"/>
      <c r="E8323" s="209"/>
      <c r="J8323" s="124"/>
    </row>
    <row r="8324" spans="3:10" x14ac:dyDescent="0.2">
      <c r="C8324" s="209"/>
      <c r="D8324" s="209"/>
      <c r="E8324" s="209"/>
      <c r="J8324" s="124"/>
    </row>
    <row r="8325" spans="3:10" x14ac:dyDescent="0.2">
      <c r="C8325" s="209"/>
      <c r="D8325" s="209"/>
      <c r="E8325" s="209"/>
      <c r="J8325" s="124"/>
    </row>
    <row r="8326" spans="3:10" x14ac:dyDescent="0.2">
      <c r="C8326" s="209"/>
      <c r="D8326" s="209"/>
      <c r="E8326" s="209"/>
      <c r="J8326" s="124"/>
    </row>
    <row r="8327" spans="3:10" x14ac:dyDescent="0.2">
      <c r="C8327" s="209"/>
      <c r="D8327" s="209"/>
      <c r="E8327" s="209"/>
      <c r="J8327" s="124"/>
    </row>
    <row r="8328" spans="3:10" x14ac:dyDescent="0.2">
      <c r="C8328" s="209"/>
      <c r="D8328" s="209"/>
      <c r="E8328" s="209"/>
      <c r="J8328" s="124"/>
    </row>
    <row r="8329" spans="3:10" x14ac:dyDescent="0.2">
      <c r="C8329" s="209"/>
      <c r="D8329" s="209"/>
      <c r="E8329" s="209"/>
      <c r="J8329" s="124"/>
    </row>
    <row r="8330" spans="3:10" x14ac:dyDescent="0.2">
      <c r="C8330" s="209"/>
      <c r="D8330" s="209"/>
      <c r="E8330" s="209"/>
      <c r="J8330" s="124"/>
    </row>
    <row r="8331" spans="3:10" x14ac:dyDescent="0.2">
      <c r="C8331" s="209"/>
      <c r="D8331" s="209"/>
      <c r="E8331" s="209"/>
      <c r="J8331" s="124"/>
    </row>
    <row r="8332" spans="3:10" x14ac:dyDescent="0.2">
      <c r="C8332" s="209"/>
      <c r="D8332" s="209"/>
      <c r="E8332" s="209"/>
      <c r="J8332" s="124"/>
    </row>
    <row r="8333" spans="3:10" x14ac:dyDescent="0.2">
      <c r="C8333" s="209"/>
      <c r="D8333" s="209"/>
      <c r="E8333" s="209"/>
      <c r="J8333" s="124"/>
    </row>
    <row r="8334" spans="3:10" x14ac:dyDescent="0.2">
      <c r="C8334" s="209"/>
      <c r="D8334" s="209"/>
      <c r="E8334" s="209"/>
      <c r="J8334" s="124"/>
    </row>
    <row r="8335" spans="3:10" x14ac:dyDescent="0.2">
      <c r="C8335" s="209"/>
      <c r="D8335" s="209"/>
      <c r="E8335" s="209"/>
      <c r="J8335" s="124"/>
    </row>
    <row r="8336" spans="3:10" x14ac:dyDescent="0.2">
      <c r="C8336" s="209"/>
      <c r="D8336" s="209"/>
      <c r="E8336" s="209"/>
      <c r="J8336" s="124"/>
    </row>
    <row r="8337" spans="3:10" x14ac:dyDescent="0.2">
      <c r="C8337" s="209"/>
      <c r="D8337" s="209"/>
      <c r="E8337" s="209"/>
      <c r="J8337" s="124"/>
    </row>
    <row r="8338" spans="3:10" x14ac:dyDescent="0.2">
      <c r="C8338" s="209"/>
      <c r="D8338" s="209"/>
      <c r="E8338" s="209"/>
      <c r="J8338" s="124"/>
    </row>
    <row r="8339" spans="3:10" x14ac:dyDescent="0.2">
      <c r="C8339" s="209"/>
      <c r="D8339" s="209"/>
      <c r="E8339" s="209"/>
      <c r="J8339" s="124"/>
    </row>
    <row r="8340" spans="3:10" x14ac:dyDescent="0.2">
      <c r="C8340" s="209"/>
      <c r="D8340" s="209"/>
      <c r="E8340" s="209"/>
      <c r="J8340" s="124"/>
    </row>
    <row r="8341" spans="3:10" x14ac:dyDescent="0.2">
      <c r="C8341" s="209"/>
      <c r="D8341" s="209"/>
      <c r="E8341" s="209"/>
      <c r="J8341" s="124"/>
    </row>
    <row r="8342" spans="3:10" x14ac:dyDescent="0.2">
      <c r="C8342" s="209"/>
      <c r="D8342" s="209"/>
      <c r="E8342" s="209"/>
      <c r="J8342" s="124"/>
    </row>
    <row r="8343" spans="3:10" x14ac:dyDescent="0.2">
      <c r="C8343" s="209"/>
      <c r="D8343" s="209"/>
      <c r="E8343" s="209"/>
      <c r="J8343" s="124"/>
    </row>
    <row r="8344" spans="3:10" x14ac:dyDescent="0.2">
      <c r="C8344" s="209"/>
      <c r="D8344" s="209"/>
      <c r="E8344" s="209"/>
      <c r="J8344" s="124"/>
    </row>
    <row r="8345" spans="3:10" x14ac:dyDescent="0.2">
      <c r="C8345" s="209"/>
      <c r="D8345" s="209"/>
      <c r="E8345" s="209"/>
      <c r="J8345" s="124"/>
    </row>
    <row r="8346" spans="3:10" x14ac:dyDescent="0.2">
      <c r="C8346" s="209"/>
      <c r="D8346" s="209"/>
      <c r="E8346" s="209"/>
      <c r="J8346" s="124"/>
    </row>
    <row r="8347" spans="3:10" x14ac:dyDescent="0.2">
      <c r="C8347" s="209"/>
      <c r="D8347" s="209"/>
      <c r="E8347" s="209"/>
      <c r="J8347" s="124"/>
    </row>
    <row r="8348" spans="3:10" x14ac:dyDescent="0.2">
      <c r="C8348" s="209"/>
      <c r="D8348" s="209"/>
      <c r="E8348" s="209"/>
      <c r="J8348" s="124"/>
    </row>
    <row r="8349" spans="3:10" x14ac:dyDescent="0.2">
      <c r="C8349" s="209"/>
      <c r="D8349" s="209"/>
      <c r="E8349" s="209"/>
      <c r="J8349" s="124"/>
    </row>
    <row r="8350" spans="3:10" x14ac:dyDescent="0.2">
      <c r="C8350" s="209"/>
      <c r="D8350" s="209"/>
      <c r="E8350" s="209"/>
      <c r="J8350" s="124"/>
    </row>
    <row r="8351" spans="3:10" x14ac:dyDescent="0.2">
      <c r="C8351" s="209"/>
      <c r="D8351" s="209"/>
      <c r="E8351" s="209"/>
      <c r="J8351" s="124"/>
    </row>
    <row r="8352" spans="3:10" x14ac:dyDescent="0.2">
      <c r="C8352" s="209"/>
      <c r="D8352" s="209"/>
      <c r="E8352" s="209"/>
      <c r="J8352" s="124"/>
    </row>
    <row r="8353" spans="3:10" x14ac:dyDescent="0.2">
      <c r="C8353" s="209"/>
      <c r="D8353" s="209"/>
      <c r="E8353" s="209"/>
      <c r="J8353" s="124"/>
    </row>
    <row r="8354" spans="3:10" x14ac:dyDescent="0.2">
      <c r="C8354" s="209"/>
      <c r="D8354" s="209"/>
      <c r="E8354" s="209"/>
      <c r="J8354" s="124"/>
    </row>
    <row r="8355" spans="3:10" x14ac:dyDescent="0.2">
      <c r="C8355" s="209"/>
      <c r="D8355" s="209"/>
      <c r="E8355" s="209"/>
      <c r="J8355" s="124"/>
    </row>
    <row r="8356" spans="3:10" x14ac:dyDescent="0.2">
      <c r="C8356" s="209"/>
      <c r="D8356" s="209"/>
      <c r="E8356" s="209"/>
      <c r="J8356" s="124"/>
    </row>
    <row r="8357" spans="3:10" x14ac:dyDescent="0.2">
      <c r="C8357" s="209"/>
      <c r="D8357" s="209"/>
      <c r="E8357" s="209"/>
      <c r="J8357" s="124"/>
    </row>
    <row r="8358" spans="3:10" x14ac:dyDescent="0.2">
      <c r="C8358" s="209"/>
      <c r="D8358" s="209"/>
      <c r="E8358" s="209"/>
      <c r="J8358" s="124"/>
    </row>
    <row r="8359" spans="3:10" x14ac:dyDescent="0.2">
      <c r="C8359" s="209"/>
      <c r="D8359" s="209"/>
      <c r="E8359" s="209"/>
      <c r="J8359" s="124"/>
    </row>
    <row r="8360" spans="3:10" x14ac:dyDescent="0.2">
      <c r="C8360" s="209"/>
      <c r="D8360" s="209"/>
      <c r="E8360" s="209"/>
      <c r="J8360" s="124"/>
    </row>
    <row r="8361" spans="3:10" x14ac:dyDescent="0.2">
      <c r="C8361" s="209"/>
      <c r="D8361" s="209"/>
      <c r="E8361" s="209"/>
      <c r="J8361" s="124"/>
    </row>
    <row r="8362" spans="3:10" x14ac:dyDescent="0.2">
      <c r="C8362" s="209"/>
      <c r="D8362" s="209"/>
      <c r="E8362" s="209"/>
      <c r="J8362" s="124"/>
    </row>
    <row r="8363" spans="3:10" x14ac:dyDescent="0.2">
      <c r="C8363" s="209"/>
      <c r="D8363" s="209"/>
      <c r="E8363" s="209"/>
      <c r="J8363" s="124"/>
    </row>
    <row r="8364" spans="3:10" x14ac:dyDescent="0.2">
      <c r="C8364" s="209"/>
      <c r="D8364" s="209"/>
      <c r="E8364" s="209"/>
      <c r="J8364" s="124"/>
    </row>
    <row r="8365" spans="3:10" x14ac:dyDescent="0.2">
      <c r="C8365" s="209"/>
      <c r="D8365" s="209"/>
      <c r="E8365" s="209"/>
      <c r="J8365" s="124"/>
    </row>
    <row r="8366" spans="3:10" x14ac:dyDescent="0.2">
      <c r="C8366" s="209"/>
      <c r="D8366" s="209"/>
      <c r="E8366" s="209"/>
      <c r="J8366" s="124"/>
    </row>
    <row r="8367" spans="3:10" x14ac:dyDescent="0.2">
      <c r="C8367" s="209"/>
      <c r="D8367" s="209"/>
      <c r="E8367" s="209"/>
      <c r="J8367" s="124"/>
    </row>
    <row r="8368" spans="3:10" x14ac:dyDescent="0.2">
      <c r="C8368" s="209"/>
      <c r="D8368" s="209"/>
      <c r="E8368" s="209"/>
      <c r="J8368" s="124"/>
    </row>
    <row r="8369" spans="3:10" x14ac:dyDescent="0.2">
      <c r="C8369" s="209"/>
      <c r="D8369" s="209"/>
      <c r="E8369" s="209"/>
      <c r="J8369" s="124"/>
    </row>
    <row r="8370" spans="3:10" x14ac:dyDescent="0.2">
      <c r="C8370" s="209"/>
      <c r="D8370" s="209"/>
      <c r="E8370" s="209"/>
      <c r="J8370" s="124"/>
    </row>
    <row r="8371" spans="3:10" x14ac:dyDescent="0.2">
      <c r="C8371" s="209"/>
      <c r="D8371" s="209"/>
      <c r="E8371" s="209"/>
      <c r="J8371" s="124"/>
    </row>
    <row r="8372" spans="3:10" x14ac:dyDescent="0.2">
      <c r="C8372" s="209"/>
      <c r="D8372" s="209"/>
      <c r="E8372" s="209"/>
      <c r="J8372" s="124"/>
    </row>
    <row r="8373" spans="3:10" x14ac:dyDescent="0.2">
      <c r="C8373" s="209"/>
      <c r="D8373" s="209"/>
      <c r="E8373" s="209"/>
      <c r="J8373" s="124"/>
    </row>
    <row r="8374" spans="3:10" x14ac:dyDescent="0.2">
      <c r="C8374" s="209"/>
      <c r="D8374" s="209"/>
      <c r="E8374" s="209"/>
      <c r="J8374" s="124"/>
    </row>
    <row r="8375" spans="3:10" x14ac:dyDescent="0.2">
      <c r="C8375" s="209"/>
      <c r="D8375" s="209"/>
      <c r="E8375" s="209"/>
      <c r="J8375" s="124"/>
    </row>
    <row r="8376" spans="3:10" x14ac:dyDescent="0.2">
      <c r="C8376" s="209"/>
      <c r="D8376" s="209"/>
      <c r="E8376" s="209"/>
      <c r="J8376" s="124"/>
    </row>
    <row r="8377" spans="3:10" x14ac:dyDescent="0.2">
      <c r="C8377" s="209"/>
      <c r="D8377" s="209"/>
      <c r="E8377" s="209"/>
      <c r="J8377" s="124"/>
    </row>
    <row r="8378" spans="3:10" x14ac:dyDescent="0.2">
      <c r="C8378" s="209"/>
      <c r="D8378" s="209"/>
      <c r="E8378" s="209"/>
      <c r="J8378" s="124"/>
    </row>
    <row r="8379" spans="3:10" x14ac:dyDescent="0.2">
      <c r="C8379" s="209"/>
      <c r="D8379" s="209"/>
      <c r="E8379" s="209"/>
      <c r="J8379" s="124"/>
    </row>
    <row r="8380" spans="3:10" x14ac:dyDescent="0.2">
      <c r="C8380" s="209"/>
      <c r="D8380" s="209"/>
      <c r="E8380" s="209"/>
      <c r="J8380" s="124"/>
    </row>
    <row r="8381" spans="3:10" x14ac:dyDescent="0.2">
      <c r="C8381" s="209"/>
      <c r="D8381" s="209"/>
      <c r="E8381" s="209"/>
      <c r="J8381" s="124"/>
    </row>
    <row r="8382" spans="3:10" x14ac:dyDescent="0.2">
      <c r="C8382" s="209"/>
      <c r="D8382" s="209"/>
      <c r="E8382" s="209"/>
      <c r="J8382" s="124"/>
    </row>
    <row r="8383" spans="3:10" x14ac:dyDescent="0.2">
      <c r="C8383" s="209"/>
      <c r="D8383" s="209"/>
      <c r="E8383" s="209"/>
      <c r="J8383" s="124"/>
    </row>
    <row r="8384" spans="3:10" x14ac:dyDescent="0.2">
      <c r="C8384" s="209"/>
      <c r="D8384" s="209"/>
      <c r="E8384" s="209"/>
      <c r="J8384" s="124"/>
    </row>
    <row r="8385" spans="3:10" x14ac:dyDescent="0.2">
      <c r="C8385" s="209"/>
      <c r="D8385" s="209"/>
      <c r="E8385" s="209"/>
      <c r="J8385" s="124"/>
    </row>
    <row r="8386" spans="3:10" x14ac:dyDescent="0.2">
      <c r="C8386" s="209"/>
      <c r="D8386" s="209"/>
      <c r="E8386" s="209"/>
      <c r="J8386" s="124"/>
    </row>
    <row r="8387" spans="3:10" x14ac:dyDescent="0.2">
      <c r="C8387" s="209"/>
      <c r="D8387" s="209"/>
      <c r="E8387" s="209"/>
      <c r="J8387" s="124"/>
    </row>
    <row r="8388" spans="3:10" x14ac:dyDescent="0.2">
      <c r="C8388" s="209"/>
      <c r="D8388" s="209"/>
      <c r="E8388" s="209"/>
      <c r="J8388" s="124"/>
    </row>
    <row r="8389" spans="3:10" x14ac:dyDescent="0.2">
      <c r="C8389" s="209"/>
      <c r="D8389" s="209"/>
      <c r="E8389" s="209"/>
      <c r="J8389" s="124"/>
    </row>
    <row r="8390" spans="3:10" x14ac:dyDescent="0.2">
      <c r="C8390" s="209"/>
      <c r="D8390" s="209"/>
      <c r="E8390" s="209"/>
      <c r="J8390" s="124"/>
    </row>
    <row r="8391" spans="3:10" x14ac:dyDescent="0.2">
      <c r="C8391" s="209"/>
      <c r="D8391" s="209"/>
      <c r="E8391" s="209"/>
      <c r="J8391" s="124"/>
    </row>
    <row r="8392" spans="3:10" x14ac:dyDescent="0.2">
      <c r="C8392" s="209"/>
      <c r="D8392" s="209"/>
      <c r="E8392" s="209"/>
      <c r="J8392" s="124"/>
    </row>
    <row r="8393" spans="3:10" x14ac:dyDescent="0.2">
      <c r="C8393" s="209"/>
      <c r="D8393" s="209"/>
      <c r="E8393" s="209"/>
      <c r="J8393" s="124"/>
    </row>
    <row r="8394" spans="3:10" x14ac:dyDescent="0.2">
      <c r="C8394" s="209"/>
      <c r="D8394" s="209"/>
      <c r="E8394" s="209"/>
      <c r="J8394" s="124"/>
    </row>
    <row r="8395" spans="3:10" x14ac:dyDescent="0.2">
      <c r="C8395" s="209"/>
      <c r="D8395" s="209"/>
      <c r="E8395" s="209"/>
      <c r="J8395" s="124"/>
    </row>
    <row r="8396" spans="3:10" x14ac:dyDescent="0.2">
      <c r="C8396" s="209"/>
      <c r="D8396" s="209"/>
      <c r="E8396" s="209"/>
      <c r="J8396" s="124"/>
    </row>
    <row r="8397" spans="3:10" x14ac:dyDescent="0.2">
      <c r="C8397" s="209"/>
      <c r="D8397" s="209"/>
      <c r="E8397" s="209"/>
      <c r="J8397" s="124"/>
    </row>
    <row r="8398" spans="3:10" x14ac:dyDescent="0.2">
      <c r="C8398" s="209"/>
      <c r="D8398" s="209"/>
      <c r="E8398" s="209"/>
      <c r="J8398" s="124"/>
    </row>
    <row r="8399" spans="3:10" x14ac:dyDescent="0.2">
      <c r="C8399" s="209"/>
      <c r="D8399" s="209"/>
      <c r="E8399" s="209"/>
      <c r="J8399" s="124"/>
    </row>
    <row r="8400" spans="3:10" x14ac:dyDescent="0.2">
      <c r="C8400" s="209"/>
      <c r="D8400" s="209"/>
      <c r="E8400" s="209"/>
      <c r="J8400" s="124"/>
    </row>
    <row r="8401" spans="3:10" x14ac:dyDescent="0.2">
      <c r="C8401" s="209"/>
      <c r="D8401" s="209"/>
      <c r="E8401" s="209"/>
      <c r="J8401" s="124"/>
    </row>
    <row r="8402" spans="3:10" x14ac:dyDescent="0.2">
      <c r="C8402" s="209"/>
      <c r="D8402" s="209"/>
      <c r="E8402" s="209"/>
      <c r="J8402" s="124"/>
    </row>
    <row r="8403" spans="3:10" x14ac:dyDescent="0.2">
      <c r="C8403" s="209"/>
      <c r="D8403" s="209"/>
      <c r="E8403" s="209"/>
      <c r="J8403" s="124"/>
    </row>
    <row r="8404" spans="3:10" x14ac:dyDescent="0.2">
      <c r="C8404" s="209"/>
      <c r="D8404" s="209"/>
      <c r="E8404" s="209"/>
      <c r="J8404" s="124"/>
    </row>
    <row r="8405" spans="3:10" x14ac:dyDescent="0.2">
      <c r="C8405" s="209"/>
      <c r="D8405" s="209"/>
      <c r="E8405" s="209"/>
      <c r="J8405" s="124"/>
    </row>
    <row r="8406" spans="3:10" x14ac:dyDescent="0.2">
      <c r="C8406" s="209"/>
      <c r="D8406" s="209"/>
      <c r="E8406" s="209"/>
      <c r="J8406" s="124"/>
    </row>
    <row r="8407" spans="3:10" x14ac:dyDescent="0.2">
      <c r="C8407" s="209"/>
      <c r="D8407" s="209"/>
      <c r="E8407" s="209"/>
      <c r="J8407" s="124"/>
    </row>
    <row r="8408" spans="3:10" x14ac:dyDescent="0.2">
      <c r="C8408" s="209"/>
      <c r="D8408" s="209"/>
      <c r="E8408" s="209"/>
      <c r="J8408" s="124"/>
    </row>
    <row r="8409" spans="3:10" x14ac:dyDescent="0.2">
      <c r="C8409" s="209"/>
      <c r="D8409" s="209"/>
      <c r="E8409" s="209"/>
      <c r="J8409" s="124"/>
    </row>
    <row r="8410" spans="3:10" x14ac:dyDescent="0.2">
      <c r="C8410" s="209"/>
      <c r="D8410" s="209"/>
      <c r="E8410" s="209"/>
      <c r="J8410" s="124"/>
    </row>
    <row r="8411" spans="3:10" x14ac:dyDescent="0.2">
      <c r="C8411" s="209"/>
      <c r="D8411" s="209"/>
      <c r="E8411" s="209"/>
      <c r="J8411" s="124"/>
    </row>
    <row r="8412" spans="3:10" x14ac:dyDescent="0.2">
      <c r="C8412" s="209"/>
      <c r="D8412" s="209"/>
      <c r="E8412" s="209"/>
      <c r="J8412" s="124"/>
    </row>
    <row r="8413" spans="3:10" x14ac:dyDescent="0.2">
      <c r="C8413" s="209"/>
      <c r="D8413" s="209"/>
      <c r="E8413" s="209"/>
      <c r="J8413" s="124"/>
    </row>
    <row r="8414" spans="3:10" x14ac:dyDescent="0.2">
      <c r="C8414" s="209"/>
      <c r="D8414" s="209"/>
      <c r="E8414" s="209"/>
      <c r="J8414" s="124"/>
    </row>
    <row r="8415" spans="3:10" x14ac:dyDescent="0.2">
      <c r="C8415" s="209"/>
      <c r="D8415" s="209"/>
      <c r="E8415" s="209"/>
      <c r="J8415" s="124"/>
    </row>
    <row r="8416" spans="3:10" x14ac:dyDescent="0.2">
      <c r="C8416" s="209"/>
      <c r="D8416" s="209"/>
      <c r="E8416" s="209"/>
      <c r="J8416" s="124"/>
    </row>
    <row r="8417" spans="3:10" x14ac:dyDescent="0.2">
      <c r="C8417" s="209"/>
      <c r="D8417" s="209"/>
      <c r="E8417" s="209"/>
      <c r="J8417" s="124"/>
    </row>
    <row r="8418" spans="3:10" x14ac:dyDescent="0.2">
      <c r="C8418" s="209"/>
      <c r="D8418" s="209"/>
      <c r="E8418" s="209"/>
      <c r="J8418" s="124"/>
    </row>
    <row r="8419" spans="3:10" x14ac:dyDescent="0.2">
      <c r="C8419" s="209"/>
      <c r="D8419" s="209"/>
      <c r="E8419" s="209"/>
      <c r="J8419" s="124"/>
    </row>
    <row r="8420" spans="3:10" x14ac:dyDescent="0.2">
      <c r="C8420" s="209"/>
      <c r="D8420" s="209"/>
      <c r="E8420" s="209"/>
      <c r="J8420" s="124"/>
    </row>
    <row r="8421" spans="3:10" x14ac:dyDescent="0.2">
      <c r="C8421" s="209"/>
      <c r="D8421" s="209"/>
      <c r="E8421" s="209"/>
      <c r="J8421" s="124"/>
    </row>
    <row r="8422" spans="3:10" x14ac:dyDescent="0.2">
      <c r="C8422" s="209"/>
      <c r="D8422" s="209"/>
      <c r="E8422" s="209"/>
      <c r="J8422" s="124"/>
    </row>
    <row r="8423" spans="3:10" x14ac:dyDescent="0.2">
      <c r="C8423" s="209"/>
      <c r="D8423" s="209"/>
      <c r="E8423" s="209"/>
      <c r="J8423" s="124"/>
    </row>
    <row r="8424" spans="3:10" x14ac:dyDescent="0.2">
      <c r="C8424" s="209"/>
      <c r="D8424" s="209"/>
      <c r="E8424" s="209"/>
      <c r="J8424" s="124"/>
    </row>
    <row r="8425" spans="3:10" x14ac:dyDescent="0.2">
      <c r="C8425" s="209"/>
      <c r="D8425" s="209"/>
      <c r="E8425" s="209"/>
      <c r="J8425" s="124"/>
    </row>
    <row r="8426" spans="3:10" x14ac:dyDescent="0.2">
      <c r="C8426" s="209"/>
      <c r="D8426" s="209"/>
      <c r="E8426" s="209"/>
      <c r="J8426" s="124"/>
    </row>
    <row r="8427" spans="3:10" x14ac:dyDescent="0.2">
      <c r="C8427" s="209"/>
      <c r="D8427" s="209"/>
      <c r="E8427" s="209"/>
      <c r="J8427" s="124"/>
    </row>
    <row r="8428" spans="3:10" x14ac:dyDescent="0.2">
      <c r="C8428" s="209"/>
      <c r="D8428" s="209"/>
      <c r="E8428" s="209"/>
      <c r="J8428" s="124"/>
    </row>
    <row r="8429" spans="3:10" x14ac:dyDescent="0.2">
      <c r="C8429" s="209"/>
      <c r="D8429" s="209"/>
      <c r="E8429" s="209"/>
      <c r="J8429" s="124"/>
    </row>
    <row r="8430" spans="3:10" x14ac:dyDescent="0.2">
      <c r="C8430" s="209"/>
      <c r="D8430" s="209"/>
      <c r="E8430" s="209"/>
      <c r="J8430" s="124"/>
    </row>
    <row r="8431" spans="3:10" x14ac:dyDescent="0.2">
      <c r="C8431" s="209"/>
      <c r="D8431" s="209"/>
      <c r="E8431" s="209"/>
      <c r="J8431" s="124"/>
    </row>
    <row r="8432" spans="3:10" x14ac:dyDescent="0.2">
      <c r="C8432" s="209"/>
      <c r="D8432" s="209"/>
      <c r="E8432" s="209"/>
      <c r="J8432" s="124"/>
    </row>
    <row r="8433" spans="3:10" x14ac:dyDescent="0.2">
      <c r="C8433" s="209"/>
      <c r="D8433" s="209"/>
      <c r="E8433" s="209"/>
      <c r="J8433" s="124"/>
    </row>
    <row r="8434" spans="3:10" x14ac:dyDescent="0.2">
      <c r="C8434" s="209"/>
      <c r="D8434" s="209"/>
      <c r="E8434" s="209"/>
      <c r="J8434" s="124"/>
    </row>
    <row r="8435" spans="3:10" x14ac:dyDescent="0.2">
      <c r="C8435" s="209"/>
      <c r="D8435" s="209"/>
      <c r="E8435" s="209"/>
      <c r="J8435" s="124"/>
    </row>
    <row r="8436" spans="3:10" x14ac:dyDescent="0.2">
      <c r="C8436" s="209"/>
      <c r="D8436" s="209"/>
      <c r="E8436" s="209"/>
      <c r="J8436" s="124"/>
    </row>
    <row r="8437" spans="3:10" x14ac:dyDescent="0.2">
      <c r="C8437" s="209"/>
      <c r="D8437" s="209"/>
      <c r="E8437" s="209"/>
      <c r="J8437" s="124"/>
    </row>
    <row r="8438" spans="3:10" x14ac:dyDescent="0.2">
      <c r="C8438" s="209"/>
      <c r="D8438" s="209"/>
      <c r="E8438" s="209"/>
      <c r="J8438" s="124"/>
    </row>
    <row r="8439" spans="3:10" x14ac:dyDescent="0.2">
      <c r="C8439" s="209"/>
      <c r="D8439" s="209"/>
      <c r="E8439" s="209"/>
      <c r="J8439" s="124"/>
    </row>
    <row r="8440" spans="3:10" x14ac:dyDescent="0.2">
      <c r="C8440" s="209"/>
      <c r="D8440" s="209"/>
      <c r="E8440" s="209"/>
      <c r="J8440" s="124"/>
    </row>
    <row r="8441" spans="3:10" x14ac:dyDescent="0.2">
      <c r="C8441" s="209"/>
      <c r="D8441" s="209"/>
      <c r="E8441" s="209"/>
      <c r="J8441" s="124"/>
    </row>
    <row r="8442" spans="3:10" x14ac:dyDescent="0.2">
      <c r="C8442" s="209"/>
      <c r="D8442" s="209"/>
      <c r="E8442" s="209"/>
      <c r="J8442" s="124"/>
    </row>
    <row r="8443" spans="3:10" x14ac:dyDescent="0.2">
      <c r="C8443" s="209"/>
      <c r="D8443" s="209"/>
      <c r="E8443" s="209"/>
      <c r="J8443" s="124"/>
    </row>
    <row r="8444" spans="3:10" x14ac:dyDescent="0.2">
      <c r="C8444" s="209"/>
      <c r="D8444" s="209"/>
      <c r="E8444" s="209"/>
      <c r="J8444" s="124"/>
    </row>
    <row r="8445" spans="3:10" x14ac:dyDescent="0.2">
      <c r="C8445" s="209"/>
      <c r="D8445" s="209"/>
      <c r="E8445" s="209"/>
      <c r="J8445" s="124"/>
    </row>
    <row r="8446" spans="3:10" x14ac:dyDescent="0.2">
      <c r="C8446" s="209"/>
      <c r="D8446" s="209"/>
      <c r="E8446" s="209"/>
      <c r="J8446" s="124"/>
    </row>
    <row r="8447" spans="3:10" x14ac:dyDescent="0.2">
      <c r="C8447" s="209"/>
      <c r="D8447" s="209"/>
      <c r="E8447" s="209"/>
      <c r="J8447" s="124"/>
    </row>
    <row r="8448" spans="3:10" x14ac:dyDescent="0.2">
      <c r="C8448" s="209"/>
      <c r="D8448" s="209"/>
      <c r="E8448" s="209"/>
      <c r="J8448" s="124"/>
    </row>
    <row r="8449" spans="3:10" x14ac:dyDescent="0.2">
      <c r="C8449" s="209"/>
      <c r="D8449" s="209"/>
      <c r="E8449" s="209"/>
      <c r="J8449" s="124"/>
    </row>
    <row r="8450" spans="3:10" x14ac:dyDescent="0.2">
      <c r="C8450" s="209"/>
      <c r="D8450" s="209"/>
      <c r="E8450" s="209"/>
      <c r="J8450" s="124"/>
    </row>
    <row r="8451" spans="3:10" x14ac:dyDescent="0.2">
      <c r="C8451" s="209"/>
      <c r="D8451" s="209"/>
      <c r="E8451" s="209"/>
      <c r="J8451" s="124"/>
    </row>
    <row r="8452" spans="3:10" x14ac:dyDescent="0.2">
      <c r="C8452" s="209"/>
      <c r="D8452" s="209"/>
      <c r="E8452" s="209"/>
      <c r="J8452" s="124"/>
    </row>
    <row r="8453" spans="3:10" x14ac:dyDescent="0.2">
      <c r="C8453" s="209"/>
      <c r="D8453" s="209"/>
      <c r="E8453" s="209"/>
      <c r="J8453" s="124"/>
    </row>
    <row r="8454" spans="3:10" x14ac:dyDescent="0.2">
      <c r="C8454" s="209"/>
      <c r="D8454" s="209"/>
      <c r="E8454" s="209"/>
      <c r="J8454" s="124"/>
    </row>
    <row r="8455" spans="3:10" x14ac:dyDescent="0.2">
      <c r="C8455" s="209"/>
      <c r="D8455" s="209"/>
      <c r="E8455" s="209"/>
      <c r="J8455" s="124"/>
    </row>
    <row r="8456" spans="3:10" x14ac:dyDescent="0.2">
      <c r="C8456" s="209"/>
      <c r="D8456" s="209"/>
      <c r="E8456" s="209"/>
      <c r="J8456" s="124"/>
    </row>
    <row r="8457" spans="3:10" x14ac:dyDescent="0.2">
      <c r="C8457" s="209"/>
      <c r="D8457" s="209"/>
      <c r="E8457" s="209"/>
      <c r="J8457" s="124"/>
    </row>
    <row r="8458" spans="3:10" x14ac:dyDescent="0.2">
      <c r="C8458" s="209"/>
      <c r="D8458" s="209"/>
      <c r="E8458" s="209"/>
      <c r="J8458" s="124"/>
    </row>
    <row r="8459" spans="3:10" x14ac:dyDescent="0.2">
      <c r="C8459" s="209"/>
      <c r="D8459" s="209"/>
      <c r="E8459" s="209"/>
      <c r="J8459" s="124"/>
    </row>
    <row r="8460" spans="3:10" x14ac:dyDescent="0.2">
      <c r="C8460" s="209"/>
      <c r="D8460" s="209"/>
      <c r="E8460" s="209"/>
      <c r="J8460" s="124"/>
    </row>
    <row r="8461" spans="3:10" x14ac:dyDescent="0.2">
      <c r="C8461" s="209"/>
      <c r="D8461" s="209"/>
      <c r="E8461" s="209"/>
      <c r="J8461" s="124"/>
    </row>
    <row r="8462" spans="3:10" x14ac:dyDescent="0.2">
      <c r="C8462" s="209"/>
      <c r="D8462" s="209"/>
      <c r="E8462" s="209"/>
      <c r="J8462" s="124"/>
    </row>
    <row r="8463" spans="3:10" x14ac:dyDescent="0.2">
      <c r="C8463" s="209"/>
      <c r="D8463" s="209"/>
      <c r="E8463" s="209"/>
      <c r="J8463" s="124"/>
    </row>
    <row r="8464" spans="3:10" x14ac:dyDescent="0.2">
      <c r="C8464" s="209"/>
      <c r="D8464" s="209"/>
      <c r="E8464" s="209"/>
      <c r="J8464" s="124"/>
    </row>
    <row r="8465" spans="3:10" x14ac:dyDescent="0.2">
      <c r="C8465" s="209"/>
      <c r="D8465" s="209"/>
      <c r="E8465" s="209"/>
      <c r="J8465" s="124"/>
    </row>
    <row r="8466" spans="3:10" x14ac:dyDescent="0.2">
      <c r="C8466" s="209"/>
      <c r="D8466" s="209"/>
      <c r="E8466" s="209"/>
      <c r="J8466" s="124"/>
    </row>
    <row r="8467" spans="3:10" x14ac:dyDescent="0.2">
      <c r="C8467" s="209"/>
      <c r="D8467" s="209"/>
      <c r="E8467" s="209"/>
      <c r="J8467" s="124"/>
    </row>
    <row r="8468" spans="3:10" x14ac:dyDescent="0.2">
      <c r="C8468" s="209"/>
      <c r="D8468" s="209"/>
      <c r="E8468" s="209"/>
      <c r="J8468" s="124"/>
    </row>
    <row r="8469" spans="3:10" x14ac:dyDescent="0.2">
      <c r="C8469" s="209"/>
      <c r="D8469" s="209"/>
      <c r="E8469" s="209"/>
      <c r="J8469" s="124"/>
    </row>
    <row r="8470" spans="3:10" x14ac:dyDescent="0.2">
      <c r="C8470" s="209"/>
      <c r="D8470" s="209"/>
      <c r="E8470" s="209"/>
      <c r="J8470" s="124"/>
    </row>
    <row r="8471" spans="3:10" x14ac:dyDescent="0.2">
      <c r="C8471" s="209"/>
      <c r="D8471" s="209"/>
      <c r="E8471" s="209"/>
      <c r="J8471" s="124"/>
    </row>
    <row r="8472" spans="3:10" x14ac:dyDescent="0.2">
      <c r="C8472" s="209"/>
      <c r="D8472" s="209"/>
      <c r="E8472" s="209"/>
      <c r="J8472" s="124"/>
    </row>
    <row r="8473" spans="3:10" x14ac:dyDescent="0.2">
      <c r="C8473" s="209"/>
      <c r="D8473" s="209"/>
      <c r="E8473" s="209"/>
      <c r="J8473" s="124"/>
    </row>
    <row r="8474" spans="3:10" x14ac:dyDescent="0.2">
      <c r="C8474" s="209"/>
      <c r="D8474" s="209"/>
      <c r="E8474" s="209"/>
      <c r="J8474" s="124"/>
    </row>
    <row r="8475" spans="3:10" x14ac:dyDescent="0.2">
      <c r="C8475" s="209"/>
      <c r="D8475" s="209"/>
      <c r="E8475" s="209"/>
      <c r="J8475" s="124"/>
    </row>
    <row r="8476" spans="3:10" x14ac:dyDescent="0.2">
      <c r="C8476" s="209"/>
      <c r="D8476" s="209"/>
      <c r="E8476" s="209"/>
      <c r="J8476" s="124"/>
    </row>
    <row r="8477" spans="3:10" x14ac:dyDescent="0.2">
      <c r="C8477" s="209"/>
      <c r="D8477" s="209"/>
      <c r="E8477" s="209"/>
      <c r="J8477" s="124"/>
    </row>
    <row r="8478" spans="3:10" x14ac:dyDescent="0.2">
      <c r="C8478" s="209"/>
      <c r="D8478" s="209"/>
      <c r="E8478" s="209"/>
      <c r="J8478" s="124"/>
    </row>
    <row r="8479" spans="3:10" x14ac:dyDescent="0.2">
      <c r="C8479" s="209"/>
      <c r="D8479" s="209"/>
      <c r="E8479" s="209"/>
      <c r="J8479" s="124"/>
    </row>
    <row r="8480" spans="3:10" x14ac:dyDescent="0.2">
      <c r="C8480" s="209"/>
      <c r="D8480" s="209"/>
      <c r="E8480" s="209"/>
      <c r="J8480" s="124"/>
    </row>
    <row r="8481" spans="3:10" x14ac:dyDescent="0.2">
      <c r="C8481" s="209"/>
      <c r="D8481" s="209"/>
      <c r="E8481" s="209"/>
      <c r="J8481" s="124"/>
    </row>
    <row r="8482" spans="3:10" x14ac:dyDescent="0.2">
      <c r="C8482" s="209"/>
      <c r="D8482" s="209"/>
      <c r="E8482" s="209"/>
      <c r="J8482" s="124"/>
    </row>
    <row r="8483" spans="3:10" x14ac:dyDescent="0.2">
      <c r="C8483" s="209"/>
      <c r="D8483" s="209"/>
      <c r="E8483" s="209"/>
      <c r="J8483" s="124"/>
    </row>
    <row r="8484" spans="3:10" x14ac:dyDescent="0.2">
      <c r="C8484" s="209"/>
      <c r="D8484" s="209"/>
      <c r="E8484" s="209"/>
      <c r="J8484" s="124"/>
    </row>
    <row r="8485" spans="3:10" x14ac:dyDescent="0.2">
      <c r="C8485" s="209"/>
      <c r="D8485" s="209"/>
      <c r="E8485" s="209"/>
      <c r="J8485" s="124"/>
    </row>
    <row r="8486" spans="3:10" x14ac:dyDescent="0.2">
      <c r="C8486" s="209"/>
      <c r="D8486" s="209"/>
      <c r="E8486" s="209"/>
      <c r="J8486" s="124"/>
    </row>
    <row r="8487" spans="3:10" x14ac:dyDescent="0.2">
      <c r="C8487" s="209"/>
      <c r="D8487" s="209"/>
      <c r="E8487" s="209"/>
      <c r="J8487" s="124"/>
    </row>
    <row r="8488" spans="3:10" x14ac:dyDescent="0.2">
      <c r="C8488" s="209"/>
      <c r="D8488" s="209"/>
      <c r="E8488" s="209"/>
      <c r="J8488" s="124"/>
    </row>
    <row r="8489" spans="3:10" x14ac:dyDescent="0.2">
      <c r="C8489" s="209"/>
      <c r="D8489" s="209"/>
      <c r="E8489" s="209"/>
      <c r="J8489" s="124"/>
    </row>
    <row r="8490" spans="3:10" x14ac:dyDescent="0.2">
      <c r="C8490" s="209"/>
      <c r="D8490" s="209"/>
      <c r="E8490" s="209"/>
      <c r="J8490" s="124"/>
    </row>
    <row r="8491" spans="3:10" x14ac:dyDescent="0.2">
      <c r="C8491" s="209"/>
      <c r="D8491" s="209"/>
      <c r="E8491" s="209"/>
      <c r="J8491" s="124"/>
    </row>
    <row r="8492" spans="3:10" x14ac:dyDescent="0.2">
      <c r="C8492" s="209"/>
      <c r="D8492" s="209"/>
      <c r="E8492" s="209"/>
      <c r="J8492" s="124"/>
    </row>
    <row r="8493" spans="3:10" x14ac:dyDescent="0.2">
      <c r="C8493" s="209"/>
      <c r="D8493" s="209"/>
      <c r="E8493" s="209"/>
      <c r="J8493" s="124"/>
    </row>
    <row r="8494" spans="3:10" x14ac:dyDescent="0.2">
      <c r="C8494" s="209"/>
      <c r="D8494" s="209"/>
      <c r="E8494" s="209"/>
      <c r="J8494" s="124"/>
    </row>
    <row r="8495" spans="3:10" x14ac:dyDescent="0.2">
      <c r="C8495" s="209"/>
      <c r="D8495" s="209"/>
      <c r="E8495" s="209"/>
      <c r="J8495" s="124"/>
    </row>
    <row r="8496" spans="3:10" x14ac:dyDescent="0.2">
      <c r="C8496" s="209"/>
      <c r="D8496" s="209"/>
      <c r="E8496" s="209"/>
      <c r="J8496" s="124"/>
    </row>
    <row r="8497" spans="3:10" x14ac:dyDescent="0.2">
      <c r="C8497" s="209"/>
      <c r="D8497" s="209"/>
      <c r="E8497" s="209"/>
      <c r="J8497" s="124"/>
    </row>
    <row r="8498" spans="3:10" x14ac:dyDescent="0.2">
      <c r="C8498" s="209"/>
      <c r="D8498" s="209"/>
      <c r="E8498" s="209"/>
      <c r="J8498" s="124"/>
    </row>
    <row r="8499" spans="3:10" x14ac:dyDescent="0.2">
      <c r="C8499" s="209"/>
      <c r="D8499" s="209"/>
      <c r="E8499" s="209"/>
      <c r="J8499" s="124"/>
    </row>
    <row r="8500" spans="3:10" x14ac:dyDescent="0.2">
      <c r="C8500" s="209"/>
      <c r="D8500" s="209"/>
      <c r="E8500" s="209"/>
      <c r="J8500" s="124"/>
    </row>
    <row r="8501" spans="3:10" x14ac:dyDescent="0.2">
      <c r="C8501" s="209"/>
      <c r="D8501" s="209"/>
      <c r="E8501" s="209"/>
      <c r="J8501" s="124"/>
    </row>
    <row r="8502" spans="3:10" x14ac:dyDescent="0.2">
      <c r="C8502" s="209"/>
      <c r="D8502" s="209"/>
      <c r="E8502" s="209"/>
      <c r="J8502" s="124"/>
    </row>
    <row r="8503" spans="3:10" x14ac:dyDescent="0.2">
      <c r="C8503" s="209"/>
      <c r="D8503" s="209"/>
      <c r="E8503" s="209"/>
      <c r="J8503" s="124"/>
    </row>
    <row r="8504" spans="3:10" x14ac:dyDescent="0.2">
      <c r="C8504" s="209"/>
      <c r="D8504" s="209"/>
      <c r="E8504" s="209"/>
      <c r="J8504" s="124"/>
    </row>
    <row r="8505" spans="3:10" x14ac:dyDescent="0.2">
      <c r="C8505" s="209"/>
      <c r="D8505" s="209"/>
      <c r="E8505" s="209"/>
      <c r="J8505" s="124"/>
    </row>
    <row r="8506" spans="3:10" x14ac:dyDescent="0.2">
      <c r="C8506" s="209"/>
      <c r="D8506" s="209"/>
      <c r="E8506" s="209"/>
      <c r="J8506" s="124"/>
    </row>
    <row r="8507" spans="3:10" x14ac:dyDescent="0.2">
      <c r="C8507" s="209"/>
      <c r="D8507" s="209"/>
      <c r="E8507" s="209"/>
      <c r="J8507" s="124"/>
    </row>
    <row r="8508" spans="3:10" x14ac:dyDescent="0.2">
      <c r="C8508" s="209"/>
      <c r="D8508" s="209"/>
      <c r="E8508" s="209"/>
      <c r="J8508" s="124"/>
    </row>
    <row r="8509" spans="3:10" x14ac:dyDescent="0.2">
      <c r="C8509" s="209"/>
      <c r="D8509" s="209"/>
      <c r="E8509" s="209"/>
      <c r="J8509" s="124"/>
    </row>
    <row r="8510" spans="3:10" x14ac:dyDescent="0.2">
      <c r="C8510" s="209"/>
      <c r="D8510" s="209"/>
      <c r="E8510" s="209"/>
      <c r="J8510" s="124"/>
    </row>
    <row r="8511" spans="3:10" x14ac:dyDescent="0.2">
      <c r="C8511" s="209"/>
      <c r="D8511" s="209"/>
      <c r="E8511" s="209"/>
      <c r="J8511" s="124"/>
    </row>
    <row r="8512" spans="3:10" x14ac:dyDescent="0.2">
      <c r="C8512" s="209"/>
      <c r="D8512" s="209"/>
      <c r="E8512" s="209"/>
      <c r="J8512" s="124"/>
    </row>
    <row r="8513" spans="3:10" x14ac:dyDescent="0.2">
      <c r="C8513" s="209"/>
      <c r="D8513" s="209"/>
      <c r="E8513" s="209"/>
      <c r="J8513" s="124"/>
    </row>
    <row r="8514" spans="3:10" x14ac:dyDescent="0.2">
      <c r="C8514" s="209"/>
      <c r="D8514" s="209"/>
      <c r="E8514" s="209"/>
      <c r="J8514" s="124"/>
    </row>
    <row r="8515" spans="3:10" x14ac:dyDescent="0.2">
      <c r="C8515" s="209"/>
      <c r="D8515" s="209"/>
      <c r="E8515" s="209"/>
      <c r="J8515" s="124"/>
    </row>
    <row r="8516" spans="3:10" x14ac:dyDescent="0.2">
      <c r="C8516" s="209"/>
      <c r="D8516" s="209"/>
      <c r="E8516" s="209"/>
      <c r="J8516" s="124"/>
    </row>
    <row r="8517" spans="3:10" x14ac:dyDescent="0.2">
      <c r="C8517" s="209"/>
      <c r="D8517" s="209"/>
      <c r="E8517" s="209"/>
      <c r="J8517" s="124"/>
    </row>
    <row r="8518" spans="3:10" x14ac:dyDescent="0.2">
      <c r="C8518" s="209"/>
      <c r="D8518" s="209"/>
      <c r="E8518" s="209"/>
      <c r="J8518" s="124"/>
    </row>
    <row r="8519" spans="3:10" x14ac:dyDescent="0.2">
      <c r="C8519" s="209"/>
      <c r="D8519" s="209"/>
      <c r="E8519" s="209"/>
      <c r="J8519" s="124"/>
    </row>
    <row r="8520" spans="3:10" x14ac:dyDescent="0.2">
      <c r="C8520" s="209"/>
      <c r="D8520" s="209"/>
      <c r="E8520" s="209"/>
      <c r="J8520" s="124"/>
    </row>
    <row r="8521" spans="3:10" x14ac:dyDescent="0.2">
      <c r="C8521" s="209"/>
      <c r="D8521" s="209"/>
      <c r="E8521" s="209"/>
      <c r="J8521" s="124"/>
    </row>
    <row r="8522" spans="3:10" x14ac:dyDescent="0.2">
      <c r="C8522" s="209"/>
      <c r="D8522" s="209"/>
      <c r="E8522" s="209"/>
      <c r="J8522" s="124"/>
    </row>
    <row r="8523" spans="3:10" x14ac:dyDescent="0.2">
      <c r="C8523" s="209"/>
      <c r="D8523" s="209"/>
      <c r="E8523" s="209"/>
      <c r="J8523" s="124"/>
    </row>
    <row r="8524" spans="3:10" x14ac:dyDescent="0.2">
      <c r="C8524" s="209"/>
      <c r="D8524" s="209"/>
      <c r="E8524" s="209"/>
      <c r="J8524" s="124"/>
    </row>
    <row r="8525" spans="3:10" x14ac:dyDescent="0.2">
      <c r="C8525" s="209"/>
      <c r="D8525" s="209"/>
      <c r="E8525" s="209"/>
      <c r="J8525" s="124"/>
    </row>
    <row r="8526" spans="3:10" x14ac:dyDescent="0.2">
      <c r="C8526" s="209"/>
      <c r="D8526" s="209"/>
      <c r="E8526" s="209"/>
      <c r="J8526" s="124"/>
    </row>
    <row r="8527" spans="3:10" x14ac:dyDescent="0.2">
      <c r="C8527" s="209"/>
      <c r="D8527" s="209"/>
      <c r="E8527" s="209"/>
      <c r="J8527" s="124"/>
    </row>
    <row r="8528" spans="3:10" x14ac:dyDescent="0.2">
      <c r="C8528" s="209"/>
      <c r="D8528" s="209"/>
      <c r="E8528" s="209"/>
      <c r="J8528" s="124"/>
    </row>
    <row r="8529" spans="3:10" x14ac:dyDescent="0.2">
      <c r="C8529" s="209"/>
      <c r="D8529" s="209"/>
      <c r="E8529" s="209"/>
      <c r="J8529" s="124"/>
    </row>
    <row r="8530" spans="3:10" x14ac:dyDescent="0.2">
      <c r="C8530" s="209"/>
      <c r="D8530" s="209"/>
      <c r="E8530" s="209"/>
      <c r="J8530" s="124"/>
    </row>
    <row r="8531" spans="3:10" x14ac:dyDescent="0.2">
      <c r="C8531" s="209"/>
      <c r="D8531" s="209"/>
      <c r="E8531" s="209"/>
      <c r="J8531" s="124"/>
    </row>
    <row r="8532" spans="3:10" x14ac:dyDescent="0.2">
      <c r="C8532" s="209"/>
      <c r="D8532" s="209"/>
      <c r="E8532" s="209"/>
      <c r="J8532" s="124"/>
    </row>
    <row r="8533" spans="3:10" x14ac:dyDescent="0.2">
      <c r="C8533" s="209"/>
      <c r="D8533" s="209"/>
      <c r="E8533" s="209"/>
      <c r="J8533" s="124"/>
    </row>
    <row r="8534" spans="3:10" x14ac:dyDescent="0.2">
      <c r="C8534" s="209"/>
      <c r="D8534" s="209"/>
      <c r="E8534" s="209"/>
      <c r="J8534" s="124"/>
    </row>
    <row r="8535" spans="3:10" x14ac:dyDescent="0.2">
      <c r="C8535" s="209"/>
      <c r="D8535" s="209"/>
      <c r="E8535" s="209"/>
      <c r="J8535" s="124"/>
    </row>
    <row r="8536" spans="3:10" x14ac:dyDescent="0.2">
      <c r="C8536" s="209"/>
      <c r="D8536" s="209"/>
      <c r="E8536" s="209"/>
      <c r="J8536" s="124"/>
    </row>
    <row r="8537" spans="3:10" x14ac:dyDescent="0.2">
      <c r="C8537" s="209"/>
      <c r="D8537" s="209"/>
      <c r="E8537" s="209"/>
      <c r="J8537" s="124"/>
    </row>
    <row r="8538" spans="3:10" x14ac:dyDescent="0.2">
      <c r="C8538" s="209"/>
      <c r="D8538" s="209"/>
      <c r="E8538" s="209"/>
      <c r="J8538" s="124"/>
    </row>
    <row r="8539" spans="3:10" x14ac:dyDescent="0.2">
      <c r="C8539" s="209"/>
      <c r="D8539" s="209"/>
      <c r="E8539" s="209"/>
      <c r="J8539" s="124"/>
    </row>
    <row r="8540" spans="3:10" x14ac:dyDescent="0.2">
      <c r="C8540" s="209"/>
      <c r="D8540" s="209"/>
      <c r="E8540" s="209"/>
      <c r="J8540" s="124"/>
    </row>
    <row r="8541" spans="3:10" x14ac:dyDescent="0.2">
      <c r="C8541" s="209"/>
      <c r="D8541" s="209"/>
      <c r="E8541" s="209"/>
      <c r="J8541" s="124"/>
    </row>
    <row r="8542" spans="3:10" x14ac:dyDescent="0.2">
      <c r="C8542" s="209"/>
      <c r="D8542" s="209"/>
      <c r="E8542" s="209"/>
      <c r="J8542" s="124"/>
    </row>
    <row r="8543" spans="3:10" x14ac:dyDescent="0.2">
      <c r="C8543" s="209"/>
      <c r="D8543" s="209"/>
      <c r="E8543" s="209"/>
      <c r="J8543" s="124"/>
    </row>
    <row r="8544" spans="3:10" x14ac:dyDescent="0.2">
      <c r="C8544" s="209"/>
      <c r="D8544" s="209"/>
      <c r="E8544" s="209"/>
      <c r="J8544" s="124"/>
    </row>
    <row r="8545" spans="3:10" x14ac:dyDescent="0.2">
      <c r="C8545" s="209"/>
      <c r="D8545" s="209"/>
      <c r="E8545" s="209"/>
      <c r="J8545" s="124"/>
    </row>
    <row r="8546" spans="3:10" x14ac:dyDescent="0.2">
      <c r="C8546" s="209"/>
      <c r="D8546" s="209"/>
      <c r="E8546" s="209"/>
      <c r="J8546" s="124"/>
    </row>
    <row r="8547" spans="3:10" x14ac:dyDescent="0.2">
      <c r="C8547" s="209"/>
      <c r="D8547" s="209"/>
      <c r="E8547" s="209"/>
      <c r="J8547" s="124"/>
    </row>
    <row r="8548" spans="3:10" x14ac:dyDescent="0.2">
      <c r="C8548" s="209"/>
      <c r="D8548" s="209"/>
      <c r="E8548" s="209"/>
      <c r="J8548" s="124"/>
    </row>
    <row r="8549" spans="3:10" x14ac:dyDescent="0.2">
      <c r="C8549" s="209"/>
      <c r="D8549" s="209"/>
      <c r="E8549" s="209"/>
      <c r="J8549" s="124"/>
    </row>
    <row r="8550" spans="3:10" x14ac:dyDescent="0.2">
      <c r="C8550" s="209"/>
      <c r="D8550" s="209"/>
      <c r="E8550" s="209"/>
      <c r="J8550" s="124"/>
    </row>
    <row r="8551" spans="3:10" x14ac:dyDescent="0.2">
      <c r="C8551" s="209"/>
      <c r="D8551" s="209"/>
      <c r="E8551" s="209"/>
      <c r="J8551" s="124"/>
    </row>
    <row r="8552" spans="3:10" x14ac:dyDescent="0.2">
      <c r="C8552" s="209"/>
      <c r="D8552" s="209"/>
      <c r="E8552" s="209"/>
      <c r="J8552" s="124"/>
    </row>
    <row r="8553" spans="3:10" x14ac:dyDescent="0.2">
      <c r="C8553" s="209"/>
      <c r="D8553" s="209"/>
      <c r="E8553" s="209"/>
      <c r="J8553" s="124"/>
    </row>
    <row r="8554" spans="3:10" x14ac:dyDescent="0.2">
      <c r="C8554" s="209"/>
      <c r="D8554" s="209"/>
      <c r="E8554" s="209"/>
      <c r="J8554" s="124"/>
    </row>
    <row r="8555" spans="3:10" x14ac:dyDescent="0.2">
      <c r="C8555" s="209"/>
      <c r="D8555" s="209"/>
      <c r="E8555" s="209"/>
      <c r="J8555" s="124"/>
    </row>
    <row r="8556" spans="3:10" x14ac:dyDescent="0.2">
      <c r="C8556" s="209"/>
      <c r="D8556" s="209"/>
      <c r="E8556" s="209"/>
      <c r="J8556" s="124"/>
    </row>
    <row r="8557" spans="3:10" x14ac:dyDescent="0.2">
      <c r="C8557" s="209"/>
      <c r="D8557" s="209"/>
      <c r="E8557" s="209"/>
      <c r="J8557" s="124"/>
    </row>
    <row r="8558" spans="3:10" x14ac:dyDescent="0.2">
      <c r="C8558" s="209"/>
      <c r="D8558" s="209"/>
      <c r="E8558" s="209"/>
      <c r="J8558" s="124"/>
    </row>
    <row r="8559" spans="3:10" x14ac:dyDescent="0.2">
      <c r="C8559" s="209"/>
      <c r="D8559" s="209"/>
      <c r="E8559" s="209"/>
      <c r="J8559" s="124"/>
    </row>
    <row r="8560" spans="3:10" x14ac:dyDescent="0.2">
      <c r="C8560" s="209"/>
      <c r="D8560" s="209"/>
      <c r="E8560" s="209"/>
      <c r="J8560" s="124"/>
    </row>
    <row r="8561" spans="3:10" x14ac:dyDescent="0.2">
      <c r="C8561" s="209"/>
      <c r="D8561" s="209"/>
      <c r="E8561" s="209"/>
      <c r="J8561" s="124"/>
    </row>
    <row r="8562" spans="3:10" x14ac:dyDescent="0.2">
      <c r="C8562" s="209"/>
      <c r="D8562" s="209"/>
      <c r="E8562" s="209"/>
      <c r="J8562" s="124"/>
    </row>
    <row r="8563" spans="3:10" x14ac:dyDescent="0.2">
      <c r="C8563" s="209"/>
      <c r="D8563" s="209"/>
      <c r="E8563" s="209"/>
      <c r="J8563" s="124"/>
    </row>
    <row r="8564" spans="3:10" x14ac:dyDescent="0.2">
      <c r="C8564" s="209"/>
      <c r="D8564" s="209"/>
      <c r="E8564" s="209"/>
      <c r="J8564" s="124"/>
    </row>
    <row r="8565" spans="3:10" x14ac:dyDescent="0.2">
      <c r="C8565" s="209"/>
      <c r="D8565" s="209"/>
      <c r="E8565" s="209"/>
      <c r="J8565" s="124"/>
    </row>
    <row r="8566" spans="3:10" x14ac:dyDescent="0.2">
      <c r="C8566" s="209"/>
      <c r="D8566" s="209"/>
      <c r="E8566" s="209"/>
      <c r="J8566" s="124"/>
    </row>
    <row r="8567" spans="3:10" x14ac:dyDescent="0.2">
      <c r="C8567" s="209"/>
      <c r="D8567" s="209"/>
      <c r="E8567" s="209"/>
      <c r="J8567" s="124"/>
    </row>
    <row r="8568" spans="3:10" x14ac:dyDescent="0.2">
      <c r="C8568" s="209"/>
      <c r="D8568" s="209"/>
      <c r="E8568" s="209"/>
      <c r="J8568" s="124"/>
    </row>
    <row r="8569" spans="3:10" x14ac:dyDescent="0.2">
      <c r="C8569" s="209"/>
      <c r="D8569" s="209"/>
      <c r="E8569" s="209"/>
      <c r="J8569" s="124"/>
    </row>
    <row r="8570" spans="3:10" x14ac:dyDescent="0.2">
      <c r="C8570" s="209"/>
      <c r="D8570" s="209"/>
      <c r="E8570" s="209"/>
      <c r="J8570" s="124"/>
    </row>
    <row r="8571" spans="3:10" x14ac:dyDescent="0.2">
      <c r="C8571" s="209"/>
      <c r="D8571" s="209"/>
      <c r="E8571" s="209"/>
      <c r="J8571" s="124"/>
    </row>
    <row r="8572" spans="3:10" x14ac:dyDescent="0.2">
      <c r="C8572" s="209"/>
      <c r="D8572" s="209"/>
      <c r="E8572" s="209"/>
      <c r="J8572" s="124"/>
    </row>
    <row r="8573" spans="3:10" x14ac:dyDescent="0.2">
      <c r="C8573" s="209"/>
      <c r="D8573" s="209"/>
      <c r="E8573" s="209"/>
      <c r="J8573" s="124"/>
    </row>
    <row r="8574" spans="3:10" x14ac:dyDescent="0.2">
      <c r="C8574" s="209"/>
      <c r="D8574" s="209"/>
      <c r="E8574" s="209"/>
      <c r="J8574" s="124"/>
    </row>
    <row r="8575" spans="3:10" x14ac:dyDescent="0.2">
      <c r="C8575" s="209"/>
      <c r="D8575" s="209"/>
      <c r="E8575" s="209"/>
      <c r="J8575" s="124"/>
    </row>
    <row r="8576" spans="3:10" x14ac:dyDescent="0.2">
      <c r="C8576" s="209"/>
      <c r="D8576" s="209"/>
      <c r="E8576" s="209"/>
      <c r="J8576" s="124"/>
    </row>
    <row r="8577" spans="3:10" x14ac:dyDescent="0.2">
      <c r="C8577" s="209"/>
      <c r="D8577" s="209"/>
      <c r="E8577" s="209"/>
      <c r="J8577" s="124"/>
    </row>
    <row r="8578" spans="3:10" x14ac:dyDescent="0.2">
      <c r="C8578" s="209"/>
      <c r="D8578" s="209"/>
      <c r="E8578" s="209"/>
      <c r="J8578" s="124"/>
    </row>
    <row r="8579" spans="3:10" x14ac:dyDescent="0.2">
      <c r="C8579" s="209"/>
      <c r="D8579" s="209"/>
      <c r="E8579" s="209"/>
      <c r="J8579" s="124"/>
    </row>
    <row r="8580" spans="3:10" x14ac:dyDescent="0.2">
      <c r="C8580" s="209"/>
      <c r="D8580" s="209"/>
      <c r="E8580" s="209"/>
      <c r="J8580" s="124"/>
    </row>
    <row r="8581" spans="3:10" x14ac:dyDescent="0.2">
      <c r="C8581" s="209"/>
      <c r="D8581" s="209"/>
      <c r="E8581" s="209"/>
      <c r="J8581" s="124"/>
    </row>
    <row r="8582" spans="3:10" x14ac:dyDescent="0.2">
      <c r="C8582" s="209"/>
      <c r="D8582" s="209"/>
      <c r="E8582" s="209"/>
      <c r="J8582" s="124"/>
    </row>
    <row r="8583" spans="3:10" x14ac:dyDescent="0.2">
      <c r="C8583" s="209"/>
      <c r="D8583" s="209"/>
      <c r="E8583" s="209"/>
      <c r="J8583" s="124"/>
    </row>
    <row r="8584" spans="3:10" x14ac:dyDescent="0.2">
      <c r="C8584" s="209"/>
      <c r="D8584" s="209"/>
      <c r="E8584" s="209"/>
      <c r="J8584" s="124"/>
    </row>
    <row r="8585" spans="3:10" x14ac:dyDescent="0.2">
      <c r="C8585" s="209"/>
      <c r="D8585" s="209"/>
      <c r="E8585" s="209"/>
      <c r="J8585" s="124"/>
    </row>
    <row r="8586" spans="3:10" x14ac:dyDescent="0.2">
      <c r="C8586" s="209"/>
      <c r="D8586" s="209"/>
      <c r="E8586" s="209"/>
      <c r="J8586" s="124"/>
    </row>
    <row r="8587" spans="3:10" x14ac:dyDescent="0.2">
      <c r="C8587" s="209"/>
      <c r="D8587" s="209"/>
      <c r="E8587" s="209"/>
      <c r="J8587" s="124"/>
    </row>
    <row r="8588" spans="3:10" x14ac:dyDescent="0.2">
      <c r="C8588" s="209"/>
      <c r="D8588" s="209"/>
      <c r="E8588" s="209"/>
      <c r="J8588" s="124"/>
    </row>
    <row r="8589" spans="3:10" x14ac:dyDescent="0.2">
      <c r="C8589" s="209"/>
      <c r="D8589" s="209"/>
      <c r="E8589" s="209"/>
      <c r="J8589" s="124"/>
    </row>
    <row r="8590" spans="3:10" x14ac:dyDescent="0.2">
      <c r="C8590" s="209"/>
      <c r="D8590" s="209"/>
      <c r="E8590" s="209"/>
      <c r="J8590" s="124"/>
    </row>
    <row r="8591" spans="3:10" x14ac:dyDescent="0.2">
      <c r="C8591" s="209"/>
      <c r="D8591" s="209"/>
      <c r="E8591" s="209"/>
      <c r="J8591" s="124"/>
    </row>
    <row r="8592" spans="3:10" x14ac:dyDescent="0.2">
      <c r="C8592" s="209"/>
      <c r="D8592" s="209"/>
      <c r="E8592" s="209"/>
      <c r="J8592" s="124"/>
    </row>
    <row r="8593" spans="3:10" x14ac:dyDescent="0.2">
      <c r="C8593" s="209"/>
      <c r="D8593" s="209"/>
      <c r="E8593" s="209"/>
      <c r="J8593" s="124"/>
    </row>
    <row r="8594" spans="3:10" x14ac:dyDescent="0.2">
      <c r="C8594" s="209"/>
      <c r="D8594" s="209"/>
      <c r="E8594" s="209"/>
      <c r="J8594" s="124"/>
    </row>
    <row r="8595" spans="3:10" x14ac:dyDescent="0.2">
      <c r="C8595" s="209"/>
      <c r="D8595" s="209"/>
      <c r="E8595" s="209"/>
      <c r="J8595" s="124"/>
    </row>
    <row r="8596" spans="3:10" x14ac:dyDescent="0.2">
      <c r="C8596" s="209"/>
      <c r="D8596" s="209"/>
      <c r="E8596" s="209"/>
      <c r="J8596" s="124"/>
    </row>
    <row r="8597" spans="3:10" x14ac:dyDescent="0.2">
      <c r="C8597" s="209"/>
      <c r="D8597" s="209"/>
      <c r="E8597" s="209"/>
      <c r="J8597" s="124"/>
    </row>
    <row r="8598" spans="3:10" x14ac:dyDescent="0.2">
      <c r="C8598" s="209"/>
      <c r="D8598" s="209"/>
      <c r="E8598" s="209"/>
      <c r="J8598" s="124"/>
    </row>
    <row r="8599" spans="3:10" x14ac:dyDescent="0.2">
      <c r="C8599" s="209"/>
      <c r="D8599" s="209"/>
      <c r="E8599" s="209"/>
      <c r="J8599" s="124"/>
    </row>
    <row r="8600" spans="3:10" x14ac:dyDescent="0.2">
      <c r="C8600" s="209"/>
      <c r="D8600" s="209"/>
      <c r="E8600" s="209"/>
      <c r="J8600" s="124"/>
    </row>
    <row r="8601" spans="3:10" x14ac:dyDescent="0.2">
      <c r="C8601" s="209"/>
      <c r="D8601" s="209"/>
      <c r="E8601" s="209"/>
      <c r="J8601" s="124"/>
    </row>
    <row r="8602" spans="3:10" x14ac:dyDescent="0.2">
      <c r="C8602" s="209"/>
      <c r="D8602" s="209"/>
      <c r="E8602" s="209"/>
      <c r="J8602" s="124"/>
    </row>
    <row r="8603" spans="3:10" x14ac:dyDescent="0.2">
      <c r="C8603" s="209"/>
      <c r="D8603" s="209"/>
      <c r="E8603" s="209"/>
      <c r="J8603" s="124"/>
    </row>
    <row r="8604" spans="3:10" x14ac:dyDescent="0.2">
      <c r="C8604" s="209"/>
      <c r="D8604" s="209"/>
      <c r="E8604" s="209"/>
      <c r="J8604" s="124"/>
    </row>
    <row r="8605" spans="3:10" x14ac:dyDescent="0.2">
      <c r="C8605" s="209"/>
      <c r="D8605" s="209"/>
      <c r="E8605" s="209"/>
      <c r="J8605" s="124"/>
    </row>
    <row r="8606" spans="3:10" x14ac:dyDescent="0.2">
      <c r="C8606" s="209"/>
      <c r="D8606" s="209"/>
      <c r="E8606" s="209"/>
      <c r="J8606" s="124"/>
    </row>
    <row r="8607" spans="3:10" x14ac:dyDescent="0.2">
      <c r="C8607" s="209"/>
      <c r="D8607" s="209"/>
      <c r="E8607" s="209"/>
      <c r="J8607" s="124"/>
    </row>
    <row r="8608" spans="3:10" x14ac:dyDescent="0.2">
      <c r="C8608" s="209"/>
      <c r="D8608" s="209"/>
      <c r="E8608" s="209"/>
      <c r="J8608" s="124"/>
    </row>
    <row r="8609" spans="3:10" x14ac:dyDescent="0.2">
      <c r="C8609" s="209"/>
      <c r="D8609" s="209"/>
      <c r="E8609" s="209"/>
      <c r="J8609" s="124"/>
    </row>
    <row r="8610" spans="3:10" x14ac:dyDescent="0.2">
      <c r="C8610" s="209"/>
      <c r="D8610" s="209"/>
      <c r="E8610" s="209"/>
      <c r="J8610" s="124"/>
    </row>
    <row r="8611" spans="3:10" x14ac:dyDescent="0.2">
      <c r="C8611" s="209"/>
      <c r="D8611" s="209"/>
      <c r="E8611" s="209"/>
      <c r="J8611" s="124"/>
    </row>
    <row r="8612" spans="3:10" x14ac:dyDescent="0.2">
      <c r="C8612" s="209"/>
      <c r="D8612" s="209"/>
      <c r="E8612" s="209"/>
      <c r="J8612" s="124"/>
    </row>
    <row r="8613" spans="3:10" x14ac:dyDescent="0.2">
      <c r="C8613" s="209"/>
      <c r="D8613" s="209"/>
      <c r="E8613" s="209"/>
      <c r="J8613" s="124"/>
    </row>
    <row r="8614" spans="3:10" x14ac:dyDescent="0.2">
      <c r="C8614" s="209"/>
      <c r="D8614" s="209"/>
      <c r="E8614" s="209"/>
      <c r="J8614" s="124"/>
    </row>
    <row r="8615" spans="3:10" x14ac:dyDescent="0.2">
      <c r="C8615" s="209"/>
      <c r="D8615" s="209"/>
      <c r="E8615" s="209"/>
      <c r="J8615" s="124"/>
    </row>
    <row r="8616" spans="3:10" x14ac:dyDescent="0.2">
      <c r="C8616" s="209"/>
      <c r="D8616" s="209"/>
      <c r="E8616" s="209"/>
      <c r="J8616" s="124"/>
    </row>
    <row r="8617" spans="3:10" x14ac:dyDescent="0.2">
      <c r="C8617" s="209"/>
      <c r="D8617" s="209"/>
      <c r="E8617" s="209"/>
      <c r="J8617" s="124"/>
    </row>
    <row r="8618" spans="3:10" x14ac:dyDescent="0.2">
      <c r="C8618" s="209"/>
      <c r="D8618" s="209"/>
      <c r="E8618" s="209"/>
      <c r="J8618" s="124"/>
    </row>
    <row r="8619" spans="3:10" x14ac:dyDescent="0.2">
      <c r="C8619" s="209"/>
      <c r="D8619" s="209"/>
      <c r="E8619" s="209"/>
      <c r="J8619" s="124"/>
    </row>
    <row r="8620" spans="3:10" x14ac:dyDescent="0.2">
      <c r="C8620" s="209"/>
      <c r="D8620" s="209"/>
      <c r="E8620" s="209"/>
      <c r="J8620" s="124"/>
    </row>
    <row r="8621" spans="3:10" x14ac:dyDescent="0.2">
      <c r="C8621" s="209"/>
      <c r="D8621" s="209"/>
      <c r="E8621" s="209"/>
      <c r="J8621" s="124"/>
    </row>
    <row r="8622" spans="3:10" x14ac:dyDescent="0.2">
      <c r="C8622" s="209"/>
      <c r="D8622" s="209"/>
      <c r="E8622" s="209"/>
      <c r="J8622" s="124"/>
    </row>
    <row r="8623" spans="3:10" x14ac:dyDescent="0.2">
      <c r="C8623" s="209"/>
      <c r="D8623" s="209"/>
      <c r="E8623" s="209"/>
      <c r="J8623" s="124"/>
    </row>
    <row r="8624" spans="3:10" x14ac:dyDescent="0.2">
      <c r="C8624" s="209"/>
      <c r="D8624" s="209"/>
      <c r="E8624" s="209"/>
      <c r="J8624" s="124"/>
    </row>
    <row r="8625" spans="3:10" x14ac:dyDescent="0.2">
      <c r="C8625" s="209"/>
      <c r="D8625" s="209"/>
      <c r="E8625" s="209"/>
      <c r="J8625" s="124"/>
    </row>
    <row r="8626" spans="3:10" x14ac:dyDescent="0.2">
      <c r="C8626" s="209"/>
      <c r="D8626" s="209"/>
      <c r="E8626" s="209"/>
      <c r="J8626" s="124"/>
    </row>
    <row r="8627" spans="3:10" x14ac:dyDescent="0.2">
      <c r="C8627" s="209"/>
      <c r="D8627" s="209"/>
      <c r="E8627" s="209"/>
      <c r="J8627" s="124"/>
    </row>
    <row r="8628" spans="3:10" x14ac:dyDescent="0.2">
      <c r="C8628" s="209"/>
      <c r="D8628" s="209"/>
      <c r="E8628" s="209"/>
      <c r="J8628" s="124"/>
    </row>
    <row r="8629" spans="3:10" x14ac:dyDescent="0.2">
      <c r="C8629" s="209"/>
      <c r="D8629" s="209"/>
      <c r="E8629" s="209"/>
      <c r="J8629" s="124"/>
    </row>
    <row r="8630" spans="3:10" x14ac:dyDescent="0.2">
      <c r="C8630" s="209"/>
      <c r="D8630" s="209"/>
      <c r="E8630" s="209"/>
      <c r="J8630" s="124"/>
    </row>
    <row r="8631" spans="3:10" x14ac:dyDescent="0.2">
      <c r="C8631" s="209"/>
      <c r="D8631" s="209"/>
      <c r="E8631" s="209"/>
      <c r="J8631" s="124"/>
    </row>
    <row r="8632" spans="3:10" x14ac:dyDescent="0.2">
      <c r="C8632" s="209"/>
      <c r="D8632" s="209"/>
      <c r="E8632" s="209"/>
      <c r="J8632" s="124"/>
    </row>
    <row r="8633" spans="3:10" x14ac:dyDescent="0.2">
      <c r="C8633" s="209"/>
      <c r="D8633" s="209"/>
      <c r="E8633" s="209"/>
      <c r="J8633" s="124"/>
    </row>
    <row r="8634" spans="3:10" x14ac:dyDescent="0.2">
      <c r="C8634" s="209"/>
      <c r="D8634" s="209"/>
      <c r="E8634" s="209"/>
      <c r="J8634" s="124"/>
    </row>
    <row r="8635" spans="3:10" x14ac:dyDescent="0.2">
      <c r="C8635" s="209"/>
      <c r="D8635" s="209"/>
      <c r="E8635" s="209"/>
      <c r="J8635" s="124"/>
    </row>
    <row r="8636" spans="3:10" x14ac:dyDescent="0.2">
      <c r="C8636" s="209"/>
      <c r="D8636" s="209"/>
      <c r="E8636" s="209"/>
      <c r="J8636" s="124"/>
    </row>
    <row r="8637" spans="3:10" x14ac:dyDescent="0.2">
      <c r="C8637" s="209"/>
      <c r="D8637" s="209"/>
      <c r="E8637" s="209"/>
      <c r="J8637" s="124"/>
    </row>
    <row r="8638" spans="3:10" x14ac:dyDescent="0.2">
      <c r="C8638" s="209"/>
      <c r="D8638" s="209"/>
      <c r="E8638" s="209"/>
      <c r="J8638" s="124"/>
    </row>
    <row r="8639" spans="3:10" x14ac:dyDescent="0.2">
      <c r="C8639" s="209"/>
      <c r="D8639" s="209"/>
      <c r="E8639" s="209"/>
      <c r="J8639" s="124"/>
    </row>
    <row r="8640" spans="3:10" x14ac:dyDescent="0.2">
      <c r="C8640" s="209"/>
      <c r="D8640" s="209"/>
      <c r="E8640" s="209"/>
      <c r="J8640" s="124"/>
    </row>
    <row r="8641" spans="3:10" x14ac:dyDescent="0.2">
      <c r="C8641" s="209"/>
      <c r="D8641" s="209"/>
      <c r="E8641" s="209"/>
      <c r="J8641" s="124"/>
    </row>
    <row r="8642" spans="3:10" x14ac:dyDescent="0.2">
      <c r="C8642" s="209"/>
      <c r="D8642" s="209"/>
      <c r="E8642" s="209"/>
      <c r="J8642" s="124"/>
    </row>
    <row r="8643" spans="3:10" x14ac:dyDescent="0.2">
      <c r="C8643" s="209"/>
      <c r="D8643" s="209"/>
      <c r="E8643" s="209"/>
      <c r="J8643" s="124"/>
    </row>
    <row r="8644" spans="3:10" x14ac:dyDescent="0.2">
      <c r="C8644" s="209"/>
      <c r="D8644" s="209"/>
      <c r="E8644" s="209"/>
      <c r="J8644" s="124"/>
    </row>
    <row r="8645" spans="3:10" x14ac:dyDescent="0.2">
      <c r="C8645" s="209"/>
      <c r="D8645" s="209"/>
      <c r="E8645" s="209"/>
      <c r="J8645" s="124"/>
    </row>
    <row r="8646" spans="3:10" x14ac:dyDescent="0.2">
      <c r="C8646" s="209"/>
      <c r="D8646" s="209"/>
      <c r="E8646" s="209"/>
      <c r="J8646" s="124"/>
    </row>
    <row r="8647" spans="3:10" x14ac:dyDescent="0.2">
      <c r="C8647" s="209"/>
      <c r="D8647" s="209"/>
      <c r="E8647" s="209"/>
      <c r="J8647" s="124"/>
    </row>
    <row r="8648" spans="3:10" x14ac:dyDescent="0.2">
      <c r="C8648" s="209"/>
      <c r="D8648" s="209"/>
      <c r="E8648" s="209"/>
      <c r="J8648" s="124"/>
    </row>
    <row r="8649" spans="3:10" x14ac:dyDescent="0.2">
      <c r="C8649" s="209"/>
      <c r="D8649" s="209"/>
      <c r="E8649" s="209"/>
      <c r="J8649" s="124"/>
    </row>
    <row r="8650" spans="3:10" x14ac:dyDescent="0.2">
      <c r="C8650" s="209"/>
      <c r="D8650" s="209"/>
      <c r="E8650" s="209"/>
      <c r="J8650" s="124"/>
    </row>
    <row r="8651" spans="3:10" x14ac:dyDescent="0.2">
      <c r="C8651" s="209"/>
      <c r="D8651" s="209"/>
      <c r="E8651" s="209"/>
      <c r="J8651" s="124"/>
    </row>
    <row r="8652" spans="3:10" x14ac:dyDescent="0.2">
      <c r="C8652" s="209"/>
      <c r="D8652" s="209"/>
      <c r="E8652" s="209"/>
      <c r="J8652" s="124"/>
    </row>
    <row r="8653" spans="3:10" x14ac:dyDescent="0.2">
      <c r="C8653" s="209"/>
      <c r="D8653" s="209"/>
      <c r="E8653" s="209"/>
      <c r="J8653" s="124"/>
    </row>
    <row r="8654" spans="3:10" x14ac:dyDescent="0.2">
      <c r="C8654" s="209"/>
      <c r="D8654" s="209"/>
      <c r="E8654" s="209"/>
      <c r="J8654" s="124"/>
    </row>
    <row r="8655" spans="3:10" x14ac:dyDescent="0.2">
      <c r="C8655" s="209"/>
      <c r="D8655" s="209"/>
      <c r="E8655" s="209"/>
      <c r="J8655" s="124"/>
    </row>
    <row r="8656" spans="3:10" x14ac:dyDescent="0.2">
      <c r="C8656" s="209"/>
      <c r="D8656" s="209"/>
      <c r="E8656" s="209"/>
      <c r="J8656" s="124"/>
    </row>
    <row r="8657" spans="3:10" x14ac:dyDescent="0.2">
      <c r="C8657" s="209"/>
      <c r="D8657" s="209"/>
      <c r="E8657" s="209"/>
      <c r="J8657" s="124"/>
    </row>
    <row r="8658" spans="3:10" x14ac:dyDescent="0.2">
      <c r="C8658" s="209"/>
      <c r="D8658" s="209"/>
      <c r="E8658" s="209"/>
      <c r="J8658" s="124"/>
    </row>
    <row r="8659" spans="3:10" x14ac:dyDescent="0.2">
      <c r="C8659" s="209"/>
      <c r="D8659" s="209"/>
      <c r="E8659" s="209"/>
      <c r="J8659" s="124"/>
    </row>
    <row r="8660" spans="3:10" x14ac:dyDescent="0.2">
      <c r="C8660" s="209"/>
      <c r="D8660" s="209"/>
      <c r="E8660" s="209"/>
      <c r="J8660" s="124"/>
    </row>
    <row r="8661" spans="3:10" x14ac:dyDescent="0.2">
      <c r="C8661" s="209"/>
      <c r="D8661" s="209"/>
      <c r="E8661" s="209"/>
      <c r="J8661" s="124"/>
    </row>
    <row r="8662" spans="3:10" x14ac:dyDescent="0.2">
      <c r="C8662" s="209"/>
      <c r="D8662" s="209"/>
      <c r="E8662" s="209"/>
      <c r="J8662" s="124"/>
    </row>
    <row r="8663" spans="3:10" x14ac:dyDescent="0.2">
      <c r="C8663" s="209"/>
      <c r="D8663" s="209"/>
      <c r="E8663" s="209"/>
      <c r="J8663" s="124"/>
    </row>
    <row r="8664" spans="3:10" x14ac:dyDescent="0.2">
      <c r="C8664" s="209"/>
      <c r="D8664" s="209"/>
      <c r="E8664" s="209"/>
      <c r="J8664" s="124"/>
    </row>
    <row r="8665" spans="3:10" x14ac:dyDescent="0.2">
      <c r="C8665" s="209"/>
      <c r="D8665" s="209"/>
      <c r="E8665" s="209"/>
      <c r="J8665" s="124"/>
    </row>
    <row r="8666" spans="3:10" x14ac:dyDescent="0.2">
      <c r="C8666" s="209"/>
      <c r="D8666" s="209"/>
      <c r="E8666" s="209"/>
      <c r="J8666" s="124"/>
    </row>
    <row r="8667" spans="3:10" x14ac:dyDescent="0.2">
      <c r="C8667" s="209"/>
      <c r="D8667" s="209"/>
      <c r="E8667" s="209"/>
      <c r="J8667" s="124"/>
    </row>
    <row r="8668" spans="3:10" x14ac:dyDescent="0.2">
      <c r="C8668" s="209"/>
      <c r="D8668" s="209"/>
      <c r="E8668" s="209"/>
      <c r="J8668" s="124"/>
    </row>
    <row r="8669" spans="3:10" x14ac:dyDescent="0.2">
      <c r="C8669" s="209"/>
      <c r="D8669" s="209"/>
      <c r="E8669" s="209"/>
      <c r="J8669" s="124"/>
    </row>
    <row r="8670" spans="3:10" x14ac:dyDescent="0.2">
      <c r="C8670" s="209"/>
      <c r="D8670" s="209"/>
      <c r="E8670" s="209"/>
      <c r="J8670" s="124"/>
    </row>
    <row r="8671" spans="3:10" x14ac:dyDescent="0.2">
      <c r="C8671" s="209"/>
      <c r="D8671" s="209"/>
      <c r="E8671" s="209"/>
      <c r="J8671" s="124"/>
    </row>
    <row r="8672" spans="3:10" x14ac:dyDescent="0.2">
      <c r="C8672" s="209"/>
      <c r="D8672" s="209"/>
      <c r="E8672" s="209"/>
      <c r="J8672" s="124"/>
    </row>
    <row r="8673" spans="3:10" x14ac:dyDescent="0.2">
      <c r="C8673" s="209"/>
      <c r="D8673" s="209"/>
      <c r="E8673" s="209"/>
      <c r="J8673" s="124"/>
    </row>
    <row r="8674" spans="3:10" x14ac:dyDescent="0.2">
      <c r="C8674" s="209"/>
      <c r="D8674" s="209"/>
      <c r="E8674" s="209"/>
      <c r="J8674" s="124"/>
    </row>
    <row r="8675" spans="3:10" x14ac:dyDescent="0.2">
      <c r="C8675" s="209"/>
      <c r="D8675" s="209"/>
      <c r="E8675" s="209"/>
      <c r="J8675" s="124"/>
    </row>
    <row r="8676" spans="3:10" x14ac:dyDescent="0.2">
      <c r="C8676" s="209"/>
      <c r="D8676" s="209"/>
      <c r="E8676" s="209"/>
      <c r="J8676" s="124"/>
    </row>
    <row r="8677" spans="3:10" x14ac:dyDescent="0.2">
      <c r="C8677" s="209"/>
      <c r="D8677" s="209"/>
      <c r="E8677" s="209"/>
      <c r="J8677" s="124"/>
    </row>
    <row r="8678" spans="3:10" x14ac:dyDescent="0.2">
      <c r="C8678" s="209"/>
      <c r="D8678" s="209"/>
      <c r="E8678" s="209"/>
      <c r="J8678" s="124"/>
    </row>
    <row r="8679" spans="3:10" x14ac:dyDescent="0.2">
      <c r="C8679" s="209"/>
      <c r="D8679" s="209"/>
      <c r="E8679" s="209"/>
      <c r="J8679" s="124"/>
    </row>
    <row r="8680" spans="3:10" x14ac:dyDescent="0.2">
      <c r="C8680" s="209"/>
      <c r="D8680" s="209"/>
      <c r="E8680" s="209"/>
      <c r="J8680" s="124"/>
    </row>
    <row r="8681" spans="3:10" x14ac:dyDescent="0.2">
      <c r="C8681" s="209"/>
      <c r="D8681" s="209"/>
      <c r="E8681" s="209"/>
      <c r="J8681" s="124"/>
    </row>
    <row r="8682" spans="3:10" x14ac:dyDescent="0.2">
      <c r="C8682" s="209"/>
      <c r="D8682" s="209"/>
      <c r="E8682" s="209"/>
      <c r="J8682" s="124"/>
    </row>
    <row r="8683" spans="3:10" x14ac:dyDescent="0.2">
      <c r="C8683" s="209"/>
      <c r="D8683" s="209"/>
      <c r="E8683" s="209"/>
      <c r="J8683" s="124"/>
    </row>
    <row r="8684" spans="3:10" x14ac:dyDescent="0.2">
      <c r="C8684" s="209"/>
      <c r="D8684" s="209"/>
      <c r="E8684" s="209"/>
      <c r="J8684" s="124"/>
    </row>
    <row r="8685" spans="3:10" x14ac:dyDescent="0.2">
      <c r="C8685" s="209"/>
      <c r="D8685" s="209"/>
      <c r="E8685" s="209"/>
      <c r="J8685" s="124"/>
    </row>
    <row r="8686" spans="3:10" x14ac:dyDescent="0.2">
      <c r="C8686" s="209"/>
      <c r="D8686" s="209"/>
      <c r="E8686" s="209"/>
      <c r="J8686" s="124"/>
    </row>
    <row r="8687" spans="3:10" x14ac:dyDescent="0.2">
      <c r="C8687" s="209"/>
      <c r="D8687" s="209"/>
      <c r="E8687" s="209"/>
      <c r="J8687" s="124"/>
    </row>
    <row r="8688" spans="3:10" x14ac:dyDescent="0.2">
      <c r="C8688" s="209"/>
      <c r="D8688" s="209"/>
      <c r="E8688" s="209"/>
      <c r="J8688" s="124"/>
    </row>
    <row r="8689" spans="3:10" x14ac:dyDescent="0.2">
      <c r="C8689" s="209"/>
      <c r="D8689" s="209"/>
      <c r="E8689" s="209"/>
      <c r="J8689" s="124"/>
    </row>
    <row r="8690" spans="3:10" x14ac:dyDescent="0.2">
      <c r="C8690" s="209"/>
      <c r="D8690" s="209"/>
      <c r="E8690" s="209"/>
      <c r="J8690" s="124"/>
    </row>
    <row r="8691" spans="3:10" x14ac:dyDescent="0.2">
      <c r="C8691" s="209"/>
      <c r="D8691" s="209"/>
      <c r="E8691" s="209"/>
      <c r="J8691" s="124"/>
    </row>
    <row r="8692" spans="3:10" x14ac:dyDescent="0.2">
      <c r="C8692" s="209"/>
      <c r="D8692" s="209"/>
      <c r="E8692" s="209"/>
      <c r="J8692" s="124"/>
    </row>
    <row r="8693" spans="3:10" x14ac:dyDescent="0.2">
      <c r="C8693" s="209"/>
      <c r="D8693" s="209"/>
      <c r="E8693" s="209"/>
      <c r="J8693" s="124"/>
    </row>
    <row r="8694" spans="3:10" x14ac:dyDescent="0.2">
      <c r="C8694" s="209"/>
      <c r="D8694" s="209"/>
      <c r="E8694" s="209"/>
      <c r="J8694" s="124"/>
    </row>
    <row r="8695" spans="3:10" x14ac:dyDescent="0.2">
      <c r="C8695" s="209"/>
      <c r="D8695" s="209"/>
      <c r="E8695" s="209"/>
      <c r="J8695" s="124"/>
    </row>
    <row r="8696" spans="3:10" x14ac:dyDescent="0.2">
      <c r="C8696" s="209"/>
      <c r="D8696" s="209"/>
      <c r="E8696" s="209"/>
      <c r="J8696" s="124"/>
    </row>
    <row r="8697" spans="3:10" x14ac:dyDescent="0.2">
      <c r="C8697" s="209"/>
      <c r="D8697" s="209"/>
      <c r="E8697" s="209"/>
      <c r="J8697" s="124"/>
    </row>
    <row r="8698" spans="3:10" x14ac:dyDescent="0.2">
      <c r="C8698" s="209"/>
      <c r="D8698" s="209"/>
      <c r="E8698" s="209"/>
      <c r="J8698" s="124"/>
    </row>
    <row r="8699" spans="3:10" x14ac:dyDescent="0.2">
      <c r="C8699" s="209"/>
      <c r="D8699" s="209"/>
      <c r="E8699" s="209"/>
      <c r="J8699" s="124"/>
    </row>
    <row r="8700" spans="3:10" x14ac:dyDescent="0.2">
      <c r="C8700" s="209"/>
      <c r="D8700" s="209"/>
      <c r="E8700" s="209"/>
      <c r="J8700" s="124"/>
    </row>
    <row r="8701" spans="3:10" x14ac:dyDescent="0.2">
      <c r="C8701" s="209"/>
      <c r="D8701" s="209"/>
      <c r="E8701" s="209"/>
      <c r="J8701" s="124"/>
    </row>
    <row r="8702" spans="3:10" x14ac:dyDescent="0.2">
      <c r="C8702" s="209"/>
      <c r="D8702" s="209"/>
      <c r="E8702" s="209"/>
      <c r="J8702" s="124"/>
    </row>
    <row r="8703" spans="3:10" x14ac:dyDescent="0.2">
      <c r="C8703" s="209"/>
      <c r="D8703" s="209"/>
      <c r="E8703" s="209"/>
      <c r="J8703" s="124"/>
    </row>
    <row r="8704" spans="3:10" x14ac:dyDescent="0.2">
      <c r="C8704" s="209"/>
      <c r="D8704" s="209"/>
      <c r="E8704" s="209"/>
      <c r="J8704" s="124"/>
    </row>
    <row r="8705" spans="3:10" x14ac:dyDescent="0.2">
      <c r="C8705" s="209"/>
      <c r="D8705" s="209"/>
      <c r="E8705" s="209"/>
      <c r="J8705" s="124"/>
    </row>
    <row r="8706" spans="3:10" x14ac:dyDescent="0.2">
      <c r="C8706" s="209"/>
      <c r="D8706" s="209"/>
      <c r="E8706" s="209"/>
      <c r="J8706" s="124"/>
    </row>
    <row r="8707" spans="3:10" x14ac:dyDescent="0.2">
      <c r="C8707" s="209"/>
      <c r="D8707" s="209"/>
      <c r="E8707" s="209"/>
      <c r="J8707" s="124"/>
    </row>
    <row r="8708" spans="3:10" x14ac:dyDescent="0.2">
      <c r="C8708" s="209"/>
      <c r="D8708" s="209"/>
      <c r="E8708" s="209"/>
      <c r="J8708" s="124"/>
    </row>
    <row r="8709" spans="3:10" x14ac:dyDescent="0.2">
      <c r="C8709" s="209"/>
      <c r="D8709" s="209"/>
      <c r="E8709" s="209"/>
      <c r="J8709" s="124"/>
    </row>
    <row r="8710" spans="3:10" x14ac:dyDescent="0.2">
      <c r="C8710" s="209"/>
      <c r="D8710" s="209"/>
      <c r="E8710" s="209"/>
      <c r="J8710" s="124"/>
    </row>
    <row r="8711" spans="3:10" x14ac:dyDescent="0.2">
      <c r="C8711" s="209"/>
      <c r="D8711" s="209"/>
      <c r="E8711" s="209"/>
      <c r="J8711" s="124"/>
    </row>
    <row r="8712" spans="3:10" x14ac:dyDescent="0.2">
      <c r="C8712" s="209"/>
      <c r="D8712" s="209"/>
      <c r="E8712" s="209"/>
      <c r="J8712" s="124"/>
    </row>
    <row r="8713" spans="3:10" x14ac:dyDescent="0.2">
      <c r="C8713" s="209"/>
      <c r="D8713" s="209"/>
      <c r="E8713" s="209"/>
      <c r="J8713" s="124"/>
    </row>
    <row r="8714" spans="3:10" x14ac:dyDescent="0.2">
      <c r="C8714" s="209"/>
      <c r="D8714" s="209"/>
      <c r="E8714" s="209"/>
      <c r="J8714" s="124"/>
    </row>
    <row r="8715" spans="3:10" x14ac:dyDescent="0.2">
      <c r="C8715" s="209"/>
      <c r="D8715" s="209"/>
      <c r="E8715" s="209"/>
      <c r="J8715" s="124"/>
    </row>
    <row r="8716" spans="3:10" x14ac:dyDescent="0.2">
      <c r="C8716" s="209"/>
      <c r="D8716" s="209"/>
      <c r="E8716" s="209"/>
      <c r="J8716" s="124"/>
    </row>
    <row r="8717" spans="3:10" x14ac:dyDescent="0.2">
      <c r="C8717" s="209"/>
      <c r="D8717" s="209"/>
      <c r="E8717" s="209"/>
      <c r="J8717" s="124"/>
    </row>
    <row r="8718" spans="3:10" x14ac:dyDescent="0.2">
      <c r="C8718" s="209"/>
      <c r="D8718" s="209"/>
      <c r="E8718" s="209"/>
      <c r="J8718" s="124"/>
    </row>
    <row r="8719" spans="3:10" x14ac:dyDescent="0.2">
      <c r="C8719" s="209"/>
      <c r="D8719" s="209"/>
      <c r="E8719" s="209"/>
      <c r="J8719" s="124"/>
    </row>
    <row r="8720" spans="3:10" x14ac:dyDescent="0.2">
      <c r="C8720" s="209"/>
      <c r="D8720" s="209"/>
      <c r="E8720" s="209"/>
      <c r="J8720" s="124"/>
    </row>
    <row r="8721" spans="3:10" x14ac:dyDescent="0.2">
      <c r="C8721" s="209"/>
      <c r="D8721" s="209"/>
      <c r="E8721" s="209"/>
      <c r="J8721" s="124"/>
    </row>
    <row r="8722" spans="3:10" x14ac:dyDescent="0.2">
      <c r="C8722" s="209"/>
      <c r="D8722" s="209"/>
      <c r="E8722" s="209"/>
      <c r="J8722" s="124"/>
    </row>
    <row r="8723" spans="3:10" x14ac:dyDescent="0.2">
      <c r="C8723" s="209"/>
      <c r="D8723" s="209"/>
      <c r="E8723" s="209"/>
      <c r="J8723" s="124"/>
    </row>
    <row r="8724" spans="3:10" x14ac:dyDescent="0.2">
      <c r="C8724" s="209"/>
      <c r="D8724" s="209"/>
      <c r="E8724" s="209"/>
      <c r="J8724" s="124"/>
    </row>
    <row r="8725" spans="3:10" x14ac:dyDescent="0.2">
      <c r="C8725" s="209"/>
      <c r="D8725" s="209"/>
      <c r="E8725" s="209"/>
      <c r="J8725" s="124"/>
    </row>
    <row r="8726" spans="3:10" x14ac:dyDescent="0.2">
      <c r="C8726" s="209"/>
      <c r="D8726" s="209"/>
      <c r="E8726" s="209"/>
      <c r="J8726" s="124"/>
    </row>
    <row r="8727" spans="3:10" x14ac:dyDescent="0.2">
      <c r="C8727" s="209"/>
      <c r="D8727" s="209"/>
      <c r="E8727" s="209"/>
      <c r="J8727" s="124"/>
    </row>
    <row r="8728" spans="3:10" x14ac:dyDescent="0.2">
      <c r="C8728" s="209"/>
      <c r="D8728" s="209"/>
      <c r="E8728" s="209"/>
      <c r="J8728" s="124"/>
    </row>
    <row r="8729" spans="3:10" x14ac:dyDescent="0.2">
      <c r="C8729" s="209"/>
      <c r="D8729" s="209"/>
      <c r="E8729" s="209"/>
      <c r="J8729" s="124"/>
    </row>
    <row r="8730" spans="3:10" x14ac:dyDescent="0.2">
      <c r="C8730" s="209"/>
      <c r="D8730" s="209"/>
      <c r="E8730" s="209"/>
      <c r="J8730" s="124"/>
    </row>
    <row r="8731" spans="3:10" x14ac:dyDescent="0.2">
      <c r="C8731" s="209"/>
      <c r="D8731" s="209"/>
      <c r="E8731" s="209"/>
      <c r="J8731" s="124"/>
    </row>
    <row r="8732" spans="3:10" x14ac:dyDescent="0.2">
      <c r="C8732" s="209"/>
      <c r="D8732" s="209"/>
      <c r="E8732" s="209"/>
      <c r="J8732" s="124"/>
    </row>
    <row r="8733" spans="3:10" x14ac:dyDescent="0.2">
      <c r="C8733" s="209"/>
      <c r="D8733" s="209"/>
      <c r="E8733" s="209"/>
      <c r="J8733" s="124"/>
    </row>
    <row r="8734" spans="3:10" x14ac:dyDescent="0.2">
      <c r="C8734" s="209"/>
      <c r="D8734" s="209"/>
      <c r="E8734" s="209"/>
      <c r="J8734" s="124"/>
    </row>
    <row r="8735" spans="3:10" x14ac:dyDescent="0.2">
      <c r="C8735" s="209"/>
      <c r="D8735" s="209"/>
      <c r="E8735" s="209"/>
      <c r="J8735" s="124"/>
    </row>
    <row r="8736" spans="3:10" x14ac:dyDescent="0.2">
      <c r="C8736" s="209"/>
      <c r="D8736" s="209"/>
      <c r="E8736" s="209"/>
      <c r="J8736" s="124"/>
    </row>
    <row r="8737" spans="3:10" x14ac:dyDescent="0.2">
      <c r="C8737" s="209"/>
      <c r="D8737" s="209"/>
      <c r="E8737" s="209"/>
      <c r="J8737" s="124"/>
    </row>
    <row r="8738" spans="3:10" x14ac:dyDescent="0.2">
      <c r="C8738" s="209"/>
      <c r="D8738" s="209"/>
      <c r="E8738" s="209"/>
      <c r="J8738" s="124"/>
    </row>
    <row r="8739" spans="3:10" x14ac:dyDescent="0.2">
      <c r="C8739" s="209"/>
      <c r="D8739" s="209"/>
      <c r="E8739" s="209"/>
      <c r="J8739" s="124"/>
    </row>
    <row r="8740" spans="3:10" x14ac:dyDescent="0.2">
      <c r="C8740" s="209"/>
      <c r="D8740" s="209"/>
      <c r="E8740" s="209"/>
      <c r="J8740" s="124"/>
    </row>
    <row r="8741" spans="3:10" x14ac:dyDescent="0.2">
      <c r="C8741" s="209"/>
      <c r="D8741" s="209"/>
      <c r="E8741" s="209"/>
      <c r="J8741" s="124"/>
    </row>
    <row r="8742" spans="3:10" x14ac:dyDescent="0.2">
      <c r="C8742" s="209"/>
      <c r="D8742" s="209"/>
      <c r="E8742" s="209"/>
      <c r="J8742" s="124"/>
    </row>
    <row r="8743" spans="3:10" x14ac:dyDescent="0.2">
      <c r="C8743" s="209"/>
      <c r="D8743" s="209"/>
      <c r="E8743" s="209"/>
      <c r="J8743" s="124"/>
    </row>
    <row r="8744" spans="3:10" x14ac:dyDescent="0.2">
      <c r="C8744" s="209"/>
      <c r="D8744" s="209"/>
      <c r="E8744" s="209"/>
      <c r="J8744" s="124"/>
    </row>
    <row r="8745" spans="3:10" x14ac:dyDescent="0.2">
      <c r="C8745" s="209"/>
      <c r="D8745" s="209"/>
      <c r="E8745" s="209"/>
      <c r="J8745" s="124"/>
    </row>
    <row r="8746" spans="3:10" x14ac:dyDescent="0.2">
      <c r="C8746" s="209"/>
      <c r="D8746" s="209"/>
      <c r="E8746" s="209"/>
      <c r="J8746" s="124"/>
    </row>
    <row r="8747" spans="3:10" x14ac:dyDescent="0.2">
      <c r="C8747" s="209"/>
      <c r="D8747" s="209"/>
      <c r="E8747" s="209"/>
      <c r="J8747" s="124"/>
    </row>
    <row r="8748" spans="3:10" x14ac:dyDescent="0.2">
      <c r="C8748" s="209"/>
      <c r="D8748" s="209"/>
      <c r="E8748" s="209"/>
      <c r="J8748" s="124"/>
    </row>
    <row r="8749" spans="3:10" x14ac:dyDescent="0.2">
      <c r="C8749" s="209"/>
      <c r="D8749" s="209"/>
      <c r="E8749" s="209"/>
      <c r="J8749" s="124"/>
    </row>
    <row r="8750" spans="3:10" x14ac:dyDescent="0.2">
      <c r="C8750" s="209"/>
      <c r="D8750" s="209"/>
      <c r="E8750" s="209"/>
      <c r="J8750" s="124"/>
    </row>
    <row r="8751" spans="3:10" x14ac:dyDescent="0.2">
      <c r="C8751" s="209"/>
      <c r="D8751" s="209"/>
      <c r="E8751" s="209"/>
      <c r="J8751" s="124"/>
    </row>
    <row r="8752" spans="3:10" x14ac:dyDescent="0.2">
      <c r="C8752" s="209"/>
      <c r="D8752" s="209"/>
      <c r="E8752" s="209"/>
      <c r="J8752" s="124"/>
    </row>
    <row r="8753" spans="3:10" x14ac:dyDescent="0.2">
      <c r="C8753" s="209"/>
      <c r="D8753" s="209"/>
      <c r="E8753" s="209"/>
      <c r="J8753" s="124"/>
    </row>
    <row r="8754" spans="3:10" x14ac:dyDescent="0.2">
      <c r="C8754" s="209"/>
      <c r="D8754" s="209"/>
      <c r="E8754" s="209"/>
      <c r="J8754" s="124"/>
    </row>
    <row r="8755" spans="3:10" x14ac:dyDescent="0.2">
      <c r="C8755" s="209"/>
      <c r="D8755" s="209"/>
      <c r="E8755" s="209"/>
      <c r="J8755" s="124"/>
    </row>
    <row r="8756" spans="3:10" x14ac:dyDescent="0.2">
      <c r="C8756" s="209"/>
      <c r="D8756" s="209"/>
      <c r="E8756" s="209"/>
      <c r="J8756" s="124"/>
    </row>
    <row r="8757" spans="3:10" x14ac:dyDescent="0.2">
      <c r="C8757" s="209"/>
      <c r="D8757" s="209"/>
      <c r="E8757" s="209"/>
      <c r="J8757" s="124"/>
    </row>
    <row r="8758" spans="3:10" x14ac:dyDescent="0.2">
      <c r="C8758" s="209"/>
      <c r="D8758" s="209"/>
      <c r="E8758" s="209"/>
      <c r="J8758" s="124"/>
    </row>
    <row r="8759" spans="3:10" x14ac:dyDescent="0.2">
      <c r="C8759" s="209"/>
      <c r="D8759" s="209"/>
      <c r="E8759" s="209"/>
      <c r="J8759" s="124"/>
    </row>
    <row r="8760" spans="3:10" x14ac:dyDescent="0.2">
      <c r="C8760" s="209"/>
      <c r="D8760" s="209"/>
      <c r="E8760" s="209"/>
      <c r="J8760" s="124"/>
    </row>
    <row r="8761" spans="3:10" x14ac:dyDescent="0.2">
      <c r="C8761" s="209"/>
      <c r="D8761" s="209"/>
      <c r="E8761" s="209"/>
      <c r="J8761" s="124"/>
    </row>
    <row r="8762" spans="3:10" x14ac:dyDescent="0.2">
      <c r="C8762" s="209"/>
      <c r="D8762" s="209"/>
      <c r="E8762" s="209"/>
      <c r="J8762" s="124"/>
    </row>
    <row r="8763" spans="3:10" x14ac:dyDescent="0.2">
      <c r="C8763" s="209"/>
      <c r="D8763" s="209"/>
      <c r="E8763" s="209"/>
      <c r="J8763" s="124"/>
    </row>
    <row r="8764" spans="3:10" x14ac:dyDescent="0.2">
      <c r="C8764" s="209"/>
      <c r="D8764" s="209"/>
      <c r="E8764" s="209"/>
      <c r="J8764" s="124"/>
    </row>
    <row r="8765" spans="3:10" x14ac:dyDescent="0.2">
      <c r="C8765" s="209"/>
      <c r="D8765" s="209"/>
      <c r="E8765" s="209"/>
      <c r="J8765" s="124"/>
    </row>
    <row r="8766" spans="3:10" x14ac:dyDescent="0.2">
      <c r="C8766" s="209"/>
      <c r="D8766" s="209"/>
      <c r="E8766" s="209"/>
      <c r="J8766" s="124"/>
    </row>
    <row r="8767" spans="3:10" x14ac:dyDescent="0.2">
      <c r="C8767" s="209"/>
      <c r="D8767" s="209"/>
      <c r="E8767" s="209"/>
      <c r="J8767" s="124"/>
    </row>
    <row r="8768" spans="3:10" x14ac:dyDescent="0.2">
      <c r="C8768" s="209"/>
      <c r="D8768" s="209"/>
      <c r="E8768" s="209"/>
      <c r="J8768" s="124"/>
    </row>
    <row r="8769" spans="3:10" x14ac:dyDescent="0.2">
      <c r="C8769" s="209"/>
      <c r="D8769" s="209"/>
      <c r="E8769" s="209"/>
      <c r="J8769" s="124"/>
    </row>
    <row r="8770" spans="3:10" x14ac:dyDescent="0.2">
      <c r="C8770" s="209"/>
      <c r="D8770" s="209"/>
      <c r="E8770" s="209"/>
      <c r="J8770" s="124"/>
    </row>
    <row r="8771" spans="3:10" x14ac:dyDescent="0.2">
      <c r="C8771" s="209"/>
      <c r="D8771" s="209"/>
      <c r="E8771" s="209"/>
      <c r="J8771" s="124"/>
    </row>
    <row r="8772" spans="3:10" x14ac:dyDescent="0.2">
      <c r="C8772" s="209"/>
      <c r="D8772" s="209"/>
      <c r="E8772" s="209"/>
      <c r="J8772" s="124"/>
    </row>
    <row r="8773" spans="3:10" x14ac:dyDescent="0.2">
      <c r="C8773" s="209"/>
      <c r="D8773" s="209"/>
      <c r="E8773" s="209"/>
      <c r="J8773" s="124"/>
    </row>
    <row r="8774" spans="3:10" x14ac:dyDescent="0.2">
      <c r="C8774" s="209"/>
      <c r="D8774" s="209"/>
      <c r="E8774" s="209"/>
      <c r="J8774" s="124"/>
    </row>
    <row r="8775" spans="3:10" x14ac:dyDescent="0.2">
      <c r="C8775" s="209"/>
      <c r="D8775" s="209"/>
      <c r="E8775" s="209"/>
      <c r="J8775" s="124"/>
    </row>
    <row r="8776" spans="3:10" x14ac:dyDescent="0.2">
      <c r="C8776" s="209"/>
      <c r="D8776" s="209"/>
      <c r="E8776" s="209"/>
      <c r="J8776" s="124"/>
    </row>
    <row r="8777" spans="3:10" x14ac:dyDescent="0.2">
      <c r="C8777" s="209"/>
      <c r="D8777" s="209"/>
      <c r="E8777" s="209"/>
      <c r="J8777" s="124"/>
    </row>
    <row r="8778" spans="3:10" x14ac:dyDescent="0.2">
      <c r="C8778" s="209"/>
      <c r="D8778" s="209"/>
      <c r="E8778" s="209"/>
      <c r="J8778" s="124"/>
    </row>
    <row r="8779" spans="3:10" x14ac:dyDescent="0.2">
      <c r="C8779" s="209"/>
      <c r="D8779" s="209"/>
      <c r="E8779" s="209"/>
      <c r="J8779" s="124"/>
    </row>
    <row r="8780" spans="3:10" x14ac:dyDescent="0.2">
      <c r="C8780" s="209"/>
      <c r="D8780" s="209"/>
      <c r="E8780" s="209"/>
      <c r="J8780" s="124"/>
    </row>
    <row r="8781" spans="3:10" x14ac:dyDescent="0.2">
      <c r="C8781" s="209"/>
      <c r="D8781" s="209"/>
      <c r="E8781" s="209"/>
      <c r="J8781" s="124"/>
    </row>
    <row r="8782" spans="3:10" x14ac:dyDescent="0.2">
      <c r="C8782" s="209"/>
      <c r="D8782" s="209"/>
      <c r="E8782" s="209"/>
      <c r="J8782" s="124"/>
    </row>
    <row r="8783" spans="3:10" x14ac:dyDescent="0.2">
      <c r="C8783" s="209"/>
      <c r="D8783" s="209"/>
      <c r="E8783" s="209"/>
      <c r="J8783" s="124"/>
    </row>
    <row r="8784" spans="3:10" x14ac:dyDescent="0.2">
      <c r="C8784" s="209"/>
      <c r="D8784" s="209"/>
      <c r="E8784" s="209"/>
      <c r="J8784" s="124"/>
    </row>
    <row r="8785" spans="3:10" x14ac:dyDescent="0.2">
      <c r="C8785" s="209"/>
      <c r="D8785" s="209"/>
      <c r="E8785" s="209"/>
      <c r="J8785" s="124"/>
    </row>
    <row r="8786" spans="3:10" x14ac:dyDescent="0.2">
      <c r="C8786" s="209"/>
      <c r="D8786" s="209"/>
      <c r="E8786" s="209"/>
      <c r="J8786" s="124"/>
    </row>
    <row r="8787" spans="3:10" x14ac:dyDescent="0.2">
      <c r="C8787" s="209"/>
      <c r="D8787" s="209"/>
      <c r="E8787" s="209"/>
      <c r="J8787" s="124"/>
    </row>
    <row r="8788" spans="3:10" x14ac:dyDescent="0.2">
      <c r="C8788" s="209"/>
      <c r="D8788" s="209"/>
      <c r="E8788" s="209"/>
      <c r="J8788" s="124"/>
    </row>
    <row r="8789" spans="3:10" x14ac:dyDescent="0.2">
      <c r="C8789" s="209"/>
      <c r="D8789" s="209"/>
      <c r="E8789" s="209"/>
      <c r="J8789" s="124"/>
    </row>
    <row r="8790" spans="3:10" x14ac:dyDescent="0.2">
      <c r="C8790" s="209"/>
      <c r="D8790" s="209"/>
      <c r="E8790" s="209"/>
      <c r="J8790" s="124"/>
    </row>
    <row r="8791" spans="3:10" x14ac:dyDescent="0.2">
      <c r="C8791" s="209"/>
      <c r="D8791" s="209"/>
      <c r="E8791" s="209"/>
      <c r="J8791" s="124"/>
    </row>
    <row r="8792" spans="3:10" x14ac:dyDescent="0.2">
      <c r="C8792" s="209"/>
      <c r="D8792" s="209"/>
      <c r="E8792" s="209"/>
      <c r="J8792" s="124"/>
    </row>
    <row r="8793" spans="3:10" x14ac:dyDescent="0.2">
      <c r="C8793" s="209"/>
      <c r="D8793" s="209"/>
      <c r="E8793" s="209"/>
      <c r="J8793" s="124"/>
    </row>
    <row r="8794" spans="3:10" x14ac:dyDescent="0.2">
      <c r="C8794" s="209"/>
      <c r="D8794" s="209"/>
      <c r="E8794" s="209"/>
      <c r="J8794" s="124"/>
    </row>
    <row r="8795" spans="3:10" x14ac:dyDescent="0.2">
      <c r="C8795" s="209"/>
      <c r="D8795" s="209"/>
      <c r="E8795" s="209"/>
      <c r="J8795" s="124"/>
    </row>
    <row r="8796" spans="3:10" x14ac:dyDescent="0.2">
      <c r="C8796" s="209"/>
      <c r="D8796" s="209"/>
      <c r="E8796" s="209"/>
      <c r="J8796" s="124"/>
    </row>
    <row r="8797" spans="3:10" x14ac:dyDescent="0.2">
      <c r="C8797" s="209"/>
      <c r="D8797" s="209"/>
      <c r="E8797" s="209"/>
      <c r="J8797" s="124"/>
    </row>
    <row r="8798" spans="3:10" x14ac:dyDescent="0.2">
      <c r="C8798" s="209"/>
      <c r="D8798" s="209"/>
      <c r="E8798" s="209"/>
      <c r="J8798" s="124"/>
    </row>
    <row r="8799" spans="3:10" x14ac:dyDescent="0.2">
      <c r="C8799" s="209"/>
      <c r="D8799" s="209"/>
      <c r="E8799" s="209"/>
      <c r="J8799" s="124"/>
    </row>
    <row r="8800" spans="3:10" x14ac:dyDescent="0.2">
      <c r="C8800" s="209"/>
      <c r="D8800" s="209"/>
      <c r="E8800" s="209"/>
      <c r="J8800" s="124"/>
    </row>
    <row r="8801" spans="3:10" x14ac:dyDescent="0.2">
      <c r="C8801" s="209"/>
      <c r="D8801" s="209"/>
      <c r="E8801" s="209"/>
      <c r="J8801" s="124"/>
    </row>
    <row r="8802" spans="3:10" x14ac:dyDescent="0.2">
      <c r="C8802" s="209"/>
      <c r="D8802" s="209"/>
      <c r="E8802" s="209"/>
      <c r="J8802" s="124"/>
    </row>
    <row r="8803" spans="3:10" x14ac:dyDescent="0.2">
      <c r="C8803" s="209"/>
      <c r="D8803" s="209"/>
      <c r="E8803" s="209"/>
      <c r="J8803" s="124"/>
    </row>
    <row r="8804" spans="3:10" x14ac:dyDescent="0.2">
      <c r="C8804" s="209"/>
      <c r="D8804" s="209"/>
      <c r="E8804" s="209"/>
      <c r="J8804" s="124"/>
    </row>
    <row r="8805" spans="3:10" x14ac:dyDescent="0.2">
      <c r="C8805" s="209"/>
      <c r="D8805" s="209"/>
      <c r="E8805" s="209"/>
      <c r="J8805" s="124"/>
    </row>
    <row r="8806" spans="3:10" x14ac:dyDescent="0.2">
      <c r="C8806" s="209"/>
      <c r="D8806" s="209"/>
      <c r="E8806" s="209"/>
      <c r="J8806" s="124"/>
    </row>
    <row r="8807" spans="3:10" x14ac:dyDescent="0.2">
      <c r="C8807" s="209"/>
      <c r="D8807" s="209"/>
      <c r="E8807" s="209"/>
      <c r="J8807" s="124"/>
    </row>
    <row r="8808" spans="3:10" x14ac:dyDescent="0.2">
      <c r="C8808" s="209"/>
      <c r="D8808" s="209"/>
      <c r="E8808" s="209"/>
      <c r="J8808" s="124"/>
    </row>
    <row r="8809" spans="3:10" x14ac:dyDescent="0.2">
      <c r="C8809" s="209"/>
      <c r="D8809" s="209"/>
      <c r="E8809" s="209"/>
      <c r="J8809" s="124"/>
    </row>
    <row r="8810" spans="3:10" x14ac:dyDescent="0.2">
      <c r="C8810" s="209"/>
      <c r="D8810" s="209"/>
      <c r="E8810" s="209"/>
      <c r="J8810" s="124"/>
    </row>
    <row r="8811" spans="3:10" x14ac:dyDescent="0.2">
      <c r="C8811" s="209"/>
      <c r="D8811" s="209"/>
      <c r="E8811" s="209"/>
      <c r="J8811" s="124"/>
    </row>
    <row r="8812" spans="3:10" x14ac:dyDescent="0.2">
      <c r="C8812" s="209"/>
      <c r="D8812" s="209"/>
      <c r="E8812" s="209"/>
      <c r="J8812" s="124"/>
    </row>
    <row r="8813" spans="3:10" x14ac:dyDescent="0.2">
      <c r="C8813" s="209"/>
      <c r="D8813" s="209"/>
      <c r="E8813" s="209"/>
      <c r="J8813" s="124"/>
    </row>
    <row r="8814" spans="3:10" x14ac:dyDescent="0.2">
      <c r="C8814" s="209"/>
      <c r="D8814" s="209"/>
      <c r="E8814" s="209"/>
      <c r="J8814" s="124"/>
    </row>
    <row r="8815" spans="3:10" x14ac:dyDescent="0.2">
      <c r="C8815" s="209"/>
      <c r="D8815" s="209"/>
      <c r="E8815" s="209"/>
      <c r="J8815" s="124"/>
    </row>
    <row r="8816" spans="3:10" x14ac:dyDescent="0.2">
      <c r="C8816" s="209"/>
      <c r="D8816" s="209"/>
      <c r="E8816" s="209"/>
      <c r="J8816" s="124"/>
    </row>
    <row r="8817" spans="3:10" x14ac:dyDescent="0.2">
      <c r="C8817" s="209"/>
      <c r="D8817" s="209"/>
      <c r="E8817" s="209"/>
      <c r="J8817" s="124"/>
    </row>
    <row r="8818" spans="3:10" x14ac:dyDescent="0.2">
      <c r="C8818" s="209"/>
      <c r="D8818" s="209"/>
      <c r="E8818" s="209"/>
      <c r="J8818" s="124"/>
    </row>
    <row r="8819" spans="3:10" x14ac:dyDescent="0.2">
      <c r="C8819" s="209"/>
      <c r="D8819" s="209"/>
      <c r="E8819" s="209"/>
      <c r="J8819" s="124"/>
    </row>
    <row r="8820" spans="3:10" x14ac:dyDescent="0.2">
      <c r="C8820" s="209"/>
      <c r="D8820" s="209"/>
      <c r="E8820" s="209"/>
      <c r="J8820" s="124"/>
    </row>
    <row r="8821" spans="3:10" x14ac:dyDescent="0.2">
      <c r="C8821" s="209"/>
      <c r="D8821" s="209"/>
      <c r="E8821" s="209"/>
      <c r="J8821" s="124"/>
    </row>
    <row r="8822" spans="3:10" x14ac:dyDescent="0.2">
      <c r="C8822" s="209"/>
      <c r="D8822" s="209"/>
      <c r="E8822" s="209"/>
      <c r="J8822" s="124"/>
    </row>
    <row r="8823" spans="3:10" x14ac:dyDescent="0.2">
      <c r="C8823" s="209"/>
      <c r="D8823" s="209"/>
      <c r="E8823" s="209"/>
      <c r="J8823" s="124"/>
    </row>
    <row r="8824" spans="3:10" x14ac:dyDescent="0.2">
      <c r="C8824" s="209"/>
      <c r="D8824" s="209"/>
      <c r="E8824" s="209"/>
      <c r="J8824" s="124"/>
    </row>
    <row r="8825" spans="3:10" x14ac:dyDescent="0.2">
      <c r="C8825" s="209"/>
      <c r="D8825" s="209"/>
      <c r="E8825" s="209"/>
      <c r="J8825" s="124"/>
    </row>
    <row r="8826" spans="3:10" x14ac:dyDescent="0.2">
      <c r="C8826" s="209"/>
      <c r="D8826" s="209"/>
      <c r="E8826" s="209"/>
      <c r="J8826" s="124"/>
    </row>
    <row r="8827" spans="3:10" x14ac:dyDescent="0.2">
      <c r="C8827" s="209"/>
      <c r="D8827" s="209"/>
      <c r="E8827" s="209"/>
      <c r="J8827" s="124"/>
    </row>
    <row r="8828" spans="3:10" x14ac:dyDescent="0.2">
      <c r="C8828" s="209"/>
      <c r="D8828" s="209"/>
      <c r="E8828" s="209"/>
      <c r="J8828" s="124"/>
    </row>
    <row r="8829" spans="3:10" x14ac:dyDescent="0.2">
      <c r="C8829" s="209"/>
      <c r="D8829" s="209"/>
      <c r="E8829" s="209"/>
      <c r="J8829" s="124"/>
    </row>
    <row r="8830" spans="3:10" x14ac:dyDescent="0.2">
      <c r="C8830" s="209"/>
      <c r="D8830" s="209"/>
      <c r="E8830" s="209"/>
      <c r="J8830" s="124"/>
    </row>
    <row r="8831" spans="3:10" x14ac:dyDescent="0.2">
      <c r="C8831" s="209"/>
      <c r="D8831" s="209"/>
      <c r="E8831" s="209"/>
      <c r="J8831" s="124"/>
    </row>
    <row r="8832" spans="3:10" x14ac:dyDescent="0.2">
      <c r="C8832" s="209"/>
      <c r="D8832" s="209"/>
      <c r="E8832" s="209"/>
      <c r="J8832" s="124"/>
    </row>
    <row r="8833" spans="3:10" x14ac:dyDescent="0.2">
      <c r="C8833" s="209"/>
      <c r="D8833" s="209"/>
      <c r="E8833" s="209"/>
      <c r="J8833" s="124"/>
    </row>
    <row r="8834" spans="3:10" x14ac:dyDescent="0.2">
      <c r="C8834" s="209"/>
      <c r="D8834" s="209"/>
      <c r="E8834" s="209"/>
      <c r="J8834" s="124"/>
    </row>
    <row r="8835" spans="3:10" x14ac:dyDescent="0.2">
      <c r="C8835" s="209"/>
      <c r="D8835" s="209"/>
      <c r="E8835" s="209"/>
      <c r="J8835" s="124"/>
    </row>
    <row r="8836" spans="3:10" x14ac:dyDescent="0.2">
      <c r="C8836" s="209"/>
      <c r="D8836" s="209"/>
      <c r="E8836" s="209"/>
      <c r="J8836" s="124"/>
    </row>
    <row r="8837" spans="3:10" x14ac:dyDescent="0.2">
      <c r="C8837" s="209"/>
      <c r="D8837" s="209"/>
      <c r="E8837" s="209"/>
      <c r="J8837" s="124"/>
    </row>
    <row r="8838" spans="3:10" x14ac:dyDescent="0.2">
      <c r="C8838" s="209"/>
      <c r="D8838" s="209"/>
      <c r="E8838" s="209"/>
      <c r="J8838" s="124"/>
    </row>
    <row r="8839" spans="3:10" x14ac:dyDescent="0.2">
      <c r="C8839" s="209"/>
      <c r="D8839" s="209"/>
      <c r="E8839" s="209"/>
      <c r="J8839" s="124"/>
    </row>
    <row r="8840" spans="3:10" x14ac:dyDescent="0.2">
      <c r="C8840" s="209"/>
      <c r="D8840" s="209"/>
      <c r="E8840" s="209"/>
      <c r="J8840" s="124"/>
    </row>
    <row r="8841" spans="3:10" x14ac:dyDescent="0.2">
      <c r="C8841" s="209"/>
      <c r="D8841" s="209"/>
      <c r="E8841" s="209"/>
      <c r="J8841" s="124"/>
    </row>
    <row r="8842" spans="3:10" x14ac:dyDescent="0.2">
      <c r="C8842" s="209"/>
      <c r="D8842" s="209"/>
      <c r="E8842" s="209"/>
      <c r="J8842" s="124"/>
    </row>
    <row r="8843" spans="3:10" x14ac:dyDescent="0.2">
      <c r="C8843" s="209"/>
      <c r="D8843" s="209"/>
      <c r="E8843" s="209"/>
      <c r="J8843" s="124"/>
    </row>
    <row r="8844" spans="3:10" x14ac:dyDescent="0.2">
      <c r="C8844" s="209"/>
      <c r="D8844" s="209"/>
      <c r="E8844" s="209"/>
      <c r="J8844" s="124"/>
    </row>
    <row r="8845" spans="3:10" x14ac:dyDescent="0.2">
      <c r="C8845" s="209"/>
      <c r="D8845" s="209"/>
      <c r="E8845" s="209"/>
      <c r="J8845" s="124"/>
    </row>
    <row r="8846" spans="3:10" x14ac:dyDescent="0.2">
      <c r="C8846" s="209"/>
      <c r="D8846" s="209"/>
      <c r="E8846" s="209"/>
      <c r="J8846" s="124"/>
    </row>
    <row r="8847" spans="3:10" x14ac:dyDescent="0.2">
      <c r="C8847" s="209"/>
      <c r="D8847" s="209"/>
      <c r="E8847" s="209"/>
      <c r="J8847" s="124"/>
    </row>
    <row r="8848" spans="3:10" x14ac:dyDescent="0.2">
      <c r="C8848" s="209"/>
      <c r="D8848" s="209"/>
      <c r="E8848" s="209"/>
      <c r="J8848" s="124"/>
    </row>
    <row r="8849" spans="3:10" x14ac:dyDescent="0.2">
      <c r="C8849" s="209"/>
      <c r="D8849" s="209"/>
      <c r="E8849" s="209"/>
      <c r="J8849" s="124"/>
    </row>
    <row r="8850" spans="3:10" x14ac:dyDescent="0.2">
      <c r="C8850" s="209"/>
      <c r="D8850" s="209"/>
      <c r="E8850" s="209"/>
      <c r="J8850" s="124"/>
    </row>
    <row r="8851" spans="3:10" x14ac:dyDescent="0.2">
      <c r="C8851" s="209"/>
      <c r="D8851" s="209"/>
      <c r="E8851" s="209"/>
      <c r="J8851" s="124"/>
    </row>
    <row r="8852" spans="3:10" x14ac:dyDescent="0.2">
      <c r="C8852" s="209"/>
      <c r="D8852" s="209"/>
      <c r="E8852" s="209"/>
      <c r="J8852" s="124"/>
    </row>
    <row r="8853" spans="3:10" x14ac:dyDescent="0.2">
      <c r="C8853" s="209"/>
      <c r="D8853" s="209"/>
      <c r="E8853" s="209"/>
      <c r="J8853" s="124"/>
    </row>
    <row r="8854" spans="3:10" x14ac:dyDescent="0.2">
      <c r="C8854" s="209"/>
      <c r="D8854" s="209"/>
      <c r="E8854" s="209"/>
      <c r="J8854" s="124"/>
    </row>
    <row r="8855" spans="3:10" x14ac:dyDescent="0.2">
      <c r="C8855" s="209"/>
      <c r="D8855" s="209"/>
      <c r="E8855" s="209"/>
      <c r="J8855" s="124"/>
    </row>
    <row r="8856" spans="3:10" x14ac:dyDescent="0.2">
      <c r="C8856" s="209"/>
      <c r="D8856" s="209"/>
      <c r="E8856" s="209"/>
      <c r="J8856" s="124"/>
    </row>
    <row r="8857" spans="3:10" x14ac:dyDescent="0.2">
      <c r="C8857" s="209"/>
      <c r="D8857" s="209"/>
      <c r="E8857" s="209"/>
      <c r="J8857" s="124"/>
    </row>
    <row r="8858" spans="3:10" x14ac:dyDescent="0.2">
      <c r="C8858" s="209"/>
      <c r="D8858" s="209"/>
      <c r="E8858" s="209"/>
      <c r="J8858" s="124"/>
    </row>
    <row r="8859" spans="3:10" x14ac:dyDescent="0.2">
      <c r="C8859" s="209"/>
      <c r="D8859" s="209"/>
      <c r="E8859" s="209"/>
      <c r="J8859" s="124"/>
    </row>
    <row r="8860" spans="3:10" x14ac:dyDescent="0.2">
      <c r="C8860" s="209"/>
      <c r="D8860" s="209"/>
      <c r="E8860" s="209"/>
      <c r="J8860" s="124"/>
    </row>
    <row r="8861" spans="3:10" x14ac:dyDescent="0.2">
      <c r="C8861" s="209"/>
      <c r="D8861" s="209"/>
      <c r="E8861" s="209"/>
      <c r="J8861" s="124"/>
    </row>
    <row r="8862" spans="3:10" x14ac:dyDescent="0.2">
      <c r="C8862" s="209"/>
      <c r="D8862" s="209"/>
      <c r="E8862" s="209"/>
      <c r="J8862" s="124"/>
    </row>
    <row r="8863" spans="3:10" x14ac:dyDescent="0.2">
      <c r="C8863" s="209"/>
      <c r="D8863" s="209"/>
      <c r="E8863" s="209"/>
      <c r="J8863" s="124"/>
    </row>
    <row r="8864" spans="3:10" x14ac:dyDescent="0.2">
      <c r="C8864" s="209"/>
      <c r="D8864" s="209"/>
      <c r="E8864" s="209"/>
      <c r="J8864" s="124"/>
    </row>
    <row r="8865" spans="3:10" x14ac:dyDescent="0.2">
      <c r="C8865" s="209"/>
      <c r="D8865" s="209"/>
      <c r="E8865" s="209"/>
      <c r="J8865" s="124"/>
    </row>
    <row r="8866" spans="3:10" x14ac:dyDescent="0.2">
      <c r="C8866" s="209"/>
      <c r="D8866" s="209"/>
      <c r="E8866" s="209"/>
      <c r="J8866" s="124"/>
    </row>
    <row r="8867" spans="3:10" x14ac:dyDescent="0.2">
      <c r="C8867" s="209"/>
      <c r="D8867" s="209"/>
      <c r="E8867" s="209"/>
      <c r="J8867" s="124"/>
    </row>
    <row r="8868" spans="3:10" x14ac:dyDescent="0.2">
      <c r="C8868" s="209"/>
      <c r="D8868" s="209"/>
      <c r="E8868" s="209"/>
      <c r="J8868" s="124"/>
    </row>
    <row r="8869" spans="3:10" x14ac:dyDescent="0.2">
      <c r="C8869" s="209"/>
      <c r="D8869" s="209"/>
      <c r="E8869" s="209"/>
      <c r="J8869" s="124"/>
    </row>
    <row r="8870" spans="3:10" x14ac:dyDescent="0.2">
      <c r="C8870" s="209"/>
      <c r="D8870" s="209"/>
      <c r="E8870" s="209"/>
      <c r="J8870" s="124"/>
    </row>
    <row r="8871" spans="3:10" x14ac:dyDescent="0.2">
      <c r="C8871" s="209"/>
      <c r="D8871" s="209"/>
      <c r="E8871" s="209"/>
      <c r="J8871" s="124"/>
    </row>
    <row r="8872" spans="3:10" x14ac:dyDescent="0.2">
      <c r="C8872" s="209"/>
      <c r="D8872" s="209"/>
      <c r="E8872" s="209"/>
      <c r="J8872" s="124"/>
    </row>
    <row r="8873" spans="3:10" x14ac:dyDescent="0.2">
      <c r="C8873" s="209"/>
      <c r="D8873" s="209"/>
      <c r="E8873" s="209"/>
      <c r="J8873" s="124"/>
    </row>
    <row r="8874" spans="3:10" x14ac:dyDescent="0.2">
      <c r="C8874" s="209"/>
      <c r="D8874" s="209"/>
      <c r="E8874" s="209"/>
      <c r="J8874" s="124"/>
    </row>
    <row r="8875" spans="3:10" x14ac:dyDescent="0.2">
      <c r="C8875" s="209"/>
      <c r="D8875" s="209"/>
      <c r="E8875" s="209"/>
      <c r="J8875" s="124"/>
    </row>
    <row r="8876" spans="3:10" x14ac:dyDescent="0.2">
      <c r="C8876" s="209"/>
      <c r="D8876" s="209"/>
      <c r="E8876" s="209"/>
      <c r="J8876" s="124"/>
    </row>
    <row r="8877" spans="3:10" x14ac:dyDescent="0.2">
      <c r="C8877" s="209"/>
      <c r="D8877" s="209"/>
      <c r="E8877" s="209"/>
      <c r="J8877" s="124"/>
    </row>
    <row r="8878" spans="3:10" x14ac:dyDescent="0.2">
      <c r="C8878" s="209"/>
      <c r="D8878" s="209"/>
      <c r="E8878" s="209"/>
      <c r="J8878" s="124"/>
    </row>
    <row r="8879" spans="3:10" x14ac:dyDescent="0.2">
      <c r="C8879" s="209"/>
      <c r="D8879" s="209"/>
      <c r="E8879" s="209"/>
      <c r="J8879" s="124"/>
    </row>
    <row r="8880" spans="3:10" x14ac:dyDescent="0.2">
      <c r="C8880" s="209"/>
      <c r="D8880" s="209"/>
      <c r="E8880" s="209"/>
      <c r="J8880" s="124"/>
    </row>
    <row r="8881" spans="3:10" x14ac:dyDescent="0.2">
      <c r="C8881" s="209"/>
      <c r="D8881" s="209"/>
      <c r="E8881" s="209"/>
      <c r="J8881" s="124"/>
    </row>
    <row r="8882" spans="3:10" x14ac:dyDescent="0.2">
      <c r="C8882" s="209"/>
      <c r="D8882" s="209"/>
      <c r="E8882" s="209"/>
      <c r="J8882" s="124"/>
    </row>
    <row r="8883" spans="3:10" x14ac:dyDescent="0.2">
      <c r="C8883" s="209"/>
      <c r="D8883" s="209"/>
      <c r="E8883" s="209"/>
      <c r="J8883" s="124"/>
    </row>
    <row r="8884" spans="3:10" x14ac:dyDescent="0.2">
      <c r="C8884" s="209"/>
      <c r="D8884" s="209"/>
      <c r="E8884" s="209"/>
      <c r="J8884" s="124"/>
    </row>
    <row r="8885" spans="3:10" x14ac:dyDescent="0.2">
      <c r="C8885" s="209"/>
      <c r="D8885" s="209"/>
      <c r="E8885" s="209"/>
      <c r="J8885" s="124"/>
    </row>
    <row r="8886" spans="3:10" x14ac:dyDescent="0.2">
      <c r="C8886" s="209"/>
      <c r="D8886" s="209"/>
      <c r="E8886" s="209"/>
      <c r="J8886" s="124"/>
    </row>
    <row r="8887" spans="3:10" x14ac:dyDescent="0.2">
      <c r="C8887" s="209"/>
      <c r="D8887" s="209"/>
      <c r="E8887" s="209"/>
      <c r="J8887" s="124"/>
    </row>
    <row r="8888" spans="3:10" x14ac:dyDescent="0.2">
      <c r="C8888" s="209"/>
      <c r="D8888" s="209"/>
      <c r="E8888" s="209"/>
      <c r="J8888" s="124"/>
    </row>
    <row r="8889" spans="3:10" x14ac:dyDescent="0.2">
      <c r="C8889" s="209"/>
      <c r="D8889" s="209"/>
      <c r="E8889" s="209"/>
      <c r="J8889" s="124"/>
    </row>
    <row r="8890" spans="3:10" x14ac:dyDescent="0.2">
      <c r="C8890" s="209"/>
      <c r="D8890" s="209"/>
      <c r="E8890" s="209"/>
      <c r="J8890" s="124"/>
    </row>
    <row r="8891" spans="3:10" x14ac:dyDescent="0.2">
      <c r="C8891" s="209"/>
      <c r="D8891" s="209"/>
      <c r="E8891" s="209"/>
      <c r="J8891" s="124"/>
    </row>
    <row r="8892" spans="3:10" x14ac:dyDescent="0.2">
      <c r="C8892" s="209"/>
      <c r="D8892" s="209"/>
      <c r="E8892" s="209"/>
      <c r="J8892" s="124"/>
    </row>
    <row r="8893" spans="3:10" x14ac:dyDescent="0.2">
      <c r="C8893" s="209"/>
      <c r="D8893" s="209"/>
      <c r="E8893" s="209"/>
      <c r="J8893" s="124"/>
    </row>
    <row r="8894" spans="3:10" x14ac:dyDescent="0.2">
      <c r="C8894" s="209"/>
      <c r="D8894" s="209"/>
      <c r="E8894" s="209"/>
      <c r="J8894" s="124"/>
    </row>
    <row r="8895" spans="3:10" x14ac:dyDescent="0.2">
      <c r="C8895" s="209"/>
      <c r="D8895" s="209"/>
      <c r="E8895" s="209"/>
      <c r="J8895" s="124"/>
    </row>
    <row r="8896" spans="3:10" x14ac:dyDescent="0.2">
      <c r="C8896" s="209"/>
      <c r="D8896" s="209"/>
      <c r="E8896" s="209"/>
      <c r="J8896" s="124"/>
    </row>
    <row r="8897" spans="3:10" x14ac:dyDescent="0.2">
      <c r="C8897" s="209"/>
      <c r="D8897" s="209"/>
      <c r="E8897" s="209"/>
      <c r="J8897" s="124"/>
    </row>
    <row r="8898" spans="3:10" x14ac:dyDescent="0.2">
      <c r="C8898" s="209"/>
      <c r="D8898" s="209"/>
      <c r="E8898" s="209"/>
      <c r="J8898" s="124"/>
    </row>
    <row r="8899" spans="3:10" x14ac:dyDescent="0.2">
      <c r="C8899" s="209"/>
      <c r="D8899" s="209"/>
      <c r="E8899" s="209"/>
      <c r="J8899" s="124"/>
    </row>
    <row r="8900" spans="3:10" x14ac:dyDescent="0.2">
      <c r="C8900" s="209"/>
      <c r="D8900" s="209"/>
      <c r="E8900" s="209"/>
      <c r="J8900" s="124"/>
    </row>
    <row r="8901" spans="3:10" x14ac:dyDescent="0.2">
      <c r="C8901" s="209"/>
      <c r="D8901" s="209"/>
      <c r="E8901" s="209"/>
      <c r="J8901" s="124"/>
    </row>
    <row r="8902" spans="3:10" x14ac:dyDescent="0.2">
      <c r="C8902" s="209"/>
      <c r="D8902" s="209"/>
      <c r="E8902" s="209"/>
      <c r="J8902" s="124"/>
    </row>
    <row r="8903" spans="3:10" x14ac:dyDescent="0.2">
      <c r="C8903" s="209"/>
      <c r="D8903" s="209"/>
      <c r="E8903" s="209"/>
      <c r="J8903" s="124"/>
    </row>
    <row r="8904" spans="3:10" x14ac:dyDescent="0.2">
      <c r="C8904" s="209"/>
      <c r="D8904" s="209"/>
      <c r="E8904" s="209"/>
      <c r="J8904" s="124"/>
    </row>
    <row r="8905" spans="3:10" x14ac:dyDescent="0.2">
      <c r="C8905" s="209"/>
      <c r="D8905" s="209"/>
      <c r="E8905" s="209"/>
      <c r="J8905" s="124"/>
    </row>
    <row r="8906" spans="3:10" x14ac:dyDescent="0.2">
      <c r="C8906" s="209"/>
      <c r="D8906" s="209"/>
      <c r="E8906" s="209"/>
      <c r="J8906" s="124"/>
    </row>
    <row r="8907" spans="3:10" x14ac:dyDescent="0.2">
      <c r="C8907" s="209"/>
      <c r="D8907" s="209"/>
      <c r="E8907" s="209"/>
      <c r="J8907" s="124"/>
    </row>
    <row r="8908" spans="3:10" x14ac:dyDescent="0.2">
      <c r="C8908" s="209"/>
      <c r="D8908" s="209"/>
      <c r="E8908" s="209"/>
      <c r="J8908" s="124"/>
    </row>
    <row r="8909" spans="3:10" x14ac:dyDescent="0.2">
      <c r="C8909" s="209"/>
      <c r="D8909" s="209"/>
      <c r="E8909" s="209"/>
      <c r="J8909" s="124"/>
    </row>
    <row r="8910" spans="3:10" x14ac:dyDescent="0.2">
      <c r="C8910" s="209"/>
      <c r="D8910" s="209"/>
      <c r="E8910" s="209"/>
      <c r="J8910" s="124"/>
    </row>
    <row r="8911" spans="3:10" x14ac:dyDescent="0.2">
      <c r="C8911" s="209"/>
      <c r="D8911" s="209"/>
      <c r="E8911" s="209"/>
      <c r="J8911" s="124"/>
    </row>
    <row r="8912" spans="3:10" x14ac:dyDescent="0.2">
      <c r="C8912" s="209"/>
      <c r="D8912" s="209"/>
      <c r="E8912" s="209"/>
      <c r="J8912" s="124"/>
    </row>
    <row r="8913" spans="3:10" x14ac:dyDescent="0.2">
      <c r="C8913" s="209"/>
      <c r="D8913" s="209"/>
      <c r="E8913" s="209"/>
      <c r="J8913" s="124"/>
    </row>
    <row r="8914" spans="3:10" x14ac:dyDescent="0.2">
      <c r="C8914" s="209"/>
      <c r="D8914" s="209"/>
      <c r="E8914" s="209"/>
      <c r="J8914" s="124"/>
    </row>
    <row r="8915" spans="3:10" x14ac:dyDescent="0.2">
      <c r="C8915" s="209"/>
      <c r="D8915" s="209"/>
      <c r="E8915" s="209"/>
      <c r="J8915" s="124"/>
    </row>
    <row r="8916" spans="3:10" x14ac:dyDescent="0.2">
      <c r="C8916" s="209"/>
      <c r="D8916" s="209"/>
      <c r="E8916" s="209"/>
      <c r="J8916" s="124"/>
    </row>
    <row r="8917" spans="3:10" x14ac:dyDescent="0.2">
      <c r="C8917" s="209"/>
      <c r="D8917" s="209"/>
      <c r="E8917" s="209"/>
      <c r="J8917" s="124"/>
    </row>
    <row r="8918" spans="3:10" x14ac:dyDescent="0.2">
      <c r="C8918" s="209"/>
      <c r="D8918" s="209"/>
      <c r="E8918" s="209"/>
      <c r="J8918" s="124"/>
    </row>
    <row r="8919" spans="3:10" x14ac:dyDescent="0.2">
      <c r="C8919" s="209"/>
      <c r="D8919" s="209"/>
      <c r="E8919" s="209"/>
      <c r="J8919" s="124"/>
    </row>
    <row r="8920" spans="3:10" x14ac:dyDescent="0.2">
      <c r="C8920" s="209"/>
      <c r="D8920" s="209"/>
      <c r="E8920" s="209"/>
      <c r="J8920" s="124"/>
    </row>
    <row r="8921" spans="3:10" x14ac:dyDescent="0.2">
      <c r="C8921" s="209"/>
      <c r="D8921" s="209"/>
      <c r="E8921" s="209"/>
      <c r="J8921" s="124"/>
    </row>
    <row r="8922" spans="3:10" x14ac:dyDescent="0.2">
      <c r="C8922" s="209"/>
      <c r="D8922" s="209"/>
      <c r="E8922" s="209"/>
      <c r="J8922" s="124"/>
    </row>
    <row r="8923" spans="3:10" x14ac:dyDescent="0.2">
      <c r="C8923" s="209"/>
      <c r="D8923" s="209"/>
      <c r="E8923" s="209"/>
      <c r="J8923" s="124"/>
    </row>
    <row r="8924" spans="3:10" x14ac:dyDescent="0.2">
      <c r="C8924" s="209"/>
      <c r="D8924" s="209"/>
      <c r="E8924" s="209"/>
      <c r="J8924" s="124"/>
    </row>
    <row r="8925" spans="3:10" x14ac:dyDescent="0.2">
      <c r="C8925" s="209"/>
      <c r="D8925" s="209"/>
      <c r="E8925" s="209"/>
      <c r="J8925" s="124"/>
    </row>
    <row r="8926" spans="3:10" x14ac:dyDescent="0.2">
      <c r="C8926" s="209"/>
      <c r="D8926" s="209"/>
      <c r="E8926" s="209"/>
      <c r="J8926" s="124"/>
    </row>
    <row r="8927" spans="3:10" x14ac:dyDescent="0.2">
      <c r="C8927" s="209"/>
      <c r="D8927" s="209"/>
      <c r="E8927" s="209"/>
      <c r="J8927" s="124"/>
    </row>
    <row r="8928" spans="3:10" x14ac:dyDescent="0.2">
      <c r="C8928" s="209"/>
      <c r="D8928" s="209"/>
      <c r="E8928" s="209"/>
      <c r="J8928" s="124"/>
    </row>
    <row r="8929" spans="3:10" x14ac:dyDescent="0.2">
      <c r="C8929" s="209"/>
      <c r="D8929" s="209"/>
      <c r="E8929" s="209"/>
      <c r="J8929" s="124"/>
    </row>
    <row r="8930" spans="3:10" x14ac:dyDescent="0.2">
      <c r="C8930" s="209"/>
      <c r="D8930" s="209"/>
      <c r="E8930" s="209"/>
      <c r="J8930" s="124"/>
    </row>
    <row r="8931" spans="3:10" x14ac:dyDescent="0.2">
      <c r="C8931" s="209"/>
      <c r="D8931" s="209"/>
      <c r="E8931" s="209"/>
      <c r="J8931" s="124"/>
    </row>
    <row r="8932" spans="3:10" x14ac:dyDescent="0.2">
      <c r="C8932" s="209"/>
      <c r="D8932" s="209"/>
      <c r="E8932" s="209"/>
      <c r="J8932" s="124"/>
    </row>
    <row r="8933" spans="3:10" x14ac:dyDescent="0.2">
      <c r="C8933" s="209"/>
      <c r="D8933" s="209"/>
      <c r="E8933" s="209"/>
      <c r="J8933" s="124"/>
    </row>
    <row r="8934" spans="3:10" x14ac:dyDescent="0.2">
      <c r="C8934" s="209"/>
      <c r="D8934" s="209"/>
      <c r="E8934" s="209"/>
      <c r="J8934" s="124"/>
    </row>
    <row r="8935" spans="3:10" x14ac:dyDescent="0.2">
      <c r="C8935" s="209"/>
      <c r="D8935" s="209"/>
      <c r="E8935" s="209"/>
      <c r="J8935" s="124"/>
    </row>
    <row r="8936" spans="3:10" x14ac:dyDescent="0.2">
      <c r="C8936" s="209"/>
      <c r="D8936" s="209"/>
      <c r="E8936" s="209"/>
      <c r="J8936" s="124"/>
    </row>
    <row r="8937" spans="3:10" x14ac:dyDescent="0.2">
      <c r="C8937" s="209"/>
      <c r="D8937" s="209"/>
      <c r="E8937" s="209"/>
      <c r="J8937" s="124"/>
    </row>
    <row r="8938" spans="3:10" x14ac:dyDescent="0.2">
      <c r="C8938" s="209"/>
      <c r="D8938" s="209"/>
      <c r="E8938" s="209"/>
      <c r="J8938" s="124"/>
    </row>
    <row r="8939" spans="3:10" x14ac:dyDescent="0.2">
      <c r="C8939" s="209"/>
      <c r="D8939" s="209"/>
      <c r="E8939" s="209"/>
      <c r="J8939" s="124"/>
    </row>
    <row r="8940" spans="3:10" x14ac:dyDescent="0.2">
      <c r="C8940" s="209"/>
      <c r="D8940" s="209"/>
      <c r="E8940" s="209"/>
      <c r="J8940" s="124"/>
    </row>
    <row r="8941" spans="3:10" x14ac:dyDescent="0.2">
      <c r="C8941" s="209"/>
      <c r="D8941" s="209"/>
      <c r="E8941" s="209"/>
      <c r="J8941" s="124"/>
    </row>
    <row r="8942" spans="3:10" x14ac:dyDescent="0.2">
      <c r="C8942" s="209"/>
      <c r="D8942" s="209"/>
      <c r="E8942" s="209"/>
      <c r="J8942" s="124"/>
    </row>
    <row r="8943" spans="3:10" x14ac:dyDescent="0.2">
      <c r="C8943" s="209"/>
      <c r="D8943" s="209"/>
      <c r="E8943" s="209"/>
      <c r="J8943" s="124"/>
    </row>
    <row r="8944" spans="3:10" x14ac:dyDescent="0.2">
      <c r="C8944" s="209"/>
      <c r="D8944" s="209"/>
      <c r="E8944" s="209"/>
      <c r="J8944" s="124"/>
    </row>
    <row r="8945" spans="3:10" x14ac:dyDescent="0.2">
      <c r="C8945" s="209"/>
      <c r="D8945" s="209"/>
      <c r="E8945" s="209"/>
      <c r="J8945" s="124"/>
    </row>
    <row r="8946" spans="3:10" x14ac:dyDescent="0.2">
      <c r="C8946" s="209"/>
      <c r="D8946" s="209"/>
      <c r="E8946" s="209"/>
      <c r="J8946" s="124"/>
    </row>
    <row r="8947" spans="3:10" x14ac:dyDescent="0.2">
      <c r="C8947" s="209"/>
      <c r="D8947" s="209"/>
      <c r="E8947" s="209"/>
      <c r="J8947" s="124"/>
    </row>
    <row r="8948" spans="3:10" x14ac:dyDescent="0.2">
      <c r="C8948" s="209"/>
      <c r="D8948" s="209"/>
      <c r="E8948" s="209"/>
      <c r="J8948" s="124"/>
    </row>
    <row r="8949" spans="3:10" x14ac:dyDescent="0.2">
      <c r="C8949" s="209"/>
      <c r="D8949" s="209"/>
      <c r="E8949" s="209"/>
      <c r="J8949" s="124"/>
    </row>
    <row r="8950" spans="3:10" x14ac:dyDescent="0.2">
      <c r="C8950" s="209"/>
      <c r="D8950" s="209"/>
      <c r="E8950" s="209"/>
      <c r="J8950" s="124"/>
    </row>
    <row r="8951" spans="3:10" x14ac:dyDescent="0.2">
      <c r="C8951" s="209"/>
      <c r="D8951" s="209"/>
      <c r="E8951" s="209"/>
      <c r="J8951" s="124"/>
    </row>
    <row r="8952" spans="3:10" x14ac:dyDescent="0.2">
      <c r="C8952" s="209"/>
      <c r="D8952" s="209"/>
      <c r="E8952" s="209"/>
      <c r="J8952" s="124"/>
    </row>
    <row r="8953" spans="3:10" x14ac:dyDescent="0.2">
      <c r="C8953" s="209"/>
      <c r="D8953" s="209"/>
      <c r="E8953" s="209"/>
      <c r="J8953" s="124"/>
    </row>
    <row r="8954" spans="3:10" x14ac:dyDescent="0.2">
      <c r="C8954" s="209"/>
      <c r="D8954" s="209"/>
      <c r="E8954" s="209"/>
      <c r="J8954" s="124"/>
    </row>
    <row r="8955" spans="3:10" x14ac:dyDescent="0.2">
      <c r="C8955" s="209"/>
      <c r="D8955" s="209"/>
      <c r="E8955" s="209"/>
      <c r="J8955" s="124"/>
    </row>
    <row r="8956" spans="3:10" x14ac:dyDescent="0.2">
      <c r="C8956" s="209"/>
      <c r="D8956" s="209"/>
      <c r="E8956" s="209"/>
      <c r="J8956" s="124"/>
    </row>
    <row r="8957" spans="3:10" x14ac:dyDescent="0.2">
      <c r="C8957" s="209"/>
      <c r="D8957" s="209"/>
      <c r="E8957" s="209"/>
      <c r="J8957" s="124"/>
    </row>
    <row r="8958" spans="3:10" x14ac:dyDescent="0.2">
      <c r="C8958" s="209"/>
      <c r="D8958" s="209"/>
      <c r="E8958" s="209"/>
      <c r="J8958" s="124"/>
    </row>
    <row r="8959" spans="3:10" x14ac:dyDescent="0.2">
      <c r="C8959" s="209"/>
      <c r="D8959" s="209"/>
      <c r="E8959" s="209"/>
      <c r="J8959" s="124"/>
    </row>
    <row r="8960" spans="3:10" x14ac:dyDescent="0.2">
      <c r="C8960" s="209"/>
      <c r="D8960" s="209"/>
      <c r="E8960" s="209"/>
      <c r="J8960" s="124"/>
    </row>
    <row r="8961" spans="3:10" x14ac:dyDescent="0.2">
      <c r="C8961" s="209"/>
      <c r="D8961" s="209"/>
      <c r="E8961" s="209"/>
      <c r="J8961" s="124"/>
    </row>
    <row r="8962" spans="3:10" x14ac:dyDescent="0.2">
      <c r="C8962" s="209"/>
      <c r="D8962" s="209"/>
      <c r="E8962" s="209"/>
      <c r="J8962" s="124"/>
    </row>
    <row r="8963" spans="3:10" x14ac:dyDescent="0.2">
      <c r="C8963" s="209"/>
      <c r="D8963" s="209"/>
      <c r="E8963" s="209"/>
      <c r="J8963" s="124"/>
    </row>
    <row r="8964" spans="3:10" x14ac:dyDescent="0.2">
      <c r="C8964" s="209"/>
      <c r="D8964" s="209"/>
      <c r="E8964" s="209"/>
      <c r="J8964" s="124"/>
    </row>
    <row r="8965" spans="3:10" x14ac:dyDescent="0.2">
      <c r="C8965" s="209"/>
      <c r="D8965" s="209"/>
      <c r="E8965" s="209"/>
      <c r="J8965" s="124"/>
    </row>
    <row r="8966" spans="3:10" x14ac:dyDescent="0.2">
      <c r="C8966" s="209"/>
      <c r="D8966" s="209"/>
      <c r="E8966" s="209"/>
      <c r="J8966" s="124"/>
    </row>
    <row r="8967" spans="3:10" x14ac:dyDescent="0.2">
      <c r="C8967" s="209"/>
      <c r="D8967" s="209"/>
      <c r="E8967" s="209"/>
      <c r="J8967" s="124"/>
    </row>
    <row r="8968" spans="3:10" x14ac:dyDescent="0.2">
      <c r="C8968" s="209"/>
      <c r="D8968" s="209"/>
      <c r="E8968" s="209"/>
      <c r="J8968" s="124"/>
    </row>
    <row r="8969" spans="3:10" x14ac:dyDescent="0.2">
      <c r="C8969" s="209"/>
      <c r="D8969" s="209"/>
      <c r="E8969" s="209"/>
      <c r="J8969" s="124"/>
    </row>
    <row r="8970" spans="3:10" x14ac:dyDescent="0.2">
      <c r="C8970" s="209"/>
      <c r="D8970" s="209"/>
      <c r="E8970" s="209"/>
      <c r="J8970" s="124"/>
    </row>
    <row r="8971" spans="3:10" x14ac:dyDescent="0.2">
      <c r="C8971" s="209"/>
      <c r="D8971" s="209"/>
      <c r="E8971" s="209"/>
      <c r="J8971" s="124"/>
    </row>
    <row r="8972" spans="3:10" x14ac:dyDescent="0.2">
      <c r="C8972" s="209"/>
      <c r="D8972" s="209"/>
      <c r="E8972" s="209"/>
      <c r="J8972" s="124"/>
    </row>
    <row r="8973" spans="3:10" x14ac:dyDescent="0.2">
      <c r="C8973" s="209"/>
      <c r="D8973" s="209"/>
      <c r="E8973" s="209"/>
      <c r="J8973" s="124"/>
    </row>
    <row r="8974" spans="3:10" x14ac:dyDescent="0.2">
      <c r="C8974" s="209"/>
      <c r="D8974" s="209"/>
      <c r="E8974" s="209"/>
      <c r="J8974" s="124"/>
    </row>
    <row r="8975" spans="3:10" x14ac:dyDescent="0.2">
      <c r="C8975" s="209"/>
      <c r="D8975" s="209"/>
      <c r="E8975" s="209"/>
      <c r="J8975" s="124"/>
    </row>
    <row r="8976" spans="3:10" x14ac:dyDescent="0.2">
      <c r="C8976" s="209"/>
      <c r="D8976" s="209"/>
      <c r="E8976" s="209"/>
      <c r="J8976" s="124"/>
    </row>
    <row r="8977" spans="3:10" x14ac:dyDescent="0.2">
      <c r="C8977" s="209"/>
      <c r="D8977" s="209"/>
      <c r="E8977" s="209"/>
      <c r="J8977" s="124"/>
    </row>
    <row r="8978" spans="3:10" x14ac:dyDescent="0.2">
      <c r="C8978" s="209"/>
      <c r="D8978" s="209"/>
      <c r="E8978" s="209"/>
      <c r="J8978" s="124"/>
    </row>
    <row r="8979" spans="3:10" x14ac:dyDescent="0.2">
      <c r="C8979" s="209"/>
      <c r="D8979" s="209"/>
      <c r="E8979" s="209"/>
      <c r="J8979" s="124"/>
    </row>
    <row r="8980" spans="3:10" x14ac:dyDescent="0.2">
      <c r="C8980" s="209"/>
      <c r="D8980" s="209"/>
      <c r="E8980" s="209"/>
      <c r="J8980" s="124"/>
    </row>
    <row r="8981" spans="3:10" x14ac:dyDescent="0.2">
      <c r="C8981" s="209"/>
      <c r="D8981" s="209"/>
      <c r="E8981" s="209"/>
      <c r="J8981" s="124"/>
    </row>
    <row r="8982" spans="3:10" x14ac:dyDescent="0.2">
      <c r="C8982" s="209"/>
      <c r="D8982" s="209"/>
      <c r="E8982" s="209"/>
      <c r="J8982" s="124"/>
    </row>
    <row r="8983" spans="3:10" x14ac:dyDescent="0.2">
      <c r="C8983" s="209"/>
      <c r="D8983" s="209"/>
      <c r="E8983" s="209"/>
      <c r="J8983" s="124"/>
    </row>
    <row r="8984" spans="3:10" x14ac:dyDescent="0.2">
      <c r="C8984" s="209"/>
      <c r="D8984" s="209"/>
      <c r="E8984" s="209"/>
      <c r="J8984" s="124"/>
    </row>
    <row r="8985" spans="3:10" x14ac:dyDescent="0.2">
      <c r="C8985" s="209"/>
      <c r="D8985" s="209"/>
      <c r="E8985" s="209"/>
      <c r="J8985" s="124"/>
    </row>
    <row r="8986" spans="3:10" x14ac:dyDescent="0.2">
      <c r="C8986" s="209"/>
      <c r="D8986" s="209"/>
      <c r="E8986" s="209"/>
      <c r="J8986" s="124"/>
    </row>
    <row r="8987" spans="3:10" x14ac:dyDescent="0.2">
      <c r="C8987" s="209"/>
      <c r="D8987" s="209"/>
      <c r="E8987" s="209"/>
      <c r="J8987" s="124"/>
    </row>
    <row r="8988" spans="3:10" x14ac:dyDescent="0.2">
      <c r="C8988" s="209"/>
      <c r="D8988" s="209"/>
      <c r="E8988" s="209"/>
      <c r="J8988" s="124"/>
    </row>
    <row r="8989" spans="3:10" x14ac:dyDescent="0.2">
      <c r="C8989" s="209"/>
      <c r="D8989" s="209"/>
      <c r="E8989" s="209"/>
      <c r="J8989" s="124"/>
    </row>
    <row r="8990" spans="3:10" x14ac:dyDescent="0.2">
      <c r="C8990" s="209"/>
      <c r="D8990" s="209"/>
      <c r="E8990" s="209"/>
      <c r="J8990" s="124"/>
    </row>
    <row r="8991" spans="3:10" x14ac:dyDescent="0.2">
      <c r="C8991" s="209"/>
      <c r="D8991" s="209"/>
      <c r="E8991" s="209"/>
      <c r="J8991" s="124"/>
    </row>
    <row r="8992" spans="3:10" x14ac:dyDescent="0.2">
      <c r="C8992" s="209"/>
      <c r="D8992" s="209"/>
      <c r="E8992" s="209"/>
      <c r="J8992" s="124"/>
    </row>
    <row r="8993" spans="3:10" x14ac:dyDescent="0.2">
      <c r="C8993" s="209"/>
      <c r="D8993" s="209"/>
      <c r="E8993" s="209"/>
      <c r="J8993" s="124"/>
    </row>
    <row r="8994" spans="3:10" x14ac:dyDescent="0.2">
      <c r="C8994" s="209"/>
      <c r="D8994" s="209"/>
      <c r="E8994" s="209"/>
      <c r="J8994" s="124"/>
    </row>
    <row r="8995" spans="3:10" x14ac:dyDescent="0.2">
      <c r="C8995" s="209"/>
      <c r="D8995" s="209"/>
      <c r="E8995" s="209"/>
      <c r="J8995" s="124"/>
    </row>
    <row r="8996" spans="3:10" x14ac:dyDescent="0.2">
      <c r="C8996" s="209"/>
      <c r="D8996" s="209"/>
      <c r="E8996" s="209"/>
      <c r="J8996" s="124"/>
    </row>
    <row r="8997" spans="3:10" x14ac:dyDescent="0.2">
      <c r="C8997" s="209"/>
      <c r="D8997" s="209"/>
      <c r="E8997" s="209"/>
      <c r="J8997" s="124"/>
    </row>
    <row r="8998" spans="3:10" x14ac:dyDescent="0.2">
      <c r="C8998" s="209"/>
      <c r="D8998" s="209"/>
      <c r="E8998" s="209"/>
      <c r="J8998" s="124"/>
    </row>
    <row r="8999" spans="3:10" x14ac:dyDescent="0.2">
      <c r="C8999" s="209"/>
      <c r="D8999" s="209"/>
      <c r="E8999" s="209"/>
      <c r="J8999" s="124"/>
    </row>
    <row r="9000" spans="3:10" x14ac:dyDescent="0.2">
      <c r="C9000" s="209"/>
      <c r="D9000" s="209"/>
      <c r="E9000" s="209"/>
      <c r="J9000" s="124"/>
    </row>
    <row r="9001" spans="3:10" x14ac:dyDescent="0.2">
      <c r="C9001" s="209"/>
      <c r="D9001" s="209"/>
      <c r="E9001" s="209"/>
      <c r="J9001" s="124"/>
    </row>
    <row r="9002" spans="3:10" x14ac:dyDescent="0.2">
      <c r="C9002" s="209"/>
      <c r="D9002" s="209"/>
      <c r="E9002" s="209"/>
      <c r="J9002" s="124"/>
    </row>
    <row r="9003" spans="3:10" x14ac:dyDescent="0.2">
      <c r="C9003" s="209"/>
      <c r="D9003" s="209"/>
      <c r="E9003" s="209"/>
      <c r="J9003" s="124"/>
    </row>
    <row r="9004" spans="3:10" x14ac:dyDescent="0.2">
      <c r="C9004" s="209"/>
      <c r="D9004" s="209"/>
      <c r="E9004" s="209"/>
      <c r="J9004" s="124"/>
    </row>
    <row r="9005" spans="3:10" x14ac:dyDescent="0.2">
      <c r="C9005" s="209"/>
      <c r="D9005" s="209"/>
      <c r="E9005" s="209"/>
      <c r="J9005" s="124"/>
    </row>
    <row r="9006" spans="3:10" x14ac:dyDescent="0.2">
      <c r="C9006" s="209"/>
      <c r="D9006" s="209"/>
      <c r="E9006" s="209"/>
      <c r="J9006" s="124"/>
    </row>
    <row r="9007" spans="3:10" x14ac:dyDescent="0.2">
      <c r="C9007" s="209"/>
      <c r="D9007" s="209"/>
      <c r="E9007" s="209"/>
      <c r="J9007" s="124"/>
    </row>
    <row r="9008" spans="3:10" x14ac:dyDescent="0.2">
      <c r="C9008" s="209"/>
      <c r="D9008" s="209"/>
      <c r="E9008" s="209"/>
      <c r="J9008" s="124"/>
    </row>
    <row r="9009" spans="3:10" x14ac:dyDescent="0.2">
      <c r="C9009" s="209"/>
      <c r="D9009" s="209"/>
      <c r="E9009" s="209"/>
      <c r="J9009" s="124"/>
    </row>
    <row r="9010" spans="3:10" x14ac:dyDescent="0.2">
      <c r="C9010" s="209"/>
      <c r="D9010" s="209"/>
      <c r="E9010" s="209"/>
      <c r="J9010" s="124"/>
    </row>
    <row r="9011" spans="3:10" x14ac:dyDescent="0.2">
      <c r="C9011" s="209"/>
      <c r="D9011" s="209"/>
      <c r="E9011" s="209"/>
      <c r="J9011" s="124"/>
    </row>
    <row r="9012" spans="3:10" x14ac:dyDescent="0.2">
      <c r="C9012" s="209"/>
      <c r="D9012" s="209"/>
      <c r="E9012" s="209"/>
      <c r="J9012" s="124"/>
    </row>
    <row r="9013" spans="3:10" x14ac:dyDescent="0.2">
      <c r="C9013" s="209"/>
      <c r="D9013" s="209"/>
      <c r="E9013" s="209"/>
      <c r="J9013" s="124"/>
    </row>
    <row r="9014" spans="3:10" x14ac:dyDescent="0.2">
      <c r="C9014" s="209"/>
      <c r="D9014" s="209"/>
      <c r="E9014" s="209"/>
      <c r="J9014" s="124"/>
    </row>
    <row r="9015" spans="3:10" x14ac:dyDescent="0.2">
      <c r="C9015" s="209"/>
      <c r="D9015" s="209"/>
      <c r="E9015" s="209"/>
      <c r="J9015" s="124"/>
    </row>
    <row r="9016" spans="3:10" x14ac:dyDescent="0.2">
      <c r="C9016" s="209"/>
      <c r="D9016" s="209"/>
      <c r="E9016" s="209"/>
      <c r="J9016" s="124"/>
    </row>
    <row r="9017" spans="3:10" x14ac:dyDescent="0.2">
      <c r="C9017" s="209"/>
      <c r="D9017" s="209"/>
      <c r="E9017" s="209"/>
      <c r="J9017" s="124"/>
    </row>
    <row r="9018" spans="3:10" x14ac:dyDescent="0.2">
      <c r="C9018" s="209"/>
      <c r="D9018" s="209"/>
      <c r="E9018" s="209"/>
      <c r="J9018" s="124"/>
    </row>
    <row r="9019" spans="3:10" x14ac:dyDescent="0.2">
      <c r="C9019" s="209"/>
      <c r="D9019" s="209"/>
      <c r="E9019" s="209"/>
      <c r="J9019" s="124"/>
    </row>
    <row r="9020" spans="3:10" x14ac:dyDescent="0.2">
      <c r="C9020" s="209"/>
      <c r="D9020" s="209"/>
      <c r="E9020" s="209"/>
      <c r="J9020" s="124"/>
    </row>
    <row r="9021" spans="3:10" x14ac:dyDescent="0.2">
      <c r="C9021" s="209"/>
      <c r="D9021" s="209"/>
      <c r="E9021" s="209"/>
      <c r="J9021" s="124"/>
    </row>
    <row r="9022" spans="3:10" x14ac:dyDescent="0.2">
      <c r="C9022" s="209"/>
      <c r="D9022" s="209"/>
      <c r="E9022" s="209"/>
      <c r="J9022" s="124"/>
    </row>
    <row r="9023" spans="3:10" x14ac:dyDescent="0.2">
      <c r="C9023" s="209"/>
      <c r="D9023" s="209"/>
      <c r="E9023" s="209"/>
      <c r="J9023" s="124"/>
    </row>
    <row r="9024" spans="3:10" x14ac:dyDescent="0.2">
      <c r="C9024" s="209"/>
      <c r="D9024" s="209"/>
      <c r="E9024" s="209"/>
      <c r="J9024" s="124"/>
    </row>
    <row r="9025" spans="3:10" x14ac:dyDescent="0.2">
      <c r="C9025" s="209"/>
      <c r="D9025" s="209"/>
      <c r="E9025" s="209"/>
      <c r="J9025" s="124"/>
    </row>
    <row r="9026" spans="3:10" x14ac:dyDescent="0.2">
      <c r="C9026" s="209"/>
      <c r="D9026" s="209"/>
      <c r="E9026" s="209"/>
      <c r="J9026" s="124"/>
    </row>
    <row r="9027" spans="3:10" x14ac:dyDescent="0.2">
      <c r="C9027" s="209"/>
      <c r="D9027" s="209"/>
      <c r="E9027" s="209"/>
      <c r="J9027" s="124"/>
    </row>
    <row r="9028" spans="3:10" x14ac:dyDescent="0.2">
      <c r="C9028" s="209"/>
      <c r="D9028" s="209"/>
      <c r="E9028" s="209"/>
      <c r="J9028" s="124"/>
    </row>
    <row r="9029" spans="3:10" x14ac:dyDescent="0.2">
      <c r="C9029" s="209"/>
      <c r="D9029" s="209"/>
      <c r="E9029" s="209"/>
      <c r="J9029" s="124"/>
    </row>
    <row r="9030" spans="3:10" x14ac:dyDescent="0.2">
      <c r="C9030" s="209"/>
      <c r="D9030" s="209"/>
      <c r="E9030" s="209"/>
      <c r="J9030" s="124"/>
    </row>
    <row r="9031" spans="3:10" x14ac:dyDescent="0.2">
      <c r="C9031" s="209"/>
      <c r="D9031" s="209"/>
      <c r="E9031" s="209"/>
      <c r="J9031" s="124"/>
    </row>
    <row r="9032" spans="3:10" x14ac:dyDescent="0.2">
      <c r="C9032" s="209"/>
      <c r="D9032" s="209"/>
      <c r="E9032" s="209"/>
      <c r="J9032" s="124"/>
    </row>
    <row r="9033" spans="3:10" x14ac:dyDescent="0.2">
      <c r="C9033" s="209"/>
      <c r="D9033" s="209"/>
      <c r="E9033" s="209"/>
      <c r="J9033" s="124"/>
    </row>
    <row r="9034" spans="3:10" x14ac:dyDescent="0.2">
      <c r="C9034" s="209"/>
      <c r="D9034" s="209"/>
      <c r="E9034" s="209"/>
      <c r="J9034" s="124"/>
    </row>
    <row r="9035" spans="3:10" x14ac:dyDescent="0.2">
      <c r="C9035" s="209"/>
      <c r="D9035" s="209"/>
      <c r="E9035" s="209"/>
      <c r="J9035" s="124"/>
    </row>
    <row r="9036" spans="3:10" x14ac:dyDescent="0.2">
      <c r="C9036" s="209"/>
      <c r="D9036" s="209"/>
      <c r="E9036" s="209"/>
      <c r="J9036" s="124"/>
    </row>
    <row r="9037" spans="3:10" x14ac:dyDescent="0.2">
      <c r="C9037" s="209"/>
      <c r="D9037" s="209"/>
      <c r="E9037" s="209"/>
      <c r="J9037" s="124"/>
    </row>
    <row r="9038" spans="3:10" x14ac:dyDescent="0.2">
      <c r="C9038" s="209"/>
      <c r="D9038" s="209"/>
      <c r="E9038" s="209"/>
      <c r="J9038" s="124"/>
    </row>
    <row r="9039" spans="3:10" x14ac:dyDescent="0.2">
      <c r="C9039" s="209"/>
      <c r="D9039" s="209"/>
      <c r="E9039" s="209"/>
      <c r="J9039" s="124"/>
    </row>
    <row r="9040" spans="3:10" x14ac:dyDescent="0.2">
      <c r="C9040" s="209"/>
      <c r="D9040" s="209"/>
      <c r="E9040" s="209"/>
      <c r="J9040" s="124"/>
    </row>
    <row r="9041" spans="3:10" x14ac:dyDescent="0.2">
      <c r="C9041" s="209"/>
      <c r="D9041" s="209"/>
      <c r="E9041" s="209"/>
      <c r="J9041" s="124"/>
    </row>
    <row r="9042" spans="3:10" x14ac:dyDescent="0.2">
      <c r="C9042" s="209"/>
      <c r="D9042" s="209"/>
      <c r="E9042" s="209"/>
      <c r="J9042" s="124"/>
    </row>
    <row r="9043" spans="3:10" x14ac:dyDescent="0.2">
      <c r="C9043" s="209"/>
      <c r="D9043" s="209"/>
      <c r="E9043" s="209"/>
      <c r="J9043" s="124"/>
    </row>
    <row r="9044" spans="3:10" x14ac:dyDescent="0.2">
      <c r="C9044" s="209"/>
      <c r="D9044" s="209"/>
      <c r="E9044" s="209"/>
      <c r="J9044" s="124"/>
    </row>
    <row r="9045" spans="3:10" x14ac:dyDescent="0.2">
      <c r="C9045" s="209"/>
      <c r="D9045" s="209"/>
      <c r="E9045" s="209"/>
      <c r="J9045" s="124"/>
    </row>
    <row r="9046" spans="3:10" x14ac:dyDescent="0.2">
      <c r="C9046" s="209"/>
      <c r="D9046" s="209"/>
      <c r="E9046" s="209"/>
      <c r="J9046" s="124"/>
    </row>
    <row r="9047" spans="3:10" x14ac:dyDescent="0.2">
      <c r="C9047" s="209"/>
      <c r="D9047" s="209"/>
      <c r="E9047" s="209"/>
      <c r="J9047" s="124"/>
    </row>
    <row r="9048" spans="3:10" x14ac:dyDescent="0.2">
      <c r="C9048" s="209"/>
      <c r="D9048" s="209"/>
      <c r="E9048" s="209"/>
      <c r="J9048" s="124"/>
    </row>
    <row r="9049" spans="3:10" x14ac:dyDescent="0.2">
      <c r="C9049" s="209"/>
      <c r="D9049" s="209"/>
      <c r="E9049" s="209"/>
      <c r="J9049" s="124"/>
    </row>
    <row r="9050" spans="3:10" x14ac:dyDescent="0.2">
      <c r="C9050" s="209"/>
      <c r="D9050" s="209"/>
      <c r="E9050" s="209"/>
      <c r="J9050" s="124"/>
    </row>
    <row r="9051" spans="3:10" x14ac:dyDescent="0.2">
      <c r="C9051" s="209"/>
      <c r="D9051" s="209"/>
      <c r="E9051" s="209"/>
      <c r="J9051" s="124"/>
    </row>
    <row r="9052" spans="3:10" x14ac:dyDescent="0.2">
      <c r="C9052" s="209"/>
      <c r="D9052" s="209"/>
      <c r="E9052" s="209"/>
      <c r="J9052" s="124"/>
    </row>
    <row r="9053" spans="3:10" x14ac:dyDescent="0.2">
      <c r="C9053" s="209"/>
      <c r="D9053" s="209"/>
      <c r="E9053" s="209"/>
      <c r="J9053" s="124"/>
    </row>
    <row r="9054" spans="3:10" x14ac:dyDescent="0.2">
      <c r="C9054" s="209"/>
      <c r="D9054" s="209"/>
      <c r="E9054" s="209"/>
      <c r="J9054" s="124"/>
    </row>
    <row r="9055" spans="3:10" x14ac:dyDescent="0.2">
      <c r="C9055" s="209"/>
      <c r="D9055" s="209"/>
      <c r="E9055" s="209"/>
      <c r="J9055" s="124"/>
    </row>
    <row r="9056" spans="3:10" x14ac:dyDescent="0.2">
      <c r="C9056" s="209"/>
      <c r="D9056" s="209"/>
      <c r="E9056" s="209"/>
      <c r="J9056" s="124"/>
    </row>
    <row r="9057" spans="3:10" x14ac:dyDescent="0.2">
      <c r="C9057" s="209"/>
      <c r="D9057" s="209"/>
      <c r="E9057" s="209"/>
      <c r="J9057" s="124"/>
    </row>
    <row r="9058" spans="3:10" x14ac:dyDescent="0.2">
      <c r="C9058" s="209"/>
      <c r="D9058" s="209"/>
      <c r="E9058" s="209"/>
      <c r="J9058" s="124"/>
    </row>
    <row r="9059" spans="3:10" x14ac:dyDescent="0.2">
      <c r="C9059" s="209"/>
      <c r="D9059" s="209"/>
      <c r="E9059" s="209"/>
      <c r="J9059" s="124"/>
    </row>
    <row r="9060" spans="3:10" x14ac:dyDescent="0.2">
      <c r="C9060" s="209"/>
      <c r="D9060" s="209"/>
      <c r="E9060" s="209"/>
      <c r="J9060" s="124"/>
    </row>
    <row r="9061" spans="3:10" x14ac:dyDescent="0.2">
      <c r="C9061" s="209"/>
      <c r="D9061" s="209"/>
      <c r="E9061" s="209"/>
      <c r="J9061" s="124"/>
    </row>
    <row r="9062" spans="3:10" x14ac:dyDescent="0.2">
      <c r="C9062" s="209"/>
      <c r="D9062" s="209"/>
      <c r="E9062" s="209"/>
      <c r="J9062" s="124"/>
    </row>
    <row r="9063" spans="3:10" x14ac:dyDescent="0.2">
      <c r="C9063" s="209"/>
      <c r="D9063" s="209"/>
      <c r="E9063" s="209"/>
      <c r="J9063" s="124"/>
    </row>
    <row r="9064" spans="3:10" x14ac:dyDescent="0.2">
      <c r="C9064" s="209"/>
      <c r="D9064" s="209"/>
      <c r="E9064" s="209"/>
      <c r="J9064" s="124"/>
    </row>
    <row r="9065" spans="3:10" x14ac:dyDescent="0.2">
      <c r="C9065" s="209"/>
      <c r="D9065" s="209"/>
      <c r="E9065" s="209"/>
      <c r="J9065" s="124"/>
    </row>
    <row r="9066" spans="3:10" x14ac:dyDescent="0.2">
      <c r="C9066" s="209"/>
      <c r="D9066" s="209"/>
      <c r="E9066" s="209"/>
      <c r="J9066" s="124"/>
    </row>
    <row r="9067" spans="3:10" x14ac:dyDescent="0.2">
      <c r="C9067" s="209"/>
      <c r="D9067" s="209"/>
      <c r="E9067" s="209"/>
      <c r="J9067" s="124"/>
    </row>
    <row r="9068" spans="3:10" x14ac:dyDescent="0.2">
      <c r="C9068" s="209"/>
      <c r="D9068" s="209"/>
      <c r="E9068" s="209"/>
      <c r="J9068" s="124"/>
    </row>
    <row r="9069" spans="3:10" x14ac:dyDescent="0.2">
      <c r="C9069" s="209"/>
      <c r="D9069" s="209"/>
      <c r="E9069" s="209"/>
      <c r="J9069" s="124"/>
    </row>
    <row r="9070" spans="3:10" x14ac:dyDescent="0.2">
      <c r="C9070" s="209"/>
      <c r="D9070" s="209"/>
      <c r="E9070" s="209"/>
      <c r="J9070" s="124"/>
    </row>
    <row r="9071" spans="3:10" x14ac:dyDescent="0.2">
      <c r="C9071" s="209"/>
      <c r="D9071" s="209"/>
      <c r="E9071" s="209"/>
      <c r="J9071" s="124"/>
    </row>
    <row r="9072" spans="3:10" x14ac:dyDescent="0.2">
      <c r="C9072" s="209"/>
      <c r="D9072" s="209"/>
      <c r="E9072" s="209"/>
      <c r="J9072" s="124"/>
    </row>
    <row r="9073" spans="3:10" x14ac:dyDescent="0.2">
      <c r="C9073" s="209"/>
      <c r="D9073" s="209"/>
      <c r="E9073" s="209"/>
      <c r="J9073" s="124"/>
    </row>
    <row r="9074" spans="3:10" x14ac:dyDescent="0.2">
      <c r="C9074" s="209"/>
      <c r="D9074" s="209"/>
      <c r="E9074" s="209"/>
      <c r="J9074" s="124"/>
    </row>
    <row r="9075" spans="3:10" x14ac:dyDescent="0.2">
      <c r="C9075" s="209"/>
      <c r="D9075" s="209"/>
      <c r="E9075" s="209"/>
      <c r="J9075" s="124"/>
    </row>
    <row r="9076" spans="3:10" x14ac:dyDescent="0.2">
      <c r="C9076" s="209"/>
      <c r="D9076" s="209"/>
      <c r="E9076" s="209"/>
      <c r="J9076" s="124"/>
    </row>
    <row r="9077" spans="3:10" x14ac:dyDescent="0.2">
      <c r="C9077" s="209"/>
      <c r="D9077" s="209"/>
      <c r="E9077" s="209"/>
      <c r="J9077" s="124"/>
    </row>
    <row r="9078" spans="3:10" x14ac:dyDescent="0.2">
      <c r="C9078" s="209"/>
      <c r="D9078" s="209"/>
      <c r="E9078" s="209"/>
      <c r="J9078" s="124"/>
    </row>
    <row r="9079" spans="3:10" x14ac:dyDescent="0.2">
      <c r="C9079" s="209"/>
      <c r="D9079" s="209"/>
      <c r="E9079" s="209"/>
      <c r="J9079" s="124"/>
    </row>
    <row r="9080" spans="3:10" x14ac:dyDescent="0.2">
      <c r="C9080" s="209"/>
      <c r="D9080" s="209"/>
      <c r="E9080" s="209"/>
      <c r="J9080" s="124"/>
    </row>
    <row r="9081" spans="3:10" x14ac:dyDescent="0.2">
      <c r="C9081" s="209"/>
      <c r="D9081" s="209"/>
      <c r="E9081" s="209"/>
      <c r="J9081" s="124"/>
    </row>
    <row r="9082" spans="3:10" x14ac:dyDescent="0.2">
      <c r="C9082" s="209"/>
      <c r="D9082" s="209"/>
      <c r="E9082" s="209"/>
      <c r="J9082" s="124"/>
    </row>
    <row r="9083" spans="3:10" x14ac:dyDescent="0.2">
      <c r="C9083" s="209"/>
      <c r="D9083" s="209"/>
      <c r="E9083" s="209"/>
      <c r="J9083" s="124"/>
    </row>
    <row r="9084" spans="3:10" x14ac:dyDescent="0.2">
      <c r="C9084" s="209"/>
      <c r="D9084" s="209"/>
      <c r="E9084" s="209"/>
      <c r="J9084" s="124"/>
    </row>
    <row r="9085" spans="3:10" x14ac:dyDescent="0.2">
      <c r="C9085" s="209"/>
      <c r="D9085" s="209"/>
      <c r="E9085" s="209"/>
      <c r="J9085" s="124"/>
    </row>
    <row r="9086" spans="3:10" x14ac:dyDescent="0.2">
      <c r="C9086" s="209"/>
      <c r="D9086" s="209"/>
      <c r="E9086" s="209"/>
      <c r="J9086" s="124"/>
    </row>
    <row r="9087" spans="3:10" x14ac:dyDescent="0.2">
      <c r="C9087" s="209"/>
      <c r="D9087" s="209"/>
      <c r="E9087" s="209"/>
      <c r="J9087" s="124"/>
    </row>
    <row r="9088" spans="3:10" x14ac:dyDescent="0.2">
      <c r="C9088" s="209"/>
      <c r="D9088" s="209"/>
      <c r="E9088" s="209"/>
      <c r="J9088" s="124"/>
    </row>
    <row r="9089" spans="3:10" x14ac:dyDescent="0.2">
      <c r="C9089" s="209"/>
      <c r="D9089" s="209"/>
      <c r="E9089" s="209"/>
      <c r="J9089" s="124"/>
    </row>
    <row r="9090" spans="3:10" x14ac:dyDescent="0.2">
      <c r="C9090" s="209"/>
      <c r="D9090" s="209"/>
      <c r="E9090" s="209"/>
      <c r="J9090" s="124"/>
    </row>
    <row r="9091" spans="3:10" x14ac:dyDescent="0.2">
      <c r="C9091" s="209"/>
      <c r="D9091" s="209"/>
      <c r="E9091" s="209"/>
      <c r="J9091" s="124"/>
    </row>
    <row r="9092" spans="3:10" x14ac:dyDescent="0.2">
      <c r="C9092" s="209"/>
      <c r="D9092" s="209"/>
      <c r="E9092" s="209"/>
      <c r="J9092" s="124"/>
    </row>
    <row r="9093" spans="3:10" x14ac:dyDescent="0.2">
      <c r="C9093" s="209"/>
      <c r="D9093" s="209"/>
      <c r="E9093" s="209"/>
      <c r="J9093" s="124"/>
    </row>
    <row r="9094" spans="3:10" x14ac:dyDescent="0.2">
      <c r="C9094" s="209"/>
      <c r="D9094" s="209"/>
      <c r="E9094" s="209"/>
      <c r="J9094" s="124"/>
    </row>
    <row r="9095" spans="3:10" x14ac:dyDescent="0.2">
      <c r="C9095" s="209"/>
      <c r="D9095" s="209"/>
      <c r="E9095" s="209"/>
      <c r="J9095" s="124"/>
    </row>
    <row r="9096" spans="3:10" x14ac:dyDescent="0.2">
      <c r="C9096" s="209"/>
      <c r="D9096" s="209"/>
      <c r="E9096" s="209"/>
      <c r="J9096" s="124"/>
    </row>
    <row r="9097" spans="3:10" x14ac:dyDescent="0.2">
      <c r="C9097" s="209"/>
      <c r="D9097" s="209"/>
      <c r="E9097" s="209"/>
      <c r="J9097" s="124"/>
    </row>
    <row r="9098" spans="3:10" x14ac:dyDescent="0.2">
      <c r="C9098" s="209"/>
      <c r="D9098" s="209"/>
      <c r="E9098" s="209"/>
      <c r="J9098" s="124"/>
    </row>
    <row r="9099" spans="3:10" x14ac:dyDescent="0.2">
      <c r="C9099" s="209"/>
      <c r="D9099" s="209"/>
      <c r="E9099" s="209"/>
      <c r="J9099" s="124"/>
    </row>
    <row r="9100" spans="3:10" x14ac:dyDescent="0.2">
      <c r="C9100" s="209"/>
      <c r="D9100" s="209"/>
      <c r="E9100" s="209"/>
      <c r="J9100" s="124"/>
    </row>
    <row r="9101" spans="3:10" x14ac:dyDescent="0.2">
      <c r="C9101" s="209"/>
      <c r="D9101" s="209"/>
      <c r="E9101" s="209"/>
      <c r="J9101" s="124"/>
    </row>
    <row r="9102" spans="3:10" x14ac:dyDescent="0.2">
      <c r="C9102" s="209"/>
      <c r="D9102" s="209"/>
      <c r="E9102" s="209"/>
      <c r="J9102" s="124"/>
    </row>
    <row r="9103" spans="3:10" x14ac:dyDescent="0.2">
      <c r="C9103" s="209"/>
      <c r="D9103" s="209"/>
      <c r="E9103" s="209"/>
      <c r="J9103" s="124"/>
    </row>
    <row r="9104" spans="3:10" x14ac:dyDescent="0.2">
      <c r="C9104" s="209"/>
      <c r="D9104" s="209"/>
      <c r="E9104" s="209"/>
      <c r="J9104" s="124"/>
    </row>
    <row r="9105" spans="3:10" x14ac:dyDescent="0.2">
      <c r="C9105" s="209"/>
      <c r="D9105" s="209"/>
      <c r="E9105" s="209"/>
      <c r="J9105" s="124"/>
    </row>
    <row r="9106" spans="3:10" x14ac:dyDescent="0.2">
      <c r="C9106" s="209"/>
      <c r="D9106" s="209"/>
      <c r="E9106" s="209"/>
      <c r="J9106" s="124"/>
    </row>
    <row r="9107" spans="3:10" x14ac:dyDescent="0.2">
      <c r="C9107" s="209"/>
      <c r="D9107" s="209"/>
      <c r="E9107" s="209"/>
      <c r="J9107" s="124"/>
    </row>
    <row r="9108" spans="3:10" x14ac:dyDescent="0.2">
      <c r="C9108" s="209"/>
      <c r="D9108" s="209"/>
      <c r="E9108" s="209"/>
      <c r="J9108" s="124"/>
    </row>
    <row r="9109" spans="3:10" x14ac:dyDescent="0.2">
      <c r="C9109" s="209"/>
      <c r="D9109" s="209"/>
      <c r="E9109" s="209"/>
      <c r="J9109" s="124"/>
    </row>
    <row r="9110" spans="3:10" x14ac:dyDescent="0.2">
      <c r="C9110" s="209"/>
      <c r="D9110" s="209"/>
      <c r="E9110" s="209"/>
      <c r="J9110" s="124"/>
    </row>
    <row r="9111" spans="3:10" x14ac:dyDescent="0.2">
      <c r="C9111" s="209"/>
      <c r="D9111" s="209"/>
      <c r="E9111" s="209"/>
      <c r="J9111" s="124"/>
    </row>
    <row r="9112" spans="3:10" x14ac:dyDescent="0.2">
      <c r="C9112" s="209"/>
      <c r="D9112" s="209"/>
      <c r="E9112" s="209"/>
      <c r="J9112" s="124"/>
    </row>
    <row r="9113" spans="3:10" x14ac:dyDescent="0.2">
      <c r="C9113" s="209"/>
      <c r="D9113" s="209"/>
      <c r="E9113" s="209"/>
      <c r="J9113" s="124"/>
    </row>
    <row r="9114" spans="3:10" x14ac:dyDescent="0.2">
      <c r="C9114" s="209"/>
      <c r="D9114" s="209"/>
      <c r="E9114" s="209"/>
      <c r="J9114" s="124"/>
    </row>
    <row r="9115" spans="3:10" x14ac:dyDescent="0.2">
      <c r="C9115" s="209"/>
      <c r="D9115" s="209"/>
      <c r="E9115" s="209"/>
      <c r="J9115" s="124"/>
    </row>
    <row r="9116" spans="3:10" x14ac:dyDescent="0.2">
      <c r="C9116" s="209"/>
      <c r="D9116" s="209"/>
      <c r="E9116" s="209"/>
      <c r="J9116" s="124"/>
    </row>
    <row r="9117" spans="3:10" x14ac:dyDescent="0.2">
      <c r="C9117" s="209"/>
      <c r="D9117" s="209"/>
      <c r="E9117" s="209"/>
      <c r="J9117" s="124"/>
    </row>
    <row r="9118" spans="3:10" x14ac:dyDescent="0.2">
      <c r="C9118" s="209"/>
      <c r="D9118" s="209"/>
      <c r="E9118" s="209"/>
      <c r="J9118" s="124"/>
    </row>
    <row r="9119" spans="3:10" x14ac:dyDescent="0.2">
      <c r="C9119" s="209"/>
      <c r="D9119" s="209"/>
      <c r="E9119" s="209"/>
      <c r="J9119" s="124"/>
    </row>
    <row r="9120" spans="3:10" x14ac:dyDescent="0.2">
      <c r="C9120" s="209"/>
      <c r="D9120" s="209"/>
      <c r="E9120" s="209"/>
      <c r="J9120" s="124"/>
    </row>
    <row r="9121" spans="3:10" x14ac:dyDescent="0.2">
      <c r="C9121" s="209"/>
      <c r="D9121" s="209"/>
      <c r="E9121" s="209"/>
      <c r="J9121" s="124"/>
    </row>
    <row r="9122" spans="3:10" x14ac:dyDescent="0.2">
      <c r="C9122" s="209"/>
      <c r="D9122" s="209"/>
      <c r="E9122" s="209"/>
      <c r="J9122" s="124"/>
    </row>
    <row r="9123" spans="3:10" x14ac:dyDescent="0.2">
      <c r="C9123" s="209"/>
      <c r="D9123" s="209"/>
      <c r="E9123" s="209"/>
      <c r="J9123" s="124"/>
    </row>
    <row r="9124" spans="3:10" x14ac:dyDescent="0.2">
      <c r="C9124" s="209"/>
      <c r="D9124" s="209"/>
      <c r="E9124" s="209"/>
      <c r="J9124" s="124"/>
    </row>
    <row r="9125" spans="3:10" x14ac:dyDescent="0.2">
      <c r="C9125" s="209"/>
      <c r="D9125" s="209"/>
      <c r="E9125" s="209"/>
      <c r="J9125" s="124"/>
    </row>
    <row r="9126" spans="3:10" x14ac:dyDescent="0.2">
      <c r="C9126" s="209"/>
      <c r="D9126" s="209"/>
      <c r="E9126" s="209"/>
      <c r="J9126" s="124"/>
    </row>
    <row r="9127" spans="3:10" x14ac:dyDescent="0.2">
      <c r="C9127" s="209"/>
      <c r="D9127" s="209"/>
      <c r="E9127" s="209"/>
      <c r="J9127" s="124"/>
    </row>
    <row r="9128" spans="3:10" x14ac:dyDescent="0.2">
      <c r="C9128" s="209"/>
      <c r="D9128" s="209"/>
      <c r="E9128" s="209"/>
      <c r="J9128" s="124"/>
    </row>
    <row r="9129" spans="3:10" x14ac:dyDescent="0.2">
      <c r="C9129" s="209"/>
      <c r="D9129" s="209"/>
      <c r="E9129" s="209"/>
      <c r="J9129" s="124"/>
    </row>
    <row r="9130" spans="3:10" x14ac:dyDescent="0.2">
      <c r="C9130" s="209"/>
      <c r="D9130" s="209"/>
      <c r="E9130" s="209"/>
      <c r="J9130" s="124"/>
    </row>
    <row r="9131" spans="3:10" x14ac:dyDescent="0.2">
      <c r="C9131" s="209"/>
      <c r="D9131" s="209"/>
      <c r="E9131" s="209"/>
      <c r="J9131" s="124"/>
    </row>
    <row r="9132" spans="3:10" x14ac:dyDescent="0.2">
      <c r="C9132" s="209"/>
      <c r="D9132" s="209"/>
      <c r="E9132" s="209"/>
      <c r="J9132" s="124"/>
    </row>
    <row r="9133" spans="3:10" x14ac:dyDescent="0.2">
      <c r="C9133" s="209"/>
      <c r="D9133" s="209"/>
      <c r="E9133" s="209"/>
      <c r="J9133" s="124"/>
    </row>
    <row r="9134" spans="3:10" x14ac:dyDescent="0.2">
      <c r="C9134" s="209"/>
      <c r="D9134" s="209"/>
      <c r="E9134" s="209"/>
      <c r="J9134" s="124"/>
    </row>
    <row r="9135" spans="3:10" x14ac:dyDescent="0.2">
      <c r="C9135" s="209"/>
      <c r="D9135" s="209"/>
      <c r="E9135" s="209"/>
      <c r="J9135" s="124"/>
    </row>
    <row r="9136" spans="3:10" x14ac:dyDescent="0.2">
      <c r="C9136" s="209"/>
      <c r="D9136" s="209"/>
      <c r="E9136" s="209"/>
      <c r="J9136" s="124"/>
    </row>
    <row r="9137" spans="3:10" x14ac:dyDescent="0.2">
      <c r="C9137" s="209"/>
      <c r="D9137" s="209"/>
      <c r="E9137" s="209"/>
      <c r="J9137" s="124"/>
    </row>
    <row r="9138" spans="3:10" x14ac:dyDescent="0.2">
      <c r="C9138" s="209"/>
      <c r="D9138" s="209"/>
      <c r="E9138" s="209"/>
      <c r="J9138" s="124"/>
    </row>
    <row r="9139" spans="3:10" x14ac:dyDescent="0.2">
      <c r="C9139" s="209"/>
      <c r="D9139" s="209"/>
      <c r="E9139" s="209"/>
      <c r="J9139" s="124"/>
    </row>
    <row r="9140" spans="3:10" x14ac:dyDescent="0.2">
      <c r="C9140" s="209"/>
      <c r="D9140" s="209"/>
      <c r="E9140" s="209"/>
      <c r="J9140" s="124"/>
    </row>
    <row r="9141" spans="3:10" x14ac:dyDescent="0.2">
      <c r="C9141" s="209"/>
      <c r="D9141" s="209"/>
      <c r="E9141" s="209"/>
      <c r="J9141" s="124"/>
    </row>
    <row r="9142" spans="3:10" x14ac:dyDescent="0.2">
      <c r="C9142" s="209"/>
      <c r="D9142" s="209"/>
      <c r="E9142" s="209"/>
      <c r="J9142" s="124"/>
    </row>
    <row r="9143" spans="3:10" x14ac:dyDescent="0.2">
      <c r="C9143" s="209"/>
      <c r="D9143" s="209"/>
      <c r="E9143" s="209"/>
      <c r="J9143" s="124"/>
    </row>
    <row r="9144" spans="3:10" x14ac:dyDescent="0.2">
      <c r="C9144" s="209"/>
      <c r="D9144" s="209"/>
      <c r="E9144" s="209"/>
      <c r="J9144" s="124"/>
    </row>
    <row r="9145" spans="3:10" x14ac:dyDescent="0.2">
      <c r="C9145" s="209"/>
      <c r="D9145" s="209"/>
      <c r="E9145" s="209"/>
      <c r="J9145" s="124"/>
    </row>
    <row r="9146" spans="3:10" x14ac:dyDescent="0.2">
      <c r="C9146" s="209"/>
      <c r="D9146" s="209"/>
      <c r="E9146" s="209"/>
      <c r="J9146" s="124"/>
    </row>
    <row r="9147" spans="3:10" x14ac:dyDescent="0.2">
      <c r="C9147" s="209"/>
      <c r="D9147" s="209"/>
      <c r="E9147" s="209"/>
      <c r="J9147" s="124"/>
    </row>
    <row r="9148" spans="3:10" x14ac:dyDescent="0.2">
      <c r="C9148" s="209"/>
      <c r="D9148" s="209"/>
      <c r="E9148" s="209"/>
      <c r="J9148" s="124"/>
    </row>
    <row r="9149" spans="3:10" x14ac:dyDescent="0.2">
      <c r="C9149" s="209"/>
      <c r="D9149" s="209"/>
      <c r="E9149" s="209"/>
      <c r="J9149" s="124"/>
    </row>
    <row r="9150" spans="3:10" x14ac:dyDescent="0.2">
      <c r="C9150" s="209"/>
      <c r="D9150" s="209"/>
      <c r="E9150" s="209"/>
      <c r="J9150" s="124"/>
    </row>
    <row r="9151" spans="3:10" x14ac:dyDescent="0.2">
      <c r="C9151" s="209"/>
      <c r="D9151" s="209"/>
      <c r="E9151" s="209"/>
      <c r="J9151" s="124"/>
    </row>
    <row r="9152" spans="3:10" x14ac:dyDescent="0.2">
      <c r="C9152" s="209"/>
      <c r="D9152" s="209"/>
      <c r="E9152" s="209"/>
      <c r="J9152" s="124"/>
    </row>
    <row r="9153" spans="3:10" x14ac:dyDescent="0.2">
      <c r="C9153" s="209"/>
      <c r="D9153" s="209"/>
      <c r="E9153" s="209"/>
      <c r="J9153" s="124"/>
    </row>
    <row r="9154" spans="3:10" x14ac:dyDescent="0.2">
      <c r="C9154" s="209"/>
      <c r="D9154" s="209"/>
      <c r="E9154" s="209"/>
      <c r="J9154" s="124"/>
    </row>
    <row r="9155" spans="3:10" x14ac:dyDescent="0.2">
      <c r="C9155" s="209"/>
      <c r="D9155" s="209"/>
      <c r="E9155" s="209"/>
      <c r="J9155" s="124"/>
    </row>
    <row r="9156" spans="3:10" x14ac:dyDescent="0.2">
      <c r="C9156" s="209"/>
      <c r="D9156" s="209"/>
      <c r="E9156" s="209"/>
      <c r="J9156" s="124"/>
    </row>
    <row r="9157" spans="3:10" x14ac:dyDescent="0.2">
      <c r="C9157" s="209"/>
      <c r="D9157" s="209"/>
      <c r="E9157" s="209"/>
      <c r="J9157" s="124"/>
    </row>
    <row r="9158" spans="3:10" x14ac:dyDescent="0.2">
      <c r="C9158" s="209"/>
      <c r="D9158" s="209"/>
      <c r="E9158" s="209"/>
      <c r="J9158" s="124"/>
    </row>
    <row r="9159" spans="3:10" x14ac:dyDescent="0.2">
      <c r="C9159" s="209"/>
      <c r="D9159" s="209"/>
      <c r="E9159" s="209"/>
      <c r="J9159" s="124"/>
    </row>
    <row r="9160" spans="3:10" x14ac:dyDescent="0.2">
      <c r="C9160" s="209"/>
      <c r="D9160" s="209"/>
      <c r="E9160" s="209"/>
      <c r="J9160" s="124"/>
    </row>
    <row r="9161" spans="3:10" x14ac:dyDescent="0.2">
      <c r="C9161" s="209"/>
      <c r="D9161" s="209"/>
      <c r="E9161" s="209"/>
      <c r="J9161" s="124"/>
    </row>
    <row r="9162" spans="3:10" x14ac:dyDescent="0.2">
      <c r="C9162" s="209"/>
      <c r="D9162" s="209"/>
      <c r="E9162" s="209"/>
      <c r="J9162" s="124"/>
    </row>
    <row r="9163" spans="3:10" x14ac:dyDescent="0.2">
      <c r="C9163" s="209"/>
      <c r="D9163" s="209"/>
      <c r="E9163" s="209"/>
      <c r="J9163" s="124"/>
    </row>
    <row r="9164" spans="3:10" x14ac:dyDescent="0.2">
      <c r="C9164" s="209"/>
      <c r="D9164" s="209"/>
      <c r="E9164" s="209"/>
      <c r="J9164" s="124"/>
    </row>
    <row r="9165" spans="3:10" x14ac:dyDescent="0.2">
      <c r="C9165" s="209"/>
      <c r="D9165" s="209"/>
      <c r="E9165" s="209"/>
      <c r="J9165" s="124"/>
    </row>
    <row r="9166" spans="3:10" x14ac:dyDescent="0.2">
      <c r="C9166" s="209"/>
      <c r="D9166" s="209"/>
      <c r="E9166" s="209"/>
      <c r="J9166" s="124"/>
    </row>
    <row r="9167" spans="3:10" x14ac:dyDescent="0.2">
      <c r="C9167" s="209"/>
      <c r="D9167" s="209"/>
      <c r="E9167" s="209"/>
      <c r="J9167" s="124"/>
    </row>
    <row r="9168" spans="3:10" x14ac:dyDescent="0.2">
      <c r="C9168" s="209"/>
      <c r="D9168" s="209"/>
      <c r="E9168" s="209"/>
      <c r="J9168" s="124"/>
    </row>
    <row r="9169" spans="3:10" x14ac:dyDescent="0.2">
      <c r="C9169" s="209"/>
      <c r="D9169" s="209"/>
      <c r="E9169" s="209"/>
      <c r="J9169" s="124"/>
    </row>
    <row r="9170" spans="3:10" x14ac:dyDescent="0.2">
      <c r="C9170" s="209"/>
      <c r="D9170" s="209"/>
      <c r="E9170" s="209"/>
      <c r="J9170" s="124"/>
    </row>
    <row r="9171" spans="3:10" x14ac:dyDescent="0.2">
      <c r="C9171" s="209"/>
      <c r="D9171" s="209"/>
      <c r="E9171" s="209"/>
      <c r="J9171" s="124"/>
    </row>
    <row r="9172" spans="3:10" x14ac:dyDescent="0.2">
      <c r="C9172" s="209"/>
      <c r="D9172" s="209"/>
      <c r="E9172" s="209"/>
      <c r="J9172" s="124"/>
    </row>
    <row r="9173" spans="3:10" x14ac:dyDescent="0.2">
      <c r="C9173" s="209"/>
      <c r="D9173" s="209"/>
      <c r="E9173" s="209"/>
      <c r="J9173" s="124"/>
    </row>
    <row r="9174" spans="3:10" x14ac:dyDescent="0.2">
      <c r="C9174" s="209"/>
      <c r="D9174" s="209"/>
      <c r="E9174" s="209"/>
      <c r="J9174" s="124"/>
    </row>
    <row r="9175" spans="3:10" x14ac:dyDescent="0.2">
      <c r="C9175" s="209"/>
      <c r="D9175" s="209"/>
      <c r="E9175" s="209"/>
      <c r="J9175" s="124"/>
    </row>
    <row r="9176" spans="3:10" x14ac:dyDescent="0.2">
      <c r="C9176" s="209"/>
      <c r="D9176" s="209"/>
      <c r="E9176" s="209"/>
      <c r="J9176" s="124"/>
    </row>
    <row r="9177" spans="3:10" x14ac:dyDescent="0.2">
      <c r="C9177" s="209"/>
      <c r="D9177" s="209"/>
      <c r="E9177" s="209"/>
      <c r="J9177" s="124"/>
    </row>
    <row r="9178" spans="3:10" x14ac:dyDescent="0.2">
      <c r="C9178" s="209"/>
      <c r="D9178" s="209"/>
      <c r="E9178" s="209"/>
      <c r="J9178" s="124"/>
    </row>
    <row r="9179" spans="3:10" x14ac:dyDescent="0.2">
      <c r="C9179" s="209"/>
      <c r="D9179" s="209"/>
      <c r="E9179" s="209"/>
      <c r="J9179" s="124"/>
    </row>
    <row r="9180" spans="3:10" x14ac:dyDescent="0.2">
      <c r="C9180" s="209"/>
      <c r="D9180" s="209"/>
      <c r="E9180" s="209"/>
      <c r="J9180" s="124"/>
    </row>
    <row r="9181" spans="3:10" x14ac:dyDescent="0.2">
      <c r="C9181" s="209"/>
      <c r="D9181" s="209"/>
      <c r="E9181" s="209"/>
      <c r="J9181" s="124"/>
    </row>
    <row r="9182" spans="3:10" x14ac:dyDescent="0.2">
      <c r="C9182" s="209"/>
      <c r="D9182" s="209"/>
      <c r="E9182" s="209"/>
      <c r="J9182" s="124"/>
    </row>
    <row r="9183" spans="3:10" x14ac:dyDescent="0.2">
      <c r="C9183" s="209"/>
      <c r="D9183" s="209"/>
      <c r="E9183" s="209"/>
      <c r="J9183" s="124"/>
    </row>
    <row r="9184" spans="3:10" x14ac:dyDescent="0.2">
      <c r="C9184" s="209"/>
      <c r="D9184" s="209"/>
      <c r="E9184" s="209"/>
      <c r="J9184" s="124"/>
    </row>
    <row r="9185" spans="3:10" x14ac:dyDescent="0.2">
      <c r="C9185" s="209"/>
      <c r="D9185" s="209"/>
      <c r="E9185" s="209"/>
      <c r="J9185" s="124"/>
    </row>
    <row r="9186" spans="3:10" x14ac:dyDescent="0.2">
      <c r="C9186" s="209"/>
      <c r="D9186" s="209"/>
      <c r="E9186" s="209"/>
      <c r="J9186" s="124"/>
    </row>
    <row r="9187" spans="3:10" x14ac:dyDescent="0.2">
      <c r="C9187" s="209"/>
      <c r="D9187" s="209"/>
      <c r="E9187" s="209"/>
      <c r="J9187" s="124"/>
    </row>
    <row r="9188" spans="3:10" x14ac:dyDescent="0.2">
      <c r="C9188" s="209"/>
      <c r="D9188" s="209"/>
      <c r="E9188" s="209"/>
      <c r="J9188" s="124"/>
    </row>
    <row r="9189" spans="3:10" x14ac:dyDescent="0.2">
      <c r="C9189" s="209"/>
      <c r="D9189" s="209"/>
      <c r="E9189" s="209"/>
      <c r="J9189" s="124"/>
    </row>
    <row r="9190" spans="3:10" x14ac:dyDescent="0.2">
      <c r="C9190" s="209"/>
      <c r="D9190" s="209"/>
      <c r="E9190" s="209"/>
      <c r="J9190" s="124"/>
    </row>
    <row r="9191" spans="3:10" x14ac:dyDescent="0.2">
      <c r="C9191" s="209"/>
      <c r="D9191" s="209"/>
      <c r="E9191" s="209"/>
      <c r="J9191" s="124"/>
    </row>
    <row r="9192" spans="3:10" x14ac:dyDescent="0.2">
      <c r="C9192" s="209"/>
      <c r="D9192" s="209"/>
      <c r="E9192" s="209"/>
      <c r="J9192" s="124"/>
    </row>
    <row r="9193" spans="3:10" x14ac:dyDescent="0.2">
      <c r="C9193" s="209"/>
      <c r="D9193" s="209"/>
      <c r="E9193" s="209"/>
      <c r="J9193" s="124"/>
    </row>
    <row r="9194" spans="3:10" x14ac:dyDescent="0.2">
      <c r="C9194" s="209"/>
      <c r="D9194" s="209"/>
      <c r="E9194" s="209"/>
      <c r="J9194" s="124"/>
    </row>
    <row r="9195" spans="3:10" x14ac:dyDescent="0.2">
      <c r="C9195" s="209"/>
      <c r="D9195" s="209"/>
      <c r="E9195" s="209"/>
      <c r="J9195" s="124"/>
    </row>
    <row r="9196" spans="3:10" x14ac:dyDescent="0.2">
      <c r="C9196" s="209"/>
      <c r="D9196" s="209"/>
      <c r="E9196" s="209"/>
      <c r="J9196" s="124"/>
    </row>
    <row r="9197" spans="3:10" x14ac:dyDescent="0.2">
      <c r="C9197" s="209"/>
      <c r="D9197" s="209"/>
      <c r="E9197" s="209"/>
      <c r="J9197" s="124"/>
    </row>
    <row r="9198" spans="3:10" x14ac:dyDescent="0.2">
      <c r="C9198" s="209"/>
      <c r="D9198" s="209"/>
      <c r="E9198" s="209"/>
      <c r="J9198" s="124"/>
    </row>
    <row r="9199" spans="3:10" x14ac:dyDescent="0.2">
      <c r="C9199" s="209"/>
      <c r="D9199" s="209"/>
      <c r="E9199" s="209"/>
      <c r="J9199" s="124"/>
    </row>
    <row r="9200" spans="3:10" x14ac:dyDescent="0.2">
      <c r="C9200" s="209"/>
      <c r="D9200" s="209"/>
      <c r="E9200" s="209"/>
      <c r="J9200" s="124"/>
    </row>
    <row r="9201" spans="3:10" x14ac:dyDescent="0.2">
      <c r="C9201" s="209"/>
      <c r="D9201" s="209"/>
      <c r="E9201" s="209"/>
      <c r="J9201" s="124"/>
    </row>
    <row r="9202" spans="3:10" x14ac:dyDescent="0.2">
      <c r="C9202" s="209"/>
      <c r="D9202" s="209"/>
      <c r="E9202" s="209"/>
      <c r="J9202" s="124"/>
    </row>
    <row r="9203" spans="3:10" x14ac:dyDescent="0.2">
      <c r="C9203" s="209"/>
      <c r="D9203" s="209"/>
      <c r="E9203" s="209"/>
      <c r="J9203" s="124"/>
    </row>
    <row r="9204" spans="3:10" x14ac:dyDescent="0.2">
      <c r="C9204" s="209"/>
      <c r="D9204" s="209"/>
      <c r="E9204" s="209"/>
      <c r="J9204" s="124"/>
    </row>
    <row r="9205" spans="3:10" x14ac:dyDescent="0.2">
      <c r="C9205" s="209"/>
      <c r="D9205" s="209"/>
      <c r="E9205" s="209"/>
      <c r="J9205" s="124"/>
    </row>
    <row r="9206" spans="3:10" x14ac:dyDescent="0.2">
      <c r="C9206" s="209"/>
      <c r="D9206" s="209"/>
      <c r="E9206" s="209"/>
      <c r="J9206" s="124"/>
    </row>
    <row r="9207" spans="3:10" x14ac:dyDescent="0.2">
      <c r="C9207" s="209"/>
      <c r="D9207" s="209"/>
      <c r="E9207" s="209"/>
      <c r="J9207" s="124"/>
    </row>
    <row r="9208" spans="3:10" x14ac:dyDescent="0.2">
      <c r="C9208" s="209"/>
      <c r="D9208" s="209"/>
      <c r="E9208" s="209"/>
      <c r="J9208" s="124"/>
    </row>
    <row r="9209" spans="3:10" x14ac:dyDescent="0.2">
      <c r="C9209" s="209"/>
      <c r="D9209" s="209"/>
      <c r="E9209" s="209"/>
      <c r="J9209" s="124"/>
    </row>
    <row r="9210" spans="3:10" x14ac:dyDescent="0.2">
      <c r="C9210" s="209"/>
      <c r="D9210" s="209"/>
      <c r="E9210" s="209"/>
      <c r="J9210" s="124"/>
    </row>
    <row r="9211" spans="3:10" x14ac:dyDescent="0.2">
      <c r="C9211" s="209"/>
      <c r="D9211" s="209"/>
      <c r="E9211" s="209"/>
      <c r="J9211" s="124"/>
    </row>
    <row r="9212" spans="3:10" x14ac:dyDescent="0.2">
      <c r="C9212" s="209"/>
      <c r="D9212" s="209"/>
      <c r="E9212" s="209"/>
      <c r="J9212" s="124"/>
    </row>
    <row r="9213" spans="3:10" x14ac:dyDescent="0.2">
      <c r="C9213" s="209"/>
      <c r="D9213" s="209"/>
      <c r="E9213" s="209"/>
      <c r="J9213" s="124"/>
    </row>
    <row r="9214" spans="3:10" x14ac:dyDescent="0.2">
      <c r="C9214" s="209"/>
      <c r="D9214" s="209"/>
      <c r="E9214" s="209"/>
      <c r="J9214" s="124"/>
    </row>
    <row r="9215" spans="3:10" x14ac:dyDescent="0.2">
      <c r="C9215" s="209"/>
      <c r="D9215" s="209"/>
      <c r="E9215" s="209"/>
      <c r="J9215" s="124"/>
    </row>
    <row r="9216" spans="3:10" x14ac:dyDescent="0.2">
      <c r="C9216" s="209"/>
      <c r="D9216" s="209"/>
      <c r="E9216" s="209"/>
      <c r="J9216" s="124"/>
    </row>
    <row r="9217" spans="3:10" x14ac:dyDescent="0.2">
      <c r="C9217" s="209"/>
      <c r="D9217" s="209"/>
      <c r="E9217" s="209"/>
      <c r="J9217" s="124"/>
    </row>
    <row r="9218" spans="3:10" x14ac:dyDescent="0.2">
      <c r="C9218" s="209"/>
      <c r="D9218" s="209"/>
      <c r="E9218" s="209"/>
      <c r="J9218" s="124"/>
    </row>
    <row r="9219" spans="3:10" x14ac:dyDescent="0.2">
      <c r="C9219" s="209"/>
      <c r="D9219" s="209"/>
      <c r="E9219" s="209"/>
      <c r="J9219" s="124"/>
    </row>
    <row r="9220" spans="3:10" x14ac:dyDescent="0.2">
      <c r="C9220" s="209"/>
      <c r="D9220" s="209"/>
      <c r="E9220" s="209"/>
      <c r="J9220" s="124"/>
    </row>
    <row r="9221" spans="3:10" x14ac:dyDescent="0.2">
      <c r="C9221" s="209"/>
      <c r="D9221" s="209"/>
      <c r="E9221" s="209"/>
      <c r="J9221" s="124"/>
    </row>
    <row r="9222" spans="3:10" x14ac:dyDescent="0.2">
      <c r="C9222" s="209"/>
      <c r="D9222" s="209"/>
      <c r="E9222" s="209"/>
      <c r="J9222" s="124"/>
    </row>
    <row r="9223" spans="3:10" x14ac:dyDescent="0.2">
      <c r="C9223" s="209"/>
      <c r="D9223" s="209"/>
      <c r="E9223" s="209"/>
      <c r="J9223" s="124"/>
    </row>
    <row r="9224" spans="3:10" x14ac:dyDescent="0.2">
      <c r="C9224" s="209"/>
      <c r="D9224" s="209"/>
      <c r="E9224" s="209"/>
      <c r="J9224" s="124"/>
    </row>
    <row r="9225" spans="3:10" x14ac:dyDescent="0.2">
      <c r="C9225" s="209"/>
      <c r="D9225" s="209"/>
      <c r="E9225" s="209"/>
      <c r="J9225" s="124"/>
    </row>
    <row r="9226" spans="3:10" x14ac:dyDescent="0.2">
      <c r="C9226" s="209"/>
      <c r="D9226" s="209"/>
      <c r="E9226" s="209"/>
      <c r="J9226" s="124"/>
    </row>
    <row r="9227" spans="3:10" x14ac:dyDescent="0.2">
      <c r="C9227" s="209"/>
      <c r="D9227" s="209"/>
      <c r="E9227" s="209"/>
      <c r="J9227" s="124"/>
    </row>
    <row r="9228" spans="3:10" x14ac:dyDescent="0.2">
      <c r="C9228" s="209"/>
      <c r="D9228" s="209"/>
      <c r="E9228" s="209"/>
      <c r="J9228" s="124"/>
    </row>
    <row r="9229" spans="3:10" x14ac:dyDescent="0.2">
      <c r="C9229" s="209"/>
      <c r="D9229" s="209"/>
      <c r="E9229" s="209"/>
      <c r="J9229" s="124"/>
    </row>
    <row r="9230" spans="3:10" x14ac:dyDescent="0.2">
      <c r="C9230" s="209"/>
      <c r="D9230" s="209"/>
      <c r="E9230" s="209"/>
      <c r="J9230" s="124"/>
    </row>
    <row r="9231" spans="3:10" x14ac:dyDescent="0.2">
      <c r="C9231" s="209"/>
      <c r="D9231" s="209"/>
      <c r="E9231" s="209"/>
      <c r="J9231" s="124"/>
    </row>
    <row r="9232" spans="3:10" x14ac:dyDescent="0.2">
      <c r="C9232" s="209"/>
      <c r="D9232" s="209"/>
      <c r="E9232" s="209"/>
      <c r="J9232" s="124"/>
    </row>
    <row r="9233" spans="3:10" x14ac:dyDescent="0.2">
      <c r="C9233" s="209"/>
      <c r="D9233" s="209"/>
      <c r="E9233" s="209"/>
      <c r="J9233" s="124"/>
    </row>
    <row r="9234" spans="3:10" x14ac:dyDescent="0.2">
      <c r="C9234" s="209"/>
      <c r="D9234" s="209"/>
      <c r="E9234" s="209"/>
      <c r="J9234" s="124"/>
    </row>
    <row r="9235" spans="3:10" x14ac:dyDescent="0.2">
      <c r="C9235" s="209"/>
      <c r="D9235" s="209"/>
      <c r="E9235" s="209"/>
      <c r="J9235" s="124"/>
    </row>
    <row r="9236" spans="3:10" x14ac:dyDescent="0.2">
      <c r="C9236" s="209"/>
      <c r="D9236" s="209"/>
      <c r="E9236" s="209"/>
      <c r="J9236" s="124"/>
    </row>
    <row r="9237" spans="3:10" x14ac:dyDescent="0.2">
      <c r="C9237" s="209"/>
      <c r="D9237" s="209"/>
      <c r="E9237" s="209"/>
      <c r="J9237" s="124"/>
    </row>
    <row r="9238" spans="3:10" x14ac:dyDescent="0.2">
      <c r="C9238" s="209"/>
      <c r="D9238" s="209"/>
      <c r="E9238" s="209"/>
      <c r="J9238" s="124"/>
    </row>
    <row r="9239" spans="3:10" x14ac:dyDescent="0.2">
      <c r="C9239" s="209"/>
      <c r="D9239" s="209"/>
      <c r="E9239" s="209"/>
      <c r="J9239" s="124"/>
    </row>
    <row r="9240" spans="3:10" x14ac:dyDescent="0.2">
      <c r="C9240" s="209"/>
      <c r="D9240" s="209"/>
      <c r="E9240" s="209"/>
      <c r="J9240" s="124"/>
    </row>
    <row r="9241" spans="3:10" x14ac:dyDescent="0.2">
      <c r="C9241" s="209"/>
      <c r="D9241" s="209"/>
      <c r="E9241" s="209"/>
      <c r="J9241" s="124"/>
    </row>
    <row r="9242" spans="3:10" x14ac:dyDescent="0.2">
      <c r="C9242" s="209"/>
      <c r="D9242" s="209"/>
      <c r="E9242" s="209"/>
      <c r="J9242" s="124"/>
    </row>
    <row r="9243" spans="3:10" x14ac:dyDescent="0.2">
      <c r="C9243" s="209"/>
      <c r="D9243" s="209"/>
      <c r="E9243" s="209"/>
      <c r="J9243" s="124"/>
    </row>
    <row r="9244" spans="3:10" x14ac:dyDescent="0.2">
      <c r="C9244" s="209"/>
      <c r="D9244" s="209"/>
      <c r="E9244" s="209"/>
      <c r="J9244" s="124"/>
    </row>
    <row r="9245" spans="3:10" x14ac:dyDescent="0.2">
      <c r="C9245" s="209"/>
      <c r="D9245" s="209"/>
      <c r="E9245" s="209"/>
      <c r="J9245" s="124"/>
    </row>
    <row r="9246" spans="3:10" x14ac:dyDescent="0.2">
      <c r="C9246" s="209"/>
      <c r="D9246" s="209"/>
      <c r="E9246" s="209"/>
      <c r="J9246" s="124"/>
    </row>
    <row r="9247" spans="3:10" x14ac:dyDescent="0.2">
      <c r="C9247" s="209"/>
      <c r="D9247" s="209"/>
      <c r="E9247" s="209"/>
      <c r="J9247" s="124"/>
    </row>
    <row r="9248" spans="3:10" x14ac:dyDescent="0.2">
      <c r="C9248" s="209"/>
      <c r="D9248" s="209"/>
      <c r="E9248" s="209"/>
      <c r="J9248" s="124"/>
    </row>
    <row r="9249" spans="3:10" x14ac:dyDescent="0.2">
      <c r="C9249" s="209"/>
      <c r="D9249" s="209"/>
      <c r="E9249" s="209"/>
      <c r="J9249" s="124"/>
    </row>
    <row r="9250" spans="3:10" x14ac:dyDescent="0.2">
      <c r="C9250" s="209"/>
      <c r="D9250" s="209"/>
      <c r="E9250" s="209"/>
      <c r="J9250" s="124"/>
    </row>
    <row r="9251" spans="3:10" x14ac:dyDescent="0.2">
      <c r="C9251" s="209"/>
      <c r="D9251" s="209"/>
      <c r="E9251" s="209"/>
      <c r="J9251" s="124"/>
    </row>
    <row r="9252" spans="3:10" x14ac:dyDescent="0.2">
      <c r="C9252" s="209"/>
      <c r="D9252" s="209"/>
      <c r="E9252" s="209"/>
      <c r="J9252" s="124"/>
    </row>
    <row r="9253" spans="3:10" x14ac:dyDescent="0.2">
      <c r="C9253" s="209"/>
      <c r="D9253" s="209"/>
      <c r="E9253" s="209"/>
      <c r="J9253" s="124"/>
    </row>
    <row r="9254" spans="3:10" x14ac:dyDescent="0.2">
      <c r="C9254" s="209"/>
      <c r="D9254" s="209"/>
      <c r="E9254" s="209"/>
      <c r="J9254" s="124"/>
    </row>
    <row r="9255" spans="3:10" x14ac:dyDescent="0.2">
      <c r="C9255" s="209"/>
      <c r="D9255" s="209"/>
      <c r="E9255" s="209"/>
      <c r="J9255" s="124"/>
    </row>
    <row r="9256" spans="3:10" x14ac:dyDescent="0.2">
      <c r="C9256" s="209"/>
      <c r="D9256" s="209"/>
      <c r="E9256" s="209"/>
      <c r="J9256" s="124"/>
    </row>
    <row r="9257" spans="3:10" x14ac:dyDescent="0.2">
      <c r="C9257" s="209"/>
      <c r="D9257" s="209"/>
      <c r="E9257" s="209"/>
      <c r="J9257" s="124"/>
    </row>
    <row r="9258" spans="3:10" x14ac:dyDescent="0.2">
      <c r="C9258" s="209"/>
      <c r="D9258" s="209"/>
      <c r="E9258" s="209"/>
      <c r="J9258" s="124"/>
    </row>
    <row r="9259" spans="3:10" x14ac:dyDescent="0.2">
      <c r="C9259" s="209"/>
      <c r="D9259" s="209"/>
      <c r="E9259" s="209"/>
      <c r="J9259" s="124"/>
    </row>
    <row r="9260" spans="3:10" x14ac:dyDescent="0.2">
      <c r="C9260" s="209"/>
      <c r="D9260" s="209"/>
      <c r="E9260" s="209"/>
      <c r="J9260" s="124"/>
    </row>
    <row r="9261" spans="3:10" x14ac:dyDescent="0.2">
      <c r="C9261" s="209"/>
      <c r="D9261" s="209"/>
      <c r="E9261" s="209"/>
      <c r="J9261" s="124"/>
    </row>
    <row r="9262" spans="3:10" x14ac:dyDescent="0.2">
      <c r="C9262" s="209"/>
      <c r="D9262" s="209"/>
      <c r="E9262" s="209"/>
      <c r="J9262" s="124"/>
    </row>
    <row r="9263" spans="3:10" x14ac:dyDescent="0.2">
      <c r="C9263" s="209"/>
      <c r="D9263" s="209"/>
      <c r="E9263" s="209"/>
      <c r="J9263" s="124"/>
    </row>
    <row r="9264" spans="3:10" x14ac:dyDescent="0.2">
      <c r="C9264" s="209"/>
      <c r="D9264" s="209"/>
      <c r="E9264" s="209"/>
      <c r="J9264" s="124"/>
    </row>
    <row r="9265" spans="3:10" x14ac:dyDescent="0.2">
      <c r="C9265" s="209"/>
      <c r="D9265" s="209"/>
      <c r="E9265" s="209"/>
      <c r="J9265" s="124"/>
    </row>
    <row r="9266" spans="3:10" x14ac:dyDescent="0.2">
      <c r="C9266" s="209"/>
      <c r="D9266" s="209"/>
      <c r="E9266" s="209"/>
      <c r="J9266" s="124"/>
    </row>
    <row r="9267" spans="3:10" x14ac:dyDescent="0.2">
      <c r="C9267" s="209"/>
      <c r="D9267" s="209"/>
      <c r="E9267" s="209"/>
      <c r="J9267" s="124"/>
    </row>
    <row r="9268" spans="3:10" x14ac:dyDescent="0.2">
      <c r="C9268" s="209"/>
      <c r="D9268" s="209"/>
      <c r="E9268" s="209"/>
      <c r="J9268" s="124"/>
    </row>
    <row r="9269" spans="3:10" x14ac:dyDescent="0.2">
      <c r="C9269" s="209"/>
      <c r="D9269" s="209"/>
      <c r="E9269" s="209"/>
      <c r="J9269" s="124"/>
    </row>
    <row r="9270" spans="3:10" x14ac:dyDescent="0.2">
      <c r="C9270" s="209"/>
      <c r="D9270" s="209"/>
      <c r="E9270" s="209"/>
      <c r="J9270" s="124"/>
    </row>
    <row r="9271" spans="3:10" x14ac:dyDescent="0.2">
      <c r="C9271" s="209"/>
      <c r="D9271" s="209"/>
      <c r="E9271" s="209"/>
      <c r="J9271" s="124"/>
    </row>
    <row r="9272" spans="3:10" x14ac:dyDescent="0.2">
      <c r="C9272" s="209"/>
      <c r="D9272" s="209"/>
      <c r="E9272" s="209"/>
      <c r="J9272" s="124"/>
    </row>
    <row r="9273" spans="3:10" x14ac:dyDescent="0.2">
      <c r="C9273" s="209"/>
      <c r="D9273" s="209"/>
      <c r="E9273" s="209"/>
      <c r="J9273" s="124"/>
    </row>
    <row r="9274" spans="3:10" x14ac:dyDescent="0.2">
      <c r="C9274" s="209"/>
      <c r="D9274" s="209"/>
      <c r="E9274" s="209"/>
      <c r="J9274" s="124"/>
    </row>
    <row r="9275" spans="3:10" x14ac:dyDescent="0.2">
      <c r="C9275" s="209"/>
      <c r="D9275" s="209"/>
      <c r="E9275" s="209"/>
      <c r="J9275" s="124"/>
    </row>
    <row r="9276" spans="3:10" x14ac:dyDescent="0.2">
      <c r="C9276" s="209"/>
      <c r="D9276" s="209"/>
      <c r="E9276" s="209"/>
      <c r="J9276" s="124"/>
    </row>
    <row r="9277" spans="3:10" x14ac:dyDescent="0.2">
      <c r="C9277" s="209"/>
      <c r="D9277" s="209"/>
      <c r="E9277" s="209"/>
      <c r="J9277" s="124"/>
    </row>
    <row r="9278" spans="3:10" x14ac:dyDescent="0.2">
      <c r="C9278" s="209"/>
      <c r="D9278" s="209"/>
      <c r="E9278" s="209"/>
      <c r="J9278" s="124"/>
    </row>
    <row r="9279" spans="3:10" x14ac:dyDescent="0.2">
      <c r="C9279" s="209"/>
      <c r="D9279" s="209"/>
      <c r="E9279" s="209"/>
      <c r="J9279" s="124"/>
    </row>
    <row r="9280" spans="3:10" x14ac:dyDescent="0.2">
      <c r="C9280" s="209"/>
      <c r="D9280" s="209"/>
      <c r="E9280" s="209"/>
      <c r="J9280" s="124"/>
    </row>
    <row r="9281" spans="3:10" x14ac:dyDescent="0.2">
      <c r="C9281" s="209"/>
      <c r="D9281" s="209"/>
      <c r="E9281" s="209"/>
      <c r="J9281" s="124"/>
    </row>
    <row r="9282" spans="3:10" x14ac:dyDescent="0.2">
      <c r="C9282" s="209"/>
      <c r="D9282" s="209"/>
      <c r="E9282" s="209"/>
      <c r="J9282" s="124"/>
    </row>
    <row r="9283" spans="3:10" x14ac:dyDescent="0.2">
      <c r="C9283" s="209"/>
      <c r="D9283" s="209"/>
      <c r="E9283" s="209"/>
      <c r="J9283" s="124"/>
    </row>
    <row r="9284" spans="3:10" x14ac:dyDescent="0.2">
      <c r="C9284" s="209"/>
      <c r="D9284" s="209"/>
      <c r="E9284" s="209"/>
      <c r="J9284" s="124"/>
    </row>
    <row r="9285" spans="3:10" x14ac:dyDescent="0.2">
      <c r="C9285" s="209"/>
      <c r="D9285" s="209"/>
      <c r="E9285" s="209"/>
      <c r="J9285" s="124"/>
    </row>
    <row r="9286" spans="3:10" x14ac:dyDescent="0.2">
      <c r="C9286" s="209"/>
      <c r="D9286" s="209"/>
      <c r="E9286" s="209"/>
      <c r="J9286" s="124"/>
    </row>
    <row r="9287" spans="3:10" x14ac:dyDescent="0.2">
      <c r="C9287" s="209"/>
      <c r="D9287" s="209"/>
      <c r="E9287" s="209"/>
      <c r="J9287" s="124"/>
    </row>
    <row r="9288" spans="3:10" x14ac:dyDescent="0.2">
      <c r="C9288" s="209"/>
      <c r="D9288" s="209"/>
      <c r="E9288" s="209"/>
      <c r="J9288" s="124"/>
    </row>
    <row r="9289" spans="3:10" x14ac:dyDescent="0.2">
      <c r="C9289" s="209"/>
      <c r="D9289" s="209"/>
      <c r="E9289" s="209"/>
      <c r="J9289" s="124"/>
    </row>
    <row r="9290" spans="3:10" x14ac:dyDescent="0.2">
      <c r="C9290" s="209"/>
      <c r="D9290" s="209"/>
      <c r="E9290" s="209"/>
      <c r="J9290" s="124"/>
    </row>
    <row r="9291" spans="3:10" x14ac:dyDescent="0.2">
      <c r="C9291" s="209"/>
      <c r="D9291" s="209"/>
      <c r="E9291" s="209"/>
      <c r="J9291" s="124"/>
    </row>
    <row r="9292" spans="3:10" x14ac:dyDescent="0.2">
      <c r="C9292" s="209"/>
      <c r="D9292" s="209"/>
      <c r="E9292" s="209"/>
      <c r="J9292" s="124"/>
    </row>
    <row r="9293" spans="3:10" x14ac:dyDescent="0.2">
      <c r="C9293" s="209"/>
      <c r="D9293" s="209"/>
      <c r="E9293" s="209"/>
      <c r="J9293" s="124"/>
    </row>
    <row r="9294" spans="3:10" x14ac:dyDescent="0.2">
      <c r="C9294" s="209"/>
      <c r="D9294" s="209"/>
      <c r="E9294" s="209"/>
      <c r="J9294" s="124"/>
    </row>
    <row r="9295" spans="3:10" x14ac:dyDescent="0.2">
      <c r="C9295" s="209"/>
      <c r="D9295" s="209"/>
      <c r="E9295" s="209"/>
      <c r="J9295" s="124"/>
    </row>
    <row r="9296" spans="3:10" x14ac:dyDescent="0.2">
      <c r="C9296" s="209"/>
      <c r="D9296" s="209"/>
      <c r="E9296" s="209"/>
      <c r="J9296" s="124"/>
    </row>
    <row r="9297" spans="3:10" x14ac:dyDescent="0.2">
      <c r="C9297" s="209"/>
      <c r="D9297" s="209"/>
      <c r="E9297" s="209"/>
      <c r="J9297" s="124"/>
    </row>
    <row r="9298" spans="3:10" x14ac:dyDescent="0.2">
      <c r="C9298" s="209"/>
      <c r="D9298" s="209"/>
      <c r="E9298" s="209"/>
      <c r="J9298" s="124"/>
    </row>
    <row r="9299" spans="3:10" x14ac:dyDescent="0.2">
      <c r="C9299" s="209"/>
      <c r="D9299" s="209"/>
      <c r="E9299" s="209"/>
      <c r="J9299" s="124"/>
    </row>
    <row r="9300" spans="3:10" x14ac:dyDescent="0.2">
      <c r="C9300" s="209"/>
      <c r="D9300" s="209"/>
      <c r="E9300" s="209"/>
      <c r="J9300" s="124"/>
    </row>
    <row r="9301" spans="3:10" x14ac:dyDescent="0.2">
      <c r="C9301" s="209"/>
      <c r="D9301" s="209"/>
      <c r="E9301" s="209"/>
      <c r="J9301" s="124"/>
    </row>
    <row r="9302" spans="3:10" x14ac:dyDescent="0.2">
      <c r="C9302" s="209"/>
      <c r="D9302" s="209"/>
      <c r="E9302" s="209"/>
      <c r="J9302" s="124"/>
    </row>
    <row r="9303" spans="3:10" x14ac:dyDescent="0.2">
      <c r="C9303" s="209"/>
      <c r="D9303" s="209"/>
      <c r="E9303" s="209"/>
      <c r="J9303" s="124"/>
    </row>
    <row r="9304" spans="3:10" x14ac:dyDescent="0.2">
      <c r="C9304" s="209"/>
      <c r="D9304" s="209"/>
      <c r="E9304" s="209"/>
      <c r="J9304" s="124"/>
    </row>
    <row r="9305" spans="3:10" x14ac:dyDescent="0.2">
      <c r="C9305" s="209"/>
      <c r="D9305" s="209"/>
      <c r="E9305" s="209"/>
      <c r="J9305" s="124"/>
    </row>
    <row r="9306" spans="3:10" x14ac:dyDescent="0.2">
      <c r="C9306" s="209"/>
      <c r="D9306" s="209"/>
      <c r="E9306" s="209"/>
      <c r="J9306" s="124"/>
    </row>
    <row r="9307" spans="3:10" x14ac:dyDescent="0.2">
      <c r="C9307" s="209"/>
      <c r="D9307" s="209"/>
      <c r="E9307" s="209"/>
      <c r="J9307" s="124"/>
    </row>
    <row r="9308" spans="3:10" x14ac:dyDescent="0.2">
      <c r="C9308" s="209"/>
      <c r="D9308" s="209"/>
      <c r="E9308" s="209"/>
      <c r="J9308" s="124"/>
    </row>
    <row r="9309" spans="3:10" x14ac:dyDescent="0.2">
      <c r="C9309" s="209"/>
      <c r="D9309" s="209"/>
      <c r="E9309" s="209"/>
      <c r="J9309" s="124"/>
    </row>
    <row r="9310" spans="3:10" x14ac:dyDescent="0.2">
      <c r="C9310" s="209"/>
      <c r="D9310" s="209"/>
      <c r="E9310" s="209"/>
      <c r="J9310" s="124"/>
    </row>
    <row r="9311" spans="3:10" x14ac:dyDescent="0.2">
      <c r="C9311" s="209"/>
      <c r="D9311" s="209"/>
      <c r="E9311" s="209"/>
      <c r="J9311" s="124"/>
    </row>
    <row r="9312" spans="3:10" x14ac:dyDescent="0.2">
      <c r="C9312" s="209"/>
      <c r="D9312" s="209"/>
      <c r="E9312" s="209"/>
      <c r="J9312" s="124"/>
    </row>
    <row r="9313" spans="3:10" x14ac:dyDescent="0.2">
      <c r="C9313" s="209"/>
      <c r="D9313" s="209"/>
      <c r="E9313" s="209"/>
      <c r="J9313" s="124"/>
    </row>
    <row r="9314" spans="3:10" x14ac:dyDescent="0.2">
      <c r="C9314" s="209"/>
      <c r="D9314" s="209"/>
      <c r="E9314" s="209"/>
      <c r="J9314" s="124"/>
    </row>
    <row r="9315" spans="3:10" x14ac:dyDescent="0.2">
      <c r="C9315" s="209"/>
      <c r="D9315" s="209"/>
      <c r="E9315" s="209"/>
      <c r="J9315" s="124"/>
    </row>
    <row r="9316" spans="3:10" x14ac:dyDescent="0.2">
      <c r="C9316" s="209"/>
      <c r="D9316" s="209"/>
      <c r="E9316" s="209"/>
      <c r="J9316" s="124"/>
    </row>
    <row r="9317" spans="3:10" x14ac:dyDescent="0.2">
      <c r="C9317" s="209"/>
      <c r="D9317" s="209"/>
      <c r="E9317" s="209"/>
      <c r="J9317" s="124"/>
    </row>
    <row r="9318" spans="3:10" x14ac:dyDescent="0.2">
      <c r="C9318" s="209"/>
      <c r="D9318" s="209"/>
      <c r="E9318" s="209"/>
      <c r="J9318" s="124"/>
    </row>
    <row r="9319" spans="3:10" x14ac:dyDescent="0.2">
      <c r="C9319" s="209"/>
      <c r="D9319" s="209"/>
      <c r="E9319" s="209"/>
      <c r="J9319" s="124"/>
    </row>
    <row r="9320" spans="3:10" x14ac:dyDescent="0.2">
      <c r="C9320" s="209"/>
      <c r="D9320" s="209"/>
      <c r="E9320" s="209"/>
      <c r="J9320" s="124"/>
    </row>
    <row r="9321" spans="3:10" x14ac:dyDescent="0.2">
      <c r="C9321" s="209"/>
      <c r="D9321" s="209"/>
      <c r="E9321" s="209"/>
      <c r="J9321" s="124"/>
    </row>
    <row r="9322" spans="3:10" x14ac:dyDescent="0.2">
      <c r="C9322" s="209"/>
      <c r="D9322" s="209"/>
      <c r="E9322" s="209"/>
      <c r="J9322" s="124"/>
    </row>
    <row r="9323" spans="3:10" x14ac:dyDescent="0.2">
      <c r="C9323" s="209"/>
      <c r="D9323" s="209"/>
      <c r="E9323" s="209"/>
      <c r="J9323" s="124"/>
    </row>
    <row r="9324" spans="3:10" x14ac:dyDescent="0.2">
      <c r="C9324" s="209"/>
      <c r="D9324" s="209"/>
      <c r="E9324" s="209"/>
      <c r="J9324" s="124"/>
    </row>
    <row r="9325" spans="3:10" x14ac:dyDescent="0.2">
      <c r="C9325" s="209"/>
      <c r="D9325" s="209"/>
      <c r="E9325" s="209"/>
      <c r="J9325" s="124"/>
    </row>
    <row r="9326" spans="3:10" x14ac:dyDescent="0.2">
      <c r="C9326" s="209"/>
      <c r="D9326" s="209"/>
      <c r="E9326" s="209"/>
      <c r="J9326" s="124"/>
    </row>
    <row r="9327" spans="3:10" x14ac:dyDescent="0.2">
      <c r="C9327" s="209"/>
      <c r="D9327" s="209"/>
      <c r="E9327" s="209"/>
      <c r="J9327" s="124"/>
    </row>
    <row r="9328" spans="3:10" x14ac:dyDescent="0.2">
      <c r="C9328" s="209"/>
      <c r="D9328" s="209"/>
      <c r="E9328" s="209"/>
      <c r="J9328" s="124"/>
    </row>
    <row r="9329" spans="3:10" x14ac:dyDescent="0.2">
      <c r="C9329" s="209"/>
      <c r="D9329" s="209"/>
      <c r="E9329" s="209"/>
      <c r="J9329" s="124"/>
    </row>
    <row r="9330" spans="3:10" x14ac:dyDescent="0.2">
      <c r="C9330" s="209"/>
      <c r="D9330" s="209"/>
      <c r="E9330" s="209"/>
      <c r="J9330" s="124"/>
    </row>
    <row r="9331" spans="3:10" x14ac:dyDescent="0.2">
      <c r="C9331" s="209"/>
      <c r="D9331" s="209"/>
      <c r="E9331" s="209"/>
      <c r="J9331" s="124"/>
    </row>
    <row r="9332" spans="3:10" x14ac:dyDescent="0.2">
      <c r="C9332" s="209"/>
      <c r="D9332" s="209"/>
      <c r="E9332" s="209"/>
      <c r="J9332" s="124"/>
    </row>
    <row r="9333" spans="3:10" x14ac:dyDescent="0.2">
      <c r="C9333" s="209"/>
      <c r="D9333" s="209"/>
      <c r="E9333" s="209"/>
      <c r="J9333" s="124"/>
    </row>
    <row r="9334" spans="3:10" x14ac:dyDescent="0.2">
      <c r="C9334" s="209"/>
      <c r="D9334" s="209"/>
      <c r="E9334" s="209"/>
      <c r="J9334" s="124"/>
    </row>
    <row r="9335" spans="3:10" x14ac:dyDescent="0.2">
      <c r="C9335" s="209"/>
      <c r="D9335" s="209"/>
      <c r="E9335" s="209"/>
      <c r="J9335" s="124"/>
    </row>
    <row r="9336" spans="3:10" x14ac:dyDescent="0.2">
      <c r="C9336" s="209"/>
      <c r="D9336" s="209"/>
      <c r="E9336" s="209"/>
      <c r="J9336" s="124"/>
    </row>
    <row r="9337" spans="3:10" x14ac:dyDescent="0.2">
      <c r="C9337" s="209"/>
      <c r="D9337" s="209"/>
      <c r="E9337" s="209"/>
      <c r="J9337" s="124"/>
    </row>
    <row r="9338" spans="3:10" x14ac:dyDescent="0.2">
      <c r="C9338" s="209"/>
      <c r="D9338" s="209"/>
      <c r="E9338" s="209"/>
      <c r="J9338" s="124"/>
    </row>
    <row r="9339" spans="3:10" x14ac:dyDescent="0.2">
      <c r="C9339" s="209"/>
      <c r="D9339" s="209"/>
      <c r="E9339" s="209"/>
      <c r="J9339" s="124"/>
    </row>
    <row r="9340" spans="3:10" x14ac:dyDescent="0.2">
      <c r="C9340" s="209"/>
      <c r="D9340" s="209"/>
      <c r="E9340" s="209"/>
      <c r="J9340" s="124"/>
    </row>
    <row r="9341" spans="3:10" x14ac:dyDescent="0.2">
      <c r="C9341" s="209"/>
      <c r="D9341" s="209"/>
      <c r="E9341" s="209"/>
      <c r="J9341" s="124"/>
    </row>
    <row r="9342" spans="3:10" x14ac:dyDescent="0.2">
      <c r="C9342" s="209"/>
      <c r="D9342" s="209"/>
      <c r="E9342" s="209"/>
      <c r="J9342" s="124"/>
    </row>
    <row r="9343" spans="3:10" x14ac:dyDescent="0.2">
      <c r="C9343" s="209"/>
      <c r="D9343" s="209"/>
      <c r="E9343" s="209"/>
      <c r="J9343" s="124"/>
    </row>
    <row r="9344" spans="3:10" x14ac:dyDescent="0.2">
      <c r="C9344" s="209"/>
      <c r="D9344" s="209"/>
      <c r="E9344" s="209"/>
      <c r="J9344" s="124"/>
    </row>
    <row r="9345" spans="3:10" x14ac:dyDescent="0.2">
      <c r="C9345" s="209"/>
      <c r="D9345" s="209"/>
      <c r="E9345" s="209"/>
      <c r="J9345" s="124"/>
    </row>
    <row r="9346" spans="3:10" x14ac:dyDescent="0.2">
      <c r="C9346" s="209"/>
      <c r="D9346" s="209"/>
      <c r="E9346" s="209"/>
      <c r="J9346" s="124"/>
    </row>
    <row r="9347" spans="3:10" x14ac:dyDescent="0.2">
      <c r="C9347" s="209"/>
      <c r="D9347" s="209"/>
      <c r="E9347" s="209"/>
      <c r="J9347" s="124"/>
    </row>
    <row r="9348" spans="3:10" x14ac:dyDescent="0.2">
      <c r="C9348" s="209"/>
      <c r="D9348" s="209"/>
      <c r="E9348" s="209"/>
      <c r="J9348" s="124"/>
    </row>
    <row r="9349" spans="3:10" x14ac:dyDescent="0.2">
      <c r="C9349" s="209"/>
      <c r="D9349" s="209"/>
      <c r="E9349" s="209"/>
      <c r="J9349" s="124"/>
    </row>
    <row r="9350" spans="3:10" x14ac:dyDescent="0.2">
      <c r="C9350" s="209"/>
      <c r="D9350" s="209"/>
      <c r="E9350" s="209"/>
      <c r="J9350" s="124"/>
    </row>
    <row r="9351" spans="3:10" x14ac:dyDescent="0.2">
      <c r="C9351" s="209"/>
      <c r="D9351" s="209"/>
      <c r="E9351" s="209"/>
      <c r="J9351" s="124"/>
    </row>
    <row r="9352" spans="3:10" x14ac:dyDescent="0.2">
      <c r="C9352" s="209"/>
      <c r="D9352" s="209"/>
      <c r="E9352" s="209"/>
      <c r="J9352" s="124"/>
    </row>
    <row r="9353" spans="3:10" x14ac:dyDescent="0.2">
      <c r="C9353" s="209"/>
      <c r="D9353" s="209"/>
      <c r="E9353" s="209"/>
      <c r="J9353" s="124"/>
    </row>
    <row r="9354" spans="3:10" x14ac:dyDescent="0.2">
      <c r="C9354" s="209"/>
      <c r="D9354" s="209"/>
      <c r="E9354" s="209"/>
      <c r="J9354" s="124"/>
    </row>
    <row r="9355" spans="3:10" x14ac:dyDescent="0.2">
      <c r="C9355" s="209"/>
      <c r="D9355" s="209"/>
      <c r="E9355" s="209"/>
      <c r="J9355" s="124"/>
    </row>
    <row r="9356" spans="3:10" x14ac:dyDescent="0.2">
      <c r="C9356" s="209"/>
      <c r="D9356" s="209"/>
      <c r="E9356" s="209"/>
      <c r="J9356" s="124"/>
    </row>
    <row r="9357" spans="3:10" x14ac:dyDescent="0.2">
      <c r="C9357" s="209"/>
      <c r="D9357" s="209"/>
      <c r="E9357" s="209"/>
      <c r="J9357" s="124"/>
    </row>
    <row r="9358" spans="3:10" x14ac:dyDescent="0.2">
      <c r="C9358" s="209"/>
      <c r="D9358" s="209"/>
      <c r="E9358" s="209"/>
      <c r="J9358" s="124"/>
    </row>
    <row r="9359" spans="3:10" x14ac:dyDescent="0.2">
      <c r="C9359" s="209"/>
      <c r="D9359" s="209"/>
      <c r="E9359" s="209"/>
      <c r="J9359" s="124"/>
    </row>
    <row r="9360" spans="3:10" x14ac:dyDescent="0.2">
      <c r="C9360" s="209"/>
      <c r="D9360" s="209"/>
      <c r="E9360" s="209"/>
      <c r="J9360" s="124"/>
    </row>
    <row r="9361" spans="3:10" x14ac:dyDescent="0.2">
      <c r="C9361" s="209"/>
      <c r="D9361" s="209"/>
      <c r="E9361" s="209"/>
      <c r="J9361" s="124"/>
    </row>
    <row r="9362" spans="3:10" x14ac:dyDescent="0.2">
      <c r="C9362" s="209"/>
      <c r="D9362" s="209"/>
      <c r="E9362" s="209"/>
      <c r="J9362" s="124"/>
    </row>
    <row r="9363" spans="3:10" x14ac:dyDescent="0.2">
      <c r="C9363" s="209"/>
      <c r="D9363" s="209"/>
      <c r="E9363" s="209"/>
      <c r="J9363" s="124"/>
    </row>
    <row r="9364" spans="3:10" x14ac:dyDescent="0.2">
      <c r="C9364" s="209"/>
      <c r="D9364" s="209"/>
      <c r="E9364" s="209"/>
      <c r="J9364" s="124"/>
    </row>
    <row r="9365" spans="3:10" x14ac:dyDescent="0.2">
      <c r="C9365" s="209"/>
      <c r="D9365" s="209"/>
      <c r="E9365" s="209"/>
      <c r="J9365" s="124"/>
    </row>
    <row r="9366" spans="3:10" x14ac:dyDescent="0.2">
      <c r="C9366" s="209"/>
      <c r="D9366" s="209"/>
      <c r="E9366" s="209"/>
      <c r="J9366" s="124"/>
    </row>
    <row r="9367" spans="3:10" x14ac:dyDescent="0.2">
      <c r="C9367" s="209"/>
      <c r="D9367" s="209"/>
      <c r="E9367" s="209"/>
      <c r="J9367" s="124"/>
    </row>
    <row r="9368" spans="3:10" x14ac:dyDescent="0.2">
      <c r="C9368" s="209"/>
      <c r="D9368" s="209"/>
      <c r="E9368" s="209"/>
      <c r="J9368" s="124"/>
    </row>
    <row r="9369" spans="3:10" x14ac:dyDescent="0.2">
      <c r="C9369" s="209"/>
      <c r="D9369" s="209"/>
      <c r="E9369" s="209"/>
      <c r="J9369" s="124"/>
    </row>
    <row r="9370" spans="3:10" x14ac:dyDescent="0.2">
      <c r="C9370" s="209"/>
      <c r="D9370" s="209"/>
      <c r="E9370" s="209"/>
      <c r="J9370" s="124"/>
    </row>
    <row r="9371" spans="3:10" x14ac:dyDescent="0.2">
      <c r="C9371" s="209"/>
      <c r="D9371" s="209"/>
      <c r="E9371" s="209"/>
      <c r="J9371" s="124"/>
    </row>
    <row r="9372" spans="3:10" x14ac:dyDescent="0.2">
      <c r="C9372" s="209"/>
      <c r="D9372" s="209"/>
      <c r="E9372" s="209"/>
      <c r="J9372" s="124"/>
    </row>
    <row r="9373" spans="3:10" x14ac:dyDescent="0.2">
      <c r="C9373" s="209"/>
      <c r="D9373" s="209"/>
      <c r="E9373" s="209"/>
      <c r="J9373" s="124"/>
    </row>
    <row r="9374" spans="3:10" x14ac:dyDescent="0.2">
      <c r="C9374" s="209"/>
      <c r="D9374" s="209"/>
      <c r="E9374" s="209"/>
      <c r="J9374" s="124"/>
    </row>
    <row r="9375" spans="3:10" x14ac:dyDescent="0.2">
      <c r="C9375" s="209"/>
      <c r="D9375" s="209"/>
      <c r="E9375" s="209"/>
      <c r="J9375" s="124"/>
    </row>
    <row r="9376" spans="3:10" x14ac:dyDescent="0.2">
      <c r="C9376" s="209"/>
      <c r="D9376" s="209"/>
      <c r="E9376" s="209"/>
      <c r="J9376" s="124"/>
    </row>
    <row r="9377" spans="3:10" x14ac:dyDescent="0.2">
      <c r="C9377" s="209"/>
      <c r="D9377" s="209"/>
      <c r="E9377" s="209"/>
      <c r="J9377" s="124"/>
    </row>
    <row r="9378" spans="3:10" x14ac:dyDescent="0.2">
      <c r="C9378" s="209"/>
      <c r="D9378" s="209"/>
      <c r="E9378" s="209"/>
      <c r="J9378" s="124"/>
    </row>
    <row r="9379" spans="3:10" x14ac:dyDescent="0.2">
      <c r="C9379" s="209"/>
      <c r="D9379" s="209"/>
      <c r="E9379" s="209"/>
      <c r="J9379" s="124"/>
    </row>
    <row r="9380" spans="3:10" x14ac:dyDescent="0.2">
      <c r="C9380" s="209"/>
      <c r="D9380" s="209"/>
      <c r="E9380" s="209"/>
      <c r="J9380" s="124"/>
    </row>
    <row r="9381" spans="3:10" x14ac:dyDescent="0.2">
      <c r="C9381" s="209"/>
      <c r="D9381" s="209"/>
      <c r="E9381" s="209"/>
      <c r="J9381" s="124"/>
    </row>
    <row r="9382" spans="3:10" x14ac:dyDescent="0.2">
      <c r="C9382" s="209"/>
      <c r="D9382" s="209"/>
      <c r="E9382" s="209"/>
      <c r="J9382" s="124"/>
    </row>
    <row r="9383" spans="3:10" x14ac:dyDescent="0.2">
      <c r="C9383" s="209"/>
      <c r="D9383" s="209"/>
      <c r="E9383" s="209"/>
      <c r="J9383" s="124"/>
    </row>
    <row r="9384" spans="3:10" x14ac:dyDescent="0.2">
      <c r="C9384" s="209"/>
      <c r="D9384" s="209"/>
      <c r="E9384" s="209"/>
      <c r="J9384" s="124"/>
    </row>
    <row r="9385" spans="3:10" x14ac:dyDescent="0.2">
      <c r="C9385" s="209"/>
      <c r="D9385" s="209"/>
      <c r="E9385" s="209"/>
      <c r="J9385" s="124"/>
    </row>
    <row r="9386" spans="3:10" x14ac:dyDescent="0.2">
      <c r="C9386" s="209"/>
      <c r="D9386" s="209"/>
      <c r="E9386" s="209"/>
      <c r="J9386" s="124"/>
    </row>
    <row r="9387" spans="3:10" x14ac:dyDescent="0.2">
      <c r="C9387" s="209"/>
      <c r="D9387" s="209"/>
      <c r="E9387" s="209"/>
      <c r="J9387" s="124"/>
    </row>
    <row r="9388" spans="3:10" x14ac:dyDescent="0.2">
      <c r="C9388" s="209"/>
      <c r="D9388" s="209"/>
      <c r="E9388" s="209"/>
      <c r="J9388" s="124"/>
    </row>
    <row r="9389" spans="3:10" x14ac:dyDescent="0.2">
      <c r="C9389" s="209"/>
      <c r="D9389" s="209"/>
      <c r="E9389" s="209"/>
      <c r="J9389" s="124"/>
    </row>
    <row r="9390" spans="3:10" x14ac:dyDescent="0.2">
      <c r="C9390" s="209"/>
      <c r="D9390" s="209"/>
      <c r="E9390" s="209"/>
      <c r="J9390" s="124"/>
    </row>
    <row r="9391" spans="3:10" x14ac:dyDescent="0.2">
      <c r="C9391" s="209"/>
      <c r="D9391" s="209"/>
      <c r="E9391" s="209"/>
      <c r="J9391" s="124"/>
    </row>
    <row r="9392" spans="3:10" x14ac:dyDescent="0.2">
      <c r="C9392" s="209"/>
      <c r="D9392" s="209"/>
      <c r="E9392" s="209"/>
      <c r="J9392" s="124"/>
    </row>
    <row r="9393" spans="3:10" x14ac:dyDescent="0.2">
      <c r="C9393" s="209"/>
      <c r="D9393" s="209"/>
      <c r="E9393" s="209"/>
      <c r="J9393" s="124"/>
    </row>
    <row r="9394" spans="3:10" x14ac:dyDescent="0.2">
      <c r="C9394" s="209"/>
      <c r="D9394" s="209"/>
      <c r="E9394" s="209"/>
      <c r="J9394" s="124"/>
    </row>
    <row r="9395" spans="3:10" x14ac:dyDescent="0.2">
      <c r="C9395" s="209"/>
      <c r="D9395" s="209"/>
      <c r="E9395" s="209"/>
      <c r="J9395" s="124"/>
    </row>
    <row r="9396" spans="3:10" x14ac:dyDescent="0.2">
      <c r="C9396" s="209"/>
      <c r="D9396" s="209"/>
      <c r="E9396" s="209"/>
      <c r="J9396" s="124"/>
    </row>
    <row r="9397" spans="3:10" x14ac:dyDescent="0.2">
      <c r="C9397" s="209"/>
      <c r="D9397" s="209"/>
      <c r="E9397" s="209"/>
      <c r="J9397" s="124"/>
    </row>
    <row r="9398" spans="3:10" x14ac:dyDescent="0.2">
      <c r="C9398" s="209"/>
      <c r="D9398" s="209"/>
      <c r="E9398" s="209"/>
      <c r="J9398" s="124"/>
    </row>
    <row r="9399" spans="3:10" x14ac:dyDescent="0.2">
      <c r="C9399" s="209"/>
      <c r="D9399" s="209"/>
      <c r="E9399" s="209"/>
      <c r="J9399" s="124"/>
    </row>
    <row r="9400" spans="3:10" x14ac:dyDescent="0.2">
      <c r="C9400" s="209"/>
      <c r="D9400" s="209"/>
      <c r="E9400" s="209"/>
      <c r="J9400" s="124"/>
    </row>
    <row r="9401" spans="3:10" x14ac:dyDescent="0.2">
      <c r="C9401" s="209"/>
      <c r="D9401" s="209"/>
      <c r="E9401" s="209"/>
      <c r="J9401" s="124"/>
    </row>
    <row r="9402" spans="3:10" x14ac:dyDescent="0.2">
      <c r="C9402" s="209"/>
      <c r="D9402" s="209"/>
      <c r="E9402" s="209"/>
      <c r="J9402" s="124"/>
    </row>
    <row r="9403" spans="3:10" x14ac:dyDescent="0.2">
      <c r="C9403" s="209"/>
      <c r="D9403" s="209"/>
      <c r="E9403" s="209"/>
      <c r="J9403" s="124"/>
    </row>
    <row r="9404" spans="3:10" x14ac:dyDescent="0.2">
      <c r="C9404" s="209"/>
      <c r="D9404" s="209"/>
      <c r="E9404" s="209"/>
      <c r="J9404" s="124"/>
    </row>
    <row r="9405" spans="3:10" x14ac:dyDescent="0.2">
      <c r="C9405" s="209"/>
      <c r="D9405" s="209"/>
      <c r="E9405" s="209"/>
      <c r="J9405" s="124"/>
    </row>
    <row r="9406" spans="3:10" x14ac:dyDescent="0.2">
      <c r="C9406" s="209"/>
      <c r="D9406" s="209"/>
      <c r="E9406" s="209"/>
      <c r="J9406" s="124"/>
    </row>
    <row r="9407" spans="3:10" x14ac:dyDescent="0.2">
      <c r="C9407" s="209"/>
      <c r="D9407" s="209"/>
      <c r="E9407" s="209"/>
      <c r="J9407" s="124"/>
    </row>
    <row r="9408" spans="3:10" x14ac:dyDescent="0.2">
      <c r="C9408" s="209"/>
      <c r="D9408" s="209"/>
      <c r="E9408" s="209"/>
      <c r="J9408" s="124"/>
    </row>
    <row r="9409" spans="3:10" x14ac:dyDescent="0.2">
      <c r="C9409" s="209"/>
      <c r="D9409" s="209"/>
      <c r="E9409" s="209"/>
      <c r="J9409" s="124"/>
    </row>
    <row r="9410" spans="3:10" x14ac:dyDescent="0.2">
      <c r="C9410" s="209"/>
      <c r="D9410" s="209"/>
      <c r="E9410" s="209"/>
      <c r="J9410" s="124"/>
    </row>
    <row r="9411" spans="3:10" x14ac:dyDescent="0.2">
      <c r="C9411" s="209"/>
      <c r="D9411" s="209"/>
      <c r="E9411" s="209"/>
      <c r="J9411" s="124"/>
    </row>
    <row r="9412" spans="3:10" x14ac:dyDescent="0.2">
      <c r="C9412" s="209"/>
      <c r="D9412" s="209"/>
      <c r="E9412" s="209"/>
      <c r="J9412" s="124"/>
    </row>
    <row r="9413" spans="3:10" x14ac:dyDescent="0.2">
      <c r="C9413" s="209"/>
      <c r="D9413" s="209"/>
      <c r="E9413" s="209"/>
      <c r="J9413" s="124"/>
    </row>
    <row r="9414" spans="3:10" x14ac:dyDescent="0.2">
      <c r="C9414" s="209"/>
      <c r="D9414" s="209"/>
      <c r="E9414" s="209"/>
      <c r="J9414" s="124"/>
    </row>
    <row r="9415" spans="3:10" x14ac:dyDescent="0.2">
      <c r="C9415" s="209"/>
      <c r="D9415" s="209"/>
      <c r="E9415" s="209"/>
      <c r="J9415" s="124"/>
    </row>
    <row r="9416" spans="3:10" x14ac:dyDescent="0.2">
      <c r="C9416" s="209"/>
      <c r="D9416" s="209"/>
      <c r="E9416" s="209"/>
      <c r="J9416" s="124"/>
    </row>
    <row r="9417" spans="3:10" x14ac:dyDescent="0.2">
      <c r="C9417" s="209"/>
      <c r="D9417" s="209"/>
      <c r="E9417" s="209"/>
      <c r="J9417" s="124"/>
    </row>
    <row r="9418" spans="3:10" x14ac:dyDescent="0.2">
      <c r="C9418" s="209"/>
      <c r="D9418" s="209"/>
      <c r="E9418" s="209"/>
      <c r="J9418" s="124"/>
    </row>
    <row r="9419" spans="3:10" x14ac:dyDescent="0.2">
      <c r="C9419" s="209"/>
      <c r="D9419" s="209"/>
      <c r="E9419" s="209"/>
      <c r="J9419" s="124"/>
    </row>
    <row r="9420" spans="3:10" x14ac:dyDescent="0.2">
      <c r="C9420" s="209"/>
      <c r="D9420" s="209"/>
      <c r="E9420" s="209"/>
      <c r="J9420" s="124"/>
    </row>
    <row r="9421" spans="3:10" x14ac:dyDescent="0.2">
      <c r="C9421" s="209"/>
      <c r="D9421" s="209"/>
      <c r="E9421" s="209"/>
      <c r="J9421" s="124"/>
    </row>
    <row r="9422" spans="3:10" x14ac:dyDescent="0.2">
      <c r="C9422" s="209"/>
      <c r="D9422" s="209"/>
      <c r="E9422" s="209"/>
      <c r="J9422" s="124"/>
    </row>
    <row r="9423" spans="3:10" x14ac:dyDescent="0.2">
      <c r="C9423" s="209"/>
      <c r="D9423" s="209"/>
      <c r="E9423" s="209"/>
      <c r="J9423" s="124"/>
    </row>
    <row r="9424" spans="3:10" x14ac:dyDescent="0.2">
      <c r="C9424" s="209"/>
      <c r="D9424" s="209"/>
      <c r="E9424" s="209"/>
      <c r="J9424" s="124"/>
    </row>
    <row r="9425" spans="3:10" x14ac:dyDescent="0.2">
      <c r="C9425" s="209"/>
      <c r="D9425" s="209"/>
      <c r="E9425" s="209"/>
      <c r="J9425" s="124"/>
    </row>
    <row r="9426" spans="3:10" x14ac:dyDescent="0.2">
      <c r="C9426" s="209"/>
      <c r="D9426" s="209"/>
      <c r="E9426" s="209"/>
      <c r="J9426" s="124"/>
    </row>
    <row r="9427" spans="3:10" x14ac:dyDescent="0.2">
      <c r="C9427" s="209"/>
      <c r="D9427" s="209"/>
      <c r="E9427" s="209"/>
      <c r="J9427" s="124"/>
    </row>
    <row r="9428" spans="3:10" x14ac:dyDescent="0.2">
      <c r="C9428" s="209"/>
      <c r="D9428" s="209"/>
      <c r="E9428" s="209"/>
      <c r="J9428" s="124"/>
    </row>
    <row r="9429" spans="3:10" x14ac:dyDescent="0.2">
      <c r="C9429" s="209"/>
      <c r="D9429" s="209"/>
      <c r="E9429" s="209"/>
      <c r="J9429" s="124"/>
    </row>
    <row r="9430" spans="3:10" x14ac:dyDescent="0.2">
      <c r="C9430" s="209"/>
      <c r="D9430" s="209"/>
      <c r="E9430" s="209"/>
      <c r="J9430" s="124"/>
    </row>
    <row r="9431" spans="3:10" x14ac:dyDescent="0.2">
      <c r="C9431" s="209"/>
      <c r="D9431" s="209"/>
      <c r="E9431" s="209"/>
      <c r="J9431" s="124"/>
    </row>
    <row r="9432" spans="3:10" x14ac:dyDescent="0.2">
      <c r="C9432" s="209"/>
      <c r="D9432" s="209"/>
      <c r="E9432" s="209"/>
      <c r="J9432" s="124"/>
    </row>
    <row r="9433" spans="3:10" x14ac:dyDescent="0.2">
      <c r="C9433" s="209"/>
      <c r="D9433" s="209"/>
      <c r="E9433" s="209"/>
      <c r="J9433" s="124"/>
    </row>
    <row r="9434" spans="3:10" x14ac:dyDescent="0.2">
      <c r="C9434" s="209"/>
      <c r="D9434" s="209"/>
      <c r="E9434" s="209"/>
      <c r="J9434" s="124"/>
    </row>
    <row r="9435" spans="3:10" x14ac:dyDescent="0.2">
      <c r="C9435" s="209"/>
      <c r="D9435" s="209"/>
      <c r="E9435" s="209"/>
      <c r="J9435" s="124"/>
    </row>
    <row r="9436" spans="3:10" x14ac:dyDescent="0.2">
      <c r="C9436" s="209"/>
      <c r="D9436" s="209"/>
      <c r="E9436" s="209"/>
      <c r="J9436" s="124"/>
    </row>
    <row r="9437" spans="3:10" x14ac:dyDescent="0.2">
      <c r="C9437" s="209"/>
      <c r="D9437" s="209"/>
      <c r="E9437" s="209"/>
      <c r="J9437" s="124"/>
    </row>
    <row r="9438" spans="3:10" x14ac:dyDescent="0.2">
      <c r="C9438" s="209"/>
      <c r="D9438" s="209"/>
      <c r="E9438" s="209"/>
      <c r="J9438" s="124"/>
    </row>
    <row r="9439" spans="3:10" x14ac:dyDescent="0.2">
      <c r="C9439" s="209"/>
      <c r="D9439" s="209"/>
      <c r="E9439" s="209"/>
      <c r="J9439" s="124"/>
    </row>
    <row r="9440" spans="3:10" x14ac:dyDescent="0.2">
      <c r="C9440" s="209"/>
      <c r="D9440" s="209"/>
      <c r="E9440" s="209"/>
      <c r="J9440" s="124"/>
    </row>
    <row r="9441" spans="3:10" x14ac:dyDescent="0.2">
      <c r="C9441" s="209"/>
      <c r="D9441" s="209"/>
      <c r="E9441" s="209"/>
      <c r="J9441" s="124"/>
    </row>
    <row r="9442" spans="3:10" x14ac:dyDescent="0.2">
      <c r="C9442" s="209"/>
      <c r="D9442" s="209"/>
      <c r="E9442" s="209"/>
      <c r="J9442" s="124"/>
    </row>
    <row r="9443" spans="3:10" x14ac:dyDescent="0.2">
      <c r="C9443" s="209"/>
      <c r="D9443" s="209"/>
      <c r="E9443" s="209"/>
      <c r="J9443" s="124"/>
    </row>
    <row r="9444" spans="3:10" x14ac:dyDescent="0.2">
      <c r="C9444" s="209"/>
      <c r="D9444" s="209"/>
      <c r="E9444" s="209"/>
      <c r="J9444" s="124"/>
    </row>
    <row r="9445" spans="3:10" x14ac:dyDescent="0.2">
      <c r="C9445" s="209"/>
      <c r="D9445" s="209"/>
      <c r="E9445" s="209"/>
      <c r="J9445" s="124"/>
    </row>
    <row r="9446" spans="3:10" x14ac:dyDescent="0.2">
      <c r="C9446" s="209"/>
      <c r="D9446" s="209"/>
      <c r="E9446" s="209"/>
      <c r="J9446" s="124"/>
    </row>
    <row r="9447" spans="3:10" x14ac:dyDescent="0.2">
      <c r="C9447" s="209"/>
      <c r="D9447" s="209"/>
      <c r="E9447" s="209"/>
      <c r="J9447" s="124"/>
    </row>
    <row r="9448" spans="3:10" x14ac:dyDescent="0.2">
      <c r="C9448" s="209"/>
      <c r="D9448" s="209"/>
      <c r="E9448" s="209"/>
      <c r="J9448" s="124"/>
    </row>
    <row r="9449" spans="3:10" x14ac:dyDescent="0.2">
      <c r="C9449" s="209"/>
      <c r="D9449" s="209"/>
      <c r="E9449" s="209"/>
      <c r="J9449" s="124"/>
    </row>
    <row r="9450" spans="3:10" x14ac:dyDescent="0.2">
      <c r="C9450" s="209"/>
      <c r="D9450" s="209"/>
      <c r="E9450" s="209"/>
      <c r="J9450" s="124"/>
    </row>
    <row r="9451" spans="3:10" x14ac:dyDescent="0.2">
      <c r="C9451" s="209"/>
      <c r="D9451" s="209"/>
      <c r="E9451" s="209"/>
      <c r="J9451" s="124"/>
    </row>
    <row r="9452" spans="3:10" x14ac:dyDescent="0.2">
      <c r="C9452" s="209"/>
      <c r="D9452" s="209"/>
      <c r="E9452" s="209"/>
      <c r="J9452" s="124"/>
    </row>
    <row r="9453" spans="3:10" x14ac:dyDescent="0.2">
      <c r="C9453" s="209"/>
      <c r="D9453" s="209"/>
      <c r="E9453" s="209"/>
      <c r="J9453" s="124"/>
    </row>
    <row r="9454" spans="3:10" x14ac:dyDescent="0.2">
      <c r="C9454" s="209"/>
      <c r="D9454" s="209"/>
      <c r="E9454" s="209"/>
      <c r="J9454" s="124"/>
    </row>
    <row r="9455" spans="3:10" x14ac:dyDescent="0.2">
      <c r="C9455" s="209"/>
      <c r="D9455" s="209"/>
      <c r="E9455" s="209"/>
      <c r="J9455" s="124"/>
    </row>
    <row r="9456" spans="3:10" x14ac:dyDescent="0.2">
      <c r="C9456" s="209"/>
      <c r="D9456" s="209"/>
      <c r="E9456" s="209"/>
      <c r="J9456" s="124"/>
    </row>
    <row r="9457" spans="3:10" x14ac:dyDescent="0.2">
      <c r="C9457" s="209"/>
      <c r="D9457" s="209"/>
      <c r="E9457" s="209"/>
      <c r="J9457" s="124"/>
    </row>
    <row r="9458" spans="3:10" x14ac:dyDescent="0.2">
      <c r="C9458" s="209"/>
      <c r="D9458" s="209"/>
      <c r="E9458" s="209"/>
      <c r="J9458" s="124"/>
    </row>
    <row r="9459" spans="3:10" x14ac:dyDescent="0.2">
      <c r="C9459" s="209"/>
      <c r="D9459" s="209"/>
      <c r="E9459" s="209"/>
      <c r="J9459" s="124"/>
    </row>
    <row r="9460" spans="3:10" x14ac:dyDescent="0.2">
      <c r="C9460" s="209"/>
      <c r="D9460" s="209"/>
      <c r="E9460" s="209"/>
      <c r="J9460" s="124"/>
    </row>
    <row r="9461" spans="3:10" x14ac:dyDescent="0.2">
      <c r="C9461" s="209"/>
      <c r="D9461" s="209"/>
      <c r="E9461" s="209"/>
      <c r="J9461" s="124"/>
    </row>
    <row r="9462" spans="3:10" x14ac:dyDescent="0.2">
      <c r="C9462" s="209"/>
      <c r="D9462" s="209"/>
      <c r="E9462" s="209"/>
      <c r="J9462" s="124"/>
    </row>
    <row r="9463" spans="3:10" x14ac:dyDescent="0.2">
      <c r="C9463" s="209"/>
      <c r="D9463" s="209"/>
      <c r="E9463" s="209"/>
      <c r="J9463" s="124"/>
    </row>
    <row r="9464" spans="3:10" x14ac:dyDescent="0.2">
      <c r="C9464" s="209"/>
      <c r="D9464" s="209"/>
      <c r="E9464" s="209"/>
      <c r="J9464" s="124"/>
    </row>
    <row r="9465" spans="3:10" x14ac:dyDescent="0.2">
      <c r="C9465" s="209"/>
      <c r="D9465" s="209"/>
      <c r="E9465" s="209"/>
      <c r="J9465" s="124"/>
    </row>
    <row r="9466" spans="3:10" x14ac:dyDescent="0.2">
      <c r="C9466" s="209"/>
      <c r="D9466" s="209"/>
      <c r="E9466" s="209"/>
      <c r="J9466" s="124"/>
    </row>
    <row r="9467" spans="3:10" x14ac:dyDescent="0.2">
      <c r="C9467" s="209"/>
      <c r="D9467" s="209"/>
      <c r="E9467" s="209"/>
      <c r="J9467" s="124"/>
    </row>
    <row r="9468" spans="3:10" x14ac:dyDescent="0.2">
      <c r="C9468" s="209"/>
      <c r="D9468" s="209"/>
      <c r="E9468" s="209"/>
      <c r="J9468" s="124"/>
    </row>
    <row r="9469" spans="3:10" x14ac:dyDescent="0.2">
      <c r="C9469" s="209"/>
      <c r="D9469" s="209"/>
      <c r="E9469" s="209"/>
      <c r="J9469" s="124"/>
    </row>
    <row r="9470" spans="3:10" x14ac:dyDescent="0.2">
      <c r="C9470" s="209"/>
      <c r="D9470" s="209"/>
      <c r="E9470" s="209"/>
      <c r="J9470" s="124"/>
    </row>
    <row r="9471" spans="3:10" x14ac:dyDescent="0.2">
      <c r="C9471" s="209"/>
      <c r="D9471" s="209"/>
      <c r="E9471" s="209"/>
      <c r="J9471" s="124"/>
    </row>
    <row r="9472" spans="3:10" x14ac:dyDescent="0.2">
      <c r="C9472" s="209"/>
      <c r="D9472" s="209"/>
      <c r="E9472" s="209"/>
      <c r="J9472" s="124"/>
    </row>
    <row r="9473" spans="3:10" x14ac:dyDescent="0.2">
      <c r="C9473" s="209"/>
      <c r="D9473" s="209"/>
      <c r="E9473" s="209"/>
      <c r="J9473" s="124"/>
    </row>
    <row r="9474" spans="3:10" x14ac:dyDescent="0.2">
      <c r="C9474" s="209"/>
      <c r="D9474" s="209"/>
      <c r="E9474" s="209"/>
      <c r="J9474" s="124"/>
    </row>
    <row r="9475" spans="3:10" x14ac:dyDescent="0.2">
      <c r="C9475" s="209"/>
      <c r="D9475" s="209"/>
      <c r="E9475" s="209"/>
      <c r="J9475" s="124"/>
    </row>
    <row r="9476" spans="3:10" x14ac:dyDescent="0.2">
      <c r="C9476" s="209"/>
      <c r="D9476" s="209"/>
      <c r="E9476" s="209"/>
      <c r="J9476" s="124"/>
    </row>
    <row r="9477" spans="3:10" x14ac:dyDescent="0.2">
      <c r="C9477" s="209"/>
      <c r="D9477" s="209"/>
      <c r="E9477" s="209"/>
      <c r="J9477" s="124"/>
    </row>
    <row r="9478" spans="3:10" x14ac:dyDescent="0.2">
      <c r="C9478" s="209"/>
      <c r="D9478" s="209"/>
      <c r="E9478" s="209"/>
      <c r="J9478" s="124"/>
    </row>
    <row r="9479" spans="3:10" x14ac:dyDescent="0.2">
      <c r="C9479" s="209"/>
      <c r="D9479" s="209"/>
      <c r="E9479" s="209"/>
      <c r="J9479" s="124"/>
    </row>
    <row r="9480" spans="3:10" x14ac:dyDescent="0.2">
      <c r="C9480" s="209"/>
      <c r="D9480" s="209"/>
      <c r="E9480" s="209"/>
      <c r="J9480" s="124"/>
    </row>
    <row r="9481" spans="3:10" x14ac:dyDescent="0.2">
      <c r="C9481" s="209"/>
      <c r="D9481" s="209"/>
      <c r="E9481" s="209"/>
      <c r="J9481" s="124"/>
    </row>
    <row r="9482" spans="3:10" x14ac:dyDescent="0.2">
      <c r="C9482" s="209"/>
      <c r="D9482" s="209"/>
      <c r="E9482" s="209"/>
      <c r="J9482" s="124"/>
    </row>
    <row r="9483" spans="3:10" x14ac:dyDescent="0.2">
      <c r="C9483" s="209"/>
      <c r="D9483" s="209"/>
      <c r="E9483" s="209"/>
      <c r="J9483" s="124"/>
    </row>
    <row r="9484" spans="3:10" x14ac:dyDescent="0.2">
      <c r="C9484" s="209"/>
      <c r="D9484" s="209"/>
      <c r="E9484" s="209"/>
      <c r="J9484" s="124"/>
    </row>
    <row r="9485" spans="3:10" x14ac:dyDescent="0.2">
      <c r="C9485" s="209"/>
      <c r="D9485" s="209"/>
      <c r="E9485" s="209"/>
      <c r="J9485" s="124"/>
    </row>
    <row r="9486" spans="3:10" x14ac:dyDescent="0.2">
      <c r="C9486" s="209"/>
      <c r="D9486" s="209"/>
      <c r="E9486" s="209"/>
      <c r="J9486" s="124"/>
    </row>
    <row r="9487" spans="3:10" x14ac:dyDescent="0.2">
      <c r="C9487" s="209"/>
      <c r="D9487" s="209"/>
      <c r="E9487" s="209"/>
      <c r="J9487" s="124"/>
    </row>
    <row r="9488" spans="3:10" x14ac:dyDescent="0.2">
      <c r="C9488" s="209"/>
      <c r="D9488" s="209"/>
      <c r="E9488" s="209"/>
      <c r="J9488" s="124"/>
    </row>
    <row r="9489" spans="3:10" x14ac:dyDescent="0.2">
      <c r="C9489" s="209"/>
      <c r="D9489" s="209"/>
      <c r="E9489" s="209"/>
      <c r="J9489" s="124"/>
    </row>
    <row r="9490" spans="3:10" x14ac:dyDescent="0.2">
      <c r="C9490" s="209"/>
      <c r="D9490" s="209"/>
      <c r="E9490" s="209"/>
      <c r="J9490" s="124"/>
    </row>
    <row r="9491" spans="3:10" x14ac:dyDescent="0.2">
      <c r="C9491" s="209"/>
      <c r="D9491" s="209"/>
      <c r="E9491" s="209"/>
      <c r="J9491" s="124"/>
    </row>
    <row r="9492" spans="3:10" x14ac:dyDescent="0.2">
      <c r="C9492" s="209"/>
      <c r="D9492" s="209"/>
      <c r="E9492" s="209"/>
      <c r="J9492" s="124"/>
    </row>
    <row r="9493" spans="3:10" x14ac:dyDescent="0.2">
      <c r="C9493" s="209"/>
      <c r="D9493" s="209"/>
      <c r="E9493" s="209"/>
      <c r="J9493" s="124"/>
    </row>
    <row r="9494" spans="3:10" x14ac:dyDescent="0.2">
      <c r="C9494" s="209"/>
      <c r="D9494" s="209"/>
      <c r="E9494" s="209"/>
      <c r="J9494" s="124"/>
    </row>
    <row r="9495" spans="3:10" x14ac:dyDescent="0.2">
      <c r="C9495" s="209"/>
      <c r="D9495" s="209"/>
      <c r="E9495" s="209"/>
      <c r="J9495" s="124"/>
    </row>
    <row r="9496" spans="3:10" x14ac:dyDescent="0.2">
      <c r="C9496" s="209"/>
      <c r="D9496" s="209"/>
      <c r="E9496" s="209"/>
      <c r="J9496" s="124"/>
    </row>
    <row r="9497" spans="3:10" x14ac:dyDescent="0.2">
      <c r="C9497" s="209"/>
      <c r="D9497" s="209"/>
      <c r="E9497" s="209"/>
      <c r="J9497" s="124"/>
    </row>
    <row r="9498" spans="3:10" x14ac:dyDescent="0.2">
      <c r="C9498" s="209"/>
      <c r="D9498" s="209"/>
      <c r="E9498" s="209"/>
      <c r="J9498" s="124"/>
    </row>
    <row r="9499" spans="3:10" x14ac:dyDescent="0.2">
      <c r="C9499" s="209"/>
      <c r="D9499" s="209"/>
      <c r="E9499" s="209"/>
      <c r="J9499" s="124"/>
    </row>
    <row r="9500" spans="3:10" x14ac:dyDescent="0.2">
      <c r="C9500" s="209"/>
      <c r="D9500" s="209"/>
      <c r="E9500" s="209"/>
      <c r="J9500" s="124"/>
    </row>
    <row r="9501" spans="3:10" x14ac:dyDescent="0.2">
      <c r="C9501" s="209"/>
      <c r="D9501" s="209"/>
      <c r="E9501" s="209"/>
      <c r="J9501" s="124"/>
    </row>
    <row r="9502" spans="3:10" x14ac:dyDescent="0.2">
      <c r="C9502" s="209"/>
      <c r="D9502" s="209"/>
      <c r="E9502" s="209"/>
      <c r="J9502" s="124"/>
    </row>
    <row r="9503" spans="3:10" x14ac:dyDescent="0.2">
      <c r="C9503" s="209"/>
      <c r="D9503" s="209"/>
      <c r="E9503" s="209"/>
      <c r="J9503" s="124"/>
    </row>
    <row r="9504" spans="3:10" x14ac:dyDescent="0.2">
      <c r="C9504" s="209"/>
      <c r="D9504" s="209"/>
      <c r="E9504" s="209"/>
      <c r="J9504" s="124"/>
    </row>
    <row r="9505" spans="3:10" x14ac:dyDescent="0.2">
      <c r="C9505" s="209"/>
      <c r="D9505" s="209"/>
      <c r="E9505" s="209"/>
      <c r="J9505" s="124"/>
    </row>
    <row r="9506" spans="3:10" x14ac:dyDescent="0.2">
      <c r="C9506" s="209"/>
      <c r="D9506" s="209"/>
      <c r="E9506" s="209"/>
      <c r="J9506" s="124"/>
    </row>
    <row r="9507" spans="3:10" x14ac:dyDescent="0.2">
      <c r="C9507" s="209"/>
      <c r="D9507" s="209"/>
      <c r="E9507" s="209"/>
      <c r="J9507" s="124"/>
    </row>
    <row r="9508" spans="3:10" x14ac:dyDescent="0.2">
      <c r="C9508" s="209"/>
      <c r="D9508" s="209"/>
      <c r="E9508" s="209"/>
      <c r="J9508" s="124"/>
    </row>
    <row r="9509" spans="3:10" x14ac:dyDescent="0.2">
      <c r="C9509" s="209"/>
      <c r="D9509" s="209"/>
      <c r="E9509" s="209"/>
      <c r="J9509" s="124"/>
    </row>
    <row r="9510" spans="3:10" x14ac:dyDescent="0.2">
      <c r="C9510" s="209"/>
      <c r="D9510" s="209"/>
      <c r="E9510" s="209"/>
      <c r="J9510" s="124"/>
    </row>
    <row r="9511" spans="3:10" x14ac:dyDescent="0.2">
      <c r="C9511" s="209"/>
      <c r="D9511" s="209"/>
      <c r="E9511" s="209"/>
      <c r="J9511" s="124"/>
    </row>
    <row r="9512" spans="3:10" x14ac:dyDescent="0.2">
      <c r="C9512" s="209"/>
      <c r="D9512" s="209"/>
      <c r="E9512" s="209"/>
      <c r="J9512" s="124"/>
    </row>
    <row r="9513" spans="3:10" x14ac:dyDescent="0.2">
      <c r="C9513" s="209"/>
      <c r="D9513" s="209"/>
      <c r="E9513" s="209"/>
      <c r="J9513" s="124"/>
    </row>
    <row r="9514" spans="3:10" x14ac:dyDescent="0.2">
      <c r="C9514" s="209"/>
      <c r="D9514" s="209"/>
      <c r="E9514" s="209"/>
      <c r="J9514" s="124"/>
    </row>
    <row r="9515" spans="3:10" x14ac:dyDescent="0.2">
      <c r="C9515" s="209"/>
      <c r="D9515" s="209"/>
      <c r="E9515" s="209"/>
      <c r="J9515" s="124"/>
    </row>
    <row r="9516" spans="3:10" x14ac:dyDescent="0.2">
      <c r="C9516" s="209"/>
      <c r="D9516" s="209"/>
      <c r="E9516" s="209"/>
      <c r="J9516" s="124"/>
    </row>
    <row r="9517" spans="3:10" x14ac:dyDescent="0.2">
      <c r="C9517" s="209"/>
      <c r="D9517" s="209"/>
      <c r="E9517" s="209"/>
      <c r="J9517" s="124"/>
    </row>
    <row r="9518" spans="3:10" x14ac:dyDescent="0.2">
      <c r="C9518" s="209"/>
      <c r="D9518" s="209"/>
      <c r="E9518" s="209"/>
      <c r="J9518" s="124"/>
    </row>
    <row r="9519" spans="3:10" x14ac:dyDescent="0.2">
      <c r="C9519" s="209"/>
      <c r="D9519" s="209"/>
      <c r="E9519" s="209"/>
      <c r="J9519" s="124"/>
    </row>
    <row r="9520" spans="3:10" x14ac:dyDescent="0.2">
      <c r="C9520" s="209"/>
      <c r="D9520" s="209"/>
      <c r="E9520" s="209"/>
      <c r="J9520" s="124"/>
    </row>
    <row r="9521" spans="3:10" x14ac:dyDescent="0.2">
      <c r="C9521" s="209"/>
      <c r="D9521" s="209"/>
      <c r="E9521" s="209"/>
      <c r="J9521" s="124"/>
    </row>
    <row r="9522" spans="3:10" x14ac:dyDescent="0.2">
      <c r="C9522" s="209"/>
      <c r="D9522" s="209"/>
      <c r="E9522" s="209"/>
      <c r="J9522" s="124"/>
    </row>
    <row r="9523" spans="3:10" x14ac:dyDescent="0.2">
      <c r="C9523" s="209"/>
      <c r="D9523" s="209"/>
      <c r="E9523" s="209"/>
      <c r="J9523" s="124"/>
    </row>
    <row r="9524" spans="3:10" x14ac:dyDescent="0.2">
      <c r="C9524" s="209"/>
      <c r="D9524" s="209"/>
      <c r="E9524" s="209"/>
      <c r="J9524" s="124"/>
    </row>
    <row r="9525" spans="3:10" x14ac:dyDescent="0.2">
      <c r="C9525" s="209"/>
      <c r="D9525" s="209"/>
      <c r="E9525" s="209"/>
      <c r="J9525" s="124"/>
    </row>
    <row r="9526" spans="3:10" x14ac:dyDescent="0.2">
      <c r="C9526" s="209"/>
      <c r="D9526" s="209"/>
      <c r="E9526" s="209"/>
      <c r="J9526" s="124"/>
    </row>
    <row r="9527" spans="3:10" x14ac:dyDescent="0.2">
      <c r="C9527" s="209"/>
      <c r="D9527" s="209"/>
      <c r="E9527" s="209"/>
      <c r="J9527" s="124"/>
    </row>
    <row r="9528" spans="3:10" x14ac:dyDescent="0.2">
      <c r="C9528" s="209"/>
      <c r="D9528" s="209"/>
      <c r="E9528" s="209"/>
      <c r="J9528" s="124"/>
    </row>
    <row r="9529" spans="3:10" x14ac:dyDescent="0.2">
      <c r="C9529" s="209"/>
      <c r="D9529" s="209"/>
      <c r="E9529" s="209"/>
      <c r="J9529" s="124"/>
    </row>
    <row r="9530" spans="3:10" x14ac:dyDescent="0.2">
      <c r="C9530" s="209"/>
      <c r="D9530" s="209"/>
      <c r="E9530" s="209"/>
      <c r="J9530" s="124"/>
    </row>
    <row r="9531" spans="3:10" x14ac:dyDescent="0.2">
      <c r="C9531" s="209"/>
      <c r="D9531" s="209"/>
      <c r="E9531" s="209"/>
      <c r="J9531" s="124"/>
    </row>
    <row r="9532" spans="3:10" x14ac:dyDescent="0.2">
      <c r="C9532" s="209"/>
      <c r="D9532" s="209"/>
      <c r="E9532" s="209"/>
      <c r="J9532" s="124"/>
    </row>
    <row r="9533" spans="3:10" x14ac:dyDescent="0.2">
      <c r="C9533" s="209"/>
      <c r="D9533" s="209"/>
      <c r="E9533" s="209"/>
      <c r="J9533" s="124"/>
    </row>
    <row r="9534" spans="3:10" x14ac:dyDescent="0.2">
      <c r="C9534" s="209"/>
      <c r="D9534" s="209"/>
      <c r="E9534" s="209"/>
      <c r="J9534" s="124"/>
    </row>
    <row r="9535" spans="3:10" x14ac:dyDescent="0.2">
      <c r="C9535" s="209"/>
      <c r="D9535" s="209"/>
      <c r="E9535" s="209"/>
      <c r="J9535" s="124"/>
    </row>
    <row r="9536" spans="3:10" x14ac:dyDescent="0.2">
      <c r="C9536" s="209"/>
      <c r="D9536" s="209"/>
      <c r="E9536" s="209"/>
      <c r="J9536" s="124"/>
    </row>
    <row r="9537" spans="3:10" x14ac:dyDescent="0.2">
      <c r="C9537" s="209"/>
      <c r="D9537" s="209"/>
      <c r="E9537" s="209"/>
      <c r="J9537" s="124"/>
    </row>
    <row r="9538" spans="3:10" x14ac:dyDescent="0.2">
      <c r="C9538" s="209"/>
      <c r="D9538" s="209"/>
      <c r="E9538" s="209"/>
      <c r="J9538" s="124"/>
    </row>
    <row r="9539" spans="3:10" x14ac:dyDescent="0.2">
      <c r="C9539" s="209"/>
      <c r="D9539" s="209"/>
      <c r="E9539" s="209"/>
      <c r="J9539" s="124"/>
    </row>
    <row r="9540" spans="3:10" x14ac:dyDescent="0.2">
      <c r="C9540" s="209"/>
      <c r="D9540" s="209"/>
      <c r="E9540" s="209"/>
      <c r="J9540" s="124"/>
    </row>
    <row r="9541" spans="3:10" x14ac:dyDescent="0.2">
      <c r="C9541" s="209"/>
      <c r="D9541" s="209"/>
      <c r="E9541" s="209"/>
      <c r="J9541" s="124"/>
    </row>
    <row r="9542" spans="3:10" x14ac:dyDescent="0.2">
      <c r="C9542" s="209"/>
      <c r="D9542" s="209"/>
      <c r="E9542" s="209"/>
      <c r="J9542" s="124"/>
    </row>
    <row r="9543" spans="3:10" x14ac:dyDescent="0.2">
      <c r="C9543" s="209"/>
      <c r="D9543" s="209"/>
      <c r="E9543" s="209"/>
      <c r="J9543" s="124"/>
    </row>
    <row r="9544" spans="3:10" x14ac:dyDescent="0.2">
      <c r="C9544" s="209"/>
      <c r="D9544" s="209"/>
      <c r="E9544" s="209"/>
      <c r="J9544" s="124"/>
    </row>
    <row r="9545" spans="3:10" x14ac:dyDescent="0.2">
      <c r="C9545" s="209"/>
      <c r="D9545" s="209"/>
      <c r="E9545" s="209"/>
      <c r="J9545" s="124"/>
    </row>
    <row r="9546" spans="3:10" x14ac:dyDescent="0.2">
      <c r="C9546" s="209"/>
      <c r="D9546" s="209"/>
      <c r="E9546" s="209"/>
      <c r="J9546" s="124"/>
    </row>
    <row r="9547" spans="3:10" x14ac:dyDescent="0.2">
      <c r="C9547" s="209"/>
      <c r="D9547" s="209"/>
      <c r="E9547" s="209"/>
      <c r="J9547" s="124"/>
    </row>
    <row r="9548" spans="3:10" x14ac:dyDescent="0.2">
      <c r="C9548" s="209"/>
      <c r="D9548" s="209"/>
      <c r="E9548" s="209"/>
      <c r="J9548" s="124"/>
    </row>
    <row r="9549" spans="3:10" x14ac:dyDescent="0.2">
      <c r="C9549" s="209"/>
      <c r="D9549" s="209"/>
      <c r="E9549" s="209"/>
      <c r="J9549" s="124"/>
    </row>
    <row r="9550" spans="3:10" x14ac:dyDescent="0.2">
      <c r="C9550" s="209"/>
      <c r="D9550" s="209"/>
      <c r="E9550" s="209"/>
      <c r="J9550" s="124"/>
    </row>
    <row r="9551" spans="3:10" x14ac:dyDescent="0.2">
      <c r="C9551" s="209"/>
      <c r="D9551" s="209"/>
      <c r="E9551" s="209"/>
      <c r="J9551" s="124"/>
    </row>
    <row r="9552" spans="3:10" x14ac:dyDescent="0.2">
      <c r="C9552" s="209"/>
      <c r="D9552" s="209"/>
      <c r="E9552" s="209"/>
      <c r="J9552" s="124"/>
    </row>
    <row r="9553" spans="3:10" x14ac:dyDescent="0.2">
      <c r="C9553" s="209"/>
      <c r="D9553" s="209"/>
      <c r="E9553" s="209"/>
      <c r="J9553" s="124"/>
    </row>
    <row r="9554" spans="3:10" x14ac:dyDescent="0.2">
      <c r="C9554" s="209"/>
      <c r="D9554" s="209"/>
      <c r="E9554" s="209"/>
      <c r="J9554" s="124"/>
    </row>
    <row r="9555" spans="3:10" x14ac:dyDescent="0.2">
      <c r="C9555" s="209"/>
      <c r="D9555" s="209"/>
      <c r="E9555" s="209"/>
      <c r="J9555" s="124"/>
    </row>
    <row r="9556" spans="3:10" x14ac:dyDescent="0.2">
      <c r="C9556" s="209"/>
      <c r="D9556" s="209"/>
      <c r="E9556" s="209"/>
      <c r="J9556" s="124"/>
    </row>
    <row r="9557" spans="3:10" x14ac:dyDescent="0.2">
      <c r="C9557" s="209"/>
      <c r="D9557" s="209"/>
      <c r="E9557" s="209"/>
      <c r="J9557" s="124"/>
    </row>
    <row r="9558" spans="3:10" x14ac:dyDescent="0.2">
      <c r="C9558" s="209"/>
      <c r="D9558" s="209"/>
      <c r="E9558" s="209"/>
      <c r="J9558" s="124"/>
    </row>
    <row r="9559" spans="3:10" x14ac:dyDescent="0.2">
      <c r="C9559" s="209"/>
      <c r="D9559" s="209"/>
      <c r="E9559" s="209"/>
      <c r="J9559" s="124"/>
    </row>
    <row r="9560" spans="3:10" x14ac:dyDescent="0.2">
      <c r="C9560" s="209"/>
      <c r="D9560" s="209"/>
      <c r="E9560" s="209"/>
      <c r="J9560" s="124"/>
    </row>
    <row r="9561" spans="3:10" x14ac:dyDescent="0.2">
      <c r="C9561" s="209"/>
      <c r="D9561" s="209"/>
      <c r="E9561" s="209"/>
      <c r="J9561" s="124"/>
    </row>
    <row r="9562" spans="3:10" x14ac:dyDescent="0.2">
      <c r="C9562" s="209"/>
      <c r="D9562" s="209"/>
      <c r="E9562" s="209"/>
      <c r="J9562" s="124"/>
    </row>
    <row r="9563" spans="3:10" x14ac:dyDescent="0.2">
      <c r="C9563" s="209"/>
      <c r="D9563" s="209"/>
      <c r="E9563" s="209"/>
      <c r="J9563" s="124"/>
    </row>
    <row r="9564" spans="3:10" x14ac:dyDescent="0.2">
      <c r="C9564" s="209"/>
      <c r="D9564" s="209"/>
      <c r="E9564" s="209"/>
      <c r="J9564" s="124"/>
    </row>
    <row r="9565" spans="3:10" x14ac:dyDescent="0.2">
      <c r="C9565" s="209"/>
      <c r="D9565" s="209"/>
      <c r="E9565" s="209"/>
      <c r="J9565" s="124"/>
    </row>
    <row r="9566" spans="3:10" x14ac:dyDescent="0.2">
      <c r="C9566" s="209"/>
      <c r="D9566" s="209"/>
      <c r="E9566" s="209"/>
      <c r="J9566" s="124"/>
    </row>
    <row r="9567" spans="3:10" x14ac:dyDescent="0.2">
      <c r="C9567" s="209"/>
      <c r="D9567" s="209"/>
      <c r="E9567" s="209"/>
      <c r="J9567" s="124"/>
    </row>
    <row r="9568" spans="3:10" x14ac:dyDescent="0.2">
      <c r="C9568" s="209"/>
      <c r="D9568" s="209"/>
      <c r="E9568" s="209"/>
      <c r="J9568" s="124"/>
    </row>
    <row r="9569" spans="3:10" x14ac:dyDescent="0.2">
      <c r="C9569" s="209"/>
      <c r="D9569" s="209"/>
      <c r="E9569" s="209"/>
      <c r="J9569" s="124"/>
    </row>
    <row r="9570" spans="3:10" x14ac:dyDescent="0.2">
      <c r="C9570" s="209"/>
      <c r="D9570" s="209"/>
      <c r="E9570" s="209"/>
      <c r="J9570" s="124"/>
    </row>
    <row r="9571" spans="3:10" x14ac:dyDescent="0.2">
      <c r="C9571" s="209"/>
      <c r="D9571" s="209"/>
      <c r="E9571" s="209"/>
      <c r="J9571" s="124"/>
    </row>
    <row r="9572" spans="3:10" x14ac:dyDescent="0.2">
      <c r="C9572" s="209"/>
      <c r="D9572" s="209"/>
      <c r="E9572" s="209"/>
      <c r="J9572" s="124"/>
    </row>
    <row r="9573" spans="3:10" x14ac:dyDescent="0.2">
      <c r="C9573" s="209"/>
      <c r="D9573" s="209"/>
      <c r="E9573" s="209"/>
      <c r="J9573" s="124"/>
    </row>
    <row r="9574" spans="3:10" x14ac:dyDescent="0.2">
      <c r="C9574" s="209"/>
      <c r="D9574" s="209"/>
      <c r="E9574" s="209"/>
      <c r="J9574" s="124"/>
    </row>
    <row r="9575" spans="3:10" x14ac:dyDescent="0.2">
      <c r="C9575" s="209"/>
      <c r="D9575" s="209"/>
      <c r="E9575" s="209"/>
      <c r="J9575" s="124"/>
    </row>
    <row r="9576" spans="3:10" x14ac:dyDescent="0.2">
      <c r="C9576" s="209"/>
      <c r="D9576" s="209"/>
      <c r="E9576" s="209"/>
      <c r="J9576" s="124"/>
    </row>
    <row r="9577" spans="3:10" x14ac:dyDescent="0.2">
      <c r="C9577" s="209"/>
      <c r="D9577" s="209"/>
      <c r="E9577" s="209"/>
      <c r="J9577" s="124"/>
    </row>
    <row r="9578" spans="3:10" x14ac:dyDescent="0.2">
      <c r="C9578" s="209"/>
      <c r="D9578" s="209"/>
      <c r="E9578" s="209"/>
      <c r="J9578" s="124"/>
    </row>
    <row r="9579" spans="3:10" x14ac:dyDescent="0.2">
      <c r="C9579" s="209"/>
      <c r="D9579" s="209"/>
      <c r="E9579" s="209"/>
      <c r="J9579" s="124"/>
    </row>
    <row r="9580" spans="3:10" x14ac:dyDescent="0.2">
      <c r="C9580" s="209"/>
      <c r="D9580" s="209"/>
      <c r="E9580" s="209"/>
      <c r="J9580" s="124"/>
    </row>
    <row r="9581" spans="3:10" x14ac:dyDescent="0.2">
      <c r="C9581" s="209"/>
      <c r="D9581" s="209"/>
      <c r="E9581" s="209"/>
      <c r="J9581" s="124"/>
    </row>
    <row r="9582" spans="3:10" x14ac:dyDescent="0.2">
      <c r="C9582" s="209"/>
      <c r="D9582" s="209"/>
      <c r="E9582" s="209"/>
      <c r="J9582" s="124"/>
    </row>
    <row r="9583" spans="3:10" x14ac:dyDescent="0.2">
      <c r="C9583" s="209"/>
      <c r="D9583" s="209"/>
      <c r="E9583" s="209"/>
      <c r="J9583" s="124"/>
    </row>
    <row r="9584" spans="3:10" x14ac:dyDescent="0.2">
      <c r="C9584" s="209"/>
      <c r="D9584" s="209"/>
      <c r="E9584" s="209"/>
      <c r="J9584" s="124"/>
    </row>
    <row r="9585" spans="3:10" x14ac:dyDescent="0.2">
      <c r="C9585" s="209"/>
      <c r="D9585" s="209"/>
      <c r="E9585" s="209"/>
      <c r="J9585" s="124"/>
    </row>
    <row r="9586" spans="3:10" x14ac:dyDescent="0.2">
      <c r="C9586" s="209"/>
      <c r="D9586" s="209"/>
      <c r="E9586" s="209"/>
      <c r="J9586" s="124"/>
    </row>
    <row r="9587" spans="3:10" x14ac:dyDescent="0.2">
      <c r="C9587" s="209"/>
      <c r="D9587" s="209"/>
      <c r="E9587" s="209"/>
      <c r="J9587" s="124"/>
    </row>
    <row r="9588" spans="3:10" x14ac:dyDescent="0.2">
      <c r="C9588" s="209"/>
      <c r="D9588" s="209"/>
      <c r="E9588" s="209"/>
      <c r="J9588" s="124"/>
    </row>
    <row r="9589" spans="3:10" x14ac:dyDescent="0.2">
      <c r="C9589" s="209"/>
      <c r="D9589" s="209"/>
      <c r="E9589" s="209"/>
      <c r="J9589" s="124"/>
    </row>
    <row r="9590" spans="3:10" x14ac:dyDescent="0.2">
      <c r="C9590" s="209"/>
      <c r="D9590" s="209"/>
      <c r="E9590" s="209"/>
      <c r="J9590" s="124"/>
    </row>
    <row r="9591" spans="3:10" x14ac:dyDescent="0.2">
      <c r="C9591" s="209"/>
      <c r="D9591" s="209"/>
      <c r="E9591" s="209"/>
      <c r="J9591" s="124"/>
    </row>
    <row r="9592" spans="3:10" x14ac:dyDescent="0.2">
      <c r="C9592" s="209"/>
      <c r="D9592" s="209"/>
      <c r="E9592" s="209"/>
      <c r="J9592" s="124"/>
    </row>
    <row r="9593" spans="3:10" x14ac:dyDescent="0.2">
      <c r="C9593" s="209"/>
      <c r="D9593" s="209"/>
      <c r="E9593" s="209"/>
      <c r="J9593" s="124"/>
    </row>
    <row r="9594" spans="3:10" x14ac:dyDescent="0.2">
      <c r="C9594" s="209"/>
      <c r="D9594" s="209"/>
      <c r="E9594" s="209"/>
      <c r="J9594" s="124"/>
    </row>
    <row r="9595" spans="3:10" x14ac:dyDescent="0.2">
      <c r="C9595" s="209"/>
      <c r="D9595" s="209"/>
      <c r="E9595" s="209"/>
      <c r="J9595" s="124"/>
    </row>
    <row r="9596" spans="3:10" x14ac:dyDescent="0.2">
      <c r="C9596" s="209"/>
      <c r="D9596" s="209"/>
      <c r="E9596" s="209"/>
      <c r="J9596" s="124"/>
    </row>
    <row r="9597" spans="3:10" x14ac:dyDescent="0.2">
      <c r="C9597" s="209"/>
      <c r="D9597" s="209"/>
      <c r="E9597" s="209"/>
      <c r="J9597" s="124"/>
    </row>
    <row r="9598" spans="3:10" x14ac:dyDescent="0.2">
      <c r="C9598" s="209"/>
      <c r="D9598" s="209"/>
      <c r="E9598" s="209"/>
      <c r="J9598" s="124"/>
    </row>
    <row r="9599" spans="3:10" x14ac:dyDescent="0.2">
      <c r="C9599" s="209"/>
      <c r="D9599" s="209"/>
      <c r="E9599" s="209"/>
      <c r="J9599" s="124"/>
    </row>
    <row r="9600" spans="3:10" x14ac:dyDescent="0.2">
      <c r="C9600" s="209"/>
      <c r="D9600" s="209"/>
      <c r="E9600" s="209"/>
      <c r="J9600" s="124"/>
    </row>
    <row r="9601" spans="3:10" x14ac:dyDescent="0.2">
      <c r="C9601" s="209"/>
      <c r="D9601" s="209"/>
      <c r="E9601" s="209"/>
      <c r="J9601" s="124"/>
    </row>
    <row r="9602" spans="3:10" x14ac:dyDescent="0.2">
      <c r="C9602" s="209"/>
      <c r="D9602" s="209"/>
      <c r="E9602" s="209"/>
      <c r="J9602" s="124"/>
    </row>
    <row r="9603" spans="3:10" x14ac:dyDescent="0.2">
      <c r="C9603" s="209"/>
      <c r="D9603" s="209"/>
      <c r="E9603" s="209"/>
      <c r="J9603" s="124"/>
    </row>
    <row r="9604" spans="3:10" x14ac:dyDescent="0.2">
      <c r="C9604" s="209"/>
      <c r="D9604" s="209"/>
      <c r="E9604" s="209"/>
      <c r="J9604" s="124"/>
    </row>
    <row r="9605" spans="3:10" x14ac:dyDescent="0.2">
      <c r="C9605" s="209"/>
      <c r="D9605" s="209"/>
      <c r="E9605" s="209"/>
      <c r="J9605" s="124"/>
    </row>
    <row r="9606" spans="3:10" x14ac:dyDescent="0.2">
      <c r="C9606" s="209"/>
      <c r="D9606" s="209"/>
      <c r="E9606" s="209"/>
      <c r="J9606" s="124"/>
    </row>
    <row r="9607" spans="3:10" x14ac:dyDescent="0.2">
      <c r="C9607" s="209"/>
      <c r="D9607" s="209"/>
      <c r="E9607" s="209"/>
      <c r="J9607" s="124"/>
    </row>
    <row r="9608" spans="3:10" x14ac:dyDescent="0.2">
      <c r="C9608" s="209"/>
      <c r="D9608" s="209"/>
      <c r="E9608" s="209"/>
      <c r="J9608" s="124"/>
    </row>
    <row r="9609" spans="3:10" x14ac:dyDescent="0.2">
      <c r="C9609" s="209"/>
      <c r="D9609" s="209"/>
      <c r="E9609" s="209"/>
      <c r="J9609" s="124"/>
    </row>
    <row r="9610" spans="3:10" x14ac:dyDescent="0.2">
      <c r="C9610" s="209"/>
      <c r="D9610" s="209"/>
      <c r="E9610" s="209"/>
      <c r="J9610" s="124"/>
    </row>
    <row r="9611" spans="3:10" x14ac:dyDescent="0.2">
      <c r="C9611" s="209"/>
      <c r="D9611" s="209"/>
      <c r="E9611" s="209"/>
      <c r="J9611" s="124"/>
    </row>
    <row r="9612" spans="3:10" x14ac:dyDescent="0.2">
      <c r="C9612" s="209"/>
      <c r="D9612" s="209"/>
      <c r="E9612" s="209"/>
      <c r="J9612" s="124"/>
    </row>
    <row r="9613" spans="3:10" x14ac:dyDescent="0.2">
      <c r="C9613" s="209"/>
      <c r="D9613" s="209"/>
      <c r="E9613" s="209"/>
      <c r="J9613" s="124"/>
    </row>
    <row r="9614" spans="3:10" x14ac:dyDescent="0.2">
      <c r="C9614" s="209"/>
      <c r="D9614" s="209"/>
      <c r="E9614" s="209"/>
      <c r="J9614" s="124"/>
    </row>
    <row r="9615" spans="3:10" x14ac:dyDescent="0.2">
      <c r="C9615" s="209"/>
      <c r="D9615" s="209"/>
      <c r="E9615" s="209"/>
      <c r="J9615" s="124"/>
    </row>
    <row r="9616" spans="3:10" x14ac:dyDescent="0.2">
      <c r="C9616" s="209"/>
      <c r="D9616" s="209"/>
      <c r="E9616" s="209"/>
      <c r="J9616" s="124"/>
    </row>
    <row r="9617" spans="3:10" x14ac:dyDescent="0.2">
      <c r="C9617" s="209"/>
      <c r="D9617" s="209"/>
      <c r="E9617" s="209"/>
      <c r="J9617" s="124"/>
    </row>
    <row r="9618" spans="3:10" x14ac:dyDescent="0.2">
      <c r="C9618" s="209"/>
      <c r="D9618" s="209"/>
      <c r="E9618" s="209"/>
      <c r="J9618" s="124"/>
    </row>
    <row r="9619" spans="3:10" x14ac:dyDescent="0.2">
      <c r="C9619" s="209"/>
      <c r="D9619" s="209"/>
      <c r="E9619" s="209"/>
      <c r="J9619" s="124"/>
    </row>
    <row r="9620" spans="3:10" x14ac:dyDescent="0.2">
      <c r="C9620" s="209"/>
      <c r="D9620" s="209"/>
      <c r="E9620" s="209"/>
      <c r="J9620" s="124"/>
    </row>
    <row r="9621" spans="3:10" x14ac:dyDescent="0.2">
      <c r="C9621" s="209"/>
      <c r="D9621" s="209"/>
      <c r="E9621" s="209"/>
      <c r="J9621" s="124"/>
    </row>
    <row r="9622" spans="3:10" x14ac:dyDescent="0.2">
      <c r="C9622" s="209"/>
      <c r="D9622" s="209"/>
      <c r="E9622" s="209"/>
      <c r="J9622" s="124"/>
    </row>
    <row r="9623" spans="3:10" x14ac:dyDescent="0.2">
      <c r="C9623" s="209"/>
      <c r="D9623" s="209"/>
      <c r="E9623" s="209"/>
      <c r="J9623" s="124"/>
    </row>
    <row r="9624" spans="3:10" x14ac:dyDescent="0.2">
      <c r="C9624" s="209"/>
      <c r="D9624" s="209"/>
      <c r="E9624" s="209"/>
      <c r="J9624" s="124"/>
    </row>
    <row r="9625" spans="3:10" x14ac:dyDescent="0.2">
      <c r="C9625" s="209"/>
      <c r="D9625" s="209"/>
      <c r="E9625" s="209"/>
      <c r="J9625" s="124"/>
    </row>
    <row r="9626" spans="3:10" x14ac:dyDescent="0.2">
      <c r="C9626" s="209"/>
      <c r="D9626" s="209"/>
      <c r="E9626" s="209"/>
      <c r="J9626" s="124"/>
    </row>
    <row r="9627" spans="3:10" x14ac:dyDescent="0.2">
      <c r="C9627" s="209"/>
      <c r="D9627" s="209"/>
      <c r="E9627" s="209"/>
      <c r="J9627" s="124"/>
    </row>
    <row r="9628" spans="3:10" x14ac:dyDescent="0.2">
      <c r="C9628" s="209"/>
      <c r="D9628" s="209"/>
      <c r="E9628" s="209"/>
      <c r="J9628" s="124"/>
    </row>
    <row r="9629" spans="3:10" x14ac:dyDescent="0.2">
      <c r="C9629" s="209"/>
      <c r="D9629" s="209"/>
      <c r="E9629" s="209"/>
      <c r="J9629" s="124"/>
    </row>
    <row r="9630" spans="3:10" x14ac:dyDescent="0.2">
      <c r="C9630" s="209"/>
      <c r="D9630" s="209"/>
      <c r="E9630" s="209"/>
      <c r="J9630" s="124"/>
    </row>
    <row r="9631" spans="3:10" x14ac:dyDescent="0.2">
      <c r="C9631" s="209"/>
      <c r="D9631" s="209"/>
      <c r="E9631" s="209"/>
      <c r="J9631" s="124"/>
    </row>
    <row r="9632" spans="3:10" x14ac:dyDescent="0.2">
      <c r="C9632" s="209"/>
      <c r="D9632" s="209"/>
      <c r="E9632" s="209"/>
      <c r="J9632" s="124"/>
    </row>
    <row r="9633" spans="3:10" x14ac:dyDescent="0.2">
      <c r="C9633" s="209"/>
      <c r="D9633" s="209"/>
      <c r="E9633" s="209"/>
      <c r="J9633" s="124"/>
    </row>
    <row r="9634" spans="3:10" x14ac:dyDescent="0.2">
      <c r="C9634" s="209"/>
      <c r="D9634" s="209"/>
      <c r="E9634" s="209"/>
      <c r="J9634" s="124"/>
    </row>
    <row r="9635" spans="3:10" x14ac:dyDescent="0.2">
      <c r="C9635" s="209"/>
      <c r="D9635" s="209"/>
      <c r="E9635" s="209"/>
      <c r="J9635" s="124"/>
    </row>
    <row r="9636" spans="3:10" x14ac:dyDescent="0.2">
      <c r="C9636" s="209"/>
      <c r="D9636" s="209"/>
      <c r="E9636" s="209"/>
      <c r="J9636" s="124"/>
    </row>
    <row r="9637" spans="3:10" x14ac:dyDescent="0.2">
      <c r="C9637" s="209"/>
      <c r="D9637" s="209"/>
      <c r="E9637" s="209"/>
      <c r="J9637" s="124"/>
    </row>
    <row r="9638" spans="3:10" x14ac:dyDescent="0.2">
      <c r="C9638" s="209"/>
      <c r="D9638" s="209"/>
      <c r="E9638" s="209"/>
      <c r="J9638" s="124"/>
    </row>
    <row r="9639" spans="3:10" x14ac:dyDescent="0.2">
      <c r="C9639" s="209"/>
      <c r="D9639" s="209"/>
      <c r="E9639" s="209"/>
      <c r="J9639" s="124"/>
    </row>
    <row r="9640" spans="3:10" x14ac:dyDescent="0.2">
      <c r="C9640" s="209"/>
      <c r="D9640" s="209"/>
      <c r="E9640" s="209"/>
      <c r="J9640" s="124"/>
    </row>
    <row r="9641" spans="3:10" x14ac:dyDescent="0.2">
      <c r="C9641" s="209"/>
      <c r="D9641" s="209"/>
      <c r="E9641" s="209"/>
      <c r="J9641" s="124"/>
    </row>
    <row r="9642" spans="3:10" x14ac:dyDescent="0.2">
      <c r="C9642" s="209"/>
      <c r="D9642" s="209"/>
      <c r="E9642" s="209"/>
      <c r="J9642" s="124"/>
    </row>
    <row r="9643" spans="3:10" x14ac:dyDescent="0.2">
      <c r="C9643" s="209"/>
      <c r="D9643" s="209"/>
      <c r="E9643" s="209"/>
      <c r="J9643" s="124"/>
    </row>
    <row r="9644" spans="3:10" x14ac:dyDescent="0.2">
      <c r="C9644" s="209"/>
      <c r="D9644" s="209"/>
      <c r="E9644" s="209"/>
      <c r="J9644" s="124"/>
    </row>
    <row r="9645" spans="3:10" x14ac:dyDescent="0.2">
      <c r="C9645" s="209"/>
      <c r="D9645" s="209"/>
      <c r="E9645" s="209"/>
      <c r="J9645" s="124"/>
    </row>
    <row r="9646" spans="3:10" x14ac:dyDescent="0.2">
      <c r="C9646" s="209"/>
      <c r="D9646" s="209"/>
      <c r="E9646" s="209"/>
      <c r="J9646" s="124"/>
    </row>
    <row r="9647" spans="3:10" x14ac:dyDescent="0.2">
      <c r="C9647" s="209"/>
      <c r="D9647" s="209"/>
      <c r="E9647" s="209"/>
      <c r="J9647" s="124"/>
    </row>
    <row r="9648" spans="3:10" x14ac:dyDescent="0.2">
      <c r="C9648" s="209"/>
      <c r="D9648" s="209"/>
      <c r="E9648" s="209"/>
      <c r="J9648" s="124"/>
    </row>
    <row r="9649" spans="3:10" x14ac:dyDescent="0.2">
      <c r="C9649" s="209"/>
      <c r="D9649" s="209"/>
      <c r="E9649" s="209"/>
      <c r="J9649" s="124"/>
    </row>
    <row r="9650" spans="3:10" x14ac:dyDescent="0.2">
      <c r="C9650" s="209"/>
      <c r="D9650" s="209"/>
      <c r="E9650" s="209"/>
      <c r="J9650" s="124"/>
    </row>
    <row r="9651" spans="3:10" x14ac:dyDescent="0.2">
      <c r="C9651" s="209"/>
      <c r="D9651" s="209"/>
      <c r="E9651" s="209"/>
      <c r="J9651" s="124"/>
    </row>
    <row r="9652" spans="3:10" x14ac:dyDescent="0.2">
      <c r="C9652" s="209"/>
      <c r="D9652" s="209"/>
      <c r="E9652" s="209"/>
      <c r="J9652" s="124"/>
    </row>
    <row r="9653" spans="3:10" x14ac:dyDescent="0.2">
      <c r="C9653" s="209"/>
      <c r="D9653" s="209"/>
      <c r="E9653" s="209"/>
      <c r="J9653" s="124"/>
    </row>
    <row r="9654" spans="3:10" x14ac:dyDescent="0.2">
      <c r="C9654" s="209"/>
      <c r="D9654" s="209"/>
      <c r="E9654" s="209"/>
      <c r="J9654" s="124"/>
    </row>
    <row r="9655" spans="3:10" x14ac:dyDescent="0.2">
      <c r="C9655" s="209"/>
      <c r="D9655" s="209"/>
      <c r="E9655" s="209"/>
      <c r="J9655" s="124"/>
    </row>
    <row r="9656" spans="3:10" x14ac:dyDescent="0.2">
      <c r="C9656" s="209"/>
      <c r="D9656" s="209"/>
      <c r="E9656" s="209"/>
      <c r="J9656" s="124"/>
    </row>
    <row r="9657" spans="3:10" x14ac:dyDescent="0.2">
      <c r="C9657" s="209"/>
      <c r="D9657" s="209"/>
      <c r="E9657" s="209"/>
      <c r="J9657" s="124"/>
    </row>
    <row r="9658" spans="3:10" x14ac:dyDescent="0.2">
      <c r="C9658" s="209"/>
      <c r="D9658" s="209"/>
      <c r="E9658" s="209"/>
      <c r="J9658" s="124"/>
    </row>
    <row r="9659" spans="3:10" x14ac:dyDescent="0.2">
      <c r="C9659" s="209"/>
      <c r="D9659" s="209"/>
      <c r="E9659" s="209"/>
      <c r="J9659" s="124"/>
    </row>
    <row r="9660" spans="3:10" x14ac:dyDescent="0.2">
      <c r="C9660" s="209"/>
      <c r="D9660" s="209"/>
      <c r="E9660" s="209"/>
      <c r="J9660" s="124"/>
    </row>
    <row r="9661" spans="3:10" x14ac:dyDescent="0.2">
      <c r="C9661" s="209"/>
      <c r="D9661" s="209"/>
      <c r="E9661" s="209"/>
      <c r="J9661" s="124"/>
    </row>
    <row r="9662" spans="3:10" x14ac:dyDescent="0.2">
      <c r="C9662" s="209"/>
      <c r="D9662" s="209"/>
      <c r="E9662" s="209"/>
      <c r="J9662" s="124"/>
    </row>
    <row r="9663" spans="3:10" x14ac:dyDescent="0.2">
      <c r="C9663" s="209"/>
      <c r="D9663" s="209"/>
      <c r="E9663" s="209"/>
      <c r="J9663" s="124"/>
    </row>
    <row r="9664" spans="3:10" x14ac:dyDescent="0.2">
      <c r="C9664" s="209"/>
      <c r="D9664" s="209"/>
      <c r="E9664" s="209"/>
      <c r="J9664" s="124"/>
    </row>
    <row r="9665" spans="3:10" x14ac:dyDescent="0.2">
      <c r="C9665" s="209"/>
      <c r="D9665" s="209"/>
      <c r="E9665" s="209"/>
      <c r="J9665" s="124"/>
    </row>
    <row r="9666" spans="3:10" x14ac:dyDescent="0.2">
      <c r="C9666" s="209"/>
      <c r="D9666" s="209"/>
      <c r="E9666" s="209"/>
      <c r="J9666" s="124"/>
    </row>
    <row r="9667" spans="3:10" x14ac:dyDescent="0.2">
      <c r="C9667" s="209"/>
      <c r="D9667" s="209"/>
      <c r="E9667" s="209"/>
      <c r="J9667" s="124"/>
    </row>
    <row r="9668" spans="3:10" x14ac:dyDescent="0.2">
      <c r="C9668" s="209"/>
      <c r="D9668" s="209"/>
      <c r="E9668" s="209"/>
      <c r="J9668" s="124"/>
    </row>
    <row r="9669" spans="3:10" x14ac:dyDescent="0.2">
      <c r="C9669" s="209"/>
      <c r="D9669" s="209"/>
      <c r="E9669" s="209"/>
      <c r="J9669" s="124"/>
    </row>
    <row r="9670" spans="3:10" x14ac:dyDescent="0.2">
      <c r="C9670" s="209"/>
      <c r="D9670" s="209"/>
      <c r="E9670" s="209"/>
      <c r="J9670" s="124"/>
    </row>
    <row r="9671" spans="3:10" x14ac:dyDescent="0.2">
      <c r="C9671" s="209"/>
      <c r="D9671" s="209"/>
      <c r="E9671" s="209"/>
      <c r="J9671" s="124"/>
    </row>
    <row r="9672" spans="3:10" x14ac:dyDescent="0.2">
      <c r="C9672" s="209"/>
      <c r="D9672" s="209"/>
      <c r="E9672" s="209"/>
      <c r="J9672" s="124"/>
    </row>
    <row r="9673" spans="3:10" x14ac:dyDescent="0.2">
      <c r="C9673" s="209"/>
      <c r="D9673" s="209"/>
      <c r="E9673" s="209"/>
      <c r="J9673" s="124"/>
    </row>
    <row r="9674" spans="3:10" x14ac:dyDescent="0.2">
      <c r="C9674" s="209"/>
      <c r="D9674" s="209"/>
      <c r="E9674" s="209"/>
      <c r="J9674" s="124"/>
    </row>
    <row r="9675" spans="3:10" x14ac:dyDescent="0.2">
      <c r="C9675" s="209"/>
      <c r="D9675" s="209"/>
      <c r="E9675" s="209"/>
      <c r="J9675" s="124"/>
    </row>
    <row r="9676" spans="3:10" x14ac:dyDescent="0.2">
      <c r="C9676" s="209"/>
      <c r="D9676" s="209"/>
      <c r="E9676" s="209"/>
      <c r="J9676" s="124"/>
    </row>
    <row r="9677" spans="3:10" x14ac:dyDescent="0.2">
      <c r="C9677" s="209"/>
      <c r="D9677" s="209"/>
      <c r="E9677" s="209"/>
      <c r="J9677" s="124"/>
    </row>
    <row r="9678" spans="3:10" x14ac:dyDescent="0.2">
      <c r="C9678" s="209"/>
      <c r="D9678" s="209"/>
      <c r="E9678" s="209"/>
      <c r="J9678" s="124"/>
    </row>
    <row r="9679" spans="3:10" x14ac:dyDescent="0.2">
      <c r="C9679" s="209"/>
      <c r="D9679" s="209"/>
      <c r="E9679" s="209"/>
      <c r="J9679" s="124"/>
    </row>
    <row r="9680" spans="3:10" x14ac:dyDescent="0.2">
      <c r="C9680" s="209"/>
      <c r="D9680" s="209"/>
      <c r="E9680" s="209"/>
      <c r="J9680" s="124"/>
    </row>
    <row r="9681" spans="3:10" x14ac:dyDescent="0.2">
      <c r="C9681" s="209"/>
      <c r="D9681" s="209"/>
      <c r="E9681" s="209"/>
      <c r="J9681" s="124"/>
    </row>
    <row r="9682" spans="3:10" x14ac:dyDescent="0.2">
      <c r="C9682" s="209"/>
      <c r="D9682" s="209"/>
      <c r="E9682" s="209"/>
      <c r="J9682" s="124"/>
    </row>
    <row r="9683" spans="3:10" x14ac:dyDescent="0.2">
      <c r="C9683" s="209"/>
      <c r="D9683" s="209"/>
      <c r="E9683" s="209"/>
      <c r="J9683" s="124"/>
    </row>
    <row r="9684" spans="3:10" x14ac:dyDescent="0.2">
      <c r="C9684" s="209"/>
      <c r="D9684" s="209"/>
      <c r="E9684" s="209"/>
      <c r="J9684" s="124"/>
    </row>
    <row r="9685" spans="3:10" x14ac:dyDescent="0.2">
      <c r="C9685" s="209"/>
      <c r="D9685" s="209"/>
      <c r="E9685" s="209"/>
      <c r="J9685" s="124"/>
    </row>
    <row r="9686" spans="3:10" x14ac:dyDescent="0.2">
      <c r="C9686" s="209"/>
      <c r="D9686" s="209"/>
      <c r="E9686" s="209"/>
      <c r="J9686" s="124"/>
    </row>
    <row r="9687" spans="3:10" x14ac:dyDescent="0.2">
      <c r="C9687" s="209"/>
      <c r="D9687" s="209"/>
      <c r="E9687" s="209"/>
      <c r="J9687" s="124"/>
    </row>
    <row r="9688" spans="3:10" x14ac:dyDescent="0.2">
      <c r="C9688" s="209"/>
      <c r="D9688" s="209"/>
      <c r="E9688" s="209"/>
      <c r="J9688" s="124"/>
    </row>
    <row r="9689" spans="3:10" x14ac:dyDescent="0.2">
      <c r="C9689" s="209"/>
      <c r="D9689" s="209"/>
      <c r="E9689" s="209"/>
      <c r="J9689" s="124"/>
    </row>
    <row r="9690" spans="3:10" x14ac:dyDescent="0.2">
      <c r="C9690" s="209"/>
      <c r="D9690" s="209"/>
      <c r="E9690" s="209"/>
      <c r="J9690" s="124"/>
    </row>
    <row r="9691" spans="3:10" x14ac:dyDescent="0.2">
      <c r="C9691" s="209"/>
      <c r="D9691" s="209"/>
      <c r="E9691" s="209"/>
      <c r="J9691" s="124"/>
    </row>
    <row r="9692" spans="3:10" x14ac:dyDescent="0.2">
      <c r="C9692" s="209"/>
      <c r="D9692" s="209"/>
      <c r="E9692" s="209"/>
      <c r="J9692" s="124"/>
    </row>
    <row r="9693" spans="3:10" x14ac:dyDescent="0.2">
      <c r="C9693" s="209"/>
      <c r="D9693" s="209"/>
      <c r="E9693" s="209"/>
      <c r="J9693" s="124"/>
    </row>
    <row r="9694" spans="3:10" x14ac:dyDescent="0.2">
      <c r="C9694" s="209"/>
      <c r="D9694" s="209"/>
      <c r="E9694" s="209"/>
      <c r="J9694" s="124"/>
    </row>
    <row r="9695" spans="3:10" x14ac:dyDescent="0.2">
      <c r="C9695" s="209"/>
      <c r="D9695" s="209"/>
      <c r="E9695" s="209"/>
      <c r="J9695" s="124"/>
    </row>
    <row r="9696" spans="3:10" x14ac:dyDescent="0.2">
      <c r="C9696" s="209"/>
      <c r="D9696" s="209"/>
      <c r="E9696" s="209"/>
      <c r="J9696" s="124"/>
    </row>
    <row r="9697" spans="3:10" x14ac:dyDescent="0.2">
      <c r="C9697" s="209"/>
      <c r="D9697" s="209"/>
      <c r="E9697" s="209"/>
      <c r="J9697" s="124"/>
    </row>
    <row r="9698" spans="3:10" x14ac:dyDescent="0.2">
      <c r="C9698" s="209"/>
      <c r="D9698" s="209"/>
      <c r="E9698" s="209"/>
      <c r="J9698" s="124"/>
    </row>
    <row r="9699" spans="3:10" x14ac:dyDescent="0.2">
      <c r="C9699" s="209"/>
      <c r="D9699" s="209"/>
      <c r="E9699" s="209"/>
      <c r="J9699" s="124"/>
    </row>
    <row r="9700" spans="3:10" x14ac:dyDescent="0.2">
      <c r="C9700" s="209"/>
      <c r="D9700" s="209"/>
      <c r="E9700" s="209"/>
      <c r="J9700" s="124"/>
    </row>
    <row r="9701" spans="3:10" x14ac:dyDescent="0.2">
      <c r="C9701" s="209"/>
      <c r="D9701" s="209"/>
      <c r="E9701" s="209"/>
      <c r="J9701" s="124"/>
    </row>
    <row r="9702" spans="3:10" x14ac:dyDescent="0.2">
      <c r="C9702" s="209"/>
      <c r="D9702" s="209"/>
      <c r="E9702" s="209"/>
      <c r="J9702" s="124"/>
    </row>
    <row r="9703" spans="3:10" x14ac:dyDescent="0.2">
      <c r="C9703" s="209"/>
      <c r="D9703" s="209"/>
      <c r="E9703" s="209"/>
      <c r="J9703" s="124"/>
    </row>
    <row r="9704" spans="3:10" x14ac:dyDescent="0.2">
      <c r="C9704" s="209"/>
      <c r="D9704" s="209"/>
      <c r="E9704" s="209"/>
      <c r="J9704" s="124"/>
    </row>
    <row r="9705" spans="3:10" x14ac:dyDescent="0.2">
      <c r="C9705" s="209"/>
      <c r="D9705" s="209"/>
      <c r="E9705" s="209"/>
      <c r="J9705" s="124"/>
    </row>
    <row r="9706" spans="3:10" x14ac:dyDescent="0.2">
      <c r="C9706" s="209"/>
      <c r="D9706" s="209"/>
      <c r="E9706" s="209"/>
      <c r="J9706" s="124"/>
    </row>
    <row r="9707" spans="3:10" x14ac:dyDescent="0.2">
      <c r="C9707" s="209"/>
      <c r="D9707" s="209"/>
      <c r="E9707" s="209"/>
      <c r="J9707" s="124"/>
    </row>
    <row r="9708" spans="3:10" x14ac:dyDescent="0.2">
      <c r="C9708" s="209"/>
      <c r="D9708" s="209"/>
      <c r="E9708" s="209"/>
      <c r="J9708" s="124"/>
    </row>
    <row r="9709" spans="3:10" x14ac:dyDescent="0.2">
      <c r="C9709" s="209"/>
      <c r="D9709" s="209"/>
      <c r="E9709" s="209"/>
      <c r="J9709" s="124"/>
    </row>
    <row r="9710" spans="3:10" x14ac:dyDescent="0.2">
      <c r="C9710" s="209"/>
      <c r="D9710" s="209"/>
      <c r="E9710" s="209"/>
      <c r="J9710" s="124"/>
    </row>
    <row r="9711" spans="3:10" x14ac:dyDescent="0.2">
      <c r="C9711" s="209"/>
      <c r="D9711" s="209"/>
      <c r="E9711" s="209"/>
      <c r="J9711" s="124"/>
    </row>
    <row r="9712" spans="3:10" x14ac:dyDescent="0.2">
      <c r="C9712" s="209"/>
      <c r="D9712" s="209"/>
      <c r="E9712" s="209"/>
      <c r="J9712" s="124"/>
    </row>
    <row r="9713" spans="3:10" x14ac:dyDescent="0.2">
      <c r="C9713" s="209"/>
      <c r="D9713" s="209"/>
      <c r="E9713" s="209"/>
      <c r="J9713" s="124"/>
    </row>
    <row r="9714" spans="3:10" x14ac:dyDescent="0.2">
      <c r="C9714" s="209"/>
      <c r="D9714" s="209"/>
      <c r="E9714" s="209"/>
      <c r="J9714" s="124"/>
    </row>
    <row r="9715" spans="3:10" x14ac:dyDescent="0.2">
      <c r="C9715" s="209"/>
      <c r="D9715" s="209"/>
      <c r="E9715" s="209"/>
      <c r="J9715" s="124"/>
    </row>
    <row r="9716" spans="3:10" x14ac:dyDescent="0.2">
      <c r="C9716" s="209"/>
      <c r="D9716" s="209"/>
      <c r="E9716" s="209"/>
      <c r="J9716" s="124"/>
    </row>
    <row r="9717" spans="3:10" x14ac:dyDescent="0.2">
      <c r="C9717" s="209"/>
      <c r="D9717" s="209"/>
      <c r="E9717" s="209"/>
      <c r="J9717" s="124"/>
    </row>
    <row r="9718" spans="3:10" x14ac:dyDescent="0.2">
      <c r="C9718" s="209"/>
      <c r="D9718" s="209"/>
      <c r="E9718" s="209"/>
      <c r="J9718" s="124"/>
    </row>
    <row r="9719" spans="3:10" x14ac:dyDescent="0.2">
      <c r="C9719" s="209"/>
      <c r="D9719" s="209"/>
      <c r="E9719" s="209"/>
      <c r="J9719" s="124"/>
    </row>
    <row r="9720" spans="3:10" x14ac:dyDescent="0.2">
      <c r="C9720" s="209"/>
      <c r="D9720" s="209"/>
      <c r="E9720" s="209"/>
      <c r="J9720" s="124"/>
    </row>
    <row r="9721" spans="3:10" x14ac:dyDescent="0.2">
      <c r="C9721" s="209"/>
      <c r="D9721" s="209"/>
      <c r="E9721" s="209"/>
      <c r="J9721" s="124"/>
    </row>
    <row r="9722" spans="3:10" x14ac:dyDescent="0.2">
      <c r="C9722" s="209"/>
      <c r="D9722" s="209"/>
      <c r="E9722" s="209"/>
      <c r="J9722" s="124"/>
    </row>
    <row r="9723" spans="3:10" x14ac:dyDescent="0.2">
      <c r="C9723" s="209"/>
      <c r="D9723" s="209"/>
      <c r="E9723" s="209"/>
      <c r="J9723" s="124"/>
    </row>
    <row r="9724" spans="3:10" x14ac:dyDescent="0.2">
      <c r="C9724" s="209"/>
      <c r="D9724" s="209"/>
      <c r="E9724" s="209"/>
      <c r="J9724" s="124"/>
    </row>
    <row r="9725" spans="3:10" x14ac:dyDescent="0.2">
      <c r="C9725" s="209"/>
      <c r="D9725" s="209"/>
      <c r="E9725" s="209"/>
      <c r="J9725" s="124"/>
    </row>
    <row r="9726" spans="3:10" x14ac:dyDescent="0.2">
      <c r="C9726" s="209"/>
      <c r="D9726" s="209"/>
      <c r="E9726" s="209"/>
      <c r="J9726" s="124"/>
    </row>
    <row r="9727" spans="3:10" x14ac:dyDescent="0.2">
      <c r="C9727" s="209"/>
      <c r="D9727" s="209"/>
      <c r="E9727" s="209"/>
      <c r="J9727" s="124"/>
    </row>
    <row r="9728" spans="3:10" x14ac:dyDescent="0.2">
      <c r="C9728" s="209"/>
      <c r="D9728" s="209"/>
      <c r="E9728" s="209"/>
      <c r="J9728" s="124"/>
    </row>
    <row r="9729" spans="3:10" x14ac:dyDescent="0.2">
      <c r="C9729" s="209"/>
      <c r="D9729" s="209"/>
      <c r="E9729" s="209"/>
      <c r="J9729" s="124"/>
    </row>
    <row r="9730" spans="3:10" x14ac:dyDescent="0.2">
      <c r="C9730" s="209"/>
      <c r="D9730" s="209"/>
      <c r="E9730" s="209"/>
      <c r="J9730" s="124"/>
    </row>
    <row r="9731" spans="3:10" x14ac:dyDescent="0.2">
      <c r="C9731" s="209"/>
      <c r="D9731" s="209"/>
      <c r="E9731" s="209"/>
      <c r="J9731" s="124"/>
    </row>
    <row r="9732" spans="3:10" x14ac:dyDescent="0.2">
      <c r="C9732" s="209"/>
      <c r="D9732" s="209"/>
      <c r="E9732" s="209"/>
      <c r="J9732" s="124"/>
    </row>
    <row r="9733" spans="3:10" x14ac:dyDescent="0.2">
      <c r="C9733" s="209"/>
      <c r="D9733" s="209"/>
      <c r="E9733" s="209"/>
      <c r="J9733" s="124"/>
    </row>
    <row r="9734" spans="3:10" x14ac:dyDescent="0.2">
      <c r="C9734" s="209"/>
      <c r="D9734" s="209"/>
      <c r="E9734" s="209"/>
      <c r="J9734" s="124"/>
    </row>
    <row r="9735" spans="3:10" x14ac:dyDescent="0.2">
      <c r="C9735" s="209"/>
      <c r="D9735" s="209"/>
      <c r="E9735" s="209"/>
      <c r="J9735" s="124"/>
    </row>
    <row r="9736" spans="3:10" x14ac:dyDescent="0.2">
      <c r="C9736" s="209"/>
      <c r="D9736" s="209"/>
      <c r="E9736" s="209"/>
      <c r="J9736" s="124"/>
    </row>
    <row r="9737" spans="3:10" x14ac:dyDescent="0.2">
      <c r="C9737" s="209"/>
      <c r="D9737" s="209"/>
      <c r="E9737" s="209"/>
      <c r="J9737" s="124"/>
    </row>
    <row r="9738" spans="3:10" x14ac:dyDescent="0.2">
      <c r="C9738" s="209"/>
      <c r="D9738" s="209"/>
      <c r="E9738" s="209"/>
      <c r="J9738" s="124"/>
    </row>
    <row r="9739" spans="3:10" x14ac:dyDescent="0.2">
      <c r="C9739" s="209"/>
      <c r="D9739" s="209"/>
      <c r="E9739" s="209"/>
      <c r="J9739" s="124"/>
    </row>
    <row r="9740" spans="3:10" x14ac:dyDescent="0.2">
      <c r="C9740" s="209"/>
      <c r="D9740" s="209"/>
      <c r="E9740" s="209"/>
      <c r="J9740" s="124"/>
    </row>
    <row r="9741" spans="3:10" x14ac:dyDescent="0.2">
      <c r="C9741" s="209"/>
      <c r="D9741" s="209"/>
      <c r="E9741" s="209"/>
      <c r="J9741" s="124"/>
    </row>
    <row r="9742" spans="3:10" x14ac:dyDescent="0.2">
      <c r="C9742" s="209"/>
      <c r="D9742" s="209"/>
      <c r="E9742" s="209"/>
      <c r="J9742" s="124"/>
    </row>
    <row r="9743" spans="3:10" x14ac:dyDescent="0.2">
      <c r="C9743" s="209"/>
      <c r="D9743" s="209"/>
      <c r="E9743" s="209"/>
      <c r="J9743" s="124"/>
    </row>
    <row r="9744" spans="3:10" x14ac:dyDescent="0.2">
      <c r="C9744" s="209"/>
      <c r="D9744" s="209"/>
      <c r="E9744" s="209"/>
      <c r="J9744" s="124"/>
    </row>
    <row r="9745" spans="3:10" x14ac:dyDescent="0.2">
      <c r="C9745" s="209"/>
      <c r="D9745" s="209"/>
      <c r="E9745" s="209"/>
      <c r="J9745" s="124"/>
    </row>
    <row r="9746" spans="3:10" x14ac:dyDescent="0.2">
      <c r="C9746" s="209"/>
      <c r="D9746" s="209"/>
      <c r="E9746" s="209"/>
      <c r="J9746" s="124"/>
    </row>
    <row r="9747" spans="3:10" x14ac:dyDescent="0.2">
      <c r="C9747" s="209"/>
      <c r="D9747" s="209"/>
      <c r="E9747" s="209"/>
      <c r="J9747" s="124"/>
    </row>
    <row r="9748" spans="3:10" x14ac:dyDescent="0.2">
      <c r="C9748" s="209"/>
      <c r="D9748" s="209"/>
      <c r="E9748" s="209"/>
      <c r="J9748" s="124"/>
    </row>
    <row r="9749" spans="3:10" x14ac:dyDescent="0.2">
      <c r="C9749" s="209"/>
      <c r="D9749" s="209"/>
      <c r="E9749" s="209"/>
      <c r="J9749" s="124"/>
    </row>
    <row r="9750" spans="3:10" x14ac:dyDescent="0.2">
      <c r="C9750" s="209"/>
      <c r="D9750" s="209"/>
      <c r="E9750" s="209"/>
      <c r="J9750" s="124"/>
    </row>
    <row r="9751" spans="3:10" x14ac:dyDescent="0.2">
      <c r="C9751" s="209"/>
      <c r="D9751" s="209"/>
      <c r="E9751" s="209"/>
      <c r="J9751" s="124"/>
    </row>
    <row r="9752" spans="3:10" x14ac:dyDescent="0.2">
      <c r="C9752" s="209"/>
      <c r="D9752" s="209"/>
      <c r="E9752" s="209"/>
      <c r="J9752" s="124"/>
    </row>
    <row r="9753" spans="3:10" x14ac:dyDescent="0.2">
      <c r="C9753" s="209"/>
      <c r="D9753" s="209"/>
      <c r="E9753" s="209"/>
      <c r="J9753" s="124"/>
    </row>
    <row r="9754" spans="3:10" x14ac:dyDescent="0.2">
      <c r="C9754" s="209"/>
      <c r="D9754" s="209"/>
      <c r="E9754" s="209"/>
      <c r="J9754" s="124"/>
    </row>
    <row r="9755" spans="3:10" x14ac:dyDescent="0.2">
      <c r="C9755" s="209"/>
      <c r="D9755" s="209"/>
      <c r="E9755" s="209"/>
      <c r="J9755" s="124"/>
    </row>
    <row r="9756" spans="3:10" x14ac:dyDescent="0.2">
      <c r="C9756" s="209"/>
      <c r="D9756" s="209"/>
      <c r="E9756" s="209"/>
      <c r="J9756" s="124"/>
    </row>
    <row r="9757" spans="3:10" x14ac:dyDescent="0.2">
      <c r="C9757" s="209"/>
      <c r="D9757" s="209"/>
      <c r="E9757" s="209"/>
      <c r="J9757" s="124"/>
    </row>
    <row r="9758" spans="3:10" x14ac:dyDescent="0.2">
      <c r="C9758" s="209"/>
      <c r="D9758" s="209"/>
      <c r="E9758" s="209"/>
      <c r="J9758" s="124"/>
    </row>
    <row r="9759" spans="3:10" x14ac:dyDescent="0.2">
      <c r="C9759" s="209"/>
      <c r="D9759" s="209"/>
      <c r="E9759" s="209"/>
      <c r="J9759" s="124"/>
    </row>
    <row r="9760" spans="3:10" x14ac:dyDescent="0.2">
      <c r="C9760" s="209"/>
      <c r="D9760" s="209"/>
      <c r="E9760" s="209"/>
      <c r="J9760" s="124"/>
    </row>
    <row r="9761" spans="3:10" x14ac:dyDescent="0.2">
      <c r="C9761" s="209"/>
      <c r="D9761" s="209"/>
      <c r="E9761" s="209"/>
      <c r="J9761" s="124"/>
    </row>
    <row r="9762" spans="3:10" x14ac:dyDescent="0.2">
      <c r="C9762" s="209"/>
      <c r="D9762" s="209"/>
      <c r="E9762" s="209"/>
      <c r="J9762" s="124"/>
    </row>
    <row r="9763" spans="3:10" x14ac:dyDescent="0.2">
      <c r="C9763" s="209"/>
      <c r="D9763" s="209"/>
      <c r="E9763" s="209"/>
      <c r="J9763" s="124"/>
    </row>
    <row r="9764" spans="3:10" x14ac:dyDescent="0.2">
      <c r="C9764" s="209"/>
      <c r="D9764" s="209"/>
      <c r="E9764" s="209"/>
      <c r="J9764" s="124"/>
    </row>
    <row r="9765" spans="3:10" x14ac:dyDescent="0.2">
      <c r="C9765" s="209"/>
      <c r="D9765" s="209"/>
      <c r="E9765" s="209"/>
      <c r="J9765" s="124"/>
    </row>
    <row r="9766" spans="3:10" x14ac:dyDescent="0.2">
      <c r="C9766" s="209"/>
      <c r="D9766" s="209"/>
      <c r="E9766" s="209"/>
      <c r="J9766" s="124"/>
    </row>
    <row r="9767" spans="3:10" x14ac:dyDescent="0.2">
      <c r="C9767" s="209"/>
      <c r="D9767" s="209"/>
      <c r="E9767" s="209"/>
      <c r="J9767" s="124"/>
    </row>
    <row r="9768" spans="3:10" x14ac:dyDescent="0.2">
      <c r="C9768" s="209"/>
      <c r="D9768" s="209"/>
      <c r="E9768" s="209"/>
      <c r="J9768" s="124"/>
    </row>
    <row r="9769" spans="3:10" x14ac:dyDescent="0.2">
      <c r="C9769" s="209"/>
      <c r="D9769" s="209"/>
      <c r="E9769" s="209"/>
      <c r="J9769" s="124"/>
    </row>
    <row r="9770" spans="3:10" x14ac:dyDescent="0.2">
      <c r="C9770" s="209"/>
      <c r="D9770" s="209"/>
      <c r="E9770" s="209"/>
      <c r="J9770" s="124"/>
    </row>
    <row r="9771" spans="3:10" x14ac:dyDescent="0.2">
      <c r="C9771" s="209"/>
      <c r="D9771" s="209"/>
      <c r="E9771" s="209"/>
      <c r="J9771" s="124"/>
    </row>
    <row r="9772" spans="3:10" x14ac:dyDescent="0.2">
      <c r="C9772" s="209"/>
      <c r="D9772" s="209"/>
      <c r="E9772" s="209"/>
      <c r="J9772" s="124"/>
    </row>
    <row r="9773" spans="3:10" x14ac:dyDescent="0.2">
      <c r="C9773" s="209"/>
      <c r="D9773" s="209"/>
      <c r="E9773" s="209"/>
      <c r="J9773" s="124"/>
    </row>
    <row r="9774" spans="3:10" x14ac:dyDescent="0.2">
      <c r="C9774" s="209"/>
      <c r="D9774" s="209"/>
      <c r="E9774" s="209"/>
      <c r="J9774" s="124"/>
    </row>
    <row r="9775" spans="3:10" x14ac:dyDescent="0.2">
      <c r="C9775" s="209"/>
      <c r="D9775" s="209"/>
      <c r="E9775" s="209"/>
      <c r="J9775" s="124"/>
    </row>
    <row r="9776" spans="3:10" x14ac:dyDescent="0.2">
      <c r="C9776" s="209"/>
      <c r="D9776" s="209"/>
      <c r="E9776" s="209"/>
      <c r="J9776" s="124"/>
    </row>
    <row r="9777" spans="3:10" x14ac:dyDescent="0.2">
      <c r="C9777" s="209"/>
      <c r="D9777" s="209"/>
      <c r="E9777" s="209"/>
      <c r="J9777" s="124"/>
    </row>
    <row r="9778" spans="3:10" x14ac:dyDescent="0.2">
      <c r="C9778" s="209"/>
      <c r="D9778" s="209"/>
      <c r="E9778" s="209"/>
      <c r="J9778" s="124"/>
    </row>
    <row r="9779" spans="3:10" x14ac:dyDescent="0.2">
      <c r="C9779" s="209"/>
      <c r="D9779" s="209"/>
      <c r="E9779" s="209"/>
      <c r="J9779" s="124"/>
    </row>
    <row r="9780" spans="3:10" x14ac:dyDescent="0.2">
      <c r="C9780" s="209"/>
      <c r="D9780" s="209"/>
      <c r="E9780" s="209"/>
      <c r="J9780" s="124"/>
    </row>
    <row r="9781" spans="3:10" x14ac:dyDescent="0.2">
      <c r="C9781" s="209"/>
      <c r="D9781" s="209"/>
      <c r="E9781" s="209"/>
      <c r="J9781" s="124"/>
    </row>
    <row r="9782" spans="3:10" x14ac:dyDescent="0.2">
      <c r="C9782" s="209"/>
      <c r="D9782" s="209"/>
      <c r="E9782" s="209"/>
      <c r="J9782" s="124"/>
    </row>
    <row r="9783" spans="3:10" x14ac:dyDescent="0.2">
      <c r="C9783" s="209"/>
      <c r="D9783" s="209"/>
      <c r="E9783" s="209"/>
      <c r="J9783" s="124"/>
    </row>
    <row r="9784" spans="3:10" x14ac:dyDescent="0.2">
      <c r="C9784" s="209"/>
      <c r="D9784" s="209"/>
      <c r="E9784" s="209"/>
      <c r="J9784" s="124"/>
    </row>
    <row r="9785" spans="3:10" x14ac:dyDescent="0.2">
      <c r="C9785" s="209"/>
      <c r="D9785" s="209"/>
      <c r="E9785" s="209"/>
      <c r="J9785" s="124"/>
    </row>
    <row r="9786" spans="3:10" x14ac:dyDescent="0.2">
      <c r="C9786" s="209"/>
      <c r="D9786" s="209"/>
      <c r="E9786" s="209"/>
      <c r="J9786" s="124"/>
    </row>
    <row r="9787" spans="3:10" x14ac:dyDescent="0.2">
      <c r="C9787" s="209"/>
      <c r="D9787" s="209"/>
      <c r="E9787" s="209"/>
      <c r="J9787" s="124"/>
    </row>
    <row r="9788" spans="3:10" x14ac:dyDescent="0.2">
      <c r="C9788" s="209"/>
      <c r="D9788" s="209"/>
      <c r="E9788" s="209"/>
      <c r="J9788" s="124"/>
    </row>
    <row r="9789" spans="3:10" x14ac:dyDescent="0.2">
      <c r="C9789" s="209"/>
      <c r="D9789" s="209"/>
      <c r="E9789" s="209"/>
      <c r="J9789" s="124"/>
    </row>
    <row r="9790" spans="3:10" x14ac:dyDescent="0.2">
      <c r="C9790" s="209"/>
      <c r="D9790" s="209"/>
      <c r="E9790" s="209"/>
      <c r="J9790" s="124"/>
    </row>
    <row r="9791" spans="3:10" x14ac:dyDescent="0.2">
      <c r="C9791" s="209"/>
      <c r="D9791" s="209"/>
      <c r="E9791" s="209"/>
      <c r="J9791" s="124"/>
    </row>
    <row r="9792" spans="3:10" x14ac:dyDescent="0.2">
      <c r="C9792" s="209"/>
      <c r="D9792" s="209"/>
      <c r="E9792" s="209"/>
      <c r="J9792" s="124"/>
    </row>
    <row r="9793" spans="3:10" x14ac:dyDescent="0.2">
      <c r="C9793" s="209"/>
      <c r="D9793" s="209"/>
      <c r="E9793" s="209"/>
      <c r="J9793" s="124"/>
    </row>
    <row r="9794" spans="3:10" x14ac:dyDescent="0.2">
      <c r="C9794" s="209"/>
      <c r="D9794" s="209"/>
      <c r="E9794" s="209"/>
      <c r="J9794" s="124"/>
    </row>
    <row r="9795" spans="3:10" x14ac:dyDescent="0.2">
      <c r="C9795" s="209"/>
      <c r="D9795" s="209"/>
      <c r="E9795" s="209"/>
      <c r="J9795" s="124"/>
    </row>
    <row r="9796" spans="3:10" x14ac:dyDescent="0.2">
      <c r="C9796" s="209"/>
      <c r="D9796" s="209"/>
      <c r="E9796" s="209"/>
      <c r="J9796" s="124"/>
    </row>
    <row r="9797" spans="3:10" x14ac:dyDescent="0.2">
      <c r="C9797" s="209"/>
      <c r="D9797" s="209"/>
      <c r="E9797" s="209"/>
      <c r="J9797" s="124"/>
    </row>
    <row r="9798" spans="3:10" x14ac:dyDescent="0.2">
      <c r="C9798" s="209"/>
      <c r="D9798" s="209"/>
      <c r="E9798" s="209"/>
      <c r="J9798" s="124"/>
    </row>
    <row r="9799" spans="3:10" x14ac:dyDescent="0.2">
      <c r="C9799" s="209"/>
      <c r="D9799" s="209"/>
      <c r="E9799" s="209"/>
      <c r="J9799" s="124"/>
    </row>
    <row r="9800" spans="3:10" x14ac:dyDescent="0.2">
      <c r="C9800" s="209"/>
      <c r="D9800" s="209"/>
      <c r="E9800" s="209"/>
      <c r="J9800" s="124"/>
    </row>
    <row r="9801" spans="3:10" x14ac:dyDescent="0.2">
      <c r="C9801" s="209"/>
      <c r="D9801" s="209"/>
      <c r="E9801" s="209"/>
      <c r="J9801" s="124"/>
    </row>
    <row r="9802" spans="3:10" x14ac:dyDescent="0.2">
      <c r="C9802" s="209"/>
      <c r="D9802" s="209"/>
      <c r="E9802" s="209"/>
      <c r="J9802" s="124"/>
    </row>
    <row r="9803" spans="3:10" x14ac:dyDescent="0.2">
      <c r="C9803" s="209"/>
      <c r="D9803" s="209"/>
      <c r="E9803" s="209"/>
      <c r="J9803" s="124"/>
    </row>
    <row r="9804" spans="3:10" x14ac:dyDescent="0.2">
      <c r="C9804" s="209"/>
      <c r="D9804" s="209"/>
      <c r="E9804" s="209"/>
      <c r="J9804" s="124"/>
    </row>
    <row r="9805" spans="3:10" x14ac:dyDescent="0.2">
      <c r="C9805" s="209"/>
      <c r="D9805" s="209"/>
      <c r="E9805" s="209"/>
      <c r="J9805" s="124"/>
    </row>
    <row r="9806" spans="3:10" x14ac:dyDescent="0.2">
      <c r="C9806" s="209"/>
      <c r="D9806" s="209"/>
      <c r="E9806" s="209"/>
      <c r="J9806" s="124"/>
    </row>
    <row r="9807" spans="3:10" x14ac:dyDescent="0.2">
      <c r="C9807" s="209"/>
      <c r="D9807" s="209"/>
      <c r="E9807" s="209"/>
      <c r="J9807" s="124"/>
    </row>
    <row r="9808" spans="3:10" x14ac:dyDescent="0.2">
      <c r="C9808" s="209"/>
      <c r="D9808" s="209"/>
      <c r="E9808" s="209"/>
      <c r="J9808" s="124"/>
    </row>
    <row r="9809" spans="3:10" x14ac:dyDescent="0.2">
      <c r="C9809" s="209"/>
      <c r="D9809" s="209"/>
      <c r="E9809" s="209"/>
      <c r="J9809" s="124"/>
    </row>
    <row r="9810" spans="3:10" x14ac:dyDescent="0.2">
      <c r="C9810" s="209"/>
      <c r="D9810" s="209"/>
      <c r="E9810" s="209"/>
      <c r="J9810" s="124"/>
    </row>
    <row r="9811" spans="3:10" x14ac:dyDescent="0.2">
      <c r="C9811" s="209"/>
      <c r="D9811" s="209"/>
      <c r="E9811" s="209"/>
      <c r="J9811" s="124"/>
    </row>
    <row r="9812" spans="3:10" x14ac:dyDescent="0.2">
      <c r="C9812" s="209"/>
      <c r="D9812" s="209"/>
      <c r="E9812" s="209"/>
      <c r="J9812" s="124"/>
    </row>
    <row r="9813" spans="3:10" x14ac:dyDescent="0.2">
      <c r="C9813" s="209"/>
      <c r="D9813" s="209"/>
      <c r="E9813" s="209"/>
      <c r="J9813" s="124"/>
    </row>
    <row r="9814" spans="3:10" x14ac:dyDescent="0.2">
      <c r="C9814" s="209"/>
      <c r="D9814" s="209"/>
      <c r="E9814" s="209"/>
      <c r="J9814" s="124"/>
    </row>
    <row r="9815" spans="3:10" x14ac:dyDescent="0.2">
      <c r="C9815" s="209"/>
      <c r="D9815" s="209"/>
      <c r="E9815" s="209"/>
      <c r="J9815" s="124"/>
    </row>
    <row r="9816" spans="3:10" x14ac:dyDescent="0.2">
      <c r="C9816" s="209"/>
      <c r="D9816" s="209"/>
      <c r="E9816" s="209"/>
      <c r="J9816" s="124"/>
    </row>
    <row r="9817" spans="3:10" x14ac:dyDescent="0.2">
      <c r="C9817" s="209"/>
      <c r="D9817" s="209"/>
      <c r="E9817" s="209"/>
      <c r="J9817" s="124"/>
    </row>
    <row r="9818" spans="3:10" x14ac:dyDescent="0.2">
      <c r="C9818" s="209"/>
      <c r="D9818" s="209"/>
      <c r="E9818" s="209"/>
      <c r="J9818" s="124"/>
    </row>
    <row r="9819" spans="3:10" x14ac:dyDescent="0.2">
      <c r="C9819" s="209"/>
      <c r="D9819" s="209"/>
      <c r="E9819" s="209"/>
      <c r="J9819" s="124"/>
    </row>
    <row r="9820" spans="3:10" x14ac:dyDescent="0.2">
      <c r="C9820" s="209"/>
      <c r="D9820" s="209"/>
      <c r="E9820" s="209"/>
      <c r="J9820" s="124"/>
    </row>
    <row r="9821" spans="3:10" x14ac:dyDescent="0.2">
      <c r="C9821" s="209"/>
      <c r="D9821" s="209"/>
      <c r="E9821" s="209"/>
      <c r="J9821" s="124"/>
    </row>
    <row r="9822" spans="3:10" x14ac:dyDescent="0.2">
      <c r="C9822" s="209"/>
      <c r="D9822" s="209"/>
      <c r="E9822" s="209"/>
      <c r="J9822" s="124"/>
    </row>
    <row r="9823" spans="3:10" x14ac:dyDescent="0.2">
      <c r="C9823" s="209"/>
      <c r="D9823" s="209"/>
      <c r="E9823" s="209"/>
      <c r="J9823" s="124"/>
    </row>
    <row r="9824" spans="3:10" x14ac:dyDescent="0.2">
      <c r="C9824" s="209"/>
      <c r="D9824" s="209"/>
      <c r="E9824" s="209"/>
      <c r="J9824" s="124"/>
    </row>
    <row r="9825" spans="3:10" x14ac:dyDescent="0.2">
      <c r="C9825" s="209"/>
      <c r="D9825" s="209"/>
      <c r="E9825" s="209"/>
      <c r="J9825" s="124"/>
    </row>
    <row r="9826" spans="3:10" x14ac:dyDescent="0.2">
      <c r="C9826" s="209"/>
      <c r="D9826" s="209"/>
      <c r="E9826" s="209"/>
      <c r="J9826" s="124"/>
    </row>
    <row r="9827" spans="3:10" x14ac:dyDescent="0.2">
      <c r="C9827" s="209"/>
      <c r="D9827" s="209"/>
      <c r="E9827" s="209"/>
      <c r="J9827" s="124"/>
    </row>
    <row r="9828" spans="3:10" x14ac:dyDescent="0.2">
      <c r="C9828" s="209"/>
      <c r="D9828" s="209"/>
      <c r="E9828" s="209"/>
      <c r="J9828" s="124"/>
    </row>
    <row r="9829" spans="3:10" x14ac:dyDescent="0.2">
      <c r="C9829" s="209"/>
      <c r="D9829" s="209"/>
      <c r="E9829" s="209"/>
      <c r="J9829" s="124"/>
    </row>
    <row r="9830" spans="3:10" x14ac:dyDescent="0.2">
      <c r="C9830" s="209"/>
      <c r="D9830" s="209"/>
      <c r="E9830" s="209"/>
      <c r="J9830" s="124"/>
    </row>
    <row r="9831" spans="3:10" x14ac:dyDescent="0.2">
      <c r="C9831" s="209"/>
      <c r="D9831" s="209"/>
      <c r="E9831" s="209"/>
      <c r="J9831" s="124"/>
    </row>
    <row r="9832" spans="3:10" x14ac:dyDescent="0.2">
      <c r="C9832" s="209"/>
      <c r="D9832" s="209"/>
      <c r="E9832" s="209"/>
      <c r="J9832" s="124"/>
    </row>
    <row r="9833" spans="3:10" x14ac:dyDescent="0.2">
      <c r="C9833" s="209"/>
      <c r="D9833" s="209"/>
      <c r="E9833" s="209"/>
      <c r="J9833" s="124"/>
    </row>
    <row r="9834" spans="3:10" x14ac:dyDescent="0.2">
      <c r="C9834" s="209"/>
      <c r="D9834" s="209"/>
      <c r="E9834" s="209"/>
      <c r="J9834" s="124"/>
    </row>
    <row r="9835" spans="3:10" x14ac:dyDescent="0.2">
      <c r="C9835" s="209"/>
      <c r="D9835" s="209"/>
      <c r="E9835" s="209"/>
      <c r="J9835" s="124"/>
    </row>
    <row r="9836" spans="3:10" x14ac:dyDescent="0.2">
      <c r="C9836" s="209"/>
      <c r="D9836" s="209"/>
      <c r="E9836" s="209"/>
      <c r="J9836" s="124"/>
    </row>
    <row r="9837" spans="3:10" x14ac:dyDescent="0.2">
      <c r="C9837" s="209"/>
      <c r="D9837" s="209"/>
      <c r="E9837" s="209"/>
      <c r="J9837" s="124"/>
    </row>
    <row r="9838" spans="3:10" x14ac:dyDescent="0.2">
      <c r="C9838" s="209"/>
      <c r="D9838" s="209"/>
      <c r="E9838" s="209"/>
      <c r="J9838" s="124"/>
    </row>
    <row r="9839" spans="3:10" x14ac:dyDescent="0.2">
      <c r="C9839" s="209"/>
      <c r="D9839" s="209"/>
      <c r="E9839" s="209"/>
      <c r="J9839" s="124"/>
    </row>
    <row r="9840" spans="3:10" x14ac:dyDescent="0.2">
      <c r="C9840" s="209"/>
      <c r="D9840" s="209"/>
      <c r="E9840" s="209"/>
      <c r="J9840" s="124"/>
    </row>
    <row r="9841" spans="3:10" x14ac:dyDescent="0.2">
      <c r="C9841" s="209"/>
      <c r="D9841" s="209"/>
      <c r="E9841" s="209"/>
      <c r="J9841" s="124"/>
    </row>
    <row r="9842" spans="3:10" x14ac:dyDescent="0.2">
      <c r="C9842" s="209"/>
      <c r="D9842" s="209"/>
      <c r="E9842" s="209"/>
      <c r="J9842" s="124"/>
    </row>
    <row r="9843" spans="3:10" x14ac:dyDescent="0.2">
      <c r="C9843" s="209"/>
      <c r="D9843" s="209"/>
      <c r="E9843" s="209"/>
      <c r="J9843" s="124"/>
    </row>
    <row r="9844" spans="3:10" x14ac:dyDescent="0.2">
      <c r="C9844" s="209"/>
      <c r="D9844" s="209"/>
      <c r="E9844" s="209"/>
      <c r="J9844" s="124"/>
    </row>
    <row r="9845" spans="3:10" x14ac:dyDescent="0.2">
      <c r="C9845" s="209"/>
      <c r="D9845" s="209"/>
      <c r="E9845" s="209"/>
      <c r="J9845" s="124"/>
    </row>
    <row r="9846" spans="3:10" x14ac:dyDescent="0.2">
      <c r="C9846" s="209"/>
      <c r="D9846" s="209"/>
      <c r="E9846" s="209"/>
      <c r="J9846" s="124"/>
    </row>
    <row r="9847" spans="3:10" x14ac:dyDescent="0.2">
      <c r="C9847" s="209"/>
      <c r="D9847" s="209"/>
      <c r="E9847" s="209"/>
      <c r="J9847" s="124"/>
    </row>
    <row r="9848" spans="3:10" x14ac:dyDescent="0.2">
      <c r="C9848" s="209"/>
      <c r="D9848" s="209"/>
      <c r="E9848" s="209"/>
      <c r="J9848" s="124"/>
    </row>
    <row r="9849" spans="3:10" x14ac:dyDescent="0.2">
      <c r="C9849" s="209"/>
      <c r="D9849" s="209"/>
      <c r="E9849" s="209"/>
      <c r="J9849" s="124"/>
    </row>
    <row r="9850" spans="3:10" x14ac:dyDescent="0.2">
      <c r="C9850" s="209"/>
      <c r="D9850" s="209"/>
      <c r="E9850" s="209"/>
      <c r="J9850" s="124"/>
    </row>
    <row r="9851" spans="3:10" x14ac:dyDescent="0.2">
      <c r="C9851" s="209"/>
      <c r="D9851" s="209"/>
      <c r="E9851" s="209"/>
      <c r="J9851" s="124"/>
    </row>
    <row r="9852" spans="3:10" x14ac:dyDescent="0.2">
      <c r="C9852" s="209"/>
      <c r="D9852" s="209"/>
      <c r="E9852" s="209"/>
      <c r="J9852" s="124"/>
    </row>
    <row r="9853" spans="3:10" x14ac:dyDescent="0.2">
      <c r="C9853" s="209"/>
      <c r="D9853" s="209"/>
      <c r="E9853" s="209"/>
      <c r="J9853" s="124"/>
    </row>
    <row r="9854" spans="3:10" x14ac:dyDescent="0.2">
      <c r="C9854" s="209"/>
      <c r="D9854" s="209"/>
      <c r="E9854" s="209"/>
      <c r="J9854" s="124"/>
    </row>
    <row r="9855" spans="3:10" x14ac:dyDescent="0.2">
      <c r="C9855" s="209"/>
      <c r="D9855" s="209"/>
      <c r="E9855" s="209"/>
      <c r="J9855" s="124"/>
    </row>
    <row r="9856" spans="3:10" x14ac:dyDescent="0.2">
      <c r="C9856" s="209"/>
      <c r="D9856" s="209"/>
      <c r="E9856" s="209"/>
      <c r="J9856" s="124"/>
    </row>
    <row r="9857" spans="3:10" x14ac:dyDescent="0.2">
      <c r="C9857" s="209"/>
      <c r="D9857" s="209"/>
      <c r="E9857" s="209"/>
      <c r="J9857" s="124"/>
    </row>
    <row r="9858" spans="3:10" x14ac:dyDescent="0.2">
      <c r="C9858" s="209"/>
      <c r="D9858" s="209"/>
      <c r="E9858" s="209"/>
      <c r="J9858" s="124"/>
    </row>
    <row r="9859" spans="3:10" x14ac:dyDescent="0.2">
      <c r="C9859" s="209"/>
      <c r="D9859" s="209"/>
      <c r="E9859" s="209"/>
      <c r="J9859" s="124"/>
    </row>
    <row r="9860" spans="3:10" x14ac:dyDescent="0.2">
      <c r="C9860" s="209"/>
      <c r="D9860" s="209"/>
      <c r="E9860" s="209"/>
      <c r="J9860" s="124"/>
    </row>
    <row r="9861" spans="3:10" x14ac:dyDescent="0.2">
      <c r="C9861" s="209"/>
      <c r="D9861" s="209"/>
      <c r="E9861" s="209"/>
      <c r="J9861" s="124"/>
    </row>
    <row r="9862" spans="3:10" x14ac:dyDescent="0.2">
      <c r="C9862" s="209"/>
      <c r="D9862" s="209"/>
      <c r="E9862" s="209"/>
      <c r="J9862" s="124"/>
    </row>
    <row r="9863" spans="3:10" x14ac:dyDescent="0.2">
      <c r="C9863" s="209"/>
      <c r="D9863" s="209"/>
      <c r="E9863" s="209"/>
      <c r="J9863" s="124"/>
    </row>
    <row r="9864" spans="3:10" x14ac:dyDescent="0.2">
      <c r="C9864" s="209"/>
      <c r="D9864" s="209"/>
      <c r="E9864" s="209"/>
      <c r="J9864" s="124"/>
    </row>
    <row r="9865" spans="3:10" x14ac:dyDescent="0.2">
      <c r="C9865" s="209"/>
      <c r="D9865" s="209"/>
      <c r="E9865" s="209"/>
      <c r="J9865" s="124"/>
    </row>
    <row r="9866" spans="3:10" x14ac:dyDescent="0.2">
      <c r="C9866" s="209"/>
      <c r="D9866" s="209"/>
      <c r="E9866" s="209"/>
      <c r="J9866" s="124"/>
    </row>
    <row r="9867" spans="3:10" x14ac:dyDescent="0.2">
      <c r="C9867" s="209"/>
      <c r="D9867" s="209"/>
      <c r="E9867" s="209"/>
      <c r="J9867" s="124"/>
    </row>
    <row r="9868" spans="3:10" x14ac:dyDescent="0.2">
      <c r="C9868" s="209"/>
      <c r="D9868" s="209"/>
      <c r="E9868" s="209"/>
      <c r="J9868" s="124"/>
    </row>
    <row r="9869" spans="3:10" x14ac:dyDescent="0.2">
      <c r="C9869" s="209"/>
      <c r="D9869" s="209"/>
      <c r="E9869" s="209"/>
      <c r="J9869" s="124"/>
    </row>
    <row r="9870" spans="3:10" x14ac:dyDescent="0.2">
      <c r="C9870" s="209"/>
      <c r="D9870" s="209"/>
      <c r="E9870" s="209"/>
      <c r="J9870" s="124"/>
    </row>
    <row r="9871" spans="3:10" x14ac:dyDescent="0.2">
      <c r="C9871" s="209"/>
      <c r="D9871" s="209"/>
      <c r="E9871" s="209"/>
      <c r="J9871" s="124"/>
    </row>
    <row r="9872" spans="3:10" x14ac:dyDescent="0.2">
      <c r="C9872" s="209"/>
      <c r="D9872" s="209"/>
      <c r="E9872" s="209"/>
      <c r="J9872" s="124"/>
    </row>
    <row r="9873" spans="3:10" x14ac:dyDescent="0.2">
      <c r="C9873" s="209"/>
      <c r="D9873" s="209"/>
      <c r="E9873" s="209"/>
      <c r="J9873" s="124"/>
    </row>
    <row r="9874" spans="3:10" x14ac:dyDescent="0.2">
      <c r="C9874" s="209"/>
      <c r="D9874" s="209"/>
      <c r="E9874" s="209"/>
      <c r="J9874" s="124"/>
    </row>
    <row r="9875" spans="3:10" x14ac:dyDescent="0.2">
      <c r="C9875" s="209"/>
      <c r="D9875" s="209"/>
      <c r="E9875" s="209"/>
      <c r="J9875" s="124"/>
    </row>
    <row r="9876" spans="3:10" x14ac:dyDescent="0.2">
      <c r="C9876" s="209"/>
      <c r="D9876" s="209"/>
      <c r="E9876" s="209"/>
      <c r="J9876" s="124"/>
    </row>
    <row r="9877" spans="3:10" x14ac:dyDescent="0.2">
      <c r="C9877" s="209"/>
      <c r="D9877" s="209"/>
      <c r="E9877" s="209"/>
      <c r="J9877" s="124"/>
    </row>
    <row r="9878" spans="3:10" x14ac:dyDescent="0.2">
      <c r="C9878" s="209"/>
      <c r="D9878" s="209"/>
      <c r="E9878" s="209"/>
      <c r="J9878" s="124"/>
    </row>
    <row r="9879" spans="3:10" x14ac:dyDescent="0.2">
      <c r="C9879" s="209"/>
      <c r="D9879" s="209"/>
      <c r="E9879" s="209"/>
      <c r="J9879" s="124"/>
    </row>
    <row r="9880" spans="3:10" x14ac:dyDescent="0.2">
      <c r="C9880" s="209"/>
      <c r="D9880" s="209"/>
      <c r="E9880" s="209"/>
      <c r="J9880" s="124"/>
    </row>
    <row r="9881" spans="3:10" x14ac:dyDescent="0.2">
      <c r="C9881" s="209"/>
      <c r="D9881" s="209"/>
      <c r="E9881" s="209"/>
      <c r="J9881" s="124"/>
    </row>
    <row r="9882" spans="3:10" x14ac:dyDescent="0.2">
      <c r="C9882" s="209"/>
      <c r="D9882" s="209"/>
      <c r="E9882" s="209"/>
      <c r="J9882" s="124"/>
    </row>
    <row r="9883" spans="3:10" x14ac:dyDescent="0.2">
      <c r="C9883" s="209"/>
      <c r="D9883" s="209"/>
      <c r="E9883" s="209"/>
      <c r="J9883" s="124"/>
    </row>
    <row r="9884" spans="3:10" x14ac:dyDescent="0.2">
      <c r="C9884" s="209"/>
      <c r="D9884" s="209"/>
      <c r="E9884" s="209"/>
      <c r="J9884" s="124"/>
    </row>
    <row r="9885" spans="3:10" x14ac:dyDescent="0.2">
      <c r="C9885" s="209"/>
      <c r="D9885" s="209"/>
      <c r="E9885" s="209"/>
      <c r="J9885" s="124"/>
    </row>
    <row r="9886" spans="3:10" x14ac:dyDescent="0.2">
      <c r="C9886" s="209"/>
      <c r="D9886" s="209"/>
      <c r="E9886" s="209"/>
      <c r="J9886" s="124"/>
    </row>
    <row r="9887" spans="3:10" x14ac:dyDescent="0.2">
      <c r="C9887" s="209"/>
      <c r="D9887" s="209"/>
      <c r="E9887" s="209"/>
      <c r="J9887" s="124"/>
    </row>
    <row r="9888" spans="3:10" x14ac:dyDescent="0.2">
      <c r="C9888" s="209"/>
      <c r="D9888" s="209"/>
      <c r="E9888" s="209"/>
      <c r="J9888" s="124"/>
    </row>
    <row r="9889" spans="3:10" x14ac:dyDescent="0.2">
      <c r="C9889" s="209"/>
      <c r="D9889" s="209"/>
      <c r="E9889" s="209"/>
      <c r="J9889" s="124"/>
    </row>
    <row r="9890" spans="3:10" x14ac:dyDescent="0.2">
      <c r="C9890" s="209"/>
      <c r="D9890" s="209"/>
      <c r="E9890" s="209"/>
      <c r="J9890" s="124"/>
    </row>
    <row r="9891" spans="3:10" x14ac:dyDescent="0.2">
      <c r="C9891" s="209"/>
      <c r="D9891" s="209"/>
      <c r="E9891" s="209"/>
      <c r="J9891" s="124"/>
    </row>
    <row r="9892" spans="3:10" x14ac:dyDescent="0.2">
      <c r="C9892" s="209"/>
      <c r="D9892" s="209"/>
      <c r="E9892" s="209"/>
      <c r="J9892" s="124"/>
    </row>
    <row r="9893" spans="3:10" x14ac:dyDescent="0.2">
      <c r="C9893" s="209"/>
      <c r="D9893" s="209"/>
      <c r="E9893" s="209"/>
      <c r="J9893" s="124"/>
    </row>
    <row r="9894" spans="3:10" x14ac:dyDescent="0.2">
      <c r="C9894" s="209"/>
      <c r="D9894" s="209"/>
      <c r="E9894" s="209"/>
      <c r="J9894" s="124"/>
    </row>
    <row r="9895" spans="3:10" x14ac:dyDescent="0.2">
      <c r="C9895" s="209"/>
      <c r="D9895" s="209"/>
      <c r="E9895" s="209"/>
      <c r="J9895" s="124"/>
    </row>
    <row r="9896" spans="3:10" x14ac:dyDescent="0.2">
      <c r="C9896" s="209"/>
      <c r="D9896" s="209"/>
      <c r="E9896" s="209"/>
      <c r="J9896" s="124"/>
    </row>
    <row r="9897" spans="3:10" x14ac:dyDescent="0.2">
      <c r="C9897" s="209"/>
      <c r="D9897" s="209"/>
      <c r="E9897" s="209"/>
      <c r="J9897" s="124"/>
    </row>
    <row r="9898" spans="3:10" x14ac:dyDescent="0.2">
      <c r="C9898" s="209"/>
      <c r="D9898" s="209"/>
      <c r="E9898" s="209"/>
      <c r="J9898" s="124"/>
    </row>
    <row r="9899" spans="3:10" x14ac:dyDescent="0.2">
      <c r="C9899" s="209"/>
      <c r="D9899" s="209"/>
      <c r="E9899" s="209"/>
      <c r="J9899" s="124"/>
    </row>
    <row r="9900" spans="3:10" x14ac:dyDescent="0.2">
      <c r="C9900" s="209"/>
      <c r="D9900" s="209"/>
      <c r="E9900" s="209"/>
      <c r="J9900" s="124"/>
    </row>
    <row r="9901" spans="3:10" x14ac:dyDescent="0.2">
      <c r="C9901" s="209"/>
      <c r="D9901" s="209"/>
      <c r="E9901" s="209"/>
      <c r="J9901" s="124"/>
    </row>
    <row r="9902" spans="3:10" x14ac:dyDescent="0.2">
      <c r="C9902" s="209"/>
      <c r="D9902" s="209"/>
      <c r="E9902" s="209"/>
      <c r="J9902" s="124"/>
    </row>
    <row r="9903" spans="3:10" x14ac:dyDescent="0.2">
      <c r="C9903" s="209"/>
      <c r="D9903" s="209"/>
      <c r="E9903" s="209"/>
      <c r="J9903" s="124"/>
    </row>
    <row r="9904" spans="3:10" x14ac:dyDescent="0.2">
      <c r="C9904" s="209"/>
      <c r="D9904" s="209"/>
      <c r="E9904" s="209"/>
      <c r="J9904" s="124"/>
    </row>
    <row r="9905" spans="3:10" x14ac:dyDescent="0.2">
      <c r="C9905" s="209"/>
      <c r="D9905" s="209"/>
      <c r="E9905" s="209"/>
      <c r="J9905" s="124"/>
    </row>
    <row r="9906" spans="3:10" x14ac:dyDescent="0.2">
      <c r="C9906" s="209"/>
      <c r="D9906" s="209"/>
      <c r="E9906" s="209"/>
      <c r="J9906" s="124"/>
    </row>
    <row r="9907" spans="3:10" x14ac:dyDescent="0.2">
      <c r="C9907" s="209"/>
      <c r="D9907" s="209"/>
      <c r="E9907" s="209"/>
      <c r="J9907" s="124"/>
    </row>
    <row r="9908" spans="3:10" x14ac:dyDescent="0.2">
      <c r="C9908" s="209"/>
      <c r="D9908" s="209"/>
      <c r="E9908" s="209"/>
      <c r="J9908" s="124"/>
    </row>
    <row r="9909" spans="3:10" x14ac:dyDescent="0.2">
      <c r="C9909" s="209"/>
      <c r="D9909" s="209"/>
      <c r="E9909" s="209"/>
      <c r="J9909" s="124"/>
    </row>
    <row r="9910" spans="3:10" x14ac:dyDescent="0.2">
      <c r="C9910" s="209"/>
      <c r="D9910" s="209"/>
      <c r="E9910" s="209"/>
      <c r="J9910" s="124"/>
    </row>
    <row r="9911" spans="3:10" x14ac:dyDescent="0.2">
      <c r="C9911" s="209"/>
      <c r="D9911" s="209"/>
      <c r="E9911" s="209"/>
      <c r="J9911" s="124"/>
    </row>
    <row r="9912" spans="3:10" x14ac:dyDescent="0.2">
      <c r="C9912" s="209"/>
      <c r="D9912" s="209"/>
      <c r="E9912" s="209"/>
      <c r="J9912" s="124"/>
    </row>
    <row r="9913" spans="3:10" x14ac:dyDescent="0.2">
      <c r="C9913" s="209"/>
      <c r="D9913" s="209"/>
      <c r="E9913" s="209"/>
      <c r="J9913" s="124"/>
    </row>
    <row r="9914" spans="3:10" x14ac:dyDescent="0.2">
      <c r="C9914" s="209"/>
      <c r="D9914" s="209"/>
      <c r="E9914" s="209"/>
      <c r="J9914" s="124"/>
    </row>
    <row r="9915" spans="3:10" x14ac:dyDescent="0.2">
      <c r="C9915" s="209"/>
      <c r="D9915" s="209"/>
      <c r="E9915" s="209"/>
      <c r="J9915" s="124"/>
    </row>
    <row r="9916" spans="3:10" x14ac:dyDescent="0.2">
      <c r="C9916" s="209"/>
      <c r="D9916" s="209"/>
      <c r="E9916" s="209"/>
      <c r="J9916" s="124"/>
    </row>
    <row r="9917" spans="3:10" x14ac:dyDescent="0.2">
      <c r="C9917" s="209"/>
      <c r="D9917" s="209"/>
      <c r="E9917" s="209"/>
      <c r="J9917" s="124"/>
    </row>
    <row r="9918" spans="3:10" x14ac:dyDescent="0.2">
      <c r="C9918" s="209"/>
      <c r="D9918" s="209"/>
      <c r="E9918" s="209"/>
      <c r="J9918" s="124"/>
    </row>
    <row r="9919" spans="3:10" x14ac:dyDescent="0.2">
      <c r="C9919" s="209"/>
      <c r="D9919" s="209"/>
      <c r="E9919" s="209"/>
      <c r="J9919" s="124"/>
    </row>
    <row r="9920" spans="3:10" x14ac:dyDescent="0.2">
      <c r="C9920" s="209"/>
      <c r="D9920" s="209"/>
      <c r="E9920" s="209"/>
      <c r="J9920" s="124"/>
    </row>
    <row r="9921" spans="3:10" x14ac:dyDescent="0.2">
      <c r="C9921" s="209"/>
      <c r="D9921" s="209"/>
      <c r="E9921" s="209"/>
      <c r="J9921" s="124"/>
    </row>
    <row r="9922" spans="3:10" x14ac:dyDescent="0.2">
      <c r="C9922" s="209"/>
      <c r="D9922" s="209"/>
      <c r="E9922" s="209"/>
      <c r="J9922" s="124"/>
    </row>
    <row r="9923" spans="3:10" x14ac:dyDescent="0.2">
      <c r="C9923" s="209"/>
      <c r="D9923" s="209"/>
      <c r="E9923" s="209"/>
      <c r="J9923" s="124"/>
    </row>
    <row r="9924" spans="3:10" x14ac:dyDescent="0.2">
      <c r="C9924" s="209"/>
      <c r="D9924" s="209"/>
      <c r="E9924" s="209"/>
      <c r="J9924" s="124"/>
    </row>
    <row r="9925" spans="3:10" x14ac:dyDescent="0.2">
      <c r="C9925" s="209"/>
      <c r="D9925" s="209"/>
      <c r="E9925" s="209"/>
      <c r="J9925" s="124"/>
    </row>
    <row r="9926" spans="3:10" x14ac:dyDescent="0.2">
      <c r="C9926" s="209"/>
      <c r="D9926" s="209"/>
      <c r="E9926" s="209"/>
      <c r="J9926" s="124"/>
    </row>
    <row r="9927" spans="3:10" x14ac:dyDescent="0.2">
      <c r="C9927" s="209"/>
      <c r="D9927" s="209"/>
      <c r="E9927" s="209"/>
      <c r="J9927" s="124"/>
    </row>
    <row r="9928" spans="3:10" x14ac:dyDescent="0.2">
      <c r="C9928" s="209"/>
      <c r="D9928" s="209"/>
      <c r="E9928" s="209"/>
      <c r="J9928" s="124"/>
    </row>
    <row r="9929" spans="3:10" x14ac:dyDescent="0.2">
      <c r="C9929" s="209"/>
      <c r="D9929" s="209"/>
      <c r="E9929" s="209"/>
      <c r="J9929" s="124"/>
    </row>
    <row r="9930" spans="3:10" x14ac:dyDescent="0.2">
      <c r="C9930" s="209"/>
      <c r="D9930" s="209"/>
      <c r="E9930" s="209"/>
      <c r="J9930" s="124"/>
    </row>
    <row r="9931" spans="3:10" x14ac:dyDescent="0.2">
      <c r="C9931" s="209"/>
      <c r="D9931" s="209"/>
      <c r="E9931" s="209"/>
      <c r="J9931" s="124"/>
    </row>
    <row r="9932" spans="3:10" x14ac:dyDescent="0.2">
      <c r="C9932" s="209"/>
      <c r="D9932" s="209"/>
      <c r="E9932" s="209"/>
      <c r="J9932" s="124"/>
    </row>
    <row r="9933" spans="3:10" x14ac:dyDescent="0.2">
      <c r="C9933" s="209"/>
      <c r="D9933" s="209"/>
      <c r="E9933" s="209"/>
      <c r="J9933" s="124"/>
    </row>
    <row r="9934" spans="3:10" x14ac:dyDescent="0.2">
      <c r="C9934" s="209"/>
      <c r="D9934" s="209"/>
      <c r="E9934" s="209"/>
      <c r="J9934" s="124"/>
    </row>
    <row r="9935" spans="3:10" x14ac:dyDescent="0.2">
      <c r="C9935" s="209"/>
      <c r="D9935" s="209"/>
      <c r="E9935" s="209"/>
      <c r="J9935" s="124"/>
    </row>
    <row r="9936" spans="3:10" x14ac:dyDescent="0.2">
      <c r="C9936" s="209"/>
      <c r="D9936" s="209"/>
      <c r="E9936" s="209"/>
      <c r="J9936" s="124"/>
    </row>
    <row r="9937" spans="3:10" x14ac:dyDescent="0.2">
      <c r="C9937" s="209"/>
      <c r="D9937" s="209"/>
      <c r="E9937" s="209"/>
      <c r="J9937" s="124"/>
    </row>
    <row r="9938" spans="3:10" x14ac:dyDescent="0.2">
      <c r="C9938" s="209"/>
      <c r="D9938" s="209"/>
      <c r="E9938" s="209"/>
      <c r="J9938" s="124"/>
    </row>
    <row r="9939" spans="3:10" x14ac:dyDescent="0.2">
      <c r="C9939" s="209"/>
      <c r="D9939" s="209"/>
      <c r="E9939" s="209"/>
      <c r="J9939" s="124"/>
    </row>
    <row r="9940" spans="3:10" x14ac:dyDescent="0.2">
      <c r="C9940" s="209"/>
      <c r="D9940" s="209"/>
      <c r="E9940" s="209"/>
      <c r="J9940" s="124"/>
    </row>
    <row r="9941" spans="3:10" x14ac:dyDescent="0.2">
      <c r="C9941" s="209"/>
      <c r="D9941" s="209"/>
      <c r="E9941" s="209"/>
      <c r="J9941" s="124"/>
    </row>
    <row r="9942" spans="3:10" x14ac:dyDescent="0.2">
      <c r="C9942" s="209"/>
      <c r="D9942" s="209"/>
      <c r="E9942" s="209"/>
      <c r="J9942" s="124"/>
    </row>
    <row r="9943" spans="3:10" x14ac:dyDescent="0.2">
      <c r="C9943" s="209"/>
      <c r="D9943" s="209"/>
      <c r="E9943" s="209"/>
      <c r="J9943" s="124"/>
    </row>
    <row r="9944" spans="3:10" x14ac:dyDescent="0.2">
      <c r="C9944" s="209"/>
      <c r="D9944" s="209"/>
      <c r="E9944" s="209"/>
      <c r="J9944" s="124"/>
    </row>
    <row r="9945" spans="3:10" x14ac:dyDescent="0.2">
      <c r="C9945" s="209"/>
      <c r="D9945" s="209"/>
      <c r="E9945" s="209"/>
      <c r="J9945" s="124"/>
    </row>
    <row r="9946" spans="3:10" x14ac:dyDescent="0.2">
      <c r="C9946" s="209"/>
      <c r="D9946" s="209"/>
      <c r="E9946" s="209"/>
      <c r="J9946" s="124"/>
    </row>
    <row r="9947" spans="3:10" x14ac:dyDescent="0.2">
      <c r="C9947" s="209"/>
      <c r="D9947" s="209"/>
      <c r="E9947" s="209"/>
      <c r="J9947" s="124"/>
    </row>
    <row r="9948" spans="3:10" x14ac:dyDescent="0.2">
      <c r="C9948" s="209"/>
      <c r="D9948" s="209"/>
      <c r="E9948" s="209"/>
      <c r="J9948" s="124"/>
    </row>
    <row r="9949" spans="3:10" x14ac:dyDescent="0.2">
      <c r="C9949" s="209"/>
      <c r="D9949" s="209"/>
      <c r="E9949" s="209"/>
      <c r="J9949" s="124"/>
    </row>
    <row r="9950" spans="3:10" x14ac:dyDescent="0.2">
      <c r="C9950" s="209"/>
      <c r="D9950" s="209"/>
      <c r="E9950" s="209"/>
      <c r="J9950" s="124"/>
    </row>
    <row r="9951" spans="3:10" x14ac:dyDescent="0.2">
      <c r="C9951" s="209"/>
      <c r="D9951" s="209"/>
      <c r="E9951" s="209"/>
      <c r="J9951" s="124"/>
    </row>
    <row r="9952" spans="3:10" x14ac:dyDescent="0.2">
      <c r="C9952" s="209"/>
      <c r="D9952" s="209"/>
      <c r="E9952" s="209"/>
      <c r="J9952" s="124"/>
    </row>
    <row r="9953" spans="3:10" x14ac:dyDescent="0.2">
      <c r="C9953" s="209"/>
      <c r="D9953" s="209"/>
      <c r="E9953" s="209"/>
      <c r="J9953" s="124"/>
    </row>
    <row r="9954" spans="3:10" x14ac:dyDescent="0.2">
      <c r="C9954" s="209"/>
      <c r="D9954" s="209"/>
      <c r="E9954" s="209"/>
      <c r="J9954" s="124"/>
    </row>
    <row r="9955" spans="3:10" x14ac:dyDescent="0.2">
      <c r="C9955" s="209"/>
      <c r="D9955" s="209"/>
      <c r="E9955" s="209"/>
      <c r="J9955" s="124"/>
    </row>
    <row r="9956" spans="3:10" x14ac:dyDescent="0.2">
      <c r="C9956" s="209"/>
      <c r="D9956" s="209"/>
      <c r="E9956" s="209"/>
      <c r="J9956" s="124"/>
    </row>
    <row r="9957" spans="3:10" x14ac:dyDescent="0.2">
      <c r="C9957" s="209"/>
      <c r="D9957" s="209"/>
      <c r="E9957" s="209"/>
      <c r="J9957" s="124"/>
    </row>
    <row r="9958" spans="3:10" x14ac:dyDescent="0.2">
      <c r="C9958" s="209"/>
      <c r="D9958" s="209"/>
      <c r="E9958" s="209"/>
      <c r="J9958" s="124"/>
    </row>
    <row r="9959" spans="3:10" x14ac:dyDescent="0.2">
      <c r="C9959" s="209"/>
      <c r="D9959" s="209"/>
      <c r="E9959" s="209"/>
      <c r="J9959" s="124"/>
    </row>
    <row r="9960" spans="3:10" x14ac:dyDescent="0.2">
      <c r="C9960" s="209"/>
      <c r="D9960" s="209"/>
      <c r="E9960" s="209"/>
      <c r="J9960" s="124"/>
    </row>
    <row r="9961" spans="3:10" x14ac:dyDescent="0.2">
      <c r="C9961" s="209"/>
      <c r="D9961" s="209"/>
      <c r="E9961" s="209"/>
      <c r="J9961" s="124"/>
    </row>
    <row r="9962" spans="3:10" x14ac:dyDescent="0.2">
      <c r="C9962" s="209"/>
      <c r="D9962" s="209"/>
      <c r="E9962" s="209"/>
      <c r="J9962" s="124"/>
    </row>
    <row r="9963" spans="3:10" x14ac:dyDescent="0.2">
      <c r="C9963" s="209"/>
      <c r="D9963" s="209"/>
      <c r="E9963" s="209"/>
      <c r="J9963" s="124"/>
    </row>
    <row r="9964" spans="3:10" x14ac:dyDescent="0.2">
      <c r="C9964" s="209"/>
      <c r="D9964" s="209"/>
      <c r="E9964" s="209"/>
      <c r="J9964" s="124"/>
    </row>
    <row r="9965" spans="3:10" x14ac:dyDescent="0.2">
      <c r="C9965" s="209"/>
      <c r="D9965" s="209"/>
      <c r="E9965" s="209"/>
      <c r="J9965" s="124"/>
    </row>
    <row r="9966" spans="3:10" x14ac:dyDescent="0.2">
      <c r="C9966" s="209"/>
      <c r="D9966" s="209"/>
      <c r="E9966" s="209"/>
      <c r="J9966" s="124"/>
    </row>
    <row r="9967" spans="3:10" x14ac:dyDescent="0.2">
      <c r="C9967" s="209"/>
      <c r="D9967" s="209"/>
      <c r="E9967" s="209"/>
      <c r="J9967" s="124"/>
    </row>
    <row r="9968" spans="3:10" x14ac:dyDescent="0.2">
      <c r="C9968" s="209"/>
      <c r="D9968" s="209"/>
      <c r="E9968" s="209"/>
      <c r="J9968" s="124"/>
    </row>
    <row r="9969" spans="3:10" x14ac:dyDescent="0.2">
      <c r="C9969" s="209"/>
      <c r="D9969" s="209"/>
      <c r="E9969" s="209"/>
      <c r="J9969" s="124"/>
    </row>
    <row r="9970" spans="3:10" x14ac:dyDescent="0.2">
      <c r="C9970" s="209"/>
      <c r="D9970" s="209"/>
      <c r="E9970" s="209"/>
      <c r="J9970" s="124"/>
    </row>
    <row r="9971" spans="3:10" x14ac:dyDescent="0.2">
      <c r="C9971" s="209"/>
      <c r="D9971" s="209"/>
      <c r="E9971" s="209"/>
      <c r="J9971" s="124"/>
    </row>
    <row r="9972" spans="3:10" x14ac:dyDescent="0.2">
      <c r="C9972" s="209"/>
      <c r="D9972" s="209"/>
      <c r="E9972" s="209"/>
      <c r="J9972" s="124"/>
    </row>
    <row r="9973" spans="3:10" x14ac:dyDescent="0.2">
      <c r="C9973" s="209"/>
      <c r="D9973" s="209"/>
      <c r="E9973" s="209"/>
      <c r="J9973" s="124"/>
    </row>
    <row r="9974" spans="3:10" x14ac:dyDescent="0.2">
      <c r="C9974" s="209"/>
      <c r="D9974" s="209"/>
      <c r="E9974" s="209"/>
      <c r="J9974" s="124"/>
    </row>
    <row r="9975" spans="3:10" x14ac:dyDescent="0.2">
      <c r="C9975" s="209"/>
      <c r="D9975" s="209"/>
      <c r="E9975" s="209"/>
      <c r="J9975" s="124"/>
    </row>
    <row r="9976" spans="3:10" x14ac:dyDescent="0.2">
      <c r="C9976" s="209"/>
      <c r="D9976" s="209"/>
      <c r="E9976" s="209"/>
      <c r="J9976" s="124"/>
    </row>
    <row r="9977" spans="3:10" x14ac:dyDescent="0.2">
      <c r="C9977" s="209"/>
      <c r="D9977" s="209"/>
      <c r="E9977" s="209"/>
      <c r="J9977" s="124"/>
    </row>
    <row r="9978" spans="3:10" x14ac:dyDescent="0.2">
      <c r="C9978" s="209"/>
      <c r="D9978" s="209"/>
      <c r="E9978" s="209"/>
      <c r="J9978" s="124"/>
    </row>
    <row r="9979" spans="3:10" x14ac:dyDescent="0.2">
      <c r="C9979" s="209"/>
      <c r="D9979" s="209"/>
      <c r="E9979" s="209"/>
      <c r="J9979" s="124"/>
    </row>
    <row r="9980" spans="3:10" x14ac:dyDescent="0.2">
      <c r="C9980" s="209"/>
      <c r="D9980" s="209"/>
      <c r="E9980" s="209"/>
      <c r="J9980" s="124"/>
    </row>
    <row r="9981" spans="3:10" x14ac:dyDescent="0.2">
      <c r="C9981" s="209"/>
      <c r="D9981" s="209"/>
      <c r="E9981" s="209"/>
      <c r="J9981" s="124"/>
    </row>
    <row r="9982" spans="3:10" x14ac:dyDescent="0.2">
      <c r="C9982" s="209"/>
      <c r="D9982" s="209"/>
      <c r="E9982" s="209"/>
      <c r="J9982" s="124"/>
    </row>
    <row r="9983" spans="3:10" x14ac:dyDescent="0.2">
      <c r="C9983" s="209"/>
      <c r="D9983" s="209"/>
      <c r="E9983" s="209"/>
      <c r="J9983" s="124"/>
    </row>
    <row r="9984" spans="3:10" x14ac:dyDescent="0.2">
      <c r="C9984" s="209"/>
      <c r="D9984" s="209"/>
      <c r="E9984" s="209"/>
      <c r="J9984" s="124"/>
    </row>
    <row r="9985" spans="3:10" x14ac:dyDescent="0.2">
      <c r="C9985" s="209"/>
      <c r="D9985" s="209"/>
      <c r="E9985" s="209"/>
      <c r="J9985" s="124"/>
    </row>
    <row r="9986" spans="3:10" x14ac:dyDescent="0.2">
      <c r="C9986" s="209"/>
      <c r="D9986" s="209"/>
      <c r="E9986" s="209"/>
      <c r="J9986" s="124"/>
    </row>
    <row r="9987" spans="3:10" x14ac:dyDescent="0.2">
      <c r="C9987" s="209"/>
      <c r="D9987" s="209"/>
      <c r="E9987" s="209"/>
      <c r="J9987" s="124"/>
    </row>
    <row r="9988" spans="3:10" x14ac:dyDescent="0.2">
      <c r="C9988" s="209"/>
      <c r="D9988" s="209"/>
      <c r="E9988" s="209"/>
      <c r="J9988" s="124"/>
    </row>
    <row r="9989" spans="3:10" x14ac:dyDescent="0.2">
      <c r="C9989" s="209"/>
      <c r="D9989" s="209"/>
      <c r="E9989" s="209"/>
      <c r="J9989" s="124"/>
    </row>
    <row r="9990" spans="3:10" x14ac:dyDescent="0.2">
      <c r="C9990" s="209"/>
      <c r="D9990" s="209"/>
      <c r="E9990" s="209"/>
      <c r="J9990" s="124"/>
    </row>
    <row r="9991" spans="3:10" x14ac:dyDescent="0.2">
      <c r="C9991" s="209"/>
      <c r="D9991" s="209"/>
      <c r="E9991" s="209"/>
      <c r="J9991" s="124"/>
    </row>
    <row r="9992" spans="3:10" x14ac:dyDescent="0.2">
      <c r="C9992" s="209"/>
      <c r="D9992" s="209"/>
      <c r="E9992" s="209"/>
      <c r="J9992" s="124"/>
    </row>
    <row r="9993" spans="3:10" x14ac:dyDescent="0.2">
      <c r="C9993" s="209"/>
      <c r="D9993" s="209"/>
      <c r="E9993" s="209"/>
      <c r="J9993" s="124"/>
    </row>
    <row r="9994" spans="3:10" x14ac:dyDescent="0.2">
      <c r="C9994" s="209"/>
      <c r="D9994" s="209"/>
      <c r="E9994" s="209"/>
      <c r="J9994" s="124"/>
    </row>
    <row r="9995" spans="3:10" x14ac:dyDescent="0.2">
      <c r="C9995" s="209"/>
      <c r="D9995" s="209"/>
      <c r="E9995" s="209"/>
      <c r="J9995" s="124"/>
    </row>
    <row r="9996" spans="3:10" x14ac:dyDescent="0.2">
      <c r="C9996" s="209"/>
      <c r="D9996" s="209"/>
      <c r="E9996" s="209"/>
      <c r="J9996" s="124"/>
    </row>
    <row r="9997" spans="3:10" x14ac:dyDescent="0.2">
      <c r="C9997" s="209"/>
      <c r="D9997" s="209"/>
      <c r="E9997" s="209"/>
      <c r="J9997" s="124"/>
    </row>
    <row r="9998" spans="3:10" x14ac:dyDescent="0.2">
      <c r="C9998" s="209"/>
      <c r="D9998" s="209"/>
      <c r="E9998" s="209"/>
      <c r="J9998" s="124"/>
    </row>
    <row r="9999" spans="3:10" x14ac:dyDescent="0.2">
      <c r="C9999" s="209"/>
      <c r="D9999" s="209"/>
      <c r="E9999" s="209"/>
      <c r="J9999" s="124"/>
    </row>
    <row r="10000" spans="3:10" x14ac:dyDescent="0.2">
      <c r="C10000" s="209"/>
      <c r="D10000" s="209"/>
      <c r="E10000" s="209"/>
      <c r="J10000" s="124"/>
    </row>
    <row r="10001" spans="3:10" x14ac:dyDescent="0.2">
      <c r="C10001" s="209"/>
      <c r="D10001" s="209"/>
      <c r="E10001" s="209"/>
      <c r="J10001" s="124"/>
    </row>
    <row r="10002" spans="3:10" x14ac:dyDescent="0.2">
      <c r="C10002" s="209"/>
      <c r="D10002" s="209"/>
      <c r="E10002" s="209"/>
      <c r="J10002" s="124"/>
    </row>
    <row r="10003" spans="3:10" x14ac:dyDescent="0.2">
      <c r="C10003" s="209"/>
      <c r="D10003" s="209"/>
      <c r="E10003" s="209"/>
      <c r="J10003" s="124"/>
    </row>
    <row r="10004" spans="3:10" x14ac:dyDescent="0.2">
      <c r="C10004" s="209"/>
      <c r="D10004" s="209"/>
      <c r="E10004" s="209"/>
      <c r="J10004" s="124"/>
    </row>
    <row r="10005" spans="3:10" x14ac:dyDescent="0.2">
      <c r="C10005" s="209"/>
      <c r="D10005" s="209"/>
      <c r="E10005" s="209"/>
      <c r="J10005" s="124"/>
    </row>
    <row r="10006" spans="3:10" x14ac:dyDescent="0.2">
      <c r="C10006" s="209"/>
      <c r="D10006" s="209"/>
      <c r="E10006" s="209"/>
      <c r="J10006" s="124"/>
    </row>
    <row r="10007" spans="3:10" x14ac:dyDescent="0.2">
      <c r="C10007" s="209"/>
      <c r="D10007" s="209"/>
      <c r="E10007" s="209"/>
      <c r="J10007" s="124"/>
    </row>
    <row r="10008" spans="3:10" x14ac:dyDescent="0.2">
      <c r="C10008" s="209"/>
      <c r="D10008" s="209"/>
      <c r="E10008" s="209"/>
      <c r="J10008" s="124"/>
    </row>
    <row r="10009" spans="3:10" x14ac:dyDescent="0.2">
      <c r="C10009" s="209"/>
      <c r="D10009" s="209"/>
      <c r="E10009" s="209"/>
      <c r="J10009" s="124"/>
    </row>
    <row r="10010" spans="3:10" x14ac:dyDescent="0.2">
      <c r="C10010" s="209"/>
      <c r="D10010" s="209"/>
      <c r="E10010" s="209"/>
      <c r="J10010" s="124"/>
    </row>
    <row r="10011" spans="3:10" x14ac:dyDescent="0.2">
      <c r="C10011" s="209"/>
      <c r="D10011" s="209"/>
      <c r="E10011" s="209"/>
      <c r="J10011" s="124"/>
    </row>
    <row r="10012" spans="3:10" x14ac:dyDescent="0.2">
      <c r="C10012" s="209"/>
      <c r="D10012" s="209"/>
      <c r="E10012" s="209"/>
      <c r="J10012" s="124"/>
    </row>
    <row r="10013" spans="3:10" x14ac:dyDescent="0.2">
      <c r="C10013" s="209"/>
      <c r="D10013" s="209"/>
      <c r="E10013" s="209"/>
      <c r="J10013" s="124"/>
    </row>
    <row r="10014" spans="3:10" x14ac:dyDescent="0.2">
      <c r="C10014" s="209"/>
      <c r="D10014" s="209"/>
      <c r="E10014" s="209"/>
      <c r="J10014" s="124"/>
    </row>
    <row r="10015" spans="3:10" x14ac:dyDescent="0.2">
      <c r="C10015" s="209"/>
      <c r="D10015" s="209"/>
      <c r="E10015" s="209"/>
      <c r="J10015" s="124"/>
    </row>
    <row r="10016" spans="3:10" x14ac:dyDescent="0.2">
      <c r="C10016" s="209"/>
      <c r="D10016" s="209"/>
      <c r="E10016" s="209"/>
      <c r="J10016" s="124"/>
    </row>
    <row r="10017" spans="3:10" x14ac:dyDescent="0.2">
      <c r="C10017" s="209"/>
      <c r="D10017" s="209"/>
      <c r="E10017" s="209"/>
      <c r="J10017" s="124"/>
    </row>
    <row r="10018" spans="3:10" x14ac:dyDescent="0.2">
      <c r="C10018" s="209"/>
      <c r="D10018" s="209"/>
      <c r="E10018" s="209"/>
      <c r="J10018" s="124"/>
    </row>
    <row r="10019" spans="3:10" x14ac:dyDescent="0.2">
      <c r="C10019" s="209"/>
      <c r="D10019" s="209"/>
      <c r="E10019" s="209"/>
      <c r="J10019" s="124"/>
    </row>
    <row r="10020" spans="3:10" x14ac:dyDescent="0.2">
      <c r="C10020" s="209"/>
      <c r="D10020" s="209"/>
      <c r="E10020" s="209"/>
      <c r="J10020" s="124"/>
    </row>
    <row r="10021" spans="3:10" x14ac:dyDescent="0.2">
      <c r="C10021" s="209"/>
      <c r="D10021" s="209"/>
      <c r="E10021" s="209"/>
      <c r="J10021" s="124"/>
    </row>
    <row r="10022" spans="3:10" x14ac:dyDescent="0.2">
      <c r="C10022" s="209"/>
      <c r="D10022" s="209"/>
      <c r="E10022" s="209"/>
      <c r="J10022" s="124"/>
    </row>
    <row r="10023" spans="3:10" x14ac:dyDescent="0.2">
      <c r="C10023" s="209"/>
      <c r="D10023" s="209"/>
      <c r="E10023" s="209"/>
      <c r="J10023" s="124"/>
    </row>
    <row r="10024" spans="3:10" x14ac:dyDescent="0.2">
      <c r="C10024" s="209"/>
      <c r="D10024" s="209"/>
      <c r="E10024" s="209"/>
      <c r="J10024" s="124"/>
    </row>
    <row r="10025" spans="3:10" x14ac:dyDescent="0.2">
      <c r="C10025" s="209"/>
      <c r="D10025" s="209"/>
      <c r="E10025" s="209"/>
      <c r="J10025" s="124"/>
    </row>
    <row r="10026" spans="3:10" x14ac:dyDescent="0.2">
      <c r="C10026" s="209"/>
      <c r="D10026" s="209"/>
      <c r="E10026" s="209"/>
      <c r="J10026" s="124"/>
    </row>
    <row r="10027" spans="3:10" x14ac:dyDescent="0.2">
      <c r="C10027" s="209"/>
      <c r="D10027" s="209"/>
      <c r="E10027" s="209"/>
      <c r="J10027" s="124"/>
    </row>
    <row r="10028" spans="3:10" x14ac:dyDescent="0.2">
      <c r="C10028" s="209"/>
      <c r="D10028" s="209"/>
      <c r="E10028" s="209"/>
      <c r="J10028" s="124"/>
    </row>
    <row r="10029" spans="3:10" x14ac:dyDescent="0.2">
      <c r="C10029" s="209"/>
      <c r="D10029" s="209"/>
      <c r="E10029" s="209"/>
      <c r="J10029" s="124"/>
    </row>
    <row r="10030" spans="3:10" x14ac:dyDescent="0.2">
      <c r="C10030" s="209"/>
      <c r="D10030" s="209"/>
      <c r="E10030" s="209"/>
      <c r="J10030" s="124"/>
    </row>
    <row r="10031" spans="3:10" x14ac:dyDescent="0.2">
      <c r="C10031" s="209"/>
      <c r="D10031" s="209"/>
      <c r="E10031" s="209"/>
      <c r="J10031" s="124"/>
    </row>
    <row r="10032" spans="3:10" x14ac:dyDescent="0.2">
      <c r="C10032" s="209"/>
      <c r="D10032" s="209"/>
      <c r="E10032" s="209"/>
      <c r="J10032" s="124"/>
    </row>
    <row r="10033" spans="3:10" x14ac:dyDescent="0.2">
      <c r="C10033" s="209"/>
      <c r="D10033" s="209"/>
      <c r="E10033" s="209"/>
      <c r="J10033" s="124"/>
    </row>
    <row r="10034" spans="3:10" x14ac:dyDescent="0.2">
      <c r="C10034" s="209"/>
      <c r="D10034" s="209"/>
      <c r="E10034" s="209"/>
      <c r="J10034" s="124"/>
    </row>
    <row r="10035" spans="3:10" x14ac:dyDescent="0.2">
      <c r="C10035" s="209"/>
      <c r="D10035" s="209"/>
      <c r="E10035" s="209"/>
      <c r="J10035" s="124"/>
    </row>
    <row r="10036" spans="3:10" x14ac:dyDescent="0.2">
      <c r="C10036" s="209"/>
      <c r="D10036" s="209"/>
      <c r="E10036" s="209"/>
      <c r="J10036" s="124"/>
    </row>
    <row r="10037" spans="3:10" x14ac:dyDescent="0.2">
      <c r="C10037" s="209"/>
      <c r="D10037" s="209"/>
      <c r="E10037" s="209"/>
      <c r="J10037" s="124"/>
    </row>
    <row r="10038" spans="3:10" x14ac:dyDescent="0.2">
      <c r="C10038" s="209"/>
      <c r="D10038" s="209"/>
      <c r="E10038" s="209"/>
      <c r="J10038" s="124"/>
    </row>
    <row r="10039" spans="3:10" x14ac:dyDescent="0.2">
      <c r="C10039" s="209"/>
      <c r="D10039" s="209"/>
      <c r="E10039" s="209"/>
      <c r="J10039" s="124"/>
    </row>
    <row r="10040" spans="3:10" x14ac:dyDescent="0.2">
      <c r="C10040" s="209"/>
      <c r="D10040" s="209"/>
      <c r="E10040" s="209"/>
      <c r="J10040" s="124"/>
    </row>
    <row r="10041" spans="3:10" x14ac:dyDescent="0.2">
      <c r="C10041" s="209"/>
      <c r="D10041" s="209"/>
      <c r="E10041" s="209"/>
      <c r="J10041" s="124"/>
    </row>
    <row r="10042" spans="3:10" x14ac:dyDescent="0.2">
      <c r="C10042" s="209"/>
      <c r="D10042" s="209"/>
      <c r="E10042" s="209"/>
      <c r="J10042" s="124"/>
    </row>
    <row r="10043" spans="3:10" x14ac:dyDescent="0.2">
      <c r="C10043" s="209"/>
      <c r="D10043" s="209"/>
      <c r="E10043" s="209"/>
      <c r="J10043" s="124"/>
    </row>
    <row r="10044" spans="3:10" x14ac:dyDescent="0.2">
      <c r="C10044" s="209"/>
      <c r="D10044" s="209"/>
      <c r="E10044" s="209"/>
      <c r="J10044" s="124"/>
    </row>
    <row r="10045" spans="3:10" x14ac:dyDescent="0.2">
      <c r="C10045" s="209"/>
      <c r="D10045" s="209"/>
      <c r="E10045" s="209"/>
      <c r="J10045" s="124"/>
    </row>
    <row r="10046" spans="3:10" x14ac:dyDescent="0.2">
      <c r="C10046" s="209"/>
      <c r="D10046" s="209"/>
      <c r="E10046" s="209"/>
      <c r="J10046" s="124"/>
    </row>
    <row r="10047" spans="3:10" x14ac:dyDescent="0.2">
      <c r="C10047" s="209"/>
      <c r="D10047" s="209"/>
      <c r="E10047" s="209"/>
      <c r="J10047" s="124"/>
    </row>
    <row r="10048" spans="3:10" x14ac:dyDescent="0.2">
      <c r="C10048" s="209"/>
      <c r="D10048" s="209"/>
      <c r="E10048" s="209"/>
      <c r="J10048" s="124"/>
    </row>
    <row r="10049" spans="3:10" x14ac:dyDescent="0.2">
      <c r="C10049" s="209"/>
      <c r="D10049" s="209"/>
      <c r="E10049" s="209"/>
      <c r="J10049" s="124"/>
    </row>
    <row r="10050" spans="3:10" x14ac:dyDescent="0.2">
      <c r="C10050" s="209"/>
      <c r="D10050" s="209"/>
      <c r="E10050" s="209"/>
      <c r="J10050" s="124"/>
    </row>
    <row r="10051" spans="3:10" x14ac:dyDescent="0.2">
      <c r="C10051" s="209"/>
      <c r="D10051" s="209"/>
      <c r="E10051" s="209"/>
      <c r="J10051" s="124"/>
    </row>
    <row r="10052" spans="3:10" x14ac:dyDescent="0.2">
      <c r="C10052" s="209"/>
      <c r="D10052" s="209"/>
      <c r="E10052" s="209"/>
      <c r="J10052" s="124"/>
    </row>
    <row r="10053" spans="3:10" x14ac:dyDescent="0.2">
      <c r="C10053" s="209"/>
      <c r="D10053" s="209"/>
      <c r="E10053" s="209"/>
      <c r="J10053" s="124"/>
    </row>
    <row r="10054" spans="3:10" x14ac:dyDescent="0.2">
      <c r="C10054" s="209"/>
      <c r="D10054" s="209"/>
      <c r="E10054" s="209"/>
      <c r="J10054" s="124"/>
    </row>
    <row r="10055" spans="3:10" x14ac:dyDescent="0.2">
      <c r="C10055" s="209"/>
      <c r="D10055" s="209"/>
      <c r="E10055" s="209"/>
      <c r="J10055" s="124"/>
    </row>
    <row r="10056" spans="3:10" x14ac:dyDescent="0.2">
      <c r="C10056" s="209"/>
      <c r="D10056" s="209"/>
      <c r="E10056" s="209"/>
      <c r="J10056" s="124"/>
    </row>
    <row r="10057" spans="3:10" x14ac:dyDescent="0.2">
      <c r="C10057" s="209"/>
      <c r="D10057" s="209"/>
      <c r="E10057" s="209"/>
      <c r="J10057" s="124"/>
    </row>
    <row r="10058" spans="3:10" x14ac:dyDescent="0.2">
      <c r="C10058" s="209"/>
      <c r="D10058" s="209"/>
      <c r="E10058" s="209"/>
      <c r="J10058" s="124"/>
    </row>
    <row r="10059" spans="3:10" x14ac:dyDescent="0.2">
      <c r="C10059" s="209"/>
      <c r="D10059" s="209"/>
      <c r="E10059" s="209"/>
      <c r="J10059" s="124"/>
    </row>
    <row r="10060" spans="3:10" x14ac:dyDescent="0.2">
      <c r="C10060" s="209"/>
      <c r="D10060" s="209"/>
      <c r="E10060" s="209"/>
      <c r="J10060" s="124"/>
    </row>
    <row r="10061" spans="3:10" x14ac:dyDescent="0.2">
      <c r="C10061" s="209"/>
      <c r="D10061" s="209"/>
      <c r="E10061" s="209"/>
      <c r="J10061" s="124"/>
    </row>
    <row r="10062" spans="3:10" x14ac:dyDescent="0.2">
      <c r="C10062" s="209"/>
      <c r="D10062" s="209"/>
      <c r="E10062" s="209"/>
      <c r="J10062" s="124"/>
    </row>
    <row r="10063" spans="3:10" x14ac:dyDescent="0.2">
      <c r="C10063" s="209"/>
      <c r="D10063" s="209"/>
      <c r="E10063" s="209"/>
      <c r="J10063" s="124"/>
    </row>
    <row r="10064" spans="3:10" x14ac:dyDescent="0.2">
      <c r="C10064" s="209"/>
      <c r="D10064" s="209"/>
      <c r="E10064" s="209"/>
      <c r="J10064" s="124"/>
    </row>
    <row r="10065" spans="3:10" x14ac:dyDescent="0.2">
      <c r="C10065" s="209"/>
      <c r="D10065" s="209"/>
      <c r="E10065" s="209"/>
      <c r="J10065" s="124"/>
    </row>
    <row r="10066" spans="3:10" x14ac:dyDescent="0.2">
      <c r="C10066" s="209"/>
      <c r="D10066" s="209"/>
      <c r="E10066" s="209"/>
      <c r="J10066" s="124"/>
    </row>
    <row r="10067" spans="3:10" x14ac:dyDescent="0.2">
      <c r="C10067" s="209"/>
      <c r="D10067" s="209"/>
      <c r="E10067" s="209"/>
      <c r="J10067" s="124"/>
    </row>
    <row r="10068" spans="3:10" x14ac:dyDescent="0.2">
      <c r="C10068" s="209"/>
      <c r="D10068" s="209"/>
      <c r="E10068" s="209"/>
      <c r="J10068" s="124"/>
    </row>
    <row r="10069" spans="3:10" x14ac:dyDescent="0.2">
      <c r="C10069" s="209"/>
      <c r="D10069" s="209"/>
      <c r="E10069" s="209"/>
      <c r="J10069" s="124"/>
    </row>
    <row r="10070" spans="3:10" x14ac:dyDescent="0.2">
      <c r="C10070" s="209"/>
      <c r="D10070" s="209"/>
      <c r="E10070" s="209"/>
      <c r="J10070" s="124"/>
    </row>
    <row r="10071" spans="3:10" x14ac:dyDescent="0.2">
      <c r="C10071" s="209"/>
      <c r="D10071" s="209"/>
      <c r="E10071" s="209"/>
      <c r="J10071" s="124"/>
    </row>
    <row r="10072" spans="3:10" x14ac:dyDescent="0.2">
      <c r="C10072" s="209"/>
      <c r="D10072" s="209"/>
      <c r="E10072" s="209"/>
      <c r="J10072" s="124"/>
    </row>
    <row r="10073" spans="3:10" x14ac:dyDescent="0.2">
      <c r="C10073" s="209"/>
      <c r="D10073" s="209"/>
      <c r="E10073" s="209"/>
      <c r="J10073" s="124"/>
    </row>
    <row r="10074" spans="3:10" x14ac:dyDescent="0.2">
      <c r="C10074" s="209"/>
      <c r="D10074" s="209"/>
      <c r="E10074" s="209"/>
      <c r="J10074" s="124"/>
    </row>
    <row r="10075" spans="3:10" x14ac:dyDescent="0.2">
      <c r="C10075" s="209"/>
      <c r="D10075" s="209"/>
      <c r="E10075" s="209"/>
      <c r="J10075" s="124"/>
    </row>
    <row r="10076" spans="3:10" x14ac:dyDescent="0.2">
      <c r="C10076" s="209"/>
      <c r="D10076" s="209"/>
      <c r="E10076" s="209"/>
      <c r="J10076" s="124"/>
    </row>
    <row r="10077" spans="3:10" x14ac:dyDescent="0.2">
      <c r="C10077" s="209"/>
      <c r="D10077" s="209"/>
      <c r="E10077" s="209"/>
      <c r="J10077" s="124"/>
    </row>
    <row r="10078" spans="3:10" x14ac:dyDescent="0.2">
      <c r="C10078" s="209"/>
      <c r="D10078" s="209"/>
      <c r="E10078" s="209"/>
      <c r="J10078" s="124"/>
    </row>
    <row r="10079" spans="3:10" x14ac:dyDescent="0.2">
      <c r="C10079" s="209"/>
      <c r="D10079" s="209"/>
      <c r="E10079" s="209"/>
      <c r="J10079" s="124"/>
    </row>
    <row r="10080" spans="3:10" x14ac:dyDescent="0.2">
      <c r="C10080" s="209"/>
      <c r="D10080" s="209"/>
      <c r="E10080" s="209"/>
      <c r="J10080" s="124"/>
    </row>
    <row r="10081" spans="3:10" x14ac:dyDescent="0.2">
      <c r="C10081" s="209"/>
      <c r="D10081" s="209"/>
      <c r="E10081" s="209"/>
      <c r="J10081" s="124"/>
    </row>
    <row r="10082" spans="3:10" x14ac:dyDescent="0.2">
      <c r="C10082" s="209"/>
      <c r="D10082" s="209"/>
      <c r="E10082" s="209"/>
      <c r="J10082" s="124"/>
    </row>
    <row r="10083" spans="3:10" x14ac:dyDescent="0.2">
      <c r="C10083" s="209"/>
      <c r="D10083" s="209"/>
      <c r="E10083" s="209"/>
      <c r="J10083" s="124"/>
    </row>
    <row r="10084" spans="3:10" x14ac:dyDescent="0.2">
      <c r="C10084" s="209"/>
      <c r="D10084" s="209"/>
      <c r="E10084" s="209"/>
      <c r="J10084" s="124"/>
    </row>
    <row r="10085" spans="3:10" x14ac:dyDescent="0.2">
      <c r="C10085" s="209"/>
      <c r="D10085" s="209"/>
      <c r="E10085" s="209"/>
      <c r="J10085" s="124"/>
    </row>
    <row r="10086" spans="3:10" x14ac:dyDescent="0.2">
      <c r="C10086" s="209"/>
      <c r="D10086" s="209"/>
      <c r="E10086" s="209"/>
      <c r="J10086" s="124"/>
    </row>
    <row r="10087" spans="3:10" x14ac:dyDescent="0.2">
      <c r="C10087" s="209"/>
      <c r="D10087" s="209"/>
      <c r="E10087" s="209"/>
      <c r="J10087" s="124"/>
    </row>
    <row r="10088" spans="3:10" x14ac:dyDescent="0.2">
      <c r="C10088" s="209"/>
      <c r="D10088" s="209"/>
      <c r="E10088" s="209"/>
      <c r="J10088" s="124"/>
    </row>
    <row r="10089" spans="3:10" x14ac:dyDescent="0.2">
      <c r="C10089" s="209"/>
      <c r="D10089" s="209"/>
      <c r="E10089" s="209"/>
      <c r="J10089" s="124"/>
    </row>
    <row r="10090" spans="3:10" x14ac:dyDescent="0.2">
      <c r="C10090" s="209"/>
      <c r="D10090" s="209"/>
      <c r="E10090" s="209"/>
      <c r="J10090" s="124"/>
    </row>
    <row r="10091" spans="3:10" x14ac:dyDescent="0.2">
      <c r="C10091" s="209"/>
      <c r="D10091" s="209"/>
      <c r="E10091" s="209"/>
      <c r="J10091" s="124"/>
    </row>
    <row r="10092" spans="3:10" x14ac:dyDescent="0.2">
      <c r="C10092" s="209"/>
      <c r="D10092" s="209"/>
      <c r="E10092" s="209"/>
      <c r="J10092" s="124"/>
    </row>
    <row r="10093" spans="3:10" x14ac:dyDescent="0.2">
      <c r="C10093" s="209"/>
      <c r="D10093" s="209"/>
      <c r="E10093" s="209"/>
      <c r="J10093" s="124"/>
    </row>
    <row r="10094" spans="3:10" x14ac:dyDescent="0.2">
      <c r="C10094" s="209"/>
      <c r="D10094" s="209"/>
      <c r="E10094" s="209"/>
      <c r="J10094" s="124"/>
    </row>
    <row r="10095" spans="3:10" x14ac:dyDescent="0.2">
      <c r="C10095" s="209"/>
      <c r="D10095" s="209"/>
      <c r="E10095" s="209"/>
      <c r="J10095" s="124"/>
    </row>
    <row r="10096" spans="3:10" x14ac:dyDescent="0.2">
      <c r="C10096" s="209"/>
      <c r="D10096" s="209"/>
      <c r="E10096" s="209"/>
      <c r="J10096" s="124"/>
    </row>
    <row r="10097" spans="3:10" x14ac:dyDescent="0.2">
      <c r="C10097" s="209"/>
      <c r="D10097" s="209"/>
      <c r="E10097" s="209"/>
      <c r="J10097" s="124"/>
    </row>
    <row r="10098" spans="3:10" x14ac:dyDescent="0.2">
      <c r="C10098" s="209"/>
      <c r="D10098" s="209"/>
      <c r="E10098" s="209"/>
      <c r="J10098" s="124"/>
    </row>
    <row r="10099" spans="3:10" x14ac:dyDescent="0.2">
      <c r="C10099" s="209"/>
      <c r="D10099" s="209"/>
      <c r="E10099" s="209"/>
      <c r="J10099" s="124"/>
    </row>
    <row r="10100" spans="3:10" x14ac:dyDescent="0.2">
      <c r="C10100" s="209"/>
      <c r="D10100" s="209"/>
      <c r="E10100" s="209"/>
      <c r="J10100" s="124"/>
    </row>
    <row r="10101" spans="3:10" x14ac:dyDescent="0.2">
      <c r="C10101" s="209"/>
      <c r="D10101" s="209"/>
      <c r="E10101" s="209"/>
      <c r="J10101" s="124"/>
    </row>
    <row r="10102" spans="3:10" x14ac:dyDescent="0.2">
      <c r="C10102" s="209"/>
      <c r="D10102" s="209"/>
      <c r="E10102" s="209"/>
      <c r="J10102" s="124"/>
    </row>
    <row r="10103" spans="3:10" x14ac:dyDescent="0.2">
      <c r="C10103" s="209"/>
      <c r="D10103" s="209"/>
      <c r="E10103" s="209"/>
      <c r="J10103" s="124"/>
    </row>
    <row r="10104" spans="3:10" x14ac:dyDescent="0.2">
      <c r="C10104" s="209"/>
      <c r="D10104" s="209"/>
      <c r="E10104" s="209"/>
      <c r="J10104" s="124"/>
    </row>
    <row r="10105" spans="3:10" x14ac:dyDescent="0.2">
      <c r="C10105" s="209"/>
      <c r="D10105" s="209"/>
      <c r="E10105" s="209"/>
      <c r="J10105" s="124"/>
    </row>
    <row r="10106" spans="3:10" x14ac:dyDescent="0.2">
      <c r="C10106" s="209"/>
      <c r="D10106" s="209"/>
      <c r="E10106" s="209"/>
      <c r="J10106" s="124"/>
    </row>
    <row r="10107" spans="3:10" x14ac:dyDescent="0.2">
      <c r="C10107" s="209"/>
      <c r="D10107" s="209"/>
      <c r="E10107" s="209"/>
      <c r="J10107" s="124"/>
    </row>
    <row r="10108" spans="3:10" x14ac:dyDescent="0.2">
      <c r="C10108" s="209"/>
      <c r="D10108" s="209"/>
      <c r="E10108" s="209"/>
      <c r="J10108" s="124"/>
    </row>
    <row r="10109" spans="3:10" x14ac:dyDescent="0.2">
      <c r="C10109" s="209"/>
      <c r="D10109" s="209"/>
      <c r="E10109" s="209"/>
      <c r="J10109" s="124"/>
    </row>
    <row r="10110" spans="3:10" x14ac:dyDescent="0.2">
      <c r="C10110" s="209"/>
      <c r="D10110" s="209"/>
      <c r="E10110" s="209"/>
      <c r="J10110" s="124"/>
    </row>
    <row r="10111" spans="3:10" x14ac:dyDescent="0.2">
      <c r="C10111" s="209"/>
      <c r="D10111" s="209"/>
      <c r="E10111" s="209"/>
      <c r="J10111" s="124"/>
    </row>
    <row r="10112" spans="3:10" x14ac:dyDescent="0.2">
      <c r="C10112" s="209"/>
      <c r="D10112" s="209"/>
      <c r="E10112" s="209"/>
      <c r="J10112" s="124"/>
    </row>
    <row r="10113" spans="3:10" x14ac:dyDescent="0.2">
      <c r="C10113" s="209"/>
      <c r="D10113" s="209"/>
      <c r="E10113" s="209"/>
      <c r="J10113" s="124"/>
    </row>
    <row r="10114" spans="3:10" x14ac:dyDescent="0.2">
      <c r="C10114" s="209"/>
      <c r="D10114" s="209"/>
      <c r="E10114" s="209"/>
      <c r="J10114" s="124"/>
    </row>
    <row r="10115" spans="3:10" x14ac:dyDescent="0.2">
      <c r="C10115" s="209"/>
      <c r="D10115" s="209"/>
      <c r="E10115" s="209"/>
      <c r="J10115" s="124"/>
    </row>
    <row r="10116" spans="3:10" x14ac:dyDescent="0.2">
      <c r="C10116" s="209"/>
      <c r="D10116" s="209"/>
      <c r="E10116" s="209"/>
      <c r="J10116" s="124"/>
    </row>
    <row r="10117" spans="3:10" x14ac:dyDescent="0.2">
      <c r="C10117" s="209"/>
      <c r="D10117" s="209"/>
      <c r="E10117" s="209"/>
      <c r="J10117" s="124"/>
    </row>
    <row r="10118" spans="3:10" x14ac:dyDescent="0.2">
      <c r="C10118" s="209"/>
      <c r="D10118" s="209"/>
      <c r="E10118" s="209"/>
      <c r="J10118" s="124"/>
    </row>
    <row r="10119" spans="3:10" x14ac:dyDescent="0.2">
      <c r="C10119" s="209"/>
      <c r="D10119" s="209"/>
      <c r="E10119" s="209"/>
      <c r="J10119" s="124"/>
    </row>
    <row r="10120" spans="3:10" x14ac:dyDescent="0.2">
      <c r="C10120" s="209"/>
      <c r="D10120" s="209"/>
      <c r="E10120" s="209"/>
      <c r="J10120" s="124"/>
    </row>
    <row r="10121" spans="3:10" x14ac:dyDescent="0.2">
      <c r="C10121" s="209"/>
      <c r="D10121" s="209"/>
      <c r="E10121" s="209"/>
      <c r="J10121" s="124"/>
    </row>
    <row r="10122" spans="3:10" x14ac:dyDescent="0.2">
      <c r="C10122" s="209"/>
      <c r="D10122" s="209"/>
      <c r="E10122" s="209"/>
      <c r="J10122" s="124"/>
    </row>
    <row r="10123" spans="3:10" x14ac:dyDescent="0.2">
      <c r="C10123" s="209"/>
      <c r="D10123" s="209"/>
      <c r="E10123" s="209"/>
      <c r="J10123" s="124"/>
    </row>
    <row r="10124" spans="3:10" x14ac:dyDescent="0.2">
      <c r="C10124" s="209"/>
      <c r="D10124" s="209"/>
      <c r="E10124" s="209"/>
      <c r="J10124" s="124"/>
    </row>
    <row r="10125" spans="3:10" x14ac:dyDescent="0.2">
      <c r="C10125" s="209"/>
      <c r="D10125" s="209"/>
      <c r="E10125" s="209"/>
      <c r="J10125" s="124"/>
    </row>
    <row r="10126" spans="3:10" x14ac:dyDescent="0.2">
      <c r="C10126" s="209"/>
      <c r="D10126" s="209"/>
      <c r="E10126" s="209"/>
      <c r="J10126" s="124"/>
    </row>
    <row r="10127" spans="3:10" x14ac:dyDescent="0.2">
      <c r="C10127" s="209"/>
      <c r="D10127" s="209"/>
      <c r="E10127" s="209"/>
      <c r="J10127" s="124"/>
    </row>
    <row r="10128" spans="3:10" x14ac:dyDescent="0.2">
      <c r="C10128" s="209"/>
      <c r="D10128" s="209"/>
      <c r="E10128" s="209"/>
      <c r="J10128" s="124"/>
    </row>
    <row r="10129" spans="3:10" x14ac:dyDescent="0.2">
      <c r="C10129" s="209"/>
      <c r="D10129" s="209"/>
      <c r="E10129" s="209"/>
      <c r="J10129" s="124"/>
    </row>
    <row r="10130" spans="3:10" x14ac:dyDescent="0.2">
      <c r="C10130" s="209"/>
      <c r="D10130" s="209"/>
      <c r="E10130" s="209"/>
      <c r="J10130" s="124"/>
    </row>
    <row r="10131" spans="3:10" x14ac:dyDescent="0.2">
      <c r="C10131" s="209"/>
      <c r="D10131" s="209"/>
      <c r="E10131" s="209"/>
      <c r="J10131" s="124"/>
    </row>
    <row r="10132" spans="3:10" x14ac:dyDescent="0.2">
      <c r="C10132" s="209"/>
      <c r="D10132" s="209"/>
      <c r="E10132" s="209"/>
      <c r="J10132" s="124"/>
    </row>
    <row r="10133" spans="3:10" x14ac:dyDescent="0.2">
      <c r="C10133" s="209"/>
      <c r="D10133" s="209"/>
      <c r="E10133" s="209"/>
      <c r="J10133" s="124"/>
    </row>
    <row r="10134" spans="3:10" x14ac:dyDescent="0.2">
      <c r="C10134" s="209"/>
      <c r="D10134" s="209"/>
      <c r="E10134" s="209"/>
      <c r="J10134" s="124"/>
    </row>
    <row r="10135" spans="3:10" x14ac:dyDescent="0.2">
      <c r="C10135" s="209"/>
      <c r="D10135" s="209"/>
      <c r="E10135" s="209"/>
      <c r="J10135" s="124"/>
    </row>
    <row r="10136" spans="3:10" x14ac:dyDescent="0.2">
      <c r="C10136" s="209"/>
      <c r="D10136" s="209"/>
      <c r="E10136" s="209"/>
      <c r="J10136" s="124"/>
    </row>
    <row r="10137" spans="3:10" x14ac:dyDescent="0.2">
      <c r="C10137" s="209"/>
      <c r="D10137" s="209"/>
      <c r="E10137" s="209"/>
      <c r="J10137" s="124"/>
    </row>
    <row r="10138" spans="3:10" x14ac:dyDescent="0.2">
      <c r="C10138" s="209"/>
      <c r="D10138" s="209"/>
      <c r="E10138" s="209"/>
      <c r="J10138" s="124"/>
    </row>
    <row r="10139" spans="3:10" x14ac:dyDescent="0.2">
      <c r="C10139" s="209"/>
      <c r="D10139" s="209"/>
      <c r="E10139" s="209"/>
      <c r="J10139" s="124"/>
    </row>
    <row r="10140" spans="3:10" x14ac:dyDescent="0.2">
      <c r="C10140" s="209"/>
      <c r="D10140" s="209"/>
      <c r="E10140" s="209"/>
      <c r="J10140" s="124"/>
    </row>
    <row r="10141" spans="3:10" x14ac:dyDescent="0.2">
      <c r="C10141" s="209"/>
      <c r="D10141" s="209"/>
      <c r="E10141" s="209"/>
      <c r="J10141" s="124"/>
    </row>
    <row r="10142" spans="3:10" x14ac:dyDescent="0.2">
      <c r="C10142" s="209"/>
      <c r="D10142" s="209"/>
      <c r="E10142" s="209"/>
      <c r="J10142" s="124"/>
    </row>
    <row r="10143" spans="3:10" x14ac:dyDescent="0.2">
      <c r="C10143" s="209"/>
      <c r="D10143" s="209"/>
      <c r="E10143" s="209"/>
      <c r="J10143" s="124"/>
    </row>
    <row r="10144" spans="3:10" x14ac:dyDescent="0.2">
      <c r="C10144" s="209"/>
      <c r="D10144" s="209"/>
      <c r="E10144" s="209"/>
      <c r="J10144" s="124"/>
    </row>
    <row r="10145" spans="3:10" x14ac:dyDescent="0.2">
      <c r="C10145" s="209"/>
      <c r="D10145" s="209"/>
      <c r="E10145" s="209"/>
      <c r="J10145" s="124"/>
    </row>
    <row r="10146" spans="3:10" x14ac:dyDescent="0.2">
      <c r="C10146" s="209"/>
      <c r="D10146" s="209"/>
      <c r="E10146" s="209"/>
      <c r="J10146" s="124"/>
    </row>
    <row r="10147" spans="3:10" x14ac:dyDescent="0.2">
      <c r="C10147" s="209"/>
      <c r="D10147" s="209"/>
      <c r="E10147" s="209"/>
      <c r="J10147" s="124"/>
    </row>
    <row r="10148" spans="3:10" x14ac:dyDescent="0.2">
      <c r="C10148" s="209"/>
      <c r="D10148" s="209"/>
      <c r="E10148" s="209"/>
      <c r="J10148" s="124"/>
    </row>
    <row r="10149" spans="3:10" x14ac:dyDescent="0.2">
      <c r="C10149" s="209"/>
      <c r="D10149" s="209"/>
      <c r="E10149" s="209"/>
      <c r="J10149" s="124"/>
    </row>
    <row r="10150" spans="3:10" x14ac:dyDescent="0.2">
      <c r="C10150" s="209"/>
      <c r="D10150" s="209"/>
      <c r="E10150" s="209"/>
      <c r="J10150" s="124"/>
    </row>
    <row r="10151" spans="3:10" x14ac:dyDescent="0.2">
      <c r="C10151" s="209"/>
      <c r="D10151" s="209"/>
      <c r="E10151" s="209"/>
      <c r="J10151" s="124"/>
    </row>
    <row r="10152" spans="3:10" x14ac:dyDescent="0.2">
      <c r="C10152" s="209"/>
      <c r="D10152" s="209"/>
      <c r="E10152" s="209"/>
      <c r="J10152" s="124"/>
    </row>
    <row r="10153" spans="3:10" x14ac:dyDescent="0.2">
      <c r="C10153" s="209"/>
      <c r="D10153" s="209"/>
      <c r="E10153" s="209"/>
      <c r="J10153" s="124"/>
    </row>
    <row r="10154" spans="3:10" x14ac:dyDescent="0.2">
      <c r="C10154" s="209"/>
      <c r="D10154" s="209"/>
      <c r="E10154" s="209"/>
      <c r="J10154" s="124"/>
    </row>
    <row r="10155" spans="3:10" x14ac:dyDescent="0.2">
      <c r="C10155" s="209"/>
      <c r="D10155" s="209"/>
      <c r="E10155" s="209"/>
      <c r="J10155" s="124"/>
    </row>
    <row r="10156" spans="3:10" x14ac:dyDescent="0.2">
      <c r="C10156" s="209"/>
      <c r="D10156" s="209"/>
      <c r="E10156" s="209"/>
      <c r="J10156" s="124"/>
    </row>
    <row r="10157" spans="3:10" x14ac:dyDescent="0.2">
      <c r="C10157" s="209"/>
      <c r="D10157" s="209"/>
      <c r="E10157" s="209"/>
      <c r="J10157" s="124"/>
    </row>
    <row r="10158" spans="3:10" x14ac:dyDescent="0.2">
      <c r="C10158" s="209"/>
      <c r="D10158" s="209"/>
      <c r="E10158" s="209"/>
      <c r="J10158" s="124"/>
    </row>
    <row r="10159" spans="3:10" x14ac:dyDescent="0.2">
      <c r="C10159" s="209"/>
      <c r="D10159" s="209"/>
      <c r="E10159" s="209"/>
      <c r="J10159" s="124"/>
    </row>
    <row r="10160" spans="3:10" x14ac:dyDescent="0.2">
      <c r="C10160" s="209"/>
      <c r="D10160" s="209"/>
      <c r="E10160" s="209"/>
      <c r="J10160" s="124"/>
    </row>
    <row r="10161" spans="3:10" x14ac:dyDescent="0.2">
      <c r="C10161" s="209"/>
      <c r="D10161" s="209"/>
      <c r="E10161" s="209"/>
      <c r="J10161" s="124"/>
    </row>
    <row r="10162" spans="3:10" x14ac:dyDescent="0.2">
      <c r="C10162" s="209"/>
      <c r="D10162" s="209"/>
      <c r="E10162" s="209"/>
      <c r="J10162" s="124"/>
    </row>
    <row r="10163" spans="3:10" x14ac:dyDescent="0.2">
      <c r="C10163" s="209"/>
      <c r="D10163" s="209"/>
      <c r="E10163" s="209"/>
      <c r="J10163" s="124"/>
    </row>
    <row r="10164" spans="3:10" x14ac:dyDescent="0.2">
      <c r="C10164" s="209"/>
      <c r="D10164" s="209"/>
      <c r="E10164" s="209"/>
      <c r="J10164" s="124"/>
    </row>
    <row r="10165" spans="3:10" x14ac:dyDescent="0.2">
      <c r="C10165" s="209"/>
      <c r="D10165" s="209"/>
      <c r="E10165" s="209"/>
      <c r="J10165" s="124"/>
    </row>
    <row r="10166" spans="3:10" x14ac:dyDescent="0.2">
      <c r="C10166" s="209"/>
      <c r="D10166" s="209"/>
      <c r="E10166" s="209"/>
      <c r="J10166" s="124"/>
    </row>
    <row r="10167" spans="3:10" x14ac:dyDescent="0.2">
      <c r="C10167" s="209"/>
      <c r="D10167" s="209"/>
      <c r="E10167" s="209"/>
      <c r="J10167" s="124"/>
    </row>
    <row r="10168" spans="3:10" x14ac:dyDescent="0.2">
      <c r="C10168" s="209"/>
      <c r="D10168" s="209"/>
      <c r="E10168" s="209"/>
      <c r="J10168" s="124"/>
    </row>
    <row r="10169" spans="3:10" x14ac:dyDescent="0.2">
      <c r="C10169" s="209"/>
      <c r="D10169" s="209"/>
      <c r="E10169" s="209"/>
      <c r="J10169" s="124"/>
    </row>
    <row r="10170" spans="3:10" x14ac:dyDescent="0.2">
      <c r="C10170" s="209"/>
      <c r="D10170" s="209"/>
      <c r="E10170" s="209"/>
      <c r="J10170" s="124"/>
    </row>
    <row r="10171" spans="3:10" x14ac:dyDescent="0.2">
      <c r="C10171" s="209"/>
      <c r="D10171" s="209"/>
      <c r="E10171" s="209"/>
      <c r="J10171" s="124"/>
    </row>
    <row r="10172" spans="3:10" x14ac:dyDescent="0.2">
      <c r="C10172" s="209"/>
      <c r="D10172" s="209"/>
      <c r="E10172" s="209"/>
      <c r="J10172" s="124"/>
    </row>
    <row r="10173" spans="3:10" x14ac:dyDescent="0.2">
      <c r="C10173" s="209"/>
      <c r="D10173" s="209"/>
      <c r="E10173" s="209"/>
      <c r="J10173" s="124"/>
    </row>
    <row r="10174" spans="3:10" x14ac:dyDescent="0.2">
      <c r="C10174" s="209"/>
      <c r="D10174" s="209"/>
      <c r="E10174" s="209"/>
      <c r="J10174" s="124"/>
    </row>
    <row r="10175" spans="3:10" x14ac:dyDescent="0.2">
      <c r="C10175" s="209"/>
      <c r="D10175" s="209"/>
      <c r="E10175" s="209"/>
      <c r="J10175" s="124"/>
    </row>
    <row r="10176" spans="3:10" x14ac:dyDescent="0.2">
      <c r="C10176" s="209"/>
      <c r="D10176" s="209"/>
      <c r="E10176" s="209"/>
      <c r="J10176" s="124"/>
    </row>
    <row r="10177" spans="3:10" x14ac:dyDescent="0.2">
      <c r="C10177" s="209"/>
      <c r="D10177" s="209"/>
      <c r="E10177" s="209"/>
      <c r="J10177" s="124"/>
    </row>
    <row r="10178" spans="3:10" x14ac:dyDescent="0.2">
      <c r="C10178" s="209"/>
      <c r="D10178" s="209"/>
      <c r="E10178" s="209"/>
      <c r="J10178" s="124"/>
    </row>
    <row r="10179" spans="3:10" x14ac:dyDescent="0.2">
      <c r="C10179" s="209"/>
      <c r="D10179" s="209"/>
      <c r="E10179" s="209"/>
      <c r="J10179" s="124"/>
    </row>
    <row r="10180" spans="3:10" x14ac:dyDescent="0.2">
      <c r="C10180" s="209"/>
      <c r="D10180" s="209"/>
      <c r="E10180" s="209"/>
      <c r="J10180" s="124"/>
    </row>
    <row r="10181" spans="3:10" x14ac:dyDescent="0.2">
      <c r="C10181" s="209"/>
      <c r="D10181" s="209"/>
      <c r="E10181" s="209"/>
      <c r="J10181" s="124"/>
    </row>
    <row r="10182" spans="3:10" x14ac:dyDescent="0.2">
      <c r="C10182" s="209"/>
      <c r="D10182" s="209"/>
      <c r="E10182" s="209"/>
      <c r="J10182" s="124"/>
    </row>
    <row r="10183" spans="3:10" x14ac:dyDescent="0.2">
      <c r="C10183" s="209"/>
      <c r="D10183" s="209"/>
      <c r="E10183" s="209"/>
      <c r="J10183" s="124"/>
    </row>
    <row r="10184" spans="3:10" x14ac:dyDescent="0.2">
      <c r="C10184" s="209"/>
      <c r="D10184" s="209"/>
      <c r="E10184" s="209"/>
      <c r="J10184" s="124"/>
    </row>
    <row r="10185" spans="3:10" x14ac:dyDescent="0.2">
      <c r="C10185" s="209"/>
      <c r="D10185" s="209"/>
      <c r="E10185" s="209"/>
      <c r="J10185" s="124"/>
    </row>
    <row r="10186" spans="3:10" x14ac:dyDescent="0.2">
      <c r="C10186" s="209"/>
      <c r="D10186" s="209"/>
      <c r="E10186" s="209"/>
      <c r="J10186" s="124"/>
    </row>
    <row r="10187" spans="3:10" x14ac:dyDescent="0.2">
      <c r="C10187" s="209"/>
      <c r="D10187" s="209"/>
      <c r="E10187" s="209"/>
      <c r="J10187" s="124"/>
    </row>
    <row r="10188" spans="3:10" x14ac:dyDescent="0.2">
      <c r="C10188" s="209"/>
      <c r="D10188" s="209"/>
      <c r="E10188" s="209"/>
      <c r="J10188" s="124"/>
    </row>
    <row r="10189" spans="3:10" x14ac:dyDescent="0.2">
      <c r="C10189" s="209"/>
      <c r="D10189" s="209"/>
      <c r="E10189" s="209"/>
      <c r="J10189" s="124"/>
    </row>
    <row r="10190" spans="3:10" x14ac:dyDescent="0.2">
      <c r="C10190" s="209"/>
      <c r="D10190" s="209"/>
      <c r="E10190" s="209"/>
      <c r="J10190" s="124"/>
    </row>
    <row r="10191" spans="3:10" x14ac:dyDescent="0.2">
      <c r="C10191" s="209"/>
      <c r="D10191" s="209"/>
      <c r="E10191" s="209"/>
      <c r="J10191" s="124"/>
    </row>
    <row r="10192" spans="3:10" x14ac:dyDescent="0.2">
      <c r="C10192" s="209"/>
      <c r="D10192" s="209"/>
      <c r="E10192" s="209"/>
      <c r="J10192" s="124"/>
    </row>
    <row r="10193" spans="3:10" x14ac:dyDescent="0.2">
      <c r="C10193" s="209"/>
      <c r="D10193" s="209"/>
      <c r="E10193" s="209"/>
      <c r="J10193" s="124"/>
    </row>
    <row r="10194" spans="3:10" x14ac:dyDescent="0.2">
      <c r="C10194" s="209"/>
      <c r="D10194" s="209"/>
      <c r="E10194" s="209"/>
      <c r="J10194" s="124"/>
    </row>
    <row r="10195" spans="3:10" x14ac:dyDescent="0.2">
      <c r="C10195" s="209"/>
      <c r="D10195" s="209"/>
      <c r="E10195" s="209"/>
      <c r="J10195" s="124"/>
    </row>
    <row r="10196" spans="3:10" x14ac:dyDescent="0.2">
      <c r="C10196" s="209"/>
      <c r="D10196" s="209"/>
      <c r="E10196" s="209"/>
      <c r="J10196" s="124"/>
    </row>
    <row r="10197" spans="3:10" x14ac:dyDescent="0.2">
      <c r="C10197" s="209"/>
      <c r="D10197" s="209"/>
      <c r="E10197" s="209"/>
      <c r="J10197" s="124"/>
    </row>
    <row r="10198" spans="3:10" x14ac:dyDescent="0.2">
      <c r="C10198" s="209"/>
      <c r="D10198" s="209"/>
      <c r="E10198" s="209"/>
      <c r="J10198" s="124"/>
    </row>
    <row r="10199" spans="3:10" x14ac:dyDescent="0.2">
      <c r="C10199" s="209"/>
      <c r="D10199" s="209"/>
      <c r="E10199" s="209"/>
      <c r="J10199" s="124"/>
    </row>
    <row r="10200" spans="3:10" x14ac:dyDescent="0.2">
      <c r="C10200" s="209"/>
      <c r="D10200" s="209"/>
      <c r="E10200" s="209"/>
      <c r="J10200" s="124"/>
    </row>
    <row r="10201" spans="3:10" x14ac:dyDescent="0.2">
      <c r="C10201" s="209"/>
      <c r="D10201" s="209"/>
      <c r="E10201" s="209"/>
      <c r="J10201" s="124"/>
    </row>
    <row r="10202" spans="3:10" x14ac:dyDescent="0.2">
      <c r="C10202" s="209"/>
      <c r="D10202" s="209"/>
      <c r="E10202" s="209"/>
      <c r="J10202" s="124"/>
    </row>
    <row r="10203" spans="3:10" x14ac:dyDescent="0.2">
      <c r="C10203" s="209"/>
      <c r="D10203" s="209"/>
      <c r="E10203" s="209"/>
      <c r="J10203" s="124"/>
    </row>
    <row r="10204" spans="3:10" x14ac:dyDescent="0.2">
      <c r="C10204" s="209"/>
      <c r="D10204" s="209"/>
      <c r="E10204" s="209"/>
      <c r="J10204" s="124"/>
    </row>
    <row r="10205" spans="3:10" x14ac:dyDescent="0.2">
      <c r="C10205" s="209"/>
      <c r="D10205" s="209"/>
      <c r="E10205" s="209"/>
      <c r="J10205" s="124"/>
    </row>
    <row r="10206" spans="3:10" x14ac:dyDescent="0.2">
      <c r="C10206" s="209"/>
      <c r="D10206" s="209"/>
      <c r="E10206" s="209"/>
      <c r="J10206" s="124"/>
    </row>
    <row r="10207" spans="3:10" x14ac:dyDescent="0.2">
      <c r="C10207" s="209"/>
      <c r="D10207" s="209"/>
      <c r="E10207" s="209"/>
      <c r="J10207" s="124"/>
    </row>
    <row r="10208" spans="3:10" x14ac:dyDescent="0.2">
      <c r="C10208" s="209"/>
      <c r="D10208" s="209"/>
      <c r="E10208" s="209"/>
      <c r="J10208" s="124"/>
    </row>
    <row r="10209" spans="3:10" x14ac:dyDescent="0.2">
      <c r="C10209" s="209"/>
      <c r="D10209" s="209"/>
      <c r="E10209" s="209"/>
      <c r="J10209" s="124"/>
    </row>
    <row r="10210" spans="3:10" x14ac:dyDescent="0.2">
      <c r="C10210" s="209"/>
      <c r="D10210" s="209"/>
      <c r="E10210" s="209"/>
      <c r="J10210" s="124"/>
    </row>
    <row r="10211" spans="3:10" x14ac:dyDescent="0.2">
      <c r="C10211" s="209"/>
      <c r="D10211" s="209"/>
      <c r="E10211" s="209"/>
      <c r="J10211" s="124"/>
    </row>
    <row r="10212" spans="3:10" x14ac:dyDescent="0.2">
      <c r="C10212" s="209"/>
      <c r="D10212" s="209"/>
      <c r="E10212" s="209"/>
      <c r="J10212" s="124"/>
    </row>
    <row r="10213" spans="3:10" x14ac:dyDescent="0.2">
      <c r="C10213" s="209"/>
      <c r="D10213" s="209"/>
      <c r="E10213" s="209"/>
      <c r="J10213" s="124"/>
    </row>
    <row r="10214" spans="3:10" x14ac:dyDescent="0.2">
      <c r="C10214" s="209"/>
      <c r="D10214" s="209"/>
      <c r="E10214" s="209"/>
      <c r="J10214" s="124"/>
    </row>
    <row r="10215" spans="3:10" x14ac:dyDescent="0.2">
      <c r="C10215" s="209"/>
      <c r="D10215" s="209"/>
      <c r="E10215" s="209"/>
      <c r="J10215" s="124"/>
    </row>
    <row r="10216" spans="3:10" x14ac:dyDescent="0.2">
      <c r="C10216" s="209"/>
      <c r="D10216" s="209"/>
      <c r="E10216" s="209"/>
      <c r="J10216" s="124"/>
    </row>
    <row r="10217" spans="3:10" x14ac:dyDescent="0.2">
      <c r="C10217" s="209"/>
      <c r="D10217" s="209"/>
      <c r="E10217" s="209"/>
      <c r="J10217" s="124"/>
    </row>
    <row r="10218" spans="3:10" x14ac:dyDescent="0.2">
      <c r="C10218" s="209"/>
      <c r="D10218" s="209"/>
      <c r="E10218" s="209"/>
      <c r="J10218" s="124"/>
    </row>
    <row r="10219" spans="3:10" x14ac:dyDescent="0.2">
      <c r="C10219" s="209"/>
      <c r="D10219" s="209"/>
      <c r="E10219" s="209"/>
      <c r="J10219" s="124"/>
    </row>
    <row r="10220" spans="3:10" x14ac:dyDescent="0.2">
      <c r="C10220" s="209"/>
      <c r="D10220" s="209"/>
      <c r="E10220" s="209"/>
      <c r="J10220" s="124"/>
    </row>
    <row r="10221" spans="3:10" x14ac:dyDescent="0.2">
      <c r="C10221" s="209"/>
      <c r="D10221" s="209"/>
      <c r="E10221" s="209"/>
      <c r="J10221" s="124"/>
    </row>
    <row r="10222" spans="3:10" x14ac:dyDescent="0.2">
      <c r="C10222" s="209"/>
      <c r="D10222" s="209"/>
      <c r="E10222" s="209"/>
      <c r="J10222" s="124"/>
    </row>
    <row r="10223" spans="3:10" x14ac:dyDescent="0.2">
      <c r="C10223" s="209"/>
      <c r="D10223" s="209"/>
      <c r="E10223" s="209"/>
      <c r="J10223" s="124"/>
    </row>
    <row r="10224" spans="3:10" x14ac:dyDescent="0.2">
      <c r="C10224" s="209"/>
      <c r="D10224" s="209"/>
      <c r="E10224" s="209"/>
      <c r="J10224" s="124"/>
    </row>
    <row r="10225" spans="3:10" x14ac:dyDescent="0.2">
      <c r="C10225" s="209"/>
      <c r="D10225" s="209"/>
      <c r="E10225" s="209"/>
      <c r="J10225" s="124"/>
    </row>
    <row r="10226" spans="3:10" x14ac:dyDescent="0.2">
      <c r="C10226" s="209"/>
      <c r="D10226" s="209"/>
      <c r="E10226" s="209"/>
      <c r="J10226" s="124"/>
    </row>
    <row r="10227" spans="3:10" x14ac:dyDescent="0.2">
      <c r="C10227" s="209"/>
      <c r="D10227" s="209"/>
      <c r="E10227" s="209"/>
      <c r="J10227" s="124"/>
    </row>
    <row r="10228" spans="3:10" x14ac:dyDescent="0.2">
      <c r="C10228" s="209"/>
      <c r="D10228" s="209"/>
      <c r="E10228" s="209"/>
      <c r="J10228" s="124"/>
    </row>
    <row r="10229" spans="3:10" x14ac:dyDescent="0.2">
      <c r="C10229" s="209"/>
      <c r="D10229" s="209"/>
      <c r="E10229" s="209"/>
      <c r="J10229" s="124"/>
    </row>
    <row r="10230" spans="3:10" x14ac:dyDescent="0.2">
      <c r="C10230" s="209"/>
      <c r="D10230" s="209"/>
      <c r="E10230" s="209"/>
      <c r="J10230" s="124"/>
    </row>
    <row r="10231" spans="3:10" x14ac:dyDescent="0.2">
      <c r="C10231" s="209"/>
      <c r="D10231" s="209"/>
      <c r="E10231" s="209"/>
      <c r="J10231" s="124"/>
    </row>
    <row r="10232" spans="3:10" x14ac:dyDescent="0.2">
      <c r="C10232" s="209"/>
      <c r="D10232" s="209"/>
      <c r="E10232" s="209"/>
      <c r="J10232" s="124"/>
    </row>
    <row r="10233" spans="3:10" x14ac:dyDescent="0.2">
      <c r="C10233" s="209"/>
      <c r="D10233" s="209"/>
      <c r="E10233" s="209"/>
      <c r="J10233" s="124"/>
    </row>
    <row r="10234" spans="3:10" x14ac:dyDescent="0.2">
      <c r="C10234" s="209"/>
      <c r="D10234" s="209"/>
      <c r="E10234" s="209"/>
      <c r="J10234" s="124"/>
    </row>
    <row r="10235" spans="3:10" x14ac:dyDescent="0.2">
      <c r="C10235" s="209"/>
      <c r="D10235" s="209"/>
      <c r="E10235" s="209"/>
      <c r="J10235" s="124"/>
    </row>
    <row r="10236" spans="3:10" x14ac:dyDescent="0.2">
      <c r="C10236" s="209"/>
      <c r="D10236" s="209"/>
      <c r="E10236" s="209"/>
      <c r="J10236" s="124"/>
    </row>
    <row r="10237" spans="3:10" x14ac:dyDescent="0.2">
      <c r="C10237" s="209"/>
      <c r="D10237" s="209"/>
      <c r="E10237" s="209"/>
      <c r="J10237" s="124"/>
    </row>
    <row r="10238" spans="3:10" x14ac:dyDescent="0.2">
      <c r="C10238" s="209"/>
      <c r="D10238" s="209"/>
      <c r="E10238" s="209"/>
      <c r="J10238" s="124"/>
    </row>
    <row r="10239" spans="3:10" x14ac:dyDescent="0.2">
      <c r="C10239" s="209"/>
      <c r="D10239" s="209"/>
      <c r="E10239" s="209"/>
      <c r="J10239" s="124"/>
    </row>
    <row r="10240" spans="3:10" x14ac:dyDescent="0.2">
      <c r="C10240" s="209"/>
      <c r="D10240" s="209"/>
      <c r="E10240" s="209"/>
      <c r="J10240" s="124"/>
    </row>
    <row r="10241" spans="3:10" x14ac:dyDescent="0.2">
      <c r="C10241" s="209"/>
      <c r="D10241" s="209"/>
      <c r="E10241" s="209"/>
      <c r="J10241" s="124"/>
    </row>
    <row r="10242" spans="3:10" x14ac:dyDescent="0.2">
      <c r="C10242" s="209"/>
      <c r="D10242" s="209"/>
      <c r="E10242" s="209"/>
      <c r="J10242" s="124"/>
    </row>
    <row r="10243" spans="3:10" x14ac:dyDescent="0.2">
      <c r="C10243" s="209"/>
      <c r="D10243" s="209"/>
      <c r="E10243" s="209"/>
      <c r="J10243" s="124"/>
    </row>
    <row r="10244" spans="3:10" x14ac:dyDescent="0.2">
      <c r="C10244" s="209"/>
      <c r="D10244" s="209"/>
      <c r="E10244" s="209"/>
      <c r="J10244" s="124"/>
    </row>
    <row r="10245" spans="3:10" x14ac:dyDescent="0.2">
      <c r="C10245" s="209"/>
      <c r="D10245" s="209"/>
      <c r="E10245" s="209"/>
      <c r="J10245" s="124"/>
    </row>
    <row r="10246" spans="3:10" x14ac:dyDescent="0.2">
      <c r="C10246" s="209"/>
      <c r="D10246" s="209"/>
      <c r="E10246" s="209"/>
      <c r="J10246" s="124"/>
    </row>
    <row r="10247" spans="3:10" x14ac:dyDescent="0.2">
      <c r="C10247" s="209"/>
      <c r="D10247" s="209"/>
      <c r="E10247" s="209"/>
      <c r="J10247" s="124"/>
    </row>
    <row r="10248" spans="3:10" x14ac:dyDescent="0.2">
      <c r="C10248" s="209"/>
      <c r="D10248" s="209"/>
      <c r="E10248" s="209"/>
      <c r="J10248" s="124"/>
    </row>
    <row r="10249" spans="3:10" x14ac:dyDescent="0.2">
      <c r="C10249" s="209"/>
      <c r="D10249" s="209"/>
      <c r="E10249" s="209"/>
      <c r="J10249" s="124"/>
    </row>
    <row r="10250" spans="3:10" x14ac:dyDescent="0.2">
      <c r="C10250" s="209"/>
      <c r="D10250" s="209"/>
      <c r="E10250" s="209"/>
      <c r="J10250" s="124"/>
    </row>
    <row r="10251" spans="3:10" x14ac:dyDescent="0.2">
      <c r="C10251" s="209"/>
      <c r="D10251" s="209"/>
      <c r="E10251" s="209"/>
      <c r="J10251" s="124"/>
    </row>
    <row r="10252" spans="3:10" x14ac:dyDescent="0.2">
      <c r="C10252" s="209"/>
      <c r="D10252" s="209"/>
      <c r="E10252" s="209"/>
      <c r="J10252" s="124"/>
    </row>
    <row r="10253" spans="3:10" x14ac:dyDescent="0.2">
      <c r="C10253" s="209"/>
      <c r="D10253" s="209"/>
      <c r="E10253" s="209"/>
      <c r="J10253" s="124"/>
    </row>
    <row r="10254" spans="3:10" x14ac:dyDescent="0.2">
      <c r="C10254" s="209"/>
      <c r="D10254" s="209"/>
      <c r="E10254" s="209"/>
      <c r="J10254" s="124"/>
    </row>
    <row r="10255" spans="3:10" x14ac:dyDescent="0.2">
      <c r="C10255" s="209"/>
      <c r="D10255" s="209"/>
      <c r="E10255" s="209"/>
      <c r="J10255" s="124"/>
    </row>
    <row r="10256" spans="3:10" x14ac:dyDescent="0.2">
      <c r="C10256" s="209"/>
      <c r="D10256" s="209"/>
      <c r="E10256" s="209"/>
      <c r="J10256" s="124"/>
    </row>
    <row r="10257" spans="3:10" x14ac:dyDescent="0.2">
      <c r="C10257" s="209"/>
      <c r="D10257" s="209"/>
      <c r="E10257" s="209"/>
      <c r="J10257" s="124"/>
    </row>
    <row r="10258" spans="3:10" x14ac:dyDescent="0.2">
      <c r="C10258" s="209"/>
      <c r="D10258" s="209"/>
      <c r="E10258" s="209"/>
      <c r="J10258" s="124"/>
    </row>
    <row r="10259" spans="3:10" x14ac:dyDescent="0.2">
      <c r="C10259" s="209"/>
      <c r="D10259" s="209"/>
      <c r="E10259" s="209"/>
      <c r="J10259" s="124"/>
    </row>
    <row r="10260" spans="3:10" x14ac:dyDescent="0.2">
      <c r="C10260" s="209"/>
      <c r="D10260" s="209"/>
      <c r="E10260" s="209"/>
      <c r="J10260" s="124"/>
    </row>
    <row r="10261" spans="3:10" x14ac:dyDescent="0.2">
      <c r="C10261" s="209"/>
      <c r="D10261" s="209"/>
      <c r="E10261" s="209"/>
      <c r="J10261" s="124"/>
    </row>
    <row r="10262" spans="3:10" x14ac:dyDescent="0.2">
      <c r="C10262" s="209"/>
      <c r="D10262" s="209"/>
      <c r="E10262" s="209"/>
      <c r="J10262" s="124"/>
    </row>
    <row r="10263" spans="3:10" x14ac:dyDescent="0.2">
      <c r="C10263" s="209"/>
      <c r="D10263" s="209"/>
      <c r="E10263" s="209"/>
      <c r="J10263" s="124"/>
    </row>
    <row r="10264" spans="3:10" x14ac:dyDescent="0.2">
      <c r="C10264" s="209"/>
      <c r="D10264" s="209"/>
      <c r="E10264" s="209"/>
      <c r="J10264" s="124"/>
    </row>
    <row r="10265" spans="3:10" x14ac:dyDescent="0.2">
      <c r="C10265" s="209"/>
      <c r="D10265" s="209"/>
      <c r="E10265" s="209"/>
      <c r="J10265" s="124"/>
    </row>
    <row r="10266" spans="3:10" x14ac:dyDescent="0.2">
      <c r="C10266" s="209"/>
      <c r="D10266" s="209"/>
      <c r="E10266" s="209"/>
      <c r="J10266" s="124"/>
    </row>
    <row r="10267" spans="3:10" x14ac:dyDescent="0.2">
      <c r="C10267" s="209"/>
      <c r="D10267" s="209"/>
      <c r="E10267" s="209"/>
      <c r="J10267" s="124"/>
    </row>
    <row r="10268" spans="3:10" x14ac:dyDescent="0.2">
      <c r="C10268" s="209"/>
      <c r="D10268" s="209"/>
      <c r="E10268" s="209"/>
      <c r="J10268" s="124"/>
    </row>
    <row r="10269" spans="3:10" x14ac:dyDescent="0.2">
      <c r="C10269" s="209"/>
      <c r="D10269" s="209"/>
      <c r="E10269" s="209"/>
      <c r="J10269" s="124"/>
    </row>
    <row r="10270" spans="3:10" x14ac:dyDescent="0.2">
      <c r="C10270" s="209"/>
      <c r="D10270" s="209"/>
      <c r="E10270" s="209"/>
      <c r="J10270" s="124"/>
    </row>
    <row r="10271" spans="3:10" x14ac:dyDescent="0.2">
      <c r="C10271" s="209"/>
      <c r="D10271" s="209"/>
      <c r="E10271" s="209"/>
      <c r="J10271" s="124"/>
    </row>
    <row r="10272" spans="3:10" x14ac:dyDescent="0.2">
      <c r="C10272" s="209"/>
      <c r="D10272" s="209"/>
      <c r="E10272" s="209"/>
      <c r="J10272" s="124"/>
    </row>
    <row r="10273" spans="3:10" x14ac:dyDescent="0.2">
      <c r="C10273" s="209"/>
      <c r="D10273" s="209"/>
      <c r="E10273" s="209"/>
      <c r="J10273" s="124"/>
    </row>
    <row r="10274" spans="3:10" x14ac:dyDescent="0.2">
      <c r="C10274" s="209"/>
      <c r="D10274" s="209"/>
      <c r="E10274" s="209"/>
      <c r="J10274" s="124"/>
    </row>
    <row r="10275" spans="3:10" x14ac:dyDescent="0.2">
      <c r="C10275" s="209"/>
      <c r="D10275" s="209"/>
      <c r="E10275" s="209"/>
      <c r="J10275" s="124"/>
    </row>
    <row r="10276" spans="3:10" x14ac:dyDescent="0.2">
      <c r="C10276" s="209"/>
      <c r="D10276" s="209"/>
      <c r="E10276" s="209"/>
      <c r="J10276" s="124"/>
    </row>
    <row r="10277" spans="3:10" x14ac:dyDescent="0.2">
      <c r="C10277" s="209"/>
      <c r="D10277" s="209"/>
      <c r="E10277" s="209"/>
      <c r="J10277" s="124"/>
    </row>
    <row r="10278" spans="3:10" x14ac:dyDescent="0.2">
      <c r="C10278" s="209"/>
      <c r="D10278" s="209"/>
      <c r="E10278" s="209"/>
      <c r="J10278" s="124"/>
    </row>
    <row r="10279" spans="3:10" x14ac:dyDescent="0.2">
      <c r="C10279" s="209"/>
      <c r="D10279" s="209"/>
      <c r="E10279" s="209"/>
      <c r="J10279" s="124"/>
    </row>
    <row r="10280" spans="3:10" x14ac:dyDescent="0.2">
      <c r="C10280" s="209"/>
      <c r="D10280" s="209"/>
      <c r="E10280" s="209"/>
      <c r="J10280" s="124"/>
    </row>
    <row r="10281" spans="3:10" x14ac:dyDescent="0.2">
      <c r="C10281" s="209"/>
      <c r="D10281" s="209"/>
      <c r="E10281" s="209"/>
      <c r="J10281" s="124"/>
    </row>
    <row r="10282" spans="3:10" x14ac:dyDescent="0.2">
      <c r="C10282" s="209"/>
      <c r="D10282" s="209"/>
      <c r="E10282" s="209"/>
      <c r="J10282" s="124"/>
    </row>
    <row r="10283" spans="3:10" x14ac:dyDescent="0.2">
      <c r="C10283" s="209"/>
      <c r="D10283" s="209"/>
      <c r="E10283" s="209"/>
      <c r="J10283" s="124"/>
    </row>
    <row r="10284" spans="3:10" x14ac:dyDescent="0.2">
      <c r="C10284" s="209"/>
      <c r="D10284" s="209"/>
      <c r="E10284" s="209"/>
      <c r="J10284" s="124"/>
    </row>
    <row r="10285" spans="3:10" x14ac:dyDescent="0.2">
      <c r="C10285" s="209"/>
      <c r="D10285" s="209"/>
      <c r="E10285" s="209"/>
      <c r="J10285" s="124"/>
    </row>
    <row r="10286" spans="3:10" x14ac:dyDescent="0.2">
      <c r="C10286" s="209"/>
      <c r="D10286" s="209"/>
      <c r="E10286" s="209"/>
      <c r="J10286" s="124"/>
    </row>
    <row r="10287" spans="3:10" x14ac:dyDescent="0.2">
      <c r="C10287" s="209"/>
      <c r="D10287" s="209"/>
      <c r="E10287" s="209"/>
      <c r="J10287" s="124"/>
    </row>
    <row r="10288" spans="3:10" x14ac:dyDescent="0.2">
      <c r="C10288" s="209"/>
      <c r="D10288" s="209"/>
      <c r="E10288" s="209"/>
      <c r="J10288" s="124"/>
    </row>
    <row r="10289" spans="3:10" x14ac:dyDescent="0.2">
      <c r="C10289" s="209"/>
      <c r="D10289" s="209"/>
      <c r="E10289" s="209"/>
      <c r="J10289" s="124"/>
    </row>
    <row r="10290" spans="3:10" x14ac:dyDescent="0.2">
      <c r="C10290" s="209"/>
      <c r="D10290" s="209"/>
      <c r="E10290" s="209"/>
      <c r="J10290" s="124"/>
    </row>
    <row r="10291" spans="3:10" x14ac:dyDescent="0.2">
      <c r="C10291" s="209"/>
      <c r="D10291" s="209"/>
      <c r="E10291" s="209"/>
      <c r="J10291" s="124"/>
    </row>
    <row r="10292" spans="3:10" x14ac:dyDescent="0.2">
      <c r="C10292" s="209"/>
      <c r="D10292" s="209"/>
      <c r="E10292" s="209"/>
      <c r="J10292" s="124"/>
    </row>
    <row r="10293" spans="3:10" x14ac:dyDescent="0.2">
      <c r="C10293" s="209"/>
      <c r="D10293" s="209"/>
      <c r="E10293" s="209"/>
      <c r="J10293" s="124"/>
    </row>
    <row r="10294" spans="3:10" x14ac:dyDescent="0.2">
      <c r="C10294" s="209"/>
      <c r="D10294" s="209"/>
      <c r="E10294" s="209"/>
      <c r="J10294" s="124"/>
    </row>
    <row r="10295" spans="3:10" x14ac:dyDescent="0.2">
      <c r="C10295" s="209"/>
      <c r="D10295" s="209"/>
      <c r="E10295" s="209"/>
      <c r="J10295" s="124"/>
    </row>
    <row r="10296" spans="3:10" x14ac:dyDescent="0.2">
      <c r="C10296" s="209"/>
      <c r="D10296" s="209"/>
      <c r="E10296" s="209"/>
      <c r="J10296" s="124"/>
    </row>
    <row r="10297" spans="3:10" x14ac:dyDescent="0.2">
      <c r="C10297" s="209"/>
      <c r="D10297" s="209"/>
      <c r="E10297" s="209"/>
      <c r="J10297" s="124"/>
    </row>
    <row r="10298" spans="3:10" x14ac:dyDescent="0.2">
      <c r="C10298" s="209"/>
      <c r="D10298" s="209"/>
      <c r="E10298" s="209"/>
      <c r="J10298" s="124"/>
    </row>
    <row r="10299" spans="3:10" x14ac:dyDescent="0.2">
      <c r="C10299" s="209"/>
      <c r="D10299" s="209"/>
      <c r="E10299" s="209"/>
      <c r="J10299" s="124"/>
    </row>
    <row r="10300" spans="3:10" x14ac:dyDescent="0.2">
      <c r="C10300" s="209"/>
      <c r="D10300" s="209"/>
      <c r="E10300" s="209"/>
      <c r="J10300" s="124"/>
    </row>
    <row r="10301" spans="3:10" x14ac:dyDescent="0.2">
      <c r="C10301" s="209"/>
      <c r="D10301" s="209"/>
      <c r="E10301" s="209"/>
      <c r="J10301" s="124"/>
    </row>
    <row r="10302" spans="3:10" x14ac:dyDescent="0.2">
      <c r="C10302" s="209"/>
      <c r="D10302" s="209"/>
      <c r="E10302" s="209"/>
      <c r="J10302" s="124"/>
    </row>
    <row r="10303" spans="3:10" x14ac:dyDescent="0.2">
      <c r="C10303" s="209"/>
      <c r="D10303" s="209"/>
      <c r="E10303" s="209"/>
      <c r="J10303" s="124"/>
    </row>
    <row r="10304" spans="3:10" x14ac:dyDescent="0.2">
      <c r="C10304" s="209"/>
      <c r="D10304" s="209"/>
      <c r="E10304" s="209"/>
      <c r="J10304" s="124"/>
    </row>
    <row r="10305" spans="3:10" x14ac:dyDescent="0.2">
      <c r="C10305" s="209"/>
      <c r="D10305" s="209"/>
      <c r="E10305" s="209"/>
      <c r="J10305" s="124"/>
    </row>
    <row r="10306" spans="3:10" x14ac:dyDescent="0.2">
      <c r="C10306" s="209"/>
      <c r="D10306" s="209"/>
      <c r="E10306" s="209"/>
      <c r="J10306" s="124"/>
    </row>
    <row r="10307" spans="3:10" x14ac:dyDescent="0.2">
      <c r="C10307" s="209"/>
      <c r="D10307" s="209"/>
      <c r="E10307" s="209"/>
      <c r="J10307" s="124"/>
    </row>
    <row r="10308" spans="3:10" x14ac:dyDescent="0.2">
      <c r="C10308" s="209"/>
      <c r="D10308" s="209"/>
      <c r="E10308" s="209"/>
      <c r="J10308" s="124"/>
    </row>
    <row r="10309" spans="3:10" x14ac:dyDescent="0.2">
      <c r="C10309" s="209"/>
      <c r="D10309" s="209"/>
      <c r="E10309" s="209"/>
      <c r="J10309" s="124"/>
    </row>
    <row r="10310" spans="3:10" x14ac:dyDescent="0.2">
      <c r="C10310" s="209"/>
      <c r="D10310" s="209"/>
      <c r="E10310" s="209"/>
      <c r="J10310" s="124"/>
    </row>
    <row r="10311" spans="3:10" x14ac:dyDescent="0.2">
      <c r="C10311" s="209"/>
      <c r="D10311" s="209"/>
      <c r="E10311" s="209"/>
      <c r="J10311" s="124"/>
    </row>
    <row r="10312" spans="3:10" x14ac:dyDescent="0.2">
      <c r="C10312" s="209"/>
      <c r="D10312" s="209"/>
      <c r="E10312" s="209"/>
      <c r="J10312" s="124"/>
    </row>
    <row r="10313" spans="3:10" x14ac:dyDescent="0.2">
      <c r="C10313" s="209"/>
      <c r="D10313" s="209"/>
      <c r="E10313" s="209"/>
      <c r="J10313" s="124"/>
    </row>
    <row r="10314" spans="3:10" x14ac:dyDescent="0.2">
      <c r="C10314" s="209"/>
      <c r="D10314" s="209"/>
      <c r="E10314" s="209"/>
      <c r="J10314" s="124"/>
    </row>
    <row r="10315" spans="3:10" x14ac:dyDescent="0.2">
      <c r="C10315" s="209"/>
      <c r="D10315" s="209"/>
      <c r="E10315" s="209"/>
      <c r="J10315" s="124"/>
    </row>
    <row r="10316" spans="3:10" x14ac:dyDescent="0.2">
      <c r="C10316" s="209"/>
      <c r="D10316" s="209"/>
      <c r="E10316" s="209"/>
      <c r="J10316" s="124"/>
    </row>
    <row r="10317" spans="3:10" x14ac:dyDescent="0.2">
      <c r="C10317" s="209"/>
      <c r="D10317" s="209"/>
      <c r="E10317" s="209"/>
      <c r="J10317" s="124"/>
    </row>
    <row r="10318" spans="3:10" x14ac:dyDescent="0.2">
      <c r="C10318" s="209"/>
      <c r="D10318" s="209"/>
      <c r="E10318" s="209"/>
      <c r="J10318" s="124"/>
    </row>
    <row r="10319" spans="3:10" x14ac:dyDescent="0.2">
      <c r="C10319" s="209"/>
      <c r="D10319" s="209"/>
      <c r="E10319" s="209"/>
      <c r="J10319" s="124"/>
    </row>
    <row r="10320" spans="3:10" x14ac:dyDescent="0.2">
      <c r="C10320" s="209"/>
      <c r="D10320" s="209"/>
      <c r="E10320" s="209"/>
      <c r="J10320" s="124"/>
    </row>
    <row r="10321" spans="3:10" x14ac:dyDescent="0.2">
      <c r="C10321" s="209"/>
      <c r="D10321" s="209"/>
      <c r="E10321" s="209"/>
      <c r="J10321" s="124"/>
    </row>
    <row r="10322" spans="3:10" x14ac:dyDescent="0.2">
      <c r="C10322" s="209"/>
      <c r="D10322" s="209"/>
      <c r="E10322" s="209"/>
      <c r="J10322" s="124"/>
    </row>
    <row r="10323" spans="3:10" x14ac:dyDescent="0.2">
      <c r="C10323" s="209"/>
      <c r="D10323" s="209"/>
      <c r="E10323" s="209"/>
      <c r="J10323" s="124"/>
    </row>
    <row r="10324" spans="3:10" x14ac:dyDescent="0.2">
      <c r="C10324" s="209"/>
      <c r="D10324" s="209"/>
      <c r="E10324" s="209"/>
      <c r="J10324" s="124"/>
    </row>
    <row r="10325" spans="3:10" x14ac:dyDescent="0.2">
      <c r="C10325" s="209"/>
      <c r="D10325" s="209"/>
      <c r="E10325" s="209"/>
      <c r="J10325" s="124"/>
    </row>
    <row r="10326" spans="3:10" x14ac:dyDescent="0.2">
      <c r="C10326" s="209"/>
      <c r="D10326" s="209"/>
      <c r="E10326" s="209"/>
      <c r="J10326" s="124"/>
    </row>
    <row r="10327" spans="3:10" x14ac:dyDescent="0.2">
      <c r="C10327" s="209"/>
      <c r="D10327" s="209"/>
      <c r="E10327" s="209"/>
      <c r="J10327" s="124"/>
    </row>
    <row r="10328" spans="3:10" x14ac:dyDescent="0.2">
      <c r="C10328" s="209"/>
      <c r="D10328" s="209"/>
      <c r="E10328" s="209"/>
      <c r="J10328" s="124"/>
    </row>
    <row r="10329" spans="3:10" x14ac:dyDescent="0.2">
      <c r="C10329" s="209"/>
      <c r="D10329" s="209"/>
      <c r="E10329" s="209"/>
      <c r="J10329" s="124"/>
    </row>
    <row r="10330" spans="3:10" x14ac:dyDescent="0.2">
      <c r="C10330" s="209"/>
      <c r="D10330" s="209"/>
      <c r="E10330" s="209"/>
      <c r="J10330" s="124"/>
    </row>
    <row r="10331" spans="3:10" x14ac:dyDescent="0.2">
      <c r="C10331" s="209"/>
      <c r="D10331" s="209"/>
      <c r="E10331" s="209"/>
      <c r="J10331" s="124"/>
    </row>
    <row r="10332" spans="3:10" x14ac:dyDescent="0.2">
      <c r="C10332" s="209"/>
      <c r="D10332" s="209"/>
      <c r="E10332" s="209"/>
      <c r="J10332" s="124"/>
    </row>
    <row r="10333" spans="3:10" x14ac:dyDescent="0.2">
      <c r="C10333" s="209"/>
      <c r="D10333" s="209"/>
      <c r="E10333" s="209"/>
      <c r="J10333" s="124"/>
    </row>
    <row r="10334" spans="3:10" x14ac:dyDescent="0.2">
      <c r="C10334" s="209"/>
      <c r="D10334" s="209"/>
      <c r="E10334" s="209"/>
      <c r="J10334" s="124"/>
    </row>
    <row r="10335" spans="3:10" x14ac:dyDescent="0.2">
      <c r="C10335" s="209"/>
      <c r="D10335" s="209"/>
      <c r="E10335" s="209"/>
      <c r="J10335" s="124"/>
    </row>
    <row r="10336" spans="3:10" x14ac:dyDescent="0.2">
      <c r="C10336" s="209"/>
      <c r="D10336" s="209"/>
      <c r="E10336" s="209"/>
      <c r="J10336" s="124"/>
    </row>
    <row r="10337" spans="3:10" x14ac:dyDescent="0.2">
      <c r="C10337" s="209"/>
      <c r="D10337" s="209"/>
      <c r="E10337" s="209"/>
      <c r="J10337" s="124"/>
    </row>
    <row r="10338" spans="3:10" x14ac:dyDescent="0.2">
      <c r="C10338" s="209"/>
      <c r="D10338" s="209"/>
      <c r="E10338" s="209"/>
      <c r="J10338" s="124"/>
    </row>
    <row r="10339" spans="3:10" x14ac:dyDescent="0.2">
      <c r="C10339" s="209"/>
      <c r="D10339" s="209"/>
      <c r="E10339" s="209"/>
      <c r="J10339" s="124"/>
    </row>
    <row r="10340" spans="3:10" x14ac:dyDescent="0.2">
      <c r="C10340" s="209"/>
      <c r="D10340" s="209"/>
      <c r="E10340" s="209"/>
      <c r="J10340" s="124"/>
    </row>
    <row r="10341" spans="3:10" x14ac:dyDescent="0.2">
      <c r="C10341" s="209"/>
      <c r="D10341" s="209"/>
      <c r="E10341" s="209"/>
      <c r="J10341" s="124"/>
    </row>
    <row r="10342" spans="3:10" x14ac:dyDescent="0.2">
      <c r="C10342" s="209"/>
      <c r="D10342" s="209"/>
      <c r="E10342" s="209"/>
      <c r="J10342" s="124"/>
    </row>
    <row r="10343" spans="3:10" x14ac:dyDescent="0.2">
      <c r="C10343" s="209"/>
      <c r="D10343" s="209"/>
      <c r="E10343" s="209"/>
      <c r="J10343" s="124"/>
    </row>
    <row r="10344" spans="3:10" x14ac:dyDescent="0.2">
      <c r="C10344" s="209"/>
      <c r="D10344" s="209"/>
      <c r="E10344" s="209"/>
      <c r="J10344" s="124"/>
    </row>
    <row r="10345" spans="3:10" x14ac:dyDescent="0.2">
      <c r="C10345" s="209"/>
      <c r="D10345" s="209"/>
      <c r="E10345" s="209"/>
      <c r="J10345" s="124"/>
    </row>
    <row r="10346" spans="3:10" x14ac:dyDescent="0.2">
      <c r="C10346" s="209"/>
      <c r="D10346" s="209"/>
      <c r="E10346" s="209"/>
      <c r="J10346" s="124"/>
    </row>
    <row r="10347" spans="3:10" x14ac:dyDescent="0.2">
      <c r="C10347" s="209"/>
      <c r="D10347" s="209"/>
      <c r="E10347" s="209"/>
      <c r="J10347" s="124"/>
    </row>
    <row r="10348" spans="3:10" x14ac:dyDescent="0.2">
      <c r="C10348" s="209"/>
      <c r="D10348" s="209"/>
      <c r="E10348" s="209"/>
      <c r="J10348" s="124"/>
    </row>
    <row r="10349" spans="3:10" x14ac:dyDescent="0.2">
      <c r="C10349" s="209"/>
      <c r="D10349" s="209"/>
      <c r="E10349" s="209"/>
      <c r="J10349" s="124"/>
    </row>
    <row r="10350" spans="3:10" x14ac:dyDescent="0.2">
      <c r="C10350" s="209"/>
      <c r="D10350" s="209"/>
      <c r="E10350" s="209"/>
      <c r="J10350" s="124"/>
    </row>
    <row r="10351" spans="3:10" x14ac:dyDescent="0.2">
      <c r="C10351" s="209"/>
      <c r="D10351" s="209"/>
      <c r="E10351" s="209"/>
      <c r="J10351" s="124"/>
    </row>
    <row r="10352" spans="3:10" x14ac:dyDescent="0.2">
      <c r="C10352" s="209"/>
      <c r="D10352" s="209"/>
      <c r="E10352" s="209"/>
      <c r="J10352" s="124"/>
    </row>
    <row r="10353" spans="3:10" x14ac:dyDescent="0.2">
      <c r="C10353" s="209"/>
      <c r="D10353" s="209"/>
      <c r="E10353" s="209"/>
      <c r="J10353" s="124"/>
    </row>
    <row r="10354" spans="3:10" x14ac:dyDescent="0.2">
      <c r="C10354" s="209"/>
      <c r="D10354" s="209"/>
      <c r="E10354" s="209"/>
      <c r="J10354" s="124"/>
    </row>
    <row r="10355" spans="3:10" x14ac:dyDescent="0.2">
      <c r="C10355" s="209"/>
      <c r="D10355" s="209"/>
      <c r="E10355" s="209"/>
      <c r="J10355" s="124"/>
    </row>
    <row r="10356" spans="3:10" x14ac:dyDescent="0.2">
      <c r="C10356" s="209"/>
      <c r="D10356" s="209"/>
      <c r="E10356" s="209"/>
      <c r="J10356" s="124"/>
    </row>
    <row r="10357" spans="3:10" x14ac:dyDescent="0.2">
      <c r="C10357" s="209"/>
      <c r="D10357" s="209"/>
      <c r="E10357" s="209"/>
      <c r="J10357" s="124"/>
    </row>
    <row r="10358" spans="3:10" x14ac:dyDescent="0.2">
      <c r="C10358" s="209"/>
      <c r="D10358" s="209"/>
      <c r="E10358" s="209"/>
      <c r="J10358" s="124"/>
    </row>
    <row r="10359" spans="3:10" x14ac:dyDescent="0.2">
      <c r="C10359" s="209"/>
      <c r="D10359" s="209"/>
      <c r="E10359" s="209"/>
      <c r="J10359" s="124"/>
    </row>
    <row r="10360" spans="3:10" x14ac:dyDescent="0.2">
      <c r="C10360" s="209"/>
      <c r="D10360" s="209"/>
      <c r="E10360" s="209"/>
      <c r="J10360" s="124"/>
    </row>
    <row r="10361" spans="3:10" x14ac:dyDescent="0.2">
      <c r="C10361" s="209"/>
      <c r="D10361" s="209"/>
      <c r="E10361" s="209"/>
      <c r="J10361" s="124"/>
    </row>
    <row r="10362" spans="3:10" x14ac:dyDescent="0.2">
      <c r="C10362" s="209"/>
      <c r="D10362" s="209"/>
      <c r="E10362" s="209"/>
      <c r="J10362" s="124"/>
    </row>
    <row r="10363" spans="3:10" x14ac:dyDescent="0.2">
      <c r="C10363" s="209"/>
      <c r="D10363" s="209"/>
      <c r="E10363" s="209"/>
      <c r="J10363" s="124"/>
    </row>
    <row r="10364" spans="3:10" x14ac:dyDescent="0.2">
      <c r="C10364" s="209"/>
      <c r="D10364" s="209"/>
      <c r="E10364" s="209"/>
      <c r="J10364" s="124"/>
    </row>
    <row r="10365" spans="3:10" x14ac:dyDescent="0.2">
      <c r="C10365" s="209"/>
      <c r="D10365" s="209"/>
      <c r="E10365" s="209"/>
      <c r="J10365" s="124"/>
    </row>
    <row r="10366" spans="3:10" x14ac:dyDescent="0.2">
      <c r="C10366" s="209"/>
      <c r="D10366" s="209"/>
      <c r="E10366" s="209"/>
      <c r="J10366" s="124"/>
    </row>
    <row r="10367" spans="3:10" x14ac:dyDescent="0.2">
      <c r="C10367" s="209"/>
      <c r="D10367" s="209"/>
      <c r="E10367" s="209"/>
      <c r="J10367" s="124"/>
    </row>
    <row r="10368" spans="3:10" x14ac:dyDescent="0.2">
      <c r="C10368" s="209"/>
      <c r="D10368" s="209"/>
      <c r="E10368" s="209"/>
      <c r="J10368" s="124"/>
    </row>
    <row r="10369" spans="3:10" x14ac:dyDescent="0.2">
      <c r="C10369" s="209"/>
      <c r="D10369" s="209"/>
      <c r="E10369" s="209"/>
      <c r="J10369" s="124"/>
    </row>
    <row r="10370" spans="3:10" x14ac:dyDescent="0.2">
      <c r="C10370" s="209"/>
      <c r="D10370" s="209"/>
      <c r="E10370" s="209"/>
      <c r="J10370" s="124"/>
    </row>
    <row r="10371" spans="3:10" x14ac:dyDescent="0.2">
      <c r="C10371" s="209"/>
      <c r="D10371" s="209"/>
      <c r="E10371" s="209"/>
      <c r="J10371" s="124"/>
    </row>
    <row r="10372" spans="3:10" x14ac:dyDescent="0.2">
      <c r="C10372" s="209"/>
      <c r="D10372" s="209"/>
      <c r="E10372" s="209"/>
      <c r="J10372" s="124"/>
    </row>
    <row r="10373" spans="3:10" x14ac:dyDescent="0.2">
      <c r="C10373" s="209"/>
      <c r="D10373" s="209"/>
      <c r="E10373" s="209"/>
      <c r="J10373" s="124"/>
    </row>
    <row r="10374" spans="3:10" x14ac:dyDescent="0.2">
      <c r="C10374" s="209"/>
      <c r="D10374" s="209"/>
      <c r="E10374" s="209"/>
      <c r="J10374" s="124"/>
    </row>
    <row r="10375" spans="3:10" x14ac:dyDescent="0.2">
      <c r="C10375" s="209"/>
      <c r="D10375" s="209"/>
      <c r="E10375" s="209"/>
      <c r="J10375" s="124"/>
    </row>
    <row r="10376" spans="3:10" x14ac:dyDescent="0.2">
      <c r="C10376" s="209"/>
      <c r="D10376" s="209"/>
      <c r="E10376" s="209"/>
      <c r="J10376" s="124"/>
    </row>
    <row r="10377" spans="3:10" x14ac:dyDescent="0.2">
      <c r="C10377" s="209"/>
      <c r="D10377" s="209"/>
      <c r="E10377" s="209"/>
      <c r="J10377" s="124"/>
    </row>
    <row r="10378" spans="3:10" x14ac:dyDescent="0.2">
      <c r="C10378" s="209"/>
      <c r="D10378" s="209"/>
      <c r="E10378" s="209"/>
      <c r="J10378" s="124"/>
    </row>
    <row r="10379" spans="3:10" x14ac:dyDescent="0.2">
      <c r="C10379" s="209"/>
      <c r="D10379" s="209"/>
      <c r="E10379" s="209"/>
      <c r="J10379" s="124"/>
    </row>
    <row r="10380" spans="3:10" x14ac:dyDescent="0.2">
      <c r="C10380" s="209"/>
      <c r="D10380" s="209"/>
      <c r="E10380" s="209"/>
      <c r="J10380" s="124"/>
    </row>
    <row r="10381" spans="3:10" x14ac:dyDescent="0.2">
      <c r="C10381" s="209"/>
      <c r="D10381" s="209"/>
      <c r="E10381" s="209"/>
      <c r="J10381" s="124"/>
    </row>
    <row r="10382" spans="3:10" x14ac:dyDescent="0.2">
      <c r="C10382" s="209"/>
      <c r="D10382" s="209"/>
      <c r="E10382" s="209"/>
      <c r="J10382" s="124"/>
    </row>
    <row r="10383" spans="3:10" x14ac:dyDescent="0.2">
      <c r="C10383" s="209"/>
      <c r="D10383" s="209"/>
      <c r="E10383" s="209"/>
      <c r="J10383" s="124"/>
    </row>
    <row r="10384" spans="3:10" x14ac:dyDescent="0.2">
      <c r="C10384" s="209"/>
      <c r="D10384" s="209"/>
      <c r="E10384" s="209"/>
      <c r="J10384" s="124"/>
    </row>
    <row r="10385" spans="3:10" x14ac:dyDescent="0.2">
      <c r="C10385" s="209"/>
      <c r="D10385" s="209"/>
      <c r="E10385" s="209"/>
      <c r="J10385" s="124"/>
    </row>
    <row r="10386" spans="3:10" x14ac:dyDescent="0.2">
      <c r="C10386" s="209"/>
      <c r="D10386" s="209"/>
      <c r="E10386" s="209"/>
      <c r="J10386" s="124"/>
    </row>
    <row r="10387" spans="3:10" x14ac:dyDescent="0.2">
      <c r="C10387" s="209"/>
      <c r="D10387" s="209"/>
      <c r="E10387" s="209"/>
      <c r="J10387" s="124"/>
    </row>
    <row r="10388" spans="3:10" x14ac:dyDescent="0.2">
      <c r="C10388" s="209"/>
      <c r="D10388" s="209"/>
      <c r="E10388" s="209"/>
      <c r="J10388" s="124"/>
    </row>
    <row r="10389" spans="3:10" x14ac:dyDescent="0.2">
      <c r="C10389" s="209"/>
      <c r="D10389" s="209"/>
      <c r="E10389" s="209"/>
      <c r="J10389" s="124"/>
    </row>
    <row r="10390" spans="3:10" x14ac:dyDescent="0.2">
      <c r="C10390" s="209"/>
      <c r="D10390" s="209"/>
      <c r="E10390" s="209"/>
      <c r="J10390" s="124"/>
    </row>
    <row r="10391" spans="3:10" x14ac:dyDescent="0.2">
      <c r="C10391" s="209"/>
      <c r="D10391" s="209"/>
      <c r="E10391" s="209"/>
      <c r="J10391" s="124"/>
    </row>
    <row r="10392" spans="3:10" x14ac:dyDescent="0.2">
      <c r="C10392" s="209"/>
      <c r="D10392" s="209"/>
      <c r="E10392" s="209"/>
      <c r="J10392" s="124"/>
    </row>
    <row r="10393" spans="3:10" x14ac:dyDescent="0.2">
      <c r="C10393" s="209"/>
      <c r="D10393" s="209"/>
      <c r="E10393" s="209"/>
      <c r="J10393" s="124"/>
    </row>
    <row r="10394" spans="3:10" x14ac:dyDescent="0.2">
      <c r="C10394" s="209"/>
      <c r="D10394" s="209"/>
      <c r="E10394" s="209"/>
      <c r="J10394" s="124"/>
    </row>
    <row r="10395" spans="3:10" x14ac:dyDescent="0.2">
      <c r="C10395" s="209"/>
      <c r="D10395" s="209"/>
      <c r="E10395" s="209"/>
      <c r="J10395" s="124"/>
    </row>
    <row r="10396" spans="3:10" x14ac:dyDescent="0.2">
      <c r="C10396" s="209"/>
      <c r="D10396" s="209"/>
      <c r="E10396" s="209"/>
      <c r="J10396" s="124"/>
    </row>
    <row r="10397" spans="3:10" x14ac:dyDescent="0.2">
      <c r="C10397" s="209"/>
      <c r="D10397" s="209"/>
      <c r="E10397" s="209"/>
      <c r="J10397" s="124"/>
    </row>
    <row r="10398" spans="3:10" x14ac:dyDescent="0.2">
      <c r="C10398" s="209"/>
      <c r="D10398" s="209"/>
      <c r="E10398" s="209"/>
      <c r="J10398" s="124"/>
    </row>
    <row r="10399" spans="3:10" x14ac:dyDescent="0.2">
      <c r="C10399" s="209"/>
      <c r="D10399" s="209"/>
      <c r="E10399" s="209"/>
      <c r="J10399" s="124"/>
    </row>
    <row r="10400" spans="3:10" x14ac:dyDescent="0.2">
      <c r="C10400" s="209"/>
      <c r="D10400" s="209"/>
      <c r="E10400" s="209"/>
      <c r="J10400" s="124"/>
    </row>
    <row r="10401" spans="3:10" x14ac:dyDescent="0.2">
      <c r="C10401" s="209"/>
      <c r="D10401" s="209"/>
      <c r="E10401" s="209"/>
      <c r="J10401" s="124"/>
    </row>
    <row r="10402" spans="3:10" x14ac:dyDescent="0.2">
      <c r="C10402" s="209"/>
      <c r="D10402" s="209"/>
      <c r="E10402" s="209"/>
      <c r="J10402" s="124"/>
    </row>
    <row r="10403" spans="3:10" x14ac:dyDescent="0.2">
      <c r="C10403" s="209"/>
      <c r="D10403" s="209"/>
      <c r="E10403" s="209"/>
      <c r="J10403" s="124"/>
    </row>
    <row r="10404" spans="3:10" x14ac:dyDescent="0.2">
      <c r="C10404" s="209"/>
      <c r="D10404" s="209"/>
      <c r="E10404" s="209"/>
      <c r="J10404" s="124"/>
    </row>
    <row r="10405" spans="3:10" x14ac:dyDescent="0.2">
      <c r="C10405" s="209"/>
      <c r="D10405" s="209"/>
      <c r="E10405" s="209"/>
      <c r="J10405" s="124"/>
    </row>
    <row r="10406" spans="3:10" x14ac:dyDescent="0.2">
      <c r="C10406" s="209"/>
      <c r="D10406" s="209"/>
      <c r="E10406" s="209"/>
      <c r="J10406" s="124"/>
    </row>
    <row r="10407" spans="3:10" x14ac:dyDescent="0.2">
      <c r="C10407" s="209"/>
      <c r="D10407" s="209"/>
      <c r="E10407" s="209"/>
      <c r="J10407" s="124"/>
    </row>
    <row r="10408" spans="3:10" x14ac:dyDescent="0.2">
      <c r="C10408" s="209"/>
      <c r="D10408" s="209"/>
      <c r="E10408" s="209"/>
      <c r="J10408" s="124"/>
    </row>
    <row r="10409" spans="3:10" x14ac:dyDescent="0.2">
      <c r="C10409" s="209"/>
      <c r="D10409" s="209"/>
      <c r="E10409" s="209"/>
      <c r="J10409" s="124"/>
    </row>
    <row r="10410" spans="3:10" x14ac:dyDescent="0.2">
      <c r="C10410" s="209"/>
      <c r="D10410" s="209"/>
      <c r="E10410" s="209"/>
      <c r="J10410" s="124"/>
    </row>
    <row r="10411" spans="3:10" x14ac:dyDescent="0.2">
      <c r="C10411" s="209"/>
      <c r="D10411" s="209"/>
      <c r="E10411" s="209"/>
      <c r="J10411" s="124"/>
    </row>
    <row r="10412" spans="3:10" x14ac:dyDescent="0.2">
      <c r="C10412" s="209"/>
      <c r="D10412" s="209"/>
      <c r="E10412" s="209"/>
      <c r="J10412" s="124"/>
    </row>
    <row r="10413" spans="3:10" x14ac:dyDescent="0.2">
      <c r="C10413" s="209"/>
      <c r="D10413" s="209"/>
      <c r="E10413" s="209"/>
      <c r="J10413" s="124"/>
    </row>
    <row r="10414" spans="3:10" x14ac:dyDescent="0.2">
      <c r="C10414" s="209"/>
      <c r="D10414" s="209"/>
      <c r="E10414" s="209"/>
      <c r="J10414" s="124"/>
    </row>
    <row r="10415" spans="3:10" x14ac:dyDescent="0.2">
      <c r="C10415" s="209"/>
      <c r="D10415" s="209"/>
      <c r="E10415" s="209"/>
      <c r="J10415" s="124"/>
    </row>
    <row r="10416" spans="3:10" x14ac:dyDescent="0.2">
      <c r="C10416" s="209"/>
      <c r="D10416" s="209"/>
      <c r="E10416" s="209"/>
      <c r="J10416" s="124"/>
    </row>
    <row r="10417" spans="3:10" x14ac:dyDescent="0.2">
      <c r="C10417" s="209"/>
      <c r="D10417" s="209"/>
      <c r="E10417" s="209"/>
      <c r="J10417" s="124"/>
    </row>
    <row r="10418" spans="3:10" x14ac:dyDescent="0.2">
      <c r="C10418" s="209"/>
      <c r="D10418" s="209"/>
      <c r="E10418" s="209"/>
      <c r="J10418" s="124"/>
    </row>
    <row r="10419" spans="3:10" x14ac:dyDescent="0.2">
      <c r="C10419" s="209"/>
      <c r="D10419" s="209"/>
      <c r="E10419" s="209"/>
      <c r="J10419" s="124"/>
    </row>
    <row r="10420" spans="3:10" x14ac:dyDescent="0.2">
      <c r="C10420" s="209"/>
      <c r="D10420" s="209"/>
      <c r="E10420" s="209"/>
      <c r="J10420" s="124"/>
    </row>
    <row r="10421" spans="3:10" x14ac:dyDescent="0.2">
      <c r="C10421" s="209"/>
      <c r="D10421" s="209"/>
      <c r="E10421" s="209"/>
      <c r="J10421" s="124"/>
    </row>
    <row r="10422" spans="3:10" x14ac:dyDescent="0.2">
      <c r="C10422" s="209"/>
      <c r="D10422" s="209"/>
      <c r="E10422" s="209"/>
      <c r="J10422" s="124"/>
    </row>
    <row r="10423" spans="3:10" x14ac:dyDescent="0.2">
      <c r="C10423" s="209"/>
      <c r="D10423" s="209"/>
      <c r="E10423" s="209"/>
      <c r="J10423" s="124"/>
    </row>
    <row r="10424" spans="3:10" x14ac:dyDescent="0.2">
      <c r="C10424" s="209"/>
      <c r="D10424" s="209"/>
      <c r="E10424" s="209"/>
      <c r="J10424" s="124"/>
    </row>
    <row r="10425" spans="3:10" x14ac:dyDescent="0.2">
      <c r="C10425" s="209"/>
      <c r="D10425" s="209"/>
      <c r="E10425" s="209"/>
      <c r="J10425" s="124"/>
    </row>
    <row r="10426" spans="3:10" x14ac:dyDescent="0.2">
      <c r="C10426" s="209"/>
      <c r="D10426" s="209"/>
      <c r="E10426" s="209"/>
      <c r="J10426" s="124"/>
    </row>
    <row r="10427" spans="3:10" x14ac:dyDescent="0.2">
      <c r="C10427" s="209"/>
      <c r="D10427" s="209"/>
      <c r="E10427" s="209"/>
      <c r="J10427" s="124"/>
    </row>
    <row r="10428" spans="3:10" x14ac:dyDescent="0.2">
      <c r="C10428" s="209"/>
      <c r="D10428" s="209"/>
      <c r="E10428" s="209"/>
      <c r="J10428" s="124"/>
    </row>
    <row r="10429" spans="3:10" x14ac:dyDescent="0.2">
      <c r="C10429" s="209"/>
      <c r="D10429" s="209"/>
      <c r="E10429" s="209"/>
      <c r="J10429" s="124"/>
    </row>
    <row r="10430" spans="3:10" x14ac:dyDescent="0.2">
      <c r="C10430" s="209"/>
      <c r="D10430" s="209"/>
      <c r="E10430" s="209"/>
      <c r="J10430" s="124"/>
    </row>
    <row r="10431" spans="3:10" x14ac:dyDescent="0.2">
      <c r="C10431" s="209"/>
      <c r="D10431" s="209"/>
      <c r="E10431" s="209"/>
      <c r="J10431" s="124"/>
    </row>
    <row r="10432" spans="3:10" x14ac:dyDescent="0.2">
      <c r="C10432" s="209"/>
      <c r="D10432" s="209"/>
      <c r="E10432" s="209"/>
      <c r="J10432" s="124"/>
    </row>
    <row r="10433" spans="3:10" x14ac:dyDescent="0.2">
      <c r="C10433" s="209"/>
      <c r="D10433" s="209"/>
      <c r="E10433" s="209"/>
      <c r="J10433" s="124"/>
    </row>
    <row r="10434" spans="3:10" x14ac:dyDescent="0.2">
      <c r="C10434" s="209"/>
      <c r="D10434" s="209"/>
      <c r="E10434" s="209"/>
      <c r="J10434" s="124"/>
    </row>
    <row r="10435" spans="3:10" x14ac:dyDescent="0.2">
      <c r="C10435" s="209"/>
      <c r="D10435" s="209"/>
      <c r="E10435" s="209"/>
      <c r="J10435" s="124"/>
    </row>
    <row r="10436" spans="3:10" x14ac:dyDescent="0.2">
      <c r="C10436" s="209"/>
      <c r="D10436" s="209"/>
      <c r="E10436" s="209"/>
      <c r="J10436" s="124"/>
    </row>
    <row r="10437" spans="3:10" x14ac:dyDescent="0.2">
      <c r="C10437" s="209"/>
      <c r="D10437" s="209"/>
      <c r="E10437" s="209"/>
      <c r="J10437" s="124"/>
    </row>
    <row r="10438" spans="3:10" x14ac:dyDescent="0.2">
      <c r="C10438" s="209"/>
      <c r="D10438" s="209"/>
      <c r="E10438" s="209"/>
      <c r="J10438" s="124"/>
    </row>
    <row r="10439" spans="3:10" x14ac:dyDescent="0.2">
      <c r="C10439" s="209"/>
      <c r="D10439" s="209"/>
      <c r="E10439" s="209"/>
      <c r="J10439" s="124"/>
    </row>
    <row r="10440" spans="3:10" x14ac:dyDescent="0.2">
      <c r="C10440" s="209"/>
      <c r="D10440" s="209"/>
      <c r="E10440" s="209"/>
      <c r="J10440" s="124"/>
    </row>
    <row r="10441" spans="3:10" x14ac:dyDescent="0.2">
      <c r="C10441" s="209"/>
      <c r="D10441" s="209"/>
      <c r="E10441" s="209"/>
      <c r="J10441" s="124"/>
    </row>
    <row r="10442" spans="3:10" x14ac:dyDescent="0.2">
      <c r="C10442" s="209"/>
      <c r="D10442" s="209"/>
      <c r="E10442" s="209"/>
      <c r="J10442" s="124"/>
    </row>
    <row r="10443" spans="3:10" x14ac:dyDescent="0.2">
      <c r="C10443" s="209"/>
      <c r="D10443" s="209"/>
      <c r="E10443" s="209"/>
      <c r="J10443" s="124"/>
    </row>
    <row r="10444" spans="3:10" x14ac:dyDescent="0.2">
      <c r="C10444" s="209"/>
      <c r="D10444" s="209"/>
      <c r="E10444" s="209"/>
      <c r="J10444" s="124"/>
    </row>
    <row r="10445" spans="3:10" x14ac:dyDescent="0.2">
      <c r="C10445" s="209"/>
      <c r="D10445" s="209"/>
      <c r="E10445" s="209"/>
      <c r="J10445" s="124"/>
    </row>
    <row r="10446" spans="3:10" x14ac:dyDescent="0.2">
      <c r="C10446" s="209"/>
      <c r="D10446" s="209"/>
      <c r="E10446" s="209"/>
      <c r="J10446" s="124"/>
    </row>
    <row r="10447" spans="3:10" x14ac:dyDescent="0.2">
      <c r="C10447" s="209"/>
      <c r="D10447" s="209"/>
      <c r="E10447" s="209"/>
      <c r="J10447" s="124"/>
    </row>
    <row r="10448" spans="3:10" x14ac:dyDescent="0.2">
      <c r="C10448" s="209"/>
      <c r="D10448" s="209"/>
      <c r="E10448" s="209"/>
      <c r="J10448" s="124"/>
    </row>
    <row r="10449" spans="3:10" x14ac:dyDescent="0.2">
      <c r="C10449" s="209"/>
      <c r="D10449" s="209"/>
      <c r="E10449" s="209"/>
      <c r="J10449" s="124"/>
    </row>
    <row r="10450" spans="3:10" x14ac:dyDescent="0.2">
      <c r="C10450" s="209"/>
      <c r="D10450" s="209"/>
      <c r="E10450" s="209"/>
      <c r="J10450" s="124"/>
    </row>
    <row r="10451" spans="3:10" x14ac:dyDescent="0.2">
      <c r="C10451" s="209"/>
      <c r="D10451" s="209"/>
      <c r="E10451" s="209"/>
      <c r="J10451" s="124"/>
    </row>
    <row r="10452" spans="3:10" x14ac:dyDescent="0.2">
      <c r="C10452" s="209"/>
      <c r="D10452" s="209"/>
      <c r="E10452" s="209"/>
      <c r="J10452" s="124"/>
    </row>
    <row r="10453" spans="3:10" x14ac:dyDescent="0.2">
      <c r="C10453" s="209"/>
      <c r="D10453" s="209"/>
      <c r="E10453" s="209"/>
      <c r="J10453" s="124"/>
    </row>
    <row r="10454" spans="3:10" x14ac:dyDescent="0.2">
      <c r="C10454" s="209"/>
      <c r="D10454" s="209"/>
      <c r="E10454" s="209"/>
      <c r="J10454" s="124"/>
    </row>
    <row r="10455" spans="3:10" x14ac:dyDescent="0.2">
      <c r="C10455" s="209"/>
      <c r="D10455" s="209"/>
      <c r="E10455" s="209"/>
      <c r="J10455" s="124"/>
    </row>
    <row r="10456" spans="3:10" x14ac:dyDescent="0.2">
      <c r="C10456" s="209"/>
      <c r="D10456" s="209"/>
      <c r="E10456" s="209"/>
      <c r="J10456" s="124"/>
    </row>
    <row r="10457" spans="3:10" x14ac:dyDescent="0.2">
      <c r="C10457" s="209"/>
      <c r="D10457" s="209"/>
      <c r="E10457" s="209"/>
      <c r="J10457" s="124"/>
    </row>
    <row r="10458" spans="3:10" x14ac:dyDescent="0.2">
      <c r="C10458" s="209"/>
      <c r="D10458" s="209"/>
      <c r="E10458" s="209"/>
      <c r="J10458" s="124"/>
    </row>
    <row r="10459" spans="3:10" x14ac:dyDescent="0.2">
      <c r="C10459" s="209"/>
      <c r="D10459" s="209"/>
      <c r="E10459" s="209"/>
      <c r="J10459" s="124"/>
    </row>
    <row r="10460" spans="3:10" x14ac:dyDescent="0.2">
      <c r="C10460" s="209"/>
      <c r="D10460" s="209"/>
      <c r="E10460" s="209"/>
      <c r="J10460" s="124"/>
    </row>
    <row r="10461" spans="3:10" x14ac:dyDescent="0.2">
      <c r="C10461" s="209"/>
      <c r="D10461" s="209"/>
      <c r="E10461" s="209"/>
      <c r="J10461" s="124"/>
    </row>
    <row r="10462" spans="3:10" x14ac:dyDescent="0.2">
      <c r="C10462" s="209"/>
      <c r="D10462" s="209"/>
      <c r="E10462" s="209"/>
      <c r="J10462" s="124"/>
    </row>
    <row r="10463" spans="3:10" x14ac:dyDescent="0.2">
      <c r="C10463" s="209"/>
      <c r="D10463" s="209"/>
      <c r="E10463" s="209"/>
      <c r="J10463" s="124"/>
    </row>
    <row r="10464" spans="3:10" x14ac:dyDescent="0.2">
      <c r="C10464" s="209"/>
      <c r="D10464" s="209"/>
      <c r="E10464" s="209"/>
      <c r="J10464" s="124"/>
    </row>
    <row r="10465" spans="3:10" x14ac:dyDescent="0.2">
      <c r="C10465" s="209"/>
      <c r="D10465" s="209"/>
      <c r="E10465" s="209"/>
      <c r="J10465" s="124"/>
    </row>
    <row r="10466" spans="3:10" x14ac:dyDescent="0.2">
      <c r="C10466" s="209"/>
      <c r="D10466" s="209"/>
      <c r="E10466" s="209"/>
      <c r="J10466" s="124"/>
    </row>
    <row r="10467" spans="3:10" x14ac:dyDescent="0.2">
      <c r="C10467" s="209"/>
      <c r="D10467" s="209"/>
      <c r="E10467" s="209"/>
      <c r="J10467" s="124"/>
    </row>
    <row r="10468" spans="3:10" x14ac:dyDescent="0.2">
      <c r="C10468" s="209"/>
      <c r="D10468" s="209"/>
      <c r="E10468" s="209"/>
      <c r="J10468" s="124"/>
    </row>
    <row r="10469" spans="3:10" x14ac:dyDescent="0.2">
      <c r="C10469" s="209"/>
      <c r="D10469" s="209"/>
      <c r="E10469" s="209"/>
      <c r="J10469" s="124"/>
    </row>
    <row r="10470" spans="3:10" x14ac:dyDescent="0.2">
      <c r="C10470" s="209"/>
      <c r="D10470" s="209"/>
      <c r="E10470" s="209"/>
      <c r="J10470" s="124"/>
    </row>
    <row r="10471" spans="3:10" x14ac:dyDescent="0.2">
      <c r="C10471" s="209"/>
      <c r="D10471" s="209"/>
      <c r="E10471" s="209"/>
      <c r="J10471" s="124"/>
    </row>
    <row r="10472" spans="3:10" x14ac:dyDescent="0.2">
      <c r="C10472" s="209"/>
      <c r="D10472" s="209"/>
      <c r="E10472" s="209"/>
      <c r="J10472" s="124"/>
    </row>
    <row r="10473" spans="3:10" x14ac:dyDescent="0.2">
      <c r="C10473" s="209"/>
      <c r="D10473" s="209"/>
      <c r="E10473" s="209"/>
      <c r="J10473" s="124"/>
    </row>
    <row r="10474" spans="3:10" x14ac:dyDescent="0.2">
      <c r="C10474" s="209"/>
      <c r="D10474" s="209"/>
      <c r="E10474" s="209"/>
      <c r="J10474" s="124"/>
    </row>
    <row r="10475" spans="3:10" x14ac:dyDescent="0.2">
      <c r="C10475" s="209"/>
      <c r="D10475" s="209"/>
      <c r="E10475" s="209"/>
      <c r="J10475" s="124"/>
    </row>
    <row r="10476" spans="3:10" x14ac:dyDescent="0.2">
      <c r="C10476" s="209"/>
      <c r="D10476" s="209"/>
      <c r="E10476" s="209"/>
      <c r="J10476" s="124"/>
    </row>
    <row r="10477" spans="3:10" x14ac:dyDescent="0.2">
      <c r="C10477" s="209"/>
      <c r="D10477" s="209"/>
      <c r="E10477" s="209"/>
      <c r="J10477" s="124"/>
    </row>
    <row r="10478" spans="3:10" x14ac:dyDescent="0.2">
      <c r="C10478" s="209"/>
      <c r="D10478" s="209"/>
      <c r="E10478" s="209"/>
      <c r="J10478" s="124"/>
    </row>
    <row r="10479" spans="3:10" x14ac:dyDescent="0.2">
      <c r="C10479" s="209"/>
      <c r="D10479" s="209"/>
      <c r="E10479" s="209"/>
      <c r="J10479" s="124"/>
    </row>
    <row r="10480" spans="3:10" x14ac:dyDescent="0.2">
      <c r="C10480" s="209"/>
      <c r="D10480" s="209"/>
      <c r="E10480" s="209"/>
      <c r="J10480" s="124"/>
    </row>
    <row r="10481" spans="3:10" x14ac:dyDescent="0.2">
      <c r="C10481" s="209"/>
      <c r="D10481" s="209"/>
      <c r="E10481" s="209"/>
      <c r="J10481" s="124"/>
    </row>
    <row r="10482" spans="3:10" x14ac:dyDescent="0.2">
      <c r="C10482" s="209"/>
      <c r="D10482" s="209"/>
      <c r="E10482" s="209"/>
      <c r="J10482" s="124"/>
    </row>
    <row r="10483" spans="3:10" x14ac:dyDescent="0.2">
      <c r="C10483" s="209"/>
      <c r="D10483" s="209"/>
      <c r="E10483" s="209"/>
      <c r="J10483" s="124"/>
    </row>
    <row r="10484" spans="3:10" x14ac:dyDescent="0.2">
      <c r="C10484" s="209"/>
      <c r="D10484" s="209"/>
      <c r="E10484" s="209"/>
      <c r="J10484" s="124"/>
    </row>
    <row r="10485" spans="3:10" x14ac:dyDescent="0.2">
      <c r="C10485" s="209"/>
      <c r="D10485" s="209"/>
      <c r="E10485" s="209"/>
      <c r="J10485" s="124"/>
    </row>
    <row r="10486" spans="3:10" x14ac:dyDescent="0.2">
      <c r="C10486" s="209"/>
      <c r="D10486" s="209"/>
      <c r="E10486" s="209"/>
      <c r="J10486" s="124"/>
    </row>
    <row r="10487" spans="3:10" x14ac:dyDescent="0.2">
      <c r="C10487" s="209"/>
      <c r="D10487" s="209"/>
      <c r="E10487" s="209"/>
      <c r="J10487" s="124"/>
    </row>
    <row r="10488" spans="3:10" x14ac:dyDescent="0.2">
      <c r="C10488" s="209"/>
      <c r="D10488" s="209"/>
      <c r="E10488" s="209"/>
      <c r="J10488" s="124"/>
    </row>
    <row r="10489" spans="3:10" x14ac:dyDescent="0.2">
      <c r="C10489" s="209"/>
      <c r="D10489" s="209"/>
      <c r="E10489" s="209"/>
      <c r="J10489" s="124"/>
    </row>
    <row r="10490" spans="3:10" x14ac:dyDescent="0.2">
      <c r="C10490" s="209"/>
      <c r="D10490" s="209"/>
      <c r="E10490" s="209"/>
      <c r="J10490" s="124"/>
    </row>
    <row r="10491" spans="3:10" x14ac:dyDescent="0.2">
      <c r="C10491" s="209"/>
      <c r="D10491" s="209"/>
      <c r="E10491" s="209"/>
      <c r="J10491" s="124"/>
    </row>
    <row r="10492" spans="3:10" x14ac:dyDescent="0.2">
      <c r="C10492" s="209"/>
      <c r="D10492" s="209"/>
      <c r="E10492" s="209"/>
      <c r="J10492" s="124"/>
    </row>
    <row r="10493" spans="3:10" x14ac:dyDescent="0.2">
      <c r="C10493" s="209"/>
      <c r="D10493" s="209"/>
      <c r="E10493" s="209"/>
      <c r="J10493" s="124"/>
    </row>
    <row r="10494" spans="3:10" x14ac:dyDescent="0.2">
      <c r="C10494" s="209"/>
      <c r="D10494" s="209"/>
      <c r="E10494" s="209"/>
      <c r="J10494" s="124"/>
    </row>
    <row r="10495" spans="3:10" x14ac:dyDescent="0.2">
      <c r="C10495" s="209"/>
      <c r="D10495" s="209"/>
      <c r="E10495" s="209"/>
      <c r="J10495" s="124"/>
    </row>
    <row r="10496" spans="3:10" x14ac:dyDescent="0.2">
      <c r="C10496" s="209"/>
      <c r="D10496" s="209"/>
      <c r="E10496" s="209"/>
      <c r="J10496" s="124"/>
    </row>
    <row r="10497" spans="3:10" x14ac:dyDescent="0.2">
      <c r="C10497" s="209"/>
      <c r="D10497" s="209"/>
      <c r="E10497" s="209"/>
      <c r="J10497" s="124"/>
    </row>
    <row r="10498" spans="3:10" x14ac:dyDescent="0.2">
      <c r="C10498" s="209"/>
      <c r="D10498" s="209"/>
      <c r="E10498" s="209"/>
      <c r="J10498" s="124"/>
    </row>
    <row r="10499" spans="3:10" x14ac:dyDescent="0.2">
      <c r="C10499" s="209"/>
      <c r="D10499" s="209"/>
      <c r="E10499" s="209"/>
      <c r="J10499" s="124"/>
    </row>
    <row r="10500" spans="3:10" x14ac:dyDescent="0.2">
      <c r="C10500" s="209"/>
      <c r="D10500" s="209"/>
      <c r="E10500" s="209"/>
      <c r="J10500" s="124"/>
    </row>
    <row r="10501" spans="3:10" x14ac:dyDescent="0.2">
      <c r="C10501" s="209"/>
      <c r="D10501" s="209"/>
      <c r="E10501" s="209"/>
      <c r="J10501" s="124"/>
    </row>
    <row r="10502" spans="3:10" x14ac:dyDescent="0.2">
      <c r="C10502" s="209"/>
      <c r="D10502" s="209"/>
      <c r="E10502" s="209"/>
      <c r="J10502" s="124"/>
    </row>
    <row r="10503" spans="3:10" x14ac:dyDescent="0.2">
      <c r="C10503" s="209"/>
      <c r="D10503" s="209"/>
      <c r="E10503" s="209"/>
      <c r="J10503" s="124"/>
    </row>
    <row r="10504" spans="3:10" x14ac:dyDescent="0.2">
      <c r="C10504" s="209"/>
      <c r="D10504" s="209"/>
      <c r="E10504" s="209"/>
      <c r="J10504" s="124"/>
    </row>
    <row r="10505" spans="3:10" x14ac:dyDescent="0.2">
      <c r="C10505" s="209"/>
      <c r="D10505" s="209"/>
      <c r="E10505" s="209"/>
      <c r="J10505" s="124"/>
    </row>
    <row r="10506" spans="3:10" x14ac:dyDescent="0.2">
      <c r="C10506" s="209"/>
      <c r="D10506" s="209"/>
      <c r="E10506" s="209"/>
      <c r="J10506" s="124"/>
    </row>
    <row r="10507" spans="3:10" x14ac:dyDescent="0.2">
      <c r="C10507" s="209"/>
      <c r="D10507" s="209"/>
      <c r="E10507" s="209"/>
      <c r="J10507" s="124"/>
    </row>
    <row r="10508" spans="3:10" x14ac:dyDescent="0.2">
      <c r="C10508" s="209"/>
      <c r="D10508" s="209"/>
      <c r="E10508" s="209"/>
      <c r="J10508" s="124"/>
    </row>
    <row r="10509" spans="3:10" x14ac:dyDescent="0.2">
      <c r="C10509" s="209"/>
      <c r="D10509" s="209"/>
      <c r="E10509" s="209"/>
      <c r="J10509" s="124"/>
    </row>
    <row r="10510" spans="3:10" x14ac:dyDescent="0.2">
      <c r="C10510" s="209"/>
      <c r="D10510" s="209"/>
      <c r="E10510" s="209"/>
      <c r="J10510" s="124"/>
    </row>
    <row r="10511" spans="3:10" x14ac:dyDescent="0.2">
      <c r="C10511" s="209"/>
      <c r="D10511" s="209"/>
      <c r="E10511" s="209"/>
      <c r="J10511" s="124"/>
    </row>
    <row r="10512" spans="3:10" x14ac:dyDescent="0.2">
      <c r="C10512" s="209"/>
      <c r="D10512" s="209"/>
      <c r="E10512" s="209"/>
      <c r="J10512" s="124"/>
    </row>
    <row r="10513" spans="3:10" x14ac:dyDescent="0.2">
      <c r="C10513" s="209"/>
      <c r="D10513" s="209"/>
      <c r="E10513" s="209"/>
      <c r="J10513" s="124"/>
    </row>
    <row r="10514" spans="3:10" x14ac:dyDescent="0.2">
      <c r="C10514" s="209"/>
      <c r="D10514" s="209"/>
      <c r="E10514" s="209"/>
      <c r="J10514" s="124"/>
    </row>
    <row r="10515" spans="3:10" x14ac:dyDescent="0.2">
      <c r="C10515" s="209"/>
      <c r="D10515" s="209"/>
      <c r="E10515" s="209"/>
      <c r="J10515" s="124"/>
    </row>
    <row r="10516" spans="3:10" x14ac:dyDescent="0.2">
      <c r="C10516" s="209"/>
      <c r="D10516" s="209"/>
      <c r="E10516" s="209"/>
      <c r="J10516" s="124"/>
    </row>
    <row r="10517" spans="3:10" x14ac:dyDescent="0.2">
      <c r="C10517" s="209"/>
      <c r="D10517" s="209"/>
      <c r="E10517" s="209"/>
      <c r="J10517" s="124"/>
    </row>
    <row r="10518" spans="3:10" x14ac:dyDescent="0.2">
      <c r="C10518" s="209"/>
      <c r="D10518" s="209"/>
      <c r="E10518" s="209"/>
      <c r="J10518" s="124"/>
    </row>
    <row r="10519" spans="3:10" x14ac:dyDescent="0.2">
      <c r="C10519" s="209"/>
      <c r="D10519" s="209"/>
      <c r="E10519" s="209"/>
      <c r="J10519" s="124"/>
    </row>
    <row r="10520" spans="3:10" x14ac:dyDescent="0.2">
      <c r="C10520" s="209"/>
      <c r="D10520" s="209"/>
      <c r="E10520" s="209"/>
      <c r="J10520" s="124"/>
    </row>
    <row r="10521" spans="3:10" x14ac:dyDescent="0.2">
      <c r="C10521" s="209"/>
      <c r="D10521" s="209"/>
      <c r="E10521" s="209"/>
      <c r="J10521" s="124"/>
    </row>
    <row r="10522" spans="3:10" x14ac:dyDescent="0.2">
      <c r="C10522" s="209"/>
      <c r="D10522" s="209"/>
      <c r="E10522" s="209"/>
      <c r="J10522" s="124"/>
    </row>
    <row r="10523" spans="3:10" x14ac:dyDescent="0.2">
      <c r="C10523" s="209"/>
      <c r="D10523" s="209"/>
      <c r="E10523" s="209"/>
      <c r="J10523" s="124"/>
    </row>
    <row r="10524" spans="3:10" x14ac:dyDescent="0.2">
      <c r="C10524" s="209"/>
      <c r="D10524" s="209"/>
      <c r="E10524" s="209"/>
      <c r="J10524" s="124"/>
    </row>
    <row r="10525" spans="3:10" x14ac:dyDescent="0.2">
      <c r="C10525" s="209"/>
      <c r="D10525" s="209"/>
      <c r="E10525" s="209"/>
      <c r="J10525" s="124"/>
    </row>
    <row r="10526" spans="3:10" x14ac:dyDescent="0.2">
      <c r="C10526" s="209"/>
      <c r="D10526" s="209"/>
      <c r="E10526" s="209"/>
      <c r="J10526" s="124"/>
    </row>
    <row r="10527" spans="3:10" x14ac:dyDescent="0.2">
      <c r="C10527" s="209"/>
      <c r="D10527" s="209"/>
      <c r="E10527" s="209"/>
      <c r="J10527" s="124"/>
    </row>
    <row r="10528" spans="3:10" x14ac:dyDescent="0.2">
      <c r="C10528" s="209"/>
      <c r="D10528" s="209"/>
      <c r="E10528" s="209"/>
      <c r="J10528" s="124"/>
    </row>
    <row r="10529" spans="3:10" x14ac:dyDescent="0.2">
      <c r="C10529" s="209"/>
      <c r="D10529" s="209"/>
      <c r="E10529" s="209"/>
      <c r="J10529" s="124"/>
    </row>
    <row r="10530" spans="3:10" x14ac:dyDescent="0.2">
      <c r="C10530" s="209"/>
      <c r="D10530" s="209"/>
      <c r="E10530" s="209"/>
      <c r="J10530" s="124"/>
    </row>
    <row r="10531" spans="3:10" x14ac:dyDescent="0.2">
      <c r="C10531" s="209"/>
      <c r="D10531" s="209"/>
      <c r="E10531" s="209"/>
      <c r="J10531" s="124"/>
    </row>
    <row r="10532" spans="3:10" x14ac:dyDescent="0.2">
      <c r="C10532" s="209"/>
      <c r="D10532" s="209"/>
      <c r="E10532" s="209"/>
      <c r="J10532" s="124"/>
    </row>
    <row r="10533" spans="3:10" x14ac:dyDescent="0.2">
      <c r="C10533" s="209"/>
      <c r="D10533" s="209"/>
      <c r="E10533" s="209"/>
      <c r="J10533" s="124"/>
    </row>
    <row r="10534" spans="3:10" x14ac:dyDescent="0.2">
      <c r="C10534" s="209"/>
      <c r="D10534" s="209"/>
      <c r="E10534" s="209"/>
      <c r="J10534" s="124"/>
    </row>
    <row r="10535" spans="3:10" x14ac:dyDescent="0.2">
      <c r="C10535" s="209"/>
      <c r="D10535" s="209"/>
      <c r="E10535" s="209"/>
      <c r="J10535" s="124"/>
    </row>
    <row r="10536" spans="3:10" x14ac:dyDescent="0.2">
      <c r="C10536" s="209"/>
      <c r="D10536" s="209"/>
      <c r="E10536" s="209"/>
      <c r="J10536" s="124"/>
    </row>
    <row r="10537" spans="3:10" x14ac:dyDescent="0.2">
      <c r="C10537" s="209"/>
      <c r="D10537" s="209"/>
      <c r="E10537" s="209"/>
      <c r="J10537" s="124"/>
    </row>
    <row r="10538" spans="3:10" x14ac:dyDescent="0.2">
      <c r="C10538" s="209"/>
      <c r="D10538" s="209"/>
      <c r="E10538" s="209"/>
      <c r="J10538" s="124"/>
    </row>
    <row r="10539" spans="3:10" x14ac:dyDescent="0.2">
      <c r="C10539" s="209"/>
      <c r="D10539" s="209"/>
      <c r="E10539" s="209"/>
      <c r="J10539" s="124"/>
    </row>
    <row r="10540" spans="3:10" x14ac:dyDescent="0.2">
      <c r="C10540" s="209"/>
      <c r="D10540" s="209"/>
      <c r="E10540" s="209"/>
      <c r="J10540" s="124"/>
    </row>
    <row r="10541" spans="3:10" x14ac:dyDescent="0.2">
      <c r="C10541" s="209"/>
      <c r="D10541" s="209"/>
      <c r="E10541" s="209"/>
      <c r="J10541" s="124"/>
    </row>
    <row r="10542" spans="3:10" x14ac:dyDescent="0.2">
      <c r="C10542" s="209"/>
      <c r="D10542" s="209"/>
      <c r="E10542" s="209"/>
      <c r="J10542" s="124"/>
    </row>
    <row r="10543" spans="3:10" x14ac:dyDescent="0.2">
      <c r="C10543" s="209"/>
      <c r="D10543" s="209"/>
      <c r="E10543" s="209"/>
      <c r="J10543" s="124"/>
    </row>
    <row r="10544" spans="3:10" x14ac:dyDescent="0.2">
      <c r="C10544" s="209"/>
      <c r="D10544" s="209"/>
      <c r="E10544" s="209"/>
      <c r="J10544" s="124"/>
    </row>
    <row r="10545" spans="3:10" x14ac:dyDescent="0.2">
      <c r="C10545" s="209"/>
      <c r="D10545" s="209"/>
      <c r="E10545" s="209"/>
      <c r="J10545" s="124"/>
    </row>
    <row r="10546" spans="3:10" x14ac:dyDescent="0.2">
      <c r="C10546" s="209"/>
      <c r="D10546" s="209"/>
      <c r="E10546" s="209"/>
      <c r="J10546" s="124"/>
    </row>
    <row r="10547" spans="3:10" x14ac:dyDescent="0.2">
      <c r="C10547" s="209"/>
      <c r="D10547" s="209"/>
      <c r="E10547" s="209"/>
      <c r="J10547" s="124"/>
    </row>
    <row r="10548" spans="3:10" x14ac:dyDescent="0.2">
      <c r="C10548" s="209"/>
      <c r="D10548" s="209"/>
      <c r="E10548" s="209"/>
      <c r="J10548" s="124"/>
    </row>
    <row r="10549" spans="3:10" x14ac:dyDescent="0.2">
      <c r="C10549" s="209"/>
      <c r="D10549" s="209"/>
      <c r="E10549" s="209"/>
      <c r="J10549" s="124"/>
    </row>
    <row r="10550" spans="3:10" x14ac:dyDescent="0.2">
      <c r="C10550" s="209"/>
      <c r="D10550" s="209"/>
      <c r="E10550" s="209"/>
      <c r="J10550" s="124"/>
    </row>
    <row r="10551" spans="3:10" x14ac:dyDescent="0.2">
      <c r="C10551" s="209"/>
      <c r="D10551" s="209"/>
      <c r="E10551" s="209"/>
      <c r="J10551" s="124"/>
    </row>
    <row r="10552" spans="3:10" x14ac:dyDescent="0.2">
      <c r="C10552" s="209"/>
      <c r="D10552" s="209"/>
      <c r="E10552" s="209"/>
      <c r="J10552" s="124"/>
    </row>
    <row r="10553" spans="3:10" x14ac:dyDescent="0.2">
      <c r="C10553" s="209"/>
      <c r="D10553" s="209"/>
      <c r="E10553" s="209"/>
      <c r="J10553" s="124"/>
    </row>
    <row r="10554" spans="3:10" x14ac:dyDescent="0.2">
      <c r="C10554" s="209"/>
      <c r="D10554" s="209"/>
      <c r="E10554" s="209"/>
      <c r="J10554" s="124"/>
    </row>
    <row r="10555" spans="3:10" x14ac:dyDescent="0.2">
      <c r="C10555" s="209"/>
      <c r="D10555" s="209"/>
      <c r="E10555" s="209"/>
      <c r="J10555" s="124"/>
    </row>
    <row r="10556" spans="3:10" x14ac:dyDescent="0.2">
      <c r="C10556" s="209"/>
      <c r="D10556" s="209"/>
      <c r="E10556" s="209"/>
      <c r="J10556" s="124"/>
    </row>
    <row r="10557" spans="3:10" x14ac:dyDescent="0.2">
      <c r="C10557" s="209"/>
      <c r="D10557" s="209"/>
      <c r="E10557" s="209"/>
      <c r="J10557" s="124"/>
    </row>
    <row r="10558" spans="3:10" x14ac:dyDescent="0.2">
      <c r="C10558" s="209"/>
      <c r="D10558" s="209"/>
      <c r="E10558" s="209"/>
      <c r="J10558" s="124"/>
    </row>
    <row r="10559" spans="3:10" x14ac:dyDescent="0.2">
      <c r="C10559" s="209"/>
      <c r="D10559" s="209"/>
      <c r="E10559" s="209"/>
      <c r="J10559" s="124"/>
    </row>
    <row r="10560" spans="3:10" x14ac:dyDescent="0.2">
      <c r="C10560" s="209"/>
      <c r="D10560" s="209"/>
      <c r="E10560" s="209"/>
      <c r="J10560" s="124"/>
    </row>
    <row r="10561" spans="3:10" x14ac:dyDescent="0.2">
      <c r="C10561" s="209"/>
      <c r="D10561" s="209"/>
      <c r="E10561" s="209"/>
      <c r="J10561" s="124"/>
    </row>
    <row r="10562" spans="3:10" x14ac:dyDescent="0.2">
      <c r="C10562" s="209"/>
      <c r="D10562" s="209"/>
      <c r="E10562" s="209"/>
      <c r="J10562" s="124"/>
    </row>
    <row r="10563" spans="3:10" x14ac:dyDescent="0.2">
      <c r="C10563" s="209"/>
      <c r="D10563" s="209"/>
      <c r="E10563" s="209"/>
      <c r="J10563" s="124"/>
    </row>
    <row r="10564" spans="3:10" x14ac:dyDescent="0.2">
      <c r="C10564" s="209"/>
      <c r="D10564" s="209"/>
      <c r="E10564" s="209"/>
      <c r="J10564" s="124"/>
    </row>
    <row r="10565" spans="3:10" x14ac:dyDescent="0.2">
      <c r="C10565" s="209"/>
      <c r="D10565" s="209"/>
      <c r="E10565" s="209"/>
      <c r="J10565" s="124"/>
    </row>
    <row r="10566" spans="3:10" x14ac:dyDescent="0.2">
      <c r="C10566" s="209"/>
      <c r="D10566" s="209"/>
      <c r="E10566" s="209"/>
      <c r="J10566" s="124"/>
    </row>
    <row r="10567" spans="3:10" x14ac:dyDescent="0.2">
      <c r="C10567" s="209"/>
      <c r="D10567" s="209"/>
      <c r="E10567" s="209"/>
      <c r="J10567" s="124"/>
    </row>
    <row r="10568" spans="3:10" x14ac:dyDescent="0.2">
      <c r="C10568" s="209"/>
      <c r="D10568" s="209"/>
      <c r="E10568" s="209"/>
      <c r="J10568" s="124"/>
    </row>
    <row r="10569" spans="3:10" x14ac:dyDescent="0.2">
      <c r="C10569" s="209"/>
      <c r="D10569" s="209"/>
      <c r="E10569" s="209"/>
      <c r="J10569" s="124"/>
    </row>
    <row r="10570" spans="3:10" x14ac:dyDescent="0.2">
      <c r="C10570" s="209"/>
      <c r="D10570" s="209"/>
      <c r="E10570" s="209"/>
      <c r="J10570" s="124"/>
    </row>
    <row r="10571" spans="3:10" x14ac:dyDescent="0.2">
      <c r="C10571" s="209"/>
      <c r="D10571" s="209"/>
      <c r="E10571" s="209"/>
      <c r="J10571" s="124"/>
    </row>
    <row r="10572" spans="3:10" x14ac:dyDescent="0.2">
      <c r="C10572" s="209"/>
      <c r="D10572" s="209"/>
      <c r="E10572" s="209"/>
      <c r="J10572" s="124"/>
    </row>
    <row r="10573" spans="3:10" x14ac:dyDescent="0.2">
      <c r="C10573" s="209"/>
      <c r="D10573" s="209"/>
      <c r="E10573" s="209"/>
      <c r="J10573" s="124"/>
    </row>
    <row r="10574" spans="3:10" x14ac:dyDescent="0.2">
      <c r="C10574" s="209"/>
      <c r="D10574" s="209"/>
      <c r="E10574" s="209"/>
      <c r="J10574" s="124"/>
    </row>
    <row r="10575" spans="3:10" x14ac:dyDescent="0.2">
      <c r="C10575" s="209"/>
      <c r="D10575" s="209"/>
      <c r="E10575" s="209"/>
      <c r="J10575" s="124"/>
    </row>
    <row r="10576" spans="3:10" x14ac:dyDescent="0.2">
      <c r="C10576" s="209"/>
      <c r="D10576" s="209"/>
      <c r="E10576" s="209"/>
      <c r="J10576" s="124"/>
    </row>
    <row r="10577" spans="3:10" x14ac:dyDescent="0.2">
      <c r="C10577" s="209"/>
      <c r="D10577" s="209"/>
      <c r="E10577" s="209"/>
      <c r="J10577" s="124"/>
    </row>
    <row r="10578" spans="3:10" x14ac:dyDescent="0.2">
      <c r="C10578" s="209"/>
      <c r="D10578" s="209"/>
      <c r="E10578" s="209"/>
      <c r="J10578" s="124"/>
    </row>
    <row r="10579" spans="3:10" x14ac:dyDescent="0.2">
      <c r="C10579" s="209"/>
      <c r="D10579" s="209"/>
      <c r="E10579" s="209"/>
      <c r="J10579" s="124"/>
    </row>
    <row r="10580" spans="3:10" x14ac:dyDescent="0.2">
      <c r="C10580" s="209"/>
      <c r="D10580" s="209"/>
      <c r="E10580" s="209"/>
      <c r="J10580" s="124"/>
    </row>
    <row r="10581" spans="3:10" x14ac:dyDescent="0.2">
      <c r="C10581" s="209"/>
      <c r="D10581" s="209"/>
      <c r="E10581" s="209"/>
      <c r="J10581" s="124"/>
    </row>
    <row r="10582" spans="3:10" x14ac:dyDescent="0.2">
      <c r="C10582" s="209"/>
      <c r="D10582" s="209"/>
      <c r="E10582" s="209"/>
      <c r="J10582" s="124"/>
    </row>
    <row r="10583" spans="3:10" x14ac:dyDescent="0.2">
      <c r="C10583" s="209"/>
      <c r="D10583" s="209"/>
      <c r="E10583" s="209"/>
      <c r="J10583" s="124"/>
    </row>
    <row r="10584" spans="3:10" x14ac:dyDescent="0.2">
      <c r="C10584" s="209"/>
      <c r="D10584" s="209"/>
      <c r="E10584" s="209"/>
      <c r="J10584" s="124"/>
    </row>
    <row r="10585" spans="3:10" x14ac:dyDescent="0.2">
      <c r="C10585" s="209"/>
      <c r="D10585" s="209"/>
      <c r="E10585" s="209"/>
      <c r="J10585" s="124"/>
    </row>
    <row r="10586" spans="3:10" x14ac:dyDescent="0.2">
      <c r="C10586" s="209"/>
      <c r="D10586" s="209"/>
      <c r="E10586" s="209"/>
      <c r="J10586" s="124"/>
    </row>
    <row r="10587" spans="3:10" x14ac:dyDescent="0.2">
      <c r="C10587" s="209"/>
      <c r="D10587" s="209"/>
      <c r="E10587" s="209"/>
      <c r="J10587" s="124"/>
    </row>
    <row r="10588" spans="3:10" x14ac:dyDescent="0.2">
      <c r="C10588" s="209"/>
      <c r="D10588" s="209"/>
      <c r="E10588" s="209"/>
      <c r="J10588" s="124"/>
    </row>
    <row r="10589" spans="3:10" x14ac:dyDescent="0.2">
      <c r="C10589" s="209"/>
      <c r="D10589" s="209"/>
      <c r="E10589" s="209"/>
      <c r="J10589" s="124"/>
    </row>
    <row r="10590" spans="3:10" x14ac:dyDescent="0.2">
      <c r="C10590" s="209"/>
      <c r="D10590" s="209"/>
      <c r="E10590" s="209"/>
      <c r="J10590" s="124"/>
    </row>
    <row r="10591" spans="3:10" x14ac:dyDescent="0.2">
      <c r="C10591" s="209"/>
      <c r="D10591" s="209"/>
      <c r="E10591" s="209"/>
      <c r="J10591" s="124"/>
    </row>
    <row r="10592" spans="3:10" x14ac:dyDescent="0.2">
      <c r="C10592" s="209"/>
      <c r="D10592" s="209"/>
      <c r="E10592" s="209"/>
      <c r="J10592" s="124"/>
    </row>
    <row r="10593" spans="3:10" x14ac:dyDescent="0.2">
      <c r="C10593" s="209"/>
      <c r="D10593" s="209"/>
      <c r="E10593" s="209"/>
      <c r="J10593" s="124"/>
    </row>
    <row r="10594" spans="3:10" x14ac:dyDescent="0.2">
      <c r="C10594" s="209"/>
      <c r="D10594" s="209"/>
      <c r="E10594" s="209"/>
      <c r="J10594" s="124"/>
    </row>
    <row r="10595" spans="3:10" x14ac:dyDescent="0.2">
      <c r="C10595" s="209"/>
      <c r="D10595" s="209"/>
      <c r="E10595" s="209"/>
      <c r="J10595" s="124"/>
    </row>
    <row r="10596" spans="3:10" x14ac:dyDescent="0.2">
      <c r="C10596" s="209"/>
      <c r="D10596" s="209"/>
      <c r="E10596" s="209"/>
      <c r="J10596" s="124"/>
    </row>
    <row r="10597" spans="3:10" x14ac:dyDescent="0.2">
      <c r="C10597" s="209"/>
      <c r="D10597" s="209"/>
      <c r="E10597" s="209"/>
      <c r="J10597" s="124"/>
    </row>
    <row r="10598" spans="3:10" x14ac:dyDescent="0.2">
      <c r="C10598" s="209"/>
      <c r="D10598" s="209"/>
      <c r="E10598" s="209"/>
      <c r="J10598" s="124"/>
    </row>
    <row r="10599" spans="3:10" x14ac:dyDescent="0.2">
      <c r="C10599" s="209"/>
      <c r="D10599" s="209"/>
      <c r="E10599" s="209"/>
      <c r="J10599" s="124"/>
    </row>
    <row r="10600" spans="3:10" x14ac:dyDescent="0.2">
      <c r="C10600" s="209"/>
      <c r="D10600" s="209"/>
      <c r="E10600" s="209"/>
      <c r="J10600" s="124"/>
    </row>
    <row r="10601" spans="3:10" x14ac:dyDescent="0.2">
      <c r="C10601" s="209"/>
      <c r="D10601" s="209"/>
      <c r="E10601" s="209"/>
      <c r="J10601" s="124"/>
    </row>
    <row r="10602" spans="3:10" x14ac:dyDescent="0.2">
      <c r="C10602" s="209"/>
      <c r="D10602" s="209"/>
      <c r="E10602" s="209"/>
      <c r="J10602" s="124"/>
    </row>
    <row r="10603" spans="3:10" x14ac:dyDescent="0.2">
      <c r="C10603" s="209"/>
      <c r="D10603" s="209"/>
      <c r="E10603" s="209"/>
      <c r="J10603" s="124"/>
    </row>
    <row r="10604" spans="3:10" x14ac:dyDescent="0.2">
      <c r="C10604" s="209"/>
      <c r="D10604" s="209"/>
      <c r="E10604" s="209"/>
      <c r="J10604" s="124"/>
    </row>
    <row r="10605" spans="3:10" x14ac:dyDescent="0.2">
      <c r="C10605" s="209"/>
      <c r="D10605" s="209"/>
      <c r="E10605" s="209"/>
      <c r="J10605" s="124"/>
    </row>
    <row r="10606" spans="3:10" x14ac:dyDescent="0.2">
      <c r="C10606" s="209"/>
      <c r="D10606" s="209"/>
      <c r="E10606" s="209"/>
      <c r="J10606" s="124"/>
    </row>
    <row r="10607" spans="3:10" x14ac:dyDescent="0.2">
      <c r="C10607" s="209"/>
      <c r="D10607" s="209"/>
      <c r="E10607" s="209"/>
      <c r="J10607" s="124"/>
    </row>
    <row r="10608" spans="3:10" x14ac:dyDescent="0.2">
      <c r="C10608" s="209"/>
      <c r="D10608" s="209"/>
      <c r="E10608" s="209"/>
      <c r="J10608" s="124"/>
    </row>
    <row r="10609" spans="3:10" x14ac:dyDescent="0.2">
      <c r="C10609" s="209"/>
      <c r="D10609" s="209"/>
      <c r="E10609" s="209"/>
      <c r="J10609" s="124"/>
    </row>
    <row r="10610" spans="3:10" x14ac:dyDescent="0.2">
      <c r="C10610" s="209"/>
      <c r="D10610" s="209"/>
      <c r="E10610" s="209"/>
      <c r="J10610" s="124"/>
    </row>
    <row r="10611" spans="3:10" x14ac:dyDescent="0.2">
      <c r="C10611" s="209"/>
      <c r="D10611" s="209"/>
      <c r="E10611" s="209"/>
      <c r="J10611" s="124"/>
    </row>
    <row r="10612" spans="3:10" x14ac:dyDescent="0.2">
      <c r="C10612" s="209"/>
      <c r="D10612" s="209"/>
      <c r="E10612" s="209"/>
      <c r="J10612" s="124"/>
    </row>
    <row r="10613" spans="3:10" x14ac:dyDescent="0.2">
      <c r="C10613" s="209"/>
      <c r="D10613" s="209"/>
      <c r="E10613" s="209"/>
      <c r="J10613" s="124"/>
    </row>
    <row r="10614" spans="3:10" x14ac:dyDescent="0.2">
      <c r="C10614" s="209"/>
      <c r="D10614" s="209"/>
      <c r="E10614" s="209"/>
      <c r="J10614" s="124"/>
    </row>
    <row r="10615" spans="3:10" x14ac:dyDescent="0.2">
      <c r="C10615" s="209"/>
      <c r="D10615" s="209"/>
      <c r="E10615" s="209"/>
      <c r="J10615" s="124"/>
    </row>
    <row r="10616" spans="3:10" x14ac:dyDescent="0.2">
      <c r="C10616" s="209"/>
      <c r="D10616" s="209"/>
      <c r="E10616" s="209"/>
      <c r="J10616" s="124"/>
    </row>
    <row r="10617" spans="3:10" x14ac:dyDescent="0.2">
      <c r="C10617" s="209"/>
      <c r="D10617" s="209"/>
      <c r="E10617" s="209"/>
      <c r="J10617" s="124"/>
    </row>
    <row r="10618" spans="3:10" x14ac:dyDescent="0.2">
      <c r="C10618" s="209"/>
      <c r="D10618" s="209"/>
      <c r="E10618" s="209"/>
      <c r="J10618" s="124"/>
    </row>
    <row r="10619" spans="3:10" x14ac:dyDescent="0.2">
      <c r="C10619" s="209"/>
      <c r="D10619" s="209"/>
      <c r="E10619" s="209"/>
      <c r="J10619" s="124"/>
    </row>
    <row r="10620" spans="3:10" x14ac:dyDescent="0.2">
      <c r="C10620" s="209"/>
      <c r="D10620" s="209"/>
      <c r="E10620" s="209"/>
      <c r="J10620" s="124"/>
    </row>
    <row r="10621" spans="3:10" x14ac:dyDescent="0.2">
      <c r="C10621" s="209"/>
      <c r="D10621" s="209"/>
      <c r="E10621" s="209"/>
      <c r="J10621" s="124"/>
    </row>
    <row r="10622" spans="3:10" x14ac:dyDescent="0.2">
      <c r="C10622" s="209"/>
      <c r="D10622" s="209"/>
      <c r="E10622" s="209"/>
      <c r="J10622" s="124"/>
    </row>
    <row r="10623" spans="3:10" x14ac:dyDescent="0.2">
      <c r="C10623" s="209"/>
      <c r="D10623" s="209"/>
      <c r="E10623" s="209"/>
      <c r="J10623" s="124"/>
    </row>
    <row r="10624" spans="3:10" x14ac:dyDescent="0.2">
      <c r="C10624" s="209"/>
      <c r="D10624" s="209"/>
      <c r="E10624" s="209"/>
      <c r="J10624" s="124"/>
    </row>
    <row r="10625" spans="3:10" x14ac:dyDescent="0.2">
      <c r="C10625" s="209"/>
      <c r="D10625" s="209"/>
      <c r="E10625" s="209"/>
      <c r="J10625" s="124"/>
    </row>
    <row r="10626" spans="3:10" x14ac:dyDescent="0.2">
      <c r="C10626" s="209"/>
      <c r="D10626" s="209"/>
      <c r="E10626" s="209"/>
      <c r="J10626" s="124"/>
    </row>
    <row r="10627" spans="3:10" x14ac:dyDescent="0.2">
      <c r="C10627" s="209"/>
      <c r="D10627" s="209"/>
      <c r="E10627" s="209"/>
      <c r="J10627" s="124"/>
    </row>
    <row r="10628" spans="3:10" x14ac:dyDescent="0.2">
      <c r="C10628" s="209"/>
      <c r="D10628" s="209"/>
      <c r="E10628" s="209"/>
      <c r="J10628" s="124"/>
    </row>
    <row r="10629" spans="3:10" x14ac:dyDescent="0.2">
      <c r="C10629" s="209"/>
      <c r="D10629" s="209"/>
      <c r="E10629" s="209"/>
      <c r="J10629" s="124"/>
    </row>
    <row r="10630" spans="3:10" x14ac:dyDescent="0.2">
      <c r="C10630" s="209"/>
      <c r="D10630" s="209"/>
      <c r="E10630" s="209"/>
      <c r="J10630" s="124"/>
    </row>
    <row r="10631" spans="3:10" x14ac:dyDescent="0.2">
      <c r="C10631" s="209"/>
      <c r="D10631" s="209"/>
      <c r="E10631" s="209"/>
      <c r="J10631" s="124"/>
    </row>
    <row r="10632" spans="3:10" x14ac:dyDescent="0.2">
      <c r="C10632" s="209"/>
      <c r="D10632" s="209"/>
      <c r="E10632" s="209"/>
      <c r="J10632" s="124"/>
    </row>
    <row r="10633" spans="3:10" x14ac:dyDescent="0.2">
      <c r="C10633" s="209"/>
      <c r="D10633" s="209"/>
      <c r="E10633" s="209"/>
      <c r="J10633" s="124"/>
    </row>
    <row r="10634" spans="3:10" x14ac:dyDescent="0.2">
      <c r="C10634" s="209"/>
      <c r="D10634" s="209"/>
      <c r="E10634" s="209"/>
      <c r="J10634" s="124"/>
    </row>
    <row r="10635" spans="3:10" x14ac:dyDescent="0.2">
      <c r="C10635" s="209"/>
      <c r="D10635" s="209"/>
      <c r="E10635" s="209"/>
      <c r="J10635" s="124"/>
    </row>
    <row r="10636" spans="3:10" x14ac:dyDescent="0.2">
      <c r="C10636" s="209"/>
      <c r="D10636" s="209"/>
      <c r="E10636" s="209"/>
      <c r="J10636" s="124"/>
    </row>
    <row r="10637" spans="3:10" x14ac:dyDescent="0.2">
      <c r="C10637" s="209"/>
      <c r="D10637" s="209"/>
      <c r="E10637" s="209"/>
      <c r="J10637" s="124"/>
    </row>
    <row r="10638" spans="3:10" x14ac:dyDescent="0.2">
      <c r="C10638" s="209"/>
      <c r="D10638" s="209"/>
      <c r="E10638" s="209"/>
      <c r="J10638" s="124"/>
    </row>
    <row r="10639" spans="3:10" x14ac:dyDescent="0.2">
      <c r="C10639" s="209"/>
      <c r="D10639" s="209"/>
      <c r="E10639" s="209"/>
      <c r="J10639" s="124"/>
    </row>
    <row r="10640" spans="3:10" x14ac:dyDescent="0.2">
      <c r="C10640" s="209"/>
      <c r="D10640" s="209"/>
      <c r="E10640" s="209"/>
      <c r="J10640" s="124"/>
    </row>
    <row r="10641" spans="3:10" x14ac:dyDescent="0.2">
      <c r="C10641" s="209"/>
      <c r="D10641" s="209"/>
      <c r="E10641" s="209"/>
      <c r="J10641" s="124"/>
    </row>
    <row r="10642" spans="3:10" x14ac:dyDescent="0.2">
      <c r="C10642" s="209"/>
      <c r="D10642" s="209"/>
      <c r="E10642" s="209"/>
      <c r="J10642" s="124"/>
    </row>
    <row r="10643" spans="3:10" x14ac:dyDescent="0.2">
      <c r="C10643" s="209"/>
      <c r="D10643" s="209"/>
      <c r="E10643" s="209"/>
      <c r="J10643" s="124"/>
    </row>
    <row r="10644" spans="3:10" x14ac:dyDescent="0.2">
      <c r="C10644" s="209"/>
      <c r="D10644" s="209"/>
      <c r="E10644" s="209"/>
      <c r="J10644" s="124"/>
    </row>
    <row r="10645" spans="3:10" x14ac:dyDescent="0.2">
      <c r="C10645" s="209"/>
      <c r="D10645" s="209"/>
      <c r="E10645" s="209"/>
      <c r="J10645" s="124"/>
    </row>
    <row r="10646" spans="3:10" x14ac:dyDescent="0.2">
      <c r="C10646" s="209"/>
      <c r="D10646" s="209"/>
      <c r="E10646" s="209"/>
      <c r="J10646" s="124"/>
    </row>
    <row r="10647" spans="3:10" x14ac:dyDescent="0.2">
      <c r="C10647" s="209"/>
      <c r="D10647" s="209"/>
      <c r="E10647" s="209"/>
      <c r="J10647" s="124"/>
    </row>
    <row r="10648" spans="3:10" x14ac:dyDescent="0.2">
      <c r="C10648" s="209"/>
      <c r="D10648" s="209"/>
      <c r="E10648" s="209"/>
      <c r="J10648" s="124"/>
    </row>
    <row r="10649" spans="3:10" x14ac:dyDescent="0.2">
      <c r="C10649" s="209"/>
      <c r="D10649" s="209"/>
      <c r="E10649" s="209"/>
      <c r="J10649" s="124"/>
    </row>
    <row r="10650" spans="3:10" x14ac:dyDescent="0.2">
      <c r="C10650" s="209"/>
      <c r="D10650" s="209"/>
      <c r="E10650" s="209"/>
      <c r="J10650" s="124"/>
    </row>
    <row r="10651" spans="3:10" x14ac:dyDescent="0.2">
      <c r="C10651" s="209"/>
      <c r="D10651" s="209"/>
      <c r="E10651" s="209"/>
      <c r="J10651" s="124"/>
    </row>
    <row r="10652" spans="3:10" x14ac:dyDescent="0.2">
      <c r="C10652" s="209"/>
      <c r="D10652" s="209"/>
      <c r="E10652" s="209"/>
      <c r="J10652" s="124"/>
    </row>
    <row r="10653" spans="3:10" x14ac:dyDescent="0.2">
      <c r="C10653" s="209"/>
      <c r="D10653" s="209"/>
      <c r="E10653" s="209"/>
      <c r="J10653" s="124"/>
    </row>
    <row r="10654" spans="3:10" x14ac:dyDescent="0.2">
      <c r="C10654" s="209"/>
      <c r="D10654" s="209"/>
      <c r="E10654" s="209"/>
      <c r="J10654" s="124"/>
    </row>
    <row r="10655" spans="3:10" x14ac:dyDescent="0.2">
      <c r="C10655" s="209"/>
      <c r="D10655" s="209"/>
      <c r="E10655" s="209"/>
      <c r="J10655" s="124"/>
    </row>
    <row r="10656" spans="3:10" x14ac:dyDescent="0.2">
      <c r="C10656" s="209"/>
      <c r="D10656" s="209"/>
      <c r="E10656" s="209"/>
      <c r="J10656" s="124"/>
    </row>
    <row r="10657" spans="3:10" x14ac:dyDescent="0.2">
      <c r="C10657" s="209"/>
      <c r="D10657" s="209"/>
      <c r="E10657" s="209"/>
      <c r="J10657" s="124"/>
    </row>
    <row r="10658" spans="3:10" x14ac:dyDescent="0.2">
      <c r="C10658" s="209"/>
      <c r="D10658" s="209"/>
      <c r="E10658" s="209"/>
      <c r="J10658" s="124"/>
    </row>
    <row r="10659" spans="3:10" x14ac:dyDescent="0.2">
      <c r="C10659" s="209"/>
      <c r="D10659" s="209"/>
      <c r="E10659" s="209"/>
      <c r="J10659" s="124"/>
    </row>
    <row r="10660" spans="3:10" x14ac:dyDescent="0.2">
      <c r="C10660" s="209"/>
      <c r="D10660" s="209"/>
      <c r="E10660" s="209"/>
      <c r="J10660" s="124"/>
    </row>
    <row r="10661" spans="3:10" x14ac:dyDescent="0.2">
      <c r="C10661" s="209"/>
      <c r="D10661" s="209"/>
      <c r="E10661" s="209"/>
      <c r="J10661" s="124"/>
    </row>
    <row r="10662" spans="3:10" x14ac:dyDescent="0.2">
      <c r="C10662" s="209"/>
      <c r="D10662" s="209"/>
      <c r="E10662" s="209"/>
      <c r="J10662" s="124"/>
    </row>
    <row r="10663" spans="3:10" x14ac:dyDescent="0.2">
      <c r="C10663" s="209"/>
      <c r="D10663" s="209"/>
      <c r="E10663" s="209"/>
      <c r="J10663" s="124"/>
    </row>
    <row r="10664" spans="3:10" x14ac:dyDescent="0.2">
      <c r="C10664" s="209"/>
      <c r="D10664" s="209"/>
      <c r="E10664" s="209"/>
      <c r="J10664" s="124"/>
    </row>
    <row r="10665" spans="3:10" x14ac:dyDescent="0.2">
      <c r="C10665" s="209"/>
      <c r="D10665" s="209"/>
      <c r="E10665" s="209"/>
      <c r="J10665" s="124"/>
    </row>
    <row r="10666" spans="3:10" x14ac:dyDescent="0.2">
      <c r="C10666" s="209"/>
      <c r="D10666" s="209"/>
      <c r="E10666" s="209"/>
      <c r="J10666" s="124"/>
    </row>
    <row r="10667" spans="3:10" x14ac:dyDescent="0.2">
      <c r="C10667" s="209"/>
      <c r="D10667" s="209"/>
      <c r="E10667" s="209"/>
      <c r="J10667" s="124"/>
    </row>
    <row r="10668" spans="3:10" x14ac:dyDescent="0.2">
      <c r="C10668" s="209"/>
      <c r="D10668" s="209"/>
      <c r="E10668" s="209"/>
      <c r="J10668" s="124"/>
    </row>
    <row r="10669" spans="3:10" x14ac:dyDescent="0.2">
      <c r="C10669" s="209"/>
      <c r="D10669" s="209"/>
      <c r="E10669" s="209"/>
      <c r="J10669" s="124"/>
    </row>
    <row r="10670" spans="3:10" x14ac:dyDescent="0.2">
      <c r="C10670" s="209"/>
      <c r="D10670" s="209"/>
      <c r="E10670" s="209"/>
      <c r="J10670" s="124"/>
    </row>
    <row r="10671" spans="3:10" x14ac:dyDescent="0.2">
      <c r="C10671" s="209"/>
      <c r="D10671" s="209"/>
      <c r="E10671" s="209"/>
      <c r="J10671" s="124"/>
    </row>
    <row r="10672" spans="3:10" x14ac:dyDescent="0.2">
      <c r="C10672" s="209"/>
      <c r="D10672" s="209"/>
      <c r="E10672" s="209"/>
      <c r="J10672" s="124"/>
    </row>
    <row r="10673" spans="3:10" x14ac:dyDescent="0.2">
      <c r="C10673" s="209"/>
      <c r="D10673" s="209"/>
      <c r="E10673" s="209"/>
      <c r="J10673" s="124"/>
    </row>
    <row r="10674" spans="3:10" x14ac:dyDescent="0.2">
      <c r="C10674" s="209"/>
      <c r="D10674" s="209"/>
      <c r="E10674" s="209"/>
      <c r="J10674" s="124"/>
    </row>
    <row r="10675" spans="3:10" x14ac:dyDescent="0.2">
      <c r="C10675" s="209"/>
      <c r="D10675" s="209"/>
      <c r="E10675" s="209"/>
      <c r="J10675" s="124"/>
    </row>
    <row r="10676" spans="3:10" x14ac:dyDescent="0.2">
      <c r="C10676" s="209"/>
      <c r="D10676" s="209"/>
      <c r="E10676" s="209"/>
      <c r="J10676" s="124"/>
    </row>
    <row r="10677" spans="3:10" x14ac:dyDescent="0.2">
      <c r="C10677" s="209"/>
      <c r="D10677" s="209"/>
      <c r="E10677" s="209"/>
      <c r="J10677" s="124"/>
    </row>
    <row r="10678" spans="3:10" x14ac:dyDescent="0.2">
      <c r="C10678" s="209"/>
      <c r="D10678" s="209"/>
      <c r="E10678" s="209"/>
      <c r="J10678" s="124"/>
    </row>
    <row r="10679" spans="3:10" x14ac:dyDescent="0.2">
      <c r="C10679" s="209"/>
      <c r="D10679" s="209"/>
      <c r="E10679" s="209"/>
      <c r="J10679" s="124"/>
    </row>
    <row r="10680" spans="3:10" x14ac:dyDescent="0.2">
      <c r="C10680" s="209"/>
      <c r="D10680" s="209"/>
      <c r="E10680" s="209"/>
      <c r="J10680" s="124"/>
    </row>
    <row r="10681" spans="3:10" x14ac:dyDescent="0.2">
      <c r="C10681" s="209"/>
      <c r="D10681" s="209"/>
      <c r="E10681" s="209"/>
      <c r="J10681" s="124"/>
    </row>
    <row r="10682" spans="3:10" x14ac:dyDescent="0.2">
      <c r="C10682" s="209"/>
      <c r="D10682" s="209"/>
      <c r="E10682" s="209"/>
      <c r="J10682" s="124"/>
    </row>
    <row r="10683" spans="3:10" x14ac:dyDescent="0.2">
      <c r="C10683" s="209"/>
      <c r="D10683" s="209"/>
      <c r="E10683" s="209"/>
      <c r="J10683" s="124"/>
    </row>
    <row r="10684" spans="3:10" x14ac:dyDescent="0.2">
      <c r="C10684" s="209"/>
      <c r="D10684" s="209"/>
      <c r="E10684" s="209"/>
      <c r="J10684" s="124"/>
    </row>
    <row r="10685" spans="3:10" x14ac:dyDescent="0.2">
      <c r="C10685" s="209"/>
      <c r="D10685" s="209"/>
      <c r="E10685" s="209"/>
      <c r="J10685" s="124"/>
    </row>
    <row r="10686" spans="3:10" x14ac:dyDescent="0.2">
      <c r="C10686" s="209"/>
      <c r="D10686" s="209"/>
      <c r="E10686" s="209"/>
      <c r="J10686" s="124"/>
    </row>
    <row r="10687" spans="3:10" x14ac:dyDescent="0.2">
      <c r="C10687" s="209"/>
      <c r="D10687" s="209"/>
      <c r="E10687" s="209"/>
      <c r="J10687" s="124"/>
    </row>
    <row r="10688" spans="3:10" x14ac:dyDescent="0.2">
      <c r="C10688" s="209"/>
      <c r="D10688" s="209"/>
      <c r="E10688" s="209"/>
      <c r="J10688" s="124"/>
    </row>
    <row r="10689" spans="3:10" x14ac:dyDescent="0.2">
      <c r="C10689" s="209"/>
      <c r="D10689" s="209"/>
      <c r="E10689" s="209"/>
      <c r="J10689" s="124"/>
    </row>
    <row r="10690" spans="3:10" x14ac:dyDescent="0.2">
      <c r="C10690" s="209"/>
      <c r="D10690" s="209"/>
      <c r="E10690" s="209"/>
      <c r="J10690" s="124"/>
    </row>
    <row r="10691" spans="3:10" x14ac:dyDescent="0.2">
      <c r="C10691" s="209"/>
      <c r="D10691" s="209"/>
      <c r="E10691" s="209"/>
      <c r="J10691" s="124"/>
    </row>
    <row r="10692" spans="3:10" x14ac:dyDescent="0.2">
      <c r="C10692" s="209"/>
      <c r="D10692" s="209"/>
      <c r="E10692" s="209"/>
      <c r="J10692" s="124"/>
    </row>
    <row r="10693" spans="3:10" x14ac:dyDescent="0.2">
      <c r="C10693" s="209"/>
      <c r="D10693" s="209"/>
      <c r="E10693" s="209"/>
      <c r="J10693" s="124"/>
    </row>
    <row r="10694" spans="3:10" x14ac:dyDescent="0.2">
      <c r="C10694" s="209"/>
      <c r="D10694" s="209"/>
      <c r="E10694" s="209"/>
      <c r="J10694" s="124"/>
    </row>
    <row r="10695" spans="3:10" x14ac:dyDescent="0.2">
      <c r="C10695" s="209"/>
      <c r="D10695" s="209"/>
      <c r="E10695" s="209"/>
      <c r="J10695" s="124"/>
    </row>
    <row r="10696" spans="3:10" x14ac:dyDescent="0.2">
      <c r="C10696" s="209"/>
      <c r="D10696" s="209"/>
      <c r="E10696" s="209"/>
      <c r="J10696" s="124"/>
    </row>
    <row r="10697" spans="3:10" x14ac:dyDescent="0.2">
      <c r="C10697" s="209"/>
      <c r="D10697" s="209"/>
      <c r="E10697" s="209"/>
      <c r="J10697" s="124"/>
    </row>
    <row r="10698" spans="3:10" x14ac:dyDescent="0.2">
      <c r="C10698" s="209"/>
      <c r="D10698" s="209"/>
      <c r="E10698" s="209"/>
      <c r="J10698" s="124"/>
    </row>
    <row r="10699" spans="3:10" x14ac:dyDescent="0.2">
      <c r="C10699" s="209"/>
      <c r="D10699" s="209"/>
      <c r="E10699" s="209"/>
      <c r="J10699" s="124"/>
    </row>
    <row r="10700" spans="3:10" x14ac:dyDescent="0.2">
      <c r="C10700" s="209"/>
      <c r="D10700" s="209"/>
      <c r="E10700" s="209"/>
      <c r="J10700" s="124"/>
    </row>
    <row r="10701" spans="3:10" x14ac:dyDescent="0.2">
      <c r="C10701" s="209"/>
      <c r="D10701" s="209"/>
      <c r="E10701" s="209"/>
      <c r="J10701" s="124"/>
    </row>
    <row r="10702" spans="3:10" x14ac:dyDescent="0.2">
      <c r="C10702" s="209"/>
      <c r="D10702" s="209"/>
      <c r="E10702" s="209"/>
      <c r="J10702" s="124"/>
    </row>
    <row r="10703" spans="3:10" x14ac:dyDescent="0.2">
      <c r="C10703" s="209"/>
      <c r="D10703" s="209"/>
      <c r="E10703" s="209"/>
      <c r="J10703" s="124"/>
    </row>
    <row r="10704" spans="3:10" x14ac:dyDescent="0.2">
      <c r="C10704" s="209"/>
      <c r="D10704" s="209"/>
      <c r="E10704" s="209"/>
      <c r="J10704" s="124"/>
    </row>
    <row r="10705" spans="3:10" x14ac:dyDescent="0.2">
      <c r="C10705" s="209"/>
      <c r="D10705" s="209"/>
      <c r="E10705" s="209"/>
      <c r="J10705" s="124"/>
    </row>
    <row r="10706" spans="3:10" x14ac:dyDescent="0.2">
      <c r="C10706" s="209"/>
      <c r="D10706" s="209"/>
      <c r="E10706" s="209"/>
      <c r="J10706" s="124"/>
    </row>
    <row r="10707" spans="3:10" x14ac:dyDescent="0.2">
      <c r="C10707" s="209"/>
      <c r="D10707" s="209"/>
      <c r="E10707" s="209"/>
      <c r="J10707" s="124"/>
    </row>
    <row r="10708" spans="3:10" x14ac:dyDescent="0.2">
      <c r="C10708" s="209"/>
      <c r="D10708" s="209"/>
      <c r="E10708" s="209"/>
      <c r="J10708" s="124"/>
    </row>
    <row r="10709" spans="3:10" x14ac:dyDescent="0.2">
      <c r="C10709" s="209"/>
      <c r="D10709" s="209"/>
      <c r="E10709" s="209"/>
      <c r="J10709" s="124"/>
    </row>
    <row r="10710" spans="3:10" x14ac:dyDescent="0.2">
      <c r="C10710" s="209"/>
      <c r="D10710" s="209"/>
      <c r="E10710" s="209"/>
      <c r="J10710" s="124"/>
    </row>
    <row r="10711" spans="3:10" x14ac:dyDescent="0.2">
      <c r="C10711" s="209"/>
      <c r="D10711" s="209"/>
      <c r="E10711" s="209"/>
      <c r="J10711" s="124"/>
    </row>
    <row r="10712" spans="3:10" x14ac:dyDescent="0.2">
      <c r="C10712" s="209"/>
      <c r="D10712" s="209"/>
      <c r="E10712" s="209"/>
      <c r="J10712" s="124"/>
    </row>
    <row r="10713" spans="3:10" x14ac:dyDescent="0.2">
      <c r="C10713" s="209"/>
      <c r="D10713" s="209"/>
      <c r="E10713" s="209"/>
      <c r="J10713" s="124"/>
    </row>
    <row r="10714" spans="3:10" x14ac:dyDescent="0.2">
      <c r="C10714" s="209"/>
      <c r="D10714" s="209"/>
      <c r="E10714" s="209"/>
      <c r="J10714" s="124"/>
    </row>
    <row r="10715" spans="3:10" x14ac:dyDescent="0.2">
      <c r="C10715" s="209"/>
      <c r="D10715" s="209"/>
      <c r="E10715" s="209"/>
      <c r="J10715" s="124"/>
    </row>
    <row r="10716" spans="3:10" x14ac:dyDescent="0.2">
      <c r="C10716" s="209"/>
      <c r="D10716" s="209"/>
      <c r="E10716" s="209"/>
      <c r="J10716" s="124"/>
    </row>
    <row r="10717" spans="3:10" x14ac:dyDescent="0.2">
      <c r="C10717" s="209"/>
      <c r="D10717" s="209"/>
      <c r="E10717" s="209"/>
      <c r="J10717" s="124"/>
    </row>
    <row r="10718" spans="3:10" x14ac:dyDescent="0.2">
      <c r="C10718" s="209"/>
      <c r="D10718" s="209"/>
      <c r="E10718" s="209"/>
      <c r="J10718" s="124"/>
    </row>
    <row r="10719" spans="3:10" x14ac:dyDescent="0.2">
      <c r="C10719" s="209"/>
      <c r="D10719" s="209"/>
      <c r="E10719" s="209"/>
      <c r="J10719" s="124"/>
    </row>
    <row r="10720" spans="3:10" x14ac:dyDescent="0.2">
      <c r="C10720" s="209"/>
      <c r="D10720" s="209"/>
      <c r="E10720" s="209"/>
      <c r="J10720" s="124"/>
    </row>
    <row r="10721" spans="3:10" x14ac:dyDescent="0.2">
      <c r="C10721" s="209"/>
      <c r="D10721" s="209"/>
      <c r="E10721" s="209"/>
      <c r="J10721" s="124"/>
    </row>
    <row r="10722" spans="3:10" x14ac:dyDescent="0.2">
      <c r="C10722" s="209"/>
      <c r="D10722" s="209"/>
      <c r="E10722" s="209"/>
      <c r="J10722" s="124"/>
    </row>
    <row r="10723" spans="3:10" x14ac:dyDescent="0.2">
      <c r="C10723" s="209"/>
      <c r="D10723" s="209"/>
      <c r="E10723" s="209"/>
      <c r="J10723" s="124"/>
    </row>
    <row r="10724" spans="3:10" x14ac:dyDescent="0.2">
      <c r="C10724" s="209"/>
      <c r="D10724" s="209"/>
      <c r="E10724" s="209"/>
      <c r="J10724" s="124"/>
    </row>
    <row r="10725" spans="3:10" x14ac:dyDescent="0.2">
      <c r="C10725" s="209"/>
      <c r="D10725" s="209"/>
      <c r="E10725" s="209"/>
      <c r="J10725" s="124"/>
    </row>
    <row r="10726" spans="3:10" x14ac:dyDescent="0.2">
      <c r="C10726" s="209"/>
      <c r="D10726" s="209"/>
      <c r="E10726" s="209"/>
      <c r="J10726" s="124"/>
    </row>
    <row r="10727" spans="3:10" x14ac:dyDescent="0.2">
      <c r="C10727" s="209"/>
      <c r="D10727" s="209"/>
      <c r="E10727" s="209"/>
      <c r="J10727" s="124"/>
    </row>
    <row r="10728" spans="3:10" x14ac:dyDescent="0.2">
      <c r="C10728" s="209"/>
      <c r="D10728" s="209"/>
      <c r="E10728" s="209"/>
      <c r="J10728" s="124"/>
    </row>
    <row r="10729" spans="3:10" x14ac:dyDescent="0.2">
      <c r="C10729" s="209"/>
      <c r="D10729" s="209"/>
      <c r="E10729" s="209"/>
      <c r="J10729" s="124"/>
    </row>
    <row r="10730" spans="3:10" x14ac:dyDescent="0.2">
      <c r="C10730" s="209"/>
      <c r="D10730" s="209"/>
      <c r="E10730" s="209"/>
      <c r="J10730" s="124"/>
    </row>
    <row r="10731" spans="3:10" x14ac:dyDescent="0.2">
      <c r="C10731" s="209"/>
      <c r="D10731" s="209"/>
      <c r="E10731" s="209"/>
      <c r="J10731" s="124"/>
    </row>
    <row r="10732" spans="3:10" x14ac:dyDescent="0.2">
      <c r="C10732" s="209"/>
      <c r="D10732" s="209"/>
      <c r="E10732" s="209"/>
      <c r="J10732" s="124"/>
    </row>
    <row r="10733" spans="3:10" x14ac:dyDescent="0.2">
      <c r="C10733" s="209"/>
      <c r="D10733" s="209"/>
      <c r="E10733" s="209"/>
      <c r="J10733" s="124"/>
    </row>
    <row r="10734" spans="3:10" x14ac:dyDescent="0.2">
      <c r="C10734" s="209"/>
      <c r="D10734" s="209"/>
      <c r="E10734" s="209"/>
      <c r="J10734" s="124"/>
    </row>
    <row r="10735" spans="3:10" x14ac:dyDescent="0.2">
      <c r="C10735" s="209"/>
      <c r="D10735" s="209"/>
      <c r="E10735" s="209"/>
      <c r="J10735" s="124"/>
    </row>
    <row r="10736" spans="3:10" x14ac:dyDescent="0.2">
      <c r="C10736" s="209"/>
      <c r="D10736" s="209"/>
      <c r="E10736" s="209"/>
      <c r="J10736" s="124"/>
    </row>
    <row r="10737" spans="3:10" x14ac:dyDescent="0.2">
      <c r="C10737" s="209"/>
      <c r="D10737" s="209"/>
      <c r="E10737" s="209"/>
      <c r="J10737" s="124"/>
    </row>
    <row r="10738" spans="3:10" x14ac:dyDescent="0.2">
      <c r="C10738" s="209"/>
      <c r="D10738" s="209"/>
      <c r="E10738" s="209"/>
      <c r="J10738" s="124"/>
    </row>
    <row r="10739" spans="3:10" x14ac:dyDescent="0.2">
      <c r="C10739" s="209"/>
      <c r="D10739" s="209"/>
      <c r="E10739" s="209"/>
      <c r="J10739" s="124"/>
    </row>
    <row r="10740" spans="3:10" x14ac:dyDescent="0.2">
      <c r="C10740" s="209"/>
      <c r="D10740" s="209"/>
      <c r="E10740" s="209"/>
      <c r="J10740" s="124"/>
    </row>
    <row r="10741" spans="3:10" x14ac:dyDescent="0.2">
      <c r="C10741" s="209"/>
      <c r="D10741" s="209"/>
      <c r="E10741" s="209"/>
      <c r="J10741" s="124"/>
    </row>
    <row r="10742" spans="3:10" x14ac:dyDescent="0.2">
      <c r="C10742" s="209"/>
      <c r="D10742" s="209"/>
      <c r="E10742" s="209"/>
      <c r="J10742" s="124"/>
    </row>
    <row r="10743" spans="3:10" x14ac:dyDescent="0.2">
      <c r="C10743" s="209"/>
      <c r="D10743" s="209"/>
      <c r="E10743" s="209"/>
      <c r="J10743" s="124"/>
    </row>
    <row r="10744" spans="3:10" x14ac:dyDescent="0.2">
      <c r="C10744" s="209"/>
      <c r="D10744" s="209"/>
      <c r="E10744" s="209"/>
      <c r="J10744" s="124"/>
    </row>
    <row r="10745" spans="3:10" x14ac:dyDescent="0.2">
      <c r="C10745" s="209"/>
      <c r="D10745" s="209"/>
      <c r="E10745" s="209"/>
      <c r="J10745" s="124"/>
    </row>
    <row r="10746" spans="3:10" x14ac:dyDescent="0.2">
      <c r="C10746" s="209"/>
      <c r="D10746" s="209"/>
      <c r="E10746" s="209"/>
      <c r="J10746" s="124"/>
    </row>
    <row r="10747" spans="3:10" x14ac:dyDescent="0.2">
      <c r="C10747" s="209"/>
      <c r="D10747" s="209"/>
      <c r="E10747" s="209"/>
      <c r="J10747" s="124"/>
    </row>
    <row r="10748" spans="3:10" x14ac:dyDescent="0.2">
      <c r="C10748" s="209"/>
      <c r="D10748" s="209"/>
      <c r="E10748" s="209"/>
      <c r="J10748" s="124"/>
    </row>
    <row r="10749" spans="3:10" x14ac:dyDescent="0.2">
      <c r="C10749" s="209"/>
      <c r="D10749" s="209"/>
      <c r="E10749" s="209"/>
      <c r="J10749" s="124"/>
    </row>
    <row r="10750" spans="3:10" x14ac:dyDescent="0.2">
      <c r="C10750" s="209"/>
      <c r="D10750" s="209"/>
      <c r="E10750" s="209"/>
      <c r="J10750" s="124"/>
    </row>
    <row r="10751" spans="3:10" x14ac:dyDescent="0.2">
      <c r="C10751" s="209"/>
      <c r="D10751" s="209"/>
      <c r="E10751" s="209"/>
      <c r="J10751" s="124"/>
    </row>
    <row r="10752" spans="3:10" x14ac:dyDescent="0.2">
      <c r="C10752" s="209"/>
      <c r="D10752" s="209"/>
      <c r="E10752" s="209"/>
      <c r="J10752" s="124"/>
    </row>
    <row r="10753" spans="3:10" x14ac:dyDescent="0.2">
      <c r="C10753" s="209"/>
      <c r="D10753" s="209"/>
      <c r="E10753" s="209"/>
      <c r="J10753" s="124"/>
    </row>
    <row r="10754" spans="3:10" x14ac:dyDescent="0.2">
      <c r="C10754" s="209"/>
      <c r="D10754" s="209"/>
      <c r="E10754" s="209"/>
      <c r="J10754" s="124"/>
    </row>
    <row r="10755" spans="3:10" x14ac:dyDescent="0.2">
      <c r="C10755" s="209"/>
      <c r="D10755" s="209"/>
      <c r="E10755" s="209"/>
      <c r="J10755" s="124"/>
    </row>
    <row r="10756" spans="3:10" x14ac:dyDescent="0.2">
      <c r="C10756" s="209"/>
      <c r="D10756" s="209"/>
      <c r="E10756" s="209"/>
      <c r="J10756" s="124"/>
    </row>
    <row r="10757" spans="3:10" x14ac:dyDescent="0.2">
      <c r="C10757" s="209"/>
      <c r="D10757" s="209"/>
      <c r="E10757" s="209"/>
      <c r="J10757" s="124"/>
    </row>
    <row r="10758" spans="3:10" x14ac:dyDescent="0.2">
      <c r="C10758" s="209"/>
      <c r="D10758" s="209"/>
      <c r="E10758" s="209"/>
      <c r="J10758" s="124"/>
    </row>
    <row r="10759" spans="3:10" x14ac:dyDescent="0.2">
      <c r="C10759" s="209"/>
      <c r="D10759" s="209"/>
      <c r="E10759" s="209"/>
      <c r="J10759" s="124"/>
    </row>
    <row r="10760" spans="3:10" x14ac:dyDescent="0.2">
      <c r="C10760" s="209"/>
      <c r="D10760" s="209"/>
      <c r="E10760" s="209"/>
      <c r="J10760" s="124"/>
    </row>
    <row r="10761" spans="3:10" x14ac:dyDescent="0.2">
      <c r="C10761" s="209"/>
      <c r="D10761" s="209"/>
      <c r="E10761" s="209"/>
      <c r="J10761" s="124"/>
    </row>
    <row r="10762" spans="3:10" x14ac:dyDescent="0.2">
      <c r="C10762" s="209"/>
      <c r="D10762" s="209"/>
      <c r="E10762" s="209"/>
      <c r="J10762" s="124"/>
    </row>
    <row r="10763" spans="3:10" x14ac:dyDescent="0.2">
      <c r="C10763" s="209"/>
      <c r="D10763" s="209"/>
      <c r="E10763" s="209"/>
      <c r="J10763" s="124"/>
    </row>
    <row r="10764" spans="3:10" x14ac:dyDescent="0.2">
      <c r="C10764" s="209"/>
      <c r="D10764" s="209"/>
      <c r="E10764" s="209"/>
      <c r="J10764" s="124"/>
    </row>
    <row r="10765" spans="3:10" x14ac:dyDescent="0.2">
      <c r="C10765" s="209"/>
      <c r="D10765" s="209"/>
      <c r="E10765" s="209"/>
      <c r="J10765" s="124"/>
    </row>
    <row r="10766" spans="3:10" x14ac:dyDescent="0.2">
      <c r="C10766" s="209"/>
      <c r="D10766" s="209"/>
      <c r="E10766" s="209"/>
      <c r="J10766" s="124"/>
    </row>
    <row r="10767" spans="3:10" x14ac:dyDescent="0.2">
      <c r="C10767" s="209"/>
      <c r="D10767" s="209"/>
      <c r="E10767" s="209"/>
      <c r="J10767" s="124"/>
    </row>
    <row r="10768" spans="3:10" x14ac:dyDescent="0.2">
      <c r="C10768" s="209"/>
      <c r="D10768" s="209"/>
      <c r="E10768" s="209"/>
      <c r="J10768" s="124"/>
    </row>
    <row r="10769" spans="3:10" x14ac:dyDescent="0.2">
      <c r="C10769" s="209"/>
      <c r="D10769" s="209"/>
      <c r="E10769" s="209"/>
      <c r="J10769" s="124"/>
    </row>
    <row r="10770" spans="3:10" x14ac:dyDescent="0.2">
      <c r="C10770" s="209"/>
      <c r="D10770" s="209"/>
      <c r="E10770" s="209"/>
      <c r="J10770" s="124"/>
    </row>
    <row r="10771" spans="3:10" x14ac:dyDescent="0.2">
      <c r="C10771" s="209"/>
      <c r="D10771" s="209"/>
      <c r="E10771" s="209"/>
      <c r="J10771" s="124"/>
    </row>
    <row r="10772" spans="3:10" x14ac:dyDescent="0.2">
      <c r="C10772" s="209"/>
      <c r="D10772" s="209"/>
      <c r="E10772" s="209"/>
      <c r="J10772" s="124"/>
    </row>
    <row r="10773" spans="3:10" x14ac:dyDescent="0.2">
      <c r="C10773" s="209"/>
      <c r="D10773" s="209"/>
      <c r="E10773" s="209"/>
      <c r="J10773" s="124"/>
    </row>
    <row r="10774" spans="3:10" x14ac:dyDescent="0.2">
      <c r="C10774" s="209"/>
      <c r="D10774" s="209"/>
      <c r="E10774" s="209"/>
      <c r="J10774" s="124"/>
    </row>
    <row r="10775" spans="3:10" x14ac:dyDescent="0.2">
      <c r="C10775" s="209"/>
      <c r="D10775" s="209"/>
      <c r="E10775" s="209"/>
      <c r="J10775" s="124"/>
    </row>
    <row r="10776" spans="3:10" x14ac:dyDescent="0.2">
      <c r="C10776" s="209"/>
      <c r="D10776" s="209"/>
      <c r="E10776" s="209"/>
      <c r="J10776" s="124"/>
    </row>
    <row r="10777" spans="3:10" x14ac:dyDescent="0.2">
      <c r="C10777" s="209"/>
      <c r="D10777" s="209"/>
      <c r="E10777" s="209"/>
      <c r="J10777" s="124"/>
    </row>
    <row r="10778" spans="3:10" x14ac:dyDescent="0.2">
      <c r="C10778" s="209"/>
      <c r="D10778" s="209"/>
      <c r="E10778" s="209"/>
      <c r="J10778" s="124"/>
    </row>
    <row r="10779" spans="3:10" x14ac:dyDescent="0.2">
      <c r="C10779" s="209"/>
      <c r="D10779" s="209"/>
      <c r="E10779" s="209"/>
      <c r="J10779" s="124"/>
    </row>
    <row r="10780" spans="3:10" x14ac:dyDescent="0.2">
      <c r="C10780" s="209"/>
      <c r="D10780" s="209"/>
      <c r="E10780" s="209"/>
      <c r="J10780" s="124"/>
    </row>
    <row r="10781" spans="3:10" x14ac:dyDescent="0.2">
      <c r="C10781" s="209"/>
      <c r="D10781" s="209"/>
      <c r="E10781" s="209"/>
      <c r="J10781" s="124"/>
    </row>
    <row r="10782" spans="3:10" x14ac:dyDescent="0.2">
      <c r="C10782" s="209"/>
      <c r="D10782" s="209"/>
      <c r="E10782" s="209"/>
      <c r="J10782" s="124"/>
    </row>
    <row r="10783" spans="3:10" x14ac:dyDescent="0.2">
      <c r="C10783" s="209"/>
      <c r="D10783" s="209"/>
      <c r="E10783" s="209"/>
      <c r="J10783" s="124"/>
    </row>
    <row r="10784" spans="3:10" x14ac:dyDescent="0.2">
      <c r="C10784" s="209"/>
      <c r="D10784" s="209"/>
      <c r="E10784" s="209"/>
      <c r="J10784" s="124"/>
    </row>
    <row r="10785" spans="3:10" x14ac:dyDescent="0.2">
      <c r="C10785" s="209"/>
      <c r="D10785" s="209"/>
      <c r="E10785" s="209"/>
      <c r="J10785" s="124"/>
    </row>
    <row r="10786" spans="3:10" x14ac:dyDescent="0.2">
      <c r="C10786" s="209"/>
      <c r="D10786" s="209"/>
      <c r="E10786" s="209"/>
      <c r="J10786" s="124"/>
    </row>
    <row r="10787" spans="3:10" x14ac:dyDescent="0.2">
      <c r="C10787" s="209"/>
      <c r="D10787" s="209"/>
      <c r="E10787" s="209"/>
      <c r="J10787" s="124"/>
    </row>
    <row r="10788" spans="3:10" x14ac:dyDescent="0.2">
      <c r="C10788" s="209"/>
      <c r="D10788" s="209"/>
      <c r="E10788" s="209"/>
      <c r="J10788" s="124"/>
    </row>
    <row r="10789" spans="3:10" x14ac:dyDescent="0.2">
      <c r="C10789" s="209"/>
      <c r="D10789" s="209"/>
      <c r="E10789" s="209"/>
      <c r="J10789" s="124"/>
    </row>
    <row r="10790" spans="3:10" x14ac:dyDescent="0.2">
      <c r="C10790" s="209"/>
      <c r="D10790" s="209"/>
      <c r="E10790" s="209"/>
      <c r="J10790" s="124"/>
    </row>
    <row r="10791" spans="3:10" x14ac:dyDescent="0.2">
      <c r="C10791" s="209"/>
      <c r="D10791" s="209"/>
      <c r="E10791" s="209"/>
      <c r="J10791" s="124"/>
    </row>
    <row r="10792" spans="3:10" x14ac:dyDescent="0.2">
      <c r="C10792" s="209"/>
      <c r="D10792" s="209"/>
      <c r="E10792" s="209"/>
      <c r="J10792" s="124"/>
    </row>
    <row r="10793" spans="3:10" x14ac:dyDescent="0.2">
      <c r="C10793" s="209"/>
      <c r="D10793" s="209"/>
      <c r="E10793" s="209"/>
      <c r="J10793" s="124"/>
    </row>
    <row r="10794" spans="3:10" x14ac:dyDescent="0.2">
      <c r="C10794" s="209"/>
      <c r="D10794" s="209"/>
      <c r="E10794" s="209"/>
      <c r="J10794" s="124"/>
    </row>
    <row r="10795" spans="3:10" x14ac:dyDescent="0.2">
      <c r="C10795" s="209"/>
      <c r="D10795" s="209"/>
      <c r="E10795" s="209"/>
      <c r="J10795" s="124"/>
    </row>
    <row r="10796" spans="3:10" x14ac:dyDescent="0.2">
      <c r="C10796" s="209"/>
      <c r="D10796" s="209"/>
      <c r="E10796" s="209"/>
      <c r="J10796" s="124"/>
    </row>
    <row r="10797" spans="3:10" x14ac:dyDescent="0.2">
      <c r="C10797" s="209"/>
      <c r="D10797" s="209"/>
      <c r="E10797" s="209"/>
      <c r="J10797" s="124"/>
    </row>
    <row r="10798" spans="3:10" x14ac:dyDescent="0.2">
      <c r="C10798" s="209"/>
      <c r="D10798" s="209"/>
      <c r="E10798" s="209"/>
      <c r="J10798" s="124"/>
    </row>
    <row r="10799" spans="3:10" x14ac:dyDescent="0.2">
      <c r="C10799" s="209"/>
      <c r="D10799" s="209"/>
      <c r="E10799" s="209"/>
      <c r="J10799" s="124"/>
    </row>
    <row r="10800" spans="3:10" x14ac:dyDescent="0.2">
      <c r="C10800" s="209"/>
      <c r="D10800" s="209"/>
      <c r="E10800" s="209"/>
      <c r="J10800" s="124"/>
    </row>
    <row r="10801" spans="3:10" x14ac:dyDescent="0.2">
      <c r="C10801" s="209"/>
      <c r="D10801" s="209"/>
      <c r="E10801" s="209"/>
      <c r="J10801" s="124"/>
    </row>
    <row r="10802" spans="3:10" x14ac:dyDescent="0.2">
      <c r="C10802" s="209"/>
      <c r="D10802" s="209"/>
      <c r="E10802" s="209"/>
      <c r="J10802" s="124"/>
    </row>
    <row r="10803" spans="3:10" x14ac:dyDescent="0.2">
      <c r="C10803" s="209"/>
      <c r="D10803" s="209"/>
      <c r="E10803" s="209"/>
      <c r="J10803" s="124"/>
    </row>
    <row r="10804" spans="3:10" x14ac:dyDescent="0.2">
      <c r="C10804" s="209"/>
      <c r="D10804" s="209"/>
      <c r="E10804" s="209"/>
      <c r="J10804" s="124"/>
    </row>
    <row r="10805" spans="3:10" x14ac:dyDescent="0.2">
      <c r="C10805" s="209"/>
      <c r="D10805" s="209"/>
      <c r="E10805" s="209"/>
      <c r="J10805" s="124"/>
    </row>
    <row r="10806" spans="3:10" x14ac:dyDescent="0.2">
      <c r="C10806" s="209"/>
      <c r="D10806" s="209"/>
      <c r="E10806" s="209"/>
      <c r="J10806" s="124"/>
    </row>
    <row r="10807" spans="3:10" x14ac:dyDescent="0.2">
      <c r="C10807" s="209"/>
      <c r="D10807" s="209"/>
      <c r="E10807" s="209"/>
      <c r="J10807" s="124"/>
    </row>
    <row r="10808" spans="3:10" x14ac:dyDescent="0.2">
      <c r="C10808" s="209"/>
      <c r="D10808" s="209"/>
      <c r="E10808" s="209"/>
      <c r="J10808" s="124"/>
    </row>
    <row r="10809" spans="3:10" x14ac:dyDescent="0.2">
      <c r="C10809" s="209"/>
      <c r="D10809" s="209"/>
      <c r="E10809" s="209"/>
      <c r="J10809" s="124"/>
    </row>
    <row r="10810" spans="3:10" x14ac:dyDescent="0.2">
      <c r="C10810" s="209"/>
      <c r="D10810" s="209"/>
      <c r="E10810" s="209"/>
      <c r="J10810" s="124"/>
    </row>
    <row r="10811" spans="3:10" x14ac:dyDescent="0.2">
      <c r="C10811" s="209"/>
      <c r="D10811" s="209"/>
      <c r="E10811" s="209"/>
      <c r="J10811" s="124"/>
    </row>
    <row r="10812" spans="3:10" x14ac:dyDescent="0.2">
      <c r="C10812" s="209"/>
      <c r="D10812" s="209"/>
      <c r="E10812" s="209"/>
      <c r="J10812" s="124"/>
    </row>
    <row r="10813" spans="3:10" x14ac:dyDescent="0.2">
      <c r="C10813" s="209"/>
      <c r="D10813" s="209"/>
      <c r="E10813" s="209"/>
      <c r="J10813" s="124"/>
    </row>
    <row r="10814" spans="3:10" x14ac:dyDescent="0.2">
      <c r="C10814" s="209"/>
      <c r="D10814" s="209"/>
      <c r="E10814" s="209"/>
      <c r="J10814" s="124"/>
    </row>
    <row r="10815" spans="3:10" x14ac:dyDescent="0.2">
      <c r="C10815" s="209"/>
      <c r="D10815" s="209"/>
      <c r="E10815" s="209"/>
      <c r="J10815" s="124"/>
    </row>
    <row r="10816" spans="3:10" x14ac:dyDescent="0.2">
      <c r="C10816" s="209"/>
      <c r="D10816" s="209"/>
      <c r="E10816" s="209"/>
      <c r="J10816" s="124"/>
    </row>
    <row r="10817" spans="3:10" x14ac:dyDescent="0.2">
      <c r="C10817" s="209"/>
      <c r="D10817" s="209"/>
      <c r="E10817" s="209"/>
      <c r="J10817" s="124"/>
    </row>
    <row r="10818" spans="3:10" x14ac:dyDescent="0.2">
      <c r="C10818" s="209"/>
      <c r="D10818" s="209"/>
      <c r="E10818" s="209"/>
      <c r="J10818" s="124"/>
    </row>
    <row r="10819" spans="3:10" x14ac:dyDescent="0.2">
      <c r="C10819" s="209"/>
      <c r="D10819" s="209"/>
      <c r="E10819" s="209"/>
      <c r="J10819" s="124"/>
    </row>
    <row r="10820" spans="3:10" x14ac:dyDescent="0.2">
      <c r="C10820" s="209"/>
      <c r="D10820" s="209"/>
      <c r="E10820" s="209"/>
      <c r="J10820" s="124"/>
    </row>
    <row r="10821" spans="3:10" x14ac:dyDescent="0.2">
      <c r="C10821" s="209"/>
      <c r="D10821" s="209"/>
      <c r="E10821" s="209"/>
      <c r="J10821" s="124"/>
    </row>
    <row r="10822" spans="3:10" x14ac:dyDescent="0.2">
      <c r="C10822" s="209"/>
      <c r="D10822" s="209"/>
      <c r="E10822" s="209"/>
      <c r="J10822" s="124"/>
    </row>
    <row r="10823" spans="3:10" x14ac:dyDescent="0.2">
      <c r="C10823" s="209"/>
      <c r="D10823" s="209"/>
      <c r="E10823" s="209"/>
      <c r="J10823" s="124"/>
    </row>
    <row r="10824" spans="3:10" x14ac:dyDescent="0.2">
      <c r="C10824" s="209"/>
      <c r="D10824" s="209"/>
      <c r="E10824" s="209"/>
      <c r="J10824" s="124"/>
    </row>
    <row r="10825" spans="3:10" x14ac:dyDescent="0.2">
      <c r="C10825" s="209"/>
      <c r="D10825" s="209"/>
      <c r="E10825" s="209"/>
      <c r="J10825" s="124"/>
    </row>
    <row r="10826" spans="3:10" x14ac:dyDescent="0.2">
      <c r="C10826" s="209"/>
      <c r="D10826" s="209"/>
      <c r="E10826" s="209"/>
      <c r="J10826" s="124"/>
    </row>
    <row r="10827" spans="3:10" x14ac:dyDescent="0.2">
      <c r="C10827" s="209"/>
      <c r="D10827" s="209"/>
      <c r="E10827" s="209"/>
      <c r="J10827" s="124"/>
    </row>
    <row r="10828" spans="3:10" x14ac:dyDescent="0.2">
      <c r="C10828" s="209"/>
      <c r="D10828" s="209"/>
      <c r="E10828" s="209"/>
      <c r="J10828" s="124"/>
    </row>
    <row r="10829" spans="3:10" x14ac:dyDescent="0.2">
      <c r="C10829" s="209"/>
      <c r="D10829" s="209"/>
      <c r="E10829" s="209"/>
      <c r="J10829" s="124"/>
    </row>
    <row r="10830" spans="3:10" x14ac:dyDescent="0.2">
      <c r="C10830" s="209"/>
      <c r="D10830" s="209"/>
      <c r="E10830" s="209"/>
      <c r="J10830" s="124"/>
    </row>
    <row r="10831" spans="3:10" x14ac:dyDescent="0.2">
      <c r="C10831" s="209"/>
      <c r="D10831" s="209"/>
      <c r="E10831" s="209"/>
      <c r="J10831" s="124"/>
    </row>
    <row r="10832" spans="3:10" x14ac:dyDescent="0.2">
      <c r="C10832" s="209"/>
      <c r="D10832" s="209"/>
      <c r="E10832" s="209"/>
      <c r="J10832" s="124"/>
    </row>
    <row r="10833" spans="3:10" x14ac:dyDescent="0.2">
      <c r="C10833" s="209"/>
      <c r="D10833" s="209"/>
      <c r="E10833" s="209"/>
      <c r="J10833" s="124"/>
    </row>
    <row r="10834" spans="3:10" x14ac:dyDescent="0.2">
      <c r="C10834" s="209"/>
      <c r="D10834" s="209"/>
      <c r="E10834" s="209"/>
      <c r="J10834" s="124"/>
    </row>
    <row r="10835" spans="3:10" x14ac:dyDescent="0.2">
      <c r="C10835" s="209"/>
      <c r="D10835" s="209"/>
      <c r="E10835" s="209"/>
      <c r="J10835" s="124"/>
    </row>
    <row r="10836" spans="3:10" x14ac:dyDescent="0.2">
      <c r="C10836" s="209"/>
      <c r="D10836" s="209"/>
      <c r="E10836" s="209"/>
      <c r="J10836" s="124"/>
    </row>
    <row r="10837" spans="3:10" x14ac:dyDescent="0.2">
      <c r="C10837" s="209"/>
      <c r="D10837" s="209"/>
      <c r="E10837" s="209"/>
      <c r="J10837" s="124"/>
    </row>
    <row r="10838" spans="3:10" x14ac:dyDescent="0.2">
      <c r="C10838" s="209"/>
      <c r="D10838" s="209"/>
      <c r="E10838" s="209"/>
      <c r="J10838" s="124"/>
    </row>
    <row r="10839" spans="3:10" x14ac:dyDescent="0.2">
      <c r="C10839" s="209"/>
      <c r="D10839" s="209"/>
      <c r="E10839" s="209"/>
      <c r="J10839" s="124"/>
    </row>
    <row r="10840" spans="3:10" x14ac:dyDescent="0.2">
      <c r="C10840" s="209"/>
      <c r="D10840" s="209"/>
      <c r="E10840" s="209"/>
      <c r="J10840" s="124"/>
    </row>
    <row r="10841" spans="3:10" x14ac:dyDescent="0.2">
      <c r="C10841" s="209"/>
      <c r="D10841" s="209"/>
      <c r="E10841" s="209"/>
      <c r="J10841" s="124"/>
    </row>
    <row r="10842" spans="3:10" x14ac:dyDescent="0.2">
      <c r="C10842" s="209"/>
      <c r="D10842" s="209"/>
      <c r="E10842" s="209"/>
      <c r="J10842" s="124"/>
    </row>
    <row r="10843" spans="3:10" x14ac:dyDescent="0.2">
      <c r="C10843" s="209"/>
      <c r="D10843" s="209"/>
      <c r="E10843" s="209"/>
      <c r="J10843" s="124"/>
    </row>
    <row r="10844" spans="3:10" x14ac:dyDescent="0.2">
      <c r="C10844" s="209"/>
      <c r="D10844" s="209"/>
      <c r="E10844" s="209"/>
      <c r="J10844" s="124"/>
    </row>
    <row r="10845" spans="3:10" x14ac:dyDescent="0.2">
      <c r="C10845" s="209"/>
      <c r="D10845" s="209"/>
      <c r="E10845" s="209"/>
      <c r="J10845" s="124"/>
    </row>
    <row r="10846" spans="3:10" x14ac:dyDescent="0.2">
      <c r="C10846" s="209"/>
      <c r="D10846" s="209"/>
      <c r="E10846" s="209"/>
      <c r="J10846" s="124"/>
    </row>
    <row r="10847" spans="3:10" x14ac:dyDescent="0.2">
      <c r="C10847" s="209"/>
      <c r="D10847" s="209"/>
      <c r="E10847" s="209"/>
      <c r="J10847" s="124"/>
    </row>
    <row r="10848" spans="3:10" x14ac:dyDescent="0.2">
      <c r="C10848" s="209"/>
      <c r="D10848" s="209"/>
      <c r="E10848" s="209"/>
      <c r="J10848" s="124"/>
    </row>
    <row r="10849" spans="3:10" x14ac:dyDescent="0.2">
      <c r="C10849" s="209"/>
      <c r="D10849" s="209"/>
      <c r="E10849" s="209"/>
      <c r="J10849" s="124"/>
    </row>
    <row r="10850" spans="3:10" x14ac:dyDescent="0.2">
      <c r="C10850" s="209"/>
      <c r="D10850" s="209"/>
      <c r="E10850" s="209"/>
      <c r="J10850" s="124"/>
    </row>
    <row r="10851" spans="3:10" x14ac:dyDescent="0.2">
      <c r="C10851" s="209"/>
      <c r="D10851" s="209"/>
      <c r="E10851" s="209"/>
      <c r="J10851" s="124"/>
    </row>
    <row r="10852" spans="3:10" x14ac:dyDescent="0.2">
      <c r="C10852" s="209"/>
      <c r="D10852" s="209"/>
      <c r="E10852" s="209"/>
      <c r="J10852" s="124"/>
    </row>
    <row r="10853" spans="3:10" x14ac:dyDescent="0.2">
      <c r="C10853" s="209"/>
      <c r="D10853" s="209"/>
      <c r="E10853" s="209"/>
      <c r="J10853" s="124"/>
    </row>
    <row r="10854" spans="3:10" x14ac:dyDescent="0.2">
      <c r="C10854" s="209"/>
      <c r="D10854" s="209"/>
      <c r="E10854" s="209"/>
      <c r="J10854" s="124"/>
    </row>
    <row r="10855" spans="3:10" x14ac:dyDescent="0.2">
      <c r="C10855" s="209"/>
      <c r="D10855" s="209"/>
      <c r="E10855" s="209"/>
      <c r="J10855" s="124"/>
    </row>
    <row r="10856" spans="3:10" x14ac:dyDescent="0.2">
      <c r="C10856" s="209"/>
      <c r="D10856" s="209"/>
      <c r="E10856" s="209"/>
      <c r="J10856" s="124"/>
    </row>
    <row r="10857" spans="3:10" x14ac:dyDescent="0.2">
      <c r="C10857" s="209"/>
      <c r="D10857" s="209"/>
      <c r="E10857" s="209"/>
      <c r="J10857" s="124"/>
    </row>
    <row r="10858" spans="3:10" x14ac:dyDescent="0.2">
      <c r="C10858" s="209"/>
      <c r="D10858" s="209"/>
      <c r="E10858" s="209"/>
      <c r="J10858" s="124"/>
    </row>
    <row r="10859" spans="3:10" x14ac:dyDescent="0.2">
      <c r="C10859" s="209"/>
      <c r="D10859" s="209"/>
      <c r="E10859" s="209"/>
      <c r="J10859" s="124"/>
    </row>
    <row r="10860" spans="3:10" x14ac:dyDescent="0.2">
      <c r="C10860" s="209"/>
      <c r="D10860" s="209"/>
      <c r="E10860" s="209"/>
      <c r="J10860" s="124"/>
    </row>
    <row r="10861" spans="3:10" x14ac:dyDescent="0.2">
      <c r="C10861" s="209"/>
      <c r="D10861" s="209"/>
      <c r="E10861" s="209"/>
      <c r="J10861" s="124"/>
    </row>
    <row r="10862" spans="3:10" x14ac:dyDescent="0.2">
      <c r="C10862" s="209"/>
      <c r="D10862" s="209"/>
      <c r="E10862" s="209"/>
      <c r="J10862" s="124"/>
    </row>
    <row r="10863" spans="3:10" x14ac:dyDescent="0.2">
      <c r="C10863" s="209"/>
      <c r="D10863" s="209"/>
      <c r="E10863" s="209"/>
      <c r="J10863" s="124"/>
    </row>
    <row r="10864" spans="3:10" x14ac:dyDescent="0.2">
      <c r="C10864" s="209"/>
      <c r="D10864" s="209"/>
      <c r="E10864" s="209"/>
      <c r="J10864" s="124"/>
    </row>
    <row r="10865" spans="3:10" x14ac:dyDescent="0.2">
      <c r="C10865" s="209"/>
      <c r="D10865" s="209"/>
      <c r="E10865" s="209"/>
      <c r="J10865" s="124"/>
    </row>
    <row r="10866" spans="3:10" x14ac:dyDescent="0.2">
      <c r="C10866" s="209"/>
      <c r="D10866" s="209"/>
      <c r="E10866" s="209"/>
      <c r="J10866" s="124"/>
    </row>
    <row r="10867" spans="3:10" x14ac:dyDescent="0.2">
      <c r="C10867" s="209"/>
      <c r="D10867" s="209"/>
      <c r="E10867" s="209"/>
      <c r="J10867" s="124"/>
    </row>
    <row r="10868" spans="3:10" x14ac:dyDescent="0.2">
      <c r="C10868" s="209"/>
      <c r="D10868" s="209"/>
      <c r="E10868" s="209"/>
      <c r="J10868" s="124"/>
    </row>
    <row r="10869" spans="3:10" x14ac:dyDescent="0.2">
      <c r="C10869" s="209"/>
      <c r="D10869" s="209"/>
      <c r="E10869" s="209"/>
      <c r="J10869" s="124"/>
    </row>
    <row r="10870" spans="3:10" x14ac:dyDescent="0.2">
      <c r="C10870" s="209"/>
      <c r="D10870" s="209"/>
      <c r="E10870" s="209"/>
      <c r="J10870" s="124"/>
    </row>
    <row r="10871" spans="3:10" x14ac:dyDescent="0.2">
      <c r="C10871" s="209"/>
      <c r="D10871" s="209"/>
      <c r="E10871" s="209"/>
      <c r="J10871" s="124"/>
    </row>
    <row r="10872" spans="3:10" x14ac:dyDescent="0.2">
      <c r="C10872" s="209"/>
      <c r="D10872" s="209"/>
      <c r="E10872" s="209"/>
      <c r="J10872" s="124"/>
    </row>
    <row r="10873" spans="3:10" x14ac:dyDescent="0.2">
      <c r="C10873" s="209"/>
      <c r="D10873" s="209"/>
      <c r="E10873" s="209"/>
      <c r="J10873" s="124"/>
    </row>
    <row r="10874" spans="3:10" x14ac:dyDescent="0.2">
      <c r="C10874" s="209"/>
      <c r="D10874" s="209"/>
      <c r="E10874" s="209"/>
      <c r="J10874" s="124"/>
    </row>
    <row r="10875" spans="3:10" x14ac:dyDescent="0.2">
      <c r="C10875" s="209"/>
      <c r="D10875" s="209"/>
      <c r="E10875" s="209"/>
      <c r="J10875" s="124"/>
    </row>
    <row r="10876" spans="3:10" x14ac:dyDescent="0.2">
      <c r="C10876" s="209"/>
      <c r="D10876" s="209"/>
      <c r="E10876" s="209"/>
      <c r="J10876" s="124"/>
    </row>
    <row r="10877" spans="3:10" x14ac:dyDescent="0.2">
      <c r="C10877" s="209"/>
      <c r="D10877" s="209"/>
      <c r="E10877" s="209"/>
      <c r="J10877" s="124"/>
    </row>
    <row r="10878" spans="3:10" x14ac:dyDescent="0.2">
      <c r="C10878" s="209"/>
      <c r="D10878" s="209"/>
      <c r="E10878" s="209"/>
      <c r="J10878" s="124"/>
    </row>
    <row r="10879" spans="3:10" x14ac:dyDescent="0.2">
      <c r="C10879" s="209"/>
      <c r="D10879" s="209"/>
      <c r="E10879" s="209"/>
      <c r="J10879" s="124"/>
    </row>
    <row r="10880" spans="3:10" x14ac:dyDescent="0.2">
      <c r="C10880" s="209"/>
      <c r="D10880" s="209"/>
      <c r="E10880" s="209"/>
      <c r="J10880" s="124"/>
    </row>
    <row r="10881" spans="3:10" x14ac:dyDescent="0.2">
      <c r="C10881" s="209"/>
      <c r="D10881" s="209"/>
      <c r="E10881" s="209"/>
      <c r="J10881" s="124"/>
    </row>
    <row r="10882" spans="3:10" x14ac:dyDescent="0.2">
      <c r="C10882" s="209"/>
      <c r="D10882" s="209"/>
      <c r="E10882" s="209"/>
      <c r="J10882" s="124"/>
    </row>
    <row r="10883" spans="3:10" x14ac:dyDescent="0.2">
      <c r="C10883" s="209"/>
      <c r="D10883" s="209"/>
      <c r="E10883" s="209"/>
      <c r="J10883" s="124"/>
    </row>
    <row r="10884" spans="3:10" x14ac:dyDescent="0.2">
      <c r="C10884" s="209"/>
      <c r="D10884" s="209"/>
      <c r="E10884" s="209"/>
      <c r="J10884" s="124"/>
    </row>
    <row r="10885" spans="3:10" x14ac:dyDescent="0.2">
      <c r="C10885" s="209"/>
      <c r="D10885" s="209"/>
      <c r="E10885" s="209"/>
      <c r="J10885" s="124"/>
    </row>
    <row r="10886" spans="3:10" x14ac:dyDescent="0.2">
      <c r="C10886" s="209"/>
      <c r="D10886" s="209"/>
      <c r="E10886" s="209"/>
      <c r="J10886" s="124"/>
    </row>
    <row r="10887" spans="3:10" x14ac:dyDescent="0.2">
      <c r="C10887" s="209"/>
      <c r="D10887" s="209"/>
      <c r="E10887" s="209"/>
      <c r="J10887" s="124"/>
    </row>
    <row r="10888" spans="3:10" x14ac:dyDescent="0.2">
      <c r="C10888" s="209"/>
      <c r="D10888" s="209"/>
      <c r="E10888" s="209"/>
      <c r="J10888" s="124"/>
    </row>
    <row r="10889" spans="3:10" x14ac:dyDescent="0.2">
      <c r="C10889" s="209"/>
      <c r="D10889" s="209"/>
      <c r="E10889" s="209"/>
      <c r="J10889" s="124"/>
    </row>
    <row r="10890" spans="3:10" x14ac:dyDescent="0.2">
      <c r="C10890" s="209"/>
      <c r="D10890" s="209"/>
      <c r="E10890" s="209"/>
      <c r="J10890" s="124"/>
    </row>
    <row r="10891" spans="3:10" x14ac:dyDescent="0.2">
      <c r="C10891" s="209"/>
      <c r="D10891" s="209"/>
      <c r="E10891" s="209"/>
      <c r="J10891" s="124"/>
    </row>
    <row r="10892" spans="3:10" x14ac:dyDescent="0.2">
      <c r="C10892" s="209"/>
      <c r="D10892" s="209"/>
      <c r="E10892" s="209"/>
      <c r="J10892" s="124"/>
    </row>
    <row r="10893" spans="3:10" x14ac:dyDescent="0.2">
      <c r="C10893" s="209"/>
      <c r="D10893" s="209"/>
      <c r="E10893" s="209"/>
      <c r="J10893" s="124"/>
    </row>
    <row r="10894" spans="3:10" x14ac:dyDescent="0.2">
      <c r="C10894" s="209"/>
      <c r="D10894" s="209"/>
      <c r="E10894" s="209"/>
      <c r="J10894" s="124"/>
    </row>
    <row r="10895" spans="3:10" x14ac:dyDescent="0.2">
      <c r="C10895" s="209"/>
      <c r="D10895" s="209"/>
      <c r="E10895" s="209"/>
      <c r="J10895" s="124"/>
    </row>
    <row r="10896" spans="3:10" x14ac:dyDescent="0.2">
      <c r="C10896" s="209"/>
      <c r="D10896" s="209"/>
      <c r="E10896" s="209"/>
      <c r="J10896" s="124"/>
    </row>
    <row r="10897" spans="3:10" x14ac:dyDescent="0.2">
      <c r="C10897" s="209"/>
      <c r="D10897" s="209"/>
      <c r="E10897" s="209"/>
      <c r="J10897" s="124"/>
    </row>
    <row r="10898" spans="3:10" x14ac:dyDescent="0.2">
      <c r="C10898" s="209"/>
      <c r="D10898" s="209"/>
      <c r="E10898" s="209"/>
      <c r="J10898" s="124"/>
    </row>
    <row r="10899" spans="3:10" x14ac:dyDescent="0.2">
      <c r="C10899" s="209"/>
      <c r="D10899" s="209"/>
      <c r="E10899" s="209"/>
      <c r="J10899" s="124"/>
    </row>
    <row r="10900" spans="3:10" x14ac:dyDescent="0.2">
      <c r="C10900" s="209"/>
      <c r="D10900" s="209"/>
      <c r="E10900" s="209"/>
      <c r="J10900" s="124"/>
    </row>
    <row r="10901" spans="3:10" x14ac:dyDescent="0.2">
      <c r="C10901" s="209"/>
      <c r="D10901" s="209"/>
      <c r="E10901" s="209"/>
      <c r="J10901" s="124"/>
    </row>
    <row r="10902" spans="3:10" x14ac:dyDescent="0.2">
      <c r="C10902" s="209"/>
      <c r="D10902" s="209"/>
      <c r="E10902" s="209"/>
      <c r="J10902" s="124"/>
    </row>
    <row r="10903" spans="3:10" x14ac:dyDescent="0.2">
      <c r="C10903" s="209"/>
      <c r="D10903" s="209"/>
      <c r="E10903" s="209"/>
      <c r="J10903" s="124"/>
    </row>
    <row r="10904" spans="3:10" x14ac:dyDescent="0.2">
      <c r="C10904" s="209"/>
      <c r="D10904" s="209"/>
      <c r="E10904" s="209"/>
      <c r="J10904" s="124"/>
    </row>
    <row r="10905" spans="3:10" x14ac:dyDescent="0.2">
      <c r="C10905" s="209"/>
      <c r="D10905" s="209"/>
      <c r="E10905" s="209"/>
      <c r="J10905" s="124"/>
    </row>
    <row r="10906" spans="3:10" x14ac:dyDescent="0.2">
      <c r="C10906" s="209"/>
      <c r="D10906" s="209"/>
      <c r="E10906" s="209"/>
      <c r="J10906" s="124"/>
    </row>
    <row r="10907" spans="3:10" x14ac:dyDescent="0.2">
      <c r="C10907" s="209"/>
      <c r="D10907" s="209"/>
      <c r="E10907" s="209"/>
      <c r="J10907" s="124"/>
    </row>
    <row r="10908" spans="3:10" x14ac:dyDescent="0.2">
      <c r="C10908" s="209"/>
      <c r="D10908" s="209"/>
      <c r="E10908" s="209"/>
      <c r="J10908" s="124"/>
    </row>
    <row r="10909" spans="3:10" x14ac:dyDescent="0.2">
      <c r="C10909" s="209"/>
      <c r="D10909" s="209"/>
      <c r="E10909" s="209"/>
      <c r="J10909" s="124"/>
    </row>
    <row r="10910" spans="3:10" x14ac:dyDescent="0.2">
      <c r="C10910" s="209"/>
      <c r="D10910" s="209"/>
      <c r="E10910" s="209"/>
      <c r="J10910" s="124"/>
    </row>
    <row r="10911" spans="3:10" x14ac:dyDescent="0.2">
      <c r="C10911" s="209"/>
      <c r="D10911" s="209"/>
      <c r="E10911" s="209"/>
      <c r="J10911" s="124"/>
    </row>
    <row r="10912" spans="3:10" x14ac:dyDescent="0.2">
      <c r="C10912" s="209"/>
      <c r="D10912" s="209"/>
      <c r="E10912" s="209"/>
      <c r="J10912" s="124"/>
    </row>
    <row r="10913" spans="3:10" x14ac:dyDescent="0.2">
      <c r="C10913" s="209"/>
      <c r="D10913" s="209"/>
      <c r="E10913" s="209"/>
      <c r="J10913" s="124"/>
    </row>
    <row r="10914" spans="3:10" x14ac:dyDescent="0.2">
      <c r="C10914" s="209"/>
      <c r="D10914" s="209"/>
      <c r="E10914" s="209"/>
      <c r="J10914" s="124"/>
    </row>
    <row r="10915" spans="3:10" x14ac:dyDescent="0.2">
      <c r="C10915" s="209"/>
      <c r="D10915" s="209"/>
      <c r="E10915" s="209"/>
      <c r="J10915" s="124"/>
    </row>
    <row r="10916" spans="3:10" x14ac:dyDescent="0.2">
      <c r="C10916" s="209"/>
      <c r="D10916" s="209"/>
      <c r="E10916" s="209"/>
      <c r="J10916" s="124"/>
    </row>
    <row r="10917" spans="3:10" x14ac:dyDescent="0.2">
      <c r="C10917" s="209"/>
      <c r="D10917" s="209"/>
      <c r="E10917" s="209"/>
      <c r="J10917" s="124"/>
    </row>
    <row r="10918" spans="3:10" x14ac:dyDescent="0.2">
      <c r="C10918" s="209"/>
      <c r="D10918" s="209"/>
      <c r="E10918" s="209"/>
      <c r="J10918" s="124"/>
    </row>
    <row r="10919" spans="3:10" x14ac:dyDescent="0.2">
      <c r="C10919" s="209"/>
      <c r="D10919" s="209"/>
      <c r="E10919" s="209"/>
      <c r="J10919" s="124"/>
    </row>
    <row r="10920" spans="3:10" x14ac:dyDescent="0.2">
      <c r="C10920" s="209"/>
      <c r="D10920" s="209"/>
      <c r="E10920" s="209"/>
      <c r="J10920" s="124"/>
    </row>
    <row r="10921" spans="3:10" x14ac:dyDescent="0.2">
      <c r="C10921" s="209"/>
      <c r="D10921" s="209"/>
      <c r="E10921" s="209"/>
      <c r="J10921" s="124"/>
    </row>
    <row r="10922" spans="3:10" x14ac:dyDescent="0.2">
      <c r="C10922" s="209"/>
      <c r="D10922" s="209"/>
      <c r="E10922" s="209"/>
      <c r="J10922" s="124"/>
    </row>
    <row r="10923" spans="3:10" x14ac:dyDescent="0.2">
      <c r="C10923" s="209"/>
      <c r="D10923" s="209"/>
      <c r="E10923" s="209"/>
      <c r="J10923" s="124"/>
    </row>
    <row r="10924" spans="3:10" x14ac:dyDescent="0.2">
      <c r="C10924" s="209"/>
      <c r="D10924" s="209"/>
      <c r="E10924" s="209"/>
      <c r="J10924" s="124"/>
    </row>
    <row r="10925" spans="3:10" x14ac:dyDescent="0.2">
      <c r="C10925" s="209"/>
      <c r="D10925" s="209"/>
      <c r="E10925" s="209"/>
      <c r="J10925" s="124"/>
    </row>
    <row r="10926" spans="3:10" x14ac:dyDescent="0.2">
      <c r="C10926" s="209"/>
      <c r="D10926" s="209"/>
      <c r="E10926" s="209"/>
      <c r="J10926" s="124"/>
    </row>
    <row r="10927" spans="3:10" x14ac:dyDescent="0.2">
      <c r="C10927" s="209"/>
      <c r="D10927" s="209"/>
      <c r="E10927" s="209"/>
      <c r="J10927" s="124"/>
    </row>
    <row r="10928" spans="3:10" x14ac:dyDescent="0.2">
      <c r="C10928" s="209"/>
      <c r="D10928" s="209"/>
      <c r="E10928" s="209"/>
      <c r="J10928" s="124"/>
    </row>
    <row r="10929" spans="3:10" x14ac:dyDescent="0.2">
      <c r="C10929" s="209"/>
      <c r="D10929" s="209"/>
      <c r="E10929" s="209"/>
      <c r="J10929" s="124"/>
    </row>
    <row r="10930" spans="3:10" x14ac:dyDescent="0.2">
      <c r="C10930" s="209"/>
      <c r="D10930" s="209"/>
      <c r="E10930" s="209"/>
      <c r="J10930" s="124"/>
    </row>
    <row r="10931" spans="3:10" x14ac:dyDescent="0.2">
      <c r="C10931" s="209"/>
      <c r="D10931" s="209"/>
      <c r="E10931" s="209"/>
      <c r="J10931" s="124"/>
    </row>
    <row r="10932" spans="3:10" x14ac:dyDescent="0.2">
      <c r="C10932" s="209"/>
      <c r="D10932" s="209"/>
      <c r="E10932" s="209"/>
      <c r="J10932" s="124"/>
    </row>
    <row r="10933" spans="3:10" x14ac:dyDescent="0.2">
      <c r="C10933" s="209"/>
      <c r="D10933" s="209"/>
      <c r="E10933" s="209"/>
      <c r="J10933" s="124"/>
    </row>
    <row r="10934" spans="3:10" x14ac:dyDescent="0.2">
      <c r="C10934" s="209"/>
      <c r="D10934" s="209"/>
      <c r="E10934" s="209"/>
      <c r="J10934" s="124"/>
    </row>
    <row r="10935" spans="3:10" x14ac:dyDescent="0.2">
      <c r="C10935" s="209"/>
      <c r="D10935" s="209"/>
      <c r="E10935" s="209"/>
      <c r="J10935" s="124"/>
    </row>
    <row r="10936" spans="3:10" x14ac:dyDescent="0.2">
      <c r="C10936" s="209"/>
      <c r="D10936" s="209"/>
      <c r="E10936" s="209"/>
      <c r="J10936" s="124"/>
    </row>
    <row r="10937" spans="3:10" x14ac:dyDescent="0.2">
      <c r="C10937" s="209"/>
      <c r="D10937" s="209"/>
      <c r="E10937" s="209"/>
      <c r="J10937" s="124"/>
    </row>
    <row r="10938" spans="3:10" x14ac:dyDescent="0.2">
      <c r="C10938" s="209"/>
      <c r="D10938" s="209"/>
      <c r="E10938" s="209"/>
      <c r="J10938" s="124"/>
    </row>
    <row r="10939" spans="3:10" x14ac:dyDescent="0.2">
      <c r="C10939" s="209"/>
      <c r="D10939" s="209"/>
      <c r="E10939" s="209"/>
      <c r="J10939" s="124"/>
    </row>
    <row r="10940" spans="3:10" x14ac:dyDescent="0.2">
      <c r="C10940" s="209"/>
      <c r="D10940" s="209"/>
      <c r="E10940" s="209"/>
      <c r="J10940" s="124"/>
    </row>
    <row r="10941" spans="3:10" x14ac:dyDescent="0.2">
      <c r="C10941" s="209"/>
      <c r="D10941" s="209"/>
      <c r="E10941" s="209"/>
      <c r="J10941" s="124"/>
    </row>
    <row r="10942" spans="3:10" x14ac:dyDescent="0.2">
      <c r="C10942" s="209"/>
      <c r="D10942" s="209"/>
      <c r="E10942" s="209"/>
      <c r="J10942" s="124"/>
    </row>
    <row r="10943" spans="3:10" x14ac:dyDescent="0.2">
      <c r="C10943" s="209"/>
      <c r="D10943" s="209"/>
      <c r="E10943" s="209"/>
      <c r="J10943" s="124"/>
    </row>
    <row r="10944" spans="3:10" x14ac:dyDescent="0.2">
      <c r="C10944" s="209"/>
      <c r="D10944" s="209"/>
      <c r="E10944" s="209"/>
      <c r="J10944" s="124"/>
    </row>
    <row r="10945" spans="3:10" x14ac:dyDescent="0.2">
      <c r="C10945" s="209"/>
      <c r="D10945" s="209"/>
      <c r="E10945" s="209"/>
      <c r="J10945" s="124"/>
    </row>
    <row r="10946" spans="3:10" x14ac:dyDescent="0.2">
      <c r="C10946" s="209"/>
      <c r="D10946" s="209"/>
      <c r="E10946" s="209"/>
      <c r="J10946" s="124"/>
    </row>
    <row r="10947" spans="3:10" x14ac:dyDescent="0.2">
      <c r="C10947" s="209"/>
      <c r="D10947" s="209"/>
      <c r="E10947" s="209"/>
      <c r="J10947" s="124"/>
    </row>
    <row r="10948" spans="3:10" x14ac:dyDescent="0.2">
      <c r="C10948" s="209"/>
      <c r="D10948" s="209"/>
      <c r="E10948" s="209"/>
      <c r="J10948" s="124"/>
    </row>
    <row r="10949" spans="3:10" x14ac:dyDescent="0.2">
      <c r="C10949" s="209"/>
      <c r="D10949" s="209"/>
      <c r="E10949" s="209"/>
      <c r="J10949" s="124"/>
    </row>
    <row r="10950" spans="3:10" x14ac:dyDescent="0.2">
      <c r="C10950" s="209"/>
      <c r="D10950" s="209"/>
      <c r="E10950" s="209"/>
      <c r="J10950" s="124"/>
    </row>
    <row r="10951" spans="3:10" x14ac:dyDescent="0.2">
      <c r="C10951" s="209"/>
      <c r="D10951" s="209"/>
      <c r="E10951" s="209"/>
      <c r="J10951" s="124"/>
    </row>
    <row r="10952" spans="3:10" x14ac:dyDescent="0.2">
      <c r="C10952" s="209"/>
      <c r="D10952" s="209"/>
      <c r="E10952" s="209"/>
      <c r="J10952" s="124"/>
    </row>
    <row r="10953" spans="3:10" x14ac:dyDescent="0.2">
      <c r="C10953" s="209"/>
      <c r="D10953" s="209"/>
      <c r="E10953" s="209"/>
      <c r="J10953" s="124"/>
    </row>
    <row r="10954" spans="3:10" x14ac:dyDescent="0.2">
      <c r="C10954" s="209"/>
      <c r="D10954" s="209"/>
      <c r="E10954" s="209"/>
      <c r="J10954" s="124"/>
    </row>
    <row r="10955" spans="3:10" x14ac:dyDescent="0.2">
      <c r="C10955" s="209"/>
      <c r="D10955" s="209"/>
      <c r="E10955" s="209"/>
      <c r="J10955" s="124"/>
    </row>
    <row r="10956" spans="3:10" x14ac:dyDescent="0.2">
      <c r="C10956" s="209"/>
      <c r="D10956" s="209"/>
      <c r="E10956" s="209"/>
      <c r="J10956" s="124"/>
    </row>
    <row r="10957" spans="3:10" x14ac:dyDescent="0.2">
      <c r="C10957" s="209"/>
      <c r="D10957" s="209"/>
      <c r="E10957" s="209"/>
      <c r="J10957" s="124"/>
    </row>
    <row r="10958" spans="3:10" x14ac:dyDescent="0.2">
      <c r="C10958" s="209"/>
      <c r="D10958" s="209"/>
      <c r="E10958" s="209"/>
      <c r="J10958" s="124"/>
    </row>
    <row r="10959" spans="3:10" x14ac:dyDescent="0.2">
      <c r="C10959" s="209"/>
      <c r="D10959" s="209"/>
      <c r="E10959" s="209"/>
      <c r="J10959" s="124"/>
    </row>
    <row r="10960" spans="3:10" x14ac:dyDescent="0.2">
      <c r="C10960" s="209"/>
      <c r="D10960" s="209"/>
      <c r="E10960" s="209"/>
      <c r="J10960" s="124"/>
    </row>
    <row r="10961" spans="3:10" x14ac:dyDescent="0.2">
      <c r="C10961" s="209"/>
      <c r="D10961" s="209"/>
      <c r="E10961" s="209"/>
      <c r="J10961" s="124"/>
    </row>
    <row r="10962" spans="3:10" x14ac:dyDescent="0.2">
      <c r="C10962" s="209"/>
      <c r="D10962" s="209"/>
      <c r="E10962" s="209"/>
      <c r="J10962" s="124"/>
    </row>
    <row r="10963" spans="3:10" x14ac:dyDescent="0.2">
      <c r="C10963" s="209"/>
      <c r="D10963" s="209"/>
      <c r="E10963" s="209"/>
      <c r="J10963" s="124"/>
    </row>
    <row r="10964" spans="3:10" x14ac:dyDescent="0.2">
      <c r="C10964" s="209"/>
      <c r="D10964" s="209"/>
      <c r="E10964" s="209"/>
      <c r="J10964" s="124"/>
    </row>
    <row r="10965" spans="3:10" x14ac:dyDescent="0.2">
      <c r="C10965" s="209"/>
      <c r="D10965" s="209"/>
      <c r="E10965" s="209"/>
      <c r="J10965" s="124"/>
    </row>
    <row r="10966" spans="3:10" x14ac:dyDescent="0.2">
      <c r="C10966" s="209"/>
      <c r="D10966" s="209"/>
      <c r="E10966" s="209"/>
      <c r="J10966" s="124"/>
    </row>
    <row r="10967" spans="3:10" x14ac:dyDescent="0.2">
      <c r="C10967" s="209"/>
      <c r="D10967" s="209"/>
      <c r="E10967" s="209"/>
      <c r="J10967" s="124"/>
    </row>
    <row r="10968" spans="3:10" x14ac:dyDescent="0.2">
      <c r="C10968" s="209"/>
      <c r="D10968" s="209"/>
      <c r="E10968" s="209"/>
      <c r="J10968" s="124"/>
    </row>
    <row r="10969" spans="3:10" x14ac:dyDescent="0.2">
      <c r="C10969" s="209"/>
      <c r="D10969" s="209"/>
      <c r="E10969" s="209"/>
      <c r="J10969" s="124"/>
    </row>
    <row r="10970" spans="3:10" x14ac:dyDescent="0.2">
      <c r="C10970" s="209"/>
      <c r="D10970" s="209"/>
      <c r="E10970" s="209"/>
      <c r="J10970" s="124"/>
    </row>
    <row r="10971" spans="3:10" x14ac:dyDescent="0.2">
      <c r="C10971" s="209"/>
      <c r="D10971" s="209"/>
      <c r="E10971" s="209"/>
      <c r="J10971" s="124"/>
    </row>
    <row r="10972" spans="3:10" x14ac:dyDescent="0.2">
      <c r="C10972" s="209"/>
      <c r="D10972" s="209"/>
      <c r="E10972" s="209"/>
      <c r="J10972" s="124"/>
    </row>
    <row r="10973" spans="3:10" x14ac:dyDescent="0.2">
      <c r="C10973" s="209"/>
      <c r="D10973" s="209"/>
      <c r="E10973" s="209"/>
      <c r="J10973" s="124"/>
    </row>
    <row r="10974" spans="3:10" x14ac:dyDescent="0.2">
      <c r="C10974" s="209"/>
      <c r="D10974" s="209"/>
      <c r="E10974" s="209"/>
      <c r="J10974" s="124"/>
    </row>
    <row r="10975" spans="3:10" x14ac:dyDescent="0.2">
      <c r="C10975" s="209"/>
      <c r="D10975" s="209"/>
      <c r="E10975" s="209"/>
      <c r="J10975" s="124"/>
    </row>
    <row r="10976" spans="3:10" x14ac:dyDescent="0.2">
      <c r="C10976" s="209"/>
      <c r="D10976" s="209"/>
      <c r="E10976" s="209"/>
      <c r="J10976" s="124"/>
    </row>
    <row r="10977" spans="3:10" x14ac:dyDescent="0.2">
      <c r="C10977" s="209"/>
      <c r="D10977" s="209"/>
      <c r="E10977" s="209"/>
      <c r="J10977" s="124"/>
    </row>
    <row r="10978" spans="3:10" x14ac:dyDescent="0.2">
      <c r="C10978" s="209"/>
      <c r="D10978" s="209"/>
      <c r="E10978" s="209"/>
      <c r="J10978" s="124"/>
    </row>
    <row r="10979" spans="3:10" x14ac:dyDescent="0.2">
      <c r="C10979" s="209"/>
      <c r="D10979" s="209"/>
      <c r="E10979" s="209"/>
      <c r="J10979" s="124"/>
    </row>
    <row r="10980" spans="3:10" x14ac:dyDescent="0.2">
      <c r="C10980" s="209"/>
      <c r="D10980" s="209"/>
      <c r="E10980" s="209"/>
      <c r="J10980" s="124"/>
    </row>
    <row r="10981" spans="3:10" x14ac:dyDescent="0.2">
      <c r="C10981" s="209"/>
      <c r="D10981" s="209"/>
      <c r="E10981" s="209"/>
      <c r="J10981" s="124"/>
    </row>
    <row r="10982" spans="3:10" x14ac:dyDescent="0.2">
      <c r="C10982" s="209"/>
      <c r="D10982" s="209"/>
      <c r="E10982" s="209"/>
      <c r="J10982" s="124"/>
    </row>
    <row r="10983" spans="3:10" x14ac:dyDescent="0.2">
      <c r="C10983" s="209"/>
      <c r="D10983" s="209"/>
      <c r="E10983" s="209"/>
      <c r="J10983" s="124"/>
    </row>
    <row r="10984" spans="3:10" x14ac:dyDescent="0.2">
      <c r="C10984" s="209"/>
      <c r="D10984" s="209"/>
      <c r="E10984" s="209"/>
      <c r="J10984" s="124"/>
    </row>
    <row r="10985" spans="3:10" x14ac:dyDescent="0.2">
      <c r="C10985" s="209"/>
      <c r="D10985" s="209"/>
      <c r="E10985" s="209"/>
      <c r="J10985" s="124"/>
    </row>
    <row r="10986" spans="3:10" x14ac:dyDescent="0.2">
      <c r="C10986" s="209"/>
      <c r="D10986" s="209"/>
      <c r="E10986" s="209"/>
      <c r="J10986" s="124"/>
    </row>
    <row r="10987" spans="3:10" x14ac:dyDescent="0.2">
      <c r="C10987" s="209"/>
      <c r="D10987" s="209"/>
      <c r="E10987" s="209"/>
      <c r="J10987" s="124"/>
    </row>
    <row r="10988" spans="3:10" x14ac:dyDescent="0.2">
      <c r="C10988" s="209"/>
      <c r="D10988" s="209"/>
      <c r="E10988" s="209"/>
      <c r="J10988" s="124"/>
    </row>
    <row r="10989" spans="3:10" x14ac:dyDescent="0.2">
      <c r="C10989" s="209"/>
      <c r="D10989" s="209"/>
      <c r="E10989" s="209"/>
      <c r="J10989" s="124"/>
    </row>
    <row r="10990" spans="3:10" x14ac:dyDescent="0.2">
      <c r="C10990" s="209"/>
      <c r="D10990" s="209"/>
      <c r="E10990" s="209"/>
      <c r="J10990" s="124"/>
    </row>
    <row r="10991" spans="3:10" x14ac:dyDescent="0.2">
      <c r="C10991" s="209"/>
      <c r="D10991" s="209"/>
      <c r="E10991" s="209"/>
      <c r="J10991" s="124"/>
    </row>
    <row r="10992" spans="3:10" x14ac:dyDescent="0.2">
      <c r="C10992" s="209"/>
      <c r="D10992" s="209"/>
      <c r="E10992" s="209"/>
      <c r="J10992" s="124"/>
    </row>
    <row r="10993" spans="3:10" x14ac:dyDescent="0.2">
      <c r="C10993" s="209"/>
      <c r="D10993" s="209"/>
      <c r="E10993" s="209"/>
      <c r="J10993" s="124"/>
    </row>
    <row r="10994" spans="3:10" x14ac:dyDescent="0.2">
      <c r="C10994" s="209"/>
      <c r="D10994" s="209"/>
      <c r="E10994" s="209"/>
      <c r="J10994" s="124"/>
    </row>
    <row r="10995" spans="3:10" x14ac:dyDescent="0.2">
      <c r="C10995" s="209"/>
      <c r="D10995" s="209"/>
      <c r="E10995" s="209"/>
      <c r="J10995" s="124"/>
    </row>
    <row r="10996" spans="3:10" x14ac:dyDescent="0.2">
      <c r="C10996" s="209"/>
      <c r="D10996" s="209"/>
      <c r="E10996" s="209"/>
      <c r="J10996" s="124"/>
    </row>
    <row r="10997" spans="3:10" x14ac:dyDescent="0.2">
      <c r="C10997" s="209"/>
      <c r="D10997" s="209"/>
      <c r="E10997" s="209"/>
      <c r="J10997" s="124"/>
    </row>
    <row r="10998" spans="3:10" x14ac:dyDescent="0.2">
      <c r="C10998" s="209"/>
      <c r="D10998" s="209"/>
      <c r="E10998" s="209"/>
      <c r="J10998" s="124"/>
    </row>
    <row r="10999" spans="3:10" x14ac:dyDescent="0.2">
      <c r="C10999" s="209"/>
      <c r="D10999" s="209"/>
      <c r="E10999" s="209"/>
      <c r="J10999" s="124"/>
    </row>
    <row r="11000" spans="3:10" x14ac:dyDescent="0.2">
      <c r="C11000" s="209"/>
      <c r="D11000" s="209"/>
      <c r="E11000" s="209"/>
      <c r="J11000" s="124"/>
    </row>
    <row r="11001" spans="3:10" x14ac:dyDescent="0.2">
      <c r="C11001" s="209"/>
      <c r="D11001" s="209"/>
      <c r="E11001" s="209"/>
      <c r="J11001" s="124"/>
    </row>
    <row r="11002" spans="3:10" x14ac:dyDescent="0.2">
      <c r="C11002" s="209"/>
      <c r="D11002" s="209"/>
      <c r="E11002" s="209"/>
      <c r="J11002" s="124"/>
    </row>
    <row r="11003" spans="3:10" x14ac:dyDescent="0.2">
      <c r="C11003" s="209"/>
      <c r="D11003" s="209"/>
      <c r="E11003" s="209"/>
      <c r="J11003" s="124"/>
    </row>
    <row r="11004" spans="3:10" x14ac:dyDescent="0.2">
      <c r="C11004" s="209"/>
      <c r="D11004" s="209"/>
      <c r="E11004" s="209"/>
      <c r="J11004" s="124"/>
    </row>
    <row r="11005" spans="3:10" x14ac:dyDescent="0.2">
      <c r="C11005" s="209"/>
      <c r="D11005" s="209"/>
      <c r="E11005" s="209"/>
      <c r="J11005" s="124"/>
    </row>
    <row r="11006" spans="3:10" x14ac:dyDescent="0.2">
      <c r="C11006" s="209"/>
      <c r="D11006" s="209"/>
      <c r="E11006" s="209"/>
      <c r="J11006" s="124"/>
    </row>
    <row r="11007" spans="3:10" x14ac:dyDescent="0.2">
      <c r="C11007" s="209"/>
      <c r="D11007" s="209"/>
      <c r="E11007" s="209"/>
      <c r="J11007" s="124"/>
    </row>
    <row r="11008" spans="3:10" x14ac:dyDescent="0.2">
      <c r="C11008" s="209"/>
      <c r="D11008" s="209"/>
      <c r="E11008" s="209"/>
      <c r="J11008" s="124"/>
    </row>
    <row r="11009" spans="3:10" x14ac:dyDescent="0.2">
      <c r="C11009" s="209"/>
      <c r="D11009" s="209"/>
      <c r="E11009" s="209"/>
      <c r="J11009" s="124"/>
    </row>
    <row r="11010" spans="3:10" x14ac:dyDescent="0.2">
      <c r="C11010" s="209"/>
      <c r="D11010" s="209"/>
      <c r="E11010" s="209"/>
      <c r="J11010" s="124"/>
    </row>
    <row r="11011" spans="3:10" x14ac:dyDescent="0.2">
      <c r="C11011" s="209"/>
      <c r="D11011" s="209"/>
      <c r="E11011" s="209"/>
      <c r="J11011" s="124"/>
    </row>
    <row r="11012" spans="3:10" x14ac:dyDescent="0.2">
      <c r="C11012" s="209"/>
      <c r="D11012" s="209"/>
      <c r="E11012" s="209"/>
      <c r="J11012" s="124"/>
    </row>
    <row r="11013" spans="3:10" x14ac:dyDescent="0.2">
      <c r="C11013" s="209"/>
      <c r="D11013" s="209"/>
      <c r="E11013" s="209"/>
      <c r="J11013" s="124"/>
    </row>
    <row r="11014" spans="3:10" x14ac:dyDescent="0.2">
      <c r="C11014" s="209"/>
      <c r="D11014" s="209"/>
      <c r="E11014" s="209"/>
      <c r="J11014" s="124"/>
    </row>
    <row r="11015" spans="3:10" x14ac:dyDescent="0.2">
      <c r="C11015" s="209"/>
      <c r="D11015" s="209"/>
      <c r="E11015" s="209"/>
      <c r="J11015" s="124"/>
    </row>
    <row r="11016" spans="3:10" x14ac:dyDescent="0.2">
      <c r="C11016" s="209"/>
      <c r="D11016" s="209"/>
      <c r="E11016" s="209"/>
      <c r="J11016" s="124"/>
    </row>
    <row r="11017" spans="3:10" x14ac:dyDescent="0.2">
      <c r="C11017" s="209"/>
      <c r="D11017" s="209"/>
      <c r="E11017" s="209"/>
      <c r="J11017" s="124"/>
    </row>
    <row r="11018" spans="3:10" x14ac:dyDescent="0.2">
      <c r="C11018" s="209"/>
      <c r="D11018" s="209"/>
      <c r="E11018" s="209"/>
      <c r="J11018" s="124"/>
    </row>
    <row r="11019" spans="3:10" x14ac:dyDescent="0.2">
      <c r="C11019" s="209"/>
      <c r="D11019" s="209"/>
      <c r="E11019" s="209"/>
      <c r="J11019" s="124"/>
    </row>
    <row r="11020" spans="3:10" x14ac:dyDescent="0.2">
      <c r="C11020" s="209"/>
      <c r="D11020" s="209"/>
      <c r="E11020" s="209"/>
      <c r="J11020" s="124"/>
    </row>
    <row r="11021" spans="3:10" x14ac:dyDescent="0.2">
      <c r="C11021" s="209"/>
      <c r="D11021" s="209"/>
      <c r="E11021" s="209"/>
      <c r="J11021" s="124"/>
    </row>
    <row r="11022" spans="3:10" x14ac:dyDescent="0.2">
      <c r="C11022" s="209"/>
      <c r="D11022" s="209"/>
      <c r="E11022" s="209"/>
      <c r="J11022" s="124"/>
    </row>
    <row r="11023" spans="3:10" x14ac:dyDescent="0.2">
      <c r="C11023" s="209"/>
      <c r="D11023" s="209"/>
      <c r="E11023" s="209"/>
      <c r="J11023" s="124"/>
    </row>
    <row r="11024" spans="3:10" x14ac:dyDescent="0.2">
      <c r="C11024" s="209"/>
      <c r="D11024" s="209"/>
      <c r="E11024" s="209"/>
      <c r="J11024" s="124"/>
    </row>
    <row r="11025" spans="3:10" x14ac:dyDescent="0.2">
      <c r="C11025" s="209"/>
      <c r="D11025" s="209"/>
      <c r="E11025" s="209"/>
      <c r="J11025" s="124"/>
    </row>
    <row r="11026" spans="3:10" x14ac:dyDescent="0.2">
      <c r="C11026" s="209"/>
      <c r="D11026" s="209"/>
      <c r="E11026" s="209"/>
      <c r="J11026" s="124"/>
    </row>
    <row r="11027" spans="3:10" x14ac:dyDescent="0.2">
      <c r="C11027" s="209"/>
      <c r="D11027" s="209"/>
      <c r="E11027" s="209"/>
      <c r="J11027" s="124"/>
    </row>
    <row r="11028" spans="3:10" x14ac:dyDescent="0.2">
      <c r="C11028" s="209"/>
      <c r="D11028" s="209"/>
      <c r="E11028" s="209"/>
      <c r="J11028" s="124"/>
    </row>
    <row r="11029" spans="3:10" x14ac:dyDescent="0.2">
      <c r="C11029" s="209"/>
      <c r="D11029" s="209"/>
      <c r="E11029" s="209"/>
      <c r="J11029" s="124"/>
    </row>
    <row r="11030" spans="3:10" x14ac:dyDescent="0.2">
      <c r="C11030" s="209"/>
      <c r="D11030" s="209"/>
      <c r="E11030" s="209"/>
      <c r="J11030" s="124"/>
    </row>
    <row r="11031" spans="3:10" x14ac:dyDescent="0.2">
      <c r="C11031" s="209"/>
      <c r="D11031" s="209"/>
      <c r="E11031" s="209"/>
      <c r="J11031" s="124"/>
    </row>
    <row r="11032" spans="3:10" x14ac:dyDescent="0.2">
      <c r="C11032" s="209"/>
      <c r="D11032" s="209"/>
      <c r="E11032" s="209"/>
      <c r="J11032" s="124"/>
    </row>
    <row r="11033" spans="3:10" x14ac:dyDescent="0.2">
      <c r="C11033" s="209"/>
      <c r="D11033" s="209"/>
      <c r="E11033" s="209"/>
      <c r="J11033" s="124"/>
    </row>
    <row r="11034" spans="3:10" x14ac:dyDescent="0.2">
      <c r="C11034" s="209"/>
      <c r="D11034" s="209"/>
      <c r="E11034" s="209"/>
      <c r="J11034" s="124"/>
    </row>
    <row r="11035" spans="3:10" x14ac:dyDescent="0.2">
      <c r="C11035" s="209"/>
      <c r="D11035" s="209"/>
      <c r="E11035" s="209"/>
      <c r="J11035" s="124"/>
    </row>
    <row r="11036" spans="3:10" x14ac:dyDescent="0.2">
      <c r="C11036" s="209"/>
      <c r="D11036" s="209"/>
      <c r="E11036" s="209"/>
      <c r="J11036" s="124"/>
    </row>
    <row r="11037" spans="3:10" x14ac:dyDescent="0.2">
      <c r="C11037" s="209"/>
      <c r="D11037" s="209"/>
      <c r="E11037" s="209"/>
      <c r="J11037" s="124"/>
    </row>
    <row r="11038" spans="3:10" x14ac:dyDescent="0.2">
      <c r="C11038" s="209"/>
      <c r="D11038" s="209"/>
      <c r="E11038" s="209"/>
      <c r="J11038" s="124"/>
    </row>
    <row r="11039" spans="3:10" x14ac:dyDescent="0.2">
      <c r="C11039" s="209"/>
      <c r="D11039" s="209"/>
      <c r="E11039" s="209"/>
      <c r="J11039" s="124"/>
    </row>
    <row r="11040" spans="3:10" x14ac:dyDescent="0.2">
      <c r="C11040" s="209"/>
      <c r="D11040" s="209"/>
      <c r="E11040" s="209"/>
      <c r="J11040" s="124"/>
    </row>
    <row r="11041" spans="3:10" x14ac:dyDescent="0.2">
      <c r="C11041" s="209"/>
      <c r="D11041" s="209"/>
      <c r="E11041" s="209"/>
      <c r="J11041" s="124"/>
    </row>
    <row r="11042" spans="3:10" x14ac:dyDescent="0.2">
      <c r="C11042" s="209"/>
      <c r="D11042" s="209"/>
      <c r="E11042" s="209"/>
      <c r="J11042" s="124"/>
    </row>
    <row r="11043" spans="3:10" x14ac:dyDescent="0.2">
      <c r="C11043" s="209"/>
      <c r="D11043" s="209"/>
      <c r="E11043" s="209"/>
      <c r="J11043" s="124"/>
    </row>
    <row r="11044" spans="3:10" x14ac:dyDescent="0.2">
      <c r="C11044" s="209"/>
      <c r="D11044" s="209"/>
      <c r="E11044" s="209"/>
      <c r="J11044" s="124"/>
    </row>
    <row r="11045" spans="3:10" x14ac:dyDescent="0.2">
      <c r="C11045" s="209"/>
      <c r="D11045" s="209"/>
      <c r="E11045" s="209"/>
      <c r="J11045" s="124"/>
    </row>
    <row r="11046" spans="3:10" x14ac:dyDescent="0.2">
      <c r="C11046" s="209"/>
      <c r="D11046" s="209"/>
      <c r="E11046" s="209"/>
      <c r="J11046" s="124"/>
    </row>
    <row r="11047" spans="3:10" x14ac:dyDescent="0.2">
      <c r="C11047" s="209"/>
      <c r="D11047" s="209"/>
      <c r="E11047" s="209"/>
      <c r="J11047" s="124"/>
    </row>
    <row r="11048" spans="3:10" x14ac:dyDescent="0.2">
      <c r="C11048" s="209"/>
      <c r="D11048" s="209"/>
      <c r="E11048" s="209"/>
      <c r="J11048" s="124"/>
    </row>
    <row r="11049" spans="3:10" x14ac:dyDescent="0.2">
      <c r="C11049" s="209"/>
      <c r="D11049" s="209"/>
      <c r="E11049" s="209"/>
      <c r="J11049" s="124"/>
    </row>
    <row r="11050" spans="3:10" x14ac:dyDescent="0.2">
      <c r="C11050" s="209"/>
      <c r="D11050" s="209"/>
      <c r="E11050" s="209"/>
      <c r="J11050" s="124"/>
    </row>
    <row r="11051" spans="3:10" x14ac:dyDescent="0.2">
      <c r="C11051" s="209"/>
      <c r="D11051" s="209"/>
      <c r="E11051" s="209"/>
      <c r="J11051" s="124"/>
    </row>
    <row r="11052" spans="3:10" x14ac:dyDescent="0.2">
      <c r="C11052" s="209"/>
      <c r="D11052" s="209"/>
      <c r="E11052" s="209"/>
      <c r="J11052" s="124"/>
    </row>
    <row r="11053" spans="3:10" x14ac:dyDescent="0.2">
      <c r="C11053" s="209"/>
      <c r="D11053" s="209"/>
      <c r="E11053" s="209"/>
      <c r="J11053" s="124"/>
    </row>
    <row r="11054" spans="3:10" x14ac:dyDescent="0.2">
      <c r="C11054" s="209"/>
      <c r="D11054" s="209"/>
      <c r="E11054" s="209"/>
      <c r="J11054" s="124"/>
    </row>
    <row r="11055" spans="3:10" x14ac:dyDescent="0.2">
      <c r="C11055" s="209"/>
      <c r="D11055" s="209"/>
      <c r="E11055" s="209"/>
      <c r="J11055" s="124"/>
    </row>
    <row r="11056" spans="3:10" x14ac:dyDescent="0.2">
      <c r="C11056" s="209"/>
      <c r="D11056" s="209"/>
      <c r="E11056" s="209"/>
      <c r="J11056" s="124"/>
    </row>
    <row r="11057" spans="3:10" x14ac:dyDescent="0.2">
      <c r="C11057" s="209"/>
      <c r="D11057" s="209"/>
      <c r="E11057" s="209"/>
      <c r="J11057" s="124"/>
    </row>
    <row r="11058" spans="3:10" x14ac:dyDescent="0.2">
      <c r="C11058" s="209"/>
      <c r="D11058" s="209"/>
      <c r="E11058" s="209"/>
      <c r="J11058" s="124"/>
    </row>
    <row r="11059" spans="3:10" x14ac:dyDescent="0.2">
      <c r="C11059" s="209"/>
      <c r="D11059" s="209"/>
      <c r="E11059" s="209"/>
      <c r="J11059" s="124"/>
    </row>
    <row r="11060" spans="3:10" x14ac:dyDescent="0.2">
      <c r="C11060" s="209"/>
      <c r="D11060" s="209"/>
      <c r="E11060" s="209"/>
      <c r="J11060" s="124"/>
    </row>
    <row r="11061" spans="3:10" x14ac:dyDescent="0.2">
      <c r="C11061" s="209"/>
      <c r="D11061" s="209"/>
      <c r="E11061" s="209"/>
      <c r="J11061" s="124"/>
    </row>
    <row r="11062" spans="3:10" x14ac:dyDescent="0.2">
      <c r="C11062" s="209"/>
      <c r="D11062" s="209"/>
      <c r="E11062" s="209"/>
      <c r="J11062" s="124"/>
    </row>
    <row r="11063" spans="3:10" x14ac:dyDescent="0.2">
      <c r="C11063" s="209"/>
      <c r="D11063" s="209"/>
      <c r="E11063" s="209"/>
      <c r="J11063" s="124"/>
    </row>
    <row r="11064" spans="3:10" x14ac:dyDescent="0.2">
      <c r="C11064" s="209"/>
      <c r="D11064" s="209"/>
      <c r="E11064" s="209"/>
      <c r="J11064" s="124"/>
    </row>
    <row r="11065" spans="3:10" x14ac:dyDescent="0.2">
      <c r="C11065" s="209"/>
      <c r="D11065" s="209"/>
      <c r="E11065" s="209"/>
      <c r="J11065" s="124"/>
    </row>
    <row r="11066" spans="3:10" x14ac:dyDescent="0.2">
      <c r="C11066" s="209"/>
      <c r="D11066" s="209"/>
      <c r="E11066" s="209"/>
      <c r="J11066" s="124"/>
    </row>
    <row r="11067" spans="3:10" x14ac:dyDescent="0.2">
      <c r="C11067" s="209"/>
      <c r="D11067" s="209"/>
      <c r="E11067" s="209"/>
      <c r="J11067" s="124"/>
    </row>
    <row r="11068" spans="3:10" x14ac:dyDescent="0.2">
      <c r="C11068" s="209"/>
      <c r="D11068" s="209"/>
      <c r="E11068" s="209"/>
      <c r="J11068" s="124"/>
    </row>
    <row r="11069" spans="3:10" x14ac:dyDescent="0.2">
      <c r="C11069" s="209"/>
      <c r="D11069" s="209"/>
      <c r="E11069" s="209"/>
      <c r="J11069" s="124"/>
    </row>
    <row r="11070" spans="3:10" x14ac:dyDescent="0.2">
      <c r="C11070" s="209"/>
      <c r="D11070" s="209"/>
      <c r="E11070" s="209"/>
      <c r="J11070" s="124"/>
    </row>
    <row r="11071" spans="3:10" x14ac:dyDescent="0.2">
      <c r="C11071" s="209"/>
      <c r="D11071" s="209"/>
      <c r="E11071" s="209"/>
      <c r="J11071" s="124"/>
    </row>
    <row r="11072" spans="3:10" x14ac:dyDescent="0.2">
      <c r="C11072" s="209"/>
      <c r="D11072" s="209"/>
      <c r="E11072" s="209"/>
      <c r="J11072" s="124"/>
    </row>
    <row r="11073" spans="3:10" x14ac:dyDescent="0.2">
      <c r="C11073" s="209"/>
      <c r="D11073" s="209"/>
      <c r="E11073" s="209"/>
      <c r="J11073" s="124"/>
    </row>
    <row r="11074" spans="3:10" x14ac:dyDescent="0.2">
      <c r="C11074" s="209"/>
      <c r="D11074" s="209"/>
      <c r="E11074" s="209"/>
      <c r="J11074" s="124"/>
    </row>
    <row r="11075" spans="3:10" x14ac:dyDescent="0.2">
      <c r="C11075" s="209"/>
      <c r="D11075" s="209"/>
      <c r="E11075" s="209"/>
      <c r="J11075" s="124"/>
    </row>
    <row r="11076" spans="3:10" x14ac:dyDescent="0.2">
      <c r="C11076" s="209"/>
      <c r="D11076" s="209"/>
      <c r="E11076" s="209"/>
      <c r="J11076" s="124"/>
    </row>
    <row r="11077" spans="3:10" x14ac:dyDescent="0.2">
      <c r="C11077" s="209"/>
      <c r="D11077" s="209"/>
      <c r="E11077" s="209"/>
      <c r="J11077" s="124"/>
    </row>
    <row r="11078" spans="3:10" x14ac:dyDescent="0.2">
      <c r="C11078" s="209"/>
      <c r="D11078" s="209"/>
      <c r="E11078" s="209"/>
      <c r="J11078" s="124"/>
    </row>
    <row r="11079" spans="3:10" x14ac:dyDescent="0.2">
      <c r="C11079" s="209"/>
      <c r="D11079" s="209"/>
      <c r="E11079" s="209"/>
      <c r="J11079" s="124"/>
    </row>
    <row r="11080" spans="3:10" x14ac:dyDescent="0.2">
      <c r="C11080" s="209"/>
      <c r="D11080" s="209"/>
      <c r="E11080" s="209"/>
      <c r="J11080" s="124"/>
    </row>
    <row r="11081" spans="3:10" x14ac:dyDescent="0.2">
      <c r="C11081" s="209"/>
      <c r="D11081" s="209"/>
      <c r="E11081" s="209"/>
      <c r="J11081" s="124"/>
    </row>
    <row r="11082" spans="3:10" x14ac:dyDescent="0.2">
      <c r="C11082" s="209"/>
      <c r="D11082" s="209"/>
      <c r="E11082" s="209"/>
      <c r="J11082" s="124"/>
    </row>
    <row r="11083" spans="3:10" x14ac:dyDescent="0.2">
      <c r="C11083" s="209"/>
      <c r="D11083" s="209"/>
      <c r="E11083" s="209"/>
      <c r="J11083" s="124"/>
    </row>
    <row r="11084" spans="3:10" x14ac:dyDescent="0.2">
      <c r="C11084" s="209"/>
      <c r="D11084" s="209"/>
      <c r="E11084" s="209"/>
      <c r="J11084" s="124"/>
    </row>
    <row r="11085" spans="3:10" x14ac:dyDescent="0.2">
      <c r="C11085" s="209"/>
      <c r="D11085" s="209"/>
      <c r="E11085" s="209"/>
      <c r="J11085" s="124"/>
    </row>
    <row r="11086" spans="3:10" x14ac:dyDescent="0.2">
      <c r="C11086" s="209"/>
      <c r="D11086" s="209"/>
      <c r="E11086" s="209"/>
      <c r="J11086" s="124"/>
    </row>
    <row r="11087" spans="3:10" x14ac:dyDescent="0.2">
      <c r="C11087" s="209"/>
      <c r="D11087" s="209"/>
      <c r="E11087" s="209"/>
      <c r="J11087" s="124"/>
    </row>
    <row r="11088" spans="3:10" x14ac:dyDescent="0.2">
      <c r="C11088" s="209"/>
      <c r="D11088" s="209"/>
      <c r="E11088" s="209"/>
      <c r="J11088" s="124"/>
    </row>
    <row r="11089" spans="3:10" x14ac:dyDescent="0.2">
      <c r="C11089" s="209"/>
      <c r="D11089" s="209"/>
      <c r="E11089" s="209"/>
      <c r="J11089" s="124"/>
    </row>
    <row r="11090" spans="3:10" x14ac:dyDescent="0.2">
      <c r="C11090" s="209"/>
      <c r="D11090" s="209"/>
      <c r="E11090" s="209"/>
      <c r="J11090" s="124"/>
    </row>
    <row r="11091" spans="3:10" x14ac:dyDescent="0.2">
      <c r="C11091" s="209"/>
      <c r="D11091" s="209"/>
      <c r="E11091" s="209"/>
      <c r="J11091" s="124"/>
    </row>
    <row r="11092" spans="3:10" x14ac:dyDescent="0.2">
      <c r="C11092" s="209"/>
      <c r="D11092" s="209"/>
      <c r="E11092" s="209"/>
      <c r="J11092" s="124"/>
    </row>
    <row r="11093" spans="3:10" x14ac:dyDescent="0.2">
      <c r="C11093" s="209"/>
      <c r="D11093" s="209"/>
      <c r="E11093" s="209"/>
      <c r="J11093" s="124"/>
    </row>
    <row r="11094" spans="3:10" x14ac:dyDescent="0.2">
      <c r="C11094" s="209"/>
      <c r="D11094" s="209"/>
      <c r="E11094" s="209"/>
      <c r="J11094" s="124"/>
    </row>
    <row r="11095" spans="3:10" x14ac:dyDescent="0.2">
      <c r="C11095" s="209"/>
      <c r="D11095" s="209"/>
      <c r="E11095" s="209"/>
      <c r="J11095" s="124"/>
    </row>
    <row r="11096" spans="3:10" x14ac:dyDescent="0.2">
      <c r="C11096" s="209"/>
      <c r="D11096" s="209"/>
      <c r="E11096" s="209"/>
      <c r="J11096" s="124"/>
    </row>
    <row r="11097" spans="3:10" x14ac:dyDescent="0.2">
      <c r="C11097" s="209"/>
      <c r="D11097" s="209"/>
      <c r="E11097" s="209"/>
      <c r="J11097" s="124"/>
    </row>
    <row r="11098" spans="3:10" x14ac:dyDescent="0.2">
      <c r="C11098" s="209"/>
      <c r="D11098" s="209"/>
      <c r="E11098" s="209"/>
      <c r="J11098" s="124"/>
    </row>
    <row r="11099" spans="3:10" x14ac:dyDescent="0.2">
      <c r="C11099" s="209"/>
      <c r="D11099" s="209"/>
      <c r="E11099" s="209"/>
      <c r="J11099" s="124"/>
    </row>
    <row r="11100" spans="3:10" x14ac:dyDescent="0.2">
      <c r="C11100" s="209"/>
      <c r="D11100" s="209"/>
      <c r="E11100" s="209"/>
      <c r="J11100" s="124"/>
    </row>
    <row r="11101" spans="3:10" x14ac:dyDescent="0.2">
      <c r="C11101" s="209"/>
      <c r="D11101" s="209"/>
      <c r="E11101" s="209"/>
      <c r="J11101" s="124"/>
    </row>
    <row r="11102" spans="3:10" x14ac:dyDescent="0.2">
      <c r="C11102" s="209"/>
      <c r="D11102" s="209"/>
      <c r="E11102" s="209"/>
      <c r="J11102" s="124"/>
    </row>
    <row r="11103" spans="3:10" x14ac:dyDescent="0.2">
      <c r="C11103" s="209"/>
      <c r="D11103" s="209"/>
      <c r="E11103" s="209"/>
      <c r="J11103" s="124"/>
    </row>
    <row r="11104" spans="3:10" x14ac:dyDescent="0.2">
      <c r="C11104" s="209"/>
      <c r="D11104" s="209"/>
      <c r="E11104" s="209"/>
      <c r="J11104" s="124"/>
    </row>
    <row r="11105" spans="3:10" x14ac:dyDescent="0.2">
      <c r="C11105" s="209"/>
      <c r="D11105" s="209"/>
      <c r="E11105" s="209"/>
      <c r="J11105" s="124"/>
    </row>
    <row r="11106" spans="3:10" x14ac:dyDescent="0.2">
      <c r="C11106" s="209"/>
      <c r="D11106" s="209"/>
      <c r="E11106" s="209"/>
      <c r="J11106" s="124"/>
    </row>
    <row r="11107" spans="3:10" x14ac:dyDescent="0.2">
      <c r="C11107" s="209"/>
      <c r="D11107" s="209"/>
      <c r="E11107" s="209"/>
      <c r="J11107" s="124"/>
    </row>
    <row r="11108" spans="3:10" x14ac:dyDescent="0.2">
      <c r="C11108" s="209"/>
      <c r="D11108" s="209"/>
      <c r="E11108" s="209"/>
      <c r="J11108" s="124"/>
    </row>
    <row r="11109" spans="3:10" x14ac:dyDescent="0.2">
      <c r="C11109" s="209"/>
      <c r="D11109" s="209"/>
      <c r="E11109" s="209"/>
      <c r="J11109" s="124"/>
    </row>
    <row r="11110" spans="3:10" x14ac:dyDescent="0.2">
      <c r="C11110" s="209"/>
      <c r="D11110" s="209"/>
      <c r="E11110" s="209"/>
      <c r="J11110" s="124"/>
    </row>
    <row r="11111" spans="3:10" x14ac:dyDescent="0.2">
      <c r="C11111" s="209"/>
      <c r="D11111" s="209"/>
      <c r="E11111" s="209"/>
      <c r="J11111" s="124"/>
    </row>
    <row r="11112" spans="3:10" x14ac:dyDescent="0.2">
      <c r="C11112" s="209"/>
      <c r="D11112" s="209"/>
      <c r="E11112" s="209"/>
      <c r="J11112" s="124"/>
    </row>
    <row r="11113" spans="3:10" x14ac:dyDescent="0.2">
      <c r="C11113" s="209"/>
      <c r="D11113" s="209"/>
      <c r="E11113" s="209"/>
      <c r="J11113" s="124"/>
    </row>
    <row r="11114" spans="3:10" x14ac:dyDescent="0.2">
      <c r="C11114" s="209"/>
      <c r="D11114" s="209"/>
      <c r="E11114" s="209"/>
      <c r="J11114" s="124"/>
    </row>
    <row r="11115" spans="3:10" x14ac:dyDescent="0.2">
      <c r="C11115" s="209"/>
      <c r="D11115" s="209"/>
      <c r="E11115" s="209"/>
      <c r="J11115" s="124"/>
    </row>
    <row r="11116" spans="3:10" x14ac:dyDescent="0.2">
      <c r="C11116" s="209"/>
      <c r="D11116" s="209"/>
      <c r="E11116" s="209"/>
      <c r="J11116" s="124"/>
    </row>
    <row r="11117" spans="3:10" x14ac:dyDescent="0.2">
      <c r="C11117" s="209"/>
      <c r="D11117" s="209"/>
      <c r="E11117" s="209"/>
      <c r="J11117" s="124"/>
    </row>
    <row r="11118" spans="3:10" x14ac:dyDescent="0.2">
      <c r="C11118" s="209"/>
      <c r="D11118" s="209"/>
      <c r="E11118" s="209"/>
      <c r="J11118" s="124"/>
    </row>
    <row r="11119" spans="3:10" x14ac:dyDescent="0.2">
      <c r="C11119" s="209"/>
      <c r="D11119" s="209"/>
      <c r="E11119" s="209"/>
      <c r="J11119" s="124"/>
    </row>
    <row r="11120" spans="3:10" x14ac:dyDescent="0.2">
      <c r="C11120" s="209"/>
      <c r="D11120" s="209"/>
      <c r="E11120" s="209"/>
      <c r="J11120" s="124"/>
    </row>
    <row r="11121" spans="3:10" x14ac:dyDescent="0.2">
      <c r="C11121" s="209"/>
      <c r="D11121" s="209"/>
      <c r="E11121" s="209"/>
      <c r="J11121" s="124"/>
    </row>
    <row r="11122" spans="3:10" x14ac:dyDescent="0.2">
      <c r="C11122" s="209"/>
      <c r="D11122" s="209"/>
      <c r="E11122" s="209"/>
      <c r="J11122" s="124"/>
    </row>
    <row r="11123" spans="3:10" x14ac:dyDescent="0.2">
      <c r="C11123" s="209"/>
      <c r="D11123" s="209"/>
      <c r="E11123" s="209"/>
      <c r="J11123" s="124"/>
    </row>
    <row r="11124" spans="3:10" x14ac:dyDescent="0.2">
      <c r="C11124" s="209"/>
      <c r="D11124" s="209"/>
      <c r="E11124" s="209"/>
      <c r="J11124" s="124"/>
    </row>
    <row r="11125" spans="3:10" x14ac:dyDescent="0.2">
      <c r="C11125" s="209"/>
      <c r="D11125" s="209"/>
      <c r="E11125" s="209"/>
      <c r="J11125" s="124"/>
    </row>
    <row r="11126" spans="3:10" x14ac:dyDescent="0.2">
      <c r="C11126" s="209"/>
      <c r="D11126" s="209"/>
      <c r="E11126" s="209"/>
      <c r="J11126" s="124"/>
    </row>
    <row r="11127" spans="3:10" x14ac:dyDescent="0.2">
      <c r="C11127" s="209"/>
      <c r="D11127" s="209"/>
      <c r="E11127" s="209"/>
      <c r="J11127" s="124"/>
    </row>
    <row r="11128" spans="3:10" x14ac:dyDescent="0.2">
      <c r="C11128" s="209"/>
      <c r="D11128" s="209"/>
      <c r="E11128" s="209"/>
      <c r="J11128" s="124"/>
    </row>
    <row r="11129" spans="3:10" x14ac:dyDescent="0.2">
      <c r="C11129" s="209"/>
      <c r="D11129" s="209"/>
      <c r="E11129" s="209"/>
      <c r="J11129" s="124"/>
    </row>
    <row r="11130" spans="3:10" x14ac:dyDescent="0.2">
      <c r="C11130" s="209"/>
      <c r="D11130" s="209"/>
      <c r="E11130" s="209"/>
      <c r="J11130" s="124"/>
    </row>
    <row r="11131" spans="3:10" x14ac:dyDescent="0.2">
      <c r="C11131" s="209"/>
      <c r="D11131" s="209"/>
      <c r="E11131" s="209"/>
      <c r="J11131" s="124"/>
    </row>
    <row r="11132" spans="3:10" x14ac:dyDescent="0.2">
      <c r="C11132" s="209"/>
      <c r="D11132" s="209"/>
      <c r="E11132" s="209"/>
      <c r="J11132" s="124"/>
    </row>
    <row r="11133" spans="3:10" x14ac:dyDescent="0.2">
      <c r="C11133" s="209"/>
      <c r="D11133" s="209"/>
      <c r="E11133" s="209"/>
      <c r="J11133" s="124"/>
    </row>
    <row r="11134" spans="3:10" x14ac:dyDescent="0.2">
      <c r="C11134" s="209"/>
      <c r="D11134" s="209"/>
      <c r="E11134" s="209"/>
      <c r="J11134" s="124"/>
    </row>
    <row r="11135" spans="3:10" x14ac:dyDescent="0.2">
      <c r="C11135" s="209"/>
      <c r="D11135" s="209"/>
      <c r="E11135" s="209"/>
      <c r="J11135" s="124"/>
    </row>
    <row r="11136" spans="3:10" x14ac:dyDescent="0.2">
      <c r="C11136" s="209"/>
      <c r="D11136" s="209"/>
      <c r="E11136" s="209"/>
      <c r="J11136" s="124"/>
    </row>
    <row r="11137" spans="3:10" x14ac:dyDescent="0.2">
      <c r="C11137" s="209"/>
      <c r="D11137" s="209"/>
      <c r="E11137" s="209"/>
      <c r="J11137" s="124"/>
    </row>
    <row r="11138" spans="3:10" x14ac:dyDescent="0.2">
      <c r="C11138" s="209"/>
      <c r="D11138" s="209"/>
      <c r="E11138" s="209"/>
      <c r="J11138" s="124"/>
    </row>
    <row r="11139" spans="3:10" x14ac:dyDescent="0.2">
      <c r="C11139" s="209"/>
      <c r="D11139" s="209"/>
      <c r="E11139" s="209"/>
      <c r="J11139" s="124"/>
    </row>
    <row r="11140" spans="3:10" x14ac:dyDescent="0.2">
      <c r="C11140" s="209"/>
      <c r="D11140" s="209"/>
      <c r="E11140" s="209"/>
      <c r="J11140" s="124"/>
    </row>
    <row r="11141" spans="3:10" x14ac:dyDescent="0.2">
      <c r="C11141" s="209"/>
      <c r="D11141" s="209"/>
      <c r="E11141" s="209"/>
      <c r="J11141" s="124"/>
    </row>
    <row r="11142" spans="3:10" x14ac:dyDescent="0.2">
      <c r="C11142" s="209"/>
      <c r="D11142" s="209"/>
      <c r="E11142" s="209"/>
      <c r="J11142" s="124"/>
    </row>
    <row r="11143" spans="3:10" x14ac:dyDescent="0.2">
      <c r="C11143" s="209"/>
      <c r="D11143" s="209"/>
      <c r="E11143" s="209"/>
      <c r="J11143" s="124"/>
    </row>
    <row r="11144" spans="3:10" x14ac:dyDescent="0.2">
      <c r="C11144" s="209"/>
      <c r="D11144" s="209"/>
      <c r="E11144" s="209"/>
      <c r="J11144" s="124"/>
    </row>
    <row r="11145" spans="3:10" x14ac:dyDescent="0.2">
      <c r="C11145" s="209"/>
      <c r="D11145" s="209"/>
      <c r="E11145" s="209"/>
      <c r="J11145" s="124"/>
    </row>
    <row r="11146" spans="3:10" x14ac:dyDescent="0.2">
      <c r="C11146" s="209"/>
      <c r="D11146" s="209"/>
      <c r="E11146" s="209"/>
      <c r="J11146" s="124"/>
    </row>
    <row r="11147" spans="3:10" x14ac:dyDescent="0.2">
      <c r="C11147" s="209"/>
      <c r="D11147" s="209"/>
      <c r="E11147" s="209"/>
      <c r="J11147" s="124"/>
    </row>
    <row r="11148" spans="3:10" x14ac:dyDescent="0.2">
      <c r="C11148" s="209"/>
      <c r="D11148" s="209"/>
      <c r="E11148" s="209"/>
      <c r="J11148" s="124"/>
    </row>
    <row r="11149" spans="3:10" x14ac:dyDescent="0.2">
      <c r="C11149" s="209"/>
      <c r="D11149" s="209"/>
      <c r="E11149" s="209"/>
      <c r="J11149" s="124"/>
    </row>
    <row r="11150" spans="3:10" x14ac:dyDescent="0.2">
      <c r="C11150" s="209"/>
      <c r="D11150" s="209"/>
      <c r="E11150" s="209"/>
      <c r="J11150" s="124"/>
    </row>
    <row r="11151" spans="3:10" x14ac:dyDescent="0.2">
      <c r="C11151" s="209"/>
      <c r="D11151" s="209"/>
      <c r="E11151" s="209"/>
      <c r="J11151" s="124"/>
    </row>
    <row r="11152" spans="3:10" x14ac:dyDescent="0.2">
      <c r="C11152" s="209"/>
      <c r="D11152" s="209"/>
      <c r="E11152" s="209"/>
      <c r="J11152" s="124"/>
    </row>
    <row r="11153" spans="3:10" x14ac:dyDescent="0.2">
      <c r="C11153" s="209"/>
      <c r="D11153" s="209"/>
      <c r="E11153" s="209"/>
      <c r="J11153" s="124"/>
    </row>
    <row r="11154" spans="3:10" x14ac:dyDescent="0.2">
      <c r="C11154" s="209"/>
      <c r="D11154" s="209"/>
      <c r="E11154" s="209"/>
      <c r="J11154" s="124"/>
    </row>
    <row r="11155" spans="3:10" x14ac:dyDescent="0.2">
      <c r="C11155" s="209"/>
      <c r="D11155" s="209"/>
      <c r="E11155" s="209"/>
      <c r="J11155" s="124"/>
    </row>
    <row r="11156" spans="3:10" x14ac:dyDescent="0.2">
      <c r="C11156" s="209"/>
      <c r="D11156" s="209"/>
      <c r="E11156" s="209"/>
      <c r="J11156" s="124"/>
    </row>
    <row r="11157" spans="3:10" x14ac:dyDescent="0.2">
      <c r="C11157" s="209"/>
      <c r="D11157" s="209"/>
      <c r="E11157" s="209"/>
      <c r="J11157" s="124"/>
    </row>
    <row r="11158" spans="3:10" x14ac:dyDescent="0.2">
      <c r="C11158" s="209"/>
      <c r="D11158" s="209"/>
      <c r="E11158" s="209"/>
      <c r="J11158" s="124"/>
    </row>
    <row r="11159" spans="3:10" x14ac:dyDescent="0.2">
      <c r="C11159" s="209"/>
      <c r="D11159" s="209"/>
      <c r="E11159" s="209"/>
      <c r="J11159" s="124"/>
    </row>
    <row r="11160" spans="3:10" x14ac:dyDescent="0.2">
      <c r="C11160" s="209"/>
      <c r="D11160" s="209"/>
      <c r="E11160" s="209"/>
      <c r="J11160" s="124"/>
    </row>
    <row r="11161" spans="3:10" x14ac:dyDescent="0.2">
      <c r="C11161" s="209"/>
      <c r="D11161" s="209"/>
      <c r="E11161" s="209"/>
      <c r="J11161" s="124"/>
    </row>
    <row r="11162" spans="3:10" x14ac:dyDescent="0.2">
      <c r="C11162" s="209"/>
      <c r="D11162" s="209"/>
      <c r="E11162" s="209"/>
      <c r="J11162" s="124"/>
    </row>
    <row r="11163" spans="3:10" x14ac:dyDescent="0.2">
      <c r="C11163" s="209"/>
      <c r="D11163" s="209"/>
      <c r="E11163" s="209"/>
      <c r="J11163" s="124"/>
    </row>
    <row r="11164" spans="3:10" x14ac:dyDescent="0.2">
      <c r="C11164" s="209"/>
      <c r="D11164" s="209"/>
      <c r="E11164" s="209"/>
      <c r="J11164" s="124"/>
    </row>
    <row r="11165" spans="3:10" x14ac:dyDescent="0.2">
      <c r="C11165" s="209"/>
      <c r="D11165" s="209"/>
      <c r="E11165" s="209"/>
      <c r="J11165" s="124"/>
    </row>
    <row r="11166" spans="3:10" x14ac:dyDescent="0.2">
      <c r="C11166" s="209"/>
      <c r="D11166" s="209"/>
      <c r="E11166" s="209"/>
      <c r="J11166" s="124"/>
    </row>
    <row r="11167" spans="3:10" x14ac:dyDescent="0.2">
      <c r="C11167" s="209"/>
      <c r="D11167" s="209"/>
      <c r="E11167" s="209"/>
      <c r="J11167" s="124"/>
    </row>
    <row r="11168" spans="3:10" x14ac:dyDescent="0.2">
      <c r="C11168" s="209"/>
      <c r="D11168" s="209"/>
      <c r="E11168" s="209"/>
      <c r="J11168" s="124"/>
    </row>
    <row r="11169" spans="3:10" x14ac:dyDescent="0.2">
      <c r="C11169" s="209"/>
      <c r="D11169" s="209"/>
      <c r="E11169" s="209"/>
      <c r="J11169" s="124"/>
    </row>
    <row r="11170" spans="3:10" x14ac:dyDescent="0.2">
      <c r="C11170" s="209"/>
      <c r="D11170" s="209"/>
      <c r="E11170" s="209"/>
      <c r="J11170" s="124"/>
    </row>
    <row r="11171" spans="3:10" x14ac:dyDescent="0.2">
      <c r="C11171" s="209"/>
      <c r="D11171" s="209"/>
      <c r="E11171" s="209"/>
      <c r="J11171" s="124"/>
    </row>
    <row r="11172" spans="3:10" x14ac:dyDescent="0.2">
      <c r="C11172" s="209"/>
      <c r="D11172" s="209"/>
      <c r="E11172" s="209"/>
      <c r="J11172" s="124"/>
    </row>
    <row r="11173" spans="3:10" x14ac:dyDescent="0.2">
      <c r="C11173" s="209"/>
      <c r="D11173" s="209"/>
      <c r="E11173" s="209"/>
      <c r="J11173" s="124"/>
    </row>
    <row r="11174" spans="3:10" x14ac:dyDescent="0.2">
      <c r="C11174" s="209"/>
      <c r="D11174" s="209"/>
      <c r="E11174" s="209"/>
      <c r="J11174" s="124"/>
    </row>
    <row r="11175" spans="3:10" x14ac:dyDescent="0.2">
      <c r="C11175" s="209"/>
      <c r="D11175" s="209"/>
      <c r="E11175" s="209"/>
      <c r="J11175" s="124"/>
    </row>
    <row r="11176" spans="3:10" x14ac:dyDescent="0.2">
      <c r="C11176" s="209"/>
      <c r="D11176" s="209"/>
      <c r="E11176" s="209"/>
      <c r="J11176" s="124"/>
    </row>
    <row r="11177" spans="3:10" x14ac:dyDescent="0.2">
      <c r="C11177" s="209"/>
      <c r="D11177" s="209"/>
      <c r="E11177" s="209"/>
      <c r="J11177" s="124"/>
    </row>
    <row r="11178" spans="3:10" x14ac:dyDescent="0.2">
      <c r="C11178" s="209"/>
      <c r="D11178" s="209"/>
      <c r="E11178" s="209"/>
      <c r="J11178" s="124"/>
    </row>
    <row r="11179" spans="3:10" x14ac:dyDescent="0.2">
      <c r="C11179" s="209"/>
      <c r="D11179" s="209"/>
      <c r="E11179" s="209"/>
      <c r="J11179" s="124"/>
    </row>
    <row r="11180" spans="3:10" x14ac:dyDescent="0.2">
      <c r="C11180" s="209"/>
      <c r="D11180" s="209"/>
      <c r="E11180" s="209"/>
      <c r="J11180" s="124"/>
    </row>
    <row r="11181" spans="3:10" x14ac:dyDescent="0.2">
      <c r="C11181" s="209"/>
      <c r="D11181" s="209"/>
      <c r="E11181" s="209"/>
      <c r="J11181" s="124"/>
    </row>
    <row r="11182" spans="3:10" x14ac:dyDescent="0.2">
      <c r="C11182" s="209"/>
      <c r="D11182" s="209"/>
      <c r="E11182" s="209"/>
      <c r="J11182" s="124"/>
    </row>
    <row r="11183" spans="3:10" x14ac:dyDescent="0.2">
      <c r="C11183" s="209"/>
      <c r="D11183" s="209"/>
      <c r="E11183" s="209"/>
      <c r="J11183" s="124"/>
    </row>
    <row r="11184" spans="3:10" x14ac:dyDescent="0.2">
      <c r="C11184" s="209"/>
      <c r="D11184" s="209"/>
      <c r="E11184" s="209"/>
      <c r="J11184" s="124"/>
    </row>
    <row r="11185" spans="3:10" x14ac:dyDescent="0.2">
      <c r="C11185" s="209"/>
      <c r="D11185" s="209"/>
      <c r="E11185" s="209"/>
      <c r="J11185" s="124"/>
    </row>
    <row r="11186" spans="3:10" x14ac:dyDescent="0.2">
      <c r="C11186" s="209"/>
      <c r="D11186" s="209"/>
      <c r="E11186" s="209"/>
      <c r="J11186" s="124"/>
    </row>
    <row r="11187" spans="3:10" x14ac:dyDescent="0.2">
      <c r="C11187" s="209"/>
      <c r="D11187" s="209"/>
      <c r="E11187" s="209"/>
      <c r="J11187" s="124"/>
    </row>
    <row r="11188" spans="3:10" x14ac:dyDescent="0.2">
      <c r="C11188" s="209"/>
      <c r="D11188" s="209"/>
      <c r="E11188" s="209"/>
      <c r="J11188" s="124"/>
    </row>
    <row r="11189" spans="3:10" x14ac:dyDescent="0.2">
      <c r="C11189" s="209"/>
      <c r="D11189" s="209"/>
      <c r="E11189" s="209"/>
      <c r="J11189" s="124"/>
    </row>
    <row r="11190" spans="3:10" x14ac:dyDescent="0.2">
      <c r="C11190" s="209"/>
      <c r="D11190" s="209"/>
      <c r="E11190" s="209"/>
      <c r="J11190" s="124"/>
    </row>
    <row r="11191" spans="3:10" x14ac:dyDescent="0.2">
      <c r="C11191" s="209"/>
      <c r="D11191" s="209"/>
      <c r="E11191" s="209"/>
      <c r="J11191" s="124"/>
    </row>
    <row r="11192" spans="3:10" x14ac:dyDescent="0.2">
      <c r="C11192" s="209"/>
      <c r="D11192" s="209"/>
      <c r="E11192" s="209"/>
      <c r="J11192" s="124"/>
    </row>
    <row r="11193" spans="3:10" x14ac:dyDescent="0.2">
      <c r="C11193" s="209"/>
      <c r="D11193" s="209"/>
      <c r="E11193" s="209"/>
      <c r="J11193" s="124"/>
    </row>
    <row r="11194" spans="3:10" x14ac:dyDescent="0.2">
      <c r="C11194" s="209"/>
      <c r="D11194" s="209"/>
      <c r="E11194" s="209"/>
      <c r="J11194" s="124"/>
    </row>
    <row r="11195" spans="3:10" x14ac:dyDescent="0.2">
      <c r="C11195" s="209"/>
      <c r="D11195" s="209"/>
      <c r="E11195" s="209"/>
      <c r="J11195" s="124"/>
    </row>
    <row r="11196" spans="3:10" x14ac:dyDescent="0.2">
      <c r="C11196" s="209"/>
      <c r="D11196" s="209"/>
      <c r="E11196" s="209"/>
      <c r="J11196" s="124"/>
    </row>
    <row r="11197" spans="3:10" x14ac:dyDescent="0.2">
      <c r="C11197" s="209"/>
      <c r="D11197" s="209"/>
      <c r="E11197" s="209"/>
      <c r="J11197" s="124"/>
    </row>
    <row r="11198" spans="3:10" x14ac:dyDescent="0.2">
      <c r="C11198" s="209"/>
      <c r="D11198" s="209"/>
      <c r="E11198" s="209"/>
      <c r="J11198" s="124"/>
    </row>
    <row r="11199" spans="3:10" x14ac:dyDescent="0.2">
      <c r="C11199" s="209"/>
      <c r="D11199" s="209"/>
      <c r="E11199" s="209"/>
      <c r="J11199" s="124"/>
    </row>
    <row r="11200" spans="3:10" x14ac:dyDescent="0.2">
      <c r="C11200" s="209"/>
      <c r="D11200" s="209"/>
      <c r="E11200" s="209"/>
      <c r="J11200" s="124"/>
    </row>
    <row r="11201" spans="3:10" x14ac:dyDescent="0.2">
      <c r="C11201" s="209"/>
      <c r="D11201" s="209"/>
      <c r="E11201" s="209"/>
      <c r="J11201" s="124"/>
    </row>
    <row r="11202" spans="3:10" x14ac:dyDescent="0.2">
      <c r="C11202" s="209"/>
      <c r="D11202" s="209"/>
      <c r="E11202" s="209"/>
      <c r="J11202" s="124"/>
    </row>
    <row r="11203" spans="3:10" x14ac:dyDescent="0.2">
      <c r="C11203" s="209"/>
      <c r="D11203" s="209"/>
      <c r="E11203" s="209"/>
      <c r="J11203" s="124"/>
    </row>
    <row r="11204" spans="3:10" x14ac:dyDescent="0.2">
      <c r="C11204" s="209"/>
      <c r="D11204" s="209"/>
      <c r="E11204" s="209"/>
      <c r="J11204" s="124"/>
    </row>
    <row r="11205" spans="3:10" x14ac:dyDescent="0.2">
      <c r="C11205" s="209"/>
      <c r="D11205" s="209"/>
      <c r="E11205" s="209"/>
      <c r="J11205" s="124"/>
    </row>
    <row r="11206" spans="3:10" x14ac:dyDescent="0.2">
      <c r="C11206" s="209"/>
      <c r="D11206" s="209"/>
      <c r="E11206" s="209"/>
      <c r="J11206" s="124"/>
    </row>
    <row r="11207" spans="3:10" x14ac:dyDescent="0.2">
      <c r="C11207" s="209"/>
      <c r="D11207" s="209"/>
      <c r="E11207" s="209"/>
      <c r="J11207" s="124"/>
    </row>
    <row r="11208" spans="3:10" x14ac:dyDescent="0.2">
      <c r="C11208" s="209"/>
      <c r="D11208" s="209"/>
      <c r="E11208" s="209"/>
      <c r="J11208" s="124"/>
    </row>
    <row r="11209" spans="3:10" x14ac:dyDescent="0.2">
      <c r="C11209" s="209"/>
      <c r="D11209" s="209"/>
      <c r="E11209" s="209"/>
      <c r="J11209" s="124"/>
    </row>
    <row r="11210" spans="3:10" x14ac:dyDescent="0.2">
      <c r="C11210" s="209"/>
      <c r="D11210" s="209"/>
      <c r="E11210" s="209"/>
      <c r="J11210" s="124"/>
    </row>
    <row r="11211" spans="3:10" x14ac:dyDescent="0.2">
      <c r="C11211" s="209"/>
      <c r="D11211" s="209"/>
      <c r="E11211" s="209"/>
      <c r="J11211" s="124"/>
    </row>
    <row r="11212" spans="3:10" x14ac:dyDescent="0.2">
      <c r="C11212" s="209"/>
      <c r="D11212" s="209"/>
      <c r="E11212" s="209"/>
      <c r="J11212" s="124"/>
    </row>
    <row r="11213" spans="3:10" x14ac:dyDescent="0.2">
      <c r="C11213" s="209"/>
      <c r="D11213" s="209"/>
      <c r="E11213" s="209"/>
      <c r="J11213" s="124"/>
    </row>
    <row r="11214" spans="3:10" x14ac:dyDescent="0.2">
      <c r="C11214" s="209"/>
      <c r="D11214" s="209"/>
      <c r="E11214" s="209"/>
      <c r="J11214" s="124"/>
    </row>
    <row r="11215" spans="3:10" x14ac:dyDescent="0.2">
      <c r="C11215" s="209"/>
      <c r="D11215" s="209"/>
      <c r="E11215" s="209"/>
      <c r="J11215" s="124"/>
    </row>
    <row r="11216" spans="3:10" x14ac:dyDescent="0.2">
      <c r="C11216" s="209"/>
      <c r="D11216" s="209"/>
      <c r="E11216" s="209"/>
      <c r="J11216" s="124"/>
    </row>
    <row r="11217" spans="3:10" x14ac:dyDescent="0.2">
      <c r="C11217" s="209"/>
      <c r="D11217" s="209"/>
      <c r="E11217" s="209"/>
      <c r="J11217" s="124"/>
    </row>
    <row r="11218" spans="3:10" x14ac:dyDescent="0.2">
      <c r="C11218" s="209"/>
      <c r="D11218" s="209"/>
      <c r="E11218" s="209"/>
      <c r="J11218" s="124"/>
    </row>
    <row r="11219" spans="3:10" x14ac:dyDescent="0.2">
      <c r="C11219" s="209"/>
      <c r="D11219" s="209"/>
      <c r="E11219" s="209"/>
      <c r="J11219" s="124"/>
    </row>
    <row r="11220" spans="3:10" x14ac:dyDescent="0.2">
      <c r="C11220" s="209"/>
      <c r="D11220" s="209"/>
      <c r="E11220" s="209"/>
      <c r="J11220" s="124"/>
    </row>
    <row r="11221" spans="3:10" x14ac:dyDescent="0.2">
      <c r="C11221" s="209"/>
      <c r="D11221" s="209"/>
      <c r="E11221" s="209"/>
      <c r="J11221" s="124"/>
    </row>
    <row r="11222" spans="3:10" x14ac:dyDescent="0.2">
      <c r="C11222" s="209"/>
      <c r="D11222" s="209"/>
      <c r="E11222" s="209"/>
      <c r="J11222" s="124"/>
    </row>
    <row r="11223" spans="3:10" x14ac:dyDescent="0.2">
      <c r="C11223" s="209"/>
      <c r="D11223" s="209"/>
      <c r="E11223" s="209"/>
      <c r="J11223" s="124"/>
    </row>
    <row r="11224" spans="3:10" x14ac:dyDescent="0.2">
      <c r="C11224" s="209"/>
      <c r="D11224" s="209"/>
      <c r="E11224" s="209"/>
      <c r="J11224" s="124"/>
    </row>
    <row r="11225" spans="3:10" x14ac:dyDescent="0.2">
      <c r="C11225" s="209"/>
      <c r="D11225" s="209"/>
      <c r="E11225" s="209"/>
      <c r="J11225" s="124"/>
    </row>
    <row r="11226" spans="3:10" x14ac:dyDescent="0.2">
      <c r="C11226" s="209"/>
      <c r="D11226" s="209"/>
      <c r="E11226" s="209"/>
      <c r="J11226" s="124"/>
    </row>
    <row r="11227" spans="3:10" x14ac:dyDescent="0.2">
      <c r="C11227" s="209"/>
      <c r="D11227" s="209"/>
      <c r="E11227" s="209"/>
      <c r="J11227" s="124"/>
    </row>
    <row r="11228" spans="3:10" x14ac:dyDescent="0.2">
      <c r="C11228" s="209"/>
      <c r="D11228" s="209"/>
      <c r="E11228" s="209"/>
      <c r="J11228" s="124"/>
    </row>
    <row r="11229" spans="3:10" x14ac:dyDescent="0.2">
      <c r="C11229" s="209"/>
      <c r="D11229" s="209"/>
      <c r="E11229" s="209"/>
      <c r="J11229" s="124"/>
    </row>
    <row r="11230" spans="3:10" x14ac:dyDescent="0.2">
      <c r="C11230" s="209"/>
      <c r="D11230" s="209"/>
      <c r="E11230" s="209"/>
      <c r="J11230" s="124"/>
    </row>
    <row r="11231" spans="3:10" x14ac:dyDescent="0.2">
      <c r="C11231" s="209"/>
      <c r="D11231" s="209"/>
      <c r="E11231" s="209"/>
      <c r="J11231" s="124"/>
    </row>
    <row r="11232" spans="3:10" x14ac:dyDescent="0.2">
      <c r="C11232" s="209"/>
      <c r="D11232" s="209"/>
      <c r="E11232" s="209"/>
      <c r="J11232" s="124"/>
    </row>
    <row r="11233" spans="3:10" x14ac:dyDescent="0.2">
      <c r="C11233" s="209"/>
      <c r="D11233" s="209"/>
      <c r="E11233" s="209"/>
      <c r="J11233" s="124"/>
    </row>
    <row r="11234" spans="3:10" x14ac:dyDescent="0.2">
      <c r="C11234" s="209"/>
      <c r="D11234" s="209"/>
      <c r="E11234" s="209"/>
      <c r="J11234" s="124"/>
    </row>
    <row r="11235" spans="3:10" x14ac:dyDescent="0.2">
      <c r="C11235" s="209"/>
      <c r="D11235" s="209"/>
      <c r="E11235" s="209"/>
      <c r="J11235" s="124"/>
    </row>
    <row r="11236" spans="3:10" x14ac:dyDescent="0.2">
      <c r="C11236" s="209"/>
      <c r="D11236" s="209"/>
      <c r="E11236" s="209"/>
      <c r="J11236" s="124"/>
    </row>
    <row r="11237" spans="3:10" x14ac:dyDescent="0.2">
      <c r="C11237" s="209"/>
      <c r="D11237" s="209"/>
      <c r="E11237" s="209"/>
      <c r="J11237" s="124"/>
    </row>
    <row r="11238" spans="3:10" x14ac:dyDescent="0.2">
      <c r="C11238" s="209"/>
      <c r="D11238" s="209"/>
      <c r="E11238" s="209"/>
      <c r="J11238" s="124"/>
    </row>
    <row r="11239" spans="3:10" x14ac:dyDescent="0.2">
      <c r="C11239" s="209"/>
      <c r="D11239" s="209"/>
      <c r="E11239" s="209"/>
      <c r="J11239" s="124"/>
    </row>
    <row r="11240" spans="3:10" x14ac:dyDescent="0.2">
      <c r="C11240" s="209"/>
      <c r="D11240" s="209"/>
      <c r="E11240" s="209"/>
      <c r="J11240" s="124"/>
    </row>
    <row r="11241" spans="3:10" x14ac:dyDescent="0.2">
      <c r="C11241" s="209"/>
      <c r="D11241" s="209"/>
      <c r="E11241" s="209"/>
      <c r="J11241" s="124"/>
    </row>
    <row r="11242" spans="3:10" x14ac:dyDescent="0.2">
      <c r="C11242" s="209"/>
      <c r="D11242" s="209"/>
      <c r="E11242" s="209"/>
      <c r="J11242" s="124"/>
    </row>
    <row r="11243" spans="3:10" x14ac:dyDescent="0.2">
      <c r="C11243" s="209"/>
      <c r="D11243" s="209"/>
      <c r="E11243" s="209"/>
      <c r="J11243" s="124"/>
    </row>
    <row r="11244" spans="3:10" x14ac:dyDescent="0.2">
      <c r="C11244" s="209"/>
      <c r="D11244" s="209"/>
      <c r="E11244" s="209"/>
      <c r="J11244" s="124"/>
    </row>
    <row r="11245" spans="3:10" x14ac:dyDescent="0.2">
      <c r="C11245" s="209"/>
      <c r="D11245" s="209"/>
      <c r="E11245" s="209"/>
      <c r="J11245" s="124"/>
    </row>
    <row r="11246" spans="3:10" x14ac:dyDescent="0.2">
      <c r="C11246" s="209"/>
      <c r="D11246" s="209"/>
      <c r="E11246" s="209"/>
      <c r="J11246" s="124"/>
    </row>
    <row r="11247" spans="3:10" x14ac:dyDescent="0.2">
      <c r="C11247" s="209"/>
      <c r="D11247" s="209"/>
      <c r="E11247" s="209"/>
      <c r="J11247" s="124"/>
    </row>
    <row r="11248" spans="3:10" x14ac:dyDescent="0.2">
      <c r="C11248" s="209"/>
      <c r="D11248" s="209"/>
      <c r="E11248" s="209"/>
      <c r="J11248" s="124"/>
    </row>
    <row r="11249" spans="3:10" x14ac:dyDescent="0.2">
      <c r="C11249" s="209"/>
      <c r="D11249" s="209"/>
      <c r="E11249" s="209"/>
      <c r="J11249" s="124"/>
    </row>
    <row r="11250" spans="3:10" x14ac:dyDescent="0.2">
      <c r="C11250" s="209"/>
      <c r="D11250" s="209"/>
      <c r="E11250" s="209"/>
      <c r="J11250" s="124"/>
    </row>
    <row r="11251" spans="3:10" x14ac:dyDescent="0.2">
      <c r="C11251" s="209"/>
      <c r="D11251" s="209"/>
      <c r="E11251" s="209"/>
      <c r="J11251" s="124"/>
    </row>
    <row r="11252" spans="3:10" x14ac:dyDescent="0.2">
      <c r="C11252" s="209"/>
      <c r="D11252" s="209"/>
      <c r="E11252" s="209"/>
      <c r="J11252" s="124"/>
    </row>
    <row r="11253" spans="3:10" x14ac:dyDescent="0.2">
      <c r="C11253" s="209"/>
      <c r="D11253" s="209"/>
      <c r="E11253" s="209"/>
      <c r="J11253" s="124"/>
    </row>
    <row r="11254" spans="3:10" x14ac:dyDescent="0.2">
      <c r="C11254" s="209"/>
      <c r="D11254" s="209"/>
      <c r="E11254" s="209"/>
      <c r="J11254" s="124"/>
    </row>
    <row r="11255" spans="3:10" x14ac:dyDescent="0.2">
      <c r="C11255" s="209"/>
      <c r="D11255" s="209"/>
      <c r="E11255" s="209"/>
      <c r="J11255" s="124"/>
    </row>
    <row r="11256" spans="3:10" x14ac:dyDescent="0.2">
      <c r="C11256" s="209"/>
      <c r="D11256" s="209"/>
      <c r="E11256" s="209"/>
      <c r="J11256" s="124"/>
    </row>
    <row r="11257" spans="3:10" x14ac:dyDescent="0.2">
      <c r="C11257" s="209"/>
      <c r="D11257" s="209"/>
      <c r="E11257" s="209"/>
      <c r="J11257" s="124"/>
    </row>
    <row r="11258" spans="3:10" x14ac:dyDescent="0.2">
      <c r="C11258" s="209"/>
      <c r="D11258" s="209"/>
      <c r="E11258" s="209"/>
      <c r="J11258" s="124"/>
    </row>
    <row r="11259" spans="3:10" x14ac:dyDescent="0.2">
      <c r="C11259" s="209"/>
      <c r="D11259" s="209"/>
      <c r="E11259" s="209"/>
      <c r="J11259" s="124"/>
    </row>
    <row r="11260" spans="3:10" x14ac:dyDescent="0.2">
      <c r="C11260" s="209"/>
      <c r="D11260" s="209"/>
      <c r="E11260" s="209"/>
      <c r="J11260" s="124"/>
    </row>
    <row r="11261" spans="3:10" x14ac:dyDescent="0.2">
      <c r="C11261" s="209"/>
      <c r="D11261" s="209"/>
      <c r="E11261" s="209"/>
      <c r="J11261" s="124"/>
    </row>
    <row r="11262" spans="3:10" x14ac:dyDescent="0.2">
      <c r="C11262" s="209"/>
      <c r="D11262" s="209"/>
      <c r="E11262" s="209"/>
      <c r="J11262" s="124"/>
    </row>
    <row r="11263" spans="3:10" x14ac:dyDescent="0.2">
      <c r="C11263" s="209"/>
      <c r="D11263" s="209"/>
      <c r="E11263" s="209"/>
      <c r="J11263" s="124"/>
    </row>
    <row r="11264" spans="3:10" x14ac:dyDescent="0.2">
      <c r="C11264" s="209"/>
      <c r="D11264" s="209"/>
      <c r="E11264" s="209"/>
      <c r="J11264" s="124"/>
    </row>
    <row r="11265" spans="3:10" x14ac:dyDescent="0.2">
      <c r="C11265" s="209"/>
      <c r="D11265" s="209"/>
      <c r="E11265" s="209"/>
      <c r="J11265" s="124"/>
    </row>
    <row r="11266" spans="3:10" x14ac:dyDescent="0.2">
      <c r="C11266" s="209"/>
      <c r="D11266" s="209"/>
      <c r="E11266" s="209"/>
      <c r="J11266" s="124"/>
    </row>
    <row r="11267" spans="3:10" x14ac:dyDescent="0.2">
      <c r="C11267" s="209"/>
      <c r="D11267" s="209"/>
      <c r="E11267" s="209"/>
      <c r="J11267" s="124"/>
    </row>
    <row r="11268" spans="3:10" x14ac:dyDescent="0.2">
      <c r="C11268" s="209"/>
      <c r="D11268" s="209"/>
      <c r="E11268" s="209"/>
      <c r="J11268" s="124"/>
    </row>
    <row r="11269" spans="3:10" x14ac:dyDescent="0.2">
      <c r="C11269" s="209"/>
      <c r="D11269" s="209"/>
      <c r="E11269" s="209"/>
      <c r="J11269" s="124"/>
    </row>
    <row r="11270" spans="3:10" x14ac:dyDescent="0.2">
      <c r="C11270" s="209"/>
      <c r="D11270" s="209"/>
      <c r="E11270" s="209"/>
      <c r="J11270" s="124"/>
    </row>
    <row r="11271" spans="3:10" x14ac:dyDescent="0.2">
      <c r="C11271" s="209"/>
      <c r="D11271" s="209"/>
      <c r="E11271" s="209"/>
      <c r="J11271" s="124"/>
    </row>
    <row r="11272" spans="3:10" x14ac:dyDescent="0.2">
      <c r="C11272" s="209"/>
      <c r="D11272" s="209"/>
      <c r="E11272" s="209"/>
      <c r="J11272" s="124"/>
    </row>
    <row r="11273" spans="3:10" x14ac:dyDescent="0.2">
      <c r="C11273" s="209"/>
      <c r="D11273" s="209"/>
      <c r="E11273" s="209"/>
      <c r="J11273" s="124"/>
    </row>
    <row r="11274" spans="3:10" x14ac:dyDescent="0.2">
      <c r="C11274" s="209"/>
      <c r="D11274" s="209"/>
      <c r="E11274" s="209"/>
      <c r="J11274" s="124"/>
    </row>
    <row r="11275" spans="3:10" x14ac:dyDescent="0.2">
      <c r="C11275" s="209"/>
      <c r="D11275" s="209"/>
      <c r="E11275" s="209"/>
      <c r="J11275" s="124"/>
    </row>
    <row r="11276" spans="3:10" x14ac:dyDescent="0.2">
      <c r="C11276" s="209"/>
      <c r="D11276" s="209"/>
      <c r="E11276" s="209"/>
      <c r="J11276" s="124"/>
    </row>
    <row r="11277" spans="3:10" x14ac:dyDescent="0.2">
      <c r="C11277" s="209"/>
      <c r="D11277" s="209"/>
      <c r="E11277" s="209"/>
      <c r="J11277" s="124"/>
    </row>
    <row r="11278" spans="3:10" x14ac:dyDescent="0.2">
      <c r="C11278" s="209"/>
      <c r="D11278" s="209"/>
      <c r="E11278" s="209"/>
      <c r="J11278" s="124"/>
    </row>
    <row r="11279" spans="3:10" x14ac:dyDescent="0.2">
      <c r="C11279" s="209"/>
      <c r="D11279" s="209"/>
      <c r="E11279" s="209"/>
      <c r="J11279" s="124"/>
    </row>
    <row r="11280" spans="3:10" x14ac:dyDescent="0.2">
      <c r="C11280" s="209"/>
      <c r="D11280" s="209"/>
      <c r="E11280" s="209"/>
      <c r="J11280" s="124"/>
    </row>
    <row r="11281" spans="3:10" x14ac:dyDescent="0.2">
      <c r="C11281" s="209"/>
      <c r="D11281" s="209"/>
      <c r="E11281" s="209"/>
      <c r="J11281" s="124"/>
    </row>
    <row r="11282" spans="3:10" x14ac:dyDescent="0.2">
      <c r="C11282" s="209"/>
      <c r="D11282" s="209"/>
      <c r="E11282" s="209"/>
      <c r="J11282" s="124"/>
    </row>
    <row r="11283" spans="3:10" x14ac:dyDescent="0.2">
      <c r="C11283" s="209"/>
      <c r="D11283" s="209"/>
      <c r="E11283" s="209"/>
      <c r="J11283" s="124"/>
    </row>
    <row r="11284" spans="3:10" x14ac:dyDescent="0.2">
      <c r="C11284" s="209"/>
      <c r="D11284" s="209"/>
      <c r="E11284" s="209"/>
      <c r="J11284" s="124"/>
    </row>
    <row r="11285" spans="3:10" x14ac:dyDescent="0.2">
      <c r="C11285" s="209"/>
      <c r="D11285" s="209"/>
      <c r="E11285" s="209"/>
      <c r="J11285" s="124"/>
    </row>
    <row r="11286" spans="3:10" x14ac:dyDescent="0.2">
      <c r="C11286" s="209"/>
      <c r="D11286" s="209"/>
      <c r="E11286" s="209"/>
      <c r="J11286" s="124"/>
    </row>
    <row r="11287" spans="3:10" x14ac:dyDescent="0.2">
      <c r="C11287" s="209"/>
      <c r="D11287" s="209"/>
      <c r="E11287" s="209"/>
      <c r="J11287" s="124"/>
    </row>
    <row r="11288" spans="3:10" x14ac:dyDescent="0.2">
      <c r="C11288" s="209"/>
      <c r="D11288" s="209"/>
      <c r="E11288" s="209"/>
      <c r="J11288" s="124"/>
    </row>
    <row r="11289" spans="3:10" x14ac:dyDescent="0.2">
      <c r="C11289" s="209"/>
      <c r="D11289" s="209"/>
      <c r="E11289" s="209"/>
      <c r="J11289" s="124"/>
    </row>
    <row r="11290" spans="3:10" x14ac:dyDescent="0.2">
      <c r="C11290" s="209"/>
      <c r="D11290" s="209"/>
      <c r="E11290" s="209"/>
      <c r="J11290" s="124"/>
    </row>
    <row r="11291" spans="3:10" x14ac:dyDescent="0.2">
      <c r="C11291" s="209"/>
      <c r="D11291" s="209"/>
      <c r="E11291" s="209"/>
      <c r="J11291" s="124"/>
    </row>
    <row r="11292" spans="3:10" x14ac:dyDescent="0.2">
      <c r="C11292" s="209"/>
      <c r="D11292" s="209"/>
      <c r="E11292" s="209"/>
      <c r="J11292" s="124"/>
    </row>
    <row r="11293" spans="3:10" x14ac:dyDescent="0.2">
      <c r="C11293" s="209"/>
      <c r="D11293" s="209"/>
      <c r="E11293" s="209"/>
      <c r="J11293" s="124"/>
    </row>
    <row r="11294" spans="3:10" x14ac:dyDescent="0.2">
      <c r="C11294" s="209"/>
      <c r="D11294" s="209"/>
      <c r="E11294" s="209"/>
      <c r="J11294" s="124"/>
    </row>
    <row r="11295" spans="3:10" x14ac:dyDescent="0.2">
      <c r="C11295" s="209"/>
      <c r="D11295" s="209"/>
      <c r="E11295" s="209"/>
      <c r="J11295" s="124"/>
    </row>
    <row r="11296" spans="3:10" x14ac:dyDescent="0.2">
      <c r="C11296" s="209"/>
      <c r="D11296" s="209"/>
      <c r="E11296" s="209"/>
      <c r="J11296" s="124"/>
    </row>
    <row r="11297" spans="3:10" x14ac:dyDescent="0.2">
      <c r="C11297" s="209"/>
      <c r="D11297" s="209"/>
      <c r="E11297" s="209"/>
      <c r="J11297" s="124"/>
    </row>
    <row r="11298" spans="3:10" x14ac:dyDescent="0.2">
      <c r="C11298" s="209"/>
      <c r="D11298" s="209"/>
      <c r="E11298" s="209"/>
      <c r="J11298" s="124"/>
    </row>
    <row r="11299" spans="3:10" x14ac:dyDescent="0.2">
      <c r="C11299" s="209"/>
      <c r="D11299" s="209"/>
      <c r="E11299" s="209"/>
      <c r="J11299" s="124"/>
    </row>
    <row r="11300" spans="3:10" x14ac:dyDescent="0.2">
      <c r="C11300" s="209"/>
      <c r="D11300" s="209"/>
      <c r="E11300" s="209"/>
      <c r="J11300" s="124"/>
    </row>
    <row r="11301" spans="3:10" x14ac:dyDescent="0.2">
      <c r="C11301" s="209"/>
      <c r="D11301" s="209"/>
      <c r="E11301" s="209"/>
      <c r="J11301" s="124"/>
    </row>
    <row r="11302" spans="3:10" x14ac:dyDescent="0.2">
      <c r="C11302" s="209"/>
      <c r="D11302" s="209"/>
      <c r="E11302" s="209"/>
      <c r="J11302" s="124"/>
    </row>
    <row r="11303" spans="3:10" x14ac:dyDescent="0.2">
      <c r="C11303" s="209"/>
      <c r="D11303" s="209"/>
      <c r="E11303" s="209"/>
      <c r="J11303" s="124"/>
    </row>
    <row r="11304" spans="3:10" x14ac:dyDescent="0.2">
      <c r="C11304" s="209"/>
      <c r="D11304" s="209"/>
      <c r="E11304" s="209"/>
      <c r="J11304" s="124"/>
    </row>
    <row r="11305" spans="3:10" x14ac:dyDescent="0.2">
      <c r="C11305" s="209"/>
      <c r="D11305" s="209"/>
      <c r="E11305" s="209"/>
      <c r="J11305" s="124"/>
    </row>
    <row r="11306" spans="3:10" x14ac:dyDescent="0.2">
      <c r="C11306" s="209"/>
      <c r="D11306" s="209"/>
      <c r="E11306" s="209"/>
      <c r="J11306" s="124"/>
    </row>
    <row r="11307" spans="3:10" x14ac:dyDescent="0.2">
      <c r="C11307" s="209"/>
      <c r="D11307" s="209"/>
      <c r="E11307" s="209"/>
      <c r="J11307" s="124"/>
    </row>
    <row r="11308" spans="3:10" x14ac:dyDescent="0.2">
      <c r="C11308" s="209"/>
      <c r="D11308" s="209"/>
      <c r="E11308" s="209"/>
      <c r="J11308" s="124"/>
    </row>
    <row r="11309" spans="3:10" x14ac:dyDescent="0.2">
      <c r="C11309" s="209"/>
      <c r="D11309" s="209"/>
      <c r="E11309" s="209"/>
      <c r="J11309" s="124"/>
    </row>
    <row r="11310" spans="3:10" x14ac:dyDescent="0.2">
      <c r="C11310" s="209"/>
      <c r="D11310" s="209"/>
      <c r="E11310" s="209"/>
      <c r="J11310" s="124"/>
    </row>
    <row r="11311" spans="3:10" x14ac:dyDescent="0.2">
      <c r="C11311" s="209"/>
      <c r="D11311" s="209"/>
      <c r="E11311" s="209"/>
      <c r="J11311" s="124"/>
    </row>
    <row r="11312" spans="3:10" x14ac:dyDescent="0.2">
      <c r="C11312" s="209"/>
      <c r="D11312" s="209"/>
      <c r="E11312" s="209"/>
      <c r="J11312" s="124"/>
    </row>
    <row r="11313" spans="3:10" x14ac:dyDescent="0.2">
      <c r="C11313" s="209"/>
      <c r="D11313" s="209"/>
      <c r="E11313" s="209"/>
      <c r="J11313" s="124"/>
    </row>
    <row r="11314" spans="3:10" x14ac:dyDescent="0.2">
      <c r="C11314" s="209"/>
      <c r="D11314" s="209"/>
      <c r="E11314" s="209"/>
      <c r="J11314" s="124"/>
    </row>
    <row r="11315" spans="3:10" x14ac:dyDescent="0.2">
      <c r="C11315" s="209"/>
      <c r="D11315" s="209"/>
      <c r="E11315" s="209"/>
      <c r="J11315" s="124"/>
    </row>
    <row r="11316" spans="3:10" x14ac:dyDescent="0.2">
      <c r="C11316" s="209"/>
      <c r="D11316" s="209"/>
      <c r="E11316" s="209"/>
      <c r="J11316" s="124"/>
    </row>
    <row r="11317" spans="3:10" x14ac:dyDescent="0.2">
      <c r="C11317" s="209"/>
      <c r="D11317" s="209"/>
      <c r="E11317" s="209"/>
      <c r="J11317" s="124"/>
    </row>
    <row r="11318" spans="3:10" x14ac:dyDescent="0.2">
      <c r="C11318" s="209"/>
      <c r="D11318" s="209"/>
      <c r="E11318" s="209"/>
      <c r="J11318" s="124"/>
    </row>
    <row r="11319" spans="3:10" x14ac:dyDescent="0.2">
      <c r="C11319" s="209"/>
      <c r="D11319" s="209"/>
      <c r="E11319" s="209"/>
      <c r="J11319" s="124"/>
    </row>
    <row r="11320" spans="3:10" x14ac:dyDescent="0.2">
      <c r="C11320" s="209"/>
      <c r="D11320" s="209"/>
      <c r="E11320" s="209"/>
      <c r="J11320" s="124"/>
    </row>
    <row r="11321" spans="3:10" x14ac:dyDescent="0.2">
      <c r="C11321" s="209"/>
      <c r="D11321" s="209"/>
      <c r="E11321" s="209"/>
      <c r="J11321" s="124"/>
    </row>
    <row r="11322" spans="3:10" x14ac:dyDescent="0.2">
      <c r="C11322" s="209"/>
      <c r="D11322" s="209"/>
      <c r="E11322" s="209"/>
      <c r="J11322" s="124"/>
    </row>
    <row r="11323" spans="3:10" x14ac:dyDescent="0.2">
      <c r="C11323" s="209"/>
      <c r="D11323" s="209"/>
      <c r="E11323" s="209"/>
      <c r="J11323" s="124"/>
    </row>
    <row r="11324" spans="3:10" x14ac:dyDescent="0.2">
      <c r="C11324" s="209"/>
      <c r="D11324" s="209"/>
      <c r="E11324" s="209"/>
      <c r="J11324" s="124"/>
    </row>
    <row r="11325" spans="3:10" x14ac:dyDescent="0.2">
      <c r="C11325" s="209"/>
      <c r="D11325" s="209"/>
      <c r="E11325" s="209"/>
      <c r="J11325" s="124"/>
    </row>
    <row r="11326" spans="3:10" x14ac:dyDescent="0.2">
      <c r="C11326" s="209"/>
      <c r="D11326" s="209"/>
      <c r="E11326" s="209"/>
      <c r="J11326" s="124"/>
    </row>
    <row r="11327" spans="3:10" x14ac:dyDescent="0.2">
      <c r="C11327" s="209"/>
      <c r="D11327" s="209"/>
      <c r="E11327" s="209"/>
      <c r="J11327" s="124"/>
    </row>
    <row r="11328" spans="3:10" x14ac:dyDescent="0.2">
      <c r="C11328" s="209"/>
      <c r="D11328" s="209"/>
      <c r="E11328" s="209"/>
      <c r="J11328" s="124"/>
    </row>
    <row r="11329" spans="3:10" x14ac:dyDescent="0.2">
      <c r="C11329" s="209"/>
      <c r="D11329" s="209"/>
      <c r="E11329" s="209"/>
      <c r="J11329" s="124"/>
    </row>
    <row r="11330" spans="3:10" x14ac:dyDescent="0.2">
      <c r="C11330" s="209"/>
      <c r="D11330" s="209"/>
      <c r="E11330" s="209"/>
      <c r="J11330" s="124"/>
    </row>
    <row r="11331" spans="3:10" x14ac:dyDescent="0.2">
      <c r="C11331" s="209"/>
      <c r="D11331" s="209"/>
      <c r="E11331" s="209"/>
      <c r="J11331" s="124"/>
    </row>
    <row r="11332" spans="3:10" x14ac:dyDescent="0.2">
      <c r="C11332" s="209"/>
      <c r="D11332" s="209"/>
      <c r="E11332" s="209"/>
      <c r="J11332" s="124"/>
    </row>
    <row r="11333" spans="3:10" x14ac:dyDescent="0.2">
      <c r="C11333" s="209"/>
      <c r="D11333" s="209"/>
      <c r="E11333" s="209"/>
      <c r="J11333" s="124"/>
    </row>
    <row r="11334" spans="3:10" x14ac:dyDescent="0.2">
      <c r="C11334" s="209"/>
      <c r="D11334" s="209"/>
      <c r="E11334" s="209"/>
      <c r="J11334" s="124"/>
    </row>
    <row r="11335" spans="3:10" x14ac:dyDescent="0.2">
      <c r="C11335" s="209"/>
      <c r="D11335" s="209"/>
      <c r="E11335" s="209"/>
      <c r="J11335" s="124"/>
    </row>
    <row r="11336" spans="3:10" x14ac:dyDescent="0.2">
      <c r="C11336" s="209"/>
      <c r="D11336" s="209"/>
      <c r="E11336" s="209"/>
      <c r="J11336" s="124"/>
    </row>
    <row r="11337" spans="3:10" x14ac:dyDescent="0.2">
      <c r="C11337" s="209"/>
      <c r="D11337" s="209"/>
      <c r="E11337" s="209"/>
      <c r="J11337" s="124"/>
    </row>
    <row r="11338" spans="3:10" x14ac:dyDescent="0.2">
      <c r="C11338" s="209"/>
      <c r="D11338" s="209"/>
      <c r="E11338" s="209"/>
      <c r="J11338" s="124"/>
    </row>
    <row r="11339" spans="3:10" x14ac:dyDescent="0.2">
      <c r="C11339" s="209"/>
      <c r="D11339" s="209"/>
      <c r="E11339" s="209"/>
      <c r="J11339" s="124"/>
    </row>
    <row r="11340" spans="3:10" x14ac:dyDescent="0.2">
      <c r="C11340" s="209"/>
      <c r="D11340" s="209"/>
      <c r="E11340" s="209"/>
      <c r="J11340" s="124"/>
    </row>
    <row r="11341" spans="3:10" x14ac:dyDescent="0.2">
      <c r="C11341" s="209"/>
      <c r="D11341" s="209"/>
      <c r="E11341" s="209"/>
      <c r="J11341" s="124"/>
    </row>
    <row r="11342" spans="3:10" x14ac:dyDescent="0.2">
      <c r="C11342" s="209"/>
      <c r="D11342" s="209"/>
      <c r="E11342" s="209"/>
      <c r="J11342" s="124"/>
    </row>
    <row r="11343" spans="3:10" x14ac:dyDescent="0.2">
      <c r="C11343" s="209"/>
      <c r="D11343" s="209"/>
      <c r="E11343" s="209"/>
      <c r="J11343" s="124"/>
    </row>
    <row r="11344" spans="3:10" x14ac:dyDescent="0.2">
      <c r="C11344" s="209"/>
      <c r="D11344" s="209"/>
      <c r="E11344" s="209"/>
      <c r="J11344" s="124"/>
    </row>
    <row r="11345" spans="3:10" x14ac:dyDescent="0.2">
      <c r="C11345" s="209"/>
      <c r="D11345" s="209"/>
      <c r="E11345" s="209"/>
      <c r="J11345" s="124"/>
    </row>
    <row r="11346" spans="3:10" x14ac:dyDescent="0.2">
      <c r="C11346" s="209"/>
      <c r="D11346" s="209"/>
      <c r="E11346" s="209"/>
      <c r="J11346" s="124"/>
    </row>
    <row r="11347" spans="3:10" x14ac:dyDescent="0.2">
      <c r="C11347" s="209"/>
      <c r="D11347" s="209"/>
      <c r="E11347" s="209"/>
      <c r="J11347" s="124"/>
    </row>
    <row r="11348" spans="3:10" x14ac:dyDescent="0.2">
      <c r="C11348" s="209"/>
      <c r="D11348" s="209"/>
      <c r="E11348" s="209"/>
      <c r="J11348" s="124"/>
    </row>
    <row r="11349" spans="3:10" x14ac:dyDescent="0.2">
      <c r="C11349" s="209"/>
      <c r="D11349" s="209"/>
      <c r="E11349" s="209"/>
      <c r="J11349" s="124"/>
    </row>
    <row r="11350" spans="3:10" x14ac:dyDescent="0.2">
      <c r="C11350" s="209"/>
      <c r="D11350" s="209"/>
      <c r="E11350" s="209"/>
      <c r="J11350" s="124"/>
    </row>
    <row r="11351" spans="3:10" x14ac:dyDescent="0.2">
      <c r="C11351" s="209"/>
      <c r="D11351" s="209"/>
      <c r="E11351" s="209"/>
      <c r="J11351" s="124"/>
    </row>
    <row r="11352" spans="3:10" x14ac:dyDescent="0.2">
      <c r="C11352" s="209"/>
      <c r="D11352" s="209"/>
      <c r="E11352" s="209"/>
      <c r="J11352" s="124"/>
    </row>
    <row r="11353" spans="3:10" x14ac:dyDescent="0.2">
      <c r="C11353" s="209"/>
      <c r="D11353" s="209"/>
      <c r="E11353" s="209"/>
      <c r="J11353" s="124"/>
    </row>
    <row r="11354" spans="3:10" x14ac:dyDescent="0.2">
      <c r="C11354" s="209"/>
      <c r="D11354" s="209"/>
      <c r="E11354" s="209"/>
      <c r="J11354" s="124"/>
    </row>
    <row r="11355" spans="3:10" x14ac:dyDescent="0.2">
      <c r="C11355" s="209"/>
      <c r="D11355" s="209"/>
      <c r="E11355" s="209"/>
      <c r="J11355" s="124"/>
    </row>
    <row r="11356" spans="3:10" x14ac:dyDescent="0.2">
      <c r="C11356" s="209"/>
      <c r="D11356" s="209"/>
      <c r="E11356" s="209"/>
      <c r="J11356" s="124"/>
    </row>
    <row r="11357" spans="3:10" x14ac:dyDescent="0.2">
      <c r="C11357" s="209"/>
      <c r="D11357" s="209"/>
      <c r="E11357" s="209"/>
      <c r="J11357" s="124"/>
    </row>
    <row r="11358" spans="3:10" x14ac:dyDescent="0.2">
      <c r="C11358" s="209"/>
      <c r="D11358" s="209"/>
      <c r="E11358" s="209"/>
      <c r="J11358" s="124"/>
    </row>
    <row r="11359" spans="3:10" x14ac:dyDescent="0.2">
      <c r="C11359" s="209"/>
      <c r="D11359" s="209"/>
      <c r="E11359" s="209"/>
      <c r="J11359" s="124"/>
    </row>
    <row r="11360" spans="3:10" x14ac:dyDescent="0.2">
      <c r="C11360" s="209"/>
      <c r="D11360" s="209"/>
      <c r="E11360" s="209"/>
      <c r="J11360" s="124"/>
    </row>
    <row r="11361" spans="3:10" x14ac:dyDescent="0.2">
      <c r="C11361" s="209"/>
      <c r="D11361" s="209"/>
      <c r="E11361" s="209"/>
      <c r="J11361" s="124"/>
    </row>
    <row r="11362" spans="3:10" x14ac:dyDescent="0.2">
      <c r="C11362" s="209"/>
      <c r="D11362" s="209"/>
      <c r="E11362" s="209"/>
      <c r="J11362" s="124"/>
    </row>
    <row r="11363" spans="3:10" x14ac:dyDescent="0.2">
      <c r="C11363" s="209"/>
      <c r="D11363" s="209"/>
      <c r="E11363" s="209"/>
      <c r="J11363" s="124"/>
    </row>
    <row r="11364" spans="3:10" x14ac:dyDescent="0.2">
      <c r="C11364" s="209"/>
      <c r="D11364" s="209"/>
      <c r="E11364" s="209"/>
      <c r="J11364" s="124"/>
    </row>
    <row r="11365" spans="3:10" x14ac:dyDescent="0.2">
      <c r="C11365" s="209"/>
      <c r="D11365" s="209"/>
      <c r="E11365" s="209"/>
      <c r="J11365" s="124"/>
    </row>
    <row r="11366" spans="3:10" x14ac:dyDescent="0.2">
      <c r="C11366" s="209"/>
      <c r="D11366" s="209"/>
      <c r="E11366" s="209"/>
      <c r="J11366" s="124"/>
    </row>
    <row r="11367" spans="3:10" x14ac:dyDescent="0.2">
      <c r="C11367" s="209"/>
      <c r="D11367" s="209"/>
      <c r="E11367" s="209"/>
      <c r="J11367" s="124"/>
    </row>
    <row r="11368" spans="3:10" x14ac:dyDescent="0.2">
      <c r="C11368" s="209"/>
      <c r="D11368" s="209"/>
      <c r="E11368" s="209"/>
      <c r="J11368" s="124"/>
    </row>
    <row r="11369" spans="3:10" x14ac:dyDescent="0.2">
      <c r="C11369" s="209"/>
      <c r="D11369" s="209"/>
      <c r="E11369" s="209"/>
      <c r="J11369" s="124"/>
    </row>
    <row r="11370" spans="3:10" x14ac:dyDescent="0.2">
      <c r="C11370" s="209"/>
      <c r="D11370" s="209"/>
      <c r="E11370" s="209"/>
      <c r="J11370" s="124"/>
    </row>
    <row r="11371" spans="3:10" x14ac:dyDescent="0.2">
      <c r="C11371" s="209"/>
      <c r="D11371" s="209"/>
      <c r="E11371" s="209"/>
      <c r="J11371" s="124"/>
    </row>
    <row r="11372" spans="3:10" x14ac:dyDescent="0.2">
      <c r="C11372" s="209"/>
      <c r="D11372" s="209"/>
      <c r="E11372" s="209"/>
      <c r="J11372" s="124"/>
    </row>
    <row r="11373" spans="3:10" x14ac:dyDescent="0.2">
      <c r="C11373" s="209"/>
      <c r="D11373" s="209"/>
      <c r="E11373" s="209"/>
      <c r="J11373" s="124"/>
    </row>
    <row r="11374" spans="3:10" x14ac:dyDescent="0.2">
      <c r="C11374" s="209"/>
      <c r="D11374" s="209"/>
      <c r="E11374" s="209"/>
      <c r="J11374" s="124"/>
    </row>
    <row r="11375" spans="3:10" x14ac:dyDescent="0.2">
      <c r="C11375" s="209"/>
      <c r="D11375" s="209"/>
      <c r="E11375" s="209"/>
      <c r="J11375" s="124"/>
    </row>
    <row r="11376" spans="3:10" x14ac:dyDescent="0.2">
      <c r="C11376" s="209"/>
      <c r="D11376" s="209"/>
      <c r="E11376" s="209"/>
      <c r="J11376" s="124"/>
    </row>
    <row r="11377" spans="3:10" x14ac:dyDescent="0.2">
      <c r="C11377" s="209"/>
      <c r="D11377" s="209"/>
      <c r="E11377" s="209"/>
      <c r="J11377" s="124"/>
    </row>
    <row r="11378" spans="3:10" x14ac:dyDescent="0.2">
      <c r="C11378" s="209"/>
      <c r="D11378" s="209"/>
      <c r="E11378" s="209"/>
      <c r="J11378" s="124"/>
    </row>
    <row r="11379" spans="3:10" x14ac:dyDescent="0.2">
      <c r="C11379" s="209"/>
      <c r="D11379" s="209"/>
      <c r="E11379" s="209"/>
      <c r="J11379" s="124"/>
    </row>
    <row r="11380" spans="3:10" x14ac:dyDescent="0.2">
      <c r="C11380" s="209"/>
      <c r="D11380" s="209"/>
      <c r="E11380" s="209"/>
      <c r="J11380" s="124"/>
    </row>
    <row r="11381" spans="3:10" x14ac:dyDescent="0.2">
      <c r="C11381" s="209"/>
      <c r="D11381" s="209"/>
      <c r="E11381" s="209"/>
      <c r="J11381" s="124"/>
    </row>
    <row r="11382" spans="3:10" x14ac:dyDescent="0.2">
      <c r="C11382" s="209"/>
      <c r="D11382" s="209"/>
      <c r="E11382" s="209"/>
      <c r="J11382" s="124"/>
    </row>
    <row r="11383" spans="3:10" x14ac:dyDescent="0.2">
      <c r="C11383" s="209"/>
      <c r="D11383" s="209"/>
      <c r="E11383" s="209"/>
      <c r="J11383" s="124"/>
    </row>
    <row r="11384" spans="3:10" x14ac:dyDescent="0.2">
      <c r="C11384" s="209"/>
      <c r="D11384" s="209"/>
      <c r="E11384" s="209"/>
      <c r="J11384" s="124"/>
    </row>
    <row r="11385" spans="3:10" x14ac:dyDescent="0.2">
      <c r="C11385" s="209"/>
      <c r="D11385" s="209"/>
      <c r="E11385" s="209"/>
      <c r="J11385" s="124"/>
    </row>
    <row r="11386" spans="3:10" x14ac:dyDescent="0.2">
      <c r="C11386" s="209"/>
      <c r="D11386" s="209"/>
      <c r="E11386" s="209"/>
      <c r="J11386" s="124"/>
    </row>
    <row r="11387" spans="3:10" x14ac:dyDescent="0.2">
      <c r="C11387" s="209"/>
      <c r="D11387" s="209"/>
      <c r="E11387" s="209"/>
      <c r="J11387" s="124"/>
    </row>
    <row r="11388" spans="3:10" x14ac:dyDescent="0.2">
      <c r="C11388" s="209"/>
      <c r="D11388" s="209"/>
      <c r="E11388" s="209"/>
      <c r="J11388" s="124"/>
    </row>
    <row r="11389" spans="3:10" x14ac:dyDescent="0.2">
      <c r="C11389" s="209"/>
      <c r="D11389" s="209"/>
      <c r="E11389" s="209"/>
      <c r="J11389" s="124"/>
    </row>
    <row r="11390" spans="3:10" x14ac:dyDescent="0.2">
      <c r="C11390" s="209"/>
      <c r="D11390" s="209"/>
      <c r="E11390" s="209"/>
      <c r="J11390" s="124"/>
    </row>
    <row r="11391" spans="3:10" x14ac:dyDescent="0.2">
      <c r="C11391" s="209"/>
      <c r="D11391" s="209"/>
      <c r="E11391" s="209"/>
      <c r="J11391" s="124"/>
    </row>
    <row r="11392" spans="3:10" x14ac:dyDescent="0.2">
      <c r="C11392" s="209"/>
      <c r="D11392" s="209"/>
      <c r="E11392" s="209"/>
      <c r="J11392" s="124"/>
    </row>
    <row r="11393" spans="3:10" x14ac:dyDescent="0.2">
      <c r="C11393" s="209"/>
      <c r="D11393" s="209"/>
      <c r="E11393" s="209"/>
      <c r="J11393" s="124"/>
    </row>
    <row r="11394" spans="3:10" x14ac:dyDescent="0.2">
      <c r="C11394" s="209"/>
      <c r="D11394" s="209"/>
      <c r="E11394" s="209"/>
      <c r="J11394" s="124"/>
    </row>
    <row r="11395" spans="3:10" x14ac:dyDescent="0.2">
      <c r="C11395" s="209"/>
      <c r="D11395" s="209"/>
      <c r="E11395" s="209"/>
      <c r="J11395" s="124"/>
    </row>
    <row r="11396" spans="3:10" x14ac:dyDescent="0.2">
      <c r="C11396" s="209"/>
      <c r="D11396" s="209"/>
      <c r="E11396" s="209"/>
      <c r="J11396" s="124"/>
    </row>
    <row r="11397" spans="3:10" x14ac:dyDescent="0.2">
      <c r="C11397" s="209"/>
      <c r="D11397" s="209"/>
      <c r="E11397" s="209"/>
      <c r="J11397" s="124"/>
    </row>
    <row r="11398" spans="3:10" x14ac:dyDescent="0.2">
      <c r="C11398" s="209"/>
      <c r="D11398" s="209"/>
      <c r="E11398" s="209"/>
      <c r="J11398" s="124"/>
    </row>
    <row r="11399" spans="3:10" x14ac:dyDescent="0.2">
      <c r="C11399" s="209"/>
      <c r="D11399" s="209"/>
      <c r="E11399" s="209"/>
      <c r="J11399" s="124"/>
    </row>
    <row r="11400" spans="3:10" x14ac:dyDescent="0.2">
      <c r="C11400" s="209"/>
      <c r="D11400" s="209"/>
      <c r="E11400" s="209"/>
      <c r="J11400" s="124"/>
    </row>
    <row r="11401" spans="3:10" x14ac:dyDescent="0.2">
      <c r="C11401" s="209"/>
      <c r="D11401" s="209"/>
      <c r="E11401" s="209"/>
      <c r="J11401" s="124"/>
    </row>
    <row r="11402" spans="3:10" x14ac:dyDescent="0.2">
      <c r="C11402" s="209"/>
      <c r="D11402" s="209"/>
      <c r="E11402" s="209"/>
      <c r="J11402" s="124"/>
    </row>
    <row r="11403" spans="3:10" x14ac:dyDescent="0.2">
      <c r="C11403" s="209"/>
      <c r="D11403" s="209"/>
      <c r="E11403" s="209"/>
      <c r="J11403" s="124"/>
    </row>
    <row r="11404" spans="3:10" x14ac:dyDescent="0.2">
      <c r="C11404" s="209"/>
      <c r="D11404" s="209"/>
      <c r="E11404" s="209"/>
      <c r="J11404" s="124"/>
    </row>
    <row r="11405" spans="3:10" x14ac:dyDescent="0.2">
      <c r="C11405" s="209"/>
      <c r="D11405" s="209"/>
      <c r="E11405" s="209"/>
      <c r="J11405" s="124"/>
    </row>
    <row r="11406" spans="3:10" x14ac:dyDescent="0.2">
      <c r="C11406" s="209"/>
      <c r="D11406" s="209"/>
      <c r="E11406" s="209"/>
      <c r="J11406" s="124"/>
    </row>
    <row r="11407" spans="3:10" x14ac:dyDescent="0.2">
      <c r="C11407" s="209"/>
      <c r="D11407" s="209"/>
      <c r="E11407" s="209"/>
      <c r="J11407" s="124"/>
    </row>
    <row r="11408" spans="3:10" x14ac:dyDescent="0.2">
      <c r="C11408" s="209"/>
      <c r="D11408" s="209"/>
      <c r="E11408" s="209"/>
      <c r="J11408" s="124"/>
    </row>
    <row r="11409" spans="3:10" x14ac:dyDescent="0.2">
      <c r="C11409" s="209"/>
      <c r="D11409" s="209"/>
      <c r="E11409" s="209"/>
      <c r="J11409" s="124"/>
    </row>
    <row r="11410" spans="3:10" x14ac:dyDescent="0.2">
      <c r="C11410" s="209"/>
      <c r="D11410" s="209"/>
      <c r="E11410" s="209"/>
      <c r="J11410" s="124"/>
    </row>
    <row r="11411" spans="3:10" x14ac:dyDescent="0.2">
      <c r="C11411" s="209"/>
      <c r="D11411" s="209"/>
      <c r="E11411" s="209"/>
      <c r="J11411" s="124"/>
    </row>
    <row r="11412" spans="3:10" x14ac:dyDescent="0.2">
      <c r="C11412" s="209"/>
      <c r="D11412" s="209"/>
      <c r="E11412" s="209"/>
      <c r="J11412" s="124"/>
    </row>
    <row r="11413" spans="3:10" x14ac:dyDescent="0.2">
      <c r="C11413" s="209"/>
      <c r="D11413" s="209"/>
      <c r="E11413" s="209"/>
      <c r="J11413" s="124"/>
    </row>
    <row r="11414" spans="3:10" x14ac:dyDescent="0.2">
      <c r="C11414" s="209"/>
      <c r="D11414" s="209"/>
      <c r="E11414" s="209"/>
      <c r="J11414" s="124"/>
    </row>
    <row r="11415" spans="3:10" x14ac:dyDescent="0.2">
      <c r="C11415" s="209"/>
      <c r="D11415" s="209"/>
      <c r="E11415" s="209"/>
      <c r="J11415" s="124"/>
    </row>
    <row r="11416" spans="3:10" x14ac:dyDescent="0.2">
      <c r="C11416" s="209"/>
      <c r="D11416" s="209"/>
      <c r="E11416" s="209"/>
      <c r="J11416" s="124"/>
    </row>
    <row r="11417" spans="3:10" x14ac:dyDescent="0.2">
      <c r="C11417" s="209"/>
      <c r="D11417" s="209"/>
      <c r="E11417" s="209"/>
      <c r="J11417" s="124"/>
    </row>
    <row r="11418" spans="3:10" x14ac:dyDescent="0.2">
      <c r="C11418" s="209"/>
      <c r="D11418" s="209"/>
      <c r="E11418" s="209"/>
      <c r="J11418" s="124"/>
    </row>
    <row r="11419" spans="3:10" x14ac:dyDescent="0.2">
      <c r="C11419" s="209"/>
      <c r="D11419" s="209"/>
      <c r="E11419" s="209"/>
      <c r="J11419" s="124"/>
    </row>
    <row r="11420" spans="3:10" x14ac:dyDescent="0.2">
      <c r="C11420" s="209"/>
      <c r="D11420" s="209"/>
      <c r="E11420" s="209"/>
      <c r="J11420" s="124"/>
    </row>
    <row r="11421" spans="3:10" x14ac:dyDescent="0.2">
      <c r="C11421" s="209"/>
      <c r="D11421" s="209"/>
      <c r="E11421" s="209"/>
      <c r="J11421" s="124"/>
    </row>
    <row r="11422" spans="3:10" x14ac:dyDescent="0.2">
      <c r="C11422" s="209"/>
      <c r="D11422" s="209"/>
      <c r="E11422" s="209"/>
      <c r="J11422" s="124"/>
    </row>
    <row r="11423" spans="3:10" x14ac:dyDescent="0.2">
      <c r="C11423" s="209"/>
      <c r="D11423" s="209"/>
      <c r="E11423" s="209"/>
      <c r="J11423" s="124"/>
    </row>
    <row r="11424" spans="3:10" x14ac:dyDescent="0.2">
      <c r="C11424" s="209"/>
      <c r="D11424" s="209"/>
      <c r="E11424" s="209"/>
      <c r="J11424" s="124"/>
    </row>
    <row r="11425" spans="3:10" x14ac:dyDescent="0.2">
      <c r="C11425" s="209"/>
      <c r="D11425" s="209"/>
      <c r="E11425" s="209"/>
      <c r="J11425" s="124"/>
    </row>
    <row r="11426" spans="3:10" x14ac:dyDescent="0.2">
      <c r="C11426" s="209"/>
      <c r="D11426" s="209"/>
      <c r="E11426" s="209"/>
      <c r="J11426" s="124"/>
    </row>
    <row r="11427" spans="3:10" x14ac:dyDescent="0.2">
      <c r="C11427" s="209"/>
      <c r="D11427" s="209"/>
      <c r="E11427" s="209"/>
      <c r="J11427" s="124"/>
    </row>
    <row r="11428" spans="3:10" x14ac:dyDescent="0.2">
      <c r="C11428" s="209"/>
      <c r="D11428" s="209"/>
      <c r="E11428" s="209"/>
      <c r="J11428" s="124"/>
    </row>
    <row r="11429" spans="3:10" x14ac:dyDescent="0.2">
      <c r="C11429" s="209"/>
      <c r="D11429" s="209"/>
      <c r="E11429" s="209"/>
      <c r="J11429" s="124"/>
    </row>
    <row r="11430" spans="3:10" x14ac:dyDescent="0.2">
      <c r="C11430" s="209"/>
      <c r="D11430" s="209"/>
      <c r="E11430" s="209"/>
      <c r="J11430" s="124"/>
    </row>
    <row r="11431" spans="3:10" x14ac:dyDescent="0.2">
      <c r="C11431" s="209"/>
      <c r="D11431" s="209"/>
      <c r="E11431" s="209"/>
      <c r="J11431" s="124"/>
    </row>
    <row r="11432" spans="3:10" x14ac:dyDescent="0.2">
      <c r="C11432" s="209"/>
      <c r="D11432" s="209"/>
      <c r="E11432" s="209"/>
      <c r="J11432" s="124"/>
    </row>
    <row r="11433" spans="3:10" x14ac:dyDescent="0.2">
      <c r="C11433" s="209"/>
      <c r="D11433" s="209"/>
      <c r="E11433" s="209"/>
      <c r="J11433" s="124"/>
    </row>
    <row r="11434" spans="3:10" x14ac:dyDescent="0.2">
      <c r="C11434" s="209"/>
      <c r="D11434" s="209"/>
      <c r="E11434" s="209"/>
      <c r="J11434" s="124"/>
    </row>
    <row r="11435" spans="3:10" x14ac:dyDescent="0.2">
      <c r="C11435" s="209"/>
      <c r="D11435" s="209"/>
      <c r="E11435" s="209"/>
      <c r="J11435" s="124"/>
    </row>
    <row r="11436" spans="3:10" x14ac:dyDescent="0.2">
      <c r="C11436" s="209"/>
      <c r="D11436" s="209"/>
      <c r="E11436" s="209"/>
      <c r="J11436" s="124"/>
    </row>
    <row r="11437" spans="3:10" x14ac:dyDescent="0.2">
      <c r="C11437" s="209"/>
      <c r="D11437" s="209"/>
      <c r="E11437" s="209"/>
      <c r="J11437" s="124"/>
    </row>
    <row r="11438" spans="3:10" x14ac:dyDescent="0.2">
      <c r="C11438" s="209"/>
      <c r="D11438" s="209"/>
      <c r="E11438" s="209"/>
      <c r="J11438" s="124"/>
    </row>
    <row r="11439" spans="3:10" x14ac:dyDescent="0.2">
      <c r="C11439" s="209"/>
      <c r="D11439" s="209"/>
      <c r="E11439" s="209"/>
      <c r="J11439" s="124"/>
    </row>
    <row r="11440" spans="3:10" x14ac:dyDescent="0.2">
      <c r="C11440" s="209"/>
      <c r="D11440" s="209"/>
      <c r="E11440" s="209"/>
      <c r="J11440" s="124"/>
    </row>
    <row r="11441" spans="3:10" x14ac:dyDescent="0.2">
      <c r="C11441" s="209"/>
      <c r="D11441" s="209"/>
      <c r="E11441" s="209"/>
      <c r="J11441" s="124"/>
    </row>
    <row r="11442" spans="3:10" x14ac:dyDescent="0.2">
      <c r="C11442" s="209"/>
      <c r="D11442" s="209"/>
      <c r="E11442" s="209"/>
      <c r="J11442" s="124"/>
    </row>
    <row r="11443" spans="3:10" x14ac:dyDescent="0.2">
      <c r="C11443" s="209"/>
      <c r="D11443" s="209"/>
      <c r="E11443" s="209"/>
      <c r="J11443" s="124"/>
    </row>
    <row r="11444" spans="3:10" x14ac:dyDescent="0.2">
      <c r="C11444" s="209"/>
      <c r="D11444" s="209"/>
      <c r="E11444" s="209"/>
      <c r="J11444" s="124"/>
    </row>
    <row r="11445" spans="3:10" x14ac:dyDescent="0.2">
      <c r="C11445" s="209"/>
      <c r="D11445" s="209"/>
      <c r="E11445" s="209"/>
      <c r="J11445" s="124"/>
    </row>
    <row r="11446" spans="3:10" x14ac:dyDescent="0.2">
      <c r="C11446" s="209"/>
      <c r="D11446" s="209"/>
      <c r="E11446" s="209"/>
      <c r="J11446" s="124"/>
    </row>
    <row r="11447" spans="3:10" x14ac:dyDescent="0.2">
      <c r="C11447" s="209"/>
      <c r="D11447" s="209"/>
      <c r="E11447" s="209"/>
      <c r="J11447" s="124"/>
    </row>
    <row r="11448" spans="3:10" x14ac:dyDescent="0.2">
      <c r="C11448" s="209"/>
      <c r="D11448" s="209"/>
      <c r="E11448" s="209"/>
      <c r="J11448" s="124"/>
    </row>
    <row r="11449" spans="3:10" x14ac:dyDescent="0.2">
      <c r="C11449" s="209"/>
      <c r="D11449" s="209"/>
      <c r="E11449" s="209"/>
      <c r="J11449" s="124"/>
    </row>
    <row r="11450" spans="3:10" x14ac:dyDescent="0.2">
      <c r="C11450" s="209"/>
      <c r="D11450" s="209"/>
      <c r="E11450" s="209"/>
      <c r="J11450" s="124"/>
    </row>
    <row r="11451" spans="3:10" x14ac:dyDescent="0.2">
      <c r="C11451" s="209"/>
      <c r="D11451" s="209"/>
      <c r="E11451" s="209"/>
      <c r="J11451" s="124"/>
    </row>
    <row r="11452" spans="3:10" x14ac:dyDescent="0.2">
      <c r="C11452" s="209"/>
      <c r="D11452" s="209"/>
      <c r="E11452" s="209"/>
      <c r="J11452" s="124"/>
    </row>
    <row r="11453" spans="3:10" x14ac:dyDescent="0.2">
      <c r="C11453" s="209"/>
      <c r="D11453" s="209"/>
      <c r="E11453" s="209"/>
      <c r="J11453" s="124"/>
    </row>
    <row r="11454" spans="3:10" x14ac:dyDescent="0.2">
      <c r="C11454" s="209"/>
      <c r="D11454" s="209"/>
      <c r="E11454" s="209"/>
      <c r="J11454" s="124"/>
    </row>
    <row r="11455" spans="3:10" x14ac:dyDescent="0.2">
      <c r="C11455" s="209"/>
      <c r="D11455" s="209"/>
      <c r="E11455" s="209"/>
      <c r="J11455" s="124"/>
    </row>
    <row r="11456" spans="3:10" x14ac:dyDescent="0.2">
      <c r="C11456" s="209"/>
      <c r="D11456" s="209"/>
      <c r="E11456" s="209"/>
      <c r="J11456" s="124"/>
    </row>
    <row r="11457" spans="3:10" x14ac:dyDescent="0.2">
      <c r="C11457" s="209"/>
      <c r="D11457" s="209"/>
      <c r="E11457" s="209"/>
      <c r="J11457" s="124"/>
    </row>
    <row r="11458" spans="3:10" x14ac:dyDescent="0.2">
      <c r="C11458" s="209"/>
      <c r="D11458" s="209"/>
      <c r="E11458" s="209"/>
      <c r="J11458" s="124"/>
    </row>
    <row r="11459" spans="3:10" x14ac:dyDescent="0.2">
      <c r="C11459" s="209"/>
      <c r="D11459" s="209"/>
      <c r="E11459" s="209"/>
      <c r="J11459" s="124"/>
    </row>
    <row r="11460" spans="3:10" x14ac:dyDescent="0.2">
      <c r="C11460" s="209"/>
      <c r="D11460" s="209"/>
      <c r="E11460" s="209"/>
      <c r="J11460" s="124"/>
    </row>
    <row r="11461" spans="3:10" x14ac:dyDescent="0.2">
      <c r="C11461" s="209"/>
      <c r="D11461" s="209"/>
      <c r="E11461" s="209"/>
      <c r="J11461" s="124"/>
    </row>
    <row r="11462" spans="3:10" x14ac:dyDescent="0.2">
      <c r="C11462" s="209"/>
      <c r="D11462" s="209"/>
      <c r="E11462" s="209"/>
      <c r="J11462" s="124"/>
    </row>
    <row r="11463" spans="3:10" x14ac:dyDescent="0.2">
      <c r="C11463" s="209"/>
      <c r="D11463" s="209"/>
      <c r="E11463" s="209"/>
      <c r="J11463" s="124"/>
    </row>
    <row r="11464" spans="3:10" x14ac:dyDescent="0.2">
      <c r="C11464" s="209"/>
      <c r="D11464" s="209"/>
      <c r="E11464" s="209"/>
      <c r="J11464" s="124"/>
    </row>
    <row r="11465" spans="3:10" x14ac:dyDescent="0.2">
      <c r="C11465" s="209"/>
      <c r="D11465" s="209"/>
      <c r="E11465" s="209"/>
      <c r="J11465" s="124"/>
    </row>
    <row r="11466" spans="3:10" x14ac:dyDescent="0.2">
      <c r="C11466" s="209"/>
      <c r="D11466" s="209"/>
      <c r="E11466" s="209"/>
      <c r="J11466" s="124"/>
    </row>
    <row r="11467" spans="3:10" x14ac:dyDescent="0.2">
      <c r="C11467" s="209"/>
      <c r="D11467" s="209"/>
      <c r="E11467" s="209"/>
      <c r="J11467" s="124"/>
    </row>
    <row r="11468" spans="3:10" x14ac:dyDescent="0.2">
      <c r="C11468" s="209"/>
      <c r="D11468" s="209"/>
      <c r="E11468" s="209"/>
      <c r="J11468" s="124"/>
    </row>
    <row r="11469" spans="3:10" x14ac:dyDescent="0.2">
      <c r="C11469" s="209"/>
      <c r="D11469" s="209"/>
      <c r="E11469" s="209"/>
      <c r="J11469" s="124"/>
    </row>
    <row r="11470" spans="3:10" x14ac:dyDescent="0.2">
      <c r="C11470" s="209"/>
      <c r="D11470" s="209"/>
      <c r="E11470" s="209"/>
      <c r="J11470" s="124"/>
    </row>
    <row r="11471" spans="3:10" x14ac:dyDescent="0.2">
      <c r="C11471" s="209"/>
      <c r="D11471" s="209"/>
      <c r="E11471" s="209"/>
      <c r="J11471" s="124"/>
    </row>
    <row r="11472" spans="3:10" x14ac:dyDescent="0.2">
      <c r="C11472" s="209"/>
      <c r="D11472" s="209"/>
      <c r="E11472" s="209"/>
      <c r="J11472" s="124"/>
    </row>
    <row r="11473" spans="3:10" x14ac:dyDescent="0.2">
      <c r="C11473" s="209"/>
      <c r="D11473" s="209"/>
      <c r="E11473" s="209"/>
      <c r="J11473" s="124"/>
    </row>
    <row r="11474" spans="3:10" x14ac:dyDescent="0.2">
      <c r="C11474" s="209"/>
      <c r="D11474" s="209"/>
      <c r="E11474" s="209"/>
      <c r="J11474" s="124"/>
    </row>
    <row r="11475" spans="3:10" x14ac:dyDescent="0.2">
      <c r="C11475" s="209"/>
      <c r="D11475" s="209"/>
      <c r="E11475" s="209"/>
      <c r="J11475" s="124"/>
    </row>
    <row r="11476" spans="3:10" x14ac:dyDescent="0.2">
      <c r="C11476" s="209"/>
      <c r="D11476" s="209"/>
      <c r="E11476" s="209"/>
      <c r="J11476" s="124"/>
    </row>
    <row r="11477" spans="3:10" x14ac:dyDescent="0.2">
      <c r="C11477" s="209"/>
      <c r="D11477" s="209"/>
      <c r="E11477" s="209"/>
      <c r="J11477" s="124"/>
    </row>
    <row r="11478" spans="3:10" x14ac:dyDescent="0.2">
      <c r="C11478" s="209"/>
      <c r="D11478" s="209"/>
      <c r="E11478" s="209"/>
      <c r="J11478" s="124"/>
    </row>
    <row r="11479" spans="3:10" x14ac:dyDescent="0.2">
      <c r="C11479" s="209"/>
      <c r="D11479" s="209"/>
      <c r="E11479" s="209"/>
      <c r="J11479" s="124"/>
    </row>
    <row r="11480" spans="3:10" x14ac:dyDescent="0.2">
      <c r="C11480" s="209"/>
      <c r="D11480" s="209"/>
      <c r="E11480" s="209"/>
      <c r="J11480" s="124"/>
    </row>
    <row r="11481" spans="3:10" x14ac:dyDescent="0.2">
      <c r="C11481" s="209"/>
      <c r="D11481" s="209"/>
      <c r="E11481" s="209"/>
      <c r="J11481" s="124"/>
    </row>
    <row r="11482" spans="3:10" x14ac:dyDescent="0.2">
      <c r="C11482" s="209"/>
      <c r="D11482" s="209"/>
      <c r="E11482" s="209"/>
      <c r="J11482" s="124"/>
    </row>
    <row r="11483" spans="3:10" x14ac:dyDescent="0.2">
      <c r="C11483" s="209"/>
      <c r="D11483" s="209"/>
      <c r="E11483" s="209"/>
      <c r="J11483" s="124"/>
    </row>
    <row r="11484" spans="3:10" x14ac:dyDescent="0.2">
      <c r="C11484" s="209"/>
      <c r="D11484" s="209"/>
      <c r="E11484" s="209"/>
      <c r="J11484" s="124"/>
    </row>
    <row r="11485" spans="3:10" x14ac:dyDescent="0.2">
      <c r="C11485" s="209"/>
      <c r="D11485" s="209"/>
      <c r="E11485" s="209"/>
      <c r="J11485" s="124"/>
    </row>
    <row r="11486" spans="3:10" x14ac:dyDescent="0.2">
      <c r="C11486" s="209"/>
      <c r="D11486" s="209"/>
      <c r="E11486" s="209"/>
      <c r="J11486" s="124"/>
    </row>
    <row r="11487" spans="3:10" x14ac:dyDescent="0.2">
      <c r="C11487" s="209"/>
      <c r="D11487" s="209"/>
      <c r="E11487" s="209"/>
      <c r="J11487" s="124"/>
    </row>
    <row r="11488" spans="3:10" x14ac:dyDescent="0.2">
      <c r="C11488" s="209"/>
      <c r="D11488" s="209"/>
      <c r="E11488" s="209"/>
      <c r="J11488" s="124"/>
    </row>
    <row r="11489" spans="3:10" x14ac:dyDescent="0.2">
      <c r="C11489" s="209"/>
      <c r="D11489" s="209"/>
      <c r="E11489" s="209"/>
      <c r="J11489" s="124"/>
    </row>
    <row r="11490" spans="3:10" x14ac:dyDescent="0.2">
      <c r="C11490" s="209"/>
      <c r="D11490" s="209"/>
      <c r="E11490" s="209"/>
      <c r="J11490" s="124"/>
    </row>
    <row r="11491" spans="3:10" x14ac:dyDescent="0.2">
      <c r="C11491" s="209"/>
      <c r="D11491" s="209"/>
      <c r="E11491" s="209"/>
      <c r="J11491" s="124"/>
    </row>
    <row r="11492" spans="3:10" x14ac:dyDescent="0.2">
      <c r="C11492" s="209"/>
      <c r="D11492" s="209"/>
      <c r="E11492" s="209"/>
      <c r="J11492" s="124"/>
    </row>
    <row r="11493" spans="3:10" x14ac:dyDescent="0.2">
      <c r="C11493" s="209"/>
      <c r="D11493" s="209"/>
      <c r="E11493" s="209"/>
      <c r="J11493" s="124"/>
    </row>
    <row r="11494" spans="3:10" x14ac:dyDescent="0.2">
      <c r="C11494" s="209"/>
      <c r="D11494" s="209"/>
      <c r="E11494" s="209"/>
      <c r="J11494" s="124"/>
    </row>
    <row r="11495" spans="3:10" x14ac:dyDescent="0.2">
      <c r="C11495" s="209"/>
      <c r="D11495" s="209"/>
      <c r="E11495" s="209"/>
      <c r="J11495" s="124"/>
    </row>
    <row r="11496" spans="3:10" x14ac:dyDescent="0.2">
      <c r="C11496" s="209"/>
      <c r="D11496" s="209"/>
      <c r="E11496" s="209"/>
      <c r="J11496" s="124"/>
    </row>
    <row r="11497" spans="3:10" x14ac:dyDescent="0.2">
      <c r="C11497" s="209"/>
      <c r="D11497" s="209"/>
      <c r="E11497" s="209"/>
      <c r="J11497" s="124"/>
    </row>
    <row r="11498" spans="3:10" x14ac:dyDescent="0.2">
      <c r="C11498" s="209"/>
      <c r="D11498" s="209"/>
      <c r="E11498" s="209"/>
      <c r="J11498" s="124"/>
    </row>
    <row r="11499" spans="3:10" x14ac:dyDescent="0.2">
      <c r="C11499" s="209"/>
      <c r="D11499" s="209"/>
      <c r="E11499" s="209"/>
      <c r="J11499" s="124"/>
    </row>
    <row r="11500" spans="3:10" x14ac:dyDescent="0.2">
      <c r="C11500" s="209"/>
      <c r="D11500" s="209"/>
      <c r="E11500" s="209"/>
      <c r="J11500" s="124"/>
    </row>
    <row r="11501" spans="3:10" x14ac:dyDescent="0.2">
      <c r="C11501" s="209"/>
      <c r="D11501" s="209"/>
      <c r="E11501" s="209"/>
      <c r="J11501" s="124"/>
    </row>
    <row r="11502" spans="3:10" x14ac:dyDescent="0.2">
      <c r="C11502" s="209"/>
      <c r="D11502" s="209"/>
      <c r="E11502" s="209"/>
      <c r="J11502" s="124"/>
    </row>
    <row r="11503" spans="3:10" x14ac:dyDescent="0.2">
      <c r="C11503" s="209"/>
      <c r="D11503" s="209"/>
      <c r="E11503" s="209"/>
      <c r="J11503" s="124"/>
    </row>
    <row r="11504" spans="3:10" x14ac:dyDescent="0.2">
      <c r="C11504" s="209"/>
      <c r="D11504" s="209"/>
      <c r="E11504" s="209"/>
      <c r="J11504" s="124"/>
    </row>
    <row r="11505" spans="3:10" x14ac:dyDescent="0.2">
      <c r="C11505" s="209"/>
      <c r="D11505" s="209"/>
      <c r="E11505" s="209"/>
      <c r="J11505" s="124"/>
    </row>
    <row r="11506" spans="3:10" x14ac:dyDescent="0.2">
      <c r="C11506" s="209"/>
      <c r="D11506" s="209"/>
      <c r="E11506" s="209"/>
      <c r="J11506" s="124"/>
    </row>
    <row r="11507" spans="3:10" x14ac:dyDescent="0.2">
      <c r="C11507" s="209"/>
      <c r="D11507" s="209"/>
      <c r="E11507" s="209"/>
      <c r="J11507" s="124"/>
    </row>
    <row r="11508" spans="3:10" x14ac:dyDescent="0.2">
      <c r="C11508" s="209"/>
      <c r="D11508" s="209"/>
      <c r="E11508" s="209"/>
      <c r="J11508" s="124"/>
    </row>
    <row r="11509" spans="3:10" x14ac:dyDescent="0.2">
      <c r="C11509" s="209"/>
      <c r="D11509" s="209"/>
      <c r="E11509" s="209"/>
      <c r="J11509" s="124"/>
    </row>
    <row r="11510" spans="3:10" x14ac:dyDescent="0.2">
      <c r="C11510" s="209"/>
      <c r="D11510" s="209"/>
      <c r="E11510" s="209"/>
      <c r="J11510" s="124"/>
    </row>
    <row r="11511" spans="3:10" x14ac:dyDescent="0.2">
      <c r="C11511" s="209"/>
      <c r="D11511" s="209"/>
      <c r="E11511" s="209"/>
      <c r="J11511" s="124"/>
    </row>
    <row r="11512" spans="3:10" x14ac:dyDescent="0.2">
      <c r="C11512" s="209"/>
      <c r="D11512" s="209"/>
      <c r="E11512" s="209"/>
      <c r="J11512" s="124"/>
    </row>
    <row r="11513" spans="3:10" x14ac:dyDescent="0.2">
      <c r="C11513" s="209"/>
      <c r="D11513" s="209"/>
      <c r="E11513" s="209"/>
      <c r="J11513" s="124"/>
    </row>
    <row r="11514" spans="3:10" x14ac:dyDescent="0.2">
      <c r="C11514" s="209"/>
      <c r="D11514" s="209"/>
      <c r="E11514" s="209"/>
      <c r="J11514" s="124"/>
    </row>
    <row r="11515" spans="3:10" x14ac:dyDescent="0.2">
      <c r="C11515" s="209"/>
      <c r="D11515" s="209"/>
      <c r="E11515" s="209"/>
      <c r="J11515" s="124"/>
    </row>
    <row r="11516" spans="3:10" x14ac:dyDescent="0.2">
      <c r="C11516" s="209"/>
      <c r="D11516" s="209"/>
      <c r="E11516" s="209"/>
      <c r="J11516" s="124"/>
    </row>
    <row r="11517" spans="3:10" x14ac:dyDescent="0.2">
      <c r="C11517" s="209"/>
      <c r="D11517" s="209"/>
      <c r="E11517" s="209"/>
      <c r="J11517" s="124"/>
    </row>
    <row r="11518" spans="3:10" x14ac:dyDescent="0.2">
      <c r="C11518" s="209"/>
      <c r="D11518" s="209"/>
      <c r="E11518" s="209"/>
      <c r="J11518" s="124"/>
    </row>
    <row r="11519" spans="3:10" x14ac:dyDescent="0.2">
      <c r="C11519" s="209"/>
      <c r="D11519" s="209"/>
      <c r="E11519" s="209"/>
      <c r="J11519" s="124"/>
    </row>
    <row r="11520" spans="3:10" x14ac:dyDescent="0.2">
      <c r="C11520" s="209"/>
      <c r="D11520" s="209"/>
      <c r="E11520" s="209"/>
      <c r="J11520" s="124"/>
    </row>
    <row r="11521" spans="3:10" x14ac:dyDescent="0.2">
      <c r="C11521" s="209"/>
      <c r="D11521" s="209"/>
      <c r="E11521" s="209"/>
      <c r="J11521" s="124"/>
    </row>
    <row r="11522" spans="3:10" x14ac:dyDescent="0.2">
      <c r="C11522" s="209"/>
      <c r="D11522" s="209"/>
      <c r="E11522" s="209"/>
      <c r="J11522" s="124"/>
    </row>
    <row r="11523" spans="3:10" x14ac:dyDescent="0.2">
      <c r="C11523" s="209"/>
      <c r="D11523" s="209"/>
      <c r="E11523" s="209"/>
      <c r="J11523" s="124"/>
    </row>
    <row r="11524" spans="3:10" x14ac:dyDescent="0.2">
      <c r="C11524" s="209"/>
      <c r="D11524" s="209"/>
      <c r="E11524" s="209"/>
      <c r="J11524" s="124"/>
    </row>
    <row r="11525" spans="3:10" x14ac:dyDescent="0.2">
      <c r="C11525" s="209"/>
      <c r="D11525" s="209"/>
      <c r="E11525" s="209"/>
      <c r="J11525" s="124"/>
    </row>
    <row r="11526" spans="3:10" x14ac:dyDescent="0.2">
      <c r="C11526" s="209"/>
      <c r="D11526" s="209"/>
      <c r="E11526" s="209"/>
      <c r="J11526" s="124"/>
    </row>
    <row r="11527" spans="3:10" x14ac:dyDescent="0.2">
      <c r="C11527" s="209"/>
      <c r="D11527" s="209"/>
      <c r="E11527" s="209"/>
      <c r="J11527" s="124"/>
    </row>
    <row r="11528" spans="3:10" x14ac:dyDescent="0.2">
      <c r="C11528" s="209"/>
      <c r="D11528" s="209"/>
      <c r="E11528" s="209"/>
      <c r="J11528" s="124"/>
    </row>
    <row r="11529" spans="3:10" x14ac:dyDescent="0.2">
      <c r="C11529" s="209"/>
      <c r="D11529" s="209"/>
      <c r="E11529" s="209"/>
      <c r="J11529" s="124"/>
    </row>
    <row r="11530" spans="3:10" x14ac:dyDescent="0.2">
      <c r="C11530" s="209"/>
      <c r="D11530" s="209"/>
      <c r="E11530" s="209"/>
      <c r="J11530" s="124"/>
    </row>
    <row r="11531" spans="3:10" x14ac:dyDescent="0.2">
      <c r="C11531" s="209"/>
      <c r="D11531" s="209"/>
      <c r="E11531" s="209"/>
      <c r="J11531" s="124"/>
    </row>
    <row r="11532" spans="3:10" x14ac:dyDescent="0.2">
      <c r="C11532" s="209"/>
      <c r="D11532" s="209"/>
      <c r="E11532" s="209"/>
      <c r="J11532" s="124"/>
    </row>
    <row r="11533" spans="3:10" x14ac:dyDescent="0.2">
      <c r="C11533" s="209"/>
      <c r="D11533" s="209"/>
      <c r="E11533" s="209"/>
      <c r="J11533" s="124"/>
    </row>
    <row r="11534" spans="3:10" x14ac:dyDescent="0.2">
      <c r="C11534" s="209"/>
      <c r="D11534" s="209"/>
      <c r="E11534" s="209"/>
      <c r="J11534" s="124"/>
    </row>
    <row r="11535" spans="3:10" x14ac:dyDescent="0.2">
      <c r="C11535" s="209"/>
      <c r="D11535" s="209"/>
      <c r="E11535" s="209"/>
      <c r="J11535" s="124"/>
    </row>
    <row r="11536" spans="3:10" x14ac:dyDescent="0.2">
      <c r="C11536" s="209"/>
      <c r="D11536" s="209"/>
      <c r="E11536" s="209"/>
      <c r="J11536" s="124"/>
    </row>
    <row r="11537" spans="3:10" x14ac:dyDescent="0.2">
      <c r="C11537" s="209"/>
      <c r="D11537" s="209"/>
      <c r="E11537" s="209"/>
      <c r="J11537" s="124"/>
    </row>
    <row r="11538" spans="3:10" x14ac:dyDescent="0.2">
      <c r="C11538" s="209"/>
      <c r="D11538" s="209"/>
      <c r="E11538" s="209"/>
      <c r="J11538" s="124"/>
    </row>
    <row r="11539" spans="3:10" x14ac:dyDescent="0.2">
      <c r="C11539" s="209"/>
      <c r="D11539" s="209"/>
      <c r="E11539" s="209"/>
      <c r="J11539" s="124"/>
    </row>
    <row r="11540" spans="3:10" x14ac:dyDescent="0.2">
      <c r="C11540" s="209"/>
      <c r="D11540" s="209"/>
      <c r="E11540" s="209"/>
      <c r="J11540" s="124"/>
    </row>
    <row r="11541" spans="3:10" x14ac:dyDescent="0.2">
      <c r="C11541" s="209"/>
      <c r="D11541" s="209"/>
      <c r="E11541" s="209"/>
      <c r="J11541" s="124"/>
    </row>
    <row r="11542" spans="3:10" x14ac:dyDescent="0.2">
      <c r="C11542" s="209"/>
      <c r="D11542" s="209"/>
      <c r="E11542" s="209"/>
      <c r="J11542" s="124"/>
    </row>
    <row r="11543" spans="3:10" x14ac:dyDescent="0.2">
      <c r="C11543" s="209"/>
      <c r="D11543" s="209"/>
      <c r="E11543" s="209"/>
      <c r="J11543" s="124"/>
    </row>
    <row r="11544" spans="3:10" x14ac:dyDescent="0.2">
      <c r="C11544" s="209"/>
      <c r="D11544" s="209"/>
      <c r="E11544" s="209"/>
      <c r="J11544" s="124"/>
    </row>
    <row r="11545" spans="3:10" x14ac:dyDescent="0.2">
      <c r="C11545" s="209"/>
      <c r="D11545" s="209"/>
      <c r="E11545" s="209"/>
      <c r="J11545" s="124"/>
    </row>
    <row r="11546" spans="3:10" x14ac:dyDescent="0.2">
      <c r="C11546" s="209"/>
      <c r="D11546" s="209"/>
      <c r="E11546" s="209"/>
      <c r="J11546" s="124"/>
    </row>
    <row r="11547" spans="3:10" x14ac:dyDescent="0.2">
      <c r="C11547" s="209"/>
      <c r="D11547" s="209"/>
      <c r="E11547" s="209"/>
      <c r="J11547" s="124"/>
    </row>
    <row r="11548" spans="3:10" x14ac:dyDescent="0.2">
      <c r="C11548" s="209"/>
      <c r="D11548" s="209"/>
      <c r="E11548" s="209"/>
      <c r="J11548" s="124"/>
    </row>
    <row r="11549" spans="3:10" x14ac:dyDescent="0.2">
      <c r="C11549" s="209"/>
      <c r="D11549" s="209"/>
      <c r="E11549" s="209"/>
      <c r="J11549" s="124"/>
    </row>
    <row r="11550" spans="3:10" x14ac:dyDescent="0.2">
      <c r="C11550" s="209"/>
      <c r="D11550" s="209"/>
      <c r="E11550" s="209"/>
      <c r="J11550" s="124"/>
    </row>
    <row r="11551" spans="3:10" x14ac:dyDescent="0.2">
      <c r="C11551" s="209"/>
      <c r="D11551" s="209"/>
      <c r="E11551" s="209"/>
      <c r="J11551" s="124"/>
    </row>
    <row r="11552" spans="3:10" x14ac:dyDescent="0.2">
      <c r="C11552" s="209"/>
      <c r="D11552" s="209"/>
      <c r="E11552" s="209"/>
      <c r="J11552" s="124"/>
    </row>
    <row r="11553" spans="3:10" x14ac:dyDescent="0.2">
      <c r="C11553" s="209"/>
      <c r="D11553" s="209"/>
      <c r="E11553" s="209"/>
      <c r="J11553" s="124"/>
    </row>
    <row r="11554" spans="3:10" x14ac:dyDescent="0.2">
      <c r="C11554" s="209"/>
      <c r="D11554" s="209"/>
      <c r="E11554" s="209"/>
      <c r="J11554" s="124"/>
    </row>
    <row r="11555" spans="3:10" x14ac:dyDescent="0.2">
      <c r="C11555" s="209"/>
      <c r="D11555" s="209"/>
      <c r="E11555" s="209"/>
      <c r="J11555" s="124"/>
    </row>
    <row r="11556" spans="3:10" x14ac:dyDescent="0.2">
      <c r="C11556" s="209"/>
      <c r="D11556" s="209"/>
      <c r="E11556" s="209"/>
      <c r="J11556" s="124"/>
    </row>
    <row r="11557" spans="3:10" x14ac:dyDescent="0.2">
      <c r="C11557" s="209"/>
      <c r="D11557" s="209"/>
      <c r="E11557" s="209"/>
      <c r="J11557" s="124"/>
    </row>
    <row r="11558" spans="3:10" x14ac:dyDescent="0.2">
      <c r="C11558" s="209"/>
      <c r="D11558" s="209"/>
      <c r="E11558" s="209"/>
      <c r="J11558" s="124"/>
    </row>
    <row r="11559" spans="3:10" x14ac:dyDescent="0.2">
      <c r="C11559" s="209"/>
      <c r="D11559" s="209"/>
      <c r="E11559" s="209"/>
      <c r="J11559" s="124"/>
    </row>
    <row r="11560" spans="3:10" x14ac:dyDescent="0.2">
      <c r="C11560" s="209"/>
      <c r="D11560" s="209"/>
      <c r="E11560" s="209"/>
      <c r="J11560" s="124"/>
    </row>
    <row r="11561" spans="3:10" x14ac:dyDescent="0.2">
      <c r="C11561" s="209"/>
      <c r="D11561" s="209"/>
      <c r="E11561" s="209"/>
      <c r="J11561" s="124"/>
    </row>
    <row r="11562" spans="3:10" x14ac:dyDescent="0.2">
      <c r="C11562" s="209"/>
      <c r="D11562" s="209"/>
      <c r="E11562" s="209"/>
      <c r="J11562" s="124"/>
    </row>
    <row r="11563" spans="3:10" x14ac:dyDescent="0.2">
      <c r="C11563" s="209"/>
      <c r="D11563" s="209"/>
      <c r="E11563" s="209"/>
      <c r="J11563" s="124"/>
    </row>
    <row r="11564" spans="3:10" x14ac:dyDescent="0.2">
      <c r="C11564" s="209"/>
      <c r="D11564" s="209"/>
      <c r="E11564" s="209"/>
      <c r="J11564" s="124"/>
    </row>
    <row r="11565" spans="3:10" x14ac:dyDescent="0.2">
      <c r="C11565" s="209"/>
      <c r="D11565" s="209"/>
      <c r="E11565" s="209"/>
      <c r="J11565" s="124"/>
    </row>
    <row r="11566" spans="3:10" x14ac:dyDescent="0.2">
      <c r="C11566" s="209"/>
      <c r="D11566" s="209"/>
      <c r="E11566" s="209"/>
      <c r="J11566" s="124"/>
    </row>
    <row r="11567" spans="3:10" x14ac:dyDescent="0.2">
      <c r="C11567" s="209"/>
      <c r="D11567" s="209"/>
      <c r="E11567" s="209"/>
      <c r="J11567" s="124"/>
    </row>
    <row r="11568" spans="3:10" x14ac:dyDescent="0.2">
      <c r="C11568" s="209"/>
      <c r="D11568" s="209"/>
      <c r="E11568" s="209"/>
      <c r="J11568" s="124"/>
    </row>
    <row r="11569" spans="3:10" x14ac:dyDescent="0.2">
      <c r="C11569" s="209"/>
      <c r="D11569" s="209"/>
      <c r="E11569" s="209"/>
      <c r="J11569" s="124"/>
    </row>
    <row r="11570" spans="3:10" x14ac:dyDescent="0.2">
      <c r="C11570" s="209"/>
      <c r="D11570" s="209"/>
      <c r="E11570" s="209"/>
      <c r="J11570" s="124"/>
    </row>
    <row r="11571" spans="3:10" x14ac:dyDescent="0.2">
      <c r="C11571" s="209"/>
      <c r="D11571" s="209"/>
      <c r="E11571" s="209"/>
      <c r="J11571" s="124"/>
    </row>
    <row r="11572" spans="3:10" x14ac:dyDescent="0.2">
      <c r="C11572" s="209"/>
      <c r="D11572" s="209"/>
      <c r="E11572" s="209"/>
      <c r="J11572" s="124"/>
    </row>
    <row r="11573" spans="3:10" x14ac:dyDescent="0.2">
      <c r="C11573" s="209"/>
      <c r="D11573" s="209"/>
      <c r="E11573" s="209"/>
      <c r="J11573" s="124"/>
    </row>
    <row r="11574" spans="3:10" x14ac:dyDescent="0.2">
      <c r="C11574" s="209"/>
      <c r="D11574" s="209"/>
      <c r="E11574" s="209"/>
      <c r="J11574" s="124"/>
    </row>
    <row r="11575" spans="3:10" x14ac:dyDescent="0.2">
      <c r="C11575" s="209"/>
      <c r="D11575" s="209"/>
      <c r="E11575" s="209"/>
      <c r="J11575" s="124"/>
    </row>
    <row r="11576" spans="3:10" x14ac:dyDescent="0.2">
      <c r="C11576" s="209"/>
      <c r="D11576" s="209"/>
      <c r="E11576" s="209"/>
      <c r="J11576" s="124"/>
    </row>
    <row r="11577" spans="3:10" x14ac:dyDescent="0.2">
      <c r="C11577" s="209"/>
      <c r="D11577" s="209"/>
      <c r="E11577" s="209"/>
      <c r="J11577" s="124"/>
    </row>
    <row r="11578" spans="3:10" x14ac:dyDescent="0.2">
      <c r="C11578" s="209"/>
      <c r="D11578" s="209"/>
      <c r="E11578" s="209"/>
      <c r="J11578" s="124"/>
    </row>
    <row r="11579" spans="3:10" x14ac:dyDescent="0.2">
      <c r="C11579" s="209"/>
      <c r="D11579" s="209"/>
      <c r="E11579" s="209"/>
      <c r="J11579" s="124"/>
    </row>
    <row r="11580" spans="3:10" x14ac:dyDescent="0.2">
      <c r="C11580" s="209"/>
      <c r="D11580" s="209"/>
      <c r="E11580" s="209"/>
      <c r="J11580" s="124"/>
    </row>
    <row r="11581" spans="3:10" x14ac:dyDescent="0.2">
      <c r="C11581" s="209"/>
      <c r="D11581" s="209"/>
      <c r="E11581" s="209"/>
      <c r="J11581" s="124"/>
    </row>
    <row r="11582" spans="3:10" x14ac:dyDescent="0.2">
      <c r="C11582" s="209"/>
      <c r="D11582" s="209"/>
      <c r="E11582" s="209"/>
      <c r="J11582" s="124"/>
    </row>
    <row r="11583" spans="3:10" x14ac:dyDescent="0.2">
      <c r="C11583" s="209"/>
      <c r="D11583" s="209"/>
      <c r="E11583" s="209"/>
      <c r="J11583" s="124"/>
    </row>
    <row r="11584" spans="3:10" x14ac:dyDescent="0.2">
      <c r="C11584" s="209"/>
      <c r="D11584" s="209"/>
      <c r="E11584" s="209"/>
      <c r="J11584" s="124"/>
    </row>
    <row r="11585" spans="3:10" x14ac:dyDescent="0.2">
      <c r="C11585" s="209"/>
      <c r="D11585" s="209"/>
      <c r="E11585" s="209"/>
      <c r="J11585" s="124"/>
    </row>
    <row r="11586" spans="3:10" x14ac:dyDescent="0.2">
      <c r="C11586" s="209"/>
      <c r="D11586" s="209"/>
      <c r="E11586" s="209"/>
      <c r="J11586" s="124"/>
    </row>
    <row r="11587" spans="3:10" x14ac:dyDescent="0.2">
      <c r="C11587" s="209"/>
      <c r="D11587" s="209"/>
      <c r="E11587" s="209"/>
      <c r="J11587" s="124"/>
    </row>
    <row r="11588" spans="3:10" x14ac:dyDescent="0.2">
      <c r="C11588" s="209"/>
      <c r="D11588" s="209"/>
      <c r="E11588" s="209"/>
      <c r="J11588" s="124"/>
    </row>
    <row r="11589" spans="3:10" x14ac:dyDescent="0.2">
      <c r="C11589" s="209"/>
      <c r="D11589" s="209"/>
      <c r="E11589" s="209"/>
      <c r="J11589" s="124"/>
    </row>
    <row r="11590" spans="3:10" x14ac:dyDescent="0.2">
      <c r="C11590" s="209"/>
      <c r="D11590" s="209"/>
      <c r="E11590" s="209"/>
      <c r="J11590" s="124"/>
    </row>
    <row r="11591" spans="3:10" x14ac:dyDescent="0.2">
      <c r="C11591" s="209"/>
      <c r="D11591" s="209"/>
      <c r="E11591" s="209"/>
      <c r="J11591" s="124"/>
    </row>
    <row r="11592" spans="3:10" x14ac:dyDescent="0.2">
      <c r="C11592" s="209"/>
      <c r="D11592" s="209"/>
      <c r="E11592" s="209"/>
      <c r="J11592" s="124"/>
    </row>
    <row r="11593" spans="3:10" x14ac:dyDescent="0.2">
      <c r="C11593" s="209"/>
      <c r="D11593" s="209"/>
      <c r="E11593" s="209"/>
      <c r="J11593" s="124"/>
    </row>
    <row r="11594" spans="3:10" x14ac:dyDescent="0.2">
      <c r="C11594" s="209"/>
      <c r="D11594" s="209"/>
      <c r="E11594" s="209"/>
      <c r="J11594" s="124"/>
    </row>
    <row r="11595" spans="3:10" x14ac:dyDescent="0.2">
      <c r="C11595" s="209"/>
      <c r="D11595" s="209"/>
      <c r="E11595" s="209"/>
      <c r="J11595" s="124"/>
    </row>
    <row r="11596" spans="3:10" x14ac:dyDescent="0.2">
      <c r="C11596" s="209"/>
      <c r="D11596" s="209"/>
      <c r="E11596" s="209"/>
      <c r="J11596" s="124"/>
    </row>
    <row r="11597" spans="3:10" x14ac:dyDescent="0.2">
      <c r="C11597" s="209"/>
      <c r="D11597" s="209"/>
      <c r="E11597" s="209"/>
      <c r="J11597" s="124"/>
    </row>
    <row r="11598" spans="3:10" x14ac:dyDescent="0.2">
      <c r="C11598" s="209"/>
      <c r="D11598" s="209"/>
      <c r="E11598" s="209"/>
      <c r="J11598" s="124"/>
    </row>
    <row r="11599" spans="3:10" x14ac:dyDescent="0.2">
      <c r="C11599" s="209"/>
      <c r="D11599" s="209"/>
      <c r="E11599" s="209"/>
      <c r="J11599" s="124"/>
    </row>
    <row r="11600" spans="3:10" x14ac:dyDescent="0.2">
      <c r="C11600" s="209"/>
      <c r="D11600" s="209"/>
      <c r="E11600" s="209"/>
      <c r="J11600" s="124"/>
    </row>
    <row r="11601" spans="3:10" x14ac:dyDescent="0.2">
      <c r="C11601" s="209"/>
      <c r="D11601" s="209"/>
      <c r="E11601" s="209"/>
      <c r="J11601" s="124"/>
    </row>
    <row r="11602" spans="3:10" x14ac:dyDescent="0.2">
      <c r="C11602" s="209"/>
      <c r="D11602" s="209"/>
      <c r="E11602" s="209"/>
      <c r="J11602" s="124"/>
    </row>
    <row r="11603" spans="3:10" x14ac:dyDescent="0.2">
      <c r="C11603" s="209"/>
      <c r="D11603" s="209"/>
      <c r="E11603" s="209"/>
      <c r="J11603" s="124"/>
    </row>
    <row r="11604" spans="3:10" x14ac:dyDescent="0.2">
      <c r="C11604" s="209"/>
      <c r="D11604" s="209"/>
      <c r="E11604" s="209"/>
      <c r="J11604" s="124"/>
    </row>
    <row r="11605" spans="3:10" x14ac:dyDescent="0.2">
      <c r="C11605" s="209"/>
      <c r="D11605" s="209"/>
      <c r="E11605" s="209"/>
      <c r="J11605" s="124"/>
    </row>
    <row r="11606" spans="3:10" x14ac:dyDescent="0.2">
      <c r="C11606" s="209"/>
      <c r="D11606" s="209"/>
      <c r="E11606" s="209"/>
      <c r="J11606" s="124"/>
    </row>
    <row r="11607" spans="3:10" x14ac:dyDescent="0.2">
      <c r="C11607" s="209"/>
      <c r="D11607" s="209"/>
      <c r="E11607" s="209"/>
      <c r="J11607" s="124"/>
    </row>
    <row r="11608" spans="3:10" x14ac:dyDescent="0.2">
      <c r="C11608" s="209"/>
      <c r="D11608" s="209"/>
      <c r="E11608" s="209"/>
      <c r="J11608" s="124"/>
    </row>
    <row r="11609" spans="3:10" x14ac:dyDescent="0.2">
      <c r="C11609" s="209"/>
      <c r="D11609" s="209"/>
      <c r="E11609" s="209"/>
      <c r="J11609" s="124"/>
    </row>
    <row r="11610" spans="3:10" x14ac:dyDescent="0.2">
      <c r="C11610" s="209"/>
      <c r="D11610" s="209"/>
      <c r="E11610" s="209"/>
      <c r="J11610" s="124"/>
    </row>
    <row r="11611" spans="3:10" x14ac:dyDescent="0.2">
      <c r="C11611" s="209"/>
      <c r="D11611" s="209"/>
      <c r="E11611" s="209"/>
      <c r="J11611" s="124"/>
    </row>
    <row r="11612" spans="3:10" x14ac:dyDescent="0.2">
      <c r="C11612" s="209"/>
      <c r="D11612" s="209"/>
      <c r="E11612" s="209"/>
      <c r="J11612" s="124"/>
    </row>
    <row r="11613" spans="3:10" x14ac:dyDescent="0.2">
      <c r="C11613" s="209"/>
      <c r="D11613" s="209"/>
      <c r="E11613" s="209"/>
      <c r="J11613" s="124"/>
    </row>
    <row r="11614" spans="3:10" x14ac:dyDescent="0.2">
      <c r="C11614" s="209"/>
      <c r="D11614" s="209"/>
      <c r="E11614" s="209"/>
      <c r="J11614" s="124"/>
    </row>
    <row r="11615" spans="3:10" x14ac:dyDescent="0.2">
      <c r="C11615" s="209"/>
      <c r="D11615" s="209"/>
      <c r="E11615" s="209"/>
      <c r="J11615" s="124"/>
    </row>
    <row r="11616" spans="3:10" x14ac:dyDescent="0.2">
      <c r="C11616" s="209"/>
      <c r="D11616" s="209"/>
      <c r="E11616" s="209"/>
      <c r="J11616" s="124"/>
    </row>
    <row r="11617" spans="3:10" x14ac:dyDescent="0.2">
      <c r="C11617" s="209"/>
      <c r="D11617" s="209"/>
      <c r="E11617" s="209"/>
      <c r="J11617" s="124"/>
    </row>
    <row r="11618" spans="3:10" x14ac:dyDescent="0.2">
      <c r="C11618" s="209"/>
      <c r="D11618" s="209"/>
      <c r="E11618" s="209"/>
      <c r="J11618" s="124"/>
    </row>
    <row r="11619" spans="3:10" x14ac:dyDescent="0.2">
      <c r="C11619" s="209"/>
      <c r="D11619" s="209"/>
      <c r="E11619" s="209"/>
      <c r="J11619" s="124"/>
    </row>
    <row r="11620" spans="3:10" x14ac:dyDescent="0.2">
      <c r="C11620" s="209"/>
      <c r="D11620" s="209"/>
      <c r="E11620" s="209"/>
      <c r="J11620" s="124"/>
    </row>
    <row r="11621" spans="3:10" x14ac:dyDescent="0.2">
      <c r="C11621" s="209"/>
      <c r="D11621" s="209"/>
      <c r="E11621" s="209"/>
      <c r="J11621" s="124"/>
    </row>
    <row r="11622" spans="3:10" x14ac:dyDescent="0.2">
      <c r="C11622" s="209"/>
      <c r="D11622" s="209"/>
      <c r="E11622" s="209"/>
      <c r="J11622" s="124"/>
    </row>
    <row r="11623" spans="3:10" x14ac:dyDescent="0.2">
      <c r="C11623" s="209"/>
      <c r="D11623" s="209"/>
      <c r="E11623" s="209"/>
      <c r="J11623" s="124"/>
    </row>
    <row r="11624" spans="3:10" x14ac:dyDescent="0.2">
      <c r="C11624" s="209"/>
      <c r="D11624" s="209"/>
      <c r="E11624" s="209"/>
      <c r="J11624" s="124"/>
    </row>
    <row r="11625" spans="3:10" x14ac:dyDescent="0.2">
      <c r="C11625" s="209"/>
      <c r="D11625" s="209"/>
      <c r="E11625" s="209"/>
      <c r="J11625" s="124"/>
    </row>
    <row r="11626" spans="3:10" x14ac:dyDescent="0.2">
      <c r="C11626" s="209"/>
      <c r="D11626" s="209"/>
      <c r="E11626" s="209"/>
      <c r="J11626" s="124"/>
    </row>
    <row r="11627" spans="3:10" x14ac:dyDescent="0.2">
      <c r="C11627" s="209"/>
      <c r="D11627" s="209"/>
      <c r="E11627" s="209"/>
      <c r="J11627" s="124"/>
    </row>
    <row r="11628" spans="3:10" x14ac:dyDescent="0.2">
      <c r="C11628" s="209"/>
      <c r="D11628" s="209"/>
      <c r="E11628" s="209"/>
      <c r="J11628" s="124"/>
    </row>
    <row r="11629" spans="3:10" x14ac:dyDescent="0.2">
      <c r="C11629" s="209"/>
      <c r="D11629" s="209"/>
      <c r="E11629" s="209"/>
      <c r="J11629" s="124"/>
    </row>
    <row r="11630" spans="3:10" x14ac:dyDescent="0.2">
      <c r="C11630" s="209"/>
      <c r="D11630" s="209"/>
      <c r="E11630" s="209"/>
      <c r="J11630" s="124"/>
    </row>
    <row r="11631" spans="3:10" x14ac:dyDescent="0.2">
      <c r="C11631" s="209"/>
      <c r="D11631" s="209"/>
      <c r="E11631" s="209"/>
      <c r="J11631" s="124"/>
    </row>
    <row r="11632" spans="3:10" x14ac:dyDescent="0.2">
      <c r="C11632" s="209"/>
      <c r="D11632" s="209"/>
      <c r="E11632" s="209"/>
      <c r="J11632" s="124"/>
    </row>
    <row r="11633" spans="3:10" x14ac:dyDescent="0.2">
      <c r="C11633" s="209"/>
      <c r="D11633" s="209"/>
      <c r="E11633" s="209"/>
      <c r="J11633" s="124"/>
    </row>
    <row r="11634" spans="3:10" x14ac:dyDescent="0.2">
      <c r="C11634" s="209"/>
      <c r="D11634" s="209"/>
      <c r="E11634" s="209"/>
      <c r="J11634" s="124"/>
    </row>
    <row r="11635" spans="3:10" x14ac:dyDescent="0.2">
      <c r="C11635" s="209"/>
      <c r="D11635" s="209"/>
      <c r="E11635" s="209"/>
      <c r="J11635" s="124"/>
    </row>
    <row r="11636" spans="3:10" x14ac:dyDescent="0.2">
      <c r="C11636" s="209"/>
      <c r="D11636" s="209"/>
      <c r="E11636" s="209"/>
      <c r="J11636" s="124"/>
    </row>
    <row r="11637" spans="3:10" x14ac:dyDescent="0.2">
      <c r="C11637" s="209"/>
      <c r="D11637" s="209"/>
      <c r="E11637" s="209"/>
      <c r="J11637" s="124"/>
    </row>
    <row r="11638" spans="3:10" x14ac:dyDescent="0.2">
      <c r="C11638" s="209"/>
      <c r="D11638" s="209"/>
      <c r="E11638" s="209"/>
      <c r="J11638" s="124"/>
    </row>
    <row r="11639" spans="3:10" x14ac:dyDescent="0.2">
      <c r="C11639" s="209"/>
      <c r="D11639" s="209"/>
      <c r="E11639" s="209"/>
      <c r="J11639" s="124"/>
    </row>
    <row r="11640" spans="3:10" x14ac:dyDescent="0.2">
      <c r="C11640" s="209"/>
      <c r="D11640" s="209"/>
      <c r="E11640" s="209"/>
      <c r="J11640" s="124"/>
    </row>
    <row r="11641" spans="3:10" x14ac:dyDescent="0.2">
      <c r="C11641" s="209"/>
      <c r="D11641" s="209"/>
      <c r="E11641" s="209"/>
      <c r="J11641" s="124"/>
    </row>
    <row r="11642" spans="3:10" x14ac:dyDescent="0.2">
      <c r="C11642" s="209"/>
      <c r="D11642" s="209"/>
      <c r="E11642" s="209"/>
      <c r="J11642" s="124"/>
    </row>
    <row r="11643" spans="3:10" x14ac:dyDescent="0.2">
      <c r="C11643" s="209"/>
      <c r="D11643" s="209"/>
      <c r="E11643" s="209"/>
      <c r="J11643" s="124"/>
    </row>
    <row r="11644" spans="3:10" x14ac:dyDescent="0.2">
      <c r="C11644" s="209"/>
      <c r="D11644" s="209"/>
      <c r="E11644" s="209"/>
      <c r="J11644" s="124"/>
    </row>
    <row r="11645" spans="3:10" x14ac:dyDescent="0.2">
      <c r="C11645" s="209"/>
      <c r="D11645" s="209"/>
      <c r="E11645" s="209"/>
      <c r="J11645" s="124"/>
    </row>
    <row r="11646" spans="3:10" x14ac:dyDescent="0.2">
      <c r="C11646" s="209"/>
      <c r="D11646" s="209"/>
      <c r="E11646" s="209"/>
      <c r="J11646" s="124"/>
    </row>
    <row r="11647" spans="3:10" x14ac:dyDescent="0.2">
      <c r="C11647" s="209"/>
      <c r="D11647" s="209"/>
      <c r="E11647" s="209"/>
      <c r="J11647" s="124"/>
    </row>
    <row r="11648" spans="3:10" x14ac:dyDescent="0.2">
      <c r="C11648" s="209"/>
      <c r="D11648" s="209"/>
      <c r="E11648" s="209"/>
      <c r="J11648" s="124"/>
    </row>
    <row r="11649" spans="3:10" x14ac:dyDescent="0.2">
      <c r="C11649" s="209"/>
      <c r="D11649" s="209"/>
      <c r="E11649" s="209"/>
      <c r="J11649" s="124"/>
    </row>
    <row r="11650" spans="3:10" x14ac:dyDescent="0.2">
      <c r="C11650" s="209"/>
      <c r="D11650" s="209"/>
      <c r="E11650" s="209"/>
      <c r="J11650" s="124"/>
    </row>
    <row r="11651" spans="3:10" x14ac:dyDescent="0.2">
      <c r="C11651" s="209"/>
      <c r="D11651" s="209"/>
      <c r="E11651" s="209"/>
      <c r="J11651" s="124"/>
    </row>
    <row r="11652" spans="3:10" x14ac:dyDescent="0.2">
      <c r="C11652" s="209"/>
      <c r="D11652" s="209"/>
      <c r="E11652" s="209"/>
      <c r="J11652" s="124"/>
    </row>
    <row r="11653" spans="3:10" x14ac:dyDescent="0.2">
      <c r="C11653" s="209"/>
      <c r="D11653" s="209"/>
      <c r="E11653" s="209"/>
      <c r="J11653" s="124"/>
    </row>
    <row r="11654" spans="3:10" x14ac:dyDescent="0.2">
      <c r="C11654" s="209"/>
      <c r="D11654" s="209"/>
      <c r="E11654" s="209"/>
      <c r="J11654" s="124"/>
    </row>
    <row r="11655" spans="3:10" x14ac:dyDescent="0.2">
      <c r="C11655" s="209"/>
      <c r="D11655" s="209"/>
      <c r="E11655" s="209"/>
      <c r="J11655" s="124"/>
    </row>
    <row r="11656" spans="3:10" x14ac:dyDescent="0.2">
      <c r="C11656" s="209"/>
      <c r="D11656" s="209"/>
      <c r="E11656" s="209"/>
      <c r="J11656" s="124"/>
    </row>
    <row r="11657" spans="3:10" x14ac:dyDescent="0.2">
      <c r="C11657" s="209"/>
      <c r="D11657" s="209"/>
      <c r="E11657" s="209"/>
      <c r="J11657" s="124"/>
    </row>
    <row r="11658" spans="3:10" x14ac:dyDescent="0.2">
      <c r="C11658" s="209"/>
      <c r="D11658" s="209"/>
      <c r="E11658" s="209"/>
      <c r="J11658" s="124"/>
    </row>
    <row r="11659" spans="3:10" x14ac:dyDescent="0.2">
      <c r="C11659" s="209"/>
      <c r="D11659" s="209"/>
      <c r="E11659" s="209"/>
      <c r="J11659" s="124"/>
    </row>
    <row r="11660" spans="3:10" x14ac:dyDescent="0.2">
      <c r="C11660" s="209"/>
      <c r="D11660" s="209"/>
      <c r="E11660" s="209"/>
      <c r="J11660" s="124"/>
    </row>
    <row r="11661" spans="3:10" x14ac:dyDescent="0.2">
      <c r="C11661" s="209"/>
      <c r="D11661" s="209"/>
      <c r="E11661" s="209"/>
      <c r="J11661" s="124"/>
    </row>
    <row r="11662" spans="3:10" x14ac:dyDescent="0.2">
      <c r="C11662" s="209"/>
      <c r="D11662" s="209"/>
      <c r="E11662" s="209"/>
      <c r="J11662" s="124"/>
    </row>
    <row r="11663" spans="3:10" x14ac:dyDescent="0.2">
      <c r="C11663" s="209"/>
      <c r="D11663" s="209"/>
      <c r="E11663" s="209"/>
      <c r="J11663" s="124"/>
    </row>
    <row r="11664" spans="3:10" x14ac:dyDescent="0.2">
      <c r="C11664" s="209"/>
      <c r="D11664" s="209"/>
      <c r="E11664" s="209"/>
      <c r="J11664" s="124"/>
    </row>
    <row r="11665" spans="3:10" x14ac:dyDescent="0.2">
      <c r="C11665" s="209"/>
      <c r="D11665" s="209"/>
      <c r="E11665" s="209"/>
      <c r="J11665" s="124"/>
    </row>
    <row r="11666" spans="3:10" x14ac:dyDescent="0.2">
      <c r="C11666" s="209"/>
      <c r="D11666" s="209"/>
      <c r="E11666" s="209"/>
      <c r="J11666" s="124"/>
    </row>
    <row r="11667" spans="3:10" x14ac:dyDescent="0.2">
      <c r="C11667" s="209"/>
      <c r="D11667" s="209"/>
      <c r="E11667" s="209"/>
      <c r="J11667" s="124"/>
    </row>
    <row r="11668" spans="3:10" x14ac:dyDescent="0.2">
      <c r="C11668" s="209"/>
      <c r="D11668" s="209"/>
      <c r="E11668" s="209"/>
      <c r="J11668" s="124"/>
    </row>
    <row r="11669" spans="3:10" x14ac:dyDescent="0.2">
      <c r="C11669" s="209"/>
      <c r="D11669" s="209"/>
      <c r="E11669" s="209"/>
      <c r="J11669" s="124"/>
    </row>
    <row r="11670" spans="3:10" x14ac:dyDescent="0.2">
      <c r="C11670" s="209"/>
      <c r="D11670" s="209"/>
      <c r="E11670" s="209"/>
      <c r="J11670" s="124"/>
    </row>
    <row r="11671" spans="3:10" x14ac:dyDescent="0.2">
      <c r="C11671" s="209"/>
      <c r="D11671" s="209"/>
      <c r="E11671" s="209"/>
      <c r="J11671" s="124"/>
    </row>
    <row r="11672" spans="3:10" x14ac:dyDescent="0.2">
      <c r="C11672" s="209"/>
      <c r="D11672" s="209"/>
      <c r="E11672" s="209"/>
      <c r="J11672" s="124"/>
    </row>
    <row r="11673" spans="3:10" x14ac:dyDescent="0.2">
      <c r="C11673" s="209"/>
      <c r="D11673" s="209"/>
      <c r="E11673" s="209"/>
      <c r="J11673" s="124"/>
    </row>
    <row r="11674" spans="3:10" x14ac:dyDescent="0.2">
      <c r="C11674" s="209"/>
      <c r="D11674" s="209"/>
      <c r="E11674" s="209"/>
      <c r="J11674" s="124"/>
    </row>
    <row r="11675" spans="3:10" x14ac:dyDescent="0.2">
      <c r="C11675" s="209"/>
      <c r="D11675" s="209"/>
      <c r="E11675" s="209"/>
      <c r="J11675" s="124"/>
    </row>
    <row r="11676" spans="3:10" x14ac:dyDescent="0.2">
      <c r="C11676" s="209"/>
      <c r="D11676" s="209"/>
      <c r="E11676" s="209"/>
      <c r="J11676" s="124"/>
    </row>
    <row r="11677" spans="3:10" x14ac:dyDescent="0.2">
      <c r="C11677" s="209"/>
      <c r="D11677" s="209"/>
      <c r="E11677" s="209"/>
      <c r="J11677" s="124"/>
    </row>
    <row r="11678" spans="3:10" x14ac:dyDescent="0.2">
      <c r="C11678" s="209"/>
      <c r="D11678" s="209"/>
      <c r="E11678" s="209"/>
      <c r="J11678" s="124"/>
    </row>
    <row r="11679" spans="3:10" x14ac:dyDescent="0.2">
      <c r="C11679" s="209"/>
      <c r="D11679" s="209"/>
      <c r="E11679" s="209"/>
      <c r="J11679" s="124"/>
    </row>
    <row r="11680" spans="3:10" x14ac:dyDescent="0.2">
      <c r="C11680" s="209"/>
      <c r="D11680" s="209"/>
      <c r="E11680" s="209"/>
      <c r="J11680" s="124"/>
    </row>
    <row r="11681" spans="3:10" x14ac:dyDescent="0.2">
      <c r="C11681" s="209"/>
      <c r="D11681" s="209"/>
      <c r="E11681" s="209"/>
      <c r="J11681" s="124"/>
    </row>
    <row r="11682" spans="3:10" x14ac:dyDescent="0.2">
      <c r="C11682" s="209"/>
      <c r="D11682" s="209"/>
      <c r="E11682" s="209"/>
      <c r="J11682" s="124"/>
    </row>
    <row r="11683" spans="3:10" x14ac:dyDescent="0.2">
      <c r="C11683" s="209"/>
      <c r="D11683" s="209"/>
      <c r="E11683" s="209"/>
      <c r="J11683" s="124"/>
    </row>
    <row r="11684" spans="3:10" x14ac:dyDescent="0.2">
      <c r="C11684" s="209"/>
      <c r="D11684" s="209"/>
      <c r="E11684" s="209"/>
      <c r="J11684" s="124"/>
    </row>
    <row r="11685" spans="3:10" x14ac:dyDescent="0.2">
      <c r="C11685" s="209"/>
      <c r="D11685" s="209"/>
      <c r="E11685" s="209"/>
      <c r="J11685" s="124"/>
    </row>
    <row r="11686" spans="3:10" x14ac:dyDescent="0.2">
      <c r="C11686" s="209"/>
      <c r="D11686" s="209"/>
      <c r="E11686" s="209"/>
      <c r="J11686" s="124"/>
    </row>
    <row r="11687" spans="3:10" x14ac:dyDescent="0.2">
      <c r="C11687" s="209"/>
      <c r="D11687" s="209"/>
      <c r="E11687" s="209"/>
      <c r="J11687" s="124"/>
    </row>
    <row r="11688" spans="3:10" x14ac:dyDescent="0.2">
      <c r="C11688" s="209"/>
      <c r="D11688" s="209"/>
      <c r="E11688" s="209"/>
      <c r="J11688" s="124"/>
    </row>
    <row r="11689" spans="3:10" x14ac:dyDescent="0.2">
      <c r="C11689" s="209"/>
      <c r="D11689" s="209"/>
      <c r="E11689" s="209"/>
      <c r="J11689" s="124"/>
    </row>
    <row r="11690" spans="3:10" x14ac:dyDescent="0.2">
      <c r="C11690" s="209"/>
      <c r="D11690" s="209"/>
      <c r="E11690" s="209"/>
      <c r="J11690" s="124"/>
    </row>
    <row r="11691" spans="3:10" x14ac:dyDescent="0.2">
      <c r="C11691" s="209"/>
      <c r="D11691" s="209"/>
      <c r="E11691" s="209"/>
      <c r="J11691" s="124"/>
    </row>
    <row r="11692" spans="3:10" x14ac:dyDescent="0.2">
      <c r="C11692" s="209"/>
      <c r="D11692" s="209"/>
      <c r="E11692" s="209"/>
      <c r="J11692" s="124"/>
    </row>
    <row r="11693" spans="3:10" x14ac:dyDescent="0.2">
      <c r="C11693" s="209"/>
      <c r="D11693" s="209"/>
      <c r="E11693" s="209"/>
      <c r="J11693" s="124"/>
    </row>
    <row r="11694" spans="3:10" x14ac:dyDescent="0.2">
      <c r="C11694" s="209"/>
      <c r="D11694" s="209"/>
      <c r="E11694" s="209"/>
      <c r="J11694" s="124"/>
    </row>
    <row r="11695" spans="3:10" x14ac:dyDescent="0.2">
      <c r="C11695" s="209"/>
      <c r="D11695" s="209"/>
      <c r="E11695" s="209"/>
      <c r="J11695" s="124"/>
    </row>
    <row r="11696" spans="3:10" x14ac:dyDescent="0.2">
      <c r="C11696" s="209"/>
      <c r="D11696" s="209"/>
      <c r="E11696" s="209"/>
      <c r="J11696" s="124"/>
    </row>
    <row r="11697" spans="3:10" x14ac:dyDescent="0.2">
      <c r="C11697" s="209"/>
      <c r="D11697" s="209"/>
      <c r="E11697" s="209"/>
      <c r="J11697" s="124"/>
    </row>
    <row r="11698" spans="3:10" x14ac:dyDescent="0.2">
      <c r="C11698" s="209"/>
      <c r="D11698" s="209"/>
      <c r="E11698" s="209"/>
      <c r="J11698" s="124"/>
    </row>
    <row r="11699" spans="3:10" x14ac:dyDescent="0.2">
      <c r="C11699" s="209"/>
      <c r="D11699" s="209"/>
      <c r="E11699" s="209"/>
      <c r="J11699" s="124"/>
    </row>
    <row r="11700" spans="3:10" x14ac:dyDescent="0.2">
      <c r="C11700" s="209"/>
      <c r="D11700" s="209"/>
      <c r="E11700" s="209"/>
      <c r="J11700" s="124"/>
    </row>
    <row r="11701" spans="3:10" x14ac:dyDescent="0.2">
      <c r="C11701" s="209"/>
      <c r="D11701" s="209"/>
      <c r="E11701" s="209"/>
      <c r="J11701" s="124"/>
    </row>
    <row r="11702" spans="3:10" x14ac:dyDescent="0.2">
      <c r="C11702" s="209"/>
      <c r="D11702" s="209"/>
      <c r="E11702" s="209"/>
      <c r="J11702" s="124"/>
    </row>
    <row r="11703" spans="3:10" x14ac:dyDescent="0.2">
      <c r="C11703" s="209"/>
      <c r="D11703" s="209"/>
      <c r="E11703" s="209"/>
      <c r="J11703" s="124"/>
    </row>
    <row r="11704" spans="3:10" x14ac:dyDescent="0.2">
      <c r="C11704" s="209"/>
      <c r="D11704" s="209"/>
      <c r="E11704" s="209"/>
      <c r="J11704" s="124"/>
    </row>
    <row r="11705" spans="3:10" x14ac:dyDescent="0.2">
      <c r="C11705" s="209"/>
      <c r="D11705" s="209"/>
      <c r="E11705" s="209"/>
      <c r="J11705" s="124"/>
    </row>
    <row r="11706" spans="3:10" x14ac:dyDescent="0.2">
      <c r="C11706" s="209"/>
      <c r="D11706" s="209"/>
      <c r="E11706" s="209"/>
      <c r="J11706" s="124"/>
    </row>
    <row r="11707" spans="3:10" x14ac:dyDescent="0.2">
      <c r="C11707" s="209"/>
      <c r="D11707" s="209"/>
      <c r="E11707" s="209"/>
      <c r="J11707" s="124"/>
    </row>
    <row r="11708" spans="3:10" x14ac:dyDescent="0.2">
      <c r="C11708" s="209"/>
      <c r="D11708" s="209"/>
      <c r="E11708" s="209"/>
      <c r="J11708" s="124"/>
    </row>
    <row r="11709" spans="3:10" x14ac:dyDescent="0.2">
      <c r="C11709" s="209"/>
      <c r="D11709" s="209"/>
      <c r="E11709" s="209"/>
      <c r="J11709" s="124"/>
    </row>
    <row r="11710" spans="3:10" x14ac:dyDescent="0.2">
      <c r="C11710" s="209"/>
      <c r="D11710" s="209"/>
      <c r="E11710" s="209"/>
      <c r="J11710" s="124"/>
    </row>
    <row r="11711" spans="3:10" x14ac:dyDescent="0.2">
      <c r="C11711" s="209"/>
      <c r="D11711" s="209"/>
      <c r="E11711" s="209"/>
      <c r="J11711" s="124"/>
    </row>
    <row r="11712" spans="3:10" x14ac:dyDescent="0.2">
      <c r="C11712" s="209"/>
      <c r="D11712" s="209"/>
      <c r="E11712" s="209"/>
      <c r="J11712" s="124"/>
    </row>
    <row r="11713" spans="3:10" x14ac:dyDescent="0.2">
      <c r="C11713" s="209"/>
      <c r="D11713" s="209"/>
      <c r="E11713" s="209"/>
      <c r="J11713" s="124"/>
    </row>
    <row r="11714" spans="3:10" x14ac:dyDescent="0.2">
      <c r="C11714" s="209"/>
      <c r="D11714" s="209"/>
      <c r="E11714" s="209"/>
      <c r="J11714" s="124"/>
    </row>
    <row r="11715" spans="3:10" x14ac:dyDescent="0.2">
      <c r="C11715" s="209"/>
      <c r="D11715" s="209"/>
      <c r="E11715" s="209"/>
      <c r="J11715" s="124"/>
    </row>
    <row r="11716" spans="3:10" x14ac:dyDescent="0.2">
      <c r="C11716" s="209"/>
      <c r="D11716" s="209"/>
      <c r="E11716" s="209"/>
      <c r="J11716" s="124"/>
    </row>
    <row r="11717" spans="3:10" x14ac:dyDescent="0.2">
      <c r="C11717" s="209"/>
      <c r="D11717" s="209"/>
      <c r="E11717" s="209"/>
      <c r="J11717" s="124"/>
    </row>
    <row r="11718" spans="3:10" x14ac:dyDescent="0.2">
      <c r="C11718" s="209"/>
      <c r="D11718" s="209"/>
      <c r="E11718" s="209"/>
      <c r="J11718" s="124"/>
    </row>
    <row r="11719" spans="3:10" x14ac:dyDescent="0.2">
      <c r="C11719" s="209"/>
      <c r="D11719" s="209"/>
      <c r="E11719" s="209"/>
      <c r="J11719" s="124"/>
    </row>
    <row r="11720" spans="3:10" x14ac:dyDescent="0.2">
      <c r="C11720" s="209"/>
      <c r="D11720" s="209"/>
      <c r="E11720" s="209"/>
      <c r="J11720" s="124"/>
    </row>
    <row r="11721" spans="3:10" x14ac:dyDescent="0.2">
      <c r="C11721" s="209"/>
      <c r="D11721" s="209"/>
      <c r="E11721" s="209"/>
      <c r="J11721" s="124"/>
    </row>
    <row r="11722" spans="3:10" x14ac:dyDescent="0.2">
      <c r="C11722" s="209"/>
      <c r="D11722" s="209"/>
      <c r="E11722" s="209"/>
      <c r="J11722" s="124"/>
    </row>
    <row r="11723" spans="3:10" x14ac:dyDescent="0.2">
      <c r="C11723" s="209"/>
      <c r="D11723" s="209"/>
      <c r="E11723" s="209"/>
      <c r="J11723" s="124"/>
    </row>
    <row r="11724" spans="3:10" x14ac:dyDescent="0.2">
      <c r="C11724" s="209"/>
      <c r="D11724" s="209"/>
      <c r="E11724" s="209"/>
      <c r="J11724" s="124"/>
    </row>
    <row r="11725" spans="3:10" x14ac:dyDescent="0.2">
      <c r="C11725" s="209"/>
      <c r="D11725" s="209"/>
      <c r="E11725" s="209"/>
      <c r="J11725" s="124"/>
    </row>
    <row r="11726" spans="3:10" x14ac:dyDescent="0.2">
      <c r="C11726" s="209"/>
      <c r="D11726" s="209"/>
      <c r="E11726" s="209"/>
      <c r="J11726" s="124"/>
    </row>
    <row r="11727" spans="3:10" x14ac:dyDescent="0.2">
      <c r="C11727" s="209"/>
      <c r="D11727" s="209"/>
      <c r="E11727" s="209"/>
      <c r="J11727" s="124"/>
    </row>
    <row r="11728" spans="3:10" x14ac:dyDescent="0.2">
      <c r="C11728" s="209"/>
      <c r="D11728" s="209"/>
      <c r="E11728" s="209"/>
      <c r="J11728" s="124"/>
    </row>
    <row r="11729" spans="3:10" x14ac:dyDescent="0.2">
      <c r="C11729" s="209"/>
      <c r="D11729" s="209"/>
      <c r="E11729" s="209"/>
      <c r="J11729" s="124"/>
    </row>
    <row r="11730" spans="3:10" x14ac:dyDescent="0.2">
      <c r="C11730" s="209"/>
      <c r="D11730" s="209"/>
      <c r="E11730" s="209"/>
      <c r="J11730" s="124"/>
    </row>
    <row r="11731" spans="3:10" x14ac:dyDescent="0.2">
      <c r="C11731" s="209"/>
      <c r="D11731" s="209"/>
      <c r="E11731" s="209"/>
      <c r="J11731" s="124"/>
    </row>
    <row r="11732" spans="3:10" x14ac:dyDescent="0.2">
      <c r="C11732" s="209"/>
      <c r="D11732" s="209"/>
      <c r="E11732" s="209"/>
      <c r="J11732" s="124"/>
    </row>
    <row r="11733" spans="3:10" x14ac:dyDescent="0.2">
      <c r="C11733" s="209"/>
      <c r="D11733" s="209"/>
      <c r="E11733" s="209"/>
      <c r="J11733" s="124"/>
    </row>
    <row r="11734" spans="3:10" x14ac:dyDescent="0.2">
      <c r="C11734" s="209"/>
      <c r="D11734" s="209"/>
      <c r="E11734" s="209"/>
      <c r="J11734" s="124"/>
    </row>
    <row r="11735" spans="3:10" x14ac:dyDescent="0.2">
      <c r="C11735" s="209"/>
      <c r="D11735" s="209"/>
      <c r="E11735" s="209"/>
      <c r="J11735" s="124"/>
    </row>
    <row r="11736" spans="3:10" x14ac:dyDescent="0.2">
      <c r="C11736" s="209"/>
      <c r="D11736" s="209"/>
      <c r="E11736" s="209"/>
      <c r="J11736" s="124"/>
    </row>
    <row r="11737" spans="3:10" x14ac:dyDescent="0.2">
      <c r="C11737" s="209"/>
      <c r="D11737" s="209"/>
      <c r="E11737" s="209"/>
      <c r="J11737" s="124"/>
    </row>
    <row r="11738" spans="3:10" x14ac:dyDescent="0.2">
      <c r="C11738" s="209"/>
      <c r="D11738" s="209"/>
      <c r="E11738" s="209"/>
      <c r="J11738" s="124"/>
    </row>
    <row r="11739" spans="3:10" x14ac:dyDescent="0.2">
      <c r="C11739" s="209"/>
      <c r="D11739" s="209"/>
      <c r="E11739" s="209"/>
      <c r="J11739" s="124"/>
    </row>
    <row r="11740" spans="3:10" x14ac:dyDescent="0.2">
      <c r="C11740" s="209"/>
      <c r="D11740" s="209"/>
      <c r="E11740" s="209"/>
      <c r="J11740" s="124"/>
    </row>
    <row r="11741" spans="3:10" x14ac:dyDescent="0.2">
      <c r="C11741" s="209"/>
      <c r="D11741" s="209"/>
      <c r="E11741" s="209"/>
      <c r="J11741" s="124"/>
    </row>
    <row r="11742" spans="3:10" x14ac:dyDescent="0.2">
      <c r="C11742" s="209"/>
      <c r="D11742" s="209"/>
      <c r="E11742" s="209"/>
      <c r="J11742" s="124"/>
    </row>
    <row r="11743" spans="3:10" x14ac:dyDescent="0.2">
      <c r="C11743" s="209"/>
      <c r="D11743" s="209"/>
      <c r="E11743" s="209"/>
      <c r="J11743" s="124"/>
    </row>
    <row r="11744" spans="3:10" x14ac:dyDescent="0.2">
      <c r="C11744" s="209"/>
      <c r="D11744" s="209"/>
      <c r="E11744" s="209"/>
      <c r="J11744" s="124"/>
    </row>
    <row r="11745" spans="3:10" x14ac:dyDescent="0.2">
      <c r="C11745" s="209"/>
      <c r="D11745" s="209"/>
      <c r="E11745" s="209"/>
      <c r="J11745" s="124"/>
    </row>
    <row r="11746" spans="3:10" x14ac:dyDescent="0.2">
      <c r="C11746" s="209"/>
      <c r="D11746" s="209"/>
      <c r="E11746" s="209"/>
      <c r="J11746" s="124"/>
    </row>
    <row r="11747" spans="3:10" x14ac:dyDescent="0.2">
      <c r="C11747" s="209"/>
      <c r="D11747" s="209"/>
      <c r="E11747" s="209"/>
      <c r="J11747" s="124"/>
    </row>
    <row r="11748" spans="3:10" x14ac:dyDescent="0.2">
      <c r="C11748" s="209"/>
      <c r="D11748" s="209"/>
      <c r="E11748" s="209"/>
      <c r="J11748" s="124"/>
    </row>
    <row r="11749" spans="3:10" x14ac:dyDescent="0.2">
      <c r="C11749" s="209"/>
      <c r="D11749" s="209"/>
      <c r="E11749" s="209"/>
      <c r="J11749" s="124"/>
    </row>
    <row r="11750" spans="3:10" x14ac:dyDescent="0.2">
      <c r="C11750" s="209"/>
      <c r="D11750" s="209"/>
      <c r="E11750" s="209"/>
      <c r="J11750" s="124"/>
    </row>
    <row r="11751" spans="3:10" x14ac:dyDescent="0.2">
      <c r="C11751" s="209"/>
      <c r="D11751" s="209"/>
      <c r="E11751" s="209"/>
      <c r="J11751" s="124"/>
    </row>
    <row r="11752" spans="3:10" x14ac:dyDescent="0.2">
      <c r="C11752" s="209"/>
      <c r="D11752" s="209"/>
      <c r="E11752" s="209"/>
      <c r="J11752" s="124"/>
    </row>
    <row r="11753" spans="3:10" x14ac:dyDescent="0.2">
      <c r="C11753" s="209"/>
      <c r="D11753" s="209"/>
      <c r="E11753" s="209"/>
      <c r="J11753" s="124"/>
    </row>
    <row r="11754" spans="3:10" x14ac:dyDescent="0.2">
      <c r="C11754" s="209"/>
      <c r="D11754" s="209"/>
      <c r="E11754" s="209"/>
      <c r="J11754" s="124"/>
    </row>
    <row r="11755" spans="3:10" x14ac:dyDescent="0.2">
      <c r="C11755" s="209"/>
      <c r="D11755" s="209"/>
      <c r="E11755" s="209"/>
      <c r="J11755" s="124"/>
    </row>
    <row r="11756" spans="3:10" x14ac:dyDescent="0.2">
      <c r="C11756" s="209"/>
      <c r="D11756" s="209"/>
      <c r="E11756" s="209"/>
      <c r="J11756" s="124"/>
    </row>
    <row r="11757" spans="3:10" x14ac:dyDescent="0.2">
      <c r="C11757" s="209"/>
      <c r="D11757" s="209"/>
      <c r="E11757" s="209"/>
      <c r="J11757" s="124"/>
    </row>
    <row r="11758" spans="3:10" x14ac:dyDescent="0.2">
      <c r="C11758" s="209"/>
      <c r="D11758" s="209"/>
      <c r="E11758" s="209"/>
      <c r="J11758" s="124"/>
    </row>
    <row r="11759" spans="3:10" x14ac:dyDescent="0.2">
      <c r="C11759" s="209"/>
      <c r="D11759" s="209"/>
      <c r="E11759" s="209"/>
      <c r="J11759" s="124"/>
    </row>
    <row r="11760" spans="3:10" x14ac:dyDescent="0.2">
      <c r="C11760" s="209"/>
      <c r="D11760" s="209"/>
      <c r="E11760" s="209"/>
      <c r="J11760" s="124"/>
    </row>
    <row r="11761" spans="3:10" x14ac:dyDescent="0.2">
      <c r="C11761" s="209"/>
      <c r="D11761" s="209"/>
      <c r="E11761" s="209"/>
      <c r="J11761" s="124"/>
    </row>
    <row r="11762" spans="3:10" x14ac:dyDescent="0.2">
      <c r="C11762" s="209"/>
      <c r="D11762" s="209"/>
      <c r="E11762" s="209"/>
      <c r="J11762" s="124"/>
    </row>
    <row r="11763" spans="3:10" x14ac:dyDescent="0.2">
      <c r="C11763" s="209"/>
      <c r="D11763" s="209"/>
      <c r="E11763" s="209"/>
      <c r="J11763" s="124"/>
    </row>
    <row r="11764" spans="3:10" x14ac:dyDescent="0.2">
      <c r="C11764" s="209"/>
      <c r="D11764" s="209"/>
      <c r="E11764" s="209"/>
      <c r="J11764" s="124"/>
    </row>
    <row r="11765" spans="3:10" x14ac:dyDescent="0.2">
      <c r="C11765" s="209"/>
      <c r="D11765" s="209"/>
      <c r="E11765" s="209"/>
      <c r="J11765" s="124"/>
    </row>
    <row r="11766" spans="3:10" x14ac:dyDescent="0.2">
      <c r="C11766" s="209"/>
      <c r="D11766" s="209"/>
      <c r="E11766" s="209"/>
      <c r="J11766" s="124"/>
    </row>
    <row r="11767" spans="3:10" x14ac:dyDescent="0.2">
      <c r="C11767" s="209"/>
      <c r="D11767" s="209"/>
      <c r="E11767" s="209"/>
      <c r="J11767" s="124"/>
    </row>
    <row r="11768" spans="3:10" x14ac:dyDescent="0.2">
      <c r="C11768" s="209"/>
      <c r="D11768" s="209"/>
      <c r="E11768" s="209"/>
      <c r="J11768" s="124"/>
    </row>
    <row r="11769" spans="3:10" x14ac:dyDescent="0.2">
      <c r="C11769" s="209"/>
      <c r="D11769" s="209"/>
      <c r="E11769" s="209"/>
      <c r="J11769" s="124"/>
    </row>
    <row r="11770" spans="3:10" x14ac:dyDescent="0.2">
      <c r="C11770" s="209"/>
      <c r="D11770" s="209"/>
      <c r="E11770" s="209"/>
      <c r="J11770" s="124"/>
    </row>
    <row r="11771" spans="3:10" x14ac:dyDescent="0.2">
      <c r="C11771" s="209"/>
      <c r="D11771" s="209"/>
      <c r="E11771" s="209"/>
      <c r="J11771" s="124"/>
    </row>
    <row r="11772" spans="3:10" x14ac:dyDescent="0.2">
      <c r="C11772" s="209"/>
      <c r="D11772" s="209"/>
      <c r="E11772" s="209"/>
      <c r="J11772" s="124"/>
    </row>
    <row r="11773" spans="3:10" x14ac:dyDescent="0.2">
      <c r="C11773" s="209"/>
      <c r="D11773" s="209"/>
      <c r="E11773" s="209"/>
      <c r="J11773" s="124"/>
    </row>
    <row r="11774" spans="3:10" x14ac:dyDescent="0.2">
      <c r="C11774" s="209"/>
      <c r="D11774" s="209"/>
      <c r="E11774" s="209"/>
      <c r="J11774" s="124"/>
    </row>
    <row r="11775" spans="3:10" x14ac:dyDescent="0.2">
      <c r="C11775" s="209"/>
      <c r="D11775" s="209"/>
      <c r="E11775" s="209"/>
      <c r="J11775" s="124"/>
    </row>
    <row r="11776" spans="3:10" x14ac:dyDescent="0.2">
      <c r="C11776" s="209"/>
      <c r="D11776" s="209"/>
      <c r="E11776" s="209"/>
      <c r="J11776" s="124"/>
    </row>
    <row r="11777" spans="3:10" x14ac:dyDescent="0.2">
      <c r="C11777" s="209"/>
      <c r="D11777" s="209"/>
      <c r="E11777" s="209"/>
      <c r="J11777" s="124"/>
    </row>
    <row r="11778" spans="3:10" x14ac:dyDescent="0.2">
      <c r="C11778" s="209"/>
      <c r="D11778" s="209"/>
      <c r="E11778" s="209"/>
      <c r="J11778" s="124"/>
    </row>
    <row r="11779" spans="3:10" x14ac:dyDescent="0.2">
      <c r="C11779" s="209"/>
      <c r="D11779" s="209"/>
      <c r="E11779" s="209"/>
      <c r="J11779" s="124"/>
    </row>
    <row r="11780" spans="3:10" x14ac:dyDescent="0.2">
      <c r="C11780" s="209"/>
      <c r="D11780" s="209"/>
      <c r="E11780" s="209"/>
      <c r="J11780" s="124"/>
    </row>
    <row r="11781" spans="3:10" x14ac:dyDescent="0.2">
      <c r="C11781" s="209"/>
      <c r="D11781" s="209"/>
      <c r="E11781" s="209"/>
      <c r="J11781" s="124"/>
    </row>
    <row r="11782" spans="3:10" x14ac:dyDescent="0.2">
      <c r="C11782" s="209"/>
      <c r="D11782" s="209"/>
      <c r="E11782" s="209"/>
      <c r="J11782" s="124"/>
    </row>
    <row r="11783" spans="3:10" x14ac:dyDescent="0.2">
      <c r="C11783" s="209"/>
      <c r="D11783" s="209"/>
      <c r="E11783" s="209"/>
      <c r="J11783" s="124"/>
    </row>
    <row r="11784" spans="3:10" x14ac:dyDescent="0.2">
      <c r="C11784" s="209"/>
      <c r="D11784" s="209"/>
      <c r="E11784" s="209"/>
      <c r="J11784" s="124"/>
    </row>
    <row r="11785" spans="3:10" x14ac:dyDescent="0.2">
      <c r="C11785" s="209"/>
      <c r="D11785" s="209"/>
      <c r="E11785" s="209"/>
      <c r="J11785" s="124"/>
    </row>
    <row r="11786" spans="3:10" x14ac:dyDescent="0.2">
      <c r="C11786" s="209"/>
      <c r="D11786" s="209"/>
      <c r="E11786" s="209"/>
      <c r="J11786" s="124"/>
    </row>
    <row r="11787" spans="3:10" x14ac:dyDescent="0.2">
      <c r="C11787" s="209"/>
      <c r="D11787" s="209"/>
      <c r="E11787" s="209"/>
      <c r="J11787" s="124"/>
    </row>
    <row r="11788" spans="3:10" x14ac:dyDescent="0.2">
      <c r="C11788" s="209"/>
      <c r="D11788" s="209"/>
      <c r="E11788" s="209"/>
      <c r="J11788" s="124"/>
    </row>
    <row r="11789" spans="3:10" x14ac:dyDescent="0.2">
      <c r="C11789" s="209"/>
      <c r="D11789" s="209"/>
      <c r="E11789" s="209"/>
      <c r="J11789" s="124"/>
    </row>
    <row r="11790" spans="3:10" x14ac:dyDescent="0.2">
      <c r="C11790" s="209"/>
      <c r="D11790" s="209"/>
      <c r="E11790" s="209"/>
      <c r="J11790" s="124"/>
    </row>
    <row r="11791" spans="3:10" x14ac:dyDescent="0.2">
      <c r="C11791" s="209"/>
      <c r="D11791" s="209"/>
      <c r="E11791" s="209"/>
      <c r="J11791" s="124"/>
    </row>
    <row r="11792" spans="3:10" x14ac:dyDescent="0.2">
      <c r="C11792" s="209"/>
      <c r="D11792" s="209"/>
      <c r="E11792" s="209"/>
      <c r="J11792" s="124"/>
    </row>
    <row r="11793" spans="3:10" x14ac:dyDescent="0.2">
      <c r="C11793" s="209"/>
      <c r="D11793" s="209"/>
      <c r="E11793" s="209"/>
      <c r="J11793" s="124"/>
    </row>
    <row r="11794" spans="3:10" x14ac:dyDescent="0.2">
      <c r="C11794" s="209"/>
      <c r="D11794" s="209"/>
      <c r="E11794" s="209"/>
      <c r="J11794" s="124"/>
    </row>
    <row r="11795" spans="3:10" x14ac:dyDescent="0.2">
      <c r="C11795" s="209"/>
      <c r="D11795" s="209"/>
      <c r="E11795" s="209"/>
      <c r="J11795" s="124"/>
    </row>
    <row r="11796" spans="3:10" x14ac:dyDescent="0.2">
      <c r="C11796" s="209"/>
      <c r="D11796" s="209"/>
      <c r="E11796" s="209"/>
      <c r="J11796" s="124"/>
    </row>
    <row r="11797" spans="3:10" x14ac:dyDescent="0.2">
      <c r="C11797" s="209"/>
      <c r="D11797" s="209"/>
      <c r="E11797" s="209"/>
      <c r="J11797" s="124"/>
    </row>
    <row r="11798" spans="3:10" x14ac:dyDescent="0.2">
      <c r="C11798" s="209"/>
      <c r="D11798" s="209"/>
      <c r="E11798" s="209"/>
      <c r="J11798" s="124"/>
    </row>
    <row r="11799" spans="3:10" x14ac:dyDescent="0.2">
      <c r="C11799" s="209"/>
      <c r="D11799" s="209"/>
      <c r="E11799" s="209"/>
      <c r="J11799" s="124"/>
    </row>
    <row r="11800" spans="3:10" x14ac:dyDescent="0.2">
      <c r="C11800" s="209"/>
      <c r="D11800" s="209"/>
      <c r="E11800" s="209"/>
      <c r="J11800" s="124"/>
    </row>
    <row r="11801" spans="3:10" x14ac:dyDescent="0.2">
      <c r="C11801" s="209"/>
      <c r="D11801" s="209"/>
      <c r="E11801" s="209"/>
      <c r="J11801" s="124"/>
    </row>
    <row r="11802" spans="3:10" x14ac:dyDescent="0.2">
      <c r="C11802" s="209"/>
      <c r="D11802" s="209"/>
      <c r="E11802" s="209"/>
      <c r="J11802" s="124"/>
    </row>
    <row r="11803" spans="3:10" x14ac:dyDescent="0.2">
      <c r="C11803" s="209"/>
      <c r="D11803" s="209"/>
      <c r="E11803" s="209"/>
      <c r="J11803" s="124"/>
    </row>
    <row r="11804" spans="3:10" x14ac:dyDescent="0.2">
      <c r="C11804" s="209"/>
      <c r="D11804" s="209"/>
      <c r="E11804" s="209"/>
      <c r="J11804" s="124"/>
    </row>
    <row r="11805" spans="3:10" x14ac:dyDescent="0.2">
      <c r="C11805" s="209"/>
      <c r="D11805" s="209"/>
      <c r="E11805" s="209"/>
      <c r="J11805" s="124"/>
    </row>
    <row r="11806" spans="3:10" x14ac:dyDescent="0.2">
      <c r="C11806" s="209"/>
      <c r="D11806" s="209"/>
      <c r="E11806" s="209"/>
      <c r="J11806" s="124"/>
    </row>
    <row r="11807" spans="3:10" x14ac:dyDescent="0.2">
      <c r="C11807" s="209"/>
      <c r="D11807" s="209"/>
      <c r="E11807" s="209"/>
      <c r="J11807" s="124"/>
    </row>
    <row r="11808" spans="3:10" x14ac:dyDescent="0.2">
      <c r="C11808" s="209"/>
      <c r="D11808" s="209"/>
      <c r="E11808" s="209"/>
      <c r="J11808" s="124"/>
    </row>
    <row r="11809" spans="3:10" x14ac:dyDescent="0.2">
      <c r="C11809" s="209"/>
      <c r="D11809" s="209"/>
      <c r="E11809" s="209"/>
      <c r="J11809" s="124"/>
    </row>
    <row r="11810" spans="3:10" x14ac:dyDescent="0.2">
      <c r="C11810" s="209"/>
      <c r="D11810" s="209"/>
      <c r="E11810" s="209"/>
      <c r="J11810" s="124"/>
    </row>
    <row r="11811" spans="3:10" x14ac:dyDescent="0.2">
      <c r="C11811" s="209"/>
      <c r="D11811" s="209"/>
      <c r="E11811" s="209"/>
      <c r="J11811" s="124"/>
    </row>
    <row r="11812" spans="3:10" x14ac:dyDescent="0.2">
      <c r="C11812" s="209"/>
      <c r="D11812" s="209"/>
      <c r="E11812" s="209"/>
      <c r="J11812" s="124"/>
    </row>
    <row r="11813" spans="3:10" x14ac:dyDescent="0.2">
      <c r="C11813" s="209"/>
      <c r="D11813" s="209"/>
      <c r="E11813" s="209"/>
      <c r="J11813" s="124"/>
    </row>
    <row r="11814" spans="3:10" x14ac:dyDescent="0.2">
      <c r="C11814" s="209"/>
      <c r="D11814" s="209"/>
      <c r="E11814" s="209"/>
      <c r="J11814" s="124"/>
    </row>
    <row r="11815" spans="3:10" x14ac:dyDescent="0.2">
      <c r="C11815" s="209"/>
      <c r="D11815" s="209"/>
      <c r="E11815" s="209"/>
      <c r="J11815" s="124"/>
    </row>
    <row r="11816" spans="3:10" x14ac:dyDescent="0.2">
      <c r="C11816" s="209"/>
      <c r="D11816" s="209"/>
      <c r="E11816" s="209"/>
      <c r="J11816" s="124"/>
    </row>
    <row r="11817" spans="3:10" x14ac:dyDescent="0.2">
      <c r="C11817" s="209"/>
      <c r="D11817" s="209"/>
      <c r="E11817" s="209"/>
      <c r="J11817" s="124"/>
    </row>
    <row r="11818" spans="3:10" x14ac:dyDescent="0.2">
      <c r="C11818" s="209"/>
      <c r="D11818" s="209"/>
      <c r="E11818" s="209"/>
      <c r="J11818" s="124"/>
    </row>
    <row r="11819" spans="3:10" x14ac:dyDescent="0.2">
      <c r="C11819" s="209"/>
      <c r="D11819" s="209"/>
      <c r="E11819" s="209"/>
      <c r="J11819" s="124"/>
    </row>
    <row r="11820" spans="3:10" x14ac:dyDescent="0.2">
      <c r="C11820" s="209"/>
      <c r="D11820" s="209"/>
      <c r="E11820" s="209"/>
      <c r="J11820" s="124"/>
    </row>
    <row r="11821" spans="3:10" x14ac:dyDescent="0.2">
      <c r="C11821" s="209"/>
      <c r="D11821" s="209"/>
      <c r="E11821" s="209"/>
      <c r="J11821" s="124"/>
    </row>
    <row r="11822" spans="3:10" x14ac:dyDescent="0.2">
      <c r="C11822" s="209"/>
      <c r="D11822" s="209"/>
      <c r="E11822" s="209"/>
      <c r="J11822" s="124"/>
    </row>
    <row r="11823" spans="3:10" x14ac:dyDescent="0.2">
      <c r="C11823" s="209"/>
      <c r="D11823" s="209"/>
      <c r="E11823" s="209"/>
      <c r="J11823" s="124"/>
    </row>
    <row r="11824" spans="3:10" x14ac:dyDescent="0.2">
      <c r="C11824" s="209"/>
      <c r="D11824" s="209"/>
      <c r="E11824" s="209"/>
      <c r="J11824" s="124"/>
    </row>
    <row r="11825" spans="3:10" x14ac:dyDescent="0.2">
      <c r="C11825" s="209"/>
      <c r="D11825" s="209"/>
      <c r="E11825" s="209"/>
      <c r="J11825" s="124"/>
    </row>
    <row r="11826" spans="3:10" x14ac:dyDescent="0.2">
      <c r="C11826" s="209"/>
      <c r="D11826" s="209"/>
      <c r="E11826" s="209"/>
      <c r="J11826" s="124"/>
    </row>
    <row r="11827" spans="3:10" x14ac:dyDescent="0.2">
      <c r="C11827" s="209"/>
      <c r="D11827" s="209"/>
      <c r="E11827" s="209"/>
      <c r="J11827" s="124"/>
    </row>
    <row r="11828" spans="3:10" x14ac:dyDescent="0.2">
      <c r="C11828" s="209"/>
      <c r="D11828" s="209"/>
      <c r="E11828" s="209"/>
      <c r="J11828" s="124"/>
    </row>
    <row r="11829" spans="3:10" x14ac:dyDescent="0.2">
      <c r="C11829" s="209"/>
      <c r="D11829" s="209"/>
      <c r="E11829" s="209"/>
      <c r="J11829" s="124"/>
    </row>
    <row r="11830" spans="3:10" x14ac:dyDescent="0.2">
      <c r="C11830" s="209"/>
      <c r="D11830" s="209"/>
      <c r="E11830" s="209"/>
      <c r="J11830" s="124"/>
    </row>
    <row r="11831" spans="3:10" x14ac:dyDescent="0.2">
      <c r="C11831" s="209"/>
      <c r="D11831" s="209"/>
      <c r="E11831" s="209"/>
      <c r="J11831" s="124"/>
    </row>
    <row r="11832" spans="3:10" x14ac:dyDescent="0.2">
      <c r="C11832" s="209"/>
      <c r="D11832" s="209"/>
      <c r="E11832" s="209"/>
      <c r="J11832" s="124"/>
    </row>
    <row r="11833" spans="3:10" x14ac:dyDescent="0.2">
      <c r="C11833" s="209"/>
      <c r="D11833" s="209"/>
      <c r="E11833" s="209"/>
      <c r="J11833" s="124"/>
    </row>
    <row r="11834" spans="3:10" x14ac:dyDescent="0.2">
      <c r="C11834" s="209"/>
      <c r="D11834" s="209"/>
      <c r="E11834" s="209"/>
      <c r="J11834" s="124"/>
    </row>
    <row r="11835" spans="3:10" x14ac:dyDescent="0.2">
      <c r="C11835" s="209"/>
      <c r="D11835" s="209"/>
      <c r="E11835" s="209"/>
      <c r="J11835" s="124"/>
    </row>
    <row r="11836" spans="3:10" x14ac:dyDescent="0.2">
      <c r="C11836" s="209"/>
      <c r="D11836" s="209"/>
      <c r="E11836" s="209"/>
      <c r="J11836" s="124"/>
    </row>
    <row r="11837" spans="3:10" x14ac:dyDescent="0.2">
      <c r="C11837" s="209"/>
      <c r="D11837" s="209"/>
      <c r="E11837" s="209"/>
      <c r="J11837" s="124"/>
    </row>
    <row r="11838" spans="3:10" x14ac:dyDescent="0.2">
      <c r="C11838" s="209"/>
      <c r="D11838" s="209"/>
      <c r="E11838" s="209"/>
      <c r="J11838" s="124"/>
    </row>
    <row r="11839" spans="3:10" x14ac:dyDescent="0.2">
      <c r="C11839" s="209"/>
      <c r="D11839" s="209"/>
      <c r="E11839" s="209"/>
      <c r="J11839" s="124"/>
    </row>
    <row r="11840" spans="3:10" x14ac:dyDescent="0.2">
      <c r="C11840" s="209"/>
      <c r="D11840" s="209"/>
      <c r="E11840" s="209"/>
      <c r="J11840" s="124"/>
    </row>
    <row r="11841" spans="3:10" x14ac:dyDescent="0.2">
      <c r="C11841" s="209"/>
      <c r="D11841" s="209"/>
      <c r="E11841" s="209"/>
      <c r="J11841" s="124"/>
    </row>
    <row r="11842" spans="3:10" x14ac:dyDescent="0.2">
      <c r="C11842" s="209"/>
      <c r="D11842" s="209"/>
      <c r="E11842" s="209"/>
      <c r="J11842" s="124"/>
    </row>
    <row r="11843" spans="3:10" x14ac:dyDescent="0.2">
      <c r="C11843" s="209"/>
      <c r="D11843" s="209"/>
      <c r="E11843" s="209"/>
      <c r="J11843" s="124"/>
    </row>
    <row r="11844" spans="3:10" x14ac:dyDescent="0.2">
      <c r="C11844" s="209"/>
      <c r="D11844" s="209"/>
      <c r="E11844" s="209"/>
      <c r="J11844" s="124"/>
    </row>
    <row r="11845" spans="3:10" x14ac:dyDescent="0.2">
      <c r="C11845" s="209"/>
      <c r="D11845" s="209"/>
      <c r="E11845" s="209"/>
      <c r="J11845" s="124"/>
    </row>
    <row r="11846" spans="3:10" x14ac:dyDescent="0.2">
      <c r="C11846" s="209"/>
      <c r="D11846" s="209"/>
      <c r="E11846" s="209"/>
      <c r="J11846" s="124"/>
    </row>
    <row r="11847" spans="3:10" x14ac:dyDescent="0.2">
      <c r="C11847" s="209"/>
      <c r="D11847" s="209"/>
      <c r="E11847" s="209"/>
      <c r="J11847" s="124"/>
    </row>
    <row r="11848" spans="3:10" x14ac:dyDescent="0.2">
      <c r="C11848" s="209"/>
      <c r="D11848" s="209"/>
      <c r="E11848" s="209"/>
      <c r="J11848" s="124"/>
    </row>
    <row r="11849" spans="3:10" x14ac:dyDescent="0.2">
      <c r="C11849" s="209"/>
      <c r="D11849" s="209"/>
      <c r="E11849" s="209"/>
      <c r="J11849" s="124"/>
    </row>
    <row r="11850" spans="3:10" x14ac:dyDescent="0.2">
      <c r="C11850" s="209"/>
      <c r="D11850" s="209"/>
      <c r="E11850" s="209"/>
      <c r="J11850" s="124"/>
    </row>
    <row r="11851" spans="3:10" x14ac:dyDescent="0.2">
      <c r="C11851" s="209"/>
      <c r="D11851" s="209"/>
      <c r="E11851" s="209"/>
      <c r="J11851" s="124"/>
    </row>
    <row r="11852" spans="3:10" x14ac:dyDescent="0.2">
      <c r="C11852" s="209"/>
      <c r="D11852" s="209"/>
      <c r="E11852" s="209"/>
      <c r="J11852" s="124"/>
    </row>
    <row r="11853" spans="3:10" x14ac:dyDescent="0.2">
      <c r="C11853" s="209"/>
      <c r="D11853" s="209"/>
      <c r="E11853" s="209"/>
      <c r="J11853" s="124"/>
    </row>
    <row r="11854" spans="3:10" x14ac:dyDescent="0.2">
      <c r="C11854" s="209"/>
      <c r="D11854" s="209"/>
      <c r="E11854" s="209"/>
      <c r="J11854" s="124"/>
    </row>
    <row r="11855" spans="3:10" x14ac:dyDescent="0.2">
      <c r="C11855" s="209"/>
      <c r="D11855" s="209"/>
      <c r="E11855" s="209"/>
      <c r="J11855" s="124"/>
    </row>
    <row r="11856" spans="3:10" x14ac:dyDescent="0.2">
      <c r="C11856" s="209"/>
      <c r="D11856" s="209"/>
      <c r="E11856" s="209"/>
      <c r="J11856" s="124"/>
    </row>
    <row r="11857" spans="3:10" x14ac:dyDescent="0.2">
      <c r="C11857" s="209"/>
      <c r="D11857" s="209"/>
      <c r="E11857" s="209"/>
      <c r="J11857" s="124"/>
    </row>
    <row r="11858" spans="3:10" x14ac:dyDescent="0.2">
      <c r="C11858" s="209"/>
      <c r="D11858" s="209"/>
      <c r="E11858" s="209"/>
      <c r="J11858" s="124"/>
    </row>
    <row r="11859" spans="3:10" x14ac:dyDescent="0.2">
      <c r="C11859" s="209"/>
      <c r="D11859" s="209"/>
      <c r="E11859" s="209"/>
      <c r="J11859" s="124"/>
    </row>
    <row r="11860" spans="3:10" x14ac:dyDescent="0.2">
      <c r="C11860" s="209"/>
      <c r="D11860" s="209"/>
      <c r="E11860" s="209"/>
      <c r="J11860" s="124"/>
    </row>
    <row r="11861" spans="3:10" x14ac:dyDescent="0.2">
      <c r="C11861" s="209"/>
      <c r="D11861" s="209"/>
      <c r="E11861" s="209"/>
      <c r="J11861" s="124"/>
    </row>
    <row r="11862" spans="3:10" x14ac:dyDescent="0.2">
      <c r="C11862" s="209"/>
      <c r="D11862" s="209"/>
      <c r="E11862" s="209"/>
      <c r="J11862" s="124"/>
    </row>
    <row r="11863" spans="3:10" x14ac:dyDescent="0.2">
      <c r="C11863" s="209"/>
      <c r="D11863" s="209"/>
      <c r="E11863" s="209"/>
      <c r="J11863" s="124"/>
    </row>
    <row r="11864" spans="3:10" x14ac:dyDescent="0.2">
      <c r="C11864" s="209"/>
      <c r="D11864" s="209"/>
      <c r="E11864" s="209"/>
      <c r="J11864" s="124"/>
    </row>
    <row r="11865" spans="3:10" x14ac:dyDescent="0.2">
      <c r="C11865" s="209"/>
      <c r="D11865" s="209"/>
      <c r="E11865" s="209"/>
      <c r="J11865" s="124"/>
    </row>
    <row r="11866" spans="3:10" x14ac:dyDescent="0.2">
      <c r="C11866" s="209"/>
      <c r="D11866" s="209"/>
      <c r="E11866" s="209"/>
      <c r="J11866" s="124"/>
    </row>
    <row r="11867" spans="3:10" x14ac:dyDescent="0.2">
      <c r="C11867" s="209"/>
      <c r="D11867" s="209"/>
      <c r="E11867" s="209"/>
      <c r="J11867" s="124"/>
    </row>
    <row r="11868" spans="3:10" x14ac:dyDescent="0.2">
      <c r="C11868" s="209"/>
      <c r="D11868" s="209"/>
      <c r="E11868" s="209"/>
      <c r="J11868" s="124"/>
    </row>
    <row r="11869" spans="3:10" x14ac:dyDescent="0.2">
      <c r="C11869" s="209"/>
      <c r="D11869" s="209"/>
      <c r="E11869" s="209"/>
      <c r="J11869" s="124"/>
    </row>
    <row r="11870" spans="3:10" x14ac:dyDescent="0.2">
      <c r="C11870" s="209"/>
      <c r="D11870" s="209"/>
      <c r="E11870" s="209"/>
      <c r="J11870" s="124"/>
    </row>
    <row r="11871" spans="3:10" x14ac:dyDescent="0.2">
      <c r="C11871" s="209"/>
      <c r="D11871" s="209"/>
      <c r="E11871" s="209"/>
      <c r="J11871" s="124"/>
    </row>
    <row r="11872" spans="3:10" x14ac:dyDescent="0.2">
      <c r="C11872" s="209"/>
      <c r="D11872" s="209"/>
      <c r="E11872" s="209"/>
      <c r="J11872" s="124"/>
    </row>
    <row r="11873" spans="3:10" x14ac:dyDescent="0.2">
      <c r="C11873" s="209"/>
      <c r="D11873" s="209"/>
      <c r="E11873" s="209"/>
      <c r="J11873" s="124"/>
    </row>
    <row r="11874" spans="3:10" x14ac:dyDescent="0.2">
      <c r="C11874" s="209"/>
      <c r="D11874" s="209"/>
      <c r="E11874" s="209"/>
      <c r="J11874" s="124"/>
    </row>
    <row r="11875" spans="3:10" x14ac:dyDescent="0.2">
      <c r="C11875" s="209"/>
      <c r="D11875" s="209"/>
      <c r="E11875" s="209"/>
      <c r="J11875" s="124"/>
    </row>
    <row r="11876" spans="3:10" x14ac:dyDescent="0.2">
      <c r="C11876" s="209"/>
      <c r="D11876" s="209"/>
      <c r="E11876" s="209"/>
      <c r="J11876" s="124"/>
    </row>
    <row r="11877" spans="3:10" x14ac:dyDescent="0.2">
      <c r="C11877" s="209"/>
      <c r="D11877" s="209"/>
      <c r="E11877" s="209"/>
      <c r="J11877" s="124"/>
    </row>
    <row r="11878" spans="3:10" x14ac:dyDescent="0.2">
      <c r="C11878" s="209"/>
      <c r="D11878" s="209"/>
      <c r="E11878" s="209"/>
      <c r="J11878" s="124"/>
    </row>
    <row r="11879" spans="3:10" x14ac:dyDescent="0.2">
      <c r="C11879" s="209"/>
      <c r="D11879" s="209"/>
      <c r="E11879" s="209"/>
      <c r="J11879" s="124"/>
    </row>
    <row r="11880" spans="3:10" x14ac:dyDescent="0.2">
      <c r="C11880" s="209"/>
      <c r="D11880" s="209"/>
      <c r="E11880" s="209"/>
      <c r="J11880" s="124"/>
    </row>
    <row r="11881" spans="3:10" x14ac:dyDescent="0.2">
      <c r="C11881" s="209"/>
      <c r="D11881" s="209"/>
      <c r="E11881" s="209"/>
      <c r="J11881" s="124"/>
    </row>
    <row r="11882" spans="3:10" x14ac:dyDescent="0.2">
      <c r="C11882" s="209"/>
      <c r="D11882" s="209"/>
      <c r="E11882" s="209"/>
      <c r="J11882" s="124"/>
    </row>
    <row r="11883" spans="3:10" x14ac:dyDescent="0.2">
      <c r="C11883" s="209"/>
      <c r="D11883" s="209"/>
      <c r="E11883" s="209"/>
      <c r="J11883" s="124"/>
    </row>
    <row r="11884" spans="3:10" x14ac:dyDescent="0.2">
      <c r="C11884" s="209"/>
      <c r="D11884" s="209"/>
      <c r="E11884" s="209"/>
      <c r="J11884" s="124"/>
    </row>
    <row r="11885" spans="3:10" x14ac:dyDescent="0.2">
      <c r="C11885" s="209"/>
      <c r="D11885" s="209"/>
      <c r="E11885" s="209"/>
      <c r="J11885" s="124"/>
    </row>
    <row r="11886" spans="3:10" x14ac:dyDescent="0.2">
      <c r="C11886" s="209"/>
      <c r="D11886" s="209"/>
      <c r="E11886" s="209"/>
      <c r="J11886" s="124"/>
    </row>
    <row r="11887" spans="3:10" x14ac:dyDescent="0.2">
      <c r="C11887" s="209"/>
      <c r="D11887" s="209"/>
      <c r="E11887" s="209"/>
      <c r="J11887" s="124"/>
    </row>
    <row r="11888" spans="3:10" x14ac:dyDescent="0.2">
      <c r="C11888" s="209"/>
      <c r="D11888" s="209"/>
      <c r="E11888" s="209"/>
      <c r="J11888" s="124"/>
    </row>
    <row r="11889" spans="3:10" x14ac:dyDescent="0.2">
      <c r="C11889" s="209"/>
      <c r="D11889" s="209"/>
      <c r="E11889" s="209"/>
      <c r="J11889" s="124"/>
    </row>
    <row r="11890" spans="3:10" x14ac:dyDescent="0.2">
      <c r="C11890" s="209"/>
      <c r="D11890" s="209"/>
      <c r="E11890" s="209"/>
      <c r="J11890" s="124"/>
    </row>
    <row r="11891" spans="3:10" x14ac:dyDescent="0.2">
      <c r="C11891" s="209"/>
      <c r="D11891" s="209"/>
      <c r="E11891" s="209"/>
      <c r="J11891" s="124"/>
    </row>
    <row r="11892" spans="3:10" x14ac:dyDescent="0.2">
      <c r="C11892" s="209"/>
      <c r="D11892" s="209"/>
      <c r="E11892" s="209"/>
      <c r="J11892" s="124"/>
    </row>
    <row r="11893" spans="3:10" x14ac:dyDescent="0.2">
      <c r="C11893" s="209"/>
      <c r="D11893" s="209"/>
      <c r="E11893" s="209"/>
      <c r="J11893" s="124"/>
    </row>
    <row r="11894" spans="3:10" x14ac:dyDescent="0.2">
      <c r="C11894" s="209"/>
      <c r="D11894" s="209"/>
      <c r="E11894" s="209"/>
      <c r="J11894" s="124"/>
    </row>
    <row r="11895" spans="3:10" x14ac:dyDescent="0.2">
      <c r="C11895" s="209"/>
      <c r="D11895" s="209"/>
      <c r="E11895" s="209"/>
      <c r="J11895" s="124"/>
    </row>
    <row r="11896" spans="3:10" x14ac:dyDescent="0.2">
      <c r="C11896" s="209"/>
      <c r="D11896" s="209"/>
      <c r="E11896" s="209"/>
      <c r="J11896" s="124"/>
    </row>
    <row r="11897" spans="3:10" x14ac:dyDescent="0.2">
      <c r="C11897" s="209"/>
      <c r="D11897" s="209"/>
      <c r="E11897" s="209"/>
      <c r="J11897" s="124"/>
    </row>
    <row r="11898" spans="3:10" x14ac:dyDescent="0.2">
      <c r="C11898" s="209"/>
      <c r="D11898" s="209"/>
      <c r="E11898" s="209"/>
      <c r="J11898" s="124"/>
    </row>
    <row r="11899" spans="3:10" x14ac:dyDescent="0.2">
      <c r="C11899" s="209"/>
      <c r="D11899" s="209"/>
      <c r="E11899" s="209"/>
      <c r="J11899" s="124"/>
    </row>
    <row r="11900" spans="3:10" x14ac:dyDescent="0.2">
      <c r="C11900" s="209"/>
      <c r="D11900" s="209"/>
      <c r="E11900" s="209"/>
      <c r="J11900" s="124"/>
    </row>
    <row r="11901" spans="3:10" x14ac:dyDescent="0.2">
      <c r="C11901" s="209"/>
      <c r="D11901" s="209"/>
      <c r="E11901" s="209"/>
      <c r="J11901" s="124"/>
    </row>
    <row r="11902" spans="3:10" x14ac:dyDescent="0.2">
      <c r="C11902" s="209"/>
      <c r="D11902" s="209"/>
      <c r="E11902" s="209"/>
      <c r="J11902" s="124"/>
    </row>
    <row r="11903" spans="3:10" x14ac:dyDescent="0.2">
      <c r="C11903" s="209"/>
      <c r="D11903" s="209"/>
      <c r="E11903" s="209"/>
      <c r="J11903" s="124"/>
    </row>
    <row r="11904" spans="3:10" x14ac:dyDescent="0.2">
      <c r="C11904" s="209"/>
      <c r="D11904" s="209"/>
      <c r="E11904" s="209"/>
      <c r="J11904" s="124"/>
    </row>
    <row r="11905" spans="3:10" x14ac:dyDescent="0.2">
      <c r="C11905" s="209"/>
      <c r="D11905" s="209"/>
      <c r="E11905" s="209"/>
      <c r="J11905" s="124"/>
    </row>
    <row r="11906" spans="3:10" x14ac:dyDescent="0.2">
      <c r="C11906" s="209"/>
      <c r="D11906" s="209"/>
      <c r="E11906" s="209"/>
      <c r="J11906" s="124"/>
    </row>
    <row r="11907" spans="3:10" x14ac:dyDescent="0.2">
      <c r="C11907" s="209"/>
      <c r="D11907" s="209"/>
      <c r="E11907" s="209"/>
      <c r="J11907" s="124"/>
    </row>
    <row r="11908" spans="3:10" x14ac:dyDescent="0.2">
      <c r="C11908" s="209"/>
      <c r="D11908" s="209"/>
      <c r="E11908" s="209"/>
      <c r="J11908" s="124"/>
    </row>
    <row r="11909" spans="3:10" x14ac:dyDescent="0.2">
      <c r="C11909" s="209"/>
      <c r="D11909" s="209"/>
      <c r="E11909" s="209"/>
      <c r="J11909" s="124"/>
    </row>
    <row r="11910" spans="3:10" x14ac:dyDescent="0.2">
      <c r="C11910" s="209"/>
      <c r="D11910" s="209"/>
      <c r="E11910" s="209"/>
      <c r="J11910" s="124"/>
    </row>
    <row r="11911" spans="3:10" x14ac:dyDescent="0.2">
      <c r="C11911" s="209"/>
      <c r="D11911" s="209"/>
      <c r="E11911" s="209"/>
      <c r="J11911" s="124"/>
    </row>
    <row r="11912" spans="3:10" x14ac:dyDescent="0.2">
      <c r="C11912" s="209"/>
      <c r="D11912" s="209"/>
      <c r="E11912" s="209"/>
      <c r="J11912" s="124"/>
    </row>
    <row r="11913" spans="3:10" x14ac:dyDescent="0.2">
      <c r="C11913" s="209"/>
      <c r="D11913" s="209"/>
      <c r="E11913" s="209"/>
      <c r="J11913" s="124"/>
    </row>
    <row r="11914" spans="3:10" x14ac:dyDescent="0.2">
      <c r="C11914" s="209"/>
      <c r="D11914" s="209"/>
      <c r="E11914" s="209"/>
      <c r="J11914" s="124"/>
    </row>
    <row r="11915" spans="3:10" x14ac:dyDescent="0.2">
      <c r="C11915" s="209"/>
      <c r="D11915" s="209"/>
      <c r="E11915" s="209"/>
      <c r="J11915" s="124"/>
    </row>
    <row r="11916" spans="3:10" x14ac:dyDescent="0.2">
      <c r="C11916" s="209"/>
      <c r="D11916" s="209"/>
      <c r="E11916" s="209"/>
      <c r="J11916" s="124"/>
    </row>
    <row r="11917" spans="3:10" x14ac:dyDescent="0.2">
      <c r="C11917" s="209"/>
      <c r="D11917" s="209"/>
      <c r="E11917" s="209"/>
      <c r="J11917" s="124"/>
    </row>
    <row r="11918" spans="3:10" x14ac:dyDescent="0.2">
      <c r="C11918" s="209"/>
      <c r="D11918" s="209"/>
      <c r="E11918" s="209"/>
      <c r="J11918" s="124"/>
    </row>
    <row r="11919" spans="3:10" x14ac:dyDescent="0.2">
      <c r="C11919" s="209"/>
      <c r="D11919" s="209"/>
      <c r="E11919" s="209"/>
      <c r="J11919" s="124"/>
    </row>
    <row r="11920" spans="3:10" x14ac:dyDescent="0.2">
      <c r="C11920" s="209"/>
      <c r="D11920" s="209"/>
      <c r="E11920" s="209"/>
      <c r="J11920" s="124"/>
    </row>
    <row r="11921" spans="3:10" x14ac:dyDescent="0.2">
      <c r="C11921" s="209"/>
      <c r="D11921" s="209"/>
      <c r="E11921" s="209"/>
      <c r="J11921" s="124"/>
    </row>
    <row r="11922" spans="3:10" x14ac:dyDescent="0.2">
      <c r="C11922" s="209"/>
      <c r="D11922" s="209"/>
      <c r="E11922" s="209"/>
      <c r="J11922" s="124"/>
    </row>
    <row r="11923" spans="3:10" x14ac:dyDescent="0.2">
      <c r="C11923" s="209"/>
      <c r="D11923" s="209"/>
      <c r="E11923" s="209"/>
      <c r="J11923" s="124"/>
    </row>
    <row r="11924" spans="3:10" x14ac:dyDescent="0.2">
      <c r="C11924" s="209"/>
      <c r="D11924" s="209"/>
      <c r="E11924" s="209"/>
      <c r="J11924" s="124"/>
    </row>
    <row r="11925" spans="3:10" x14ac:dyDescent="0.2">
      <c r="C11925" s="209"/>
      <c r="D11925" s="209"/>
      <c r="E11925" s="209"/>
      <c r="J11925" s="124"/>
    </row>
    <row r="11926" spans="3:10" x14ac:dyDescent="0.2">
      <c r="C11926" s="209"/>
      <c r="D11926" s="209"/>
      <c r="E11926" s="209"/>
      <c r="J11926" s="124"/>
    </row>
    <row r="11927" spans="3:10" x14ac:dyDescent="0.2">
      <c r="C11927" s="209"/>
      <c r="D11927" s="209"/>
      <c r="E11927" s="209"/>
      <c r="J11927" s="124"/>
    </row>
    <row r="11928" spans="3:10" x14ac:dyDescent="0.2">
      <c r="C11928" s="209"/>
      <c r="D11928" s="209"/>
      <c r="E11928" s="209"/>
      <c r="J11928" s="124"/>
    </row>
    <row r="11929" spans="3:10" x14ac:dyDescent="0.2">
      <c r="C11929" s="209"/>
      <c r="D11929" s="209"/>
      <c r="E11929" s="209"/>
      <c r="J11929" s="124"/>
    </row>
    <row r="11930" spans="3:10" x14ac:dyDescent="0.2">
      <c r="C11930" s="209"/>
      <c r="D11930" s="209"/>
      <c r="E11930" s="209"/>
      <c r="J11930" s="124"/>
    </row>
    <row r="11931" spans="3:10" x14ac:dyDescent="0.2">
      <c r="C11931" s="209"/>
      <c r="D11931" s="209"/>
      <c r="E11931" s="209"/>
      <c r="J11931" s="124"/>
    </row>
    <row r="11932" spans="3:10" x14ac:dyDescent="0.2">
      <c r="C11932" s="209"/>
      <c r="D11932" s="209"/>
      <c r="E11932" s="209"/>
      <c r="J11932" s="124"/>
    </row>
    <row r="11933" spans="3:10" x14ac:dyDescent="0.2">
      <c r="C11933" s="209"/>
      <c r="D11933" s="209"/>
      <c r="E11933" s="209"/>
      <c r="J11933" s="124"/>
    </row>
    <row r="11934" spans="3:10" x14ac:dyDescent="0.2">
      <c r="C11934" s="209"/>
      <c r="D11934" s="209"/>
      <c r="E11934" s="209"/>
      <c r="J11934" s="124"/>
    </row>
    <row r="11935" spans="3:10" x14ac:dyDescent="0.2">
      <c r="C11935" s="209"/>
      <c r="D11935" s="209"/>
      <c r="E11935" s="209"/>
      <c r="J11935" s="124"/>
    </row>
    <row r="11936" spans="3:10" x14ac:dyDescent="0.2">
      <c r="C11936" s="209"/>
      <c r="D11936" s="209"/>
      <c r="E11936" s="209"/>
      <c r="J11936" s="124"/>
    </row>
    <row r="11937" spans="3:10" x14ac:dyDescent="0.2">
      <c r="C11937" s="209"/>
      <c r="D11937" s="209"/>
      <c r="E11937" s="209"/>
      <c r="J11937" s="124"/>
    </row>
    <row r="11938" spans="3:10" x14ac:dyDescent="0.2">
      <c r="C11938" s="209"/>
      <c r="D11938" s="209"/>
      <c r="E11938" s="209"/>
      <c r="J11938" s="124"/>
    </row>
    <row r="11939" spans="3:10" x14ac:dyDescent="0.2">
      <c r="C11939" s="209"/>
      <c r="D11939" s="209"/>
      <c r="E11939" s="209"/>
      <c r="J11939" s="124"/>
    </row>
    <row r="11940" spans="3:10" x14ac:dyDescent="0.2">
      <c r="C11940" s="209"/>
      <c r="D11940" s="209"/>
      <c r="E11940" s="209"/>
      <c r="J11940" s="124"/>
    </row>
    <row r="11941" spans="3:10" x14ac:dyDescent="0.2">
      <c r="C11941" s="209"/>
      <c r="D11941" s="209"/>
      <c r="E11941" s="209"/>
      <c r="J11941" s="124"/>
    </row>
    <row r="11942" spans="3:10" x14ac:dyDescent="0.2">
      <c r="C11942" s="209"/>
      <c r="D11942" s="209"/>
      <c r="E11942" s="209"/>
      <c r="J11942" s="124"/>
    </row>
    <row r="11943" spans="3:10" x14ac:dyDescent="0.2">
      <c r="C11943" s="209"/>
      <c r="D11943" s="209"/>
      <c r="E11943" s="209"/>
      <c r="J11943" s="124"/>
    </row>
    <row r="11944" spans="3:10" x14ac:dyDescent="0.2">
      <c r="C11944" s="209"/>
      <c r="D11944" s="209"/>
      <c r="E11944" s="209"/>
      <c r="J11944" s="124"/>
    </row>
    <row r="11945" spans="3:10" x14ac:dyDescent="0.2">
      <c r="C11945" s="209"/>
      <c r="D11945" s="209"/>
      <c r="E11945" s="209"/>
      <c r="J11945" s="124"/>
    </row>
    <row r="11946" spans="3:10" x14ac:dyDescent="0.2">
      <c r="C11946" s="209"/>
      <c r="D11946" s="209"/>
      <c r="E11946" s="209"/>
      <c r="J11946" s="124"/>
    </row>
    <row r="11947" spans="3:10" x14ac:dyDescent="0.2">
      <c r="C11947" s="209"/>
      <c r="D11947" s="209"/>
      <c r="E11947" s="209"/>
      <c r="J11947" s="124"/>
    </row>
    <row r="11948" spans="3:10" x14ac:dyDescent="0.2">
      <c r="C11948" s="209"/>
      <c r="D11948" s="209"/>
      <c r="E11948" s="209"/>
      <c r="J11948" s="124"/>
    </row>
    <row r="11949" spans="3:10" x14ac:dyDescent="0.2">
      <c r="C11949" s="209"/>
      <c r="D11949" s="209"/>
      <c r="E11949" s="209"/>
      <c r="J11949" s="124"/>
    </row>
    <row r="11950" spans="3:10" x14ac:dyDescent="0.2">
      <c r="C11950" s="209"/>
      <c r="D11950" s="209"/>
      <c r="E11950" s="209"/>
      <c r="J11950" s="124"/>
    </row>
    <row r="11951" spans="3:10" x14ac:dyDescent="0.2">
      <c r="C11951" s="209"/>
      <c r="D11951" s="209"/>
      <c r="E11951" s="209"/>
      <c r="J11951" s="124"/>
    </row>
    <row r="11952" spans="3:10" x14ac:dyDescent="0.2">
      <c r="C11952" s="209"/>
      <c r="D11952" s="209"/>
      <c r="E11952" s="209"/>
      <c r="J11952" s="124"/>
    </row>
    <row r="11953" spans="3:10" x14ac:dyDescent="0.2">
      <c r="C11953" s="209"/>
      <c r="D11953" s="209"/>
      <c r="E11953" s="209"/>
      <c r="J11953" s="124"/>
    </row>
    <row r="11954" spans="3:10" x14ac:dyDescent="0.2">
      <c r="C11954" s="209"/>
      <c r="D11954" s="209"/>
      <c r="E11954" s="209"/>
      <c r="J11954" s="124"/>
    </row>
    <row r="11955" spans="3:10" x14ac:dyDescent="0.2">
      <c r="C11955" s="209"/>
      <c r="D11955" s="209"/>
      <c r="E11955" s="209"/>
      <c r="J11955" s="124"/>
    </row>
    <row r="11956" spans="3:10" x14ac:dyDescent="0.2">
      <c r="C11956" s="209"/>
      <c r="D11956" s="209"/>
      <c r="E11956" s="209"/>
      <c r="J11956" s="124"/>
    </row>
    <row r="11957" spans="3:10" x14ac:dyDescent="0.2">
      <c r="C11957" s="209"/>
      <c r="D11957" s="209"/>
      <c r="E11957" s="209"/>
      <c r="J11957" s="124"/>
    </row>
    <row r="11958" spans="3:10" x14ac:dyDescent="0.2">
      <c r="C11958" s="209"/>
      <c r="D11958" s="209"/>
      <c r="E11958" s="209"/>
      <c r="J11958" s="124"/>
    </row>
    <row r="11959" spans="3:10" x14ac:dyDescent="0.2">
      <c r="C11959" s="209"/>
      <c r="D11959" s="209"/>
      <c r="E11959" s="209"/>
      <c r="J11959" s="124"/>
    </row>
    <row r="11960" spans="3:10" x14ac:dyDescent="0.2">
      <c r="C11960" s="209"/>
      <c r="D11960" s="209"/>
      <c r="E11960" s="209"/>
      <c r="J11960" s="124"/>
    </row>
    <row r="11961" spans="3:10" x14ac:dyDescent="0.2">
      <c r="C11961" s="209"/>
      <c r="D11961" s="209"/>
      <c r="E11961" s="209"/>
      <c r="J11961" s="124"/>
    </row>
    <row r="11962" spans="3:10" x14ac:dyDescent="0.2">
      <c r="C11962" s="209"/>
      <c r="D11962" s="209"/>
      <c r="E11962" s="209"/>
      <c r="J11962" s="124"/>
    </row>
    <row r="11963" spans="3:10" x14ac:dyDescent="0.2">
      <c r="C11963" s="209"/>
      <c r="D11963" s="209"/>
      <c r="E11963" s="209"/>
      <c r="J11963" s="124"/>
    </row>
    <row r="11964" spans="3:10" x14ac:dyDescent="0.2">
      <c r="C11964" s="209"/>
      <c r="D11964" s="209"/>
      <c r="E11964" s="209"/>
      <c r="J11964" s="124"/>
    </row>
    <row r="11965" spans="3:10" x14ac:dyDescent="0.2">
      <c r="C11965" s="209"/>
      <c r="D11965" s="209"/>
      <c r="E11965" s="209"/>
      <c r="J11965" s="124"/>
    </row>
    <row r="11966" spans="3:10" x14ac:dyDescent="0.2">
      <c r="C11966" s="209"/>
      <c r="D11966" s="209"/>
      <c r="E11966" s="209"/>
      <c r="J11966" s="124"/>
    </row>
    <row r="11967" spans="3:10" x14ac:dyDescent="0.2">
      <c r="C11967" s="209"/>
      <c r="D11967" s="209"/>
      <c r="E11967" s="209"/>
      <c r="J11967" s="124"/>
    </row>
    <row r="11968" spans="3:10" x14ac:dyDescent="0.2">
      <c r="C11968" s="209"/>
      <c r="D11968" s="209"/>
      <c r="E11968" s="209"/>
      <c r="J11968" s="124"/>
    </row>
    <row r="11969" spans="3:10" x14ac:dyDescent="0.2">
      <c r="C11969" s="209"/>
      <c r="D11969" s="209"/>
      <c r="E11969" s="209"/>
      <c r="J11969" s="124"/>
    </row>
    <row r="11970" spans="3:10" x14ac:dyDescent="0.2">
      <c r="C11970" s="209"/>
      <c r="D11970" s="209"/>
      <c r="E11970" s="209"/>
      <c r="J11970" s="124"/>
    </row>
    <row r="11971" spans="3:10" x14ac:dyDescent="0.2">
      <c r="C11971" s="209"/>
      <c r="D11971" s="209"/>
      <c r="E11971" s="209"/>
      <c r="J11971" s="124"/>
    </row>
    <row r="11972" spans="3:10" x14ac:dyDescent="0.2">
      <c r="C11972" s="209"/>
      <c r="D11972" s="209"/>
      <c r="E11972" s="209"/>
      <c r="J11972" s="124"/>
    </row>
    <row r="11973" spans="3:10" x14ac:dyDescent="0.2">
      <c r="C11973" s="209"/>
      <c r="D11973" s="209"/>
      <c r="E11973" s="209"/>
      <c r="J11973" s="124"/>
    </row>
    <row r="11974" spans="3:10" x14ac:dyDescent="0.2">
      <c r="C11974" s="209"/>
      <c r="D11974" s="209"/>
      <c r="E11974" s="209"/>
      <c r="J11974" s="124"/>
    </row>
    <row r="11975" spans="3:10" x14ac:dyDescent="0.2">
      <c r="C11975" s="209"/>
      <c r="D11975" s="209"/>
      <c r="E11975" s="209"/>
      <c r="J11975" s="124"/>
    </row>
    <row r="11976" spans="3:10" x14ac:dyDescent="0.2">
      <c r="C11976" s="209"/>
      <c r="D11976" s="209"/>
      <c r="E11976" s="209"/>
      <c r="J11976" s="124"/>
    </row>
    <row r="11977" spans="3:10" x14ac:dyDescent="0.2">
      <c r="C11977" s="209"/>
      <c r="D11977" s="209"/>
      <c r="E11977" s="209"/>
      <c r="J11977" s="124"/>
    </row>
    <row r="11978" spans="3:10" x14ac:dyDescent="0.2">
      <c r="C11978" s="209"/>
      <c r="D11978" s="209"/>
      <c r="E11978" s="209"/>
      <c r="J11978" s="124"/>
    </row>
    <row r="11979" spans="3:10" x14ac:dyDescent="0.2">
      <c r="C11979" s="209"/>
      <c r="D11979" s="209"/>
      <c r="E11979" s="209"/>
      <c r="J11979" s="124"/>
    </row>
    <row r="11980" spans="3:10" x14ac:dyDescent="0.2">
      <c r="C11980" s="209"/>
      <c r="D11980" s="209"/>
      <c r="E11980" s="209"/>
      <c r="J11980" s="124"/>
    </row>
    <row r="11981" spans="3:10" x14ac:dyDescent="0.2">
      <c r="C11981" s="209"/>
      <c r="D11981" s="209"/>
      <c r="E11981" s="209"/>
      <c r="J11981" s="124"/>
    </row>
    <row r="11982" spans="3:10" x14ac:dyDescent="0.2">
      <c r="C11982" s="209"/>
      <c r="D11982" s="209"/>
      <c r="E11982" s="209"/>
      <c r="J11982" s="124"/>
    </row>
    <row r="11983" spans="3:10" x14ac:dyDescent="0.2">
      <c r="C11983" s="209"/>
      <c r="D11983" s="209"/>
      <c r="E11983" s="209"/>
      <c r="J11983" s="124"/>
    </row>
    <row r="11984" spans="3:10" x14ac:dyDescent="0.2">
      <c r="C11984" s="209"/>
      <c r="D11984" s="209"/>
      <c r="E11984" s="209"/>
      <c r="J11984" s="124"/>
    </row>
    <row r="11985" spans="3:10" x14ac:dyDescent="0.2">
      <c r="C11985" s="209"/>
      <c r="D11985" s="209"/>
      <c r="E11985" s="209"/>
      <c r="J11985" s="124"/>
    </row>
    <row r="11986" spans="3:10" x14ac:dyDescent="0.2">
      <c r="C11986" s="209"/>
      <c r="D11986" s="209"/>
      <c r="E11986" s="209"/>
      <c r="J11986" s="124"/>
    </row>
    <row r="11987" spans="3:10" x14ac:dyDescent="0.2">
      <c r="C11987" s="209"/>
      <c r="D11987" s="209"/>
      <c r="E11987" s="209"/>
      <c r="J11987" s="124"/>
    </row>
    <row r="11988" spans="3:10" x14ac:dyDescent="0.2">
      <c r="C11988" s="209"/>
      <c r="D11988" s="209"/>
      <c r="E11988" s="209"/>
      <c r="J11988" s="124"/>
    </row>
    <row r="11989" spans="3:10" x14ac:dyDescent="0.2">
      <c r="C11989" s="209"/>
      <c r="D11989" s="209"/>
      <c r="E11989" s="209"/>
      <c r="J11989" s="124"/>
    </row>
    <row r="11990" spans="3:10" x14ac:dyDescent="0.2">
      <c r="C11990" s="209"/>
      <c r="D11990" s="209"/>
      <c r="E11990" s="209"/>
      <c r="J11990" s="124"/>
    </row>
    <row r="11991" spans="3:10" x14ac:dyDescent="0.2">
      <c r="C11991" s="209"/>
      <c r="D11991" s="209"/>
      <c r="E11991" s="209"/>
      <c r="J11991" s="124"/>
    </row>
    <row r="11992" spans="3:10" x14ac:dyDescent="0.2">
      <c r="C11992" s="209"/>
      <c r="D11992" s="209"/>
      <c r="E11992" s="209"/>
      <c r="J11992" s="124"/>
    </row>
    <row r="11993" spans="3:10" x14ac:dyDescent="0.2">
      <c r="C11993" s="209"/>
      <c r="D11993" s="209"/>
      <c r="E11993" s="209"/>
      <c r="J11993" s="124"/>
    </row>
    <row r="11994" spans="3:10" x14ac:dyDescent="0.2">
      <c r="C11994" s="209"/>
      <c r="D11994" s="209"/>
      <c r="E11994" s="209"/>
      <c r="J11994" s="124"/>
    </row>
    <row r="11995" spans="3:10" x14ac:dyDescent="0.2">
      <c r="C11995" s="209"/>
      <c r="D11995" s="209"/>
      <c r="E11995" s="209"/>
      <c r="J11995" s="124"/>
    </row>
    <row r="11996" spans="3:10" x14ac:dyDescent="0.2">
      <c r="C11996" s="209"/>
      <c r="D11996" s="209"/>
      <c r="E11996" s="209"/>
      <c r="J11996" s="124"/>
    </row>
    <row r="11997" spans="3:10" x14ac:dyDescent="0.2">
      <c r="C11997" s="209"/>
      <c r="D11997" s="209"/>
      <c r="E11997" s="209"/>
      <c r="J11997" s="124"/>
    </row>
    <row r="11998" spans="3:10" x14ac:dyDescent="0.2">
      <c r="C11998" s="209"/>
      <c r="D11998" s="209"/>
      <c r="E11998" s="209"/>
      <c r="J11998" s="124"/>
    </row>
    <row r="11999" spans="3:10" x14ac:dyDescent="0.2">
      <c r="C11999" s="209"/>
      <c r="D11999" s="209"/>
      <c r="E11999" s="209"/>
      <c r="J11999" s="124"/>
    </row>
    <row r="12000" spans="3:10" x14ac:dyDescent="0.2">
      <c r="C12000" s="209"/>
      <c r="D12000" s="209"/>
      <c r="E12000" s="209"/>
      <c r="J12000" s="124"/>
    </row>
    <row r="12001" spans="3:10" x14ac:dyDescent="0.2">
      <c r="C12001" s="209"/>
      <c r="D12001" s="209"/>
      <c r="E12001" s="209"/>
      <c r="J12001" s="124"/>
    </row>
    <row r="12002" spans="3:10" x14ac:dyDescent="0.2">
      <c r="C12002" s="209"/>
      <c r="D12002" s="209"/>
      <c r="E12002" s="209"/>
      <c r="J12002" s="124"/>
    </row>
    <row r="12003" spans="3:10" x14ac:dyDescent="0.2">
      <c r="C12003" s="209"/>
      <c r="D12003" s="209"/>
      <c r="E12003" s="209"/>
      <c r="J12003" s="124"/>
    </row>
    <row r="12004" spans="3:10" x14ac:dyDescent="0.2">
      <c r="C12004" s="209"/>
      <c r="D12004" s="209"/>
      <c r="E12004" s="209"/>
      <c r="J12004" s="124"/>
    </row>
    <row r="12005" spans="3:10" x14ac:dyDescent="0.2">
      <c r="C12005" s="209"/>
      <c r="D12005" s="209"/>
      <c r="E12005" s="209"/>
      <c r="J12005" s="124"/>
    </row>
    <row r="12006" spans="3:10" x14ac:dyDescent="0.2">
      <c r="C12006" s="209"/>
      <c r="D12006" s="209"/>
      <c r="E12006" s="209"/>
      <c r="J12006" s="124"/>
    </row>
    <row r="12007" spans="3:10" x14ac:dyDescent="0.2">
      <c r="C12007" s="209"/>
      <c r="D12007" s="209"/>
      <c r="E12007" s="209"/>
      <c r="J12007" s="124"/>
    </row>
    <row r="12008" spans="3:10" x14ac:dyDescent="0.2">
      <c r="C12008" s="209"/>
      <c r="D12008" s="209"/>
      <c r="E12008" s="209"/>
      <c r="J12008" s="124"/>
    </row>
    <row r="12009" spans="3:10" x14ac:dyDescent="0.2">
      <c r="C12009" s="209"/>
      <c r="D12009" s="209"/>
      <c r="E12009" s="209"/>
      <c r="J12009" s="124"/>
    </row>
    <row r="12010" spans="3:10" x14ac:dyDescent="0.2">
      <c r="C12010" s="209"/>
      <c r="D12010" s="209"/>
      <c r="E12010" s="209"/>
      <c r="J12010" s="124"/>
    </row>
    <row r="12011" spans="3:10" x14ac:dyDescent="0.2">
      <c r="C12011" s="209"/>
      <c r="D12011" s="209"/>
      <c r="E12011" s="209"/>
      <c r="J12011" s="124"/>
    </row>
    <row r="12012" spans="3:10" x14ac:dyDescent="0.2">
      <c r="C12012" s="209"/>
      <c r="D12012" s="209"/>
      <c r="E12012" s="209"/>
      <c r="J12012" s="124"/>
    </row>
    <row r="12013" spans="3:10" x14ac:dyDescent="0.2">
      <c r="C12013" s="209"/>
      <c r="D12013" s="209"/>
      <c r="E12013" s="209"/>
      <c r="J12013" s="124"/>
    </row>
    <row r="12014" spans="3:10" x14ac:dyDescent="0.2">
      <c r="C12014" s="209"/>
      <c r="D12014" s="209"/>
      <c r="E12014" s="209"/>
      <c r="J12014" s="124"/>
    </row>
    <row r="12015" spans="3:10" x14ac:dyDescent="0.2">
      <c r="C12015" s="209"/>
      <c r="D12015" s="209"/>
      <c r="E12015" s="209"/>
      <c r="J12015" s="124"/>
    </row>
    <row r="12016" spans="3:10" x14ac:dyDescent="0.2">
      <c r="C12016" s="209"/>
      <c r="D12016" s="209"/>
      <c r="E12016" s="209"/>
      <c r="J12016" s="124"/>
    </row>
    <row r="12017" spans="3:10" x14ac:dyDescent="0.2">
      <c r="C12017" s="209"/>
      <c r="D12017" s="209"/>
      <c r="E12017" s="209"/>
      <c r="J12017" s="124"/>
    </row>
    <row r="12018" spans="3:10" x14ac:dyDescent="0.2">
      <c r="C12018" s="209"/>
      <c r="D12018" s="209"/>
      <c r="E12018" s="209"/>
      <c r="J12018" s="124"/>
    </row>
    <row r="12019" spans="3:10" x14ac:dyDescent="0.2">
      <c r="C12019" s="209"/>
      <c r="D12019" s="209"/>
      <c r="E12019" s="209"/>
      <c r="J12019" s="124"/>
    </row>
    <row r="12020" spans="3:10" x14ac:dyDescent="0.2">
      <c r="C12020" s="209"/>
      <c r="D12020" s="209"/>
      <c r="E12020" s="209"/>
      <c r="J12020" s="124"/>
    </row>
    <row r="12021" spans="3:10" x14ac:dyDescent="0.2">
      <c r="C12021" s="209"/>
      <c r="D12021" s="209"/>
      <c r="E12021" s="209"/>
      <c r="J12021" s="124"/>
    </row>
    <row r="12022" spans="3:10" x14ac:dyDescent="0.2">
      <c r="C12022" s="209"/>
      <c r="D12022" s="209"/>
      <c r="E12022" s="209"/>
      <c r="J12022" s="124"/>
    </row>
    <row r="12023" spans="3:10" x14ac:dyDescent="0.2">
      <c r="C12023" s="209"/>
      <c r="D12023" s="209"/>
      <c r="E12023" s="209"/>
      <c r="J12023" s="124"/>
    </row>
    <row r="12024" spans="3:10" x14ac:dyDescent="0.2">
      <c r="C12024" s="209"/>
      <c r="D12024" s="209"/>
      <c r="E12024" s="209"/>
      <c r="J12024" s="124"/>
    </row>
    <row r="12025" spans="3:10" x14ac:dyDescent="0.2">
      <c r="C12025" s="209"/>
      <c r="D12025" s="209"/>
      <c r="E12025" s="209"/>
      <c r="J12025" s="124"/>
    </row>
    <row r="12026" spans="3:10" x14ac:dyDescent="0.2">
      <c r="C12026" s="209"/>
      <c r="D12026" s="209"/>
      <c r="E12026" s="209"/>
      <c r="J12026" s="124"/>
    </row>
    <row r="12027" spans="3:10" x14ac:dyDescent="0.2">
      <c r="C12027" s="209"/>
      <c r="D12027" s="209"/>
      <c r="E12027" s="209"/>
      <c r="J12027" s="124"/>
    </row>
    <row r="12028" spans="3:10" x14ac:dyDescent="0.2">
      <c r="C12028" s="209"/>
      <c r="D12028" s="209"/>
      <c r="E12028" s="209"/>
      <c r="J12028" s="124"/>
    </row>
    <row r="12029" spans="3:10" x14ac:dyDescent="0.2">
      <c r="C12029" s="209"/>
      <c r="D12029" s="209"/>
      <c r="E12029" s="209"/>
      <c r="J12029" s="124"/>
    </row>
    <row r="12030" spans="3:10" x14ac:dyDescent="0.2">
      <c r="C12030" s="209"/>
      <c r="D12030" s="209"/>
      <c r="E12030" s="209"/>
      <c r="J12030" s="124"/>
    </row>
    <row r="12031" spans="3:10" x14ac:dyDescent="0.2">
      <c r="C12031" s="209"/>
      <c r="D12031" s="209"/>
      <c r="E12031" s="209"/>
      <c r="J12031" s="124"/>
    </row>
    <row r="12032" spans="3:10" x14ac:dyDescent="0.2">
      <c r="C12032" s="209"/>
      <c r="D12032" s="209"/>
      <c r="E12032" s="209"/>
      <c r="J12032" s="124"/>
    </row>
    <row r="12033" spans="3:10" x14ac:dyDescent="0.2">
      <c r="C12033" s="209"/>
      <c r="D12033" s="209"/>
      <c r="E12033" s="209"/>
      <c r="J12033" s="124"/>
    </row>
    <row r="12034" spans="3:10" x14ac:dyDescent="0.2">
      <c r="C12034" s="209"/>
      <c r="D12034" s="209"/>
      <c r="E12034" s="209"/>
      <c r="J12034" s="124"/>
    </row>
    <row r="12035" spans="3:10" x14ac:dyDescent="0.2">
      <c r="C12035" s="209"/>
      <c r="D12035" s="209"/>
      <c r="E12035" s="209"/>
      <c r="J12035" s="124"/>
    </row>
    <row r="12036" spans="3:10" x14ac:dyDescent="0.2">
      <c r="C12036" s="209"/>
      <c r="D12036" s="209"/>
      <c r="E12036" s="209"/>
      <c r="J12036" s="124"/>
    </row>
    <row r="12037" spans="3:10" x14ac:dyDescent="0.2">
      <c r="C12037" s="209"/>
      <c r="D12037" s="209"/>
      <c r="E12037" s="209"/>
      <c r="J12037" s="124"/>
    </row>
    <row r="12038" spans="3:10" x14ac:dyDescent="0.2">
      <c r="C12038" s="209"/>
      <c r="D12038" s="209"/>
      <c r="E12038" s="209"/>
      <c r="J12038" s="124"/>
    </row>
    <row r="12039" spans="3:10" x14ac:dyDescent="0.2">
      <c r="C12039" s="209"/>
      <c r="D12039" s="209"/>
      <c r="E12039" s="209"/>
      <c r="J12039" s="124"/>
    </row>
    <row r="12040" spans="3:10" x14ac:dyDescent="0.2">
      <c r="C12040" s="209"/>
      <c r="D12040" s="209"/>
      <c r="E12040" s="209"/>
      <c r="J12040" s="124"/>
    </row>
    <row r="12041" spans="3:10" x14ac:dyDescent="0.2">
      <c r="C12041" s="209"/>
      <c r="D12041" s="209"/>
      <c r="E12041" s="209"/>
      <c r="J12041" s="124"/>
    </row>
    <row r="12042" spans="3:10" x14ac:dyDescent="0.2">
      <c r="C12042" s="209"/>
      <c r="D12042" s="209"/>
      <c r="E12042" s="209"/>
      <c r="J12042" s="124"/>
    </row>
    <row r="12043" spans="3:10" x14ac:dyDescent="0.2">
      <c r="C12043" s="209"/>
      <c r="D12043" s="209"/>
      <c r="E12043" s="209"/>
      <c r="J12043" s="124"/>
    </row>
    <row r="12044" spans="3:10" x14ac:dyDescent="0.2">
      <c r="C12044" s="209"/>
      <c r="D12044" s="209"/>
      <c r="E12044" s="209"/>
      <c r="J12044" s="124"/>
    </row>
    <row r="12045" spans="3:10" x14ac:dyDescent="0.2">
      <c r="C12045" s="209"/>
      <c r="D12045" s="209"/>
      <c r="E12045" s="209"/>
      <c r="J12045" s="124"/>
    </row>
    <row r="12046" spans="3:10" x14ac:dyDescent="0.2">
      <c r="C12046" s="209"/>
      <c r="D12046" s="209"/>
      <c r="E12046" s="209"/>
      <c r="J12046" s="124"/>
    </row>
    <row r="12047" spans="3:10" x14ac:dyDescent="0.2">
      <c r="C12047" s="209"/>
      <c r="D12047" s="209"/>
      <c r="E12047" s="209"/>
      <c r="J12047" s="124"/>
    </row>
    <row r="12048" spans="3:10" x14ac:dyDescent="0.2">
      <c r="C12048" s="209"/>
      <c r="D12048" s="209"/>
      <c r="E12048" s="209"/>
      <c r="J12048" s="124"/>
    </row>
    <row r="12049" spans="3:10" x14ac:dyDescent="0.2">
      <c r="C12049" s="209"/>
      <c r="D12049" s="209"/>
      <c r="E12049" s="209"/>
      <c r="J12049" s="124"/>
    </row>
    <row r="12050" spans="3:10" x14ac:dyDescent="0.2">
      <c r="C12050" s="209"/>
      <c r="D12050" s="209"/>
      <c r="E12050" s="209"/>
      <c r="J12050" s="124"/>
    </row>
    <row r="12051" spans="3:10" x14ac:dyDescent="0.2">
      <c r="C12051" s="209"/>
      <c r="D12051" s="209"/>
      <c r="E12051" s="209"/>
      <c r="J12051" s="124"/>
    </row>
    <row r="12052" spans="3:10" x14ac:dyDescent="0.2">
      <c r="C12052" s="209"/>
      <c r="D12052" s="209"/>
      <c r="E12052" s="209"/>
      <c r="J12052" s="124"/>
    </row>
    <row r="12053" spans="3:10" x14ac:dyDescent="0.2">
      <c r="C12053" s="209"/>
      <c r="D12053" s="209"/>
      <c r="E12053" s="209"/>
      <c r="J12053" s="124"/>
    </row>
    <row r="12054" spans="3:10" x14ac:dyDescent="0.2">
      <c r="C12054" s="209"/>
      <c r="D12054" s="209"/>
      <c r="E12054" s="209"/>
      <c r="J12054" s="124"/>
    </row>
    <row r="12055" spans="3:10" x14ac:dyDescent="0.2">
      <c r="C12055" s="209"/>
      <c r="D12055" s="209"/>
      <c r="E12055" s="209"/>
      <c r="J12055" s="124"/>
    </row>
    <row r="12056" spans="3:10" x14ac:dyDescent="0.2">
      <c r="C12056" s="209"/>
      <c r="D12056" s="209"/>
      <c r="E12056" s="209"/>
      <c r="J12056" s="124"/>
    </row>
    <row r="12057" spans="3:10" x14ac:dyDescent="0.2">
      <c r="C12057" s="209"/>
      <c r="D12057" s="209"/>
      <c r="E12057" s="209"/>
      <c r="J12057" s="124"/>
    </row>
    <row r="12058" spans="3:10" x14ac:dyDescent="0.2">
      <c r="C12058" s="209"/>
      <c r="D12058" s="209"/>
      <c r="E12058" s="209"/>
      <c r="J12058" s="124"/>
    </row>
    <row r="12059" spans="3:10" x14ac:dyDescent="0.2">
      <c r="C12059" s="209"/>
      <c r="D12059" s="209"/>
      <c r="E12059" s="209"/>
      <c r="J12059" s="124"/>
    </row>
    <row r="12060" spans="3:10" x14ac:dyDescent="0.2">
      <c r="C12060" s="209"/>
      <c r="D12060" s="209"/>
      <c r="E12060" s="209"/>
      <c r="J12060" s="124"/>
    </row>
    <row r="12061" spans="3:10" x14ac:dyDescent="0.2">
      <c r="C12061" s="209"/>
      <c r="D12061" s="209"/>
      <c r="E12061" s="209"/>
      <c r="J12061" s="124"/>
    </row>
    <row r="12062" spans="3:10" x14ac:dyDescent="0.2">
      <c r="C12062" s="209"/>
      <c r="D12062" s="209"/>
      <c r="E12062" s="209"/>
      <c r="J12062" s="124"/>
    </row>
    <row r="12063" spans="3:10" x14ac:dyDescent="0.2">
      <c r="C12063" s="209"/>
      <c r="D12063" s="209"/>
      <c r="E12063" s="209"/>
      <c r="J12063" s="124"/>
    </row>
    <row r="12064" spans="3:10" x14ac:dyDescent="0.2">
      <c r="C12064" s="209"/>
      <c r="D12064" s="209"/>
      <c r="E12064" s="209"/>
      <c r="J12064" s="124"/>
    </row>
    <row r="12065" spans="3:10" x14ac:dyDescent="0.2">
      <c r="C12065" s="209"/>
      <c r="D12065" s="209"/>
      <c r="E12065" s="209"/>
      <c r="J12065" s="124"/>
    </row>
    <row r="12066" spans="3:10" x14ac:dyDescent="0.2">
      <c r="C12066" s="209"/>
      <c r="D12066" s="209"/>
      <c r="E12066" s="209"/>
      <c r="J12066" s="124"/>
    </row>
    <row r="12067" spans="3:10" x14ac:dyDescent="0.2">
      <c r="C12067" s="209"/>
      <c r="D12067" s="209"/>
      <c r="E12067" s="209"/>
      <c r="J12067" s="124"/>
    </row>
    <row r="12068" spans="3:10" x14ac:dyDescent="0.2">
      <c r="C12068" s="209"/>
      <c r="D12068" s="209"/>
      <c r="E12068" s="209"/>
      <c r="J12068" s="124"/>
    </row>
    <row r="12069" spans="3:10" x14ac:dyDescent="0.2">
      <c r="C12069" s="209"/>
      <c r="D12069" s="209"/>
      <c r="E12069" s="209"/>
      <c r="J12069" s="124"/>
    </row>
    <row r="12070" spans="3:10" x14ac:dyDescent="0.2">
      <c r="C12070" s="209"/>
      <c r="D12070" s="209"/>
      <c r="E12070" s="209"/>
      <c r="J12070" s="124"/>
    </row>
    <row r="12071" spans="3:10" x14ac:dyDescent="0.2">
      <c r="C12071" s="209"/>
      <c r="D12071" s="209"/>
      <c r="E12071" s="209"/>
      <c r="J12071" s="124"/>
    </row>
    <row r="12072" spans="3:10" x14ac:dyDescent="0.2">
      <c r="C12072" s="209"/>
      <c r="D12072" s="209"/>
      <c r="E12072" s="209"/>
      <c r="J12072" s="124"/>
    </row>
    <row r="12073" spans="3:10" x14ac:dyDescent="0.2">
      <c r="C12073" s="209"/>
      <c r="D12073" s="209"/>
      <c r="E12073" s="209"/>
      <c r="J12073" s="124"/>
    </row>
    <row r="12074" spans="3:10" x14ac:dyDescent="0.2">
      <c r="C12074" s="209"/>
      <c r="D12074" s="209"/>
      <c r="E12074" s="209"/>
      <c r="J12074" s="124"/>
    </row>
    <row r="12075" spans="3:10" x14ac:dyDescent="0.2">
      <c r="C12075" s="209"/>
      <c r="D12075" s="209"/>
      <c r="E12075" s="209"/>
      <c r="J12075" s="124"/>
    </row>
    <row r="12076" spans="3:10" x14ac:dyDescent="0.2">
      <c r="C12076" s="209"/>
      <c r="D12076" s="209"/>
      <c r="E12076" s="209"/>
      <c r="J12076" s="124"/>
    </row>
    <row r="12077" spans="3:10" x14ac:dyDescent="0.2">
      <c r="C12077" s="209"/>
      <c r="D12077" s="209"/>
      <c r="E12077" s="209"/>
      <c r="J12077" s="124"/>
    </row>
    <row r="12078" spans="3:10" x14ac:dyDescent="0.2">
      <c r="C12078" s="209"/>
      <c r="D12078" s="209"/>
      <c r="E12078" s="209"/>
      <c r="J12078" s="124"/>
    </row>
    <row r="12079" spans="3:10" x14ac:dyDescent="0.2">
      <c r="C12079" s="209"/>
      <c r="D12079" s="209"/>
      <c r="E12079" s="209"/>
      <c r="J12079" s="124"/>
    </row>
    <row r="12080" spans="3:10" x14ac:dyDescent="0.2">
      <c r="C12080" s="209"/>
      <c r="D12080" s="209"/>
      <c r="E12080" s="209"/>
      <c r="J12080" s="124"/>
    </row>
    <row r="12081" spans="3:10" x14ac:dyDescent="0.2">
      <c r="C12081" s="209"/>
      <c r="D12081" s="209"/>
      <c r="E12081" s="209"/>
      <c r="J12081" s="124"/>
    </row>
    <row r="12082" spans="3:10" x14ac:dyDescent="0.2">
      <c r="C12082" s="209"/>
      <c r="D12082" s="209"/>
      <c r="E12082" s="209"/>
      <c r="J12082" s="124"/>
    </row>
    <row r="12083" spans="3:10" x14ac:dyDescent="0.2">
      <c r="C12083" s="209"/>
      <c r="D12083" s="209"/>
      <c r="E12083" s="209"/>
      <c r="J12083" s="124"/>
    </row>
    <row r="12084" spans="3:10" x14ac:dyDescent="0.2">
      <c r="C12084" s="209"/>
      <c r="D12084" s="209"/>
      <c r="E12084" s="209"/>
      <c r="J12084" s="124"/>
    </row>
    <row r="12085" spans="3:10" x14ac:dyDescent="0.2">
      <c r="C12085" s="209"/>
      <c r="D12085" s="209"/>
      <c r="E12085" s="209"/>
      <c r="J12085" s="124"/>
    </row>
    <row r="12086" spans="3:10" x14ac:dyDescent="0.2">
      <c r="C12086" s="209"/>
      <c r="D12086" s="209"/>
      <c r="E12086" s="209"/>
      <c r="J12086" s="124"/>
    </row>
    <row r="12087" spans="3:10" x14ac:dyDescent="0.2">
      <c r="C12087" s="209"/>
      <c r="D12087" s="209"/>
      <c r="E12087" s="209"/>
      <c r="J12087" s="124"/>
    </row>
    <row r="12088" spans="3:10" x14ac:dyDescent="0.2">
      <c r="C12088" s="209"/>
      <c r="D12088" s="209"/>
      <c r="E12088" s="209"/>
      <c r="J12088" s="124"/>
    </row>
    <row r="12089" spans="3:10" x14ac:dyDescent="0.2">
      <c r="C12089" s="209"/>
      <c r="D12089" s="209"/>
      <c r="E12089" s="209"/>
      <c r="J12089" s="124"/>
    </row>
    <row r="12090" spans="3:10" x14ac:dyDescent="0.2">
      <c r="C12090" s="209"/>
      <c r="D12090" s="209"/>
      <c r="E12090" s="209"/>
      <c r="J12090" s="124"/>
    </row>
    <row r="12091" spans="3:10" x14ac:dyDescent="0.2">
      <c r="C12091" s="209"/>
      <c r="D12091" s="209"/>
      <c r="E12091" s="209"/>
      <c r="J12091" s="124"/>
    </row>
    <row r="12092" spans="3:10" x14ac:dyDescent="0.2">
      <c r="C12092" s="209"/>
      <c r="D12092" s="209"/>
      <c r="E12092" s="209"/>
      <c r="J12092" s="124"/>
    </row>
    <row r="12093" spans="3:10" x14ac:dyDescent="0.2">
      <c r="C12093" s="209"/>
      <c r="D12093" s="209"/>
      <c r="E12093" s="209"/>
      <c r="J12093" s="124"/>
    </row>
    <row r="12094" spans="3:10" x14ac:dyDescent="0.2">
      <c r="C12094" s="209"/>
      <c r="D12094" s="209"/>
      <c r="E12094" s="209"/>
      <c r="J12094" s="124"/>
    </row>
    <row r="12095" spans="3:10" x14ac:dyDescent="0.2">
      <c r="C12095" s="209"/>
      <c r="D12095" s="209"/>
      <c r="E12095" s="209"/>
      <c r="J12095" s="124"/>
    </row>
    <row r="12096" spans="3:10" x14ac:dyDescent="0.2">
      <c r="C12096" s="209"/>
      <c r="D12096" s="209"/>
      <c r="E12096" s="209"/>
      <c r="J12096" s="124"/>
    </row>
    <row r="12097" spans="3:10" x14ac:dyDescent="0.2">
      <c r="C12097" s="209"/>
      <c r="D12097" s="209"/>
      <c r="E12097" s="209"/>
      <c r="J12097" s="124"/>
    </row>
    <row r="12098" spans="3:10" x14ac:dyDescent="0.2">
      <c r="C12098" s="209"/>
      <c r="D12098" s="209"/>
      <c r="E12098" s="209"/>
      <c r="J12098" s="124"/>
    </row>
    <row r="12099" spans="3:10" x14ac:dyDescent="0.2">
      <c r="C12099" s="209"/>
      <c r="D12099" s="209"/>
      <c r="E12099" s="209"/>
      <c r="J12099" s="124"/>
    </row>
    <row r="12100" spans="3:10" x14ac:dyDescent="0.2">
      <c r="C12100" s="209"/>
      <c r="D12100" s="209"/>
      <c r="E12100" s="209"/>
      <c r="J12100" s="124"/>
    </row>
    <row r="12101" spans="3:10" x14ac:dyDescent="0.2">
      <c r="C12101" s="209"/>
      <c r="D12101" s="209"/>
      <c r="E12101" s="209"/>
      <c r="J12101" s="124"/>
    </row>
    <row r="12102" spans="3:10" x14ac:dyDescent="0.2">
      <c r="C12102" s="209"/>
      <c r="D12102" s="209"/>
      <c r="E12102" s="209"/>
      <c r="J12102" s="124"/>
    </row>
    <row r="12103" spans="3:10" x14ac:dyDescent="0.2">
      <c r="C12103" s="209"/>
      <c r="D12103" s="209"/>
      <c r="E12103" s="209"/>
      <c r="J12103" s="124"/>
    </row>
    <row r="12104" spans="3:10" x14ac:dyDescent="0.2">
      <c r="C12104" s="209"/>
      <c r="D12104" s="209"/>
      <c r="E12104" s="209"/>
      <c r="J12104" s="124"/>
    </row>
    <row r="12105" spans="3:10" x14ac:dyDescent="0.2">
      <c r="C12105" s="209"/>
      <c r="D12105" s="209"/>
      <c r="E12105" s="209"/>
      <c r="J12105" s="124"/>
    </row>
    <row r="12106" spans="3:10" x14ac:dyDescent="0.2">
      <c r="C12106" s="209"/>
      <c r="D12106" s="209"/>
      <c r="E12106" s="209"/>
      <c r="J12106" s="124"/>
    </row>
    <row r="12107" spans="3:10" x14ac:dyDescent="0.2">
      <c r="C12107" s="209"/>
      <c r="D12107" s="209"/>
      <c r="E12107" s="209"/>
      <c r="J12107" s="124"/>
    </row>
    <row r="12108" spans="3:10" x14ac:dyDescent="0.2">
      <c r="C12108" s="209"/>
      <c r="D12108" s="209"/>
      <c r="E12108" s="209"/>
      <c r="J12108" s="124"/>
    </row>
    <row r="12109" spans="3:10" x14ac:dyDescent="0.2">
      <c r="C12109" s="209"/>
      <c r="D12109" s="209"/>
      <c r="E12109" s="209"/>
      <c r="J12109" s="124"/>
    </row>
    <row r="12110" spans="3:10" x14ac:dyDescent="0.2">
      <c r="C12110" s="209"/>
      <c r="D12110" s="209"/>
      <c r="E12110" s="209"/>
      <c r="J12110" s="124"/>
    </row>
    <row r="12111" spans="3:10" x14ac:dyDescent="0.2">
      <c r="C12111" s="209"/>
      <c r="D12111" s="209"/>
      <c r="E12111" s="209"/>
      <c r="J12111" s="124"/>
    </row>
    <row r="12112" spans="3:10" x14ac:dyDescent="0.2">
      <c r="C12112" s="209"/>
      <c r="D12112" s="209"/>
      <c r="E12112" s="209"/>
      <c r="J12112" s="124"/>
    </row>
    <row r="12113" spans="3:10" x14ac:dyDescent="0.2">
      <c r="C12113" s="209"/>
      <c r="D12113" s="209"/>
      <c r="E12113" s="209"/>
      <c r="J12113" s="124"/>
    </row>
    <row r="12114" spans="3:10" x14ac:dyDescent="0.2">
      <c r="C12114" s="209"/>
      <c r="D12114" s="209"/>
      <c r="E12114" s="209"/>
      <c r="J12114" s="124"/>
    </row>
    <row r="12115" spans="3:10" x14ac:dyDescent="0.2">
      <c r="C12115" s="209"/>
      <c r="D12115" s="209"/>
      <c r="E12115" s="209"/>
      <c r="J12115" s="124"/>
    </row>
    <row r="12116" spans="3:10" x14ac:dyDescent="0.2">
      <c r="C12116" s="209"/>
      <c r="D12116" s="209"/>
      <c r="E12116" s="209"/>
      <c r="J12116" s="124"/>
    </row>
    <row r="12117" spans="3:10" x14ac:dyDescent="0.2">
      <c r="C12117" s="209"/>
      <c r="D12117" s="209"/>
      <c r="E12117" s="209"/>
      <c r="J12117" s="124"/>
    </row>
    <row r="12118" spans="3:10" x14ac:dyDescent="0.2">
      <c r="C12118" s="209"/>
      <c r="D12118" s="209"/>
      <c r="E12118" s="209"/>
      <c r="J12118" s="124"/>
    </row>
    <row r="12119" spans="3:10" x14ac:dyDescent="0.2">
      <c r="C12119" s="209"/>
      <c r="D12119" s="209"/>
      <c r="E12119" s="209"/>
      <c r="J12119" s="124"/>
    </row>
    <row r="12120" spans="3:10" x14ac:dyDescent="0.2">
      <c r="C12120" s="209"/>
      <c r="D12120" s="209"/>
      <c r="E12120" s="209"/>
      <c r="J12120" s="124"/>
    </row>
    <row r="12121" spans="3:10" x14ac:dyDescent="0.2">
      <c r="C12121" s="209"/>
      <c r="D12121" s="209"/>
      <c r="E12121" s="209"/>
      <c r="J12121" s="124"/>
    </row>
    <row r="12122" spans="3:10" x14ac:dyDescent="0.2">
      <c r="C12122" s="209"/>
      <c r="D12122" s="209"/>
      <c r="E12122" s="209"/>
      <c r="J12122" s="124"/>
    </row>
    <row r="12123" spans="3:10" x14ac:dyDescent="0.2">
      <c r="C12123" s="209"/>
      <c r="D12123" s="209"/>
      <c r="E12123" s="209"/>
      <c r="J12123" s="124"/>
    </row>
    <row r="12124" spans="3:10" x14ac:dyDescent="0.2">
      <c r="C12124" s="209"/>
      <c r="D12124" s="209"/>
      <c r="E12124" s="209"/>
      <c r="J12124" s="124"/>
    </row>
    <row r="12125" spans="3:10" x14ac:dyDescent="0.2">
      <c r="C12125" s="209"/>
      <c r="D12125" s="209"/>
      <c r="E12125" s="209"/>
      <c r="J12125" s="124"/>
    </row>
    <row r="12126" spans="3:10" x14ac:dyDescent="0.2">
      <c r="C12126" s="209"/>
      <c r="D12126" s="209"/>
      <c r="E12126" s="209"/>
      <c r="J12126" s="124"/>
    </row>
    <row r="12127" spans="3:10" x14ac:dyDescent="0.2">
      <c r="C12127" s="209"/>
      <c r="D12127" s="209"/>
      <c r="E12127" s="209"/>
      <c r="J12127" s="124"/>
    </row>
    <row r="12128" spans="3:10" x14ac:dyDescent="0.2">
      <c r="C12128" s="209"/>
      <c r="D12128" s="209"/>
      <c r="E12128" s="209"/>
      <c r="J12128" s="124"/>
    </row>
    <row r="12129" spans="3:10" x14ac:dyDescent="0.2">
      <c r="C12129" s="209"/>
      <c r="D12129" s="209"/>
      <c r="E12129" s="209"/>
      <c r="J12129" s="124"/>
    </row>
    <row r="12130" spans="3:10" x14ac:dyDescent="0.2">
      <c r="C12130" s="209"/>
      <c r="D12130" s="209"/>
      <c r="E12130" s="209"/>
      <c r="J12130" s="124"/>
    </row>
    <row r="12131" spans="3:10" x14ac:dyDescent="0.2">
      <c r="C12131" s="209"/>
      <c r="D12131" s="209"/>
      <c r="E12131" s="209"/>
      <c r="J12131" s="124"/>
    </row>
    <row r="12132" spans="3:10" x14ac:dyDescent="0.2">
      <c r="C12132" s="209"/>
      <c r="D12132" s="209"/>
      <c r="E12132" s="209"/>
      <c r="J12132" s="124"/>
    </row>
    <row r="12133" spans="3:10" x14ac:dyDescent="0.2">
      <c r="C12133" s="209"/>
      <c r="D12133" s="209"/>
      <c r="E12133" s="209"/>
      <c r="J12133" s="124"/>
    </row>
    <row r="12134" spans="3:10" x14ac:dyDescent="0.2">
      <c r="C12134" s="209"/>
      <c r="D12134" s="209"/>
      <c r="E12134" s="209"/>
      <c r="J12134" s="124"/>
    </row>
    <row r="12135" spans="3:10" x14ac:dyDescent="0.2">
      <c r="C12135" s="209"/>
      <c r="D12135" s="209"/>
      <c r="E12135" s="209"/>
      <c r="J12135" s="124"/>
    </row>
    <row r="12136" spans="3:10" x14ac:dyDescent="0.2">
      <c r="C12136" s="209"/>
      <c r="D12136" s="209"/>
      <c r="E12136" s="209"/>
      <c r="J12136" s="124"/>
    </row>
    <row r="12137" spans="3:10" x14ac:dyDescent="0.2">
      <c r="C12137" s="209"/>
      <c r="D12137" s="209"/>
      <c r="E12137" s="209"/>
      <c r="J12137" s="124"/>
    </row>
    <row r="12138" spans="3:10" x14ac:dyDescent="0.2">
      <c r="C12138" s="209"/>
      <c r="D12138" s="209"/>
      <c r="E12138" s="209"/>
      <c r="J12138" s="124"/>
    </row>
    <row r="12139" spans="3:10" x14ac:dyDescent="0.2">
      <c r="C12139" s="209"/>
      <c r="D12139" s="209"/>
      <c r="E12139" s="209"/>
      <c r="J12139" s="124"/>
    </row>
    <row r="12140" spans="3:10" x14ac:dyDescent="0.2">
      <c r="C12140" s="209"/>
      <c r="D12140" s="209"/>
      <c r="E12140" s="209"/>
      <c r="J12140" s="124"/>
    </row>
    <row r="12141" spans="3:10" x14ac:dyDescent="0.2">
      <c r="C12141" s="209"/>
      <c r="D12141" s="209"/>
      <c r="E12141" s="209"/>
      <c r="J12141" s="124"/>
    </row>
    <row r="12142" spans="3:10" x14ac:dyDescent="0.2">
      <c r="C12142" s="209"/>
      <c r="D12142" s="209"/>
      <c r="E12142" s="209"/>
      <c r="J12142" s="124"/>
    </row>
    <row r="12143" spans="3:10" x14ac:dyDescent="0.2">
      <c r="C12143" s="209"/>
      <c r="D12143" s="209"/>
      <c r="E12143" s="209"/>
      <c r="J12143" s="124"/>
    </row>
    <row r="12144" spans="3:10" x14ac:dyDescent="0.2">
      <c r="C12144" s="209"/>
      <c r="D12144" s="209"/>
      <c r="E12144" s="209"/>
      <c r="J12144" s="124"/>
    </row>
    <row r="12145" spans="3:10" x14ac:dyDescent="0.2">
      <c r="C12145" s="209"/>
      <c r="D12145" s="209"/>
      <c r="E12145" s="209"/>
      <c r="J12145" s="124"/>
    </row>
    <row r="12146" spans="3:10" x14ac:dyDescent="0.2">
      <c r="C12146" s="209"/>
      <c r="D12146" s="209"/>
      <c r="E12146" s="209"/>
      <c r="J12146" s="124"/>
    </row>
    <row r="12147" spans="3:10" x14ac:dyDescent="0.2">
      <c r="C12147" s="209"/>
      <c r="D12147" s="209"/>
      <c r="E12147" s="209"/>
      <c r="J12147" s="124"/>
    </row>
    <row r="12148" spans="3:10" x14ac:dyDescent="0.2">
      <c r="C12148" s="209"/>
      <c r="D12148" s="209"/>
      <c r="E12148" s="209"/>
      <c r="J12148" s="124"/>
    </row>
    <row r="12149" spans="3:10" x14ac:dyDescent="0.2">
      <c r="C12149" s="209"/>
      <c r="D12149" s="209"/>
      <c r="E12149" s="209"/>
      <c r="J12149" s="124"/>
    </row>
    <row r="12150" spans="3:10" x14ac:dyDescent="0.2">
      <c r="C12150" s="209"/>
      <c r="D12150" s="209"/>
      <c r="E12150" s="209"/>
      <c r="J12150" s="124"/>
    </row>
    <row r="12151" spans="3:10" x14ac:dyDescent="0.2">
      <c r="C12151" s="209"/>
      <c r="D12151" s="209"/>
      <c r="E12151" s="209"/>
      <c r="J12151" s="124"/>
    </row>
    <row r="12152" spans="3:10" x14ac:dyDescent="0.2">
      <c r="C12152" s="209"/>
      <c r="D12152" s="209"/>
      <c r="E12152" s="209"/>
      <c r="J12152" s="124"/>
    </row>
    <row r="12153" spans="3:10" x14ac:dyDescent="0.2">
      <c r="C12153" s="209"/>
      <c r="D12153" s="209"/>
      <c r="E12153" s="209"/>
      <c r="J12153" s="124"/>
    </row>
    <row r="12154" spans="3:10" x14ac:dyDescent="0.2">
      <c r="C12154" s="209"/>
      <c r="D12154" s="209"/>
      <c r="E12154" s="209"/>
      <c r="J12154" s="124"/>
    </row>
    <row r="12155" spans="3:10" x14ac:dyDescent="0.2">
      <c r="C12155" s="209"/>
      <c r="D12155" s="209"/>
      <c r="E12155" s="209"/>
      <c r="J12155" s="124"/>
    </row>
    <row r="12156" spans="3:10" x14ac:dyDescent="0.2">
      <c r="C12156" s="209"/>
      <c r="D12156" s="209"/>
      <c r="E12156" s="209"/>
      <c r="J12156" s="124"/>
    </row>
    <row r="12157" spans="3:10" x14ac:dyDescent="0.2">
      <c r="C12157" s="209"/>
      <c r="D12157" s="209"/>
      <c r="E12157" s="209"/>
      <c r="J12157" s="124"/>
    </row>
    <row r="12158" spans="3:10" x14ac:dyDescent="0.2">
      <c r="C12158" s="209"/>
      <c r="D12158" s="209"/>
      <c r="E12158" s="209"/>
      <c r="J12158" s="124"/>
    </row>
    <row r="12159" spans="3:10" x14ac:dyDescent="0.2">
      <c r="C12159" s="209"/>
      <c r="D12159" s="209"/>
      <c r="E12159" s="209"/>
      <c r="J12159" s="124"/>
    </row>
    <row r="12160" spans="3:10" x14ac:dyDescent="0.2">
      <c r="C12160" s="209"/>
      <c r="D12160" s="209"/>
      <c r="E12160" s="209"/>
      <c r="J12160" s="124"/>
    </row>
    <row r="12161" spans="3:10" x14ac:dyDescent="0.2">
      <c r="C12161" s="209"/>
      <c r="D12161" s="209"/>
      <c r="E12161" s="209"/>
      <c r="J12161" s="124"/>
    </row>
    <row r="12162" spans="3:10" x14ac:dyDescent="0.2">
      <c r="C12162" s="209"/>
      <c r="D12162" s="209"/>
      <c r="E12162" s="209"/>
      <c r="J12162" s="124"/>
    </row>
    <row r="12163" spans="3:10" x14ac:dyDescent="0.2">
      <c r="C12163" s="209"/>
      <c r="D12163" s="209"/>
      <c r="E12163" s="209"/>
      <c r="J12163" s="124"/>
    </row>
    <row r="12164" spans="3:10" x14ac:dyDescent="0.2">
      <c r="C12164" s="209"/>
      <c r="D12164" s="209"/>
      <c r="E12164" s="209"/>
      <c r="J12164" s="124"/>
    </row>
    <row r="12165" spans="3:10" x14ac:dyDescent="0.2">
      <c r="C12165" s="209"/>
      <c r="D12165" s="209"/>
      <c r="E12165" s="209"/>
      <c r="J12165" s="124"/>
    </row>
    <row r="12166" spans="3:10" x14ac:dyDescent="0.2">
      <c r="C12166" s="209"/>
      <c r="D12166" s="209"/>
      <c r="E12166" s="209"/>
      <c r="J12166" s="124"/>
    </row>
    <row r="12167" spans="3:10" x14ac:dyDescent="0.2">
      <c r="C12167" s="209"/>
      <c r="D12167" s="209"/>
      <c r="E12167" s="209"/>
      <c r="J12167" s="124"/>
    </row>
    <row r="12168" spans="3:10" x14ac:dyDescent="0.2">
      <c r="C12168" s="209"/>
      <c r="D12168" s="209"/>
      <c r="E12168" s="209"/>
      <c r="J12168" s="124"/>
    </row>
    <row r="12169" spans="3:10" x14ac:dyDescent="0.2">
      <c r="C12169" s="209"/>
      <c r="D12169" s="209"/>
      <c r="E12169" s="209"/>
      <c r="J12169" s="124"/>
    </row>
    <row r="12170" spans="3:10" x14ac:dyDescent="0.2">
      <c r="C12170" s="209"/>
      <c r="D12170" s="209"/>
      <c r="E12170" s="209"/>
      <c r="J12170" s="124"/>
    </row>
    <row r="12171" spans="3:10" x14ac:dyDescent="0.2">
      <c r="C12171" s="209"/>
      <c r="D12171" s="209"/>
      <c r="E12171" s="209"/>
      <c r="J12171" s="124"/>
    </row>
    <row r="12172" spans="3:10" x14ac:dyDescent="0.2">
      <c r="C12172" s="209"/>
      <c r="D12172" s="209"/>
      <c r="E12172" s="209"/>
      <c r="J12172" s="124"/>
    </row>
    <row r="12173" spans="3:10" x14ac:dyDescent="0.2">
      <c r="C12173" s="209"/>
      <c r="D12173" s="209"/>
      <c r="E12173" s="209"/>
      <c r="J12173" s="124"/>
    </row>
    <row r="12174" spans="3:10" x14ac:dyDescent="0.2">
      <c r="C12174" s="209"/>
      <c r="D12174" s="209"/>
      <c r="E12174" s="209"/>
      <c r="J12174" s="124"/>
    </row>
    <row r="12175" spans="3:10" x14ac:dyDescent="0.2">
      <c r="C12175" s="209"/>
      <c r="D12175" s="209"/>
      <c r="E12175" s="209"/>
      <c r="J12175" s="124"/>
    </row>
    <row r="12176" spans="3:10" x14ac:dyDescent="0.2">
      <c r="C12176" s="209"/>
      <c r="D12176" s="209"/>
      <c r="E12176" s="209"/>
      <c r="J12176" s="124"/>
    </row>
    <row r="12177" spans="3:10" x14ac:dyDescent="0.2">
      <c r="C12177" s="209"/>
      <c r="D12177" s="209"/>
      <c r="E12177" s="209"/>
      <c r="J12177" s="124"/>
    </row>
    <row r="12178" spans="3:10" x14ac:dyDescent="0.2">
      <c r="C12178" s="209"/>
      <c r="D12178" s="209"/>
      <c r="E12178" s="209"/>
      <c r="J12178" s="124"/>
    </row>
    <row r="12179" spans="3:10" x14ac:dyDescent="0.2">
      <c r="C12179" s="209"/>
      <c r="D12179" s="209"/>
      <c r="E12179" s="209"/>
      <c r="J12179" s="124"/>
    </row>
    <row r="12180" spans="3:10" x14ac:dyDescent="0.2">
      <c r="C12180" s="209"/>
      <c r="D12180" s="209"/>
      <c r="E12180" s="209"/>
      <c r="J12180" s="124"/>
    </row>
    <row r="12181" spans="3:10" x14ac:dyDescent="0.2">
      <c r="C12181" s="209"/>
      <c r="D12181" s="209"/>
      <c r="E12181" s="209"/>
      <c r="J12181" s="124"/>
    </row>
    <row r="12182" spans="3:10" x14ac:dyDescent="0.2">
      <c r="C12182" s="209"/>
      <c r="D12182" s="209"/>
      <c r="E12182" s="209"/>
      <c r="J12182" s="124"/>
    </row>
    <row r="12183" spans="3:10" x14ac:dyDescent="0.2">
      <c r="C12183" s="209"/>
      <c r="D12183" s="209"/>
      <c r="E12183" s="209"/>
      <c r="J12183" s="124"/>
    </row>
    <row r="12184" spans="3:10" x14ac:dyDescent="0.2">
      <c r="C12184" s="209"/>
      <c r="D12184" s="209"/>
      <c r="E12184" s="209"/>
      <c r="J12184" s="124"/>
    </row>
    <row r="12185" spans="3:10" x14ac:dyDescent="0.2">
      <c r="C12185" s="209"/>
      <c r="D12185" s="209"/>
      <c r="E12185" s="209"/>
      <c r="J12185" s="124"/>
    </row>
    <row r="12186" spans="3:10" x14ac:dyDescent="0.2">
      <c r="C12186" s="209"/>
      <c r="D12186" s="209"/>
      <c r="E12186" s="209"/>
      <c r="J12186" s="124"/>
    </row>
    <row r="12187" spans="3:10" x14ac:dyDescent="0.2">
      <c r="C12187" s="209"/>
      <c r="D12187" s="209"/>
      <c r="E12187" s="209"/>
      <c r="J12187" s="124"/>
    </row>
    <row r="12188" spans="3:10" x14ac:dyDescent="0.2">
      <c r="C12188" s="209"/>
      <c r="D12188" s="209"/>
      <c r="E12188" s="209"/>
      <c r="J12188" s="124"/>
    </row>
    <row r="12189" spans="3:10" x14ac:dyDescent="0.2">
      <c r="C12189" s="209"/>
      <c r="D12189" s="209"/>
      <c r="E12189" s="209"/>
      <c r="J12189" s="124"/>
    </row>
    <row r="12190" spans="3:10" x14ac:dyDescent="0.2">
      <c r="C12190" s="209"/>
      <c r="D12190" s="209"/>
      <c r="E12190" s="209"/>
      <c r="J12190" s="124"/>
    </row>
    <row r="12191" spans="3:10" x14ac:dyDescent="0.2">
      <c r="C12191" s="209"/>
      <c r="D12191" s="209"/>
      <c r="E12191" s="209"/>
      <c r="J12191" s="124"/>
    </row>
    <row r="12192" spans="3:10" x14ac:dyDescent="0.2">
      <c r="C12192" s="209"/>
      <c r="D12192" s="209"/>
      <c r="E12192" s="209"/>
      <c r="J12192" s="124"/>
    </row>
    <row r="12193" spans="3:10" x14ac:dyDescent="0.2">
      <c r="C12193" s="209"/>
      <c r="D12193" s="209"/>
      <c r="E12193" s="209"/>
      <c r="J12193" s="124"/>
    </row>
    <row r="12194" spans="3:10" x14ac:dyDescent="0.2">
      <c r="C12194" s="209"/>
      <c r="D12194" s="209"/>
      <c r="E12194" s="209"/>
      <c r="J12194" s="124"/>
    </row>
    <row r="12195" spans="3:10" x14ac:dyDescent="0.2">
      <c r="C12195" s="209"/>
      <c r="D12195" s="209"/>
      <c r="E12195" s="209"/>
      <c r="J12195" s="124"/>
    </row>
    <row r="12196" spans="3:10" x14ac:dyDescent="0.2">
      <c r="C12196" s="209"/>
      <c r="D12196" s="209"/>
      <c r="E12196" s="209"/>
      <c r="J12196" s="124"/>
    </row>
    <row r="12197" spans="3:10" x14ac:dyDescent="0.2">
      <c r="C12197" s="209"/>
      <c r="D12197" s="209"/>
      <c r="E12197" s="209"/>
      <c r="J12197" s="124"/>
    </row>
    <row r="12198" spans="3:10" x14ac:dyDescent="0.2">
      <c r="C12198" s="209"/>
      <c r="D12198" s="209"/>
      <c r="E12198" s="209"/>
      <c r="J12198" s="124"/>
    </row>
    <row r="12199" spans="3:10" x14ac:dyDescent="0.2">
      <c r="C12199" s="209"/>
      <c r="D12199" s="209"/>
      <c r="E12199" s="209"/>
      <c r="J12199" s="124"/>
    </row>
    <row r="12200" spans="3:10" x14ac:dyDescent="0.2">
      <c r="C12200" s="209"/>
      <c r="D12200" s="209"/>
      <c r="E12200" s="209"/>
      <c r="J12200" s="124"/>
    </row>
    <row r="12201" spans="3:10" x14ac:dyDescent="0.2">
      <c r="C12201" s="209"/>
      <c r="D12201" s="209"/>
      <c r="E12201" s="209"/>
      <c r="J12201" s="124"/>
    </row>
    <row r="12202" spans="3:10" x14ac:dyDescent="0.2">
      <c r="C12202" s="209"/>
      <c r="D12202" s="209"/>
      <c r="E12202" s="209"/>
      <c r="J12202" s="124"/>
    </row>
    <row r="12203" spans="3:10" x14ac:dyDescent="0.2">
      <c r="C12203" s="209"/>
      <c r="D12203" s="209"/>
      <c r="E12203" s="209"/>
      <c r="J12203" s="124"/>
    </row>
    <row r="12204" spans="3:10" x14ac:dyDescent="0.2">
      <c r="C12204" s="209"/>
      <c r="D12204" s="209"/>
      <c r="E12204" s="209"/>
      <c r="J12204" s="124"/>
    </row>
    <row r="12205" spans="3:10" x14ac:dyDescent="0.2">
      <c r="C12205" s="209"/>
      <c r="D12205" s="209"/>
      <c r="E12205" s="209"/>
      <c r="J12205" s="124"/>
    </row>
    <row r="12206" spans="3:10" x14ac:dyDescent="0.2">
      <c r="C12206" s="209"/>
      <c r="D12206" s="209"/>
      <c r="E12206" s="209"/>
      <c r="J12206" s="124"/>
    </row>
    <row r="12207" spans="3:10" x14ac:dyDescent="0.2">
      <c r="C12207" s="209"/>
      <c r="D12207" s="209"/>
      <c r="E12207" s="209"/>
      <c r="J12207" s="124"/>
    </row>
    <row r="12208" spans="3:10" x14ac:dyDescent="0.2">
      <c r="C12208" s="209"/>
      <c r="D12208" s="209"/>
      <c r="E12208" s="209"/>
      <c r="J12208" s="124"/>
    </row>
    <row r="12209" spans="3:10" x14ac:dyDescent="0.2">
      <c r="C12209" s="209"/>
      <c r="D12209" s="209"/>
      <c r="E12209" s="209"/>
      <c r="J12209" s="124"/>
    </row>
    <row r="12210" spans="3:10" x14ac:dyDescent="0.2">
      <c r="C12210" s="209"/>
      <c r="D12210" s="209"/>
      <c r="E12210" s="209"/>
      <c r="J12210" s="124"/>
    </row>
    <row r="12211" spans="3:10" x14ac:dyDescent="0.2">
      <c r="C12211" s="209"/>
      <c r="D12211" s="209"/>
      <c r="E12211" s="209"/>
      <c r="J12211" s="124"/>
    </row>
    <row r="12212" spans="3:10" x14ac:dyDescent="0.2">
      <c r="C12212" s="209"/>
      <c r="D12212" s="209"/>
      <c r="E12212" s="209"/>
      <c r="J12212" s="124"/>
    </row>
    <row r="12213" spans="3:10" x14ac:dyDescent="0.2">
      <c r="C12213" s="209"/>
      <c r="D12213" s="209"/>
      <c r="E12213" s="209"/>
      <c r="J12213" s="124"/>
    </row>
    <row r="12214" spans="3:10" x14ac:dyDescent="0.2">
      <c r="C12214" s="209"/>
      <c r="D12214" s="209"/>
      <c r="E12214" s="209"/>
      <c r="J12214" s="124"/>
    </row>
    <row r="12215" spans="3:10" x14ac:dyDescent="0.2">
      <c r="C12215" s="209"/>
      <c r="D12215" s="209"/>
      <c r="E12215" s="209"/>
      <c r="J12215" s="124"/>
    </row>
    <row r="12216" spans="3:10" x14ac:dyDescent="0.2">
      <c r="C12216" s="209"/>
      <c r="D12216" s="209"/>
      <c r="E12216" s="209"/>
      <c r="J12216" s="124"/>
    </row>
    <row r="12217" spans="3:10" x14ac:dyDescent="0.2">
      <c r="C12217" s="209"/>
      <c r="D12217" s="209"/>
      <c r="E12217" s="209"/>
      <c r="J12217" s="124"/>
    </row>
    <row r="12218" spans="3:10" x14ac:dyDescent="0.2">
      <c r="C12218" s="209"/>
      <c r="D12218" s="209"/>
      <c r="E12218" s="209"/>
      <c r="J12218" s="124"/>
    </row>
    <row r="12219" spans="3:10" x14ac:dyDescent="0.2">
      <c r="C12219" s="209"/>
      <c r="D12219" s="209"/>
      <c r="E12219" s="209"/>
      <c r="J12219" s="124"/>
    </row>
    <row r="12220" spans="3:10" x14ac:dyDescent="0.2">
      <c r="C12220" s="209"/>
      <c r="D12220" s="209"/>
      <c r="E12220" s="209"/>
      <c r="J12220" s="124"/>
    </row>
    <row r="12221" spans="3:10" x14ac:dyDescent="0.2">
      <c r="C12221" s="209"/>
      <c r="D12221" s="209"/>
      <c r="E12221" s="209"/>
      <c r="J12221" s="124"/>
    </row>
    <row r="12222" spans="3:10" x14ac:dyDescent="0.2">
      <c r="C12222" s="209"/>
      <c r="D12222" s="209"/>
      <c r="E12222" s="209"/>
      <c r="J12222" s="124"/>
    </row>
    <row r="12223" spans="3:10" x14ac:dyDescent="0.2">
      <c r="C12223" s="209"/>
      <c r="D12223" s="209"/>
      <c r="E12223" s="209"/>
      <c r="J12223" s="124"/>
    </row>
    <row r="12224" spans="3:10" x14ac:dyDescent="0.2">
      <c r="C12224" s="209"/>
      <c r="D12224" s="209"/>
      <c r="E12224" s="209"/>
      <c r="J12224" s="124"/>
    </row>
    <row r="12225" spans="3:10" x14ac:dyDescent="0.2">
      <c r="C12225" s="209"/>
      <c r="D12225" s="209"/>
      <c r="E12225" s="209"/>
      <c r="J12225" s="124"/>
    </row>
    <row r="12226" spans="3:10" x14ac:dyDescent="0.2">
      <c r="C12226" s="209"/>
      <c r="D12226" s="209"/>
      <c r="E12226" s="209"/>
      <c r="J12226" s="124"/>
    </row>
    <row r="12227" spans="3:10" x14ac:dyDescent="0.2">
      <c r="C12227" s="209"/>
      <c r="D12227" s="209"/>
      <c r="E12227" s="209"/>
      <c r="J12227" s="124"/>
    </row>
    <row r="12228" spans="3:10" x14ac:dyDescent="0.2">
      <c r="C12228" s="209"/>
      <c r="D12228" s="209"/>
      <c r="E12228" s="209"/>
      <c r="J12228" s="124"/>
    </row>
    <row r="12229" spans="3:10" x14ac:dyDescent="0.2">
      <c r="C12229" s="209"/>
      <c r="D12229" s="209"/>
      <c r="E12229" s="209"/>
      <c r="J12229" s="124"/>
    </row>
    <row r="12230" spans="3:10" x14ac:dyDescent="0.2">
      <c r="C12230" s="209"/>
      <c r="D12230" s="209"/>
      <c r="E12230" s="209"/>
      <c r="J12230" s="124"/>
    </row>
    <row r="12231" spans="3:10" x14ac:dyDescent="0.2">
      <c r="C12231" s="209"/>
      <c r="D12231" s="209"/>
      <c r="E12231" s="209"/>
      <c r="J12231" s="124"/>
    </row>
    <row r="12232" spans="3:10" x14ac:dyDescent="0.2">
      <c r="C12232" s="209"/>
      <c r="D12232" s="209"/>
      <c r="E12232" s="209"/>
      <c r="J12232" s="124"/>
    </row>
    <row r="12233" spans="3:10" x14ac:dyDescent="0.2">
      <c r="C12233" s="209"/>
      <c r="D12233" s="209"/>
      <c r="E12233" s="209"/>
      <c r="J12233" s="124"/>
    </row>
    <row r="12234" spans="3:10" x14ac:dyDescent="0.2">
      <c r="C12234" s="209"/>
      <c r="D12234" s="209"/>
      <c r="E12234" s="209"/>
      <c r="J12234" s="124"/>
    </row>
    <row r="12235" spans="3:10" x14ac:dyDescent="0.2">
      <c r="C12235" s="209"/>
      <c r="D12235" s="209"/>
      <c r="E12235" s="209"/>
      <c r="J12235" s="124"/>
    </row>
    <row r="12236" spans="3:10" x14ac:dyDescent="0.2">
      <c r="C12236" s="209"/>
      <c r="D12236" s="209"/>
      <c r="E12236" s="209"/>
      <c r="J12236" s="124"/>
    </row>
    <row r="12237" spans="3:10" x14ac:dyDescent="0.2">
      <c r="C12237" s="209"/>
      <c r="D12237" s="209"/>
      <c r="E12237" s="209"/>
      <c r="J12237" s="124"/>
    </row>
    <row r="12238" spans="3:10" x14ac:dyDescent="0.2">
      <c r="C12238" s="209"/>
      <c r="D12238" s="209"/>
      <c r="E12238" s="209"/>
      <c r="J12238" s="124"/>
    </row>
    <row r="12239" spans="3:10" x14ac:dyDescent="0.2">
      <c r="C12239" s="209"/>
      <c r="D12239" s="209"/>
      <c r="E12239" s="209"/>
      <c r="J12239" s="124"/>
    </row>
    <row r="12240" spans="3:10" x14ac:dyDescent="0.2">
      <c r="C12240" s="209"/>
      <c r="D12240" s="209"/>
      <c r="E12240" s="209"/>
      <c r="J12240" s="124"/>
    </row>
    <row r="12241" spans="3:10" x14ac:dyDescent="0.2">
      <c r="C12241" s="209"/>
      <c r="D12241" s="209"/>
      <c r="E12241" s="209"/>
      <c r="J12241" s="124"/>
    </row>
    <row r="12242" spans="3:10" x14ac:dyDescent="0.2">
      <c r="C12242" s="209"/>
      <c r="D12242" s="209"/>
      <c r="E12242" s="209"/>
      <c r="J12242" s="124"/>
    </row>
    <row r="12243" spans="3:10" x14ac:dyDescent="0.2">
      <c r="C12243" s="209"/>
      <c r="D12243" s="209"/>
      <c r="E12243" s="209"/>
      <c r="J12243" s="124"/>
    </row>
    <row r="12244" spans="3:10" x14ac:dyDescent="0.2">
      <c r="C12244" s="209"/>
      <c r="D12244" s="209"/>
      <c r="E12244" s="209"/>
      <c r="J12244" s="124"/>
    </row>
    <row r="12245" spans="3:10" x14ac:dyDescent="0.2">
      <c r="C12245" s="209"/>
      <c r="D12245" s="209"/>
      <c r="E12245" s="209"/>
      <c r="J12245" s="124"/>
    </row>
    <row r="12246" spans="3:10" x14ac:dyDescent="0.2">
      <c r="C12246" s="209"/>
      <c r="D12246" s="209"/>
      <c r="E12246" s="209"/>
      <c r="J12246" s="124"/>
    </row>
    <row r="12247" spans="3:10" x14ac:dyDescent="0.2">
      <c r="C12247" s="209"/>
      <c r="D12247" s="209"/>
      <c r="E12247" s="209"/>
      <c r="J12247" s="124"/>
    </row>
    <row r="12248" spans="3:10" x14ac:dyDescent="0.2">
      <c r="C12248" s="209"/>
      <c r="D12248" s="209"/>
      <c r="E12248" s="209"/>
      <c r="J12248" s="124"/>
    </row>
    <row r="12249" spans="3:10" x14ac:dyDescent="0.2">
      <c r="C12249" s="209"/>
      <c r="D12249" s="209"/>
      <c r="E12249" s="209"/>
      <c r="J12249" s="124"/>
    </row>
    <row r="12250" spans="3:10" x14ac:dyDescent="0.2">
      <c r="C12250" s="209"/>
      <c r="D12250" s="209"/>
      <c r="E12250" s="209"/>
      <c r="J12250" s="124"/>
    </row>
    <row r="12251" spans="3:10" x14ac:dyDescent="0.2">
      <c r="C12251" s="209"/>
      <c r="D12251" s="209"/>
      <c r="E12251" s="209"/>
      <c r="J12251" s="124"/>
    </row>
    <row r="12252" spans="3:10" x14ac:dyDescent="0.2">
      <c r="C12252" s="209"/>
      <c r="D12252" s="209"/>
      <c r="E12252" s="209"/>
      <c r="J12252" s="124"/>
    </row>
    <row r="12253" spans="3:10" x14ac:dyDescent="0.2">
      <c r="C12253" s="209"/>
      <c r="D12253" s="209"/>
      <c r="E12253" s="209"/>
      <c r="J12253" s="124"/>
    </row>
    <row r="12254" spans="3:10" x14ac:dyDescent="0.2">
      <c r="C12254" s="209"/>
      <c r="D12254" s="209"/>
      <c r="E12254" s="209"/>
      <c r="J12254" s="124"/>
    </row>
    <row r="12255" spans="3:10" x14ac:dyDescent="0.2">
      <c r="C12255" s="209"/>
      <c r="D12255" s="209"/>
      <c r="E12255" s="209"/>
      <c r="J12255" s="124"/>
    </row>
    <row r="12256" spans="3:10" x14ac:dyDescent="0.2">
      <c r="C12256" s="209"/>
      <c r="D12256" s="209"/>
      <c r="E12256" s="209"/>
      <c r="J12256" s="124"/>
    </row>
    <row r="12257" spans="3:10" x14ac:dyDescent="0.2">
      <c r="C12257" s="209"/>
      <c r="D12257" s="209"/>
      <c r="E12257" s="209"/>
      <c r="J12257" s="124"/>
    </row>
    <row r="12258" spans="3:10" x14ac:dyDescent="0.2">
      <c r="C12258" s="209"/>
      <c r="D12258" s="209"/>
      <c r="E12258" s="209"/>
      <c r="J12258" s="124"/>
    </row>
    <row r="12259" spans="3:10" x14ac:dyDescent="0.2">
      <c r="C12259" s="209"/>
      <c r="D12259" s="209"/>
      <c r="E12259" s="209"/>
      <c r="J12259" s="124"/>
    </row>
    <row r="12260" spans="3:10" x14ac:dyDescent="0.2">
      <c r="C12260" s="209"/>
      <c r="D12260" s="209"/>
      <c r="E12260" s="209"/>
      <c r="J12260" s="124"/>
    </row>
    <row r="12261" spans="3:10" x14ac:dyDescent="0.2">
      <c r="C12261" s="209"/>
      <c r="D12261" s="209"/>
      <c r="E12261" s="209"/>
      <c r="J12261" s="124"/>
    </row>
    <row r="12262" spans="3:10" x14ac:dyDescent="0.2">
      <c r="C12262" s="209"/>
      <c r="D12262" s="209"/>
      <c r="E12262" s="209"/>
      <c r="J12262" s="124"/>
    </row>
    <row r="12263" spans="3:10" x14ac:dyDescent="0.2">
      <c r="C12263" s="209"/>
      <c r="D12263" s="209"/>
      <c r="E12263" s="209"/>
      <c r="J12263" s="124"/>
    </row>
    <row r="12264" spans="3:10" x14ac:dyDescent="0.2">
      <c r="C12264" s="209"/>
      <c r="D12264" s="209"/>
      <c r="E12264" s="209"/>
      <c r="J12264" s="124"/>
    </row>
    <row r="12265" spans="3:10" x14ac:dyDescent="0.2">
      <c r="C12265" s="209"/>
      <c r="D12265" s="209"/>
      <c r="E12265" s="209"/>
      <c r="J12265" s="124"/>
    </row>
    <row r="12266" spans="3:10" x14ac:dyDescent="0.2">
      <c r="C12266" s="209"/>
      <c r="D12266" s="209"/>
      <c r="E12266" s="209"/>
      <c r="J12266" s="124"/>
    </row>
    <row r="12267" spans="3:10" x14ac:dyDescent="0.2">
      <c r="C12267" s="209"/>
      <c r="D12267" s="209"/>
      <c r="E12267" s="209"/>
      <c r="J12267" s="124"/>
    </row>
    <row r="12268" spans="3:10" x14ac:dyDescent="0.2">
      <c r="C12268" s="209"/>
      <c r="D12268" s="209"/>
      <c r="E12268" s="209"/>
      <c r="J12268" s="124"/>
    </row>
    <row r="12269" spans="3:10" x14ac:dyDescent="0.2">
      <c r="C12269" s="209"/>
      <c r="D12269" s="209"/>
      <c r="E12269" s="209"/>
      <c r="J12269" s="124"/>
    </row>
    <row r="12270" spans="3:10" x14ac:dyDescent="0.2">
      <c r="C12270" s="209"/>
      <c r="D12270" s="209"/>
      <c r="E12270" s="209"/>
      <c r="J12270" s="124"/>
    </row>
    <row r="12271" spans="3:10" x14ac:dyDescent="0.2">
      <c r="C12271" s="209"/>
      <c r="D12271" s="209"/>
      <c r="E12271" s="209"/>
      <c r="J12271" s="124"/>
    </row>
    <row r="12272" spans="3:10" x14ac:dyDescent="0.2">
      <c r="C12272" s="209"/>
      <c r="D12272" s="209"/>
      <c r="E12272" s="209"/>
      <c r="J12272" s="124"/>
    </row>
    <row r="12273" spans="3:10" x14ac:dyDescent="0.2">
      <c r="C12273" s="209"/>
      <c r="D12273" s="209"/>
      <c r="E12273" s="209"/>
      <c r="J12273" s="124"/>
    </row>
    <row r="12274" spans="3:10" x14ac:dyDescent="0.2">
      <c r="C12274" s="209"/>
      <c r="D12274" s="209"/>
      <c r="E12274" s="209"/>
      <c r="J12274" s="124"/>
    </row>
    <row r="12275" spans="3:10" x14ac:dyDescent="0.2">
      <c r="C12275" s="209"/>
      <c r="D12275" s="209"/>
      <c r="E12275" s="209"/>
      <c r="J12275" s="124"/>
    </row>
    <row r="12276" spans="3:10" x14ac:dyDescent="0.2">
      <c r="C12276" s="209"/>
      <c r="D12276" s="209"/>
      <c r="E12276" s="209"/>
      <c r="J12276" s="124"/>
    </row>
    <row r="12277" spans="3:10" x14ac:dyDescent="0.2">
      <c r="C12277" s="209"/>
      <c r="D12277" s="209"/>
      <c r="E12277" s="209"/>
      <c r="J12277" s="124"/>
    </row>
    <row r="12278" spans="3:10" x14ac:dyDescent="0.2">
      <c r="C12278" s="209"/>
      <c r="D12278" s="209"/>
      <c r="E12278" s="209"/>
      <c r="J12278" s="124"/>
    </row>
    <row r="12279" spans="3:10" x14ac:dyDescent="0.2">
      <c r="C12279" s="209"/>
      <c r="D12279" s="209"/>
      <c r="E12279" s="209"/>
      <c r="J12279" s="124"/>
    </row>
    <row r="12280" spans="3:10" x14ac:dyDescent="0.2">
      <c r="C12280" s="209"/>
      <c r="D12280" s="209"/>
      <c r="E12280" s="209"/>
      <c r="J12280" s="124"/>
    </row>
    <row r="12281" spans="3:10" x14ac:dyDescent="0.2">
      <c r="C12281" s="209"/>
      <c r="D12281" s="209"/>
      <c r="E12281" s="209"/>
      <c r="J12281" s="124"/>
    </row>
    <row r="12282" spans="3:10" x14ac:dyDescent="0.2">
      <c r="C12282" s="209"/>
      <c r="D12282" s="209"/>
      <c r="E12282" s="209"/>
      <c r="J12282" s="124"/>
    </row>
    <row r="12283" spans="3:10" x14ac:dyDescent="0.2">
      <c r="C12283" s="209"/>
      <c r="D12283" s="209"/>
      <c r="E12283" s="209"/>
      <c r="J12283" s="124"/>
    </row>
    <row r="12284" spans="3:10" x14ac:dyDescent="0.2">
      <c r="C12284" s="209"/>
      <c r="D12284" s="209"/>
      <c r="E12284" s="209"/>
      <c r="J12284" s="124"/>
    </row>
    <row r="12285" spans="3:10" x14ac:dyDescent="0.2">
      <c r="C12285" s="209"/>
      <c r="D12285" s="209"/>
      <c r="E12285" s="209"/>
      <c r="J12285" s="124"/>
    </row>
    <row r="12286" spans="3:10" x14ac:dyDescent="0.2">
      <c r="C12286" s="209"/>
      <c r="D12286" s="209"/>
      <c r="E12286" s="209"/>
      <c r="J12286" s="124"/>
    </row>
    <row r="12287" spans="3:10" x14ac:dyDescent="0.2">
      <c r="C12287" s="209"/>
      <c r="D12287" s="209"/>
      <c r="E12287" s="209"/>
      <c r="J12287" s="124"/>
    </row>
    <row r="12288" spans="3:10" x14ac:dyDescent="0.2">
      <c r="C12288" s="209"/>
      <c r="D12288" s="209"/>
      <c r="E12288" s="209"/>
      <c r="J12288" s="124"/>
    </row>
    <row r="12289" spans="3:10" x14ac:dyDescent="0.2">
      <c r="C12289" s="209"/>
      <c r="D12289" s="209"/>
      <c r="E12289" s="209"/>
      <c r="J12289" s="124"/>
    </row>
    <row r="12290" spans="3:10" x14ac:dyDescent="0.2">
      <c r="C12290" s="209"/>
      <c r="D12290" s="209"/>
      <c r="E12290" s="209"/>
      <c r="J12290" s="124"/>
    </row>
    <row r="12291" spans="3:10" x14ac:dyDescent="0.2">
      <c r="C12291" s="209"/>
      <c r="D12291" s="209"/>
      <c r="E12291" s="209"/>
      <c r="J12291" s="124"/>
    </row>
    <row r="12292" spans="3:10" x14ac:dyDescent="0.2">
      <c r="C12292" s="209"/>
      <c r="D12292" s="209"/>
      <c r="E12292" s="209"/>
      <c r="J12292" s="124"/>
    </row>
    <row r="12293" spans="3:10" x14ac:dyDescent="0.2">
      <c r="C12293" s="209"/>
      <c r="D12293" s="209"/>
      <c r="E12293" s="209"/>
      <c r="J12293" s="124"/>
    </row>
    <row r="12294" spans="3:10" x14ac:dyDescent="0.2">
      <c r="C12294" s="209"/>
      <c r="D12294" s="209"/>
      <c r="E12294" s="209"/>
      <c r="J12294" s="124"/>
    </row>
    <row r="12295" spans="3:10" x14ac:dyDescent="0.2">
      <c r="C12295" s="209"/>
      <c r="D12295" s="209"/>
      <c r="E12295" s="209"/>
      <c r="J12295" s="124"/>
    </row>
    <row r="12296" spans="3:10" x14ac:dyDescent="0.2">
      <c r="C12296" s="209"/>
      <c r="D12296" s="209"/>
      <c r="E12296" s="209"/>
      <c r="J12296" s="124"/>
    </row>
    <row r="12297" spans="3:10" x14ac:dyDescent="0.2">
      <c r="C12297" s="209"/>
      <c r="D12297" s="209"/>
      <c r="E12297" s="209"/>
      <c r="J12297" s="124"/>
    </row>
    <row r="12298" spans="3:10" x14ac:dyDescent="0.2">
      <c r="C12298" s="209"/>
      <c r="D12298" s="209"/>
      <c r="E12298" s="209"/>
      <c r="J12298" s="124"/>
    </row>
    <row r="12299" spans="3:10" x14ac:dyDescent="0.2">
      <c r="C12299" s="209"/>
      <c r="D12299" s="209"/>
      <c r="E12299" s="209"/>
      <c r="J12299" s="124"/>
    </row>
    <row r="12300" spans="3:10" x14ac:dyDescent="0.2">
      <c r="C12300" s="209"/>
      <c r="D12300" s="209"/>
      <c r="E12300" s="209"/>
      <c r="J12300" s="124"/>
    </row>
    <row r="12301" spans="3:10" x14ac:dyDescent="0.2">
      <c r="C12301" s="209"/>
      <c r="D12301" s="209"/>
      <c r="E12301" s="209"/>
      <c r="J12301" s="124"/>
    </row>
    <row r="12302" spans="3:10" x14ac:dyDescent="0.2">
      <c r="C12302" s="209"/>
      <c r="D12302" s="209"/>
      <c r="E12302" s="209"/>
      <c r="J12302" s="124"/>
    </row>
    <row r="12303" spans="3:10" x14ac:dyDescent="0.2">
      <c r="C12303" s="209"/>
      <c r="D12303" s="209"/>
      <c r="E12303" s="209"/>
      <c r="J12303" s="124"/>
    </row>
    <row r="12304" spans="3:10" x14ac:dyDescent="0.2">
      <c r="C12304" s="209"/>
      <c r="D12304" s="209"/>
      <c r="E12304" s="209"/>
      <c r="J12304" s="124"/>
    </row>
    <row r="12305" spans="3:10" x14ac:dyDescent="0.2">
      <c r="C12305" s="209"/>
      <c r="D12305" s="209"/>
      <c r="E12305" s="209"/>
      <c r="J12305" s="124"/>
    </row>
    <row r="12306" spans="3:10" x14ac:dyDescent="0.2">
      <c r="C12306" s="209"/>
      <c r="D12306" s="209"/>
      <c r="E12306" s="209"/>
      <c r="J12306" s="124"/>
    </row>
    <row r="12307" spans="3:10" x14ac:dyDescent="0.2">
      <c r="C12307" s="209"/>
      <c r="D12307" s="209"/>
      <c r="E12307" s="209"/>
      <c r="J12307" s="124"/>
    </row>
    <row r="12308" spans="3:10" x14ac:dyDescent="0.2">
      <c r="C12308" s="209"/>
      <c r="D12308" s="209"/>
      <c r="E12308" s="209"/>
      <c r="J12308" s="124"/>
    </row>
    <row r="12309" spans="3:10" x14ac:dyDescent="0.2">
      <c r="C12309" s="209"/>
      <c r="D12309" s="209"/>
      <c r="E12309" s="209"/>
      <c r="J12309" s="124"/>
    </row>
    <row r="12310" spans="3:10" x14ac:dyDescent="0.2">
      <c r="C12310" s="209"/>
      <c r="D12310" s="209"/>
      <c r="E12310" s="209"/>
      <c r="J12310" s="124"/>
    </row>
    <row r="12311" spans="3:10" x14ac:dyDescent="0.2">
      <c r="C12311" s="209"/>
      <c r="D12311" s="209"/>
      <c r="E12311" s="209"/>
      <c r="J12311" s="124"/>
    </row>
    <row r="12312" spans="3:10" x14ac:dyDescent="0.2">
      <c r="C12312" s="209"/>
      <c r="D12312" s="209"/>
      <c r="E12312" s="209"/>
      <c r="J12312" s="124"/>
    </row>
    <row r="12313" spans="3:10" x14ac:dyDescent="0.2">
      <c r="C12313" s="209"/>
      <c r="D12313" s="209"/>
      <c r="E12313" s="209"/>
      <c r="J12313" s="124"/>
    </row>
    <row r="12314" spans="3:10" x14ac:dyDescent="0.2">
      <c r="C12314" s="209"/>
      <c r="D12314" s="209"/>
      <c r="E12314" s="209"/>
      <c r="J12314" s="124"/>
    </row>
    <row r="12315" spans="3:10" x14ac:dyDescent="0.2">
      <c r="C12315" s="209"/>
      <c r="D12315" s="209"/>
      <c r="E12315" s="209"/>
      <c r="J12315" s="124"/>
    </row>
    <row r="12316" spans="3:10" x14ac:dyDescent="0.2">
      <c r="C12316" s="209"/>
      <c r="D12316" s="209"/>
      <c r="E12316" s="209"/>
      <c r="J12316" s="124"/>
    </row>
    <row r="12317" spans="3:10" x14ac:dyDescent="0.2">
      <c r="C12317" s="209"/>
      <c r="D12317" s="209"/>
      <c r="E12317" s="209"/>
      <c r="J12317" s="124"/>
    </row>
    <row r="12318" spans="3:10" x14ac:dyDescent="0.2">
      <c r="C12318" s="209"/>
      <c r="D12318" s="209"/>
      <c r="E12318" s="209"/>
      <c r="J12318" s="124"/>
    </row>
    <row r="12319" spans="3:10" x14ac:dyDescent="0.2">
      <c r="C12319" s="209"/>
      <c r="D12319" s="209"/>
      <c r="E12319" s="209"/>
      <c r="J12319" s="124"/>
    </row>
    <row r="12320" spans="3:10" x14ac:dyDescent="0.2">
      <c r="C12320" s="209"/>
      <c r="D12320" s="209"/>
      <c r="E12320" s="209"/>
      <c r="J12320" s="124"/>
    </row>
    <row r="12321" spans="3:10" x14ac:dyDescent="0.2">
      <c r="C12321" s="209"/>
      <c r="D12321" s="209"/>
      <c r="E12321" s="209"/>
      <c r="J12321" s="124"/>
    </row>
    <row r="12322" spans="3:10" x14ac:dyDescent="0.2">
      <c r="C12322" s="209"/>
      <c r="D12322" s="209"/>
      <c r="E12322" s="209"/>
      <c r="J12322" s="124"/>
    </row>
    <row r="12323" spans="3:10" x14ac:dyDescent="0.2">
      <c r="C12323" s="209"/>
      <c r="D12323" s="209"/>
      <c r="E12323" s="209"/>
      <c r="J12323" s="124"/>
    </row>
    <row r="12324" spans="3:10" x14ac:dyDescent="0.2">
      <c r="C12324" s="209"/>
      <c r="D12324" s="209"/>
      <c r="E12324" s="209"/>
      <c r="J12324" s="124"/>
    </row>
    <row r="12325" spans="3:10" x14ac:dyDescent="0.2">
      <c r="C12325" s="209"/>
      <c r="D12325" s="209"/>
      <c r="E12325" s="209"/>
      <c r="J12325" s="124"/>
    </row>
    <row r="12326" spans="3:10" x14ac:dyDescent="0.2">
      <c r="C12326" s="209"/>
      <c r="D12326" s="209"/>
      <c r="E12326" s="209"/>
      <c r="J12326" s="124"/>
    </row>
    <row r="12327" spans="3:10" x14ac:dyDescent="0.2">
      <c r="C12327" s="209"/>
      <c r="D12327" s="209"/>
      <c r="E12327" s="209"/>
      <c r="J12327" s="124"/>
    </row>
    <row r="12328" spans="3:10" x14ac:dyDescent="0.2">
      <c r="C12328" s="209"/>
      <c r="D12328" s="209"/>
      <c r="E12328" s="209"/>
      <c r="J12328" s="124"/>
    </row>
    <row r="12329" spans="3:10" x14ac:dyDescent="0.2">
      <c r="C12329" s="209"/>
      <c r="D12329" s="209"/>
      <c r="E12329" s="209"/>
      <c r="J12329" s="124"/>
    </row>
    <row r="12330" spans="3:10" x14ac:dyDescent="0.2">
      <c r="C12330" s="209"/>
      <c r="D12330" s="209"/>
      <c r="E12330" s="209"/>
      <c r="J12330" s="124"/>
    </row>
    <row r="12331" spans="3:10" x14ac:dyDescent="0.2">
      <c r="C12331" s="209"/>
      <c r="D12331" s="209"/>
      <c r="E12331" s="209"/>
      <c r="J12331" s="124"/>
    </row>
    <row r="12332" spans="3:10" x14ac:dyDescent="0.2">
      <c r="C12332" s="209"/>
      <c r="D12332" s="209"/>
      <c r="E12332" s="209"/>
      <c r="J12332" s="124"/>
    </row>
    <row r="12333" spans="3:10" x14ac:dyDescent="0.2">
      <c r="C12333" s="209"/>
      <c r="D12333" s="209"/>
      <c r="E12333" s="209"/>
      <c r="J12333" s="124"/>
    </row>
    <row r="12334" spans="3:10" x14ac:dyDescent="0.2">
      <c r="C12334" s="209"/>
      <c r="D12334" s="209"/>
      <c r="E12334" s="209"/>
      <c r="J12334" s="124"/>
    </row>
    <row r="12335" spans="3:10" x14ac:dyDescent="0.2">
      <c r="C12335" s="209"/>
      <c r="D12335" s="209"/>
      <c r="E12335" s="209"/>
      <c r="J12335" s="124"/>
    </row>
    <row r="12336" spans="3:10" x14ac:dyDescent="0.2">
      <c r="C12336" s="209"/>
      <c r="D12336" s="209"/>
      <c r="E12336" s="209"/>
      <c r="J12336" s="124"/>
    </row>
    <row r="12337" spans="3:10" x14ac:dyDescent="0.2">
      <c r="C12337" s="209"/>
      <c r="D12337" s="209"/>
      <c r="E12337" s="209"/>
      <c r="J12337" s="124"/>
    </row>
    <row r="12338" spans="3:10" x14ac:dyDescent="0.2">
      <c r="C12338" s="209"/>
      <c r="D12338" s="209"/>
      <c r="E12338" s="209"/>
      <c r="J12338" s="124"/>
    </row>
    <row r="12339" spans="3:10" x14ac:dyDescent="0.2">
      <c r="C12339" s="209"/>
      <c r="D12339" s="209"/>
      <c r="E12339" s="209"/>
      <c r="J12339" s="124"/>
    </row>
    <row r="12340" spans="3:10" x14ac:dyDescent="0.2">
      <c r="C12340" s="209"/>
      <c r="D12340" s="209"/>
      <c r="E12340" s="209"/>
      <c r="J12340" s="124"/>
    </row>
    <row r="12341" spans="3:10" x14ac:dyDescent="0.2">
      <c r="C12341" s="209"/>
      <c r="D12341" s="209"/>
      <c r="E12341" s="209"/>
      <c r="J12341" s="124"/>
    </row>
    <row r="12342" spans="3:10" x14ac:dyDescent="0.2">
      <c r="C12342" s="209"/>
      <c r="D12342" s="209"/>
      <c r="E12342" s="209"/>
      <c r="J12342" s="124"/>
    </row>
    <row r="12343" spans="3:10" x14ac:dyDescent="0.2">
      <c r="C12343" s="209"/>
      <c r="D12343" s="209"/>
      <c r="E12343" s="209"/>
      <c r="J12343" s="124"/>
    </row>
    <row r="12344" spans="3:10" x14ac:dyDescent="0.2">
      <c r="C12344" s="209"/>
      <c r="D12344" s="209"/>
      <c r="E12344" s="209"/>
      <c r="J12344" s="124"/>
    </row>
    <row r="12345" spans="3:10" x14ac:dyDescent="0.2">
      <c r="C12345" s="209"/>
      <c r="D12345" s="209"/>
      <c r="E12345" s="209"/>
      <c r="J12345" s="124"/>
    </row>
    <row r="12346" spans="3:10" x14ac:dyDescent="0.2">
      <c r="C12346" s="209"/>
      <c r="D12346" s="209"/>
      <c r="E12346" s="209"/>
      <c r="J12346" s="124"/>
    </row>
    <row r="12347" spans="3:10" x14ac:dyDescent="0.2">
      <c r="C12347" s="209"/>
      <c r="D12347" s="209"/>
      <c r="E12347" s="209"/>
      <c r="J12347" s="124"/>
    </row>
    <row r="12348" spans="3:10" x14ac:dyDescent="0.2">
      <c r="C12348" s="209"/>
      <c r="D12348" s="209"/>
      <c r="E12348" s="209"/>
      <c r="J12348" s="124"/>
    </row>
    <row r="12349" spans="3:10" x14ac:dyDescent="0.2">
      <c r="C12349" s="209"/>
      <c r="D12349" s="209"/>
      <c r="E12349" s="209"/>
      <c r="J12349" s="124"/>
    </row>
    <row r="12350" spans="3:10" x14ac:dyDescent="0.2">
      <c r="C12350" s="209"/>
      <c r="D12350" s="209"/>
      <c r="E12350" s="209"/>
      <c r="J12350" s="124"/>
    </row>
    <row r="12351" spans="3:10" x14ac:dyDescent="0.2">
      <c r="C12351" s="209"/>
      <c r="D12351" s="209"/>
      <c r="E12351" s="209"/>
      <c r="J12351" s="124"/>
    </row>
    <row r="12352" spans="3:10" x14ac:dyDescent="0.2">
      <c r="C12352" s="209"/>
      <c r="D12352" s="209"/>
      <c r="E12352" s="209"/>
      <c r="J12352" s="124"/>
    </row>
    <row r="12353" spans="3:10" x14ac:dyDescent="0.2">
      <c r="C12353" s="209"/>
      <c r="D12353" s="209"/>
      <c r="E12353" s="209"/>
      <c r="J12353" s="124"/>
    </row>
    <row r="12354" spans="3:10" x14ac:dyDescent="0.2">
      <c r="C12354" s="209"/>
      <c r="D12354" s="209"/>
      <c r="E12354" s="209"/>
      <c r="J12354" s="124"/>
    </row>
    <row r="12355" spans="3:10" x14ac:dyDescent="0.2">
      <c r="C12355" s="209"/>
      <c r="D12355" s="209"/>
      <c r="E12355" s="209"/>
      <c r="J12355" s="124"/>
    </row>
    <row r="12356" spans="3:10" x14ac:dyDescent="0.2">
      <c r="C12356" s="209"/>
      <c r="D12356" s="209"/>
      <c r="E12356" s="209"/>
      <c r="J12356" s="124"/>
    </row>
    <row r="12357" spans="3:10" x14ac:dyDescent="0.2">
      <c r="C12357" s="209"/>
      <c r="D12357" s="209"/>
      <c r="E12357" s="209"/>
      <c r="J12357" s="124"/>
    </row>
    <row r="12358" spans="3:10" x14ac:dyDescent="0.2">
      <c r="C12358" s="209"/>
      <c r="D12358" s="209"/>
      <c r="E12358" s="209"/>
      <c r="J12358" s="124"/>
    </row>
    <row r="12359" spans="3:10" x14ac:dyDescent="0.2">
      <c r="C12359" s="209"/>
      <c r="D12359" s="209"/>
      <c r="E12359" s="209"/>
      <c r="J12359" s="124"/>
    </row>
    <row r="12360" spans="3:10" x14ac:dyDescent="0.2">
      <c r="C12360" s="209"/>
      <c r="D12360" s="209"/>
      <c r="E12360" s="209"/>
      <c r="J12360" s="124"/>
    </row>
    <row r="12361" spans="3:10" x14ac:dyDescent="0.2">
      <c r="C12361" s="209"/>
      <c r="D12361" s="209"/>
      <c r="E12361" s="209"/>
      <c r="J12361" s="124"/>
    </row>
    <row r="12362" spans="3:10" x14ac:dyDescent="0.2">
      <c r="C12362" s="209"/>
      <c r="D12362" s="209"/>
      <c r="E12362" s="209"/>
      <c r="J12362" s="124"/>
    </row>
    <row r="12363" spans="3:10" x14ac:dyDescent="0.2">
      <c r="C12363" s="209"/>
      <c r="D12363" s="209"/>
      <c r="E12363" s="209"/>
      <c r="J12363" s="124"/>
    </row>
    <row r="12364" spans="3:10" x14ac:dyDescent="0.2">
      <c r="C12364" s="209"/>
      <c r="D12364" s="209"/>
      <c r="E12364" s="209"/>
      <c r="J12364" s="124"/>
    </row>
    <row r="12365" spans="3:10" x14ac:dyDescent="0.2">
      <c r="C12365" s="209"/>
      <c r="D12365" s="209"/>
      <c r="E12365" s="209"/>
      <c r="J12365" s="124"/>
    </row>
    <row r="12366" spans="3:10" x14ac:dyDescent="0.2">
      <c r="C12366" s="209"/>
      <c r="D12366" s="209"/>
      <c r="E12366" s="209"/>
      <c r="J12366" s="124"/>
    </row>
    <row r="12367" spans="3:10" x14ac:dyDescent="0.2">
      <c r="C12367" s="209"/>
      <c r="D12367" s="209"/>
      <c r="E12367" s="209"/>
      <c r="J12367" s="124"/>
    </row>
    <row r="12368" spans="3:10" x14ac:dyDescent="0.2">
      <c r="C12368" s="209"/>
      <c r="D12368" s="209"/>
      <c r="E12368" s="209"/>
      <c r="J12368" s="124"/>
    </row>
    <row r="12369" spans="3:10" x14ac:dyDescent="0.2">
      <c r="C12369" s="209"/>
      <c r="D12369" s="209"/>
      <c r="E12369" s="209"/>
      <c r="J12369" s="124"/>
    </row>
    <row r="12370" spans="3:10" x14ac:dyDescent="0.2">
      <c r="C12370" s="209"/>
      <c r="D12370" s="209"/>
      <c r="E12370" s="209"/>
      <c r="J12370" s="124"/>
    </row>
    <row r="12371" spans="3:10" x14ac:dyDescent="0.2">
      <c r="C12371" s="209"/>
      <c r="D12371" s="209"/>
      <c r="E12371" s="209"/>
      <c r="J12371" s="124"/>
    </row>
    <row r="12372" spans="3:10" x14ac:dyDescent="0.2">
      <c r="C12372" s="209"/>
      <c r="D12372" s="209"/>
      <c r="E12372" s="209"/>
      <c r="J12372" s="124"/>
    </row>
    <row r="12373" spans="3:10" x14ac:dyDescent="0.2">
      <c r="C12373" s="209"/>
      <c r="D12373" s="209"/>
      <c r="E12373" s="209"/>
      <c r="J12373" s="124"/>
    </row>
    <row r="12374" spans="3:10" x14ac:dyDescent="0.2">
      <c r="C12374" s="209"/>
      <c r="D12374" s="209"/>
      <c r="E12374" s="209"/>
      <c r="J12374" s="124"/>
    </row>
    <row r="12375" spans="3:10" x14ac:dyDescent="0.2">
      <c r="C12375" s="209"/>
      <c r="D12375" s="209"/>
      <c r="E12375" s="209"/>
      <c r="J12375" s="124"/>
    </row>
    <row r="12376" spans="3:10" x14ac:dyDescent="0.2">
      <c r="C12376" s="209"/>
      <c r="D12376" s="209"/>
      <c r="E12376" s="209"/>
      <c r="J12376" s="124"/>
    </row>
    <row r="12377" spans="3:10" x14ac:dyDescent="0.2">
      <c r="C12377" s="209"/>
      <c r="D12377" s="209"/>
      <c r="E12377" s="209"/>
      <c r="J12377" s="124"/>
    </row>
    <row r="12378" spans="3:10" x14ac:dyDescent="0.2">
      <c r="C12378" s="209"/>
      <c r="D12378" s="209"/>
      <c r="E12378" s="209"/>
      <c r="J12378" s="124"/>
    </row>
    <row r="12379" spans="3:10" x14ac:dyDescent="0.2">
      <c r="C12379" s="209"/>
      <c r="D12379" s="209"/>
      <c r="E12379" s="209"/>
      <c r="J12379" s="124"/>
    </row>
    <row r="12380" spans="3:10" x14ac:dyDescent="0.2">
      <c r="C12380" s="209"/>
      <c r="D12380" s="209"/>
      <c r="E12380" s="209"/>
      <c r="J12380" s="124"/>
    </row>
    <row r="12381" spans="3:10" x14ac:dyDescent="0.2">
      <c r="C12381" s="209"/>
      <c r="D12381" s="209"/>
      <c r="E12381" s="209"/>
      <c r="J12381" s="124"/>
    </row>
    <row r="12382" spans="3:10" x14ac:dyDescent="0.2">
      <c r="C12382" s="209"/>
      <c r="D12382" s="209"/>
      <c r="E12382" s="209"/>
      <c r="J12382" s="124"/>
    </row>
    <row r="12383" spans="3:10" x14ac:dyDescent="0.2">
      <c r="C12383" s="209"/>
      <c r="D12383" s="209"/>
      <c r="E12383" s="209"/>
      <c r="J12383" s="124"/>
    </row>
    <row r="12384" spans="3:10" x14ac:dyDescent="0.2">
      <c r="C12384" s="209"/>
      <c r="D12384" s="209"/>
      <c r="E12384" s="209"/>
      <c r="J12384" s="124"/>
    </row>
    <row r="12385" spans="3:10" x14ac:dyDescent="0.2">
      <c r="C12385" s="209"/>
      <c r="D12385" s="209"/>
      <c r="E12385" s="209"/>
      <c r="J12385" s="124"/>
    </row>
    <row r="12386" spans="3:10" x14ac:dyDescent="0.2">
      <c r="C12386" s="209"/>
      <c r="D12386" s="209"/>
      <c r="E12386" s="209"/>
      <c r="J12386" s="124"/>
    </row>
    <row r="12387" spans="3:10" x14ac:dyDescent="0.2">
      <c r="C12387" s="209"/>
      <c r="D12387" s="209"/>
      <c r="E12387" s="209"/>
      <c r="J12387" s="124"/>
    </row>
    <row r="12388" spans="3:10" x14ac:dyDescent="0.2">
      <c r="C12388" s="209"/>
      <c r="D12388" s="209"/>
      <c r="E12388" s="209"/>
      <c r="J12388" s="124"/>
    </row>
    <row r="12389" spans="3:10" x14ac:dyDescent="0.2">
      <c r="C12389" s="209"/>
      <c r="D12389" s="209"/>
      <c r="E12389" s="209"/>
      <c r="J12389" s="124"/>
    </row>
    <row r="12390" spans="3:10" x14ac:dyDescent="0.2">
      <c r="C12390" s="209"/>
      <c r="D12390" s="209"/>
      <c r="E12390" s="209"/>
      <c r="J12390" s="124"/>
    </row>
    <row r="12391" spans="3:10" x14ac:dyDescent="0.2">
      <c r="C12391" s="209"/>
      <c r="D12391" s="209"/>
      <c r="E12391" s="209"/>
      <c r="J12391" s="124"/>
    </row>
    <row r="12392" spans="3:10" x14ac:dyDescent="0.2">
      <c r="C12392" s="209"/>
      <c r="D12392" s="209"/>
      <c r="E12392" s="209"/>
      <c r="J12392" s="124"/>
    </row>
    <row r="12393" spans="3:10" x14ac:dyDescent="0.2">
      <c r="C12393" s="209"/>
      <c r="D12393" s="209"/>
      <c r="E12393" s="209"/>
      <c r="J12393" s="124"/>
    </row>
    <row r="12394" spans="3:10" x14ac:dyDescent="0.2">
      <c r="C12394" s="209"/>
      <c r="D12394" s="209"/>
      <c r="E12394" s="209"/>
      <c r="J12394" s="124"/>
    </row>
    <row r="12395" spans="3:10" x14ac:dyDescent="0.2">
      <c r="C12395" s="209"/>
      <c r="D12395" s="209"/>
      <c r="E12395" s="209"/>
      <c r="J12395" s="124"/>
    </row>
    <row r="12396" spans="3:10" x14ac:dyDescent="0.2">
      <c r="C12396" s="209"/>
      <c r="D12396" s="209"/>
      <c r="E12396" s="209"/>
      <c r="J12396" s="124"/>
    </row>
    <row r="12397" spans="3:10" x14ac:dyDescent="0.2">
      <c r="C12397" s="209"/>
      <c r="D12397" s="209"/>
      <c r="E12397" s="209"/>
      <c r="J12397" s="124"/>
    </row>
    <row r="12398" spans="3:10" x14ac:dyDescent="0.2">
      <c r="C12398" s="209"/>
      <c r="D12398" s="209"/>
      <c r="E12398" s="209"/>
      <c r="J12398" s="124"/>
    </row>
    <row r="12399" spans="3:10" x14ac:dyDescent="0.2">
      <c r="C12399" s="209"/>
      <c r="D12399" s="209"/>
      <c r="E12399" s="209"/>
      <c r="J12399" s="124"/>
    </row>
    <row r="12400" spans="3:10" x14ac:dyDescent="0.2">
      <c r="C12400" s="209"/>
      <c r="D12400" s="209"/>
      <c r="E12400" s="209"/>
      <c r="J12400" s="124"/>
    </row>
    <row r="12401" spans="3:10" x14ac:dyDescent="0.2">
      <c r="C12401" s="209"/>
      <c r="D12401" s="209"/>
      <c r="E12401" s="209"/>
      <c r="J12401" s="124"/>
    </row>
    <row r="12402" spans="3:10" x14ac:dyDescent="0.2">
      <c r="C12402" s="209"/>
      <c r="D12402" s="209"/>
      <c r="E12402" s="209"/>
      <c r="J12402" s="124"/>
    </row>
    <row r="12403" spans="3:10" x14ac:dyDescent="0.2">
      <c r="C12403" s="209"/>
      <c r="D12403" s="209"/>
      <c r="E12403" s="209"/>
      <c r="J12403" s="124"/>
    </row>
    <row r="12404" spans="3:10" x14ac:dyDescent="0.2">
      <c r="C12404" s="209"/>
      <c r="D12404" s="209"/>
      <c r="E12404" s="209"/>
      <c r="J12404" s="124"/>
    </row>
    <row r="12405" spans="3:10" x14ac:dyDescent="0.2">
      <c r="C12405" s="209"/>
      <c r="D12405" s="209"/>
      <c r="E12405" s="209"/>
      <c r="J12405" s="124"/>
    </row>
    <row r="12406" spans="3:10" x14ac:dyDescent="0.2">
      <c r="C12406" s="209"/>
      <c r="D12406" s="209"/>
      <c r="E12406" s="209"/>
      <c r="J12406" s="124"/>
    </row>
    <row r="12407" spans="3:10" x14ac:dyDescent="0.2">
      <c r="C12407" s="209"/>
      <c r="D12407" s="209"/>
      <c r="E12407" s="209"/>
      <c r="J12407" s="124"/>
    </row>
    <row r="12408" spans="3:10" x14ac:dyDescent="0.2">
      <c r="C12408" s="209"/>
      <c r="D12408" s="209"/>
      <c r="E12408" s="209"/>
      <c r="J12408" s="124"/>
    </row>
    <row r="12409" spans="3:10" x14ac:dyDescent="0.2">
      <c r="C12409" s="209"/>
      <c r="D12409" s="209"/>
      <c r="E12409" s="209"/>
      <c r="J12409" s="124"/>
    </row>
    <row r="12410" spans="3:10" x14ac:dyDescent="0.2">
      <c r="C12410" s="209"/>
      <c r="D12410" s="209"/>
      <c r="E12410" s="209"/>
      <c r="J12410" s="124"/>
    </row>
    <row r="12411" spans="3:10" x14ac:dyDescent="0.2">
      <c r="C12411" s="209"/>
      <c r="D12411" s="209"/>
      <c r="E12411" s="209"/>
      <c r="J12411" s="124"/>
    </row>
    <row r="12412" spans="3:10" x14ac:dyDescent="0.2">
      <c r="C12412" s="209"/>
      <c r="D12412" s="209"/>
      <c r="E12412" s="209"/>
      <c r="J12412" s="124"/>
    </row>
    <row r="12413" spans="3:10" x14ac:dyDescent="0.2">
      <c r="C12413" s="209"/>
      <c r="D12413" s="209"/>
      <c r="E12413" s="209"/>
      <c r="J12413" s="124"/>
    </row>
    <row r="12414" spans="3:10" x14ac:dyDescent="0.2">
      <c r="C12414" s="209"/>
      <c r="D12414" s="209"/>
      <c r="E12414" s="209"/>
      <c r="J12414" s="124"/>
    </row>
    <row r="12415" spans="3:10" x14ac:dyDescent="0.2">
      <c r="C12415" s="209"/>
      <c r="D12415" s="209"/>
      <c r="E12415" s="209"/>
      <c r="J12415" s="124"/>
    </row>
    <row r="12416" spans="3:10" x14ac:dyDescent="0.2">
      <c r="C12416" s="209"/>
      <c r="D12416" s="209"/>
      <c r="E12416" s="209"/>
      <c r="J12416" s="124"/>
    </row>
    <row r="12417" spans="3:10" x14ac:dyDescent="0.2">
      <c r="C12417" s="209"/>
      <c r="D12417" s="209"/>
      <c r="E12417" s="209"/>
      <c r="J12417" s="124"/>
    </row>
    <row r="12418" spans="3:10" x14ac:dyDescent="0.2">
      <c r="C12418" s="209"/>
      <c r="D12418" s="209"/>
      <c r="E12418" s="209"/>
      <c r="J12418" s="124"/>
    </row>
    <row r="12419" spans="3:10" x14ac:dyDescent="0.2">
      <c r="C12419" s="209"/>
      <c r="D12419" s="209"/>
      <c r="E12419" s="209"/>
      <c r="J12419" s="124"/>
    </row>
    <row r="12420" spans="3:10" x14ac:dyDescent="0.2">
      <c r="C12420" s="209"/>
      <c r="D12420" s="209"/>
      <c r="E12420" s="209"/>
      <c r="J12420" s="124"/>
    </row>
    <row r="12421" spans="3:10" x14ac:dyDescent="0.2">
      <c r="C12421" s="209"/>
      <c r="D12421" s="209"/>
      <c r="E12421" s="209"/>
      <c r="J12421" s="124"/>
    </row>
    <row r="12422" spans="3:10" x14ac:dyDescent="0.2">
      <c r="C12422" s="209"/>
      <c r="D12422" s="209"/>
      <c r="E12422" s="209"/>
      <c r="J12422" s="124"/>
    </row>
    <row r="12423" spans="3:10" x14ac:dyDescent="0.2">
      <c r="C12423" s="209"/>
      <c r="D12423" s="209"/>
      <c r="E12423" s="209"/>
      <c r="J12423" s="124"/>
    </row>
    <row r="12424" spans="3:10" x14ac:dyDescent="0.2">
      <c r="C12424" s="209"/>
      <c r="D12424" s="209"/>
      <c r="E12424" s="209"/>
      <c r="J12424" s="124"/>
    </row>
    <row r="12425" spans="3:10" x14ac:dyDescent="0.2">
      <c r="C12425" s="209"/>
      <c r="D12425" s="209"/>
      <c r="E12425" s="209"/>
      <c r="J12425" s="124"/>
    </row>
    <row r="12426" spans="3:10" x14ac:dyDescent="0.2">
      <c r="C12426" s="209"/>
      <c r="D12426" s="209"/>
      <c r="E12426" s="209"/>
      <c r="J12426" s="124"/>
    </row>
    <row r="12427" spans="3:10" x14ac:dyDescent="0.2">
      <c r="C12427" s="209"/>
      <c r="D12427" s="209"/>
      <c r="E12427" s="209"/>
      <c r="J12427" s="124"/>
    </row>
    <row r="12428" spans="3:10" x14ac:dyDescent="0.2">
      <c r="C12428" s="209"/>
      <c r="D12428" s="209"/>
      <c r="E12428" s="209"/>
      <c r="J12428" s="124"/>
    </row>
    <row r="12429" spans="3:10" x14ac:dyDescent="0.2">
      <c r="C12429" s="209"/>
      <c r="D12429" s="209"/>
      <c r="E12429" s="209"/>
      <c r="J12429" s="124"/>
    </row>
    <row r="12430" spans="3:10" x14ac:dyDescent="0.2">
      <c r="C12430" s="209"/>
      <c r="D12430" s="209"/>
      <c r="E12430" s="209"/>
      <c r="J12430" s="124"/>
    </row>
    <row r="12431" spans="3:10" x14ac:dyDescent="0.2">
      <c r="C12431" s="209"/>
      <c r="D12431" s="209"/>
      <c r="E12431" s="209"/>
      <c r="J12431" s="124"/>
    </row>
    <row r="12432" spans="3:10" x14ac:dyDescent="0.2">
      <c r="C12432" s="209"/>
      <c r="D12432" s="209"/>
      <c r="E12432" s="209"/>
      <c r="J12432" s="124"/>
    </row>
    <row r="12433" spans="3:10" x14ac:dyDescent="0.2">
      <c r="C12433" s="209"/>
      <c r="D12433" s="209"/>
      <c r="E12433" s="209"/>
      <c r="J12433" s="124"/>
    </row>
    <row r="12434" spans="3:10" x14ac:dyDescent="0.2">
      <c r="C12434" s="209"/>
      <c r="D12434" s="209"/>
      <c r="E12434" s="209"/>
      <c r="J12434" s="124"/>
    </row>
    <row r="12435" spans="3:10" x14ac:dyDescent="0.2">
      <c r="C12435" s="209"/>
      <c r="D12435" s="209"/>
      <c r="E12435" s="209"/>
      <c r="J12435" s="124"/>
    </row>
    <row r="12436" spans="3:10" x14ac:dyDescent="0.2">
      <c r="C12436" s="209"/>
      <c r="D12436" s="209"/>
      <c r="E12436" s="209"/>
      <c r="J12436" s="124"/>
    </row>
    <row r="12437" spans="3:10" x14ac:dyDescent="0.2">
      <c r="C12437" s="209"/>
      <c r="D12437" s="209"/>
      <c r="E12437" s="209"/>
      <c r="J12437" s="124"/>
    </row>
    <row r="12438" spans="3:10" x14ac:dyDescent="0.2">
      <c r="C12438" s="209"/>
      <c r="D12438" s="209"/>
      <c r="E12438" s="209"/>
      <c r="J12438" s="124"/>
    </row>
    <row r="12439" spans="3:10" x14ac:dyDescent="0.2">
      <c r="C12439" s="209"/>
      <c r="D12439" s="209"/>
      <c r="E12439" s="209"/>
      <c r="J12439" s="124"/>
    </row>
    <row r="12440" spans="3:10" x14ac:dyDescent="0.2">
      <c r="C12440" s="209"/>
      <c r="D12440" s="209"/>
      <c r="E12440" s="209"/>
      <c r="J12440" s="124"/>
    </row>
    <row r="12441" spans="3:10" x14ac:dyDescent="0.2">
      <c r="C12441" s="209"/>
      <c r="D12441" s="209"/>
      <c r="E12441" s="209"/>
      <c r="J12441" s="124"/>
    </row>
    <row r="12442" spans="3:10" x14ac:dyDescent="0.2">
      <c r="C12442" s="209"/>
      <c r="D12442" s="209"/>
      <c r="E12442" s="209"/>
      <c r="J12442" s="124"/>
    </row>
    <row r="12443" spans="3:10" x14ac:dyDescent="0.2">
      <c r="C12443" s="209"/>
      <c r="D12443" s="209"/>
      <c r="E12443" s="209"/>
      <c r="J12443" s="124"/>
    </row>
    <row r="12444" spans="3:10" x14ac:dyDescent="0.2">
      <c r="C12444" s="209"/>
      <c r="D12444" s="209"/>
      <c r="E12444" s="209"/>
      <c r="J12444" s="124"/>
    </row>
    <row r="12445" spans="3:10" x14ac:dyDescent="0.2">
      <c r="C12445" s="209"/>
      <c r="D12445" s="209"/>
      <c r="E12445" s="209"/>
      <c r="J12445" s="124"/>
    </row>
    <row r="12446" spans="3:10" x14ac:dyDescent="0.2">
      <c r="C12446" s="209"/>
      <c r="D12446" s="209"/>
      <c r="E12446" s="209"/>
      <c r="J12446" s="124"/>
    </row>
    <row r="12447" spans="3:10" x14ac:dyDescent="0.2">
      <c r="C12447" s="209"/>
      <c r="D12447" s="209"/>
      <c r="E12447" s="209"/>
      <c r="J12447" s="124"/>
    </row>
    <row r="12448" spans="3:10" x14ac:dyDescent="0.2">
      <c r="C12448" s="209"/>
      <c r="D12448" s="209"/>
      <c r="E12448" s="209"/>
      <c r="J12448" s="124"/>
    </row>
    <row r="12449" spans="3:10" x14ac:dyDescent="0.2">
      <c r="C12449" s="209"/>
      <c r="D12449" s="209"/>
      <c r="E12449" s="209"/>
      <c r="J12449" s="124"/>
    </row>
    <row r="12450" spans="3:10" x14ac:dyDescent="0.2">
      <c r="C12450" s="209"/>
      <c r="D12450" s="209"/>
      <c r="E12450" s="209"/>
      <c r="J12450" s="124"/>
    </row>
    <row r="12451" spans="3:10" x14ac:dyDescent="0.2">
      <c r="C12451" s="209"/>
      <c r="D12451" s="209"/>
      <c r="E12451" s="209"/>
      <c r="J12451" s="124"/>
    </row>
    <row r="12452" spans="3:10" x14ac:dyDescent="0.2">
      <c r="C12452" s="209"/>
      <c r="D12452" s="209"/>
      <c r="E12452" s="209"/>
      <c r="J12452" s="124"/>
    </row>
    <row r="12453" spans="3:10" x14ac:dyDescent="0.2">
      <c r="C12453" s="209"/>
      <c r="D12453" s="209"/>
      <c r="E12453" s="209"/>
      <c r="J12453" s="124"/>
    </row>
    <row r="12454" spans="3:10" x14ac:dyDescent="0.2">
      <c r="C12454" s="209"/>
      <c r="D12454" s="209"/>
      <c r="E12454" s="209"/>
      <c r="J12454" s="124"/>
    </row>
    <row r="12455" spans="3:10" x14ac:dyDescent="0.2">
      <c r="C12455" s="209"/>
      <c r="D12455" s="209"/>
      <c r="E12455" s="209"/>
      <c r="J12455" s="124"/>
    </row>
    <row r="12456" spans="3:10" x14ac:dyDescent="0.2">
      <c r="C12456" s="209"/>
      <c r="D12456" s="209"/>
      <c r="E12456" s="209"/>
      <c r="J12456" s="124"/>
    </row>
    <row r="12457" spans="3:10" x14ac:dyDescent="0.2">
      <c r="C12457" s="209"/>
      <c r="D12457" s="209"/>
      <c r="E12457" s="209"/>
      <c r="J12457" s="124"/>
    </row>
    <row r="12458" spans="3:10" x14ac:dyDescent="0.2">
      <c r="C12458" s="209"/>
      <c r="D12458" s="209"/>
      <c r="E12458" s="209"/>
      <c r="J12458" s="124"/>
    </row>
    <row r="12459" spans="3:10" x14ac:dyDescent="0.2">
      <c r="C12459" s="209"/>
      <c r="D12459" s="209"/>
      <c r="E12459" s="209"/>
      <c r="J12459" s="124"/>
    </row>
    <row r="12460" spans="3:10" x14ac:dyDescent="0.2">
      <c r="C12460" s="209"/>
      <c r="D12460" s="209"/>
      <c r="E12460" s="209"/>
      <c r="J12460" s="124"/>
    </row>
    <row r="12461" spans="3:10" x14ac:dyDescent="0.2">
      <c r="C12461" s="209"/>
      <c r="D12461" s="209"/>
      <c r="E12461" s="209"/>
      <c r="J12461" s="124"/>
    </row>
    <row r="12462" spans="3:10" x14ac:dyDescent="0.2">
      <c r="C12462" s="209"/>
      <c r="D12462" s="209"/>
      <c r="E12462" s="209"/>
      <c r="J12462" s="124"/>
    </row>
    <row r="12463" spans="3:10" x14ac:dyDescent="0.2">
      <c r="C12463" s="209"/>
      <c r="D12463" s="209"/>
      <c r="E12463" s="209"/>
      <c r="J12463" s="124"/>
    </row>
    <row r="12464" spans="3:10" x14ac:dyDescent="0.2">
      <c r="C12464" s="209"/>
      <c r="D12464" s="209"/>
      <c r="E12464" s="209"/>
      <c r="J12464" s="124"/>
    </row>
    <row r="12465" spans="3:10" x14ac:dyDescent="0.2">
      <c r="C12465" s="209"/>
      <c r="D12465" s="209"/>
      <c r="E12465" s="209"/>
      <c r="J12465" s="124"/>
    </row>
    <row r="12466" spans="3:10" x14ac:dyDescent="0.2">
      <c r="C12466" s="209"/>
      <c r="D12466" s="209"/>
      <c r="E12466" s="209"/>
      <c r="J12466" s="124"/>
    </row>
    <row r="12467" spans="3:10" x14ac:dyDescent="0.2">
      <c r="C12467" s="209"/>
      <c r="D12467" s="209"/>
      <c r="E12467" s="209"/>
      <c r="J12467" s="124"/>
    </row>
    <row r="12468" spans="3:10" x14ac:dyDescent="0.2">
      <c r="C12468" s="209"/>
      <c r="D12468" s="209"/>
      <c r="E12468" s="209"/>
      <c r="J12468" s="124"/>
    </row>
    <row r="12469" spans="3:10" x14ac:dyDescent="0.2">
      <c r="C12469" s="209"/>
      <c r="D12469" s="209"/>
      <c r="E12469" s="209"/>
      <c r="J12469" s="124"/>
    </row>
    <row r="12470" spans="3:10" x14ac:dyDescent="0.2">
      <c r="C12470" s="209"/>
      <c r="D12470" s="209"/>
      <c r="E12470" s="209"/>
      <c r="J12470" s="124"/>
    </row>
    <row r="12471" spans="3:10" x14ac:dyDescent="0.2">
      <c r="C12471" s="209"/>
      <c r="D12471" s="209"/>
      <c r="E12471" s="209"/>
      <c r="J12471" s="124"/>
    </row>
    <row r="12472" spans="3:10" x14ac:dyDescent="0.2">
      <c r="C12472" s="209"/>
      <c r="D12472" s="209"/>
      <c r="E12472" s="209"/>
      <c r="J12472" s="124"/>
    </row>
    <row r="12473" spans="3:10" x14ac:dyDescent="0.2">
      <c r="C12473" s="209"/>
      <c r="D12473" s="209"/>
      <c r="E12473" s="209"/>
      <c r="J12473" s="124"/>
    </row>
    <row r="12474" spans="3:10" x14ac:dyDescent="0.2">
      <c r="C12474" s="209"/>
      <c r="D12474" s="209"/>
      <c r="E12474" s="209"/>
      <c r="J12474" s="124"/>
    </row>
    <row r="12475" spans="3:10" x14ac:dyDescent="0.2">
      <c r="C12475" s="209"/>
      <c r="D12475" s="209"/>
      <c r="E12475" s="209"/>
      <c r="J12475" s="124"/>
    </row>
    <row r="12476" spans="3:10" x14ac:dyDescent="0.2">
      <c r="C12476" s="209"/>
      <c r="D12476" s="209"/>
      <c r="E12476" s="209"/>
      <c r="J12476" s="124"/>
    </row>
    <row r="12477" spans="3:10" x14ac:dyDescent="0.2">
      <c r="C12477" s="209"/>
      <c r="D12477" s="209"/>
      <c r="E12477" s="209"/>
      <c r="J12477" s="124"/>
    </row>
    <row r="12478" spans="3:10" x14ac:dyDescent="0.2">
      <c r="C12478" s="209"/>
      <c r="D12478" s="209"/>
      <c r="E12478" s="209"/>
      <c r="J12478" s="124"/>
    </row>
    <row r="12479" spans="3:10" x14ac:dyDescent="0.2">
      <c r="C12479" s="209"/>
      <c r="D12479" s="209"/>
      <c r="E12479" s="209"/>
      <c r="J12479" s="124"/>
    </row>
    <row r="12480" spans="3:10" x14ac:dyDescent="0.2">
      <c r="C12480" s="209"/>
      <c r="D12480" s="209"/>
      <c r="E12480" s="209"/>
      <c r="J12480" s="124"/>
    </row>
    <row r="12481" spans="3:10" x14ac:dyDescent="0.2">
      <c r="C12481" s="209"/>
      <c r="D12481" s="209"/>
      <c r="E12481" s="209"/>
      <c r="J12481" s="124"/>
    </row>
    <row r="12482" spans="3:10" x14ac:dyDescent="0.2">
      <c r="C12482" s="209"/>
      <c r="D12482" s="209"/>
      <c r="E12482" s="209"/>
      <c r="J12482" s="124"/>
    </row>
    <row r="12483" spans="3:10" x14ac:dyDescent="0.2">
      <c r="C12483" s="209"/>
      <c r="D12483" s="209"/>
      <c r="E12483" s="209"/>
      <c r="J12483" s="124"/>
    </row>
    <row r="12484" spans="3:10" x14ac:dyDescent="0.2">
      <c r="C12484" s="209"/>
      <c r="D12484" s="209"/>
      <c r="E12484" s="209"/>
      <c r="J12484" s="124"/>
    </row>
    <row r="12485" spans="3:10" x14ac:dyDescent="0.2">
      <c r="C12485" s="209"/>
      <c r="D12485" s="209"/>
      <c r="E12485" s="209"/>
      <c r="J12485" s="124"/>
    </row>
    <row r="12486" spans="3:10" x14ac:dyDescent="0.2">
      <c r="C12486" s="209"/>
      <c r="D12486" s="209"/>
      <c r="E12486" s="209"/>
      <c r="J12486" s="124"/>
    </row>
    <row r="12487" spans="3:10" x14ac:dyDescent="0.2">
      <c r="C12487" s="209"/>
      <c r="D12487" s="209"/>
      <c r="E12487" s="209"/>
      <c r="J12487" s="124"/>
    </row>
    <row r="12488" spans="3:10" x14ac:dyDescent="0.2">
      <c r="C12488" s="209"/>
      <c r="D12488" s="209"/>
      <c r="E12488" s="209"/>
      <c r="J12488" s="124"/>
    </row>
    <row r="12489" spans="3:10" x14ac:dyDescent="0.2">
      <c r="C12489" s="209"/>
      <c r="D12489" s="209"/>
      <c r="E12489" s="209"/>
      <c r="J12489" s="124"/>
    </row>
    <row r="12490" spans="3:10" x14ac:dyDescent="0.2">
      <c r="C12490" s="209"/>
      <c r="D12490" s="209"/>
      <c r="E12490" s="209"/>
      <c r="J12490" s="124"/>
    </row>
    <row r="12491" spans="3:10" x14ac:dyDescent="0.2">
      <c r="C12491" s="209"/>
      <c r="D12491" s="209"/>
      <c r="E12491" s="209"/>
      <c r="J12491" s="124"/>
    </row>
    <row r="12492" spans="3:10" x14ac:dyDescent="0.2">
      <c r="C12492" s="209"/>
      <c r="D12492" s="209"/>
      <c r="E12492" s="209"/>
      <c r="J12492" s="124"/>
    </row>
    <row r="12493" spans="3:10" x14ac:dyDescent="0.2">
      <c r="C12493" s="209"/>
      <c r="D12493" s="209"/>
      <c r="E12493" s="209"/>
      <c r="J12493" s="124"/>
    </row>
    <row r="12494" spans="3:10" x14ac:dyDescent="0.2">
      <c r="C12494" s="209"/>
      <c r="D12494" s="209"/>
      <c r="E12494" s="209"/>
      <c r="J12494" s="124"/>
    </row>
    <row r="12495" spans="3:10" x14ac:dyDescent="0.2">
      <c r="C12495" s="209"/>
      <c r="D12495" s="209"/>
      <c r="E12495" s="209"/>
      <c r="J12495" s="124"/>
    </row>
    <row r="12496" spans="3:10" x14ac:dyDescent="0.2">
      <c r="C12496" s="209"/>
      <c r="D12496" s="209"/>
      <c r="E12496" s="209"/>
      <c r="J12496" s="124"/>
    </row>
    <row r="12497" spans="3:10" x14ac:dyDescent="0.2">
      <c r="C12497" s="209"/>
      <c r="D12497" s="209"/>
      <c r="E12497" s="209"/>
      <c r="J12497" s="124"/>
    </row>
    <row r="12498" spans="3:10" x14ac:dyDescent="0.2">
      <c r="C12498" s="209"/>
      <c r="D12498" s="209"/>
      <c r="E12498" s="209"/>
      <c r="J12498" s="124"/>
    </row>
    <row r="12499" spans="3:10" x14ac:dyDescent="0.2">
      <c r="C12499" s="209"/>
      <c r="D12499" s="209"/>
      <c r="E12499" s="209"/>
      <c r="J12499" s="124"/>
    </row>
    <row r="12500" spans="3:10" x14ac:dyDescent="0.2">
      <c r="C12500" s="209"/>
      <c r="D12500" s="209"/>
      <c r="E12500" s="209"/>
      <c r="J12500" s="124"/>
    </row>
    <row r="12501" spans="3:10" x14ac:dyDescent="0.2">
      <c r="C12501" s="209"/>
      <c r="D12501" s="209"/>
      <c r="E12501" s="209"/>
      <c r="J12501" s="124"/>
    </row>
    <row r="12502" spans="3:10" x14ac:dyDescent="0.2">
      <c r="C12502" s="209"/>
      <c r="D12502" s="209"/>
      <c r="E12502" s="209"/>
      <c r="J12502" s="124"/>
    </row>
    <row r="12503" spans="3:10" x14ac:dyDescent="0.2">
      <c r="C12503" s="209"/>
      <c r="D12503" s="209"/>
      <c r="E12503" s="209"/>
      <c r="J12503" s="124"/>
    </row>
    <row r="12504" spans="3:10" x14ac:dyDescent="0.2">
      <c r="C12504" s="209"/>
      <c r="D12504" s="209"/>
      <c r="E12504" s="209"/>
      <c r="J12504" s="124"/>
    </row>
    <row r="12505" spans="3:10" x14ac:dyDescent="0.2">
      <c r="C12505" s="209"/>
      <c r="D12505" s="209"/>
      <c r="E12505" s="209"/>
      <c r="J12505" s="124"/>
    </row>
    <row r="12506" spans="3:10" x14ac:dyDescent="0.2">
      <c r="C12506" s="209"/>
      <c r="D12506" s="209"/>
      <c r="E12506" s="209"/>
      <c r="J12506" s="124"/>
    </row>
    <row r="12507" spans="3:10" x14ac:dyDescent="0.2">
      <c r="C12507" s="209"/>
      <c r="D12507" s="209"/>
      <c r="E12507" s="209"/>
      <c r="J12507" s="124"/>
    </row>
    <row r="12508" spans="3:10" x14ac:dyDescent="0.2">
      <c r="C12508" s="209"/>
      <c r="D12508" s="209"/>
      <c r="E12508" s="209"/>
      <c r="J12508" s="124"/>
    </row>
    <row r="12509" spans="3:10" x14ac:dyDescent="0.2">
      <c r="C12509" s="209"/>
      <c r="D12509" s="209"/>
      <c r="E12509" s="209"/>
      <c r="J12509" s="124"/>
    </row>
    <row r="12510" spans="3:10" x14ac:dyDescent="0.2">
      <c r="C12510" s="209"/>
      <c r="D12510" s="209"/>
      <c r="E12510" s="209"/>
      <c r="J12510" s="124"/>
    </row>
    <row r="12511" spans="3:10" x14ac:dyDescent="0.2">
      <c r="C12511" s="209"/>
      <c r="D12511" s="209"/>
      <c r="E12511" s="209"/>
      <c r="J12511" s="124"/>
    </row>
    <row r="12512" spans="3:10" x14ac:dyDescent="0.2">
      <c r="C12512" s="209"/>
      <c r="D12512" s="209"/>
      <c r="E12512" s="209"/>
      <c r="J12512" s="124"/>
    </row>
    <row r="12513" spans="3:10" x14ac:dyDescent="0.2">
      <c r="C12513" s="209"/>
      <c r="D12513" s="209"/>
      <c r="E12513" s="209"/>
      <c r="J12513" s="124"/>
    </row>
    <row r="12514" spans="3:10" x14ac:dyDescent="0.2">
      <c r="C12514" s="209"/>
      <c r="D12514" s="209"/>
      <c r="E12514" s="209"/>
      <c r="J12514" s="124"/>
    </row>
    <row r="12515" spans="3:10" x14ac:dyDescent="0.2">
      <c r="C12515" s="209"/>
      <c r="D12515" s="209"/>
      <c r="E12515" s="209"/>
      <c r="J12515" s="124"/>
    </row>
    <row r="12516" spans="3:10" x14ac:dyDescent="0.2">
      <c r="C12516" s="209"/>
      <c r="D12516" s="209"/>
      <c r="E12516" s="209"/>
      <c r="J12516" s="124"/>
    </row>
    <row r="12517" spans="3:10" x14ac:dyDescent="0.2">
      <c r="C12517" s="209"/>
      <c r="D12517" s="209"/>
      <c r="E12517" s="209"/>
      <c r="J12517" s="124"/>
    </row>
    <row r="12518" spans="3:10" x14ac:dyDescent="0.2">
      <c r="C12518" s="209"/>
      <c r="D12518" s="209"/>
      <c r="E12518" s="209"/>
      <c r="J12518" s="124"/>
    </row>
    <row r="12519" spans="3:10" x14ac:dyDescent="0.2">
      <c r="C12519" s="209"/>
      <c r="D12519" s="209"/>
      <c r="E12519" s="209"/>
      <c r="J12519" s="124"/>
    </row>
    <row r="12520" spans="3:10" x14ac:dyDescent="0.2">
      <c r="C12520" s="209"/>
      <c r="D12520" s="209"/>
      <c r="E12520" s="209"/>
      <c r="J12520" s="124"/>
    </row>
    <row r="12521" spans="3:10" x14ac:dyDescent="0.2">
      <c r="C12521" s="209"/>
      <c r="D12521" s="209"/>
      <c r="E12521" s="209"/>
      <c r="J12521" s="124"/>
    </row>
    <row r="12522" spans="3:10" x14ac:dyDescent="0.2">
      <c r="C12522" s="209"/>
      <c r="D12522" s="209"/>
      <c r="E12522" s="209"/>
      <c r="J12522" s="124"/>
    </row>
    <row r="12523" spans="3:10" x14ac:dyDescent="0.2">
      <c r="C12523" s="209"/>
      <c r="D12523" s="209"/>
      <c r="E12523" s="209"/>
      <c r="J12523" s="124"/>
    </row>
    <row r="12524" spans="3:10" x14ac:dyDescent="0.2">
      <c r="C12524" s="209"/>
      <c r="D12524" s="209"/>
      <c r="E12524" s="209"/>
      <c r="J12524" s="124"/>
    </row>
    <row r="12525" spans="3:10" x14ac:dyDescent="0.2">
      <c r="C12525" s="209"/>
      <c r="D12525" s="209"/>
      <c r="E12525" s="209"/>
      <c r="J12525" s="124"/>
    </row>
    <row r="12526" spans="3:10" x14ac:dyDescent="0.2">
      <c r="C12526" s="209"/>
      <c r="D12526" s="209"/>
      <c r="E12526" s="209"/>
      <c r="J12526" s="124"/>
    </row>
    <row r="12527" spans="3:10" x14ac:dyDescent="0.2">
      <c r="C12527" s="209"/>
      <c r="D12527" s="209"/>
      <c r="E12527" s="209"/>
      <c r="J12527" s="124"/>
    </row>
    <row r="12528" spans="3:10" x14ac:dyDescent="0.2">
      <c r="C12528" s="209"/>
      <c r="D12528" s="209"/>
      <c r="E12528" s="209"/>
      <c r="J12528" s="124"/>
    </row>
    <row r="12529" spans="3:10" x14ac:dyDescent="0.2">
      <c r="C12529" s="209"/>
      <c r="D12529" s="209"/>
      <c r="E12529" s="209"/>
      <c r="J12529" s="124"/>
    </row>
    <row r="12530" spans="3:10" x14ac:dyDescent="0.2">
      <c r="C12530" s="209"/>
      <c r="D12530" s="209"/>
      <c r="E12530" s="209"/>
      <c r="J12530" s="124"/>
    </row>
    <row r="12531" spans="3:10" x14ac:dyDescent="0.2">
      <c r="C12531" s="209"/>
      <c r="D12531" s="209"/>
      <c r="E12531" s="209"/>
      <c r="J12531" s="124"/>
    </row>
    <row r="12532" spans="3:10" x14ac:dyDescent="0.2">
      <c r="C12532" s="209"/>
      <c r="D12532" s="209"/>
      <c r="E12532" s="209"/>
      <c r="J12532" s="124"/>
    </row>
    <row r="12533" spans="3:10" x14ac:dyDescent="0.2">
      <c r="C12533" s="209"/>
      <c r="D12533" s="209"/>
      <c r="E12533" s="209"/>
      <c r="J12533" s="124"/>
    </row>
    <row r="12534" spans="3:10" x14ac:dyDescent="0.2">
      <c r="C12534" s="209"/>
      <c r="D12534" s="209"/>
      <c r="E12534" s="209"/>
      <c r="J12534" s="124"/>
    </row>
    <row r="12535" spans="3:10" x14ac:dyDescent="0.2">
      <c r="C12535" s="209"/>
      <c r="D12535" s="209"/>
      <c r="E12535" s="209"/>
      <c r="J12535" s="124"/>
    </row>
    <row r="12536" spans="3:10" x14ac:dyDescent="0.2">
      <c r="C12536" s="209"/>
      <c r="D12536" s="209"/>
      <c r="E12536" s="209"/>
      <c r="J12536" s="124"/>
    </row>
    <row r="12537" spans="3:10" x14ac:dyDescent="0.2">
      <c r="C12537" s="209"/>
      <c r="D12537" s="209"/>
      <c r="E12537" s="209"/>
      <c r="J12537" s="124"/>
    </row>
    <row r="12538" spans="3:10" x14ac:dyDescent="0.2">
      <c r="C12538" s="209"/>
      <c r="D12538" s="209"/>
      <c r="E12538" s="209"/>
      <c r="J12538" s="124"/>
    </row>
    <row r="12539" spans="3:10" x14ac:dyDescent="0.2">
      <c r="C12539" s="209"/>
      <c r="D12539" s="209"/>
      <c r="E12539" s="209"/>
      <c r="J12539" s="124"/>
    </row>
    <row r="12540" spans="3:10" x14ac:dyDescent="0.2">
      <c r="C12540" s="209"/>
      <c r="D12540" s="209"/>
      <c r="E12540" s="209"/>
      <c r="J12540" s="124"/>
    </row>
    <row r="12541" spans="3:10" x14ac:dyDescent="0.2">
      <c r="C12541" s="209"/>
      <c r="D12541" s="209"/>
      <c r="E12541" s="209"/>
      <c r="J12541" s="124"/>
    </row>
    <row r="12542" spans="3:10" x14ac:dyDescent="0.2">
      <c r="C12542" s="209"/>
      <c r="D12542" s="209"/>
      <c r="E12542" s="209"/>
      <c r="J12542" s="124"/>
    </row>
    <row r="12543" spans="3:10" x14ac:dyDescent="0.2">
      <c r="C12543" s="209"/>
      <c r="D12543" s="209"/>
      <c r="E12543" s="209"/>
      <c r="J12543" s="124"/>
    </row>
    <row r="12544" spans="3:10" x14ac:dyDescent="0.2">
      <c r="C12544" s="209"/>
      <c r="D12544" s="209"/>
      <c r="E12544" s="209"/>
      <c r="J12544" s="124"/>
    </row>
    <row r="12545" spans="3:10" x14ac:dyDescent="0.2">
      <c r="C12545" s="209"/>
      <c r="D12545" s="209"/>
      <c r="E12545" s="209"/>
      <c r="J12545" s="124"/>
    </row>
    <row r="12546" spans="3:10" x14ac:dyDescent="0.2">
      <c r="C12546" s="209"/>
      <c r="D12546" s="209"/>
      <c r="E12546" s="209"/>
      <c r="J12546" s="124"/>
    </row>
    <row r="12547" spans="3:10" x14ac:dyDescent="0.2">
      <c r="C12547" s="209"/>
      <c r="D12547" s="209"/>
      <c r="E12547" s="209"/>
      <c r="J12547" s="124"/>
    </row>
    <row r="12548" spans="3:10" x14ac:dyDescent="0.2">
      <c r="C12548" s="209"/>
      <c r="D12548" s="209"/>
      <c r="E12548" s="209"/>
      <c r="J12548" s="124"/>
    </row>
    <row r="12549" spans="3:10" x14ac:dyDescent="0.2">
      <c r="C12549" s="209"/>
      <c r="D12549" s="209"/>
      <c r="E12549" s="209"/>
      <c r="J12549" s="124"/>
    </row>
    <row r="12550" spans="3:10" x14ac:dyDescent="0.2">
      <c r="C12550" s="209"/>
      <c r="D12550" s="209"/>
      <c r="E12550" s="209"/>
      <c r="J12550" s="124"/>
    </row>
    <row r="12551" spans="3:10" x14ac:dyDescent="0.2">
      <c r="C12551" s="209"/>
      <c r="D12551" s="209"/>
      <c r="E12551" s="209"/>
      <c r="J12551" s="124"/>
    </row>
    <row r="12552" spans="3:10" x14ac:dyDescent="0.2">
      <c r="C12552" s="209"/>
      <c r="D12552" s="209"/>
      <c r="E12552" s="209"/>
      <c r="J12552" s="124"/>
    </row>
    <row r="12553" spans="3:10" x14ac:dyDescent="0.2">
      <c r="C12553" s="209"/>
      <c r="D12553" s="209"/>
      <c r="E12553" s="209"/>
      <c r="J12553" s="124"/>
    </row>
    <row r="12554" spans="3:10" x14ac:dyDescent="0.2">
      <c r="C12554" s="209"/>
      <c r="D12554" s="209"/>
      <c r="E12554" s="209"/>
      <c r="J12554" s="124"/>
    </row>
    <row r="12555" spans="3:10" x14ac:dyDescent="0.2">
      <c r="C12555" s="209"/>
      <c r="D12555" s="209"/>
      <c r="E12555" s="209"/>
      <c r="J12555" s="124"/>
    </row>
    <row r="12556" spans="3:10" x14ac:dyDescent="0.2">
      <c r="C12556" s="209"/>
      <c r="D12556" s="209"/>
      <c r="E12556" s="209"/>
      <c r="J12556" s="124"/>
    </row>
    <row r="12557" spans="3:10" x14ac:dyDescent="0.2">
      <c r="C12557" s="209"/>
      <c r="D12557" s="209"/>
      <c r="E12557" s="209"/>
      <c r="J12557" s="124"/>
    </row>
    <row r="12558" spans="3:10" x14ac:dyDescent="0.2">
      <c r="C12558" s="209"/>
      <c r="D12558" s="209"/>
      <c r="E12558" s="209"/>
      <c r="J12558" s="124"/>
    </row>
    <row r="12559" spans="3:10" x14ac:dyDescent="0.2">
      <c r="C12559" s="209"/>
      <c r="D12559" s="209"/>
      <c r="E12559" s="209"/>
      <c r="J12559" s="124"/>
    </row>
    <row r="12560" spans="3:10" x14ac:dyDescent="0.2">
      <c r="C12560" s="209"/>
      <c r="D12560" s="209"/>
      <c r="E12560" s="209"/>
      <c r="J12560" s="124"/>
    </row>
    <row r="12561" spans="3:10" x14ac:dyDescent="0.2">
      <c r="C12561" s="209"/>
      <c r="D12561" s="209"/>
      <c r="E12561" s="209"/>
      <c r="J12561" s="124"/>
    </row>
    <row r="12562" spans="3:10" x14ac:dyDescent="0.2">
      <c r="C12562" s="209"/>
      <c r="D12562" s="209"/>
      <c r="E12562" s="209"/>
      <c r="J12562" s="124"/>
    </row>
    <row r="12563" spans="3:10" x14ac:dyDescent="0.2">
      <c r="C12563" s="209"/>
      <c r="D12563" s="209"/>
      <c r="E12563" s="209"/>
      <c r="J12563" s="124"/>
    </row>
    <row r="12564" spans="3:10" x14ac:dyDescent="0.2">
      <c r="C12564" s="209"/>
      <c r="D12564" s="209"/>
      <c r="E12564" s="209"/>
      <c r="J12564" s="124"/>
    </row>
    <row r="12565" spans="3:10" x14ac:dyDescent="0.2">
      <c r="C12565" s="209"/>
      <c r="D12565" s="209"/>
      <c r="E12565" s="209"/>
      <c r="J12565" s="124"/>
    </row>
    <row r="12566" spans="3:10" x14ac:dyDescent="0.2">
      <c r="C12566" s="209"/>
      <c r="D12566" s="209"/>
      <c r="E12566" s="209"/>
      <c r="J12566" s="124"/>
    </row>
    <row r="12567" spans="3:10" x14ac:dyDescent="0.2">
      <c r="C12567" s="209"/>
      <c r="D12567" s="209"/>
      <c r="E12567" s="209"/>
      <c r="J12567" s="124"/>
    </row>
    <row r="12568" spans="3:10" x14ac:dyDescent="0.2">
      <c r="C12568" s="209"/>
      <c r="D12568" s="209"/>
      <c r="E12568" s="209"/>
      <c r="J12568" s="124"/>
    </row>
    <row r="12569" spans="3:10" x14ac:dyDescent="0.2">
      <c r="C12569" s="209"/>
      <c r="D12569" s="209"/>
      <c r="E12569" s="209"/>
      <c r="J12569" s="124"/>
    </row>
    <row r="12570" spans="3:10" x14ac:dyDescent="0.2">
      <c r="C12570" s="209"/>
      <c r="D12570" s="209"/>
      <c r="E12570" s="209"/>
      <c r="J12570" s="124"/>
    </row>
    <row r="12571" spans="3:10" x14ac:dyDescent="0.2">
      <c r="C12571" s="209"/>
      <c r="D12571" s="209"/>
      <c r="E12571" s="209"/>
      <c r="J12571" s="124"/>
    </row>
    <row r="12572" spans="3:10" x14ac:dyDescent="0.2">
      <c r="C12572" s="209"/>
      <c r="D12572" s="209"/>
      <c r="E12572" s="209"/>
      <c r="J12572" s="124"/>
    </row>
    <row r="12573" spans="3:10" x14ac:dyDescent="0.2">
      <c r="C12573" s="209"/>
      <c r="D12573" s="209"/>
      <c r="E12573" s="209"/>
      <c r="J12573" s="124"/>
    </row>
    <row r="12574" spans="3:10" x14ac:dyDescent="0.2">
      <c r="C12574" s="209"/>
      <c r="D12574" s="209"/>
      <c r="E12574" s="209"/>
      <c r="J12574" s="124"/>
    </row>
    <row r="12575" spans="3:10" x14ac:dyDescent="0.2">
      <c r="C12575" s="209"/>
      <c r="D12575" s="209"/>
      <c r="E12575" s="209"/>
      <c r="J12575" s="124"/>
    </row>
    <row r="12576" spans="3:10" x14ac:dyDescent="0.2">
      <c r="C12576" s="209"/>
      <c r="D12576" s="209"/>
      <c r="E12576" s="209"/>
      <c r="J12576" s="124"/>
    </row>
    <row r="12577" spans="3:10" x14ac:dyDescent="0.2">
      <c r="C12577" s="209"/>
      <c r="D12577" s="209"/>
      <c r="E12577" s="209"/>
      <c r="J12577" s="124"/>
    </row>
    <row r="12578" spans="3:10" x14ac:dyDescent="0.2">
      <c r="C12578" s="209"/>
      <c r="D12578" s="209"/>
      <c r="E12578" s="209"/>
      <c r="J12578" s="124"/>
    </row>
    <row r="12579" spans="3:10" x14ac:dyDescent="0.2">
      <c r="C12579" s="209"/>
      <c r="D12579" s="209"/>
      <c r="E12579" s="209"/>
      <c r="J12579" s="124"/>
    </row>
    <row r="12580" spans="3:10" x14ac:dyDescent="0.2">
      <c r="C12580" s="209"/>
      <c r="D12580" s="209"/>
      <c r="E12580" s="209"/>
      <c r="J12580" s="124"/>
    </row>
    <row r="12581" spans="3:10" x14ac:dyDescent="0.2">
      <c r="C12581" s="209"/>
      <c r="D12581" s="209"/>
      <c r="E12581" s="209"/>
      <c r="J12581" s="124"/>
    </row>
    <row r="12582" spans="3:10" x14ac:dyDescent="0.2">
      <c r="C12582" s="209"/>
      <c r="D12582" s="209"/>
      <c r="E12582" s="209"/>
      <c r="J12582" s="124"/>
    </row>
    <row r="12583" spans="3:10" x14ac:dyDescent="0.2">
      <c r="C12583" s="209"/>
      <c r="D12583" s="209"/>
      <c r="E12583" s="209"/>
      <c r="J12583" s="124"/>
    </row>
    <row r="12584" spans="3:10" x14ac:dyDescent="0.2">
      <c r="C12584" s="209"/>
      <c r="D12584" s="209"/>
      <c r="E12584" s="209"/>
      <c r="J12584" s="124"/>
    </row>
    <row r="12585" spans="3:10" x14ac:dyDescent="0.2">
      <c r="C12585" s="209"/>
      <c r="D12585" s="209"/>
      <c r="E12585" s="209"/>
      <c r="J12585" s="124"/>
    </row>
    <row r="12586" spans="3:10" x14ac:dyDescent="0.2">
      <c r="C12586" s="209"/>
      <c r="D12586" s="209"/>
      <c r="E12586" s="209"/>
      <c r="J12586" s="124"/>
    </row>
    <row r="12587" spans="3:10" x14ac:dyDescent="0.2">
      <c r="C12587" s="209"/>
      <c r="D12587" s="209"/>
      <c r="E12587" s="209"/>
      <c r="J12587" s="124"/>
    </row>
    <row r="12588" spans="3:10" x14ac:dyDescent="0.2">
      <c r="C12588" s="209"/>
      <c r="D12588" s="209"/>
      <c r="E12588" s="209"/>
      <c r="J12588" s="124"/>
    </row>
    <row r="12589" spans="3:10" x14ac:dyDescent="0.2">
      <c r="C12589" s="209"/>
      <c r="D12589" s="209"/>
      <c r="E12589" s="209"/>
      <c r="J12589" s="124"/>
    </row>
    <row r="12590" spans="3:10" x14ac:dyDescent="0.2">
      <c r="C12590" s="209"/>
      <c r="D12590" s="209"/>
      <c r="E12590" s="209"/>
      <c r="J12590" s="124"/>
    </row>
    <row r="12591" spans="3:10" x14ac:dyDescent="0.2">
      <c r="C12591" s="209"/>
      <c r="D12591" s="209"/>
      <c r="E12591" s="209"/>
      <c r="J12591" s="124"/>
    </row>
    <row r="12592" spans="3:10" x14ac:dyDescent="0.2">
      <c r="C12592" s="209"/>
      <c r="D12592" s="209"/>
      <c r="E12592" s="209"/>
      <c r="J12592" s="124"/>
    </row>
    <row r="12593" spans="3:10" x14ac:dyDescent="0.2">
      <c r="C12593" s="209"/>
      <c r="D12593" s="209"/>
      <c r="E12593" s="209"/>
      <c r="J12593" s="124"/>
    </row>
    <row r="12594" spans="3:10" x14ac:dyDescent="0.2">
      <c r="C12594" s="209"/>
      <c r="D12594" s="209"/>
      <c r="E12594" s="209"/>
      <c r="J12594" s="124"/>
    </row>
    <row r="12595" spans="3:10" x14ac:dyDescent="0.2">
      <c r="C12595" s="209"/>
      <c r="D12595" s="209"/>
      <c r="E12595" s="209"/>
      <c r="J12595" s="124"/>
    </row>
    <row r="12596" spans="3:10" x14ac:dyDescent="0.2">
      <c r="C12596" s="209"/>
      <c r="D12596" s="209"/>
      <c r="E12596" s="209"/>
      <c r="J12596" s="124"/>
    </row>
    <row r="12597" spans="3:10" x14ac:dyDescent="0.2">
      <c r="C12597" s="209"/>
      <c r="D12597" s="209"/>
      <c r="E12597" s="209"/>
      <c r="J12597" s="124"/>
    </row>
    <row r="12598" spans="3:10" x14ac:dyDescent="0.2">
      <c r="C12598" s="209"/>
      <c r="D12598" s="209"/>
      <c r="E12598" s="209"/>
      <c r="J12598" s="124"/>
    </row>
    <row r="12599" spans="3:10" x14ac:dyDescent="0.2">
      <c r="C12599" s="209"/>
      <c r="D12599" s="209"/>
      <c r="E12599" s="209"/>
      <c r="J12599" s="124"/>
    </row>
    <row r="12600" spans="3:10" x14ac:dyDescent="0.2">
      <c r="C12600" s="209"/>
      <c r="D12600" s="209"/>
      <c r="E12600" s="209"/>
      <c r="J12600" s="124"/>
    </row>
    <row r="12601" spans="3:10" x14ac:dyDescent="0.2">
      <c r="C12601" s="209"/>
      <c r="D12601" s="209"/>
      <c r="E12601" s="209"/>
      <c r="J12601" s="124"/>
    </row>
    <row r="12602" spans="3:10" x14ac:dyDescent="0.2">
      <c r="C12602" s="209"/>
      <c r="D12602" s="209"/>
      <c r="E12602" s="209"/>
      <c r="J12602" s="124"/>
    </row>
    <row r="12603" spans="3:10" x14ac:dyDescent="0.2">
      <c r="C12603" s="209"/>
      <c r="D12603" s="209"/>
      <c r="E12603" s="209"/>
      <c r="J12603" s="124"/>
    </row>
    <row r="12604" spans="3:10" x14ac:dyDescent="0.2">
      <c r="C12604" s="209"/>
      <c r="D12604" s="209"/>
      <c r="E12604" s="209"/>
      <c r="J12604" s="124"/>
    </row>
    <row r="12605" spans="3:10" x14ac:dyDescent="0.2">
      <c r="C12605" s="209"/>
      <c r="D12605" s="209"/>
      <c r="E12605" s="209"/>
      <c r="J12605" s="124"/>
    </row>
    <row r="12606" spans="3:10" x14ac:dyDescent="0.2">
      <c r="C12606" s="209"/>
      <c r="D12606" s="209"/>
      <c r="E12606" s="209"/>
      <c r="J12606" s="124"/>
    </row>
    <row r="12607" spans="3:10" x14ac:dyDescent="0.2">
      <c r="C12607" s="209"/>
      <c r="D12607" s="209"/>
      <c r="E12607" s="209"/>
      <c r="J12607" s="124"/>
    </row>
    <row r="12608" spans="3:10" x14ac:dyDescent="0.2">
      <c r="C12608" s="209"/>
      <c r="D12608" s="209"/>
      <c r="E12608" s="209"/>
      <c r="J12608" s="124"/>
    </row>
    <row r="12609" spans="3:10" x14ac:dyDescent="0.2">
      <c r="C12609" s="209"/>
      <c r="D12609" s="209"/>
      <c r="E12609" s="209"/>
      <c r="J12609" s="124"/>
    </row>
    <row r="12610" spans="3:10" x14ac:dyDescent="0.2">
      <c r="C12610" s="209"/>
      <c r="D12610" s="209"/>
      <c r="E12610" s="209"/>
      <c r="J12610" s="124"/>
    </row>
    <row r="12611" spans="3:10" x14ac:dyDescent="0.2">
      <c r="C12611" s="209"/>
      <c r="D12611" s="209"/>
      <c r="E12611" s="209"/>
      <c r="J12611" s="124"/>
    </row>
    <row r="12612" spans="3:10" x14ac:dyDescent="0.2">
      <c r="C12612" s="209"/>
      <c r="D12612" s="209"/>
      <c r="E12612" s="209"/>
      <c r="J12612" s="124"/>
    </row>
    <row r="12613" spans="3:10" x14ac:dyDescent="0.2">
      <c r="C12613" s="209"/>
      <c r="D12613" s="209"/>
      <c r="E12613" s="209"/>
      <c r="J12613" s="124"/>
    </row>
    <row r="12614" spans="3:10" x14ac:dyDescent="0.2">
      <c r="C12614" s="209"/>
      <c r="D12614" s="209"/>
      <c r="E12614" s="209"/>
      <c r="J12614" s="124"/>
    </row>
    <row r="12615" spans="3:10" x14ac:dyDescent="0.2">
      <c r="C12615" s="209"/>
      <c r="D12615" s="209"/>
      <c r="E12615" s="209"/>
      <c r="J12615" s="124"/>
    </row>
    <row r="12616" spans="3:10" x14ac:dyDescent="0.2">
      <c r="C12616" s="209"/>
      <c r="D12616" s="209"/>
      <c r="E12616" s="209"/>
      <c r="J12616" s="124"/>
    </row>
    <row r="12617" spans="3:10" x14ac:dyDescent="0.2">
      <c r="C12617" s="209"/>
      <c r="D12617" s="209"/>
      <c r="E12617" s="209"/>
      <c r="J12617" s="124"/>
    </row>
    <row r="12618" spans="3:10" x14ac:dyDescent="0.2">
      <c r="C12618" s="209"/>
      <c r="D12618" s="209"/>
      <c r="E12618" s="209"/>
      <c r="J12618" s="124"/>
    </row>
    <row r="12619" spans="3:10" x14ac:dyDescent="0.2">
      <c r="C12619" s="209"/>
      <c r="D12619" s="209"/>
      <c r="E12619" s="209"/>
      <c r="J12619" s="124"/>
    </row>
    <row r="12620" spans="3:10" x14ac:dyDescent="0.2">
      <c r="C12620" s="209"/>
      <c r="D12620" s="209"/>
      <c r="E12620" s="209"/>
      <c r="J12620" s="124"/>
    </row>
    <row r="12621" spans="3:10" x14ac:dyDescent="0.2">
      <c r="C12621" s="209"/>
      <c r="D12621" s="209"/>
      <c r="E12621" s="209"/>
      <c r="J12621" s="124"/>
    </row>
    <row r="12622" spans="3:10" x14ac:dyDescent="0.2">
      <c r="C12622" s="209"/>
      <c r="D12622" s="209"/>
      <c r="E12622" s="209"/>
      <c r="J12622" s="124"/>
    </row>
    <row r="12623" spans="3:10" x14ac:dyDescent="0.2">
      <c r="C12623" s="209"/>
      <c r="D12623" s="209"/>
      <c r="E12623" s="209"/>
      <c r="J12623" s="124"/>
    </row>
    <row r="12624" spans="3:10" x14ac:dyDescent="0.2">
      <c r="C12624" s="209"/>
      <c r="D12624" s="209"/>
      <c r="E12624" s="209"/>
      <c r="J12624" s="124"/>
    </row>
    <row r="12625" spans="3:10" x14ac:dyDescent="0.2">
      <c r="C12625" s="209"/>
      <c r="D12625" s="209"/>
      <c r="E12625" s="209"/>
      <c r="J12625" s="124"/>
    </row>
    <row r="12626" spans="3:10" x14ac:dyDescent="0.2">
      <c r="C12626" s="209"/>
      <c r="D12626" s="209"/>
      <c r="E12626" s="209"/>
      <c r="J12626" s="124"/>
    </row>
    <row r="12627" spans="3:10" x14ac:dyDescent="0.2">
      <c r="C12627" s="209"/>
      <c r="D12627" s="209"/>
      <c r="E12627" s="209"/>
      <c r="J12627" s="124"/>
    </row>
    <row r="12628" spans="3:10" x14ac:dyDescent="0.2">
      <c r="C12628" s="209"/>
      <c r="D12628" s="209"/>
      <c r="E12628" s="209"/>
      <c r="J12628" s="124"/>
    </row>
    <row r="12629" spans="3:10" x14ac:dyDescent="0.2">
      <c r="C12629" s="209"/>
      <c r="D12629" s="209"/>
      <c r="E12629" s="209"/>
      <c r="J12629" s="124"/>
    </row>
    <row r="12630" spans="3:10" x14ac:dyDescent="0.2">
      <c r="C12630" s="209"/>
      <c r="D12630" s="209"/>
      <c r="E12630" s="209"/>
      <c r="J12630" s="124"/>
    </row>
    <row r="12631" spans="3:10" x14ac:dyDescent="0.2">
      <c r="C12631" s="209"/>
      <c r="D12631" s="209"/>
      <c r="E12631" s="209"/>
      <c r="J12631" s="124"/>
    </row>
    <row r="12632" spans="3:10" x14ac:dyDescent="0.2">
      <c r="C12632" s="209"/>
      <c r="D12632" s="209"/>
      <c r="E12632" s="209"/>
      <c r="J12632" s="124"/>
    </row>
    <row r="12633" spans="3:10" x14ac:dyDescent="0.2">
      <c r="C12633" s="209"/>
      <c r="D12633" s="209"/>
      <c r="E12633" s="209"/>
      <c r="J12633" s="124"/>
    </row>
    <row r="12634" spans="3:10" x14ac:dyDescent="0.2">
      <c r="C12634" s="209"/>
      <c r="D12634" s="209"/>
      <c r="E12634" s="209"/>
      <c r="J12634" s="124"/>
    </row>
    <row r="12635" spans="3:10" x14ac:dyDescent="0.2">
      <c r="C12635" s="209"/>
      <c r="D12635" s="209"/>
      <c r="E12635" s="209"/>
      <c r="J12635" s="124"/>
    </row>
    <row r="12636" spans="3:10" x14ac:dyDescent="0.2">
      <c r="C12636" s="209"/>
      <c r="D12636" s="209"/>
      <c r="E12636" s="209"/>
      <c r="J12636" s="124"/>
    </row>
    <row r="12637" spans="3:10" x14ac:dyDescent="0.2">
      <c r="C12637" s="209"/>
      <c r="D12637" s="209"/>
      <c r="E12637" s="209"/>
      <c r="J12637" s="124"/>
    </row>
    <row r="12638" spans="3:10" x14ac:dyDescent="0.2">
      <c r="C12638" s="209"/>
      <c r="D12638" s="209"/>
      <c r="E12638" s="209"/>
      <c r="J12638" s="124"/>
    </row>
    <row r="12639" spans="3:10" x14ac:dyDescent="0.2">
      <c r="C12639" s="209"/>
      <c r="D12639" s="209"/>
      <c r="E12639" s="209"/>
      <c r="J12639" s="124"/>
    </row>
    <row r="12640" spans="3:10" x14ac:dyDescent="0.2">
      <c r="C12640" s="209"/>
      <c r="D12640" s="209"/>
      <c r="E12640" s="209"/>
      <c r="J12640" s="124"/>
    </row>
    <row r="12641" spans="3:10" x14ac:dyDescent="0.2">
      <c r="C12641" s="209"/>
      <c r="D12641" s="209"/>
      <c r="E12641" s="209"/>
      <c r="J12641" s="124"/>
    </row>
    <row r="12642" spans="3:10" x14ac:dyDescent="0.2">
      <c r="C12642" s="209"/>
      <c r="D12642" s="209"/>
      <c r="E12642" s="209"/>
      <c r="J12642" s="124"/>
    </row>
    <row r="12643" spans="3:10" x14ac:dyDescent="0.2">
      <c r="C12643" s="209"/>
      <c r="D12643" s="209"/>
      <c r="E12643" s="209"/>
      <c r="J12643" s="124"/>
    </row>
    <row r="12644" spans="3:10" x14ac:dyDescent="0.2">
      <c r="C12644" s="209"/>
      <c r="D12644" s="209"/>
      <c r="E12644" s="209"/>
      <c r="J12644" s="124"/>
    </row>
    <row r="12645" spans="3:10" x14ac:dyDescent="0.2">
      <c r="C12645" s="209"/>
      <c r="D12645" s="209"/>
      <c r="E12645" s="209"/>
      <c r="J12645" s="124"/>
    </row>
    <row r="12646" spans="3:10" x14ac:dyDescent="0.2">
      <c r="C12646" s="209"/>
      <c r="D12646" s="209"/>
      <c r="E12646" s="209"/>
      <c r="J12646" s="124"/>
    </row>
    <row r="12647" spans="3:10" x14ac:dyDescent="0.2">
      <c r="C12647" s="209"/>
      <c r="D12647" s="209"/>
      <c r="E12647" s="209"/>
      <c r="J12647" s="124"/>
    </row>
    <row r="12648" spans="3:10" x14ac:dyDescent="0.2">
      <c r="C12648" s="209"/>
      <c r="D12648" s="209"/>
      <c r="E12648" s="209"/>
      <c r="J12648" s="124"/>
    </row>
    <row r="12649" spans="3:10" x14ac:dyDescent="0.2">
      <c r="C12649" s="209"/>
      <c r="D12649" s="209"/>
      <c r="E12649" s="209"/>
      <c r="J12649" s="124"/>
    </row>
    <row r="12650" spans="3:10" x14ac:dyDescent="0.2">
      <c r="C12650" s="209"/>
      <c r="D12650" s="209"/>
      <c r="E12650" s="209"/>
      <c r="J12650" s="124"/>
    </row>
    <row r="12651" spans="3:10" x14ac:dyDescent="0.2">
      <c r="C12651" s="209"/>
      <c r="D12651" s="209"/>
      <c r="E12651" s="209"/>
      <c r="J12651" s="124"/>
    </row>
    <row r="12652" spans="3:10" x14ac:dyDescent="0.2">
      <c r="C12652" s="209"/>
      <c r="D12652" s="209"/>
      <c r="E12652" s="209"/>
      <c r="J12652" s="124"/>
    </row>
    <row r="12653" spans="3:10" x14ac:dyDescent="0.2">
      <c r="C12653" s="209"/>
      <c r="D12653" s="209"/>
      <c r="E12653" s="209"/>
      <c r="J12653" s="124"/>
    </row>
    <row r="12654" spans="3:10" x14ac:dyDescent="0.2">
      <c r="C12654" s="209"/>
      <c r="D12654" s="209"/>
      <c r="E12654" s="209"/>
      <c r="J12654" s="124"/>
    </row>
    <row r="12655" spans="3:10" x14ac:dyDescent="0.2">
      <c r="C12655" s="209"/>
      <c r="D12655" s="209"/>
      <c r="E12655" s="209"/>
      <c r="J12655" s="124"/>
    </row>
    <row r="12656" spans="3:10" x14ac:dyDescent="0.2">
      <c r="C12656" s="209"/>
      <c r="D12656" s="209"/>
      <c r="E12656" s="209"/>
      <c r="J12656" s="124"/>
    </row>
    <row r="12657" spans="3:10" x14ac:dyDescent="0.2">
      <c r="C12657" s="209"/>
      <c r="D12657" s="209"/>
      <c r="E12657" s="209"/>
      <c r="J12657" s="124"/>
    </row>
    <row r="12658" spans="3:10" x14ac:dyDescent="0.2">
      <c r="C12658" s="209"/>
      <c r="D12658" s="209"/>
      <c r="E12658" s="209"/>
      <c r="J12658" s="124"/>
    </row>
    <row r="12659" spans="3:10" x14ac:dyDescent="0.2">
      <c r="C12659" s="209"/>
      <c r="D12659" s="209"/>
      <c r="E12659" s="209"/>
      <c r="J12659" s="124"/>
    </row>
    <row r="12660" spans="3:10" x14ac:dyDescent="0.2">
      <c r="C12660" s="209"/>
      <c r="D12660" s="209"/>
      <c r="E12660" s="209"/>
      <c r="J12660" s="124"/>
    </row>
    <row r="12661" spans="3:10" x14ac:dyDescent="0.2">
      <c r="C12661" s="209"/>
      <c r="D12661" s="209"/>
      <c r="E12661" s="209"/>
      <c r="J12661" s="124"/>
    </row>
    <row r="12662" spans="3:10" x14ac:dyDescent="0.2">
      <c r="C12662" s="209"/>
      <c r="D12662" s="209"/>
      <c r="E12662" s="209"/>
      <c r="J12662" s="124"/>
    </row>
    <row r="12663" spans="3:10" x14ac:dyDescent="0.2">
      <c r="C12663" s="209"/>
      <c r="D12663" s="209"/>
      <c r="E12663" s="209"/>
      <c r="J12663" s="124"/>
    </row>
    <row r="12664" spans="3:10" x14ac:dyDescent="0.2">
      <c r="C12664" s="209"/>
      <c r="D12664" s="209"/>
      <c r="E12664" s="209"/>
      <c r="J12664" s="124"/>
    </row>
    <row r="12665" spans="3:10" x14ac:dyDescent="0.2">
      <c r="C12665" s="209"/>
      <c r="D12665" s="209"/>
      <c r="E12665" s="209"/>
      <c r="J12665" s="124"/>
    </row>
    <row r="12666" spans="3:10" x14ac:dyDescent="0.2">
      <c r="C12666" s="209"/>
      <c r="D12666" s="209"/>
      <c r="E12666" s="209"/>
      <c r="J12666" s="124"/>
    </row>
    <row r="12667" spans="3:10" x14ac:dyDescent="0.2">
      <c r="C12667" s="209"/>
      <c r="D12667" s="209"/>
      <c r="E12667" s="209"/>
      <c r="J12667" s="124"/>
    </row>
    <row r="12668" spans="3:10" x14ac:dyDescent="0.2">
      <c r="C12668" s="209"/>
      <c r="D12668" s="209"/>
      <c r="E12668" s="209"/>
      <c r="J12668" s="124"/>
    </row>
    <row r="12669" spans="3:10" x14ac:dyDescent="0.2">
      <c r="C12669" s="209"/>
      <c r="D12669" s="209"/>
      <c r="E12669" s="209"/>
      <c r="J12669" s="124"/>
    </row>
    <row r="12670" spans="3:10" x14ac:dyDescent="0.2">
      <c r="C12670" s="209"/>
      <c r="D12670" s="209"/>
      <c r="E12670" s="209"/>
      <c r="J12670" s="124"/>
    </row>
    <row r="12671" spans="3:10" x14ac:dyDescent="0.2">
      <c r="C12671" s="209"/>
      <c r="D12671" s="209"/>
      <c r="E12671" s="209"/>
      <c r="J12671" s="124"/>
    </row>
    <row r="12672" spans="3:10" x14ac:dyDescent="0.2">
      <c r="C12672" s="209"/>
      <c r="D12672" s="209"/>
      <c r="E12672" s="209"/>
      <c r="J12672" s="124"/>
    </row>
    <row r="12673" spans="3:10" x14ac:dyDescent="0.2">
      <c r="C12673" s="209"/>
      <c r="D12673" s="209"/>
      <c r="E12673" s="209"/>
      <c r="J12673" s="124"/>
    </row>
    <row r="12674" spans="3:10" x14ac:dyDescent="0.2">
      <c r="C12674" s="209"/>
      <c r="D12674" s="209"/>
      <c r="E12674" s="209"/>
      <c r="J12674" s="124"/>
    </row>
    <row r="12675" spans="3:10" x14ac:dyDescent="0.2">
      <c r="C12675" s="209"/>
      <c r="D12675" s="209"/>
      <c r="E12675" s="209"/>
      <c r="J12675" s="124"/>
    </row>
    <row r="12676" spans="3:10" x14ac:dyDescent="0.2">
      <c r="C12676" s="209"/>
      <c r="D12676" s="209"/>
      <c r="E12676" s="209"/>
      <c r="J12676" s="124"/>
    </row>
    <row r="12677" spans="3:10" x14ac:dyDescent="0.2">
      <c r="C12677" s="209"/>
      <c r="D12677" s="209"/>
      <c r="E12677" s="209"/>
      <c r="J12677" s="124"/>
    </row>
    <row r="12678" spans="3:10" x14ac:dyDescent="0.2">
      <c r="C12678" s="209"/>
      <c r="D12678" s="209"/>
      <c r="E12678" s="209"/>
      <c r="J12678" s="124"/>
    </row>
    <row r="12679" spans="3:10" x14ac:dyDescent="0.2">
      <c r="C12679" s="209"/>
      <c r="D12679" s="209"/>
      <c r="E12679" s="209"/>
      <c r="J12679" s="124"/>
    </row>
    <row r="12680" spans="3:10" x14ac:dyDescent="0.2">
      <c r="C12680" s="209"/>
      <c r="D12680" s="209"/>
      <c r="E12680" s="209"/>
      <c r="J12680" s="124"/>
    </row>
    <row r="12681" spans="3:10" x14ac:dyDescent="0.2">
      <c r="C12681" s="209"/>
      <c r="D12681" s="209"/>
      <c r="E12681" s="209"/>
      <c r="J12681" s="124"/>
    </row>
    <row r="12682" spans="3:10" x14ac:dyDescent="0.2">
      <c r="C12682" s="209"/>
      <c r="D12682" s="209"/>
      <c r="E12682" s="209"/>
      <c r="J12682" s="124"/>
    </row>
    <row r="12683" spans="3:10" x14ac:dyDescent="0.2">
      <c r="C12683" s="209"/>
      <c r="D12683" s="209"/>
      <c r="E12683" s="209"/>
      <c r="J12683" s="124"/>
    </row>
    <row r="12684" spans="3:10" x14ac:dyDescent="0.2">
      <c r="C12684" s="209"/>
      <c r="D12684" s="209"/>
      <c r="E12684" s="209"/>
      <c r="J12684" s="124"/>
    </row>
    <row r="12685" spans="3:10" x14ac:dyDescent="0.2">
      <c r="C12685" s="209"/>
      <c r="D12685" s="209"/>
      <c r="E12685" s="209"/>
      <c r="J12685" s="124"/>
    </row>
    <row r="12686" spans="3:10" x14ac:dyDescent="0.2">
      <c r="C12686" s="209"/>
      <c r="D12686" s="209"/>
      <c r="E12686" s="209"/>
      <c r="J12686" s="124"/>
    </row>
    <row r="12687" spans="3:10" x14ac:dyDescent="0.2">
      <c r="C12687" s="209"/>
      <c r="D12687" s="209"/>
      <c r="E12687" s="209"/>
      <c r="J12687" s="124"/>
    </row>
    <row r="12688" spans="3:10" x14ac:dyDescent="0.2">
      <c r="C12688" s="209"/>
      <c r="D12688" s="209"/>
      <c r="E12688" s="209"/>
      <c r="J12688" s="124"/>
    </row>
    <row r="12689" spans="3:10" x14ac:dyDescent="0.2">
      <c r="C12689" s="209"/>
      <c r="D12689" s="209"/>
      <c r="E12689" s="209"/>
      <c r="J12689" s="124"/>
    </row>
    <row r="12690" spans="3:10" x14ac:dyDescent="0.2">
      <c r="C12690" s="209"/>
      <c r="D12690" s="209"/>
      <c r="E12690" s="209"/>
      <c r="J12690" s="124"/>
    </row>
    <row r="12691" spans="3:10" x14ac:dyDescent="0.2">
      <c r="C12691" s="209"/>
      <c r="D12691" s="209"/>
      <c r="E12691" s="209"/>
      <c r="J12691" s="124"/>
    </row>
    <row r="12692" spans="3:10" x14ac:dyDescent="0.2">
      <c r="C12692" s="209"/>
      <c r="D12692" s="209"/>
      <c r="E12692" s="209"/>
      <c r="J12692" s="124"/>
    </row>
    <row r="12693" spans="3:10" x14ac:dyDescent="0.2">
      <c r="C12693" s="209"/>
      <c r="D12693" s="209"/>
      <c r="E12693" s="209"/>
      <c r="J12693" s="124"/>
    </row>
    <row r="12694" spans="3:10" x14ac:dyDescent="0.2">
      <c r="C12694" s="209"/>
      <c r="D12694" s="209"/>
      <c r="E12694" s="209"/>
      <c r="J12694" s="124"/>
    </row>
    <row r="12695" spans="3:10" x14ac:dyDescent="0.2">
      <c r="C12695" s="209"/>
      <c r="D12695" s="209"/>
      <c r="E12695" s="209"/>
      <c r="J12695" s="124"/>
    </row>
    <row r="12696" spans="3:10" x14ac:dyDescent="0.2">
      <c r="C12696" s="209"/>
      <c r="D12696" s="209"/>
      <c r="E12696" s="209"/>
      <c r="J12696" s="124"/>
    </row>
    <row r="12697" spans="3:10" x14ac:dyDescent="0.2">
      <c r="C12697" s="209"/>
      <c r="D12697" s="209"/>
      <c r="E12697" s="209"/>
      <c r="J12697" s="124"/>
    </row>
    <row r="12698" spans="3:10" x14ac:dyDescent="0.2">
      <c r="C12698" s="209"/>
      <c r="D12698" s="209"/>
      <c r="E12698" s="209"/>
      <c r="J12698" s="124"/>
    </row>
    <row r="12699" spans="3:10" x14ac:dyDescent="0.2">
      <c r="C12699" s="209"/>
      <c r="D12699" s="209"/>
      <c r="E12699" s="209"/>
      <c r="J12699" s="124"/>
    </row>
    <row r="12700" spans="3:10" x14ac:dyDescent="0.2">
      <c r="C12700" s="209"/>
      <c r="D12700" s="209"/>
      <c r="E12700" s="209"/>
      <c r="J12700" s="124"/>
    </row>
    <row r="12701" spans="3:10" x14ac:dyDescent="0.2">
      <c r="C12701" s="209"/>
      <c r="D12701" s="209"/>
      <c r="E12701" s="209"/>
      <c r="J12701" s="124"/>
    </row>
    <row r="12702" spans="3:10" x14ac:dyDescent="0.2">
      <c r="C12702" s="209"/>
      <c r="D12702" s="209"/>
      <c r="E12702" s="209"/>
      <c r="J12702" s="124"/>
    </row>
    <row r="12703" spans="3:10" x14ac:dyDescent="0.2">
      <c r="C12703" s="209"/>
      <c r="D12703" s="209"/>
      <c r="E12703" s="209"/>
      <c r="J12703" s="124"/>
    </row>
    <row r="12704" spans="3:10" x14ac:dyDescent="0.2">
      <c r="C12704" s="209"/>
      <c r="D12704" s="209"/>
      <c r="E12704" s="209"/>
      <c r="J12704" s="124"/>
    </row>
    <row r="12705" spans="3:10" x14ac:dyDescent="0.2">
      <c r="C12705" s="209"/>
      <c r="D12705" s="209"/>
      <c r="E12705" s="209"/>
      <c r="J12705" s="124"/>
    </row>
    <row r="12706" spans="3:10" x14ac:dyDescent="0.2">
      <c r="C12706" s="209"/>
      <c r="D12706" s="209"/>
      <c r="E12706" s="209"/>
      <c r="J12706" s="124"/>
    </row>
    <row r="12707" spans="3:10" x14ac:dyDescent="0.2">
      <c r="C12707" s="209"/>
      <c r="D12707" s="209"/>
      <c r="E12707" s="209"/>
      <c r="J12707" s="124"/>
    </row>
    <row r="12708" spans="3:10" x14ac:dyDescent="0.2">
      <c r="C12708" s="209"/>
      <c r="D12708" s="209"/>
      <c r="E12708" s="209"/>
      <c r="J12708" s="124"/>
    </row>
    <row r="12709" spans="3:10" x14ac:dyDescent="0.2">
      <c r="C12709" s="209"/>
      <c r="D12709" s="209"/>
      <c r="E12709" s="209"/>
      <c r="J12709" s="124"/>
    </row>
    <row r="12710" spans="3:10" x14ac:dyDescent="0.2">
      <c r="C12710" s="209"/>
      <c r="D12710" s="209"/>
      <c r="E12710" s="209"/>
      <c r="J12710" s="124"/>
    </row>
    <row r="12711" spans="3:10" x14ac:dyDescent="0.2">
      <c r="C12711" s="209"/>
      <c r="D12711" s="209"/>
      <c r="E12711" s="209"/>
      <c r="J12711" s="124"/>
    </row>
    <row r="12712" spans="3:10" x14ac:dyDescent="0.2">
      <c r="C12712" s="209"/>
      <c r="D12712" s="209"/>
      <c r="E12712" s="209"/>
      <c r="J12712" s="124"/>
    </row>
    <row r="12713" spans="3:10" x14ac:dyDescent="0.2">
      <c r="C12713" s="209"/>
      <c r="D12713" s="209"/>
      <c r="E12713" s="209"/>
      <c r="J12713" s="124"/>
    </row>
    <row r="12714" spans="3:10" x14ac:dyDescent="0.2">
      <c r="C12714" s="209"/>
      <c r="D12714" s="209"/>
      <c r="E12714" s="209"/>
      <c r="J12714" s="124"/>
    </row>
    <row r="12715" spans="3:10" x14ac:dyDescent="0.2">
      <c r="C12715" s="209"/>
      <c r="D12715" s="209"/>
      <c r="E12715" s="209"/>
      <c r="J12715" s="124"/>
    </row>
    <row r="12716" spans="3:10" x14ac:dyDescent="0.2">
      <c r="C12716" s="209"/>
      <c r="D12716" s="209"/>
      <c r="E12716" s="209"/>
      <c r="J12716" s="124"/>
    </row>
    <row r="12717" spans="3:10" x14ac:dyDescent="0.2">
      <c r="C12717" s="209"/>
      <c r="D12717" s="209"/>
      <c r="E12717" s="209"/>
      <c r="J12717" s="124"/>
    </row>
    <row r="12718" spans="3:10" x14ac:dyDescent="0.2">
      <c r="C12718" s="209"/>
      <c r="D12718" s="209"/>
      <c r="E12718" s="209"/>
      <c r="J12718" s="124"/>
    </row>
    <row r="12719" spans="3:10" x14ac:dyDescent="0.2">
      <c r="C12719" s="209"/>
      <c r="D12719" s="209"/>
      <c r="E12719" s="209"/>
      <c r="J12719" s="124"/>
    </row>
    <row r="12720" spans="3:10" x14ac:dyDescent="0.2">
      <c r="C12720" s="209"/>
      <c r="D12720" s="209"/>
      <c r="E12720" s="209"/>
      <c r="J12720" s="124"/>
    </row>
    <row r="12721" spans="3:10" x14ac:dyDescent="0.2">
      <c r="C12721" s="209"/>
      <c r="D12721" s="209"/>
      <c r="E12721" s="209"/>
      <c r="J12721" s="124"/>
    </row>
    <row r="12722" spans="3:10" x14ac:dyDescent="0.2">
      <c r="C12722" s="209"/>
      <c r="D12722" s="209"/>
      <c r="E12722" s="209"/>
      <c r="J12722" s="124"/>
    </row>
    <row r="12723" spans="3:10" x14ac:dyDescent="0.2">
      <c r="C12723" s="209"/>
      <c r="D12723" s="209"/>
      <c r="E12723" s="209"/>
      <c r="J12723" s="124"/>
    </row>
    <row r="12724" spans="3:10" x14ac:dyDescent="0.2">
      <c r="C12724" s="209"/>
      <c r="D12724" s="209"/>
      <c r="E12724" s="209"/>
      <c r="J12724" s="124"/>
    </row>
    <row r="12725" spans="3:10" x14ac:dyDescent="0.2">
      <c r="C12725" s="209"/>
      <c r="D12725" s="209"/>
      <c r="E12725" s="209"/>
      <c r="J12725" s="124"/>
    </row>
    <row r="12726" spans="3:10" x14ac:dyDescent="0.2">
      <c r="C12726" s="209"/>
      <c r="D12726" s="209"/>
      <c r="E12726" s="209"/>
      <c r="J12726" s="124"/>
    </row>
    <row r="12727" spans="3:10" x14ac:dyDescent="0.2">
      <c r="C12727" s="209"/>
      <c r="D12727" s="209"/>
      <c r="E12727" s="209"/>
      <c r="J12727" s="124"/>
    </row>
    <row r="12728" spans="3:10" x14ac:dyDescent="0.2">
      <c r="C12728" s="209"/>
      <c r="D12728" s="209"/>
      <c r="E12728" s="209"/>
      <c r="J12728" s="124"/>
    </row>
    <row r="12729" spans="3:10" x14ac:dyDescent="0.2">
      <c r="C12729" s="209"/>
      <c r="D12729" s="209"/>
      <c r="E12729" s="209"/>
      <c r="J12729" s="124"/>
    </row>
    <row r="12730" spans="3:10" x14ac:dyDescent="0.2">
      <c r="C12730" s="209"/>
      <c r="D12730" s="209"/>
      <c r="E12730" s="209"/>
      <c r="J12730" s="124"/>
    </row>
    <row r="12731" spans="3:10" x14ac:dyDescent="0.2">
      <c r="C12731" s="209"/>
      <c r="D12731" s="209"/>
      <c r="E12731" s="209"/>
      <c r="J12731" s="124"/>
    </row>
    <row r="12732" spans="3:10" x14ac:dyDescent="0.2">
      <c r="C12732" s="209"/>
      <c r="D12732" s="209"/>
      <c r="E12732" s="209"/>
      <c r="J12732" s="124"/>
    </row>
    <row r="12733" spans="3:10" x14ac:dyDescent="0.2">
      <c r="C12733" s="209"/>
      <c r="D12733" s="209"/>
      <c r="E12733" s="209"/>
      <c r="J12733" s="124"/>
    </row>
    <row r="12734" spans="3:10" x14ac:dyDescent="0.2">
      <c r="C12734" s="209"/>
      <c r="D12734" s="209"/>
      <c r="E12734" s="209"/>
      <c r="J12734" s="124"/>
    </row>
    <row r="12735" spans="3:10" x14ac:dyDescent="0.2">
      <c r="C12735" s="209"/>
      <c r="D12735" s="209"/>
      <c r="E12735" s="209"/>
      <c r="J12735" s="124"/>
    </row>
    <row r="12736" spans="3:10" x14ac:dyDescent="0.2">
      <c r="C12736" s="209"/>
      <c r="D12736" s="209"/>
      <c r="E12736" s="209"/>
      <c r="J12736" s="124"/>
    </row>
    <row r="12737" spans="3:10" x14ac:dyDescent="0.2">
      <c r="C12737" s="209"/>
      <c r="D12737" s="209"/>
      <c r="E12737" s="209"/>
      <c r="J12737" s="124"/>
    </row>
    <row r="12738" spans="3:10" x14ac:dyDescent="0.2">
      <c r="C12738" s="209"/>
      <c r="D12738" s="209"/>
      <c r="E12738" s="209"/>
      <c r="J12738" s="124"/>
    </row>
    <row r="12739" spans="3:10" x14ac:dyDescent="0.2">
      <c r="C12739" s="209"/>
      <c r="D12739" s="209"/>
      <c r="E12739" s="209"/>
      <c r="J12739" s="124"/>
    </row>
    <row r="12740" spans="3:10" x14ac:dyDescent="0.2">
      <c r="C12740" s="209"/>
      <c r="D12740" s="209"/>
      <c r="E12740" s="209"/>
      <c r="J12740" s="124"/>
    </row>
    <row r="12741" spans="3:10" x14ac:dyDescent="0.2">
      <c r="C12741" s="209"/>
      <c r="D12741" s="209"/>
      <c r="E12741" s="209"/>
      <c r="J12741" s="124"/>
    </row>
    <row r="12742" spans="3:10" x14ac:dyDescent="0.2">
      <c r="C12742" s="209"/>
      <c r="D12742" s="209"/>
      <c r="E12742" s="209"/>
      <c r="J12742" s="124"/>
    </row>
    <row r="12743" spans="3:10" x14ac:dyDescent="0.2">
      <c r="C12743" s="209"/>
      <c r="D12743" s="209"/>
      <c r="E12743" s="209"/>
      <c r="J12743" s="124"/>
    </row>
    <row r="12744" spans="3:10" x14ac:dyDescent="0.2">
      <c r="C12744" s="209"/>
      <c r="D12744" s="209"/>
      <c r="E12744" s="209"/>
      <c r="J12744" s="124"/>
    </row>
    <row r="12745" spans="3:10" x14ac:dyDescent="0.2">
      <c r="C12745" s="209"/>
      <c r="D12745" s="209"/>
      <c r="E12745" s="209"/>
      <c r="J12745" s="124"/>
    </row>
    <row r="12746" spans="3:10" x14ac:dyDescent="0.2">
      <c r="C12746" s="209"/>
      <c r="D12746" s="209"/>
      <c r="E12746" s="209"/>
      <c r="J12746" s="124"/>
    </row>
    <row r="12747" spans="3:10" x14ac:dyDescent="0.2">
      <c r="C12747" s="209"/>
      <c r="D12747" s="209"/>
      <c r="E12747" s="209"/>
      <c r="J12747" s="124"/>
    </row>
    <row r="12748" spans="3:10" x14ac:dyDescent="0.2">
      <c r="C12748" s="209"/>
      <c r="D12748" s="209"/>
      <c r="E12748" s="209"/>
      <c r="J12748" s="124"/>
    </row>
    <row r="12749" spans="3:10" x14ac:dyDescent="0.2">
      <c r="C12749" s="209"/>
      <c r="D12749" s="209"/>
      <c r="E12749" s="209"/>
      <c r="J12749" s="124"/>
    </row>
    <row r="12750" spans="3:10" x14ac:dyDescent="0.2">
      <c r="C12750" s="209"/>
      <c r="D12750" s="209"/>
      <c r="E12750" s="209"/>
      <c r="J12750" s="124"/>
    </row>
    <row r="12751" spans="3:10" x14ac:dyDescent="0.2">
      <c r="C12751" s="209"/>
      <c r="D12751" s="209"/>
      <c r="E12751" s="209"/>
      <c r="J12751" s="124"/>
    </row>
    <row r="12752" spans="3:10" x14ac:dyDescent="0.2">
      <c r="C12752" s="209"/>
      <c r="D12752" s="209"/>
      <c r="E12752" s="209"/>
      <c r="J12752" s="124"/>
    </row>
    <row r="12753" spans="3:10" x14ac:dyDescent="0.2">
      <c r="C12753" s="209"/>
      <c r="D12753" s="209"/>
      <c r="E12753" s="209"/>
      <c r="J12753" s="124"/>
    </row>
    <row r="12754" spans="3:10" x14ac:dyDescent="0.2">
      <c r="C12754" s="209"/>
      <c r="D12754" s="209"/>
      <c r="E12754" s="209"/>
      <c r="J12754" s="124"/>
    </row>
    <row r="12755" spans="3:10" x14ac:dyDescent="0.2">
      <c r="C12755" s="209"/>
      <c r="D12755" s="209"/>
      <c r="E12755" s="209"/>
      <c r="J12755" s="124"/>
    </row>
    <row r="12756" spans="3:10" x14ac:dyDescent="0.2">
      <c r="C12756" s="209"/>
      <c r="D12756" s="209"/>
      <c r="E12756" s="209"/>
      <c r="J12756" s="124"/>
    </row>
    <row r="12757" spans="3:10" x14ac:dyDescent="0.2">
      <c r="C12757" s="209"/>
      <c r="D12757" s="209"/>
      <c r="E12757" s="209"/>
      <c r="J12757" s="124"/>
    </row>
    <row r="12758" spans="3:10" x14ac:dyDescent="0.2">
      <c r="C12758" s="209"/>
      <c r="D12758" s="209"/>
      <c r="E12758" s="209"/>
      <c r="J12758" s="124"/>
    </row>
    <row r="12759" spans="3:10" x14ac:dyDescent="0.2">
      <c r="C12759" s="209"/>
      <c r="D12759" s="209"/>
      <c r="E12759" s="209"/>
      <c r="J12759" s="124"/>
    </row>
    <row r="12760" spans="3:10" x14ac:dyDescent="0.2">
      <c r="C12760" s="209"/>
      <c r="D12760" s="209"/>
      <c r="E12760" s="209"/>
      <c r="J12760" s="124"/>
    </row>
    <row r="12761" spans="3:10" x14ac:dyDescent="0.2">
      <c r="C12761" s="209"/>
      <c r="D12761" s="209"/>
      <c r="E12761" s="209"/>
      <c r="J12761" s="124"/>
    </row>
    <row r="12762" spans="3:10" x14ac:dyDescent="0.2">
      <c r="C12762" s="209"/>
      <c r="D12762" s="209"/>
      <c r="E12762" s="209"/>
      <c r="J12762" s="124"/>
    </row>
    <row r="12763" spans="3:10" x14ac:dyDescent="0.2">
      <c r="C12763" s="209"/>
      <c r="D12763" s="209"/>
      <c r="E12763" s="209"/>
      <c r="J12763" s="124"/>
    </row>
    <row r="12764" spans="3:10" x14ac:dyDescent="0.2">
      <c r="C12764" s="209"/>
      <c r="D12764" s="209"/>
      <c r="E12764" s="209"/>
      <c r="J12764" s="124"/>
    </row>
    <row r="12765" spans="3:10" x14ac:dyDescent="0.2">
      <c r="C12765" s="209"/>
      <c r="D12765" s="209"/>
      <c r="E12765" s="209"/>
      <c r="J12765" s="124"/>
    </row>
    <row r="12766" spans="3:10" x14ac:dyDescent="0.2">
      <c r="C12766" s="209"/>
      <c r="D12766" s="209"/>
      <c r="E12766" s="209"/>
      <c r="J12766" s="124"/>
    </row>
    <row r="12767" spans="3:10" x14ac:dyDescent="0.2">
      <c r="C12767" s="209"/>
      <c r="D12767" s="209"/>
      <c r="E12767" s="209"/>
      <c r="J12767" s="124"/>
    </row>
    <row r="12768" spans="3:10" x14ac:dyDescent="0.2">
      <c r="C12768" s="209"/>
      <c r="D12768" s="209"/>
      <c r="E12768" s="209"/>
      <c r="J12768" s="124"/>
    </row>
    <row r="12769" spans="3:10" x14ac:dyDescent="0.2">
      <c r="C12769" s="209"/>
      <c r="D12769" s="209"/>
      <c r="E12769" s="209"/>
      <c r="J12769" s="124"/>
    </row>
    <row r="12770" spans="3:10" x14ac:dyDescent="0.2">
      <c r="C12770" s="209"/>
      <c r="D12770" s="209"/>
      <c r="E12770" s="209"/>
      <c r="J12770" s="124"/>
    </row>
    <row r="12771" spans="3:10" x14ac:dyDescent="0.2">
      <c r="C12771" s="209"/>
      <c r="D12771" s="209"/>
      <c r="E12771" s="209"/>
      <c r="J12771" s="124"/>
    </row>
    <row r="12772" spans="3:10" x14ac:dyDescent="0.2">
      <c r="C12772" s="209"/>
      <c r="D12772" s="209"/>
      <c r="E12772" s="209"/>
      <c r="J12772" s="124"/>
    </row>
    <row r="12773" spans="3:10" x14ac:dyDescent="0.2">
      <c r="C12773" s="209"/>
      <c r="D12773" s="209"/>
      <c r="E12773" s="209"/>
      <c r="J12773" s="124"/>
    </row>
    <row r="12774" spans="3:10" x14ac:dyDescent="0.2">
      <c r="C12774" s="209"/>
      <c r="D12774" s="209"/>
      <c r="E12774" s="209"/>
      <c r="J12774" s="124"/>
    </row>
    <row r="12775" spans="3:10" x14ac:dyDescent="0.2">
      <c r="C12775" s="209"/>
      <c r="D12775" s="209"/>
      <c r="E12775" s="209"/>
      <c r="J12775" s="124"/>
    </row>
    <row r="12776" spans="3:10" x14ac:dyDescent="0.2">
      <c r="C12776" s="209"/>
      <c r="D12776" s="209"/>
      <c r="E12776" s="209"/>
      <c r="J12776" s="124"/>
    </row>
    <row r="12777" spans="3:10" x14ac:dyDescent="0.2">
      <c r="C12777" s="209"/>
      <c r="D12777" s="209"/>
      <c r="E12777" s="209"/>
      <c r="J12777" s="124"/>
    </row>
    <row r="12778" spans="3:10" x14ac:dyDescent="0.2">
      <c r="C12778" s="209"/>
      <c r="D12778" s="209"/>
      <c r="E12778" s="209"/>
      <c r="J12778" s="124"/>
    </row>
    <row r="12779" spans="3:10" x14ac:dyDescent="0.2">
      <c r="C12779" s="209"/>
      <c r="D12779" s="209"/>
      <c r="E12779" s="209"/>
      <c r="J12779" s="124"/>
    </row>
    <row r="12780" spans="3:10" x14ac:dyDescent="0.2">
      <c r="C12780" s="209"/>
      <c r="D12780" s="209"/>
      <c r="E12780" s="209"/>
      <c r="J12780" s="124"/>
    </row>
    <row r="12781" spans="3:10" x14ac:dyDescent="0.2">
      <c r="C12781" s="209"/>
      <c r="D12781" s="209"/>
      <c r="E12781" s="209"/>
      <c r="J12781" s="124"/>
    </row>
    <row r="12782" spans="3:10" x14ac:dyDescent="0.2">
      <c r="C12782" s="209"/>
      <c r="D12782" s="209"/>
      <c r="E12782" s="209"/>
      <c r="J12782" s="124"/>
    </row>
    <row r="12783" spans="3:10" x14ac:dyDescent="0.2">
      <c r="C12783" s="209"/>
      <c r="D12783" s="209"/>
      <c r="E12783" s="209"/>
      <c r="J12783" s="124"/>
    </row>
    <row r="12784" spans="3:10" x14ac:dyDescent="0.2">
      <c r="C12784" s="209"/>
      <c r="D12784" s="209"/>
      <c r="E12784" s="209"/>
      <c r="J12784" s="124"/>
    </row>
    <row r="12785" spans="3:10" x14ac:dyDescent="0.2">
      <c r="C12785" s="209"/>
      <c r="D12785" s="209"/>
      <c r="E12785" s="209"/>
      <c r="J12785" s="124"/>
    </row>
    <row r="12786" spans="3:10" x14ac:dyDescent="0.2">
      <c r="C12786" s="209"/>
      <c r="D12786" s="209"/>
      <c r="E12786" s="209"/>
      <c r="J12786" s="124"/>
    </row>
    <row r="12787" spans="3:10" x14ac:dyDescent="0.2">
      <c r="C12787" s="209"/>
      <c r="D12787" s="209"/>
      <c r="E12787" s="209"/>
      <c r="J12787" s="124"/>
    </row>
    <row r="12788" spans="3:10" x14ac:dyDescent="0.2">
      <c r="C12788" s="209"/>
      <c r="D12788" s="209"/>
      <c r="E12788" s="209"/>
      <c r="J12788" s="124"/>
    </row>
    <row r="12789" spans="3:10" x14ac:dyDescent="0.2">
      <c r="C12789" s="209"/>
      <c r="D12789" s="209"/>
      <c r="E12789" s="209"/>
      <c r="J12789" s="124"/>
    </row>
    <row r="12790" spans="3:10" x14ac:dyDescent="0.2">
      <c r="C12790" s="209"/>
      <c r="D12790" s="209"/>
      <c r="E12790" s="209"/>
      <c r="J12790" s="124"/>
    </row>
    <row r="12791" spans="3:10" x14ac:dyDescent="0.2">
      <c r="C12791" s="209"/>
      <c r="D12791" s="209"/>
      <c r="E12791" s="209"/>
      <c r="J12791" s="124"/>
    </row>
    <row r="12792" spans="3:10" x14ac:dyDescent="0.2">
      <c r="C12792" s="209"/>
      <c r="D12792" s="209"/>
      <c r="E12792" s="209"/>
      <c r="J12792" s="124"/>
    </row>
    <row r="12793" spans="3:10" x14ac:dyDescent="0.2">
      <c r="C12793" s="209"/>
      <c r="D12793" s="209"/>
      <c r="E12793" s="209"/>
      <c r="J12793" s="124"/>
    </row>
    <row r="12794" spans="3:10" x14ac:dyDescent="0.2">
      <c r="C12794" s="209"/>
      <c r="D12794" s="209"/>
      <c r="E12794" s="209"/>
      <c r="J12794" s="124"/>
    </row>
    <row r="12795" spans="3:10" x14ac:dyDescent="0.2">
      <c r="C12795" s="209"/>
      <c r="D12795" s="209"/>
      <c r="E12795" s="209"/>
      <c r="J12795" s="124"/>
    </row>
    <row r="12796" spans="3:10" x14ac:dyDescent="0.2">
      <c r="C12796" s="209"/>
      <c r="D12796" s="209"/>
      <c r="E12796" s="209"/>
      <c r="J12796" s="124"/>
    </row>
    <row r="12797" spans="3:10" x14ac:dyDescent="0.2">
      <c r="C12797" s="209"/>
      <c r="D12797" s="209"/>
      <c r="E12797" s="209"/>
      <c r="J12797" s="124"/>
    </row>
    <row r="12798" spans="3:10" x14ac:dyDescent="0.2">
      <c r="C12798" s="209"/>
      <c r="D12798" s="209"/>
      <c r="E12798" s="209"/>
      <c r="J12798" s="124"/>
    </row>
    <row r="12799" spans="3:10" x14ac:dyDescent="0.2">
      <c r="C12799" s="209"/>
      <c r="D12799" s="209"/>
      <c r="E12799" s="209"/>
      <c r="J12799" s="124"/>
    </row>
    <row r="12800" spans="3:10" x14ac:dyDescent="0.2">
      <c r="C12800" s="209"/>
      <c r="D12800" s="209"/>
      <c r="E12800" s="209"/>
      <c r="J12800" s="124"/>
    </row>
    <row r="12801" spans="3:10" x14ac:dyDescent="0.2">
      <c r="C12801" s="209"/>
      <c r="D12801" s="209"/>
      <c r="E12801" s="209"/>
      <c r="J12801" s="124"/>
    </row>
    <row r="12802" spans="3:10" x14ac:dyDescent="0.2">
      <c r="C12802" s="209"/>
      <c r="D12802" s="209"/>
      <c r="E12802" s="209"/>
      <c r="J12802" s="124"/>
    </row>
    <row r="12803" spans="3:10" x14ac:dyDescent="0.2">
      <c r="C12803" s="209"/>
      <c r="D12803" s="209"/>
      <c r="E12803" s="209"/>
      <c r="J12803" s="124"/>
    </row>
    <row r="12804" spans="3:10" x14ac:dyDescent="0.2">
      <c r="C12804" s="209"/>
      <c r="D12804" s="209"/>
      <c r="E12804" s="209"/>
      <c r="J12804" s="124"/>
    </row>
    <row r="12805" spans="3:10" x14ac:dyDescent="0.2">
      <c r="C12805" s="209"/>
      <c r="D12805" s="209"/>
      <c r="E12805" s="209"/>
      <c r="J12805" s="124"/>
    </row>
    <row r="12806" spans="3:10" x14ac:dyDescent="0.2">
      <c r="C12806" s="209"/>
      <c r="D12806" s="209"/>
      <c r="E12806" s="209"/>
      <c r="J12806" s="124"/>
    </row>
    <row r="12807" spans="3:10" x14ac:dyDescent="0.2">
      <c r="C12807" s="209"/>
      <c r="D12807" s="209"/>
      <c r="E12807" s="209"/>
      <c r="J12807" s="124"/>
    </row>
    <row r="12808" spans="3:10" x14ac:dyDescent="0.2">
      <c r="C12808" s="209"/>
      <c r="D12808" s="209"/>
      <c r="E12808" s="209"/>
      <c r="J12808" s="124"/>
    </row>
    <row r="12809" spans="3:10" x14ac:dyDescent="0.2">
      <c r="C12809" s="209"/>
      <c r="D12809" s="209"/>
      <c r="E12809" s="209"/>
      <c r="J12809" s="124"/>
    </row>
    <row r="12810" spans="3:10" x14ac:dyDescent="0.2">
      <c r="C12810" s="209"/>
      <c r="D12810" s="209"/>
      <c r="E12810" s="209"/>
      <c r="J12810" s="124"/>
    </row>
    <row r="12811" spans="3:10" x14ac:dyDescent="0.2">
      <c r="C12811" s="209"/>
      <c r="D12811" s="209"/>
      <c r="E12811" s="209"/>
      <c r="J12811" s="124"/>
    </row>
    <row r="12812" spans="3:10" x14ac:dyDescent="0.2">
      <c r="C12812" s="209"/>
      <c r="D12812" s="209"/>
      <c r="E12812" s="209"/>
      <c r="J12812" s="124"/>
    </row>
    <row r="12813" spans="3:10" x14ac:dyDescent="0.2">
      <c r="C12813" s="209"/>
      <c r="D12813" s="209"/>
      <c r="E12813" s="209"/>
      <c r="J12813" s="124"/>
    </row>
    <row r="12814" spans="3:10" x14ac:dyDescent="0.2">
      <c r="C12814" s="209"/>
      <c r="D12814" s="209"/>
      <c r="E12814" s="209"/>
      <c r="J12814" s="124"/>
    </row>
    <row r="12815" spans="3:10" x14ac:dyDescent="0.2">
      <c r="C12815" s="209"/>
      <c r="D12815" s="209"/>
      <c r="E12815" s="209"/>
      <c r="J12815" s="124"/>
    </row>
    <row r="12816" spans="3:10" x14ac:dyDescent="0.2">
      <c r="C12816" s="209"/>
      <c r="D12816" s="209"/>
      <c r="E12816" s="209"/>
      <c r="J12816" s="124"/>
    </row>
    <row r="12817" spans="3:10" x14ac:dyDescent="0.2">
      <c r="C12817" s="209"/>
      <c r="D12817" s="209"/>
      <c r="E12817" s="209"/>
      <c r="J12817" s="124"/>
    </row>
    <row r="12818" spans="3:10" x14ac:dyDescent="0.2">
      <c r="C12818" s="209"/>
      <c r="D12818" s="209"/>
      <c r="E12818" s="209"/>
      <c r="J12818" s="124"/>
    </row>
    <row r="12819" spans="3:10" x14ac:dyDescent="0.2">
      <c r="C12819" s="209"/>
      <c r="D12819" s="209"/>
      <c r="E12819" s="209"/>
      <c r="J12819" s="124"/>
    </row>
    <row r="12820" spans="3:10" x14ac:dyDescent="0.2">
      <c r="C12820" s="209"/>
      <c r="D12820" s="209"/>
      <c r="E12820" s="209"/>
      <c r="J12820" s="124"/>
    </row>
    <row r="12821" spans="3:10" x14ac:dyDescent="0.2">
      <c r="C12821" s="209"/>
      <c r="D12821" s="209"/>
      <c r="E12821" s="209"/>
      <c r="J12821" s="124"/>
    </row>
    <row r="12822" spans="3:10" x14ac:dyDescent="0.2">
      <c r="C12822" s="209"/>
      <c r="D12822" s="209"/>
      <c r="E12822" s="209"/>
      <c r="J12822" s="124"/>
    </row>
    <row r="12823" spans="3:10" x14ac:dyDescent="0.2">
      <c r="C12823" s="209"/>
      <c r="D12823" s="209"/>
      <c r="E12823" s="209"/>
      <c r="J12823" s="124"/>
    </row>
    <row r="12824" spans="3:10" x14ac:dyDescent="0.2">
      <c r="C12824" s="209"/>
      <c r="D12824" s="209"/>
      <c r="E12824" s="209"/>
      <c r="J12824" s="124"/>
    </row>
    <row r="12825" spans="3:10" x14ac:dyDescent="0.2">
      <c r="C12825" s="209"/>
      <c r="D12825" s="209"/>
      <c r="E12825" s="209"/>
      <c r="J12825" s="124"/>
    </row>
    <row r="12826" spans="3:10" x14ac:dyDescent="0.2">
      <c r="C12826" s="209"/>
      <c r="D12826" s="209"/>
      <c r="E12826" s="209"/>
      <c r="J12826" s="124"/>
    </row>
    <row r="12827" spans="3:10" x14ac:dyDescent="0.2">
      <c r="C12827" s="209"/>
      <c r="D12827" s="209"/>
      <c r="E12827" s="209"/>
      <c r="J12827" s="124"/>
    </row>
    <row r="12828" spans="3:10" x14ac:dyDescent="0.2">
      <c r="C12828" s="209"/>
      <c r="D12828" s="209"/>
      <c r="E12828" s="209"/>
      <c r="J12828" s="124"/>
    </row>
    <row r="12829" spans="3:10" x14ac:dyDescent="0.2">
      <c r="C12829" s="209"/>
      <c r="D12829" s="209"/>
      <c r="E12829" s="209"/>
      <c r="J12829" s="124"/>
    </row>
    <row r="12830" spans="3:10" x14ac:dyDescent="0.2">
      <c r="C12830" s="209"/>
      <c r="D12830" s="209"/>
      <c r="E12830" s="209"/>
      <c r="J12830" s="124"/>
    </row>
    <row r="12831" spans="3:10" x14ac:dyDescent="0.2">
      <c r="C12831" s="209"/>
      <c r="D12831" s="209"/>
      <c r="E12831" s="209"/>
      <c r="J12831" s="124"/>
    </row>
    <row r="12832" spans="3:10" x14ac:dyDescent="0.2">
      <c r="C12832" s="209"/>
      <c r="D12832" s="209"/>
      <c r="E12832" s="209"/>
      <c r="J12832" s="124"/>
    </row>
    <row r="12833" spans="3:10" x14ac:dyDescent="0.2">
      <c r="C12833" s="209"/>
      <c r="D12833" s="209"/>
      <c r="E12833" s="209"/>
      <c r="J12833" s="124"/>
    </row>
    <row r="12834" spans="3:10" x14ac:dyDescent="0.2">
      <c r="C12834" s="209"/>
      <c r="D12834" s="209"/>
      <c r="E12834" s="209"/>
      <c r="J12834" s="124"/>
    </row>
    <row r="12835" spans="3:10" x14ac:dyDescent="0.2">
      <c r="C12835" s="209"/>
      <c r="D12835" s="209"/>
      <c r="E12835" s="209"/>
      <c r="J12835" s="124"/>
    </row>
    <row r="12836" spans="3:10" x14ac:dyDescent="0.2">
      <c r="C12836" s="209"/>
      <c r="D12836" s="209"/>
      <c r="E12836" s="209"/>
      <c r="J12836" s="124"/>
    </row>
    <row r="12837" spans="3:10" x14ac:dyDescent="0.2">
      <c r="C12837" s="209"/>
      <c r="D12837" s="209"/>
      <c r="E12837" s="209"/>
      <c r="J12837" s="124"/>
    </row>
    <row r="12838" spans="3:10" x14ac:dyDescent="0.2">
      <c r="C12838" s="209"/>
      <c r="D12838" s="209"/>
      <c r="E12838" s="209"/>
      <c r="J12838" s="124"/>
    </row>
    <row r="12839" spans="3:10" x14ac:dyDescent="0.2">
      <c r="C12839" s="209"/>
      <c r="D12839" s="209"/>
      <c r="E12839" s="209"/>
      <c r="J12839" s="124"/>
    </row>
    <row r="12840" spans="3:10" x14ac:dyDescent="0.2">
      <c r="C12840" s="209"/>
      <c r="D12840" s="209"/>
      <c r="E12840" s="209"/>
      <c r="J12840" s="124"/>
    </row>
    <row r="12841" spans="3:10" x14ac:dyDescent="0.2">
      <c r="C12841" s="209"/>
      <c r="D12841" s="209"/>
      <c r="E12841" s="209"/>
      <c r="J12841" s="124"/>
    </row>
    <row r="12842" spans="3:10" x14ac:dyDescent="0.2">
      <c r="C12842" s="209"/>
      <c r="D12842" s="209"/>
      <c r="E12842" s="209"/>
      <c r="J12842" s="124"/>
    </row>
    <row r="12843" spans="3:10" x14ac:dyDescent="0.2">
      <c r="C12843" s="209"/>
      <c r="D12843" s="209"/>
      <c r="E12843" s="209"/>
      <c r="J12843" s="124"/>
    </row>
    <row r="12844" spans="3:10" x14ac:dyDescent="0.2">
      <c r="C12844" s="209"/>
      <c r="D12844" s="209"/>
      <c r="E12844" s="209"/>
      <c r="J12844" s="124"/>
    </row>
    <row r="12845" spans="3:10" x14ac:dyDescent="0.2">
      <c r="C12845" s="209"/>
      <c r="D12845" s="209"/>
      <c r="E12845" s="209"/>
      <c r="J12845" s="124"/>
    </row>
    <row r="12846" spans="3:10" x14ac:dyDescent="0.2">
      <c r="C12846" s="209"/>
      <c r="D12846" s="209"/>
      <c r="E12846" s="209"/>
      <c r="J12846" s="124"/>
    </row>
    <row r="12847" spans="3:10" x14ac:dyDescent="0.2">
      <c r="C12847" s="209"/>
      <c r="D12847" s="209"/>
      <c r="E12847" s="209"/>
      <c r="J12847" s="124"/>
    </row>
    <row r="12848" spans="3:10" x14ac:dyDescent="0.2">
      <c r="C12848" s="209"/>
      <c r="D12848" s="209"/>
      <c r="E12848" s="209"/>
      <c r="J12848" s="124"/>
    </row>
    <row r="12849" spans="3:10" x14ac:dyDescent="0.2">
      <c r="C12849" s="209"/>
      <c r="D12849" s="209"/>
      <c r="E12849" s="209"/>
      <c r="J12849" s="124"/>
    </row>
    <row r="12850" spans="3:10" x14ac:dyDescent="0.2">
      <c r="C12850" s="209"/>
      <c r="D12850" s="209"/>
      <c r="E12850" s="209"/>
      <c r="J12850" s="124"/>
    </row>
    <row r="12851" spans="3:10" x14ac:dyDescent="0.2">
      <c r="C12851" s="209"/>
      <c r="D12851" s="209"/>
      <c r="E12851" s="209"/>
      <c r="J12851" s="124"/>
    </row>
    <row r="12852" spans="3:10" x14ac:dyDescent="0.2">
      <c r="C12852" s="209"/>
      <c r="D12852" s="209"/>
      <c r="E12852" s="209"/>
      <c r="J12852" s="124"/>
    </row>
    <row r="12853" spans="3:10" x14ac:dyDescent="0.2">
      <c r="C12853" s="209"/>
      <c r="D12853" s="209"/>
      <c r="E12853" s="209"/>
      <c r="J12853" s="124"/>
    </row>
    <row r="12854" spans="3:10" x14ac:dyDescent="0.2">
      <c r="C12854" s="209"/>
      <c r="D12854" s="209"/>
      <c r="E12854" s="209"/>
      <c r="J12854" s="124"/>
    </row>
    <row r="12855" spans="3:10" x14ac:dyDescent="0.2">
      <c r="C12855" s="209"/>
      <c r="D12855" s="209"/>
      <c r="E12855" s="209"/>
      <c r="J12855" s="124"/>
    </row>
    <row r="12856" spans="3:10" x14ac:dyDescent="0.2">
      <c r="C12856" s="209"/>
      <c r="D12856" s="209"/>
      <c r="E12856" s="209"/>
      <c r="J12856" s="124"/>
    </row>
    <row r="12857" spans="3:10" x14ac:dyDescent="0.2">
      <c r="C12857" s="209"/>
      <c r="D12857" s="209"/>
      <c r="E12857" s="209"/>
      <c r="J12857" s="124"/>
    </row>
    <row r="12858" spans="3:10" x14ac:dyDescent="0.2">
      <c r="C12858" s="209"/>
      <c r="D12858" s="209"/>
      <c r="E12858" s="209"/>
      <c r="J12858" s="124"/>
    </row>
    <row r="12859" spans="3:10" x14ac:dyDescent="0.2">
      <c r="C12859" s="209"/>
      <c r="D12859" s="209"/>
      <c r="E12859" s="209"/>
      <c r="J12859" s="124"/>
    </row>
    <row r="12860" spans="3:10" x14ac:dyDescent="0.2">
      <c r="C12860" s="209"/>
      <c r="D12860" s="209"/>
      <c r="E12860" s="209"/>
      <c r="J12860" s="124"/>
    </row>
    <row r="12861" spans="3:10" x14ac:dyDescent="0.2">
      <c r="C12861" s="209"/>
      <c r="D12861" s="209"/>
      <c r="E12861" s="209"/>
      <c r="J12861" s="124"/>
    </row>
    <row r="12862" spans="3:10" x14ac:dyDescent="0.2">
      <c r="C12862" s="209"/>
      <c r="D12862" s="209"/>
      <c r="E12862" s="209"/>
      <c r="J12862" s="124"/>
    </row>
    <row r="12863" spans="3:10" x14ac:dyDescent="0.2">
      <c r="C12863" s="209"/>
      <c r="D12863" s="209"/>
      <c r="E12863" s="209"/>
      <c r="J12863" s="124"/>
    </row>
    <row r="12864" spans="3:10" x14ac:dyDescent="0.2">
      <c r="C12864" s="209"/>
      <c r="D12864" s="209"/>
      <c r="E12864" s="209"/>
      <c r="J12864" s="124"/>
    </row>
    <row r="12865" spans="3:10" x14ac:dyDescent="0.2">
      <c r="C12865" s="209"/>
      <c r="D12865" s="209"/>
      <c r="E12865" s="209"/>
      <c r="J12865" s="124"/>
    </row>
    <row r="12866" spans="3:10" x14ac:dyDescent="0.2">
      <c r="C12866" s="209"/>
      <c r="D12866" s="209"/>
      <c r="E12866" s="209"/>
      <c r="J12866" s="124"/>
    </row>
    <row r="12867" spans="3:10" x14ac:dyDescent="0.2">
      <c r="C12867" s="209"/>
      <c r="D12867" s="209"/>
      <c r="E12867" s="209"/>
      <c r="J12867" s="124"/>
    </row>
    <row r="12868" spans="3:10" x14ac:dyDescent="0.2">
      <c r="C12868" s="209"/>
      <c r="D12868" s="209"/>
      <c r="E12868" s="209"/>
      <c r="J12868" s="124"/>
    </row>
    <row r="12869" spans="3:10" x14ac:dyDescent="0.2">
      <c r="C12869" s="209"/>
      <c r="D12869" s="209"/>
      <c r="E12869" s="209"/>
      <c r="J12869" s="124"/>
    </row>
    <row r="12870" spans="3:10" x14ac:dyDescent="0.2">
      <c r="C12870" s="209"/>
      <c r="D12870" s="209"/>
      <c r="E12870" s="209"/>
      <c r="J12870" s="124"/>
    </row>
    <row r="12871" spans="3:10" x14ac:dyDescent="0.2">
      <c r="C12871" s="209"/>
      <c r="D12871" s="209"/>
      <c r="E12871" s="209"/>
      <c r="J12871" s="124"/>
    </row>
    <row r="12872" spans="3:10" x14ac:dyDescent="0.2">
      <c r="C12872" s="209"/>
      <c r="D12872" s="209"/>
      <c r="E12872" s="209"/>
      <c r="J12872" s="124"/>
    </row>
    <row r="12873" spans="3:10" x14ac:dyDescent="0.2">
      <c r="C12873" s="209"/>
      <c r="D12873" s="209"/>
      <c r="E12873" s="209"/>
      <c r="J12873" s="124"/>
    </row>
    <row r="12874" spans="3:10" x14ac:dyDescent="0.2">
      <c r="C12874" s="209"/>
      <c r="D12874" s="209"/>
      <c r="E12874" s="209"/>
      <c r="J12874" s="124"/>
    </row>
    <row r="12875" spans="3:10" x14ac:dyDescent="0.2">
      <c r="C12875" s="209"/>
      <c r="D12875" s="209"/>
      <c r="E12875" s="209"/>
      <c r="J12875" s="124"/>
    </row>
    <row r="12876" spans="3:10" x14ac:dyDescent="0.2">
      <c r="C12876" s="209"/>
      <c r="D12876" s="209"/>
      <c r="E12876" s="209"/>
      <c r="J12876" s="124"/>
    </row>
    <row r="12877" spans="3:10" x14ac:dyDescent="0.2">
      <c r="C12877" s="209"/>
      <c r="D12877" s="209"/>
      <c r="E12877" s="209"/>
      <c r="J12877" s="124"/>
    </row>
    <row r="12878" spans="3:10" x14ac:dyDescent="0.2">
      <c r="C12878" s="209"/>
      <c r="D12878" s="209"/>
      <c r="E12878" s="209"/>
      <c r="J12878" s="124"/>
    </row>
    <row r="12879" spans="3:10" x14ac:dyDescent="0.2">
      <c r="C12879" s="209"/>
      <c r="D12879" s="209"/>
      <c r="E12879" s="209"/>
      <c r="J12879" s="124"/>
    </row>
    <row r="12880" spans="3:10" x14ac:dyDescent="0.2">
      <c r="C12880" s="209"/>
      <c r="D12880" s="209"/>
      <c r="E12880" s="209"/>
      <c r="J12880" s="124"/>
    </row>
    <row r="12881" spans="3:10" x14ac:dyDescent="0.2">
      <c r="C12881" s="209"/>
      <c r="D12881" s="209"/>
      <c r="E12881" s="209"/>
      <c r="J12881" s="124"/>
    </row>
    <row r="12882" spans="3:10" x14ac:dyDescent="0.2">
      <c r="C12882" s="209"/>
      <c r="D12882" s="209"/>
      <c r="E12882" s="209"/>
      <c r="J12882" s="124"/>
    </row>
    <row r="12883" spans="3:10" x14ac:dyDescent="0.2">
      <c r="C12883" s="209"/>
      <c r="D12883" s="209"/>
      <c r="E12883" s="209"/>
      <c r="J12883" s="124"/>
    </row>
    <row r="12884" spans="3:10" x14ac:dyDescent="0.2">
      <c r="C12884" s="209"/>
      <c r="D12884" s="209"/>
      <c r="E12884" s="209"/>
      <c r="J12884" s="124"/>
    </row>
    <row r="12885" spans="3:10" x14ac:dyDescent="0.2">
      <c r="C12885" s="209"/>
      <c r="D12885" s="209"/>
      <c r="E12885" s="209"/>
      <c r="J12885" s="124"/>
    </row>
    <row r="12886" spans="3:10" x14ac:dyDescent="0.2">
      <c r="C12886" s="209"/>
      <c r="D12886" s="209"/>
      <c r="E12886" s="209"/>
      <c r="J12886" s="124"/>
    </row>
    <row r="12887" spans="3:10" x14ac:dyDescent="0.2">
      <c r="C12887" s="209"/>
      <c r="D12887" s="209"/>
      <c r="E12887" s="209"/>
      <c r="J12887" s="124"/>
    </row>
    <row r="12888" spans="3:10" x14ac:dyDescent="0.2">
      <c r="C12888" s="209"/>
      <c r="D12888" s="209"/>
      <c r="E12888" s="209"/>
      <c r="J12888" s="124"/>
    </row>
    <row r="12889" spans="3:10" x14ac:dyDescent="0.2">
      <c r="C12889" s="209"/>
      <c r="D12889" s="209"/>
      <c r="E12889" s="209"/>
      <c r="J12889" s="124"/>
    </row>
    <row r="12890" spans="3:10" x14ac:dyDescent="0.2">
      <c r="C12890" s="209"/>
      <c r="D12890" s="209"/>
      <c r="E12890" s="209"/>
      <c r="J12890" s="124"/>
    </row>
    <row r="12891" spans="3:10" x14ac:dyDescent="0.2">
      <c r="C12891" s="209"/>
      <c r="D12891" s="209"/>
      <c r="E12891" s="209"/>
      <c r="J12891" s="124"/>
    </row>
    <row r="12892" spans="3:10" x14ac:dyDescent="0.2">
      <c r="C12892" s="209"/>
      <c r="D12892" s="209"/>
      <c r="E12892" s="209"/>
      <c r="J12892" s="124"/>
    </row>
    <row r="12893" spans="3:10" x14ac:dyDescent="0.2">
      <c r="C12893" s="209"/>
      <c r="D12893" s="209"/>
      <c r="E12893" s="209"/>
      <c r="J12893" s="124"/>
    </row>
    <row r="12894" spans="3:10" x14ac:dyDescent="0.2">
      <c r="C12894" s="209"/>
      <c r="D12894" s="209"/>
      <c r="E12894" s="209"/>
      <c r="J12894" s="124"/>
    </row>
    <row r="12895" spans="3:10" x14ac:dyDescent="0.2">
      <c r="C12895" s="209"/>
      <c r="D12895" s="209"/>
      <c r="E12895" s="209"/>
      <c r="J12895" s="124"/>
    </row>
    <row r="12896" spans="3:10" x14ac:dyDescent="0.2">
      <c r="C12896" s="209"/>
      <c r="D12896" s="209"/>
      <c r="E12896" s="209"/>
      <c r="J12896" s="124"/>
    </row>
    <row r="12897" spans="3:10" x14ac:dyDescent="0.2">
      <c r="C12897" s="209"/>
      <c r="D12897" s="209"/>
      <c r="E12897" s="209"/>
      <c r="J12897" s="124"/>
    </row>
    <row r="12898" spans="3:10" x14ac:dyDescent="0.2">
      <c r="C12898" s="209"/>
      <c r="D12898" s="209"/>
      <c r="E12898" s="209"/>
      <c r="J12898" s="124"/>
    </row>
    <row r="12899" spans="3:10" x14ac:dyDescent="0.2">
      <c r="C12899" s="209"/>
      <c r="D12899" s="209"/>
      <c r="E12899" s="209"/>
      <c r="J12899" s="124"/>
    </row>
    <row r="12900" spans="3:10" x14ac:dyDescent="0.2">
      <c r="C12900" s="209"/>
      <c r="D12900" s="209"/>
      <c r="E12900" s="209"/>
      <c r="J12900" s="124"/>
    </row>
    <row r="12901" spans="3:10" x14ac:dyDescent="0.2">
      <c r="C12901" s="209"/>
      <c r="D12901" s="209"/>
      <c r="E12901" s="209"/>
      <c r="J12901" s="124"/>
    </row>
    <row r="12902" spans="3:10" x14ac:dyDescent="0.2">
      <c r="C12902" s="209"/>
      <c r="D12902" s="209"/>
      <c r="E12902" s="209"/>
      <c r="J12902" s="124"/>
    </row>
    <row r="12903" spans="3:10" x14ac:dyDescent="0.2">
      <c r="C12903" s="209"/>
      <c r="D12903" s="209"/>
      <c r="E12903" s="209"/>
      <c r="J12903" s="124"/>
    </row>
    <row r="12904" spans="3:10" x14ac:dyDescent="0.2">
      <c r="C12904" s="209"/>
      <c r="D12904" s="209"/>
      <c r="E12904" s="209"/>
      <c r="J12904" s="124"/>
    </row>
    <row r="12905" spans="3:10" x14ac:dyDescent="0.2">
      <c r="C12905" s="209"/>
      <c r="D12905" s="209"/>
      <c r="E12905" s="209"/>
      <c r="J12905" s="124"/>
    </row>
    <row r="12906" spans="3:10" x14ac:dyDescent="0.2">
      <c r="C12906" s="209"/>
      <c r="D12906" s="209"/>
      <c r="E12906" s="209"/>
      <c r="J12906" s="124"/>
    </row>
    <row r="12907" spans="3:10" x14ac:dyDescent="0.2">
      <c r="C12907" s="209"/>
      <c r="D12907" s="209"/>
      <c r="E12907" s="209"/>
      <c r="J12907" s="124"/>
    </row>
    <row r="12908" spans="3:10" x14ac:dyDescent="0.2">
      <c r="C12908" s="209"/>
      <c r="D12908" s="209"/>
      <c r="E12908" s="209"/>
      <c r="J12908" s="124"/>
    </row>
    <row r="12909" spans="3:10" x14ac:dyDescent="0.2">
      <c r="C12909" s="209"/>
      <c r="D12909" s="209"/>
      <c r="E12909" s="209"/>
      <c r="J12909" s="124"/>
    </row>
    <row r="12910" spans="3:10" x14ac:dyDescent="0.2">
      <c r="C12910" s="209"/>
      <c r="D12910" s="209"/>
      <c r="E12910" s="209"/>
      <c r="J12910" s="124"/>
    </row>
    <row r="12911" spans="3:10" x14ac:dyDescent="0.2">
      <c r="C12911" s="209"/>
      <c r="D12911" s="209"/>
      <c r="E12911" s="209"/>
      <c r="J12911" s="124"/>
    </row>
    <row r="12912" spans="3:10" x14ac:dyDescent="0.2">
      <c r="C12912" s="209"/>
      <c r="D12912" s="209"/>
      <c r="E12912" s="209"/>
      <c r="J12912" s="124"/>
    </row>
    <row r="12913" spans="3:10" x14ac:dyDescent="0.2">
      <c r="C12913" s="209"/>
      <c r="D12913" s="209"/>
      <c r="E12913" s="209"/>
      <c r="J12913" s="124"/>
    </row>
    <row r="12914" spans="3:10" x14ac:dyDescent="0.2">
      <c r="C12914" s="209"/>
      <c r="D12914" s="209"/>
      <c r="E12914" s="209"/>
      <c r="J12914" s="124"/>
    </row>
    <row r="12915" spans="3:10" x14ac:dyDescent="0.2">
      <c r="C12915" s="209"/>
      <c r="D12915" s="209"/>
      <c r="E12915" s="209"/>
      <c r="J12915" s="124"/>
    </row>
    <row r="12916" spans="3:10" x14ac:dyDescent="0.2">
      <c r="C12916" s="209"/>
      <c r="D12916" s="209"/>
      <c r="E12916" s="209"/>
      <c r="J12916" s="124"/>
    </row>
    <row r="12917" spans="3:10" x14ac:dyDescent="0.2">
      <c r="C12917" s="209"/>
      <c r="D12917" s="209"/>
      <c r="E12917" s="209"/>
      <c r="J12917" s="124"/>
    </row>
    <row r="12918" spans="3:10" x14ac:dyDescent="0.2">
      <c r="C12918" s="209"/>
      <c r="D12918" s="209"/>
      <c r="E12918" s="209"/>
      <c r="J12918" s="124"/>
    </row>
    <row r="12919" spans="3:10" x14ac:dyDescent="0.2">
      <c r="C12919" s="209"/>
      <c r="D12919" s="209"/>
      <c r="E12919" s="209"/>
      <c r="J12919" s="124"/>
    </row>
    <row r="12920" spans="3:10" x14ac:dyDescent="0.2">
      <c r="C12920" s="209"/>
      <c r="D12920" s="209"/>
      <c r="E12920" s="209"/>
      <c r="J12920" s="124"/>
    </row>
    <row r="12921" spans="3:10" x14ac:dyDescent="0.2">
      <c r="C12921" s="209"/>
      <c r="D12921" s="209"/>
      <c r="E12921" s="209"/>
      <c r="J12921" s="124"/>
    </row>
    <row r="12922" spans="3:10" x14ac:dyDescent="0.2">
      <c r="C12922" s="209"/>
      <c r="D12922" s="209"/>
      <c r="E12922" s="209"/>
      <c r="J12922" s="124"/>
    </row>
    <row r="12923" spans="3:10" x14ac:dyDescent="0.2">
      <c r="C12923" s="209"/>
      <c r="D12923" s="209"/>
      <c r="E12923" s="209"/>
      <c r="J12923" s="124"/>
    </row>
    <row r="12924" spans="3:10" x14ac:dyDescent="0.2">
      <c r="C12924" s="209"/>
      <c r="D12924" s="209"/>
      <c r="E12924" s="209"/>
      <c r="J12924" s="124"/>
    </row>
    <row r="12925" spans="3:10" x14ac:dyDescent="0.2">
      <c r="C12925" s="209"/>
      <c r="D12925" s="209"/>
      <c r="E12925" s="209"/>
      <c r="J12925" s="124"/>
    </row>
    <row r="12926" spans="3:10" x14ac:dyDescent="0.2">
      <c r="C12926" s="209"/>
      <c r="D12926" s="209"/>
      <c r="E12926" s="209"/>
      <c r="J12926" s="124"/>
    </row>
    <row r="12927" spans="3:10" x14ac:dyDescent="0.2">
      <c r="C12927" s="209"/>
      <c r="D12927" s="209"/>
      <c r="E12927" s="209"/>
      <c r="J12927" s="124"/>
    </row>
    <row r="12928" spans="3:10" x14ac:dyDescent="0.2">
      <c r="C12928" s="209"/>
      <c r="D12928" s="209"/>
      <c r="E12928" s="209"/>
      <c r="J12928" s="124"/>
    </row>
    <row r="12929" spans="3:10" x14ac:dyDescent="0.2">
      <c r="C12929" s="209"/>
      <c r="D12929" s="209"/>
      <c r="E12929" s="209"/>
      <c r="J12929" s="124"/>
    </row>
    <row r="12930" spans="3:10" x14ac:dyDescent="0.2">
      <c r="C12930" s="209"/>
      <c r="D12930" s="209"/>
      <c r="E12930" s="209"/>
      <c r="J12930" s="124"/>
    </row>
    <row r="12931" spans="3:10" x14ac:dyDescent="0.2">
      <c r="C12931" s="209"/>
      <c r="D12931" s="209"/>
      <c r="E12931" s="209"/>
      <c r="J12931" s="124"/>
    </row>
    <row r="12932" spans="3:10" x14ac:dyDescent="0.2">
      <c r="C12932" s="209"/>
      <c r="D12932" s="209"/>
      <c r="E12932" s="209"/>
      <c r="J12932" s="124"/>
    </row>
    <row r="12933" spans="3:10" x14ac:dyDescent="0.2">
      <c r="C12933" s="209"/>
      <c r="D12933" s="209"/>
      <c r="E12933" s="209"/>
      <c r="J12933" s="124"/>
    </row>
    <row r="12934" spans="3:10" x14ac:dyDescent="0.2">
      <c r="C12934" s="209"/>
      <c r="D12934" s="209"/>
      <c r="E12934" s="209"/>
      <c r="J12934" s="124"/>
    </row>
    <row r="12935" spans="3:10" x14ac:dyDescent="0.2">
      <c r="C12935" s="209"/>
      <c r="D12935" s="209"/>
      <c r="E12935" s="209"/>
      <c r="J12935" s="124"/>
    </row>
    <row r="12936" spans="3:10" x14ac:dyDescent="0.2">
      <c r="C12936" s="209"/>
      <c r="D12936" s="209"/>
      <c r="E12936" s="209"/>
      <c r="J12936" s="124"/>
    </row>
    <row r="12937" spans="3:10" x14ac:dyDescent="0.2">
      <c r="C12937" s="209"/>
      <c r="D12937" s="209"/>
      <c r="E12937" s="209"/>
      <c r="J12937" s="124"/>
    </row>
    <row r="12938" spans="3:10" x14ac:dyDescent="0.2">
      <c r="C12938" s="209"/>
      <c r="D12938" s="209"/>
      <c r="E12938" s="209"/>
      <c r="J12938" s="124"/>
    </row>
    <row r="12939" spans="3:10" x14ac:dyDescent="0.2">
      <c r="C12939" s="209"/>
      <c r="D12939" s="209"/>
      <c r="E12939" s="209"/>
      <c r="J12939" s="124"/>
    </row>
    <row r="12940" spans="3:10" x14ac:dyDescent="0.2">
      <c r="C12940" s="209"/>
      <c r="D12940" s="209"/>
      <c r="E12940" s="209"/>
      <c r="J12940" s="124"/>
    </row>
    <row r="12941" spans="3:10" x14ac:dyDescent="0.2">
      <c r="C12941" s="209"/>
      <c r="D12941" s="209"/>
      <c r="E12941" s="209"/>
      <c r="J12941" s="124"/>
    </row>
    <row r="12942" spans="3:10" x14ac:dyDescent="0.2">
      <c r="C12942" s="209"/>
      <c r="D12942" s="209"/>
      <c r="E12942" s="209"/>
      <c r="J12942" s="124"/>
    </row>
    <row r="12943" spans="3:10" x14ac:dyDescent="0.2">
      <c r="C12943" s="209"/>
      <c r="D12943" s="209"/>
      <c r="E12943" s="209"/>
      <c r="J12943" s="124"/>
    </row>
    <row r="12944" spans="3:10" x14ac:dyDescent="0.2">
      <c r="C12944" s="209"/>
      <c r="D12944" s="209"/>
      <c r="E12944" s="209"/>
      <c r="J12944" s="124"/>
    </row>
    <row r="12945" spans="3:10" x14ac:dyDescent="0.2">
      <c r="C12945" s="209"/>
      <c r="D12945" s="209"/>
      <c r="E12945" s="209"/>
      <c r="J12945" s="124"/>
    </row>
    <row r="12946" spans="3:10" x14ac:dyDescent="0.2">
      <c r="C12946" s="209"/>
      <c r="D12946" s="209"/>
      <c r="E12946" s="209"/>
      <c r="J12946" s="124"/>
    </row>
    <row r="12947" spans="3:10" x14ac:dyDescent="0.2">
      <c r="C12947" s="209"/>
      <c r="D12947" s="209"/>
      <c r="E12947" s="209"/>
      <c r="J12947" s="124"/>
    </row>
    <row r="12948" spans="3:10" x14ac:dyDescent="0.2">
      <c r="C12948" s="209"/>
      <c r="D12948" s="209"/>
      <c r="E12948" s="209"/>
      <c r="J12948" s="124"/>
    </row>
    <row r="12949" spans="3:10" x14ac:dyDescent="0.2">
      <c r="C12949" s="209"/>
      <c r="D12949" s="209"/>
      <c r="E12949" s="209"/>
      <c r="J12949" s="124"/>
    </row>
    <row r="12950" spans="3:10" x14ac:dyDescent="0.2">
      <c r="C12950" s="209"/>
      <c r="D12950" s="209"/>
      <c r="E12950" s="209"/>
      <c r="J12950" s="124"/>
    </row>
    <row r="12951" spans="3:10" x14ac:dyDescent="0.2">
      <c r="C12951" s="209"/>
      <c r="D12951" s="209"/>
      <c r="E12951" s="209"/>
      <c r="J12951" s="124"/>
    </row>
    <row r="12952" spans="3:10" x14ac:dyDescent="0.2">
      <c r="C12952" s="209"/>
      <c r="D12952" s="209"/>
      <c r="E12952" s="209"/>
      <c r="J12952" s="124"/>
    </row>
    <row r="12953" spans="3:10" x14ac:dyDescent="0.2">
      <c r="C12953" s="209"/>
      <c r="D12953" s="209"/>
      <c r="E12953" s="209"/>
      <c r="J12953" s="124"/>
    </row>
    <row r="12954" spans="3:10" x14ac:dyDescent="0.2">
      <c r="C12954" s="209"/>
      <c r="D12954" s="209"/>
      <c r="E12954" s="209"/>
      <c r="J12954" s="124"/>
    </row>
    <row r="12955" spans="3:10" x14ac:dyDescent="0.2">
      <c r="C12955" s="209"/>
      <c r="D12955" s="209"/>
      <c r="E12955" s="209"/>
      <c r="J12955" s="124"/>
    </row>
    <row r="12956" spans="3:10" x14ac:dyDescent="0.2">
      <c r="C12956" s="209"/>
      <c r="D12956" s="209"/>
      <c r="E12956" s="209"/>
      <c r="J12956" s="124"/>
    </row>
    <row r="12957" spans="3:10" x14ac:dyDescent="0.2">
      <c r="C12957" s="209"/>
      <c r="D12957" s="209"/>
      <c r="E12957" s="209"/>
      <c r="J12957" s="124"/>
    </row>
    <row r="12958" spans="3:10" x14ac:dyDescent="0.2">
      <c r="C12958" s="209"/>
      <c r="D12958" s="209"/>
      <c r="E12958" s="209"/>
      <c r="J12958" s="124"/>
    </row>
    <row r="12959" spans="3:10" x14ac:dyDescent="0.2">
      <c r="C12959" s="209"/>
      <c r="D12959" s="209"/>
      <c r="E12959" s="209"/>
      <c r="J12959" s="124"/>
    </row>
    <row r="12960" spans="3:10" x14ac:dyDescent="0.2">
      <c r="C12960" s="209"/>
      <c r="D12960" s="209"/>
      <c r="E12960" s="209"/>
      <c r="J12960" s="124"/>
    </row>
    <row r="12961" spans="3:10" x14ac:dyDescent="0.2">
      <c r="C12961" s="209"/>
      <c r="D12961" s="209"/>
      <c r="E12961" s="209"/>
      <c r="J12961" s="124"/>
    </row>
    <row r="12962" spans="3:10" x14ac:dyDescent="0.2">
      <c r="C12962" s="209"/>
      <c r="D12962" s="209"/>
      <c r="E12962" s="209"/>
      <c r="J12962" s="124"/>
    </row>
    <row r="12963" spans="3:10" x14ac:dyDescent="0.2">
      <c r="C12963" s="209"/>
      <c r="D12963" s="209"/>
      <c r="E12963" s="209"/>
      <c r="J12963" s="124"/>
    </row>
    <row r="12964" spans="3:10" x14ac:dyDescent="0.2">
      <c r="C12964" s="209"/>
      <c r="D12964" s="209"/>
      <c r="E12964" s="209"/>
      <c r="J12964" s="124"/>
    </row>
    <row r="12965" spans="3:10" x14ac:dyDescent="0.2">
      <c r="C12965" s="209"/>
      <c r="D12965" s="209"/>
      <c r="E12965" s="209"/>
      <c r="J12965" s="124"/>
    </row>
    <row r="12966" spans="3:10" x14ac:dyDescent="0.2">
      <c r="C12966" s="209"/>
      <c r="D12966" s="209"/>
      <c r="E12966" s="209"/>
      <c r="J12966" s="124"/>
    </row>
    <row r="12967" spans="3:10" x14ac:dyDescent="0.2">
      <c r="C12967" s="209"/>
      <c r="D12967" s="209"/>
      <c r="E12967" s="209"/>
      <c r="J12967" s="124"/>
    </row>
    <row r="12968" spans="3:10" x14ac:dyDescent="0.2">
      <c r="C12968" s="209"/>
      <c r="D12968" s="209"/>
      <c r="E12968" s="209"/>
      <c r="J12968" s="124"/>
    </row>
    <row r="12969" spans="3:10" x14ac:dyDescent="0.2">
      <c r="C12969" s="209"/>
      <c r="D12969" s="209"/>
      <c r="E12969" s="209"/>
      <c r="J12969" s="124"/>
    </row>
    <row r="12970" spans="3:10" x14ac:dyDescent="0.2">
      <c r="C12970" s="209"/>
      <c r="D12970" s="209"/>
      <c r="E12970" s="209"/>
      <c r="J12970" s="124"/>
    </row>
    <row r="12971" spans="3:10" x14ac:dyDescent="0.2">
      <c r="C12971" s="209"/>
      <c r="D12971" s="209"/>
      <c r="E12971" s="209"/>
      <c r="J12971" s="124"/>
    </row>
    <row r="12972" spans="3:10" x14ac:dyDescent="0.2">
      <c r="C12972" s="209"/>
      <c r="D12972" s="209"/>
      <c r="E12972" s="209"/>
      <c r="J12972" s="124"/>
    </row>
    <row r="12973" spans="3:10" x14ac:dyDescent="0.2">
      <c r="C12973" s="209"/>
      <c r="D12973" s="209"/>
      <c r="E12973" s="209"/>
      <c r="J12973" s="124"/>
    </row>
    <row r="12974" spans="3:10" x14ac:dyDescent="0.2">
      <c r="C12974" s="209"/>
      <c r="D12974" s="209"/>
      <c r="E12974" s="209"/>
      <c r="J12974" s="124"/>
    </row>
    <row r="12975" spans="3:10" x14ac:dyDescent="0.2">
      <c r="C12975" s="209"/>
      <c r="D12975" s="209"/>
      <c r="E12975" s="209"/>
      <c r="J12975" s="124"/>
    </row>
    <row r="12976" spans="3:10" x14ac:dyDescent="0.2">
      <c r="C12976" s="209"/>
      <c r="D12976" s="209"/>
      <c r="E12976" s="209"/>
      <c r="J12976" s="124"/>
    </row>
    <row r="12977" spans="3:10" x14ac:dyDescent="0.2">
      <c r="C12977" s="209"/>
      <c r="D12977" s="209"/>
      <c r="E12977" s="209"/>
      <c r="J12977" s="124"/>
    </row>
    <row r="12978" spans="3:10" x14ac:dyDescent="0.2">
      <c r="C12978" s="209"/>
      <c r="D12978" s="209"/>
      <c r="E12978" s="209"/>
      <c r="J12978" s="124"/>
    </row>
    <row r="12979" spans="3:10" x14ac:dyDescent="0.2">
      <c r="C12979" s="209"/>
      <c r="D12979" s="209"/>
      <c r="E12979" s="209"/>
      <c r="J12979" s="124"/>
    </row>
    <row r="12980" spans="3:10" x14ac:dyDescent="0.2">
      <c r="C12980" s="209"/>
      <c r="D12980" s="209"/>
      <c r="E12980" s="209"/>
      <c r="J12980" s="124"/>
    </row>
    <row r="12981" spans="3:10" x14ac:dyDescent="0.2">
      <c r="C12981" s="209"/>
      <c r="D12981" s="209"/>
      <c r="E12981" s="209"/>
      <c r="J12981" s="124"/>
    </row>
    <row r="12982" spans="3:10" x14ac:dyDescent="0.2">
      <c r="C12982" s="209"/>
      <c r="D12982" s="209"/>
      <c r="E12982" s="209"/>
      <c r="J12982" s="124"/>
    </row>
    <row r="12983" spans="3:10" x14ac:dyDescent="0.2">
      <c r="C12983" s="209"/>
      <c r="D12983" s="209"/>
      <c r="E12983" s="209"/>
      <c r="J12983" s="124"/>
    </row>
    <row r="12984" spans="3:10" x14ac:dyDescent="0.2">
      <c r="C12984" s="209"/>
      <c r="D12984" s="209"/>
      <c r="E12984" s="209"/>
      <c r="J12984" s="124"/>
    </row>
    <row r="12985" spans="3:10" x14ac:dyDescent="0.2">
      <c r="C12985" s="209"/>
      <c r="D12985" s="209"/>
      <c r="E12985" s="209"/>
      <c r="J12985" s="124"/>
    </row>
    <row r="12986" spans="3:10" x14ac:dyDescent="0.2">
      <c r="C12986" s="209"/>
      <c r="D12986" s="209"/>
      <c r="E12986" s="209"/>
      <c r="J12986" s="124"/>
    </row>
    <row r="12987" spans="3:10" x14ac:dyDescent="0.2">
      <c r="C12987" s="209"/>
      <c r="D12987" s="209"/>
      <c r="E12987" s="209"/>
      <c r="J12987" s="124"/>
    </row>
    <row r="12988" spans="3:10" x14ac:dyDescent="0.2">
      <c r="C12988" s="209"/>
      <c r="D12988" s="209"/>
      <c r="E12988" s="209"/>
      <c r="J12988" s="124"/>
    </row>
    <row r="12989" spans="3:10" x14ac:dyDescent="0.2">
      <c r="C12989" s="209"/>
      <c r="D12989" s="209"/>
      <c r="E12989" s="209"/>
      <c r="J12989" s="124"/>
    </row>
    <row r="12990" spans="3:10" x14ac:dyDescent="0.2">
      <c r="C12990" s="209"/>
      <c r="D12990" s="209"/>
      <c r="E12990" s="209"/>
      <c r="J12990" s="124"/>
    </row>
    <row r="12991" spans="3:10" x14ac:dyDescent="0.2">
      <c r="C12991" s="209"/>
      <c r="D12991" s="209"/>
      <c r="E12991" s="209"/>
      <c r="J12991" s="124"/>
    </row>
    <row r="12992" spans="3:10" x14ac:dyDescent="0.2">
      <c r="C12992" s="209"/>
      <c r="D12992" s="209"/>
      <c r="E12992" s="209"/>
      <c r="J12992" s="124"/>
    </row>
    <row r="12993" spans="3:10" x14ac:dyDescent="0.2">
      <c r="C12993" s="209"/>
      <c r="D12993" s="209"/>
      <c r="E12993" s="209"/>
      <c r="J12993" s="124"/>
    </row>
    <row r="12994" spans="3:10" x14ac:dyDescent="0.2">
      <c r="C12994" s="209"/>
      <c r="D12994" s="209"/>
      <c r="E12994" s="209"/>
      <c r="J12994" s="124"/>
    </row>
    <row r="12995" spans="3:10" x14ac:dyDescent="0.2">
      <c r="C12995" s="209"/>
      <c r="D12995" s="209"/>
      <c r="E12995" s="209"/>
      <c r="J12995" s="124"/>
    </row>
    <row r="12996" spans="3:10" x14ac:dyDescent="0.2">
      <c r="C12996" s="209"/>
      <c r="D12996" s="209"/>
      <c r="E12996" s="209"/>
      <c r="J12996" s="124"/>
    </row>
    <row r="12997" spans="3:10" x14ac:dyDescent="0.2">
      <c r="C12997" s="209"/>
      <c r="D12997" s="209"/>
      <c r="E12997" s="209"/>
      <c r="J12997" s="124"/>
    </row>
    <row r="12998" spans="3:10" x14ac:dyDescent="0.2">
      <c r="C12998" s="209"/>
      <c r="D12998" s="209"/>
      <c r="E12998" s="209"/>
      <c r="J12998" s="124"/>
    </row>
    <row r="12999" spans="3:10" x14ac:dyDescent="0.2">
      <c r="C12999" s="209"/>
      <c r="D12999" s="209"/>
      <c r="E12999" s="209"/>
      <c r="J12999" s="124"/>
    </row>
    <row r="13000" spans="3:10" x14ac:dyDescent="0.2">
      <c r="C13000" s="209"/>
      <c r="D13000" s="209"/>
      <c r="E13000" s="209"/>
      <c r="J13000" s="124"/>
    </row>
    <row r="13001" spans="3:10" x14ac:dyDescent="0.2">
      <c r="C13001" s="209"/>
      <c r="D13001" s="209"/>
      <c r="E13001" s="209"/>
      <c r="J13001" s="124"/>
    </row>
    <row r="13002" spans="3:10" x14ac:dyDescent="0.2">
      <c r="C13002" s="209"/>
      <c r="D13002" s="209"/>
      <c r="E13002" s="209"/>
      <c r="J13002" s="124"/>
    </row>
    <row r="13003" spans="3:10" x14ac:dyDescent="0.2">
      <c r="C13003" s="209"/>
      <c r="D13003" s="209"/>
      <c r="E13003" s="209"/>
      <c r="J13003" s="124"/>
    </row>
    <row r="13004" spans="3:10" x14ac:dyDescent="0.2">
      <c r="C13004" s="209"/>
      <c r="D13004" s="209"/>
      <c r="E13004" s="209"/>
      <c r="J13004" s="124"/>
    </row>
    <row r="13005" spans="3:10" x14ac:dyDescent="0.2">
      <c r="C13005" s="209"/>
      <c r="D13005" s="209"/>
      <c r="E13005" s="209"/>
      <c r="J13005" s="124"/>
    </row>
    <row r="13006" spans="3:10" x14ac:dyDescent="0.2">
      <c r="C13006" s="209"/>
      <c r="D13006" s="209"/>
      <c r="E13006" s="209"/>
      <c r="J13006" s="124"/>
    </row>
    <row r="13007" spans="3:10" x14ac:dyDescent="0.2">
      <c r="C13007" s="209"/>
      <c r="D13007" s="209"/>
      <c r="E13007" s="209"/>
      <c r="J13007" s="124"/>
    </row>
    <row r="13008" spans="3:10" x14ac:dyDescent="0.2">
      <c r="C13008" s="209"/>
      <c r="D13008" s="209"/>
      <c r="E13008" s="209"/>
      <c r="J13008" s="124"/>
    </row>
    <row r="13009" spans="3:10" x14ac:dyDescent="0.2">
      <c r="C13009" s="209"/>
      <c r="D13009" s="209"/>
      <c r="E13009" s="209"/>
      <c r="J13009" s="124"/>
    </row>
    <row r="13010" spans="3:10" x14ac:dyDescent="0.2">
      <c r="C13010" s="209"/>
      <c r="D13010" s="209"/>
      <c r="E13010" s="209"/>
      <c r="J13010" s="124"/>
    </row>
    <row r="13011" spans="3:10" x14ac:dyDescent="0.2">
      <c r="C13011" s="209"/>
      <c r="D13011" s="209"/>
      <c r="E13011" s="209"/>
      <c r="J13011" s="124"/>
    </row>
    <row r="13012" spans="3:10" x14ac:dyDescent="0.2">
      <c r="C13012" s="209"/>
      <c r="D13012" s="209"/>
      <c r="E13012" s="209"/>
      <c r="J13012" s="124"/>
    </row>
    <row r="13013" spans="3:10" x14ac:dyDescent="0.2">
      <c r="C13013" s="209"/>
      <c r="D13013" s="209"/>
      <c r="E13013" s="209"/>
      <c r="J13013" s="124"/>
    </row>
    <row r="13014" spans="3:10" x14ac:dyDescent="0.2">
      <c r="C13014" s="209"/>
      <c r="D13014" s="209"/>
      <c r="E13014" s="209"/>
      <c r="J13014" s="124"/>
    </row>
    <row r="13015" spans="3:10" x14ac:dyDescent="0.2">
      <c r="C13015" s="209"/>
      <c r="D13015" s="209"/>
      <c r="E13015" s="209"/>
      <c r="J13015" s="124"/>
    </row>
    <row r="13016" spans="3:10" x14ac:dyDescent="0.2">
      <c r="C13016" s="209"/>
      <c r="D13016" s="209"/>
      <c r="E13016" s="209"/>
      <c r="J13016" s="124"/>
    </row>
    <row r="13017" spans="3:10" x14ac:dyDescent="0.2">
      <c r="C13017" s="209"/>
      <c r="D13017" s="209"/>
      <c r="E13017" s="209"/>
      <c r="J13017" s="124"/>
    </row>
    <row r="13018" spans="3:10" x14ac:dyDescent="0.2">
      <c r="C13018" s="209"/>
      <c r="D13018" s="209"/>
      <c r="E13018" s="209"/>
      <c r="J13018" s="124"/>
    </row>
    <row r="13019" spans="3:10" x14ac:dyDescent="0.2">
      <c r="C13019" s="209"/>
      <c r="D13019" s="209"/>
      <c r="E13019" s="209"/>
      <c r="J13019" s="124"/>
    </row>
    <row r="13020" spans="3:10" x14ac:dyDescent="0.2">
      <c r="C13020" s="209"/>
      <c r="D13020" s="209"/>
      <c r="E13020" s="209"/>
      <c r="J13020" s="124"/>
    </row>
    <row r="13021" spans="3:10" x14ac:dyDescent="0.2">
      <c r="C13021" s="209"/>
      <c r="D13021" s="209"/>
      <c r="E13021" s="209"/>
      <c r="J13021" s="124"/>
    </row>
    <row r="13022" spans="3:10" x14ac:dyDescent="0.2">
      <c r="C13022" s="209"/>
      <c r="D13022" s="209"/>
      <c r="E13022" s="209"/>
      <c r="J13022" s="124"/>
    </row>
    <row r="13023" spans="3:10" x14ac:dyDescent="0.2">
      <c r="C13023" s="209"/>
      <c r="D13023" s="209"/>
      <c r="E13023" s="209"/>
      <c r="J13023" s="124"/>
    </row>
    <row r="13024" spans="3:10" x14ac:dyDescent="0.2">
      <c r="C13024" s="209"/>
      <c r="D13024" s="209"/>
      <c r="E13024" s="209"/>
      <c r="J13024" s="124"/>
    </row>
    <row r="13025" spans="3:10" x14ac:dyDescent="0.2">
      <c r="C13025" s="209"/>
      <c r="D13025" s="209"/>
      <c r="E13025" s="209"/>
      <c r="J13025" s="124"/>
    </row>
    <row r="13026" spans="3:10" x14ac:dyDescent="0.2">
      <c r="C13026" s="209"/>
      <c r="D13026" s="209"/>
      <c r="E13026" s="209"/>
      <c r="J13026" s="124"/>
    </row>
    <row r="13027" spans="3:10" x14ac:dyDescent="0.2">
      <c r="C13027" s="209"/>
      <c r="D13027" s="209"/>
      <c r="E13027" s="209"/>
      <c r="J13027" s="124"/>
    </row>
    <row r="13028" spans="3:10" x14ac:dyDescent="0.2">
      <c r="C13028" s="209"/>
      <c r="D13028" s="209"/>
      <c r="E13028" s="209"/>
      <c r="J13028" s="124"/>
    </row>
    <row r="13029" spans="3:10" x14ac:dyDescent="0.2">
      <c r="C13029" s="209"/>
      <c r="D13029" s="209"/>
      <c r="E13029" s="209"/>
      <c r="J13029" s="124"/>
    </row>
    <row r="13030" spans="3:10" x14ac:dyDescent="0.2">
      <c r="C13030" s="209"/>
      <c r="D13030" s="209"/>
      <c r="E13030" s="209"/>
      <c r="J13030" s="124"/>
    </row>
    <row r="13031" spans="3:10" x14ac:dyDescent="0.2">
      <c r="C13031" s="209"/>
      <c r="D13031" s="209"/>
      <c r="E13031" s="209"/>
      <c r="J13031" s="124"/>
    </row>
    <row r="13032" spans="3:10" x14ac:dyDescent="0.2">
      <c r="C13032" s="209"/>
      <c r="D13032" s="209"/>
      <c r="E13032" s="209"/>
      <c r="J13032" s="124"/>
    </row>
    <row r="13033" spans="3:10" x14ac:dyDescent="0.2">
      <c r="C13033" s="209"/>
      <c r="D13033" s="209"/>
      <c r="E13033" s="209"/>
      <c r="J13033" s="124"/>
    </row>
    <row r="13034" spans="3:10" x14ac:dyDescent="0.2">
      <c r="C13034" s="209"/>
      <c r="D13034" s="209"/>
      <c r="E13034" s="209"/>
      <c r="J13034" s="124"/>
    </row>
    <row r="13035" spans="3:10" x14ac:dyDescent="0.2">
      <c r="C13035" s="209"/>
      <c r="D13035" s="209"/>
      <c r="E13035" s="209"/>
      <c r="J13035" s="124"/>
    </row>
    <row r="13036" spans="3:10" x14ac:dyDescent="0.2">
      <c r="C13036" s="209"/>
      <c r="D13036" s="209"/>
      <c r="E13036" s="209"/>
      <c r="J13036" s="124"/>
    </row>
    <row r="13037" spans="3:10" x14ac:dyDescent="0.2">
      <c r="C13037" s="209"/>
      <c r="D13037" s="209"/>
      <c r="E13037" s="209"/>
      <c r="J13037" s="124"/>
    </row>
    <row r="13038" spans="3:10" x14ac:dyDescent="0.2">
      <c r="C13038" s="209"/>
      <c r="D13038" s="209"/>
      <c r="E13038" s="209"/>
      <c r="J13038" s="124"/>
    </row>
    <row r="13039" spans="3:10" x14ac:dyDescent="0.2">
      <c r="C13039" s="209"/>
      <c r="D13039" s="209"/>
      <c r="E13039" s="209"/>
      <c r="J13039" s="124"/>
    </row>
    <row r="13040" spans="3:10" x14ac:dyDescent="0.2">
      <c r="C13040" s="209"/>
      <c r="D13040" s="209"/>
      <c r="E13040" s="209"/>
      <c r="J13040" s="124"/>
    </row>
    <row r="13041" spans="3:10" x14ac:dyDescent="0.2">
      <c r="C13041" s="209"/>
      <c r="D13041" s="209"/>
      <c r="E13041" s="209"/>
      <c r="J13041" s="124"/>
    </row>
    <row r="13042" spans="3:10" x14ac:dyDescent="0.2">
      <c r="C13042" s="209"/>
      <c r="D13042" s="209"/>
      <c r="E13042" s="209"/>
      <c r="J13042" s="124"/>
    </row>
    <row r="13043" spans="3:10" x14ac:dyDescent="0.2">
      <c r="C13043" s="209"/>
      <c r="D13043" s="209"/>
      <c r="E13043" s="209"/>
      <c r="J13043" s="124"/>
    </row>
    <row r="13044" spans="3:10" x14ac:dyDescent="0.2">
      <c r="C13044" s="209"/>
      <c r="D13044" s="209"/>
      <c r="E13044" s="209"/>
      <c r="J13044" s="124"/>
    </row>
    <row r="13045" spans="3:10" x14ac:dyDescent="0.2">
      <c r="C13045" s="209"/>
      <c r="D13045" s="209"/>
      <c r="E13045" s="209"/>
      <c r="J13045" s="124"/>
    </row>
    <row r="13046" spans="3:10" x14ac:dyDescent="0.2">
      <c r="C13046" s="209"/>
      <c r="D13046" s="209"/>
      <c r="E13046" s="209"/>
      <c r="J13046" s="124"/>
    </row>
    <row r="13047" spans="3:10" x14ac:dyDescent="0.2">
      <c r="C13047" s="209"/>
      <c r="D13047" s="209"/>
      <c r="E13047" s="209"/>
      <c r="J13047" s="124"/>
    </row>
    <row r="13048" spans="3:10" x14ac:dyDescent="0.2">
      <c r="C13048" s="209"/>
      <c r="D13048" s="209"/>
      <c r="E13048" s="209"/>
      <c r="J13048" s="124"/>
    </row>
    <row r="13049" spans="3:10" x14ac:dyDescent="0.2">
      <c r="C13049" s="209"/>
      <c r="D13049" s="209"/>
      <c r="E13049" s="209"/>
      <c r="J13049" s="124"/>
    </row>
    <row r="13050" spans="3:10" x14ac:dyDescent="0.2">
      <c r="C13050" s="209"/>
      <c r="D13050" s="209"/>
      <c r="E13050" s="209"/>
      <c r="J13050" s="124"/>
    </row>
    <row r="13051" spans="3:10" x14ac:dyDescent="0.2">
      <c r="C13051" s="209"/>
      <c r="D13051" s="209"/>
      <c r="E13051" s="209"/>
      <c r="J13051" s="124"/>
    </row>
    <row r="13052" spans="3:10" x14ac:dyDescent="0.2">
      <c r="C13052" s="209"/>
      <c r="D13052" s="209"/>
      <c r="E13052" s="209"/>
      <c r="J13052" s="124"/>
    </row>
    <row r="13053" spans="3:10" x14ac:dyDescent="0.2">
      <c r="C13053" s="209"/>
      <c r="D13053" s="209"/>
      <c r="E13053" s="209"/>
      <c r="J13053" s="124"/>
    </row>
    <row r="13054" spans="3:10" x14ac:dyDescent="0.2">
      <c r="C13054" s="209"/>
      <c r="D13054" s="209"/>
      <c r="E13054" s="209"/>
      <c r="J13054" s="124"/>
    </row>
    <row r="13055" spans="3:10" x14ac:dyDescent="0.2">
      <c r="C13055" s="209"/>
      <c r="D13055" s="209"/>
      <c r="E13055" s="209"/>
      <c r="J13055" s="124"/>
    </row>
    <row r="13056" spans="3:10" x14ac:dyDescent="0.2">
      <c r="C13056" s="209"/>
      <c r="D13056" s="209"/>
      <c r="E13056" s="209"/>
      <c r="J13056" s="124"/>
    </row>
    <row r="13057" spans="3:10" x14ac:dyDescent="0.2">
      <c r="C13057" s="209"/>
      <c r="D13057" s="209"/>
      <c r="E13057" s="209"/>
      <c r="J13057" s="124"/>
    </row>
    <row r="13058" spans="3:10" x14ac:dyDescent="0.2">
      <c r="C13058" s="209"/>
      <c r="D13058" s="209"/>
      <c r="E13058" s="209"/>
      <c r="J13058" s="124"/>
    </row>
    <row r="13059" spans="3:10" x14ac:dyDescent="0.2">
      <c r="C13059" s="209"/>
      <c r="D13059" s="209"/>
      <c r="E13059" s="209"/>
      <c r="J13059" s="124"/>
    </row>
    <row r="13060" spans="3:10" x14ac:dyDescent="0.2">
      <c r="C13060" s="209"/>
      <c r="D13060" s="209"/>
      <c r="E13060" s="209"/>
      <c r="J13060" s="124"/>
    </row>
    <row r="13061" spans="3:10" x14ac:dyDescent="0.2">
      <c r="C13061" s="209"/>
      <c r="D13061" s="209"/>
      <c r="E13061" s="209"/>
      <c r="J13061" s="124"/>
    </row>
    <row r="13062" spans="3:10" x14ac:dyDescent="0.2">
      <c r="C13062" s="209"/>
      <c r="D13062" s="209"/>
      <c r="E13062" s="209"/>
      <c r="J13062" s="124"/>
    </row>
    <row r="13063" spans="3:10" x14ac:dyDescent="0.2">
      <c r="C13063" s="209"/>
      <c r="D13063" s="209"/>
      <c r="E13063" s="209"/>
      <c r="J13063" s="124"/>
    </row>
    <row r="13064" spans="3:10" x14ac:dyDescent="0.2">
      <c r="C13064" s="209"/>
      <c r="D13064" s="209"/>
      <c r="E13064" s="209"/>
      <c r="J13064" s="124"/>
    </row>
    <row r="13065" spans="3:10" x14ac:dyDescent="0.2">
      <c r="C13065" s="209"/>
      <c r="D13065" s="209"/>
      <c r="E13065" s="209"/>
      <c r="J13065" s="124"/>
    </row>
    <row r="13066" spans="3:10" x14ac:dyDescent="0.2">
      <c r="C13066" s="209"/>
      <c r="D13066" s="209"/>
      <c r="E13066" s="209"/>
      <c r="J13066" s="124"/>
    </row>
    <row r="13067" spans="3:10" x14ac:dyDescent="0.2">
      <c r="C13067" s="209"/>
      <c r="D13067" s="209"/>
      <c r="E13067" s="209"/>
      <c r="J13067" s="124"/>
    </row>
    <row r="13068" spans="3:10" x14ac:dyDescent="0.2">
      <c r="C13068" s="209"/>
      <c r="D13068" s="209"/>
      <c r="E13068" s="209"/>
      <c r="J13068" s="124"/>
    </row>
    <row r="13069" spans="3:10" x14ac:dyDescent="0.2">
      <c r="C13069" s="209"/>
      <c r="D13069" s="209"/>
      <c r="E13069" s="209"/>
      <c r="J13069" s="124"/>
    </row>
    <row r="13070" spans="3:10" x14ac:dyDescent="0.2">
      <c r="C13070" s="209"/>
      <c r="D13070" s="209"/>
      <c r="E13070" s="209"/>
      <c r="J13070" s="124"/>
    </row>
    <row r="13071" spans="3:10" x14ac:dyDescent="0.2">
      <c r="C13071" s="209"/>
      <c r="D13071" s="209"/>
      <c r="E13071" s="209"/>
      <c r="J13071" s="124"/>
    </row>
    <row r="13072" spans="3:10" x14ac:dyDescent="0.2">
      <c r="C13072" s="209"/>
      <c r="D13072" s="209"/>
      <c r="E13072" s="209"/>
      <c r="J13072" s="124"/>
    </row>
    <row r="13073" spans="3:10" x14ac:dyDescent="0.2">
      <c r="C13073" s="209"/>
      <c r="D13073" s="209"/>
      <c r="E13073" s="209"/>
      <c r="J13073" s="124"/>
    </row>
    <row r="13074" spans="3:10" x14ac:dyDescent="0.2">
      <c r="C13074" s="209"/>
      <c r="D13074" s="209"/>
      <c r="E13074" s="209"/>
      <c r="J13074" s="124"/>
    </row>
    <row r="13075" spans="3:10" x14ac:dyDescent="0.2">
      <c r="C13075" s="209"/>
      <c r="D13075" s="209"/>
      <c r="E13075" s="209"/>
      <c r="J13075" s="124"/>
    </row>
    <row r="13076" spans="3:10" x14ac:dyDescent="0.2">
      <c r="C13076" s="209"/>
      <c r="D13076" s="209"/>
      <c r="E13076" s="209"/>
      <c r="J13076" s="124"/>
    </row>
    <row r="13077" spans="3:10" x14ac:dyDescent="0.2">
      <c r="C13077" s="209"/>
      <c r="D13077" s="209"/>
      <c r="E13077" s="209"/>
      <c r="J13077" s="124"/>
    </row>
    <row r="13078" spans="3:10" x14ac:dyDescent="0.2">
      <c r="C13078" s="209"/>
      <c r="D13078" s="209"/>
      <c r="E13078" s="209"/>
      <c r="J13078" s="124"/>
    </row>
    <row r="13079" spans="3:10" x14ac:dyDescent="0.2">
      <c r="C13079" s="209"/>
      <c r="D13079" s="209"/>
      <c r="E13079" s="209"/>
      <c r="J13079" s="124"/>
    </row>
    <row r="13080" spans="3:10" x14ac:dyDescent="0.2">
      <c r="C13080" s="209"/>
      <c r="D13080" s="209"/>
      <c r="E13080" s="209"/>
      <c r="J13080" s="124"/>
    </row>
    <row r="13081" spans="3:10" x14ac:dyDescent="0.2">
      <c r="C13081" s="209"/>
      <c r="D13081" s="209"/>
      <c r="E13081" s="209"/>
      <c r="J13081" s="124"/>
    </row>
    <row r="13082" spans="3:10" x14ac:dyDescent="0.2">
      <c r="C13082" s="209"/>
      <c r="D13082" s="209"/>
      <c r="E13082" s="209"/>
      <c r="J13082" s="124"/>
    </row>
    <row r="13083" spans="3:10" x14ac:dyDescent="0.2">
      <c r="C13083" s="209"/>
      <c r="D13083" s="209"/>
      <c r="E13083" s="209"/>
      <c r="J13083" s="124"/>
    </row>
    <row r="13084" spans="3:10" x14ac:dyDescent="0.2">
      <c r="C13084" s="209"/>
      <c r="D13084" s="209"/>
      <c r="E13084" s="209"/>
      <c r="J13084" s="124"/>
    </row>
    <row r="13085" spans="3:10" x14ac:dyDescent="0.2">
      <c r="C13085" s="209"/>
      <c r="D13085" s="209"/>
      <c r="E13085" s="209"/>
      <c r="J13085" s="124"/>
    </row>
    <row r="13086" spans="3:10" x14ac:dyDescent="0.2">
      <c r="C13086" s="209"/>
      <c r="D13086" s="209"/>
      <c r="E13086" s="209"/>
      <c r="J13086" s="124"/>
    </row>
    <row r="13087" spans="3:10" x14ac:dyDescent="0.2">
      <c r="C13087" s="209"/>
      <c r="D13087" s="209"/>
      <c r="E13087" s="209"/>
      <c r="J13087" s="124"/>
    </row>
    <row r="13088" spans="3:10" x14ac:dyDescent="0.2">
      <c r="C13088" s="209"/>
      <c r="D13088" s="209"/>
      <c r="E13088" s="209"/>
      <c r="J13088" s="124"/>
    </row>
    <row r="13089" spans="3:10" x14ac:dyDescent="0.2">
      <c r="C13089" s="209"/>
      <c r="D13089" s="209"/>
      <c r="E13089" s="209"/>
      <c r="J13089" s="124"/>
    </row>
    <row r="13090" spans="3:10" x14ac:dyDescent="0.2">
      <c r="C13090" s="209"/>
      <c r="D13090" s="209"/>
      <c r="E13090" s="209"/>
      <c r="J13090" s="124"/>
    </row>
    <row r="13091" spans="3:10" x14ac:dyDescent="0.2">
      <c r="C13091" s="209"/>
      <c r="D13091" s="209"/>
      <c r="E13091" s="209"/>
      <c r="J13091" s="124"/>
    </row>
    <row r="13092" spans="3:10" x14ac:dyDescent="0.2">
      <c r="C13092" s="209"/>
      <c r="D13092" s="209"/>
      <c r="E13092" s="209"/>
      <c r="J13092" s="124"/>
    </row>
    <row r="13093" spans="3:10" x14ac:dyDescent="0.2">
      <c r="C13093" s="209"/>
      <c r="D13093" s="209"/>
      <c r="E13093" s="209"/>
      <c r="J13093" s="124"/>
    </row>
    <row r="13094" spans="3:10" x14ac:dyDescent="0.2">
      <c r="C13094" s="209"/>
      <c r="D13094" s="209"/>
      <c r="E13094" s="209"/>
      <c r="J13094" s="124"/>
    </row>
    <row r="13095" spans="3:10" x14ac:dyDescent="0.2">
      <c r="C13095" s="209"/>
      <c r="D13095" s="209"/>
      <c r="E13095" s="209"/>
      <c r="J13095" s="124"/>
    </row>
    <row r="13096" spans="3:10" x14ac:dyDescent="0.2">
      <c r="C13096" s="209"/>
      <c r="D13096" s="209"/>
      <c r="E13096" s="209"/>
      <c r="J13096" s="124"/>
    </row>
    <row r="13097" spans="3:10" x14ac:dyDescent="0.2">
      <c r="C13097" s="209"/>
      <c r="D13097" s="209"/>
      <c r="E13097" s="209"/>
      <c r="J13097" s="124"/>
    </row>
    <row r="13098" spans="3:10" x14ac:dyDescent="0.2">
      <c r="C13098" s="209"/>
      <c r="D13098" s="209"/>
      <c r="E13098" s="209"/>
      <c r="J13098" s="124"/>
    </row>
    <row r="13099" spans="3:10" x14ac:dyDescent="0.2">
      <c r="C13099" s="209"/>
      <c r="D13099" s="209"/>
      <c r="E13099" s="209"/>
      <c r="J13099" s="124"/>
    </row>
    <row r="13100" spans="3:10" x14ac:dyDescent="0.2">
      <c r="C13100" s="209"/>
      <c r="D13100" s="209"/>
      <c r="E13100" s="209"/>
      <c r="J13100" s="124"/>
    </row>
    <row r="13101" spans="3:10" x14ac:dyDescent="0.2">
      <c r="C13101" s="209"/>
      <c r="D13101" s="209"/>
      <c r="E13101" s="209"/>
      <c r="J13101" s="124"/>
    </row>
    <row r="13102" spans="3:10" x14ac:dyDescent="0.2">
      <c r="C13102" s="209"/>
      <c r="D13102" s="209"/>
      <c r="E13102" s="209"/>
      <c r="J13102" s="124"/>
    </row>
    <row r="13103" spans="3:10" x14ac:dyDescent="0.2">
      <c r="C13103" s="209"/>
      <c r="D13103" s="209"/>
      <c r="E13103" s="209"/>
      <c r="J13103" s="124"/>
    </row>
    <row r="13104" spans="3:10" x14ac:dyDescent="0.2">
      <c r="C13104" s="209"/>
      <c r="D13104" s="209"/>
      <c r="E13104" s="209"/>
      <c r="J13104" s="124"/>
    </row>
    <row r="13105" spans="3:10" x14ac:dyDescent="0.2">
      <c r="C13105" s="209"/>
      <c r="D13105" s="209"/>
      <c r="E13105" s="209"/>
      <c r="J13105" s="124"/>
    </row>
    <row r="13106" spans="3:10" x14ac:dyDescent="0.2">
      <c r="C13106" s="209"/>
      <c r="D13106" s="209"/>
      <c r="E13106" s="209"/>
      <c r="J13106" s="124"/>
    </row>
    <row r="13107" spans="3:10" x14ac:dyDescent="0.2">
      <c r="C13107" s="209"/>
      <c r="D13107" s="209"/>
      <c r="E13107" s="209"/>
      <c r="J13107" s="124"/>
    </row>
    <row r="13108" spans="3:10" x14ac:dyDescent="0.2">
      <c r="C13108" s="209"/>
      <c r="D13108" s="209"/>
      <c r="E13108" s="209"/>
      <c r="J13108" s="124"/>
    </row>
    <row r="13109" spans="3:10" x14ac:dyDescent="0.2">
      <c r="C13109" s="209"/>
      <c r="D13109" s="209"/>
      <c r="E13109" s="209"/>
      <c r="J13109" s="124"/>
    </row>
    <row r="13110" spans="3:10" x14ac:dyDescent="0.2">
      <c r="C13110" s="209"/>
      <c r="D13110" s="209"/>
      <c r="E13110" s="209"/>
      <c r="J13110" s="124"/>
    </row>
    <row r="13111" spans="3:10" x14ac:dyDescent="0.2">
      <c r="C13111" s="209"/>
      <c r="D13111" s="209"/>
      <c r="E13111" s="209"/>
      <c r="J13111" s="124"/>
    </row>
    <row r="13112" spans="3:10" x14ac:dyDescent="0.2">
      <c r="C13112" s="209"/>
      <c r="D13112" s="209"/>
      <c r="E13112" s="209"/>
      <c r="J13112" s="124"/>
    </row>
    <row r="13113" spans="3:10" x14ac:dyDescent="0.2">
      <c r="C13113" s="209"/>
      <c r="D13113" s="209"/>
      <c r="E13113" s="209"/>
      <c r="J13113" s="124"/>
    </row>
    <row r="13114" spans="3:10" x14ac:dyDescent="0.2">
      <c r="C13114" s="209"/>
      <c r="D13114" s="209"/>
      <c r="E13114" s="209"/>
      <c r="J13114" s="124"/>
    </row>
    <row r="13115" spans="3:10" x14ac:dyDescent="0.2">
      <c r="C13115" s="209"/>
      <c r="D13115" s="209"/>
      <c r="E13115" s="209"/>
      <c r="J13115" s="124"/>
    </row>
    <row r="13116" spans="3:10" x14ac:dyDescent="0.2">
      <c r="C13116" s="209"/>
      <c r="D13116" s="209"/>
      <c r="E13116" s="209"/>
      <c r="J13116" s="124"/>
    </row>
    <row r="13117" spans="3:10" x14ac:dyDescent="0.2">
      <c r="C13117" s="209"/>
      <c r="D13117" s="209"/>
      <c r="E13117" s="209"/>
      <c r="J13117" s="124"/>
    </row>
    <row r="13118" spans="3:10" x14ac:dyDescent="0.2">
      <c r="C13118" s="209"/>
      <c r="D13118" s="209"/>
      <c r="E13118" s="209"/>
      <c r="J13118" s="124"/>
    </row>
    <row r="13119" spans="3:10" x14ac:dyDescent="0.2">
      <c r="C13119" s="209"/>
      <c r="D13119" s="209"/>
      <c r="E13119" s="209"/>
      <c r="J13119" s="124"/>
    </row>
    <row r="13120" spans="3:10" x14ac:dyDescent="0.2">
      <c r="C13120" s="209"/>
      <c r="D13120" s="209"/>
      <c r="E13120" s="209"/>
      <c r="J13120" s="124"/>
    </row>
    <row r="13121" spans="3:10" x14ac:dyDescent="0.2">
      <c r="C13121" s="209"/>
      <c r="D13121" s="209"/>
      <c r="E13121" s="209"/>
      <c r="J13121" s="124"/>
    </row>
    <row r="13122" spans="3:10" x14ac:dyDescent="0.2">
      <c r="C13122" s="209"/>
      <c r="D13122" s="209"/>
      <c r="E13122" s="209"/>
      <c r="J13122" s="124"/>
    </row>
    <row r="13123" spans="3:10" x14ac:dyDescent="0.2">
      <c r="C13123" s="209"/>
      <c r="D13123" s="209"/>
      <c r="E13123" s="209"/>
      <c r="J13123" s="124"/>
    </row>
    <row r="13124" spans="3:10" x14ac:dyDescent="0.2">
      <c r="C13124" s="209"/>
      <c r="D13124" s="209"/>
      <c r="E13124" s="209"/>
      <c r="J13124" s="124"/>
    </row>
    <row r="13125" spans="3:10" x14ac:dyDescent="0.2">
      <c r="C13125" s="209"/>
      <c r="D13125" s="209"/>
      <c r="E13125" s="209"/>
      <c r="J13125" s="124"/>
    </row>
    <row r="13126" spans="3:10" x14ac:dyDescent="0.2">
      <c r="C13126" s="209"/>
      <c r="D13126" s="209"/>
      <c r="E13126" s="209"/>
      <c r="J13126" s="124"/>
    </row>
    <row r="13127" spans="3:10" x14ac:dyDescent="0.2">
      <c r="C13127" s="209"/>
      <c r="D13127" s="209"/>
      <c r="E13127" s="209"/>
      <c r="J13127" s="124"/>
    </row>
    <row r="13128" spans="3:10" x14ac:dyDescent="0.2">
      <c r="C13128" s="209"/>
      <c r="D13128" s="209"/>
      <c r="E13128" s="209"/>
      <c r="J13128" s="124"/>
    </row>
    <row r="13129" spans="3:10" x14ac:dyDescent="0.2">
      <c r="C13129" s="209"/>
      <c r="D13129" s="209"/>
      <c r="E13129" s="209"/>
      <c r="J13129" s="124"/>
    </row>
    <row r="13130" spans="3:10" x14ac:dyDescent="0.2">
      <c r="C13130" s="209"/>
      <c r="D13130" s="209"/>
      <c r="E13130" s="209"/>
      <c r="J13130" s="124"/>
    </row>
    <row r="13131" spans="3:10" x14ac:dyDescent="0.2">
      <c r="C13131" s="209"/>
      <c r="D13131" s="209"/>
      <c r="E13131" s="209"/>
      <c r="J13131" s="124"/>
    </row>
    <row r="13132" spans="3:10" x14ac:dyDescent="0.2">
      <c r="C13132" s="209"/>
      <c r="D13132" s="209"/>
      <c r="E13132" s="209"/>
      <c r="J13132" s="124"/>
    </row>
    <row r="13133" spans="3:10" x14ac:dyDescent="0.2">
      <c r="C13133" s="209"/>
      <c r="D13133" s="209"/>
      <c r="E13133" s="209"/>
      <c r="J13133" s="124"/>
    </row>
    <row r="13134" spans="3:10" x14ac:dyDescent="0.2">
      <c r="C13134" s="209"/>
      <c r="D13134" s="209"/>
      <c r="E13134" s="209"/>
      <c r="J13134" s="124"/>
    </row>
    <row r="13135" spans="3:10" x14ac:dyDescent="0.2">
      <c r="C13135" s="209"/>
      <c r="D13135" s="209"/>
      <c r="E13135" s="209"/>
      <c r="J13135" s="124"/>
    </row>
    <row r="13136" spans="3:10" x14ac:dyDescent="0.2">
      <c r="C13136" s="209"/>
      <c r="D13136" s="209"/>
      <c r="E13136" s="209"/>
      <c r="J13136" s="124"/>
    </row>
    <row r="13137" spans="3:10" x14ac:dyDescent="0.2">
      <c r="C13137" s="209"/>
      <c r="D13137" s="209"/>
      <c r="E13137" s="209"/>
      <c r="J13137" s="124"/>
    </row>
    <row r="13138" spans="3:10" x14ac:dyDescent="0.2">
      <c r="C13138" s="209"/>
      <c r="D13138" s="209"/>
      <c r="E13138" s="209"/>
      <c r="J13138" s="124"/>
    </row>
    <row r="13139" spans="3:10" x14ac:dyDescent="0.2">
      <c r="C13139" s="209"/>
      <c r="D13139" s="209"/>
      <c r="E13139" s="209"/>
      <c r="J13139" s="124"/>
    </row>
    <row r="13140" spans="3:10" x14ac:dyDescent="0.2">
      <c r="C13140" s="209"/>
      <c r="D13140" s="209"/>
      <c r="E13140" s="209"/>
      <c r="J13140" s="124"/>
    </row>
    <row r="13141" spans="3:10" x14ac:dyDescent="0.2">
      <c r="C13141" s="209"/>
      <c r="D13141" s="209"/>
      <c r="E13141" s="209"/>
      <c r="J13141" s="124"/>
    </row>
    <row r="13142" spans="3:10" x14ac:dyDescent="0.2">
      <c r="C13142" s="209"/>
      <c r="D13142" s="209"/>
      <c r="E13142" s="209"/>
      <c r="J13142" s="124"/>
    </row>
    <row r="13143" spans="3:10" x14ac:dyDescent="0.2">
      <c r="C13143" s="209"/>
      <c r="D13143" s="209"/>
      <c r="E13143" s="209"/>
      <c r="J13143" s="124"/>
    </row>
    <row r="13144" spans="3:10" x14ac:dyDescent="0.2">
      <c r="C13144" s="209"/>
      <c r="D13144" s="209"/>
      <c r="E13144" s="209"/>
      <c r="J13144" s="124"/>
    </row>
    <row r="13145" spans="3:10" x14ac:dyDescent="0.2">
      <c r="C13145" s="209"/>
      <c r="D13145" s="209"/>
      <c r="E13145" s="209"/>
      <c r="J13145" s="124"/>
    </row>
    <row r="13146" spans="3:10" x14ac:dyDescent="0.2">
      <c r="C13146" s="209"/>
      <c r="D13146" s="209"/>
      <c r="E13146" s="209"/>
      <c r="J13146" s="124"/>
    </row>
    <row r="13147" spans="3:10" x14ac:dyDescent="0.2">
      <c r="C13147" s="209"/>
      <c r="D13147" s="209"/>
      <c r="E13147" s="209"/>
      <c r="J13147" s="124"/>
    </row>
    <row r="13148" spans="3:10" x14ac:dyDescent="0.2">
      <c r="C13148" s="209"/>
      <c r="D13148" s="209"/>
      <c r="E13148" s="209"/>
      <c r="J13148" s="124"/>
    </row>
    <row r="13149" spans="3:10" x14ac:dyDescent="0.2">
      <c r="C13149" s="209"/>
      <c r="D13149" s="209"/>
      <c r="E13149" s="209"/>
      <c r="J13149" s="124"/>
    </row>
    <row r="13150" spans="3:10" x14ac:dyDescent="0.2">
      <c r="C13150" s="209"/>
      <c r="D13150" s="209"/>
      <c r="E13150" s="209"/>
      <c r="J13150" s="124"/>
    </row>
    <row r="13151" spans="3:10" x14ac:dyDescent="0.2">
      <c r="C13151" s="209"/>
      <c r="D13151" s="209"/>
      <c r="E13151" s="209"/>
      <c r="J13151" s="124"/>
    </row>
    <row r="13152" spans="3:10" x14ac:dyDescent="0.2">
      <c r="C13152" s="209"/>
      <c r="D13152" s="209"/>
      <c r="E13152" s="209"/>
      <c r="J13152" s="124"/>
    </row>
    <row r="13153" spans="3:10" x14ac:dyDescent="0.2">
      <c r="C13153" s="209"/>
      <c r="D13153" s="209"/>
      <c r="E13153" s="209"/>
      <c r="J13153" s="124"/>
    </row>
    <row r="13154" spans="3:10" x14ac:dyDescent="0.2">
      <c r="C13154" s="209"/>
      <c r="D13154" s="209"/>
      <c r="E13154" s="209"/>
      <c r="J13154" s="124"/>
    </row>
    <row r="13155" spans="3:10" x14ac:dyDescent="0.2">
      <c r="C13155" s="209"/>
      <c r="D13155" s="209"/>
      <c r="E13155" s="209"/>
      <c r="J13155" s="124"/>
    </row>
    <row r="13156" spans="3:10" x14ac:dyDescent="0.2">
      <c r="C13156" s="209"/>
      <c r="D13156" s="209"/>
      <c r="E13156" s="209"/>
      <c r="J13156" s="124"/>
    </row>
    <row r="13157" spans="3:10" x14ac:dyDescent="0.2">
      <c r="C13157" s="209"/>
      <c r="D13157" s="209"/>
      <c r="E13157" s="209"/>
      <c r="J13157" s="124"/>
    </row>
    <row r="13158" spans="3:10" x14ac:dyDescent="0.2">
      <c r="C13158" s="209"/>
      <c r="D13158" s="209"/>
      <c r="E13158" s="209"/>
      <c r="J13158" s="124"/>
    </row>
    <row r="13159" spans="3:10" x14ac:dyDescent="0.2">
      <c r="C13159" s="209"/>
      <c r="D13159" s="209"/>
      <c r="E13159" s="209"/>
      <c r="J13159" s="124"/>
    </row>
    <row r="13160" spans="3:10" x14ac:dyDescent="0.2">
      <c r="C13160" s="209"/>
      <c r="D13160" s="209"/>
      <c r="E13160" s="209"/>
      <c r="J13160" s="124"/>
    </row>
    <row r="13161" spans="3:10" x14ac:dyDescent="0.2">
      <c r="C13161" s="209"/>
      <c r="D13161" s="209"/>
      <c r="E13161" s="209"/>
      <c r="J13161" s="124"/>
    </row>
    <row r="13162" spans="3:10" x14ac:dyDescent="0.2">
      <c r="C13162" s="209"/>
      <c r="D13162" s="209"/>
      <c r="E13162" s="209"/>
      <c r="J13162" s="124"/>
    </row>
    <row r="13163" spans="3:10" x14ac:dyDescent="0.2">
      <c r="C13163" s="209"/>
      <c r="D13163" s="209"/>
      <c r="E13163" s="209"/>
      <c r="J13163" s="124"/>
    </row>
    <row r="13164" spans="3:10" x14ac:dyDescent="0.2">
      <c r="C13164" s="209"/>
      <c r="D13164" s="209"/>
      <c r="E13164" s="209"/>
      <c r="J13164" s="124"/>
    </row>
    <row r="13165" spans="3:10" x14ac:dyDescent="0.2">
      <c r="C13165" s="209"/>
      <c r="D13165" s="209"/>
      <c r="E13165" s="209"/>
      <c r="J13165" s="124"/>
    </row>
    <row r="13166" spans="3:10" x14ac:dyDescent="0.2">
      <c r="C13166" s="209"/>
      <c r="D13166" s="209"/>
      <c r="E13166" s="209"/>
      <c r="J13166" s="124"/>
    </row>
    <row r="13167" spans="3:10" x14ac:dyDescent="0.2">
      <c r="C13167" s="209"/>
      <c r="D13167" s="209"/>
      <c r="E13167" s="209"/>
      <c r="J13167" s="124"/>
    </row>
    <row r="13168" spans="3:10" x14ac:dyDescent="0.2">
      <c r="C13168" s="209"/>
      <c r="D13168" s="209"/>
      <c r="E13168" s="209"/>
      <c r="J13168" s="124"/>
    </row>
    <row r="13169" spans="3:10" x14ac:dyDescent="0.2">
      <c r="C13169" s="209"/>
      <c r="D13169" s="209"/>
      <c r="E13169" s="209"/>
      <c r="J13169" s="124"/>
    </row>
    <row r="13170" spans="3:10" x14ac:dyDescent="0.2">
      <c r="C13170" s="209"/>
      <c r="D13170" s="209"/>
      <c r="E13170" s="209"/>
      <c r="J13170" s="124"/>
    </row>
    <row r="13171" spans="3:10" x14ac:dyDescent="0.2">
      <c r="C13171" s="209"/>
      <c r="D13171" s="209"/>
      <c r="E13171" s="209"/>
      <c r="J13171" s="124"/>
    </row>
    <row r="13172" spans="3:10" x14ac:dyDescent="0.2">
      <c r="C13172" s="209"/>
      <c r="D13172" s="209"/>
      <c r="E13172" s="209"/>
      <c r="J13172" s="124"/>
    </row>
    <row r="13173" spans="3:10" x14ac:dyDescent="0.2">
      <c r="C13173" s="209"/>
      <c r="D13173" s="209"/>
      <c r="E13173" s="209"/>
      <c r="J13173" s="124"/>
    </row>
    <row r="13174" spans="3:10" x14ac:dyDescent="0.2">
      <c r="C13174" s="209"/>
      <c r="D13174" s="209"/>
      <c r="E13174" s="209"/>
      <c r="J13174" s="124"/>
    </row>
    <row r="13175" spans="3:10" x14ac:dyDescent="0.2">
      <c r="C13175" s="209"/>
      <c r="D13175" s="209"/>
      <c r="E13175" s="209"/>
      <c r="J13175" s="124"/>
    </row>
    <row r="13176" spans="3:10" x14ac:dyDescent="0.2">
      <c r="C13176" s="209"/>
      <c r="D13176" s="209"/>
      <c r="E13176" s="209"/>
      <c r="J13176" s="124"/>
    </row>
    <row r="13177" spans="3:10" x14ac:dyDescent="0.2">
      <c r="C13177" s="209"/>
      <c r="D13177" s="209"/>
      <c r="E13177" s="209"/>
      <c r="J13177" s="124"/>
    </row>
    <row r="13178" spans="3:10" x14ac:dyDescent="0.2">
      <c r="C13178" s="209"/>
      <c r="D13178" s="209"/>
      <c r="E13178" s="209"/>
      <c r="J13178" s="124"/>
    </row>
    <row r="13179" spans="3:10" x14ac:dyDescent="0.2">
      <c r="C13179" s="209"/>
      <c r="D13179" s="209"/>
      <c r="E13179" s="209"/>
      <c r="J13179" s="124"/>
    </row>
    <row r="13180" spans="3:10" x14ac:dyDescent="0.2">
      <c r="C13180" s="209"/>
      <c r="D13180" s="209"/>
      <c r="E13180" s="209"/>
      <c r="J13180" s="124"/>
    </row>
    <row r="13181" spans="3:10" x14ac:dyDescent="0.2">
      <c r="C13181" s="209"/>
      <c r="D13181" s="209"/>
      <c r="E13181" s="209"/>
      <c r="J13181" s="124"/>
    </row>
    <row r="13182" spans="3:10" x14ac:dyDescent="0.2">
      <c r="C13182" s="209"/>
      <c r="D13182" s="209"/>
      <c r="E13182" s="209"/>
      <c r="J13182" s="124"/>
    </row>
    <row r="13183" spans="3:10" x14ac:dyDescent="0.2">
      <c r="C13183" s="209"/>
      <c r="D13183" s="209"/>
      <c r="E13183" s="209"/>
      <c r="J13183" s="124"/>
    </row>
    <row r="13184" spans="3:10" x14ac:dyDescent="0.2">
      <c r="C13184" s="209"/>
      <c r="D13184" s="209"/>
      <c r="E13184" s="209"/>
      <c r="J13184" s="124"/>
    </row>
    <row r="13185" spans="3:10" x14ac:dyDescent="0.2">
      <c r="C13185" s="209"/>
      <c r="D13185" s="209"/>
      <c r="E13185" s="209"/>
      <c r="J13185" s="124"/>
    </row>
    <row r="13186" spans="3:10" x14ac:dyDescent="0.2">
      <c r="C13186" s="209"/>
      <c r="D13186" s="209"/>
      <c r="E13186" s="209"/>
      <c r="J13186" s="124"/>
    </row>
    <row r="13187" spans="3:10" x14ac:dyDescent="0.2">
      <c r="C13187" s="209"/>
      <c r="D13187" s="209"/>
      <c r="E13187" s="209"/>
      <c r="J13187" s="124"/>
    </row>
    <row r="13188" spans="3:10" x14ac:dyDescent="0.2">
      <c r="C13188" s="209"/>
      <c r="D13188" s="209"/>
      <c r="E13188" s="209"/>
      <c r="J13188" s="124"/>
    </row>
    <row r="13189" spans="3:10" x14ac:dyDescent="0.2">
      <c r="C13189" s="209"/>
      <c r="D13189" s="209"/>
      <c r="E13189" s="209"/>
      <c r="J13189" s="124"/>
    </row>
    <row r="13190" spans="3:10" x14ac:dyDescent="0.2">
      <c r="C13190" s="209"/>
      <c r="D13190" s="209"/>
      <c r="E13190" s="209"/>
      <c r="J13190" s="124"/>
    </row>
    <row r="13191" spans="3:10" x14ac:dyDescent="0.2">
      <c r="C13191" s="209"/>
      <c r="D13191" s="209"/>
      <c r="E13191" s="209"/>
      <c r="J13191" s="124"/>
    </row>
    <row r="13192" spans="3:10" x14ac:dyDescent="0.2">
      <c r="C13192" s="209"/>
      <c r="D13192" s="209"/>
      <c r="E13192" s="209"/>
      <c r="J13192" s="124"/>
    </row>
    <row r="13193" spans="3:10" x14ac:dyDescent="0.2">
      <c r="C13193" s="209"/>
      <c r="D13193" s="209"/>
      <c r="E13193" s="209"/>
      <c r="J13193" s="124"/>
    </row>
    <row r="13194" spans="3:10" x14ac:dyDescent="0.2">
      <c r="C13194" s="209"/>
      <c r="D13194" s="209"/>
      <c r="E13194" s="209"/>
      <c r="J13194" s="124"/>
    </row>
    <row r="13195" spans="3:10" x14ac:dyDescent="0.2">
      <c r="C13195" s="209"/>
      <c r="D13195" s="209"/>
      <c r="E13195" s="209"/>
      <c r="J13195" s="124"/>
    </row>
    <row r="13196" spans="3:10" x14ac:dyDescent="0.2">
      <c r="C13196" s="209"/>
      <c r="D13196" s="209"/>
      <c r="E13196" s="209"/>
      <c r="J13196" s="124"/>
    </row>
    <row r="13197" spans="3:10" x14ac:dyDescent="0.2">
      <c r="C13197" s="209"/>
      <c r="D13197" s="209"/>
      <c r="E13197" s="209"/>
      <c r="J13197" s="124"/>
    </row>
    <row r="13198" spans="3:10" x14ac:dyDescent="0.2">
      <c r="C13198" s="209"/>
      <c r="D13198" s="209"/>
      <c r="E13198" s="209"/>
      <c r="J13198" s="124"/>
    </row>
    <row r="13199" spans="3:10" x14ac:dyDescent="0.2">
      <c r="C13199" s="209"/>
      <c r="D13199" s="209"/>
      <c r="E13199" s="209"/>
      <c r="J13199" s="124"/>
    </row>
    <row r="13200" spans="3:10" x14ac:dyDescent="0.2">
      <c r="C13200" s="209"/>
      <c r="D13200" s="209"/>
      <c r="E13200" s="209"/>
      <c r="J13200" s="124"/>
    </row>
    <row r="13201" spans="3:10" x14ac:dyDescent="0.2">
      <c r="C13201" s="209"/>
      <c r="D13201" s="209"/>
      <c r="E13201" s="209"/>
      <c r="J13201" s="124"/>
    </row>
    <row r="13202" spans="3:10" x14ac:dyDescent="0.2">
      <c r="C13202" s="209"/>
      <c r="D13202" s="209"/>
      <c r="E13202" s="209"/>
      <c r="J13202" s="124"/>
    </row>
    <row r="13203" spans="3:10" x14ac:dyDescent="0.2">
      <c r="C13203" s="209"/>
      <c r="D13203" s="209"/>
      <c r="E13203" s="209"/>
      <c r="J13203" s="124"/>
    </row>
    <row r="13204" spans="3:10" x14ac:dyDescent="0.2">
      <c r="C13204" s="209"/>
      <c r="D13204" s="209"/>
      <c r="E13204" s="209"/>
      <c r="J13204" s="124"/>
    </row>
    <row r="13205" spans="3:10" x14ac:dyDescent="0.2">
      <c r="C13205" s="209"/>
      <c r="D13205" s="209"/>
      <c r="E13205" s="209"/>
      <c r="J13205" s="124"/>
    </row>
    <row r="13206" spans="3:10" x14ac:dyDescent="0.2">
      <c r="C13206" s="209"/>
      <c r="D13206" s="209"/>
      <c r="E13206" s="209"/>
      <c r="J13206" s="124"/>
    </row>
    <row r="13207" spans="3:10" x14ac:dyDescent="0.2">
      <c r="C13207" s="209"/>
      <c r="D13207" s="209"/>
      <c r="E13207" s="209"/>
      <c r="J13207" s="124"/>
    </row>
    <row r="13208" spans="3:10" x14ac:dyDescent="0.2">
      <c r="C13208" s="209"/>
      <c r="D13208" s="209"/>
      <c r="E13208" s="209"/>
      <c r="J13208" s="124"/>
    </row>
    <row r="13209" spans="3:10" x14ac:dyDescent="0.2">
      <c r="C13209" s="209"/>
      <c r="D13209" s="209"/>
      <c r="E13209" s="209"/>
      <c r="J13209" s="124"/>
    </row>
    <row r="13210" spans="3:10" x14ac:dyDescent="0.2">
      <c r="C13210" s="209"/>
      <c r="D13210" s="209"/>
      <c r="E13210" s="209"/>
      <c r="J13210" s="124"/>
    </row>
    <row r="13211" spans="3:10" x14ac:dyDescent="0.2">
      <c r="C13211" s="209"/>
      <c r="D13211" s="209"/>
      <c r="E13211" s="209"/>
      <c r="J13211" s="124"/>
    </row>
    <row r="13212" spans="3:10" x14ac:dyDescent="0.2">
      <c r="C13212" s="209"/>
      <c r="D13212" s="209"/>
      <c r="E13212" s="209"/>
      <c r="J13212" s="124"/>
    </row>
    <row r="13213" spans="3:10" x14ac:dyDescent="0.2">
      <c r="C13213" s="209"/>
      <c r="D13213" s="209"/>
      <c r="E13213" s="209"/>
      <c r="J13213" s="124"/>
    </row>
    <row r="13214" spans="3:10" x14ac:dyDescent="0.2">
      <c r="C13214" s="209"/>
      <c r="D13214" s="209"/>
      <c r="E13214" s="209"/>
      <c r="J13214" s="124"/>
    </row>
    <row r="13215" spans="3:10" x14ac:dyDescent="0.2">
      <c r="C13215" s="209"/>
      <c r="D13215" s="209"/>
      <c r="E13215" s="209"/>
      <c r="J13215" s="124"/>
    </row>
    <row r="13216" spans="3:10" x14ac:dyDescent="0.2">
      <c r="C13216" s="209"/>
      <c r="D13216" s="209"/>
      <c r="E13216" s="209"/>
      <c r="J13216" s="124"/>
    </row>
    <row r="13217" spans="3:10" x14ac:dyDescent="0.2">
      <c r="C13217" s="209"/>
      <c r="D13217" s="209"/>
      <c r="E13217" s="209"/>
      <c r="J13217" s="124"/>
    </row>
    <row r="13218" spans="3:10" x14ac:dyDescent="0.2">
      <c r="C13218" s="209"/>
      <c r="D13218" s="209"/>
      <c r="E13218" s="209"/>
      <c r="J13218" s="124"/>
    </row>
    <row r="13219" spans="3:10" x14ac:dyDescent="0.2">
      <c r="C13219" s="209"/>
      <c r="D13219" s="209"/>
      <c r="E13219" s="209"/>
      <c r="J13219" s="124"/>
    </row>
    <row r="13220" spans="3:10" x14ac:dyDescent="0.2">
      <c r="C13220" s="209"/>
      <c r="D13220" s="209"/>
      <c r="E13220" s="209"/>
      <c r="J13220" s="124"/>
    </row>
    <row r="13221" spans="3:10" x14ac:dyDescent="0.2">
      <c r="C13221" s="209"/>
      <c r="D13221" s="209"/>
      <c r="E13221" s="209"/>
      <c r="J13221" s="124"/>
    </row>
    <row r="13222" spans="3:10" x14ac:dyDescent="0.2">
      <c r="C13222" s="209"/>
      <c r="D13222" s="209"/>
      <c r="E13222" s="209"/>
      <c r="J13222" s="124"/>
    </row>
    <row r="13223" spans="3:10" x14ac:dyDescent="0.2">
      <c r="C13223" s="209"/>
      <c r="D13223" s="209"/>
      <c r="E13223" s="209"/>
      <c r="J13223" s="124"/>
    </row>
    <row r="13224" spans="3:10" x14ac:dyDescent="0.2">
      <c r="C13224" s="209"/>
      <c r="D13224" s="209"/>
      <c r="E13224" s="209"/>
      <c r="J13224" s="124"/>
    </row>
    <row r="13225" spans="3:10" x14ac:dyDescent="0.2">
      <c r="C13225" s="209"/>
      <c r="D13225" s="209"/>
      <c r="E13225" s="209"/>
      <c r="J13225" s="124"/>
    </row>
    <row r="13226" spans="3:10" x14ac:dyDescent="0.2">
      <c r="C13226" s="209"/>
      <c r="D13226" s="209"/>
      <c r="E13226" s="209"/>
      <c r="J13226" s="124"/>
    </row>
    <row r="13227" spans="3:10" x14ac:dyDescent="0.2">
      <c r="C13227" s="209"/>
      <c r="D13227" s="209"/>
      <c r="E13227" s="209"/>
      <c r="J13227" s="124"/>
    </row>
    <row r="13228" spans="3:10" x14ac:dyDescent="0.2">
      <c r="C13228" s="209"/>
      <c r="D13228" s="209"/>
      <c r="E13228" s="209"/>
      <c r="J13228" s="124"/>
    </row>
    <row r="13229" spans="3:10" x14ac:dyDescent="0.2">
      <c r="C13229" s="209"/>
      <c r="D13229" s="209"/>
      <c r="E13229" s="209"/>
      <c r="J13229" s="124"/>
    </row>
    <row r="13230" spans="3:10" x14ac:dyDescent="0.2">
      <c r="C13230" s="209"/>
      <c r="D13230" s="209"/>
      <c r="E13230" s="209"/>
      <c r="J13230" s="124"/>
    </row>
    <row r="13231" spans="3:10" x14ac:dyDescent="0.2">
      <c r="C13231" s="209"/>
      <c r="D13231" s="209"/>
      <c r="E13231" s="209"/>
      <c r="J13231" s="124"/>
    </row>
    <row r="13232" spans="3:10" x14ac:dyDescent="0.2">
      <c r="C13232" s="209"/>
      <c r="D13232" s="209"/>
      <c r="E13232" s="209"/>
      <c r="J13232" s="124"/>
    </row>
    <row r="13233" spans="3:10" x14ac:dyDescent="0.2">
      <c r="C13233" s="209"/>
      <c r="D13233" s="209"/>
      <c r="E13233" s="209"/>
      <c r="J13233" s="124"/>
    </row>
    <row r="13234" spans="3:10" x14ac:dyDescent="0.2">
      <c r="C13234" s="209"/>
      <c r="D13234" s="209"/>
      <c r="E13234" s="209"/>
      <c r="J13234" s="124"/>
    </row>
    <row r="13235" spans="3:10" x14ac:dyDescent="0.2">
      <c r="C13235" s="209"/>
      <c r="D13235" s="209"/>
      <c r="E13235" s="209"/>
      <c r="J13235" s="124"/>
    </row>
    <row r="13236" spans="3:10" x14ac:dyDescent="0.2">
      <c r="C13236" s="209"/>
      <c r="D13236" s="209"/>
      <c r="E13236" s="209"/>
      <c r="J13236" s="124"/>
    </row>
    <row r="13237" spans="3:10" x14ac:dyDescent="0.2">
      <c r="C13237" s="209"/>
      <c r="D13237" s="209"/>
      <c r="E13237" s="209"/>
      <c r="J13237" s="124"/>
    </row>
    <row r="13238" spans="3:10" x14ac:dyDescent="0.2">
      <c r="C13238" s="209"/>
      <c r="D13238" s="209"/>
      <c r="E13238" s="209"/>
      <c r="J13238" s="124"/>
    </row>
    <row r="13239" spans="3:10" x14ac:dyDescent="0.2">
      <c r="C13239" s="209"/>
      <c r="D13239" s="209"/>
      <c r="E13239" s="209"/>
      <c r="J13239" s="124"/>
    </row>
    <row r="13240" spans="3:10" x14ac:dyDescent="0.2">
      <c r="C13240" s="209"/>
      <c r="D13240" s="209"/>
      <c r="E13240" s="209"/>
      <c r="J13240" s="124"/>
    </row>
    <row r="13241" spans="3:10" x14ac:dyDescent="0.2">
      <c r="C13241" s="209"/>
      <c r="D13241" s="209"/>
      <c r="E13241" s="209"/>
      <c r="J13241" s="124"/>
    </row>
    <row r="13242" spans="3:10" x14ac:dyDescent="0.2">
      <c r="C13242" s="209"/>
      <c r="D13242" s="209"/>
      <c r="E13242" s="209"/>
      <c r="J13242" s="124"/>
    </row>
    <row r="13243" spans="3:10" x14ac:dyDescent="0.2">
      <c r="C13243" s="209"/>
      <c r="D13243" s="209"/>
      <c r="E13243" s="209"/>
      <c r="J13243" s="124"/>
    </row>
    <row r="13244" spans="3:10" x14ac:dyDescent="0.2">
      <c r="C13244" s="209"/>
      <c r="D13244" s="209"/>
      <c r="E13244" s="209"/>
      <c r="J13244" s="124"/>
    </row>
    <row r="13245" spans="3:10" x14ac:dyDescent="0.2">
      <c r="C13245" s="209"/>
      <c r="D13245" s="209"/>
      <c r="E13245" s="209"/>
      <c r="J13245" s="124"/>
    </row>
    <row r="13246" spans="3:10" x14ac:dyDescent="0.2">
      <c r="C13246" s="209"/>
      <c r="D13246" s="209"/>
      <c r="E13246" s="209"/>
      <c r="J13246" s="124"/>
    </row>
    <row r="13247" spans="3:10" x14ac:dyDescent="0.2">
      <c r="C13247" s="209"/>
      <c r="D13247" s="209"/>
      <c r="E13247" s="209"/>
      <c r="J13247" s="124"/>
    </row>
    <row r="13248" spans="3:10" x14ac:dyDescent="0.2">
      <c r="C13248" s="209"/>
      <c r="D13248" s="209"/>
      <c r="E13248" s="209"/>
      <c r="J13248" s="124"/>
    </row>
    <row r="13249" spans="3:10" x14ac:dyDescent="0.2">
      <c r="C13249" s="209"/>
      <c r="D13249" s="209"/>
      <c r="E13249" s="209"/>
      <c r="J13249" s="124"/>
    </row>
    <row r="13250" spans="3:10" x14ac:dyDescent="0.2">
      <c r="C13250" s="209"/>
      <c r="D13250" s="209"/>
      <c r="E13250" s="209"/>
      <c r="J13250" s="124"/>
    </row>
    <row r="13251" spans="3:10" x14ac:dyDescent="0.2">
      <c r="C13251" s="209"/>
      <c r="D13251" s="209"/>
      <c r="E13251" s="209"/>
      <c r="J13251" s="124"/>
    </row>
    <row r="13252" spans="3:10" x14ac:dyDescent="0.2">
      <c r="C13252" s="209"/>
      <c r="D13252" s="209"/>
      <c r="E13252" s="209"/>
      <c r="J13252" s="124"/>
    </row>
    <row r="13253" spans="3:10" x14ac:dyDescent="0.2">
      <c r="C13253" s="209"/>
      <c r="D13253" s="209"/>
      <c r="E13253" s="209"/>
      <c r="J13253" s="124"/>
    </row>
    <row r="13254" spans="3:10" x14ac:dyDescent="0.2">
      <c r="C13254" s="209"/>
      <c r="D13254" s="209"/>
      <c r="E13254" s="209"/>
      <c r="J13254" s="124"/>
    </row>
    <row r="13255" spans="3:10" x14ac:dyDescent="0.2">
      <c r="C13255" s="209"/>
      <c r="D13255" s="209"/>
      <c r="E13255" s="209"/>
      <c r="J13255" s="124"/>
    </row>
    <row r="13256" spans="3:10" x14ac:dyDescent="0.2">
      <c r="C13256" s="209"/>
      <c r="D13256" s="209"/>
      <c r="E13256" s="209"/>
      <c r="J13256" s="124"/>
    </row>
    <row r="13257" spans="3:10" x14ac:dyDescent="0.2">
      <c r="C13257" s="209"/>
      <c r="D13257" s="209"/>
      <c r="E13257" s="209"/>
      <c r="J13257" s="124"/>
    </row>
    <row r="13258" spans="3:10" x14ac:dyDescent="0.2">
      <c r="C13258" s="209"/>
      <c r="D13258" s="209"/>
      <c r="E13258" s="209"/>
      <c r="J13258" s="124"/>
    </row>
    <row r="13259" spans="3:10" x14ac:dyDescent="0.2">
      <c r="C13259" s="209"/>
      <c r="D13259" s="209"/>
      <c r="E13259" s="209"/>
      <c r="J13259" s="124"/>
    </row>
    <row r="13260" spans="3:10" x14ac:dyDescent="0.2">
      <c r="C13260" s="209"/>
      <c r="D13260" s="209"/>
      <c r="E13260" s="209"/>
      <c r="J13260" s="124"/>
    </row>
    <row r="13261" spans="3:10" x14ac:dyDescent="0.2">
      <c r="C13261" s="209"/>
      <c r="D13261" s="209"/>
      <c r="E13261" s="209"/>
      <c r="J13261" s="124"/>
    </row>
    <row r="13262" spans="3:10" x14ac:dyDescent="0.2">
      <c r="C13262" s="209"/>
      <c r="D13262" s="209"/>
      <c r="E13262" s="209"/>
      <c r="J13262" s="124"/>
    </row>
    <row r="13263" spans="3:10" x14ac:dyDescent="0.2">
      <c r="C13263" s="209"/>
      <c r="D13263" s="209"/>
      <c r="E13263" s="209"/>
      <c r="J13263" s="124"/>
    </row>
    <row r="13264" spans="3:10" x14ac:dyDescent="0.2">
      <c r="C13264" s="209"/>
      <c r="D13264" s="209"/>
      <c r="E13264" s="209"/>
      <c r="J13264" s="124"/>
    </row>
    <row r="13265" spans="3:10" x14ac:dyDescent="0.2">
      <c r="C13265" s="209"/>
      <c r="D13265" s="209"/>
      <c r="E13265" s="209"/>
      <c r="J13265" s="124"/>
    </row>
    <row r="13266" spans="3:10" x14ac:dyDescent="0.2">
      <c r="C13266" s="209"/>
      <c r="D13266" s="209"/>
      <c r="E13266" s="209"/>
      <c r="J13266" s="124"/>
    </row>
    <row r="13267" spans="3:10" x14ac:dyDescent="0.2">
      <c r="C13267" s="209"/>
      <c r="D13267" s="209"/>
      <c r="E13267" s="209"/>
      <c r="J13267" s="124"/>
    </row>
    <row r="13268" spans="3:10" x14ac:dyDescent="0.2">
      <c r="C13268" s="209"/>
      <c r="D13268" s="209"/>
      <c r="E13268" s="209"/>
      <c r="J13268" s="124"/>
    </row>
    <row r="13269" spans="3:10" x14ac:dyDescent="0.2">
      <c r="C13269" s="209"/>
      <c r="D13269" s="209"/>
      <c r="E13269" s="209"/>
      <c r="J13269" s="124"/>
    </row>
    <row r="13270" spans="3:10" x14ac:dyDescent="0.2">
      <c r="C13270" s="209"/>
      <c r="D13270" s="209"/>
      <c r="E13270" s="209"/>
      <c r="J13270" s="124"/>
    </row>
    <row r="13271" spans="3:10" x14ac:dyDescent="0.2">
      <c r="C13271" s="209"/>
      <c r="D13271" s="209"/>
      <c r="E13271" s="209"/>
      <c r="J13271" s="124"/>
    </row>
    <row r="13272" spans="3:10" x14ac:dyDescent="0.2">
      <c r="C13272" s="209"/>
      <c r="D13272" s="209"/>
      <c r="E13272" s="209"/>
      <c r="J13272" s="124"/>
    </row>
    <row r="13273" spans="3:10" x14ac:dyDescent="0.2">
      <c r="C13273" s="209"/>
      <c r="D13273" s="209"/>
      <c r="E13273" s="209"/>
      <c r="J13273" s="124"/>
    </row>
    <row r="13274" spans="3:10" x14ac:dyDescent="0.2">
      <c r="C13274" s="209"/>
      <c r="D13274" s="209"/>
      <c r="E13274" s="209"/>
      <c r="J13274" s="124"/>
    </row>
    <row r="13275" spans="3:10" x14ac:dyDescent="0.2">
      <c r="C13275" s="209"/>
      <c r="D13275" s="209"/>
      <c r="E13275" s="209"/>
      <c r="J13275" s="124"/>
    </row>
    <row r="13276" spans="3:10" x14ac:dyDescent="0.2">
      <c r="C13276" s="209"/>
      <c r="D13276" s="209"/>
      <c r="E13276" s="209"/>
      <c r="J13276" s="124"/>
    </row>
    <row r="13277" spans="3:10" x14ac:dyDescent="0.2">
      <c r="C13277" s="209"/>
      <c r="D13277" s="209"/>
      <c r="E13277" s="209"/>
      <c r="J13277" s="124"/>
    </row>
    <row r="13278" spans="3:10" x14ac:dyDescent="0.2">
      <c r="C13278" s="209"/>
      <c r="D13278" s="209"/>
      <c r="E13278" s="209"/>
      <c r="J13278" s="124"/>
    </row>
    <row r="13279" spans="3:10" x14ac:dyDescent="0.2">
      <c r="C13279" s="209"/>
      <c r="D13279" s="209"/>
      <c r="E13279" s="209"/>
      <c r="J13279" s="124"/>
    </row>
    <row r="13280" spans="3:10" x14ac:dyDescent="0.2">
      <c r="C13280" s="209"/>
      <c r="D13280" s="209"/>
      <c r="E13280" s="209"/>
      <c r="J13280" s="124"/>
    </row>
    <row r="13281" spans="3:10" x14ac:dyDescent="0.2">
      <c r="C13281" s="209"/>
      <c r="D13281" s="209"/>
      <c r="E13281" s="209"/>
      <c r="J13281" s="124"/>
    </row>
    <row r="13282" spans="3:10" x14ac:dyDescent="0.2">
      <c r="C13282" s="209"/>
      <c r="D13282" s="209"/>
      <c r="E13282" s="209"/>
      <c r="J13282" s="124"/>
    </row>
    <row r="13283" spans="3:10" x14ac:dyDescent="0.2">
      <c r="C13283" s="209"/>
      <c r="D13283" s="209"/>
      <c r="E13283" s="209"/>
      <c r="J13283" s="124"/>
    </row>
    <row r="13284" spans="3:10" x14ac:dyDescent="0.2">
      <c r="C13284" s="209"/>
      <c r="D13284" s="209"/>
      <c r="E13284" s="209"/>
      <c r="J13284" s="124"/>
    </row>
    <row r="13285" spans="3:10" x14ac:dyDescent="0.2">
      <c r="C13285" s="209"/>
      <c r="D13285" s="209"/>
      <c r="E13285" s="209"/>
      <c r="J13285" s="124"/>
    </row>
    <row r="13286" spans="3:10" x14ac:dyDescent="0.2">
      <c r="C13286" s="209"/>
      <c r="D13286" s="209"/>
      <c r="E13286" s="209"/>
      <c r="J13286" s="124"/>
    </row>
    <row r="13287" spans="3:10" x14ac:dyDescent="0.2">
      <c r="C13287" s="209"/>
      <c r="D13287" s="209"/>
      <c r="E13287" s="209"/>
      <c r="J13287" s="124"/>
    </row>
    <row r="13288" spans="3:10" x14ac:dyDescent="0.2">
      <c r="C13288" s="209"/>
      <c r="D13288" s="209"/>
      <c r="E13288" s="209"/>
      <c r="J13288" s="124"/>
    </row>
    <row r="13289" spans="3:10" x14ac:dyDescent="0.2">
      <c r="C13289" s="209"/>
      <c r="D13289" s="209"/>
      <c r="E13289" s="209"/>
      <c r="J13289" s="124"/>
    </row>
    <row r="13290" spans="3:10" x14ac:dyDescent="0.2">
      <c r="C13290" s="209"/>
      <c r="D13290" s="209"/>
      <c r="E13290" s="209"/>
      <c r="J13290" s="124"/>
    </row>
    <row r="13291" spans="3:10" x14ac:dyDescent="0.2">
      <c r="C13291" s="209"/>
      <c r="D13291" s="209"/>
      <c r="E13291" s="209"/>
      <c r="J13291" s="124"/>
    </row>
    <row r="13292" spans="3:10" x14ac:dyDescent="0.2">
      <c r="C13292" s="209"/>
      <c r="D13292" s="209"/>
      <c r="E13292" s="209"/>
      <c r="J13292" s="124"/>
    </row>
    <row r="13293" spans="3:10" x14ac:dyDescent="0.2">
      <c r="C13293" s="209"/>
      <c r="D13293" s="209"/>
      <c r="E13293" s="209"/>
      <c r="J13293" s="124"/>
    </row>
    <row r="13294" spans="3:10" x14ac:dyDescent="0.2">
      <c r="C13294" s="209"/>
      <c r="D13294" s="209"/>
      <c r="E13294" s="209"/>
      <c r="J13294" s="124"/>
    </row>
    <row r="13295" spans="3:10" x14ac:dyDescent="0.2">
      <c r="C13295" s="209"/>
      <c r="D13295" s="209"/>
      <c r="E13295" s="209"/>
      <c r="J13295" s="124"/>
    </row>
    <row r="13296" spans="3:10" x14ac:dyDescent="0.2">
      <c r="C13296" s="209"/>
      <c r="D13296" s="209"/>
      <c r="E13296" s="209"/>
      <c r="J13296" s="124"/>
    </row>
    <row r="13297" spans="3:10" x14ac:dyDescent="0.2">
      <c r="C13297" s="209"/>
      <c r="D13297" s="209"/>
      <c r="E13297" s="209"/>
      <c r="J13297" s="124"/>
    </row>
    <row r="13298" spans="3:10" x14ac:dyDescent="0.2">
      <c r="C13298" s="209"/>
      <c r="D13298" s="209"/>
      <c r="E13298" s="209"/>
      <c r="J13298" s="124"/>
    </row>
    <row r="13299" spans="3:10" x14ac:dyDescent="0.2">
      <c r="C13299" s="209"/>
      <c r="D13299" s="209"/>
      <c r="E13299" s="209"/>
      <c r="J13299" s="124"/>
    </row>
    <row r="13300" spans="3:10" x14ac:dyDescent="0.2">
      <c r="C13300" s="209"/>
      <c r="D13300" s="209"/>
      <c r="E13300" s="209"/>
      <c r="J13300" s="124"/>
    </row>
    <row r="13301" spans="3:10" x14ac:dyDescent="0.2">
      <c r="C13301" s="209"/>
      <c r="D13301" s="209"/>
      <c r="E13301" s="209"/>
      <c r="J13301" s="124"/>
    </row>
    <row r="13302" spans="3:10" x14ac:dyDescent="0.2">
      <c r="C13302" s="209"/>
      <c r="D13302" s="209"/>
      <c r="E13302" s="209"/>
      <c r="J13302" s="124"/>
    </row>
    <row r="13303" spans="3:10" x14ac:dyDescent="0.2">
      <c r="C13303" s="209"/>
      <c r="D13303" s="209"/>
      <c r="E13303" s="209"/>
      <c r="J13303" s="124"/>
    </row>
    <row r="13304" spans="3:10" x14ac:dyDescent="0.2">
      <c r="C13304" s="209"/>
      <c r="D13304" s="209"/>
      <c r="E13304" s="209"/>
      <c r="J13304" s="124"/>
    </row>
    <row r="13305" spans="3:10" x14ac:dyDescent="0.2">
      <c r="C13305" s="209"/>
      <c r="D13305" s="209"/>
      <c r="E13305" s="209"/>
      <c r="J13305" s="124"/>
    </row>
    <row r="13306" spans="3:10" x14ac:dyDescent="0.2">
      <c r="C13306" s="209"/>
      <c r="D13306" s="209"/>
      <c r="E13306" s="209"/>
      <c r="J13306" s="124"/>
    </row>
    <row r="13307" spans="3:10" x14ac:dyDescent="0.2">
      <c r="C13307" s="209"/>
      <c r="D13307" s="209"/>
      <c r="E13307" s="209"/>
      <c r="J13307" s="124"/>
    </row>
    <row r="13308" spans="3:10" x14ac:dyDescent="0.2">
      <c r="C13308" s="209"/>
      <c r="D13308" s="209"/>
      <c r="E13308" s="209"/>
      <c r="J13308" s="124"/>
    </row>
    <row r="13309" spans="3:10" x14ac:dyDescent="0.2">
      <c r="C13309" s="209"/>
      <c r="D13309" s="209"/>
      <c r="E13309" s="209"/>
      <c r="J13309" s="124"/>
    </row>
    <row r="13310" spans="3:10" x14ac:dyDescent="0.2">
      <c r="C13310" s="209"/>
      <c r="D13310" s="209"/>
      <c r="E13310" s="209"/>
      <c r="J13310" s="124"/>
    </row>
    <row r="13311" spans="3:10" x14ac:dyDescent="0.2">
      <c r="C13311" s="209"/>
      <c r="D13311" s="209"/>
      <c r="E13311" s="209"/>
      <c r="J13311" s="124"/>
    </row>
    <row r="13312" spans="3:10" x14ac:dyDescent="0.2">
      <c r="C13312" s="209"/>
      <c r="D13312" s="209"/>
      <c r="E13312" s="209"/>
      <c r="J13312" s="124"/>
    </row>
    <row r="13313" spans="3:10" x14ac:dyDescent="0.2">
      <c r="C13313" s="209"/>
      <c r="D13313" s="209"/>
      <c r="E13313" s="209"/>
      <c r="J13313" s="124"/>
    </row>
    <row r="13314" spans="3:10" x14ac:dyDescent="0.2">
      <c r="C13314" s="209"/>
      <c r="D13314" s="209"/>
      <c r="E13314" s="209"/>
      <c r="J13314" s="124"/>
    </row>
    <row r="13315" spans="3:10" x14ac:dyDescent="0.2">
      <c r="C13315" s="209"/>
      <c r="D13315" s="209"/>
      <c r="E13315" s="209"/>
      <c r="J13315" s="124"/>
    </row>
    <row r="13316" spans="3:10" x14ac:dyDescent="0.2">
      <c r="C13316" s="209"/>
      <c r="D13316" s="209"/>
      <c r="E13316" s="209"/>
      <c r="J13316" s="124"/>
    </row>
    <row r="13317" spans="3:10" x14ac:dyDescent="0.2">
      <c r="C13317" s="209"/>
      <c r="D13317" s="209"/>
      <c r="E13317" s="209"/>
      <c r="J13317" s="124"/>
    </row>
    <row r="13318" spans="3:10" x14ac:dyDescent="0.2">
      <c r="C13318" s="209"/>
      <c r="D13318" s="209"/>
      <c r="E13318" s="209"/>
      <c r="J13318" s="124"/>
    </row>
    <row r="13319" spans="3:10" x14ac:dyDescent="0.2">
      <c r="C13319" s="209"/>
      <c r="D13319" s="209"/>
      <c r="E13319" s="209"/>
      <c r="J13319" s="124"/>
    </row>
    <row r="13320" spans="3:10" x14ac:dyDescent="0.2">
      <c r="C13320" s="209"/>
      <c r="D13320" s="209"/>
      <c r="E13320" s="209"/>
      <c r="J13320" s="124"/>
    </row>
    <row r="13321" spans="3:10" x14ac:dyDescent="0.2">
      <c r="C13321" s="209"/>
      <c r="D13321" s="209"/>
      <c r="E13321" s="209"/>
      <c r="J13321" s="124"/>
    </row>
    <row r="13322" spans="3:10" x14ac:dyDescent="0.2">
      <c r="C13322" s="209"/>
      <c r="D13322" s="209"/>
      <c r="E13322" s="209"/>
      <c r="J13322" s="124"/>
    </row>
    <row r="13323" spans="3:10" x14ac:dyDescent="0.2">
      <c r="C13323" s="209"/>
      <c r="D13323" s="209"/>
      <c r="E13323" s="209"/>
      <c r="J13323" s="124"/>
    </row>
    <row r="13324" spans="3:10" x14ac:dyDescent="0.2">
      <c r="C13324" s="209"/>
      <c r="D13324" s="209"/>
      <c r="E13324" s="209"/>
      <c r="J13324" s="124"/>
    </row>
    <row r="13325" spans="3:10" x14ac:dyDescent="0.2">
      <c r="C13325" s="209"/>
      <c r="D13325" s="209"/>
      <c r="E13325" s="209"/>
      <c r="J13325" s="124"/>
    </row>
    <row r="13326" spans="3:10" x14ac:dyDescent="0.2">
      <c r="C13326" s="209"/>
      <c r="D13326" s="209"/>
      <c r="E13326" s="209"/>
      <c r="J13326" s="124"/>
    </row>
    <row r="13327" spans="3:10" x14ac:dyDescent="0.2">
      <c r="C13327" s="209"/>
      <c r="D13327" s="209"/>
      <c r="E13327" s="209"/>
      <c r="J13327" s="124"/>
    </row>
    <row r="13328" spans="3:10" x14ac:dyDescent="0.2">
      <c r="C13328" s="209"/>
      <c r="D13328" s="209"/>
      <c r="E13328" s="209"/>
      <c r="J13328" s="124"/>
    </row>
    <row r="13329" spans="3:10" x14ac:dyDescent="0.2">
      <c r="C13329" s="209"/>
      <c r="D13329" s="209"/>
      <c r="E13329" s="209"/>
      <c r="J13329" s="124"/>
    </row>
    <row r="13330" spans="3:10" x14ac:dyDescent="0.2">
      <c r="C13330" s="209"/>
      <c r="D13330" s="209"/>
      <c r="E13330" s="209"/>
      <c r="J13330" s="124"/>
    </row>
    <row r="13331" spans="3:10" x14ac:dyDescent="0.2">
      <c r="C13331" s="209"/>
      <c r="D13331" s="209"/>
      <c r="E13331" s="209"/>
      <c r="J13331" s="124"/>
    </row>
    <row r="13332" spans="3:10" x14ac:dyDescent="0.2">
      <c r="C13332" s="209"/>
      <c r="D13332" s="209"/>
      <c r="E13332" s="209"/>
      <c r="J13332" s="124"/>
    </row>
    <row r="13333" spans="3:10" x14ac:dyDescent="0.2">
      <c r="C13333" s="209"/>
      <c r="D13333" s="209"/>
      <c r="E13333" s="209"/>
      <c r="J13333" s="124"/>
    </row>
    <row r="13334" spans="3:10" x14ac:dyDescent="0.2">
      <c r="C13334" s="209"/>
      <c r="D13334" s="209"/>
      <c r="E13334" s="209"/>
      <c r="J13334" s="124"/>
    </row>
    <row r="13335" spans="3:10" x14ac:dyDescent="0.2">
      <c r="C13335" s="209"/>
      <c r="D13335" s="209"/>
      <c r="E13335" s="209"/>
      <c r="J13335" s="124"/>
    </row>
    <row r="13336" spans="3:10" x14ac:dyDescent="0.2">
      <c r="C13336" s="209"/>
      <c r="D13336" s="209"/>
      <c r="E13336" s="209"/>
      <c r="J13336" s="124"/>
    </row>
    <row r="13337" spans="3:10" x14ac:dyDescent="0.2">
      <c r="C13337" s="209"/>
      <c r="D13337" s="209"/>
      <c r="E13337" s="209"/>
      <c r="J13337" s="124"/>
    </row>
    <row r="13338" spans="3:10" x14ac:dyDescent="0.2">
      <c r="C13338" s="209"/>
      <c r="D13338" s="209"/>
      <c r="E13338" s="209"/>
      <c r="J13338" s="124"/>
    </row>
    <row r="13339" spans="3:10" x14ac:dyDescent="0.2">
      <c r="C13339" s="209"/>
      <c r="D13339" s="209"/>
      <c r="E13339" s="209"/>
      <c r="J13339" s="124"/>
    </row>
    <row r="13340" spans="3:10" x14ac:dyDescent="0.2">
      <c r="C13340" s="209"/>
      <c r="D13340" s="209"/>
      <c r="E13340" s="209"/>
      <c r="J13340" s="124"/>
    </row>
    <row r="13341" spans="3:10" x14ac:dyDescent="0.2">
      <c r="C13341" s="209"/>
      <c r="D13341" s="209"/>
      <c r="E13341" s="209"/>
      <c r="J13341" s="124"/>
    </row>
    <row r="13342" spans="3:10" x14ac:dyDescent="0.2">
      <c r="C13342" s="209"/>
      <c r="D13342" s="209"/>
      <c r="E13342" s="209"/>
      <c r="J13342" s="124"/>
    </row>
    <row r="13343" spans="3:10" x14ac:dyDescent="0.2">
      <c r="C13343" s="209"/>
      <c r="D13343" s="209"/>
      <c r="E13343" s="209"/>
      <c r="J13343" s="124"/>
    </row>
    <row r="13344" spans="3:10" x14ac:dyDescent="0.2">
      <c r="C13344" s="209"/>
      <c r="D13344" s="209"/>
      <c r="E13344" s="209"/>
      <c r="J13344" s="124"/>
    </row>
    <row r="13345" spans="3:10" x14ac:dyDescent="0.2">
      <c r="C13345" s="209"/>
      <c r="D13345" s="209"/>
      <c r="E13345" s="209"/>
      <c r="J13345" s="124"/>
    </row>
    <row r="13346" spans="3:10" x14ac:dyDescent="0.2">
      <c r="C13346" s="209"/>
      <c r="D13346" s="209"/>
      <c r="E13346" s="209"/>
      <c r="J13346" s="124"/>
    </row>
    <row r="13347" spans="3:10" x14ac:dyDescent="0.2">
      <c r="C13347" s="209"/>
      <c r="D13347" s="209"/>
      <c r="E13347" s="209"/>
      <c r="J13347" s="124"/>
    </row>
    <row r="13348" spans="3:10" x14ac:dyDescent="0.2">
      <c r="C13348" s="209"/>
      <c r="D13348" s="209"/>
      <c r="E13348" s="209"/>
      <c r="J13348" s="124"/>
    </row>
    <row r="13349" spans="3:10" x14ac:dyDescent="0.2">
      <c r="C13349" s="209"/>
      <c r="D13349" s="209"/>
      <c r="E13349" s="209"/>
      <c r="J13349" s="124"/>
    </row>
    <row r="13350" spans="3:10" x14ac:dyDescent="0.2">
      <c r="C13350" s="209"/>
      <c r="D13350" s="209"/>
      <c r="E13350" s="209"/>
      <c r="J13350" s="124"/>
    </row>
    <row r="13351" spans="3:10" x14ac:dyDescent="0.2">
      <c r="C13351" s="209"/>
      <c r="D13351" s="209"/>
      <c r="E13351" s="209"/>
      <c r="J13351" s="124"/>
    </row>
    <row r="13352" spans="3:10" x14ac:dyDescent="0.2">
      <c r="C13352" s="209"/>
      <c r="D13352" s="209"/>
      <c r="E13352" s="209"/>
      <c r="J13352" s="124"/>
    </row>
    <row r="13353" spans="3:10" x14ac:dyDescent="0.2">
      <c r="C13353" s="209"/>
      <c r="D13353" s="209"/>
      <c r="E13353" s="209"/>
      <c r="J13353" s="124"/>
    </row>
    <row r="13354" spans="3:10" x14ac:dyDescent="0.2">
      <c r="C13354" s="209"/>
      <c r="D13354" s="209"/>
      <c r="E13354" s="209"/>
      <c r="J13354" s="124"/>
    </row>
    <row r="13355" spans="3:10" x14ac:dyDescent="0.2">
      <c r="C13355" s="209"/>
      <c r="D13355" s="209"/>
      <c r="E13355" s="209"/>
      <c r="J13355" s="124"/>
    </row>
    <row r="13356" spans="3:10" x14ac:dyDescent="0.2">
      <c r="C13356" s="209"/>
      <c r="D13356" s="209"/>
      <c r="E13356" s="209"/>
      <c r="J13356" s="124"/>
    </row>
    <row r="13357" spans="3:10" x14ac:dyDescent="0.2">
      <c r="C13357" s="209"/>
      <c r="D13357" s="209"/>
      <c r="E13357" s="209"/>
      <c r="J13357" s="124"/>
    </row>
    <row r="13358" spans="3:10" x14ac:dyDescent="0.2">
      <c r="C13358" s="209"/>
      <c r="D13358" s="209"/>
      <c r="E13358" s="209"/>
      <c r="J13358" s="124"/>
    </row>
    <row r="13359" spans="3:10" x14ac:dyDescent="0.2">
      <c r="C13359" s="209"/>
      <c r="D13359" s="209"/>
      <c r="E13359" s="209"/>
      <c r="J13359" s="124"/>
    </row>
    <row r="13360" spans="3:10" x14ac:dyDescent="0.2">
      <c r="C13360" s="209"/>
      <c r="D13360" s="209"/>
      <c r="E13360" s="209"/>
      <c r="J13360" s="124"/>
    </row>
    <row r="13361" spans="3:10" x14ac:dyDescent="0.2">
      <c r="C13361" s="209"/>
      <c r="D13361" s="209"/>
      <c r="E13361" s="209"/>
      <c r="J13361" s="124"/>
    </row>
    <row r="13362" spans="3:10" x14ac:dyDescent="0.2">
      <c r="C13362" s="209"/>
      <c r="D13362" s="209"/>
      <c r="E13362" s="209"/>
      <c r="J13362" s="124"/>
    </row>
    <row r="13363" spans="3:10" x14ac:dyDescent="0.2">
      <c r="C13363" s="209"/>
      <c r="D13363" s="209"/>
      <c r="E13363" s="209"/>
      <c r="J13363" s="124"/>
    </row>
    <row r="13364" spans="3:10" x14ac:dyDescent="0.2">
      <c r="C13364" s="209"/>
      <c r="D13364" s="209"/>
      <c r="E13364" s="209"/>
      <c r="J13364" s="124"/>
    </row>
    <row r="13365" spans="3:10" x14ac:dyDescent="0.2">
      <c r="C13365" s="209"/>
      <c r="D13365" s="209"/>
      <c r="E13365" s="209"/>
      <c r="J13365" s="124"/>
    </row>
    <row r="13366" spans="3:10" x14ac:dyDescent="0.2">
      <c r="C13366" s="209"/>
      <c r="D13366" s="209"/>
      <c r="E13366" s="209"/>
      <c r="J13366" s="124"/>
    </row>
    <row r="13367" spans="3:10" x14ac:dyDescent="0.2">
      <c r="C13367" s="209"/>
      <c r="D13367" s="209"/>
      <c r="E13367" s="209"/>
      <c r="J13367" s="124"/>
    </row>
    <row r="13368" spans="3:10" x14ac:dyDescent="0.2">
      <c r="C13368" s="209"/>
      <c r="D13368" s="209"/>
      <c r="E13368" s="209"/>
      <c r="J13368" s="124"/>
    </row>
    <row r="13369" spans="3:10" x14ac:dyDescent="0.2">
      <c r="C13369" s="209"/>
      <c r="D13369" s="209"/>
      <c r="E13369" s="209"/>
      <c r="J13369" s="124"/>
    </row>
    <row r="13370" spans="3:10" x14ac:dyDescent="0.2">
      <c r="C13370" s="209"/>
      <c r="D13370" s="209"/>
      <c r="E13370" s="209"/>
      <c r="J13370" s="124"/>
    </row>
    <row r="13371" spans="3:10" x14ac:dyDescent="0.2">
      <c r="C13371" s="209"/>
      <c r="D13371" s="209"/>
      <c r="E13371" s="209"/>
      <c r="J13371" s="124"/>
    </row>
    <row r="13372" spans="3:10" x14ac:dyDescent="0.2">
      <c r="C13372" s="209"/>
      <c r="D13372" s="209"/>
      <c r="E13372" s="209"/>
      <c r="J13372" s="124"/>
    </row>
    <row r="13373" spans="3:10" x14ac:dyDescent="0.2">
      <c r="C13373" s="209"/>
      <c r="D13373" s="209"/>
      <c r="E13373" s="209"/>
      <c r="J13373" s="124"/>
    </row>
    <row r="13374" spans="3:10" x14ac:dyDescent="0.2">
      <c r="C13374" s="209"/>
      <c r="D13374" s="209"/>
      <c r="E13374" s="209"/>
      <c r="J13374" s="124"/>
    </row>
    <row r="13375" spans="3:10" x14ac:dyDescent="0.2">
      <c r="C13375" s="209"/>
      <c r="D13375" s="209"/>
      <c r="E13375" s="209"/>
      <c r="J13375" s="124"/>
    </row>
    <row r="13376" spans="3:10" x14ac:dyDescent="0.2">
      <c r="C13376" s="209"/>
      <c r="D13376" s="209"/>
      <c r="E13376" s="209"/>
      <c r="J13376" s="124"/>
    </row>
    <row r="13377" spans="3:10" x14ac:dyDescent="0.2">
      <c r="C13377" s="209"/>
      <c r="D13377" s="209"/>
      <c r="E13377" s="209"/>
      <c r="J13377" s="124"/>
    </row>
    <row r="13378" spans="3:10" x14ac:dyDescent="0.2">
      <c r="C13378" s="209"/>
      <c r="D13378" s="209"/>
      <c r="E13378" s="209"/>
      <c r="J13378" s="124"/>
    </row>
    <row r="13379" spans="3:10" x14ac:dyDescent="0.2">
      <c r="C13379" s="209"/>
      <c r="D13379" s="209"/>
      <c r="E13379" s="209"/>
      <c r="J13379" s="124"/>
    </row>
    <row r="13380" spans="3:10" x14ac:dyDescent="0.2">
      <c r="C13380" s="209"/>
      <c r="D13380" s="209"/>
      <c r="E13380" s="209"/>
      <c r="J13380" s="124"/>
    </row>
    <row r="13381" spans="3:10" x14ac:dyDescent="0.2">
      <c r="C13381" s="209"/>
      <c r="D13381" s="209"/>
      <c r="E13381" s="209"/>
      <c r="J13381" s="124"/>
    </row>
    <row r="13382" spans="3:10" x14ac:dyDescent="0.2">
      <c r="C13382" s="209"/>
      <c r="D13382" s="209"/>
      <c r="E13382" s="209"/>
      <c r="J13382" s="124"/>
    </row>
    <row r="13383" spans="3:10" x14ac:dyDescent="0.2">
      <c r="C13383" s="209"/>
      <c r="D13383" s="209"/>
      <c r="E13383" s="209"/>
      <c r="J13383" s="124"/>
    </row>
    <row r="13384" spans="3:10" x14ac:dyDescent="0.2">
      <c r="C13384" s="209"/>
      <c r="D13384" s="209"/>
      <c r="E13384" s="209"/>
      <c r="J13384" s="124"/>
    </row>
    <row r="13385" spans="3:10" x14ac:dyDescent="0.2">
      <c r="C13385" s="209"/>
      <c r="D13385" s="209"/>
      <c r="E13385" s="209"/>
      <c r="J13385" s="124"/>
    </row>
    <row r="13386" spans="3:10" x14ac:dyDescent="0.2">
      <c r="C13386" s="209"/>
      <c r="D13386" s="209"/>
      <c r="E13386" s="209"/>
      <c r="J13386" s="124"/>
    </row>
    <row r="13387" spans="3:10" x14ac:dyDescent="0.2">
      <c r="C13387" s="209"/>
      <c r="D13387" s="209"/>
      <c r="E13387" s="209"/>
      <c r="J13387" s="124"/>
    </row>
    <row r="13388" spans="3:10" x14ac:dyDescent="0.2">
      <c r="C13388" s="209"/>
      <c r="D13388" s="209"/>
      <c r="E13388" s="209"/>
      <c r="J13388" s="124"/>
    </row>
    <row r="13389" spans="3:10" x14ac:dyDescent="0.2">
      <c r="C13389" s="209"/>
      <c r="D13389" s="209"/>
      <c r="E13389" s="209"/>
      <c r="J13389" s="124"/>
    </row>
    <row r="13390" spans="3:10" x14ac:dyDescent="0.2">
      <c r="C13390" s="209"/>
      <c r="D13390" s="209"/>
      <c r="E13390" s="209"/>
      <c r="J13390" s="124"/>
    </row>
    <row r="13391" spans="3:10" x14ac:dyDescent="0.2">
      <c r="C13391" s="209"/>
      <c r="D13391" s="209"/>
      <c r="E13391" s="209"/>
      <c r="J13391" s="124"/>
    </row>
    <row r="13392" spans="3:10" x14ac:dyDescent="0.2">
      <c r="C13392" s="209"/>
      <c r="D13392" s="209"/>
      <c r="E13392" s="209"/>
      <c r="J13392" s="124"/>
    </row>
    <row r="13393" spans="3:10" x14ac:dyDescent="0.2">
      <c r="C13393" s="209"/>
      <c r="D13393" s="209"/>
      <c r="E13393" s="209"/>
      <c r="J13393" s="124"/>
    </row>
    <row r="13394" spans="3:10" x14ac:dyDescent="0.2">
      <c r="C13394" s="209"/>
      <c r="D13394" s="209"/>
      <c r="E13394" s="209"/>
      <c r="J13394" s="124"/>
    </row>
    <row r="13395" spans="3:10" x14ac:dyDescent="0.2">
      <c r="C13395" s="209"/>
      <c r="D13395" s="209"/>
      <c r="E13395" s="209"/>
      <c r="J13395" s="124"/>
    </row>
    <row r="13396" spans="3:10" x14ac:dyDescent="0.2">
      <c r="C13396" s="209"/>
      <c r="D13396" s="209"/>
      <c r="E13396" s="209"/>
      <c r="J13396" s="124"/>
    </row>
    <row r="13397" spans="3:10" x14ac:dyDescent="0.2">
      <c r="C13397" s="209"/>
      <c r="D13397" s="209"/>
      <c r="E13397" s="209"/>
      <c r="J13397" s="124"/>
    </row>
    <row r="13398" spans="3:10" x14ac:dyDescent="0.2">
      <c r="C13398" s="209"/>
      <c r="D13398" s="209"/>
      <c r="E13398" s="209"/>
      <c r="J13398" s="124"/>
    </row>
    <row r="13399" spans="3:10" x14ac:dyDescent="0.2">
      <c r="C13399" s="209"/>
      <c r="D13399" s="209"/>
      <c r="E13399" s="209"/>
      <c r="J13399" s="124"/>
    </row>
    <row r="13400" spans="3:10" x14ac:dyDescent="0.2">
      <c r="C13400" s="209"/>
      <c r="D13400" s="209"/>
      <c r="E13400" s="209"/>
      <c r="J13400" s="124"/>
    </row>
    <row r="13401" spans="3:10" x14ac:dyDescent="0.2">
      <c r="C13401" s="209"/>
      <c r="D13401" s="209"/>
      <c r="E13401" s="209"/>
      <c r="J13401" s="124"/>
    </row>
    <row r="13402" spans="3:10" x14ac:dyDescent="0.2">
      <c r="C13402" s="209"/>
      <c r="D13402" s="209"/>
      <c r="E13402" s="209"/>
      <c r="J13402" s="124"/>
    </row>
    <row r="13403" spans="3:10" x14ac:dyDescent="0.2">
      <c r="C13403" s="209"/>
      <c r="D13403" s="209"/>
      <c r="E13403" s="209"/>
      <c r="J13403" s="124"/>
    </row>
    <row r="13404" spans="3:10" x14ac:dyDescent="0.2">
      <c r="C13404" s="209"/>
      <c r="D13404" s="209"/>
      <c r="E13404" s="209"/>
      <c r="J13404" s="124"/>
    </row>
    <row r="13405" spans="3:10" x14ac:dyDescent="0.2">
      <c r="C13405" s="209"/>
      <c r="D13405" s="209"/>
      <c r="E13405" s="209"/>
      <c r="J13405" s="124"/>
    </row>
    <row r="13406" spans="3:10" x14ac:dyDescent="0.2">
      <c r="C13406" s="209"/>
      <c r="D13406" s="209"/>
      <c r="E13406" s="209"/>
      <c r="J13406" s="124"/>
    </row>
    <row r="13407" spans="3:10" x14ac:dyDescent="0.2">
      <c r="C13407" s="209"/>
      <c r="D13407" s="209"/>
      <c r="E13407" s="209"/>
      <c r="J13407" s="124"/>
    </row>
    <row r="13408" spans="3:10" x14ac:dyDescent="0.2">
      <c r="C13408" s="209"/>
      <c r="D13408" s="209"/>
      <c r="E13408" s="209"/>
      <c r="J13408" s="124"/>
    </row>
    <row r="13409" spans="3:10" x14ac:dyDescent="0.2">
      <c r="C13409" s="209"/>
      <c r="D13409" s="209"/>
      <c r="E13409" s="209"/>
      <c r="J13409" s="124"/>
    </row>
    <row r="13410" spans="3:10" x14ac:dyDescent="0.2">
      <c r="C13410" s="209"/>
      <c r="D13410" s="209"/>
      <c r="E13410" s="209"/>
      <c r="J13410" s="124"/>
    </row>
    <row r="13411" spans="3:10" x14ac:dyDescent="0.2">
      <c r="C13411" s="209"/>
      <c r="D13411" s="209"/>
      <c r="E13411" s="209"/>
      <c r="J13411" s="124"/>
    </row>
    <row r="13412" spans="3:10" x14ac:dyDescent="0.2">
      <c r="C13412" s="209"/>
      <c r="D13412" s="209"/>
      <c r="E13412" s="209"/>
      <c r="J13412" s="124"/>
    </row>
    <row r="13413" spans="3:10" x14ac:dyDescent="0.2">
      <c r="C13413" s="209"/>
      <c r="D13413" s="209"/>
      <c r="E13413" s="209"/>
      <c r="J13413" s="124"/>
    </row>
    <row r="13414" spans="3:10" x14ac:dyDescent="0.2">
      <c r="C13414" s="209"/>
      <c r="D13414" s="209"/>
      <c r="E13414" s="209"/>
      <c r="J13414" s="124"/>
    </row>
    <row r="13415" spans="3:10" x14ac:dyDescent="0.2">
      <c r="C13415" s="209"/>
      <c r="D13415" s="209"/>
      <c r="E13415" s="209"/>
      <c r="J13415" s="124"/>
    </row>
    <row r="13416" spans="3:10" x14ac:dyDescent="0.2">
      <c r="C13416" s="209"/>
      <c r="D13416" s="209"/>
      <c r="E13416" s="209"/>
      <c r="J13416" s="124"/>
    </row>
    <row r="13417" spans="3:10" x14ac:dyDescent="0.2">
      <c r="C13417" s="209"/>
      <c r="D13417" s="209"/>
      <c r="E13417" s="209"/>
      <c r="J13417" s="124"/>
    </row>
    <row r="13418" spans="3:10" x14ac:dyDescent="0.2">
      <c r="C13418" s="209"/>
      <c r="D13418" s="209"/>
      <c r="E13418" s="209"/>
      <c r="J13418" s="124"/>
    </row>
    <row r="13419" spans="3:10" x14ac:dyDescent="0.2">
      <c r="C13419" s="209"/>
      <c r="D13419" s="209"/>
      <c r="E13419" s="209"/>
      <c r="J13419" s="124"/>
    </row>
    <row r="13420" spans="3:10" x14ac:dyDescent="0.2">
      <c r="C13420" s="209"/>
      <c r="D13420" s="209"/>
      <c r="E13420" s="209"/>
      <c r="J13420" s="124"/>
    </row>
    <row r="13421" spans="3:10" x14ac:dyDescent="0.2">
      <c r="C13421" s="209"/>
      <c r="D13421" s="209"/>
      <c r="E13421" s="209"/>
      <c r="J13421" s="124"/>
    </row>
    <row r="13422" spans="3:10" x14ac:dyDescent="0.2">
      <c r="C13422" s="209"/>
      <c r="D13422" s="209"/>
      <c r="E13422" s="209"/>
      <c r="J13422" s="124"/>
    </row>
    <row r="13423" spans="3:10" x14ac:dyDescent="0.2">
      <c r="C13423" s="209"/>
      <c r="D13423" s="209"/>
      <c r="E13423" s="209"/>
      <c r="J13423" s="124"/>
    </row>
    <row r="13424" spans="3:10" x14ac:dyDescent="0.2">
      <c r="C13424" s="209"/>
      <c r="D13424" s="209"/>
      <c r="E13424" s="209"/>
      <c r="J13424" s="124"/>
    </row>
    <row r="13425" spans="3:10" x14ac:dyDescent="0.2">
      <c r="C13425" s="209"/>
      <c r="D13425" s="209"/>
      <c r="E13425" s="209"/>
      <c r="J13425" s="124"/>
    </row>
    <row r="13426" spans="3:10" x14ac:dyDescent="0.2">
      <c r="C13426" s="209"/>
      <c r="D13426" s="209"/>
      <c r="E13426" s="209"/>
      <c r="J13426" s="124"/>
    </row>
    <row r="13427" spans="3:10" x14ac:dyDescent="0.2">
      <c r="C13427" s="209"/>
      <c r="D13427" s="209"/>
      <c r="E13427" s="209"/>
      <c r="J13427" s="124"/>
    </row>
    <row r="13428" spans="3:10" x14ac:dyDescent="0.2">
      <c r="C13428" s="209"/>
      <c r="D13428" s="209"/>
      <c r="E13428" s="209"/>
      <c r="J13428" s="124"/>
    </row>
    <row r="13429" spans="3:10" x14ac:dyDescent="0.2">
      <c r="C13429" s="209"/>
      <c r="D13429" s="209"/>
      <c r="E13429" s="209"/>
      <c r="J13429" s="124"/>
    </row>
    <row r="13430" spans="3:10" x14ac:dyDescent="0.2">
      <c r="C13430" s="209"/>
      <c r="D13430" s="209"/>
      <c r="E13430" s="209"/>
      <c r="J13430" s="124"/>
    </row>
    <row r="13431" spans="3:10" x14ac:dyDescent="0.2">
      <c r="C13431" s="209"/>
      <c r="D13431" s="209"/>
      <c r="E13431" s="209"/>
      <c r="J13431" s="124"/>
    </row>
    <row r="13432" spans="3:10" x14ac:dyDescent="0.2">
      <c r="C13432" s="209"/>
      <c r="D13432" s="209"/>
      <c r="E13432" s="209"/>
      <c r="J13432" s="124"/>
    </row>
    <row r="13433" spans="3:10" x14ac:dyDescent="0.2">
      <c r="C13433" s="209"/>
      <c r="D13433" s="209"/>
      <c r="E13433" s="209"/>
      <c r="J13433" s="124"/>
    </row>
    <row r="13434" spans="3:10" x14ac:dyDescent="0.2">
      <c r="C13434" s="209"/>
      <c r="D13434" s="209"/>
      <c r="E13434" s="209"/>
      <c r="J13434" s="124"/>
    </row>
    <row r="13435" spans="3:10" x14ac:dyDescent="0.2">
      <c r="C13435" s="209"/>
      <c r="D13435" s="209"/>
      <c r="E13435" s="209"/>
      <c r="J13435" s="124"/>
    </row>
    <row r="13436" spans="3:10" x14ac:dyDescent="0.2">
      <c r="C13436" s="209"/>
      <c r="D13436" s="209"/>
      <c r="E13436" s="209"/>
      <c r="J13436" s="124"/>
    </row>
    <row r="13437" spans="3:10" x14ac:dyDescent="0.2">
      <c r="C13437" s="209"/>
      <c r="D13437" s="209"/>
      <c r="E13437" s="209"/>
      <c r="J13437" s="124"/>
    </row>
    <row r="13438" spans="3:10" x14ac:dyDescent="0.2">
      <c r="C13438" s="209"/>
      <c r="D13438" s="209"/>
      <c r="E13438" s="209"/>
      <c r="J13438" s="124"/>
    </row>
    <row r="13439" spans="3:10" x14ac:dyDescent="0.2">
      <c r="C13439" s="209"/>
      <c r="D13439" s="209"/>
      <c r="E13439" s="209"/>
      <c r="J13439" s="124"/>
    </row>
    <row r="13440" spans="3:10" x14ac:dyDescent="0.2">
      <c r="C13440" s="209"/>
      <c r="D13440" s="209"/>
      <c r="E13440" s="209"/>
      <c r="J13440" s="124"/>
    </row>
    <row r="13441" spans="3:10" x14ac:dyDescent="0.2">
      <c r="C13441" s="209"/>
      <c r="D13441" s="209"/>
      <c r="E13441" s="209"/>
      <c r="J13441" s="124"/>
    </row>
    <row r="13442" spans="3:10" x14ac:dyDescent="0.2">
      <c r="C13442" s="209"/>
      <c r="D13442" s="209"/>
      <c r="E13442" s="209"/>
      <c r="J13442" s="124"/>
    </row>
    <row r="13443" spans="3:10" x14ac:dyDescent="0.2">
      <c r="C13443" s="209"/>
      <c r="D13443" s="209"/>
      <c r="E13443" s="209"/>
      <c r="J13443" s="124"/>
    </row>
    <row r="13444" spans="3:10" x14ac:dyDescent="0.2">
      <c r="C13444" s="209"/>
      <c r="D13444" s="209"/>
      <c r="E13444" s="209"/>
      <c r="J13444" s="124"/>
    </row>
    <row r="13445" spans="3:10" x14ac:dyDescent="0.2">
      <c r="C13445" s="209"/>
      <c r="D13445" s="209"/>
      <c r="E13445" s="209"/>
      <c r="J13445" s="124"/>
    </row>
    <row r="13446" spans="3:10" x14ac:dyDescent="0.2">
      <c r="C13446" s="209"/>
      <c r="D13446" s="209"/>
      <c r="E13446" s="209"/>
      <c r="J13446" s="124"/>
    </row>
    <row r="13447" spans="3:10" x14ac:dyDescent="0.2">
      <c r="C13447" s="209"/>
      <c r="D13447" s="209"/>
      <c r="E13447" s="209"/>
      <c r="J13447" s="124"/>
    </row>
    <row r="13448" spans="3:10" x14ac:dyDescent="0.2">
      <c r="C13448" s="209"/>
      <c r="D13448" s="209"/>
      <c r="E13448" s="209"/>
      <c r="J13448" s="124"/>
    </row>
    <row r="13449" spans="3:10" x14ac:dyDescent="0.2">
      <c r="C13449" s="209"/>
      <c r="D13449" s="209"/>
      <c r="E13449" s="209"/>
      <c r="J13449" s="124"/>
    </row>
    <row r="13450" spans="3:10" x14ac:dyDescent="0.2">
      <c r="C13450" s="209"/>
      <c r="D13450" s="209"/>
      <c r="E13450" s="209"/>
      <c r="J13450" s="124"/>
    </row>
    <row r="13451" spans="3:10" x14ac:dyDescent="0.2">
      <c r="C13451" s="209"/>
      <c r="D13451" s="209"/>
      <c r="E13451" s="209"/>
      <c r="J13451" s="124"/>
    </row>
    <row r="13452" spans="3:10" x14ac:dyDescent="0.2">
      <c r="C13452" s="209"/>
      <c r="D13452" s="209"/>
      <c r="E13452" s="209"/>
      <c r="J13452" s="124"/>
    </row>
    <row r="13453" spans="3:10" x14ac:dyDescent="0.2">
      <c r="C13453" s="209"/>
      <c r="D13453" s="209"/>
      <c r="E13453" s="209"/>
      <c r="J13453" s="124"/>
    </row>
    <row r="13454" spans="3:10" x14ac:dyDescent="0.2">
      <c r="C13454" s="209"/>
      <c r="D13454" s="209"/>
      <c r="E13454" s="209"/>
      <c r="J13454" s="124"/>
    </row>
    <row r="13455" spans="3:10" x14ac:dyDescent="0.2">
      <c r="C13455" s="209"/>
      <c r="D13455" s="209"/>
      <c r="E13455" s="209"/>
      <c r="J13455" s="124"/>
    </row>
    <row r="13456" spans="3:10" x14ac:dyDescent="0.2">
      <c r="C13456" s="209"/>
      <c r="D13456" s="209"/>
      <c r="E13456" s="209"/>
      <c r="J13456" s="124"/>
    </row>
    <row r="13457" spans="3:10" x14ac:dyDescent="0.2">
      <c r="C13457" s="209"/>
      <c r="D13457" s="209"/>
      <c r="E13457" s="209"/>
      <c r="J13457" s="124"/>
    </row>
    <row r="13458" spans="3:10" x14ac:dyDescent="0.2">
      <c r="C13458" s="209"/>
      <c r="D13458" s="209"/>
      <c r="E13458" s="209"/>
      <c r="J13458" s="124"/>
    </row>
    <row r="13459" spans="3:10" x14ac:dyDescent="0.2">
      <c r="C13459" s="209"/>
      <c r="D13459" s="209"/>
      <c r="E13459" s="209"/>
      <c r="J13459" s="124"/>
    </row>
    <row r="13460" spans="3:10" x14ac:dyDescent="0.2">
      <c r="C13460" s="209"/>
      <c r="D13460" s="209"/>
      <c r="E13460" s="209"/>
      <c r="J13460" s="124"/>
    </row>
    <row r="13461" spans="3:10" x14ac:dyDescent="0.2">
      <c r="C13461" s="209"/>
      <c r="D13461" s="209"/>
      <c r="E13461" s="209"/>
      <c r="J13461" s="124"/>
    </row>
    <row r="13462" spans="3:10" x14ac:dyDescent="0.2">
      <c r="C13462" s="209"/>
      <c r="D13462" s="209"/>
      <c r="E13462" s="209"/>
      <c r="J13462" s="124"/>
    </row>
    <row r="13463" spans="3:10" x14ac:dyDescent="0.2">
      <c r="C13463" s="209"/>
      <c r="D13463" s="209"/>
      <c r="E13463" s="209"/>
      <c r="J13463" s="124"/>
    </row>
    <row r="13464" spans="3:10" x14ac:dyDescent="0.2">
      <c r="C13464" s="209"/>
      <c r="D13464" s="209"/>
      <c r="E13464" s="209"/>
      <c r="J13464" s="124"/>
    </row>
    <row r="13465" spans="3:10" x14ac:dyDescent="0.2">
      <c r="C13465" s="209"/>
      <c r="D13465" s="209"/>
      <c r="E13465" s="209"/>
      <c r="J13465" s="124"/>
    </row>
    <row r="13466" spans="3:10" x14ac:dyDescent="0.2">
      <c r="C13466" s="209"/>
      <c r="D13466" s="209"/>
      <c r="E13466" s="209"/>
      <c r="J13466" s="124"/>
    </row>
    <row r="13467" spans="3:10" x14ac:dyDescent="0.2">
      <c r="C13467" s="209"/>
      <c r="D13467" s="209"/>
      <c r="E13467" s="209"/>
      <c r="J13467" s="124"/>
    </row>
    <row r="13468" spans="3:10" x14ac:dyDescent="0.2">
      <c r="C13468" s="209"/>
      <c r="D13468" s="209"/>
      <c r="E13468" s="209"/>
      <c r="J13468" s="124"/>
    </row>
    <row r="13469" spans="3:10" x14ac:dyDescent="0.2">
      <c r="C13469" s="209"/>
      <c r="D13469" s="209"/>
      <c r="E13469" s="209"/>
      <c r="J13469" s="124"/>
    </row>
    <row r="13470" spans="3:10" x14ac:dyDescent="0.2">
      <c r="C13470" s="209"/>
      <c r="D13470" s="209"/>
      <c r="E13470" s="209"/>
      <c r="J13470" s="124"/>
    </row>
    <row r="13471" spans="3:10" x14ac:dyDescent="0.2">
      <c r="C13471" s="209"/>
      <c r="D13471" s="209"/>
      <c r="E13471" s="209"/>
      <c r="J13471" s="124"/>
    </row>
    <row r="13472" spans="3:10" x14ac:dyDescent="0.2">
      <c r="C13472" s="209"/>
      <c r="D13472" s="209"/>
      <c r="E13472" s="209"/>
      <c r="J13472" s="124"/>
    </row>
    <row r="13473" spans="3:10" x14ac:dyDescent="0.2">
      <c r="C13473" s="209"/>
      <c r="D13473" s="209"/>
      <c r="E13473" s="209"/>
      <c r="J13473" s="124"/>
    </row>
    <row r="13474" spans="3:10" x14ac:dyDescent="0.2">
      <c r="C13474" s="209"/>
      <c r="D13474" s="209"/>
      <c r="E13474" s="209"/>
      <c r="J13474" s="124"/>
    </row>
    <row r="13475" spans="3:10" x14ac:dyDescent="0.2">
      <c r="C13475" s="209"/>
      <c r="D13475" s="209"/>
      <c r="E13475" s="209"/>
      <c r="J13475" s="124"/>
    </row>
    <row r="13476" spans="3:10" x14ac:dyDescent="0.2">
      <c r="C13476" s="209"/>
      <c r="D13476" s="209"/>
      <c r="E13476" s="209"/>
      <c r="J13476" s="124"/>
    </row>
    <row r="13477" spans="3:10" x14ac:dyDescent="0.2">
      <c r="C13477" s="209"/>
      <c r="D13477" s="209"/>
      <c r="E13477" s="209"/>
      <c r="J13477" s="124"/>
    </row>
    <row r="13478" spans="3:10" x14ac:dyDescent="0.2">
      <c r="C13478" s="209"/>
      <c r="D13478" s="209"/>
      <c r="E13478" s="209"/>
      <c r="J13478" s="124"/>
    </row>
    <row r="13479" spans="3:10" x14ac:dyDescent="0.2">
      <c r="C13479" s="209"/>
      <c r="D13479" s="209"/>
      <c r="E13479" s="209"/>
      <c r="J13479" s="124"/>
    </row>
    <row r="13480" spans="3:10" x14ac:dyDescent="0.2">
      <c r="C13480" s="209"/>
      <c r="D13480" s="209"/>
      <c r="E13480" s="209"/>
      <c r="J13480" s="124"/>
    </row>
    <row r="13481" spans="3:10" x14ac:dyDescent="0.2">
      <c r="C13481" s="209"/>
      <c r="D13481" s="209"/>
      <c r="E13481" s="209"/>
      <c r="J13481" s="124"/>
    </row>
    <row r="13482" spans="3:10" x14ac:dyDescent="0.2">
      <c r="C13482" s="209"/>
      <c r="D13482" s="209"/>
      <c r="E13482" s="209"/>
      <c r="J13482" s="124"/>
    </row>
    <row r="13483" spans="3:10" x14ac:dyDescent="0.2">
      <c r="C13483" s="209"/>
      <c r="D13483" s="209"/>
      <c r="E13483" s="209"/>
      <c r="J13483" s="124"/>
    </row>
    <row r="13484" spans="3:10" x14ac:dyDescent="0.2">
      <c r="C13484" s="209"/>
      <c r="D13484" s="209"/>
      <c r="E13484" s="209"/>
      <c r="J13484" s="124"/>
    </row>
    <row r="13485" spans="3:10" x14ac:dyDescent="0.2">
      <c r="C13485" s="209"/>
      <c r="D13485" s="209"/>
      <c r="E13485" s="209"/>
      <c r="J13485" s="124"/>
    </row>
    <row r="13486" spans="3:10" x14ac:dyDescent="0.2">
      <c r="C13486" s="209"/>
      <c r="D13486" s="209"/>
      <c r="E13486" s="209"/>
      <c r="J13486" s="124"/>
    </row>
    <row r="13487" spans="3:10" x14ac:dyDescent="0.2">
      <c r="C13487" s="209"/>
      <c r="D13487" s="209"/>
      <c r="E13487" s="209"/>
      <c r="J13487" s="124"/>
    </row>
    <row r="13488" spans="3:10" x14ac:dyDescent="0.2">
      <c r="C13488" s="209"/>
      <c r="D13488" s="209"/>
      <c r="E13488" s="209"/>
      <c r="J13488" s="124"/>
    </row>
    <row r="13489" spans="3:10" x14ac:dyDescent="0.2">
      <c r="C13489" s="209"/>
      <c r="D13489" s="209"/>
      <c r="E13489" s="209"/>
      <c r="J13489" s="124"/>
    </row>
    <row r="13490" spans="3:10" x14ac:dyDescent="0.2">
      <c r="C13490" s="209"/>
      <c r="D13490" s="209"/>
      <c r="E13490" s="209"/>
      <c r="J13490" s="124"/>
    </row>
    <row r="13491" spans="3:10" x14ac:dyDescent="0.2">
      <c r="C13491" s="209"/>
      <c r="D13491" s="209"/>
      <c r="E13491" s="209"/>
      <c r="J13491" s="124"/>
    </row>
    <row r="13492" spans="3:10" x14ac:dyDescent="0.2">
      <c r="C13492" s="209"/>
      <c r="D13492" s="209"/>
      <c r="E13492" s="209"/>
      <c r="J13492" s="124"/>
    </row>
    <row r="13493" spans="3:10" x14ac:dyDescent="0.2">
      <c r="C13493" s="209"/>
      <c r="D13493" s="209"/>
      <c r="E13493" s="209"/>
      <c r="J13493" s="124"/>
    </row>
    <row r="13494" spans="3:10" x14ac:dyDescent="0.2">
      <c r="C13494" s="209"/>
      <c r="D13494" s="209"/>
      <c r="E13494" s="209"/>
      <c r="J13494" s="124"/>
    </row>
    <row r="13495" spans="3:10" x14ac:dyDescent="0.2">
      <c r="C13495" s="209"/>
      <c r="D13495" s="209"/>
      <c r="E13495" s="209"/>
      <c r="J13495" s="124"/>
    </row>
    <row r="13496" spans="3:10" x14ac:dyDescent="0.2">
      <c r="C13496" s="209"/>
      <c r="D13496" s="209"/>
      <c r="E13496" s="209"/>
      <c r="J13496" s="124"/>
    </row>
    <row r="13497" spans="3:10" x14ac:dyDescent="0.2">
      <c r="C13497" s="209"/>
      <c r="D13497" s="209"/>
      <c r="E13497" s="209"/>
      <c r="J13497" s="124"/>
    </row>
    <row r="13498" spans="3:10" x14ac:dyDescent="0.2">
      <c r="C13498" s="209"/>
      <c r="D13498" s="209"/>
      <c r="E13498" s="209"/>
      <c r="J13498" s="124"/>
    </row>
    <row r="13499" spans="3:10" x14ac:dyDescent="0.2">
      <c r="C13499" s="209"/>
      <c r="D13499" s="209"/>
      <c r="E13499" s="209"/>
      <c r="J13499" s="124"/>
    </row>
    <row r="13500" spans="3:10" x14ac:dyDescent="0.2">
      <c r="C13500" s="209"/>
      <c r="D13500" s="209"/>
      <c r="E13500" s="209"/>
      <c r="J13500" s="124"/>
    </row>
    <row r="13501" spans="3:10" x14ac:dyDescent="0.2">
      <c r="C13501" s="209"/>
      <c r="D13501" s="209"/>
      <c r="E13501" s="209"/>
      <c r="J13501" s="124"/>
    </row>
    <row r="13502" spans="3:10" x14ac:dyDescent="0.2">
      <c r="C13502" s="209"/>
      <c r="D13502" s="209"/>
      <c r="E13502" s="209"/>
      <c r="J13502" s="124"/>
    </row>
    <row r="13503" spans="3:10" x14ac:dyDescent="0.2">
      <c r="C13503" s="209"/>
      <c r="D13503" s="209"/>
      <c r="E13503" s="209"/>
      <c r="J13503" s="124"/>
    </row>
    <row r="13504" spans="3:10" x14ac:dyDescent="0.2">
      <c r="C13504" s="209"/>
      <c r="D13504" s="209"/>
      <c r="E13504" s="209"/>
      <c r="J13504" s="124"/>
    </row>
    <row r="13505" spans="3:10" x14ac:dyDescent="0.2">
      <c r="C13505" s="209"/>
      <c r="D13505" s="209"/>
      <c r="E13505" s="209"/>
      <c r="J13505" s="124"/>
    </row>
    <row r="13506" spans="3:10" x14ac:dyDescent="0.2">
      <c r="C13506" s="209"/>
      <c r="D13506" s="209"/>
      <c r="E13506" s="209"/>
      <c r="J13506" s="124"/>
    </row>
    <row r="13507" spans="3:10" x14ac:dyDescent="0.2">
      <c r="C13507" s="209"/>
      <c r="D13507" s="209"/>
      <c r="E13507" s="209"/>
      <c r="J13507" s="124"/>
    </row>
    <row r="13508" spans="3:10" x14ac:dyDescent="0.2">
      <c r="C13508" s="209"/>
      <c r="D13508" s="209"/>
      <c r="E13508" s="209"/>
      <c r="J13508" s="124"/>
    </row>
    <row r="13509" spans="3:10" x14ac:dyDescent="0.2">
      <c r="C13509" s="209"/>
      <c r="D13509" s="209"/>
      <c r="E13509" s="209"/>
      <c r="J13509" s="124"/>
    </row>
    <row r="13510" spans="3:10" x14ac:dyDescent="0.2">
      <c r="C13510" s="209"/>
      <c r="D13510" s="209"/>
      <c r="E13510" s="209"/>
      <c r="J13510" s="124"/>
    </row>
    <row r="13511" spans="3:10" x14ac:dyDescent="0.2">
      <c r="C13511" s="209"/>
      <c r="D13511" s="209"/>
      <c r="E13511" s="209"/>
      <c r="J13511" s="124"/>
    </row>
    <row r="13512" spans="3:10" x14ac:dyDescent="0.2">
      <c r="C13512" s="209"/>
      <c r="D13512" s="209"/>
      <c r="E13512" s="209"/>
      <c r="J13512" s="124"/>
    </row>
    <row r="13513" spans="3:10" x14ac:dyDescent="0.2">
      <c r="C13513" s="209"/>
      <c r="D13513" s="209"/>
      <c r="E13513" s="209"/>
      <c r="J13513" s="124"/>
    </row>
    <row r="13514" spans="3:10" x14ac:dyDescent="0.2">
      <c r="C13514" s="209"/>
      <c r="D13514" s="209"/>
      <c r="E13514" s="209"/>
      <c r="J13514" s="124"/>
    </row>
    <row r="13515" spans="3:10" x14ac:dyDescent="0.2">
      <c r="C13515" s="209"/>
      <c r="D13515" s="209"/>
      <c r="E13515" s="209"/>
      <c r="J13515" s="124"/>
    </row>
    <row r="13516" spans="3:10" x14ac:dyDescent="0.2">
      <c r="C13516" s="209"/>
      <c r="D13516" s="209"/>
      <c r="E13516" s="209"/>
      <c r="J13516" s="124"/>
    </row>
    <row r="13517" spans="3:10" x14ac:dyDescent="0.2">
      <c r="C13517" s="209"/>
      <c r="D13517" s="209"/>
      <c r="E13517" s="209"/>
      <c r="J13517" s="124"/>
    </row>
    <row r="13518" spans="3:10" x14ac:dyDescent="0.2">
      <c r="C13518" s="209"/>
      <c r="D13518" s="209"/>
      <c r="E13518" s="209"/>
      <c r="J13518" s="124"/>
    </row>
    <row r="13519" spans="3:10" x14ac:dyDescent="0.2">
      <c r="C13519" s="209"/>
      <c r="D13519" s="209"/>
      <c r="E13519" s="209"/>
      <c r="J13519" s="124"/>
    </row>
    <row r="13520" spans="3:10" x14ac:dyDescent="0.2">
      <c r="C13520" s="209"/>
      <c r="D13520" s="209"/>
      <c r="E13520" s="209"/>
      <c r="J13520" s="124"/>
    </row>
    <row r="13521" spans="3:10" x14ac:dyDescent="0.2">
      <c r="C13521" s="209"/>
      <c r="D13521" s="209"/>
      <c r="E13521" s="209"/>
      <c r="J13521" s="124"/>
    </row>
    <row r="13522" spans="3:10" x14ac:dyDescent="0.2">
      <c r="C13522" s="209"/>
      <c r="D13522" s="209"/>
      <c r="E13522" s="209"/>
      <c r="J13522" s="124"/>
    </row>
    <row r="13523" spans="3:10" x14ac:dyDescent="0.2">
      <c r="C13523" s="209"/>
      <c r="D13523" s="209"/>
      <c r="E13523" s="209"/>
      <c r="J13523" s="124"/>
    </row>
    <row r="13524" spans="3:10" x14ac:dyDescent="0.2">
      <c r="C13524" s="209"/>
      <c r="D13524" s="209"/>
      <c r="E13524" s="209"/>
      <c r="J13524" s="124"/>
    </row>
    <row r="13525" spans="3:10" x14ac:dyDescent="0.2">
      <c r="C13525" s="209"/>
      <c r="D13525" s="209"/>
      <c r="E13525" s="209"/>
      <c r="J13525" s="124"/>
    </row>
    <row r="13526" spans="3:10" x14ac:dyDescent="0.2">
      <c r="C13526" s="209"/>
      <c r="D13526" s="209"/>
      <c r="E13526" s="209"/>
      <c r="J13526" s="124"/>
    </row>
    <row r="13527" spans="3:10" x14ac:dyDescent="0.2">
      <c r="C13527" s="209"/>
      <c r="D13527" s="209"/>
      <c r="E13527" s="209"/>
      <c r="J13527" s="124"/>
    </row>
    <row r="13528" spans="3:10" x14ac:dyDescent="0.2">
      <c r="C13528" s="209"/>
      <c r="D13528" s="209"/>
      <c r="E13528" s="209"/>
      <c r="J13528" s="124"/>
    </row>
    <row r="13529" spans="3:10" x14ac:dyDescent="0.2">
      <c r="C13529" s="209"/>
      <c r="D13529" s="209"/>
      <c r="E13529" s="209"/>
      <c r="J13529" s="124"/>
    </row>
    <row r="13530" spans="3:10" x14ac:dyDescent="0.2">
      <c r="C13530" s="209"/>
      <c r="D13530" s="209"/>
      <c r="E13530" s="209"/>
      <c r="J13530" s="124"/>
    </row>
    <row r="13531" spans="3:10" x14ac:dyDescent="0.2">
      <c r="C13531" s="209"/>
      <c r="D13531" s="209"/>
      <c r="E13531" s="209"/>
      <c r="J13531" s="124"/>
    </row>
    <row r="13532" spans="3:10" x14ac:dyDescent="0.2">
      <c r="C13532" s="209"/>
      <c r="D13532" s="209"/>
      <c r="E13532" s="209"/>
      <c r="J13532" s="124"/>
    </row>
    <row r="13533" spans="3:10" x14ac:dyDescent="0.2">
      <c r="C13533" s="209"/>
      <c r="D13533" s="209"/>
      <c r="E13533" s="209"/>
      <c r="J13533" s="124"/>
    </row>
    <row r="13534" spans="3:10" x14ac:dyDescent="0.2">
      <c r="C13534" s="209"/>
      <c r="D13534" s="209"/>
      <c r="E13534" s="209"/>
      <c r="J13534" s="124"/>
    </row>
    <row r="13535" spans="3:10" x14ac:dyDescent="0.2">
      <c r="C13535" s="209"/>
      <c r="D13535" s="209"/>
      <c r="E13535" s="209"/>
      <c r="J13535" s="124"/>
    </row>
    <row r="13536" spans="3:10" x14ac:dyDescent="0.2">
      <c r="C13536" s="209"/>
      <c r="D13536" s="209"/>
      <c r="E13536" s="209"/>
      <c r="J13536" s="124"/>
    </row>
    <row r="13537" spans="3:10" x14ac:dyDescent="0.2">
      <c r="C13537" s="209"/>
      <c r="D13537" s="209"/>
      <c r="E13537" s="209"/>
      <c r="J13537" s="124"/>
    </row>
    <row r="13538" spans="3:10" x14ac:dyDescent="0.2">
      <c r="C13538" s="209"/>
      <c r="D13538" s="209"/>
      <c r="E13538" s="209"/>
      <c r="J13538" s="124"/>
    </row>
    <row r="13539" spans="3:10" x14ac:dyDescent="0.2">
      <c r="C13539" s="209"/>
      <c r="D13539" s="209"/>
      <c r="E13539" s="209"/>
      <c r="J13539" s="124"/>
    </row>
    <row r="13540" spans="3:10" x14ac:dyDescent="0.2">
      <c r="C13540" s="209"/>
      <c r="D13540" s="209"/>
      <c r="E13540" s="209"/>
      <c r="J13540" s="124"/>
    </row>
    <row r="13541" spans="3:10" x14ac:dyDescent="0.2">
      <c r="C13541" s="209"/>
      <c r="D13541" s="209"/>
      <c r="E13541" s="209"/>
      <c r="J13541" s="124"/>
    </row>
    <row r="13542" spans="3:10" x14ac:dyDescent="0.2">
      <c r="C13542" s="209"/>
      <c r="D13542" s="209"/>
      <c r="E13542" s="209"/>
      <c r="J13542" s="124"/>
    </row>
    <row r="13543" spans="3:10" x14ac:dyDescent="0.2">
      <c r="C13543" s="209"/>
      <c r="D13543" s="209"/>
      <c r="E13543" s="209"/>
      <c r="J13543" s="124"/>
    </row>
    <row r="13544" spans="3:10" x14ac:dyDescent="0.2">
      <c r="C13544" s="209"/>
      <c r="D13544" s="209"/>
      <c r="E13544" s="209"/>
      <c r="J13544" s="124"/>
    </row>
    <row r="13545" spans="3:10" x14ac:dyDescent="0.2">
      <c r="C13545" s="209"/>
      <c r="D13545" s="209"/>
      <c r="E13545" s="209"/>
      <c r="J13545" s="124"/>
    </row>
    <row r="13546" spans="3:10" x14ac:dyDescent="0.2">
      <c r="C13546" s="209"/>
      <c r="D13546" s="209"/>
      <c r="E13546" s="209"/>
      <c r="J13546" s="124"/>
    </row>
    <row r="13547" spans="3:10" x14ac:dyDescent="0.2">
      <c r="C13547" s="209"/>
      <c r="D13547" s="209"/>
      <c r="E13547" s="209"/>
      <c r="J13547" s="124"/>
    </row>
    <row r="13548" spans="3:10" x14ac:dyDescent="0.2">
      <c r="C13548" s="209"/>
      <c r="D13548" s="209"/>
      <c r="E13548" s="209"/>
      <c r="J13548" s="124"/>
    </row>
    <row r="13549" spans="3:10" x14ac:dyDescent="0.2">
      <c r="C13549" s="209"/>
      <c r="D13549" s="209"/>
      <c r="E13549" s="209"/>
      <c r="J13549" s="124"/>
    </row>
    <row r="13550" spans="3:10" x14ac:dyDescent="0.2">
      <c r="C13550" s="209"/>
      <c r="D13550" s="209"/>
      <c r="E13550" s="209"/>
      <c r="J13550" s="124"/>
    </row>
    <row r="13551" spans="3:10" x14ac:dyDescent="0.2">
      <c r="C13551" s="209"/>
      <c r="D13551" s="209"/>
      <c r="E13551" s="209"/>
      <c r="J13551" s="124"/>
    </row>
    <row r="13552" spans="3:10" x14ac:dyDescent="0.2">
      <c r="C13552" s="209"/>
      <c r="D13552" s="209"/>
      <c r="E13552" s="209"/>
      <c r="J13552" s="124"/>
    </row>
    <row r="13553" spans="3:10" x14ac:dyDescent="0.2">
      <c r="C13553" s="209"/>
      <c r="D13553" s="209"/>
      <c r="E13553" s="209"/>
      <c r="J13553" s="124"/>
    </row>
    <row r="13554" spans="3:10" x14ac:dyDescent="0.2">
      <c r="C13554" s="209"/>
      <c r="D13554" s="209"/>
      <c r="E13554" s="209"/>
      <c r="J13554" s="124"/>
    </row>
    <row r="13555" spans="3:10" x14ac:dyDescent="0.2">
      <c r="C13555" s="209"/>
      <c r="D13555" s="209"/>
      <c r="E13555" s="209"/>
      <c r="J13555" s="124"/>
    </row>
    <row r="13556" spans="3:10" x14ac:dyDescent="0.2">
      <c r="C13556" s="209"/>
      <c r="D13556" s="209"/>
      <c r="E13556" s="209"/>
      <c r="J13556" s="124"/>
    </row>
    <row r="13557" spans="3:10" x14ac:dyDescent="0.2">
      <c r="C13557" s="209"/>
      <c r="D13557" s="209"/>
      <c r="E13557" s="209"/>
      <c r="J13557" s="124"/>
    </row>
    <row r="13558" spans="3:10" x14ac:dyDescent="0.2">
      <c r="C13558" s="209"/>
      <c r="D13558" s="209"/>
      <c r="E13558" s="209"/>
      <c r="J13558" s="124"/>
    </row>
    <row r="13559" spans="3:10" x14ac:dyDescent="0.2">
      <c r="C13559" s="209"/>
      <c r="D13559" s="209"/>
      <c r="E13559" s="209"/>
      <c r="J13559" s="124"/>
    </row>
    <row r="13560" spans="3:10" x14ac:dyDescent="0.2">
      <c r="C13560" s="209"/>
      <c r="D13560" s="209"/>
      <c r="E13560" s="209"/>
      <c r="J13560" s="124"/>
    </row>
    <row r="13561" spans="3:10" x14ac:dyDescent="0.2">
      <c r="C13561" s="209"/>
      <c r="D13561" s="209"/>
      <c r="E13561" s="209"/>
      <c r="J13561" s="124"/>
    </row>
    <row r="13562" spans="3:10" x14ac:dyDescent="0.2">
      <c r="C13562" s="209"/>
      <c r="D13562" s="209"/>
      <c r="E13562" s="209"/>
      <c r="J13562" s="124"/>
    </row>
    <row r="13563" spans="3:10" x14ac:dyDescent="0.2">
      <c r="C13563" s="209"/>
      <c r="D13563" s="209"/>
      <c r="E13563" s="209"/>
      <c r="J13563" s="124"/>
    </row>
    <row r="13564" spans="3:10" x14ac:dyDescent="0.2">
      <c r="C13564" s="209"/>
      <c r="D13564" s="209"/>
      <c r="E13564" s="209"/>
      <c r="J13564" s="124"/>
    </row>
    <row r="13565" spans="3:10" x14ac:dyDescent="0.2">
      <c r="C13565" s="209"/>
      <c r="D13565" s="209"/>
      <c r="E13565" s="209"/>
      <c r="J13565" s="124"/>
    </row>
    <row r="13566" spans="3:10" x14ac:dyDescent="0.2">
      <c r="C13566" s="209"/>
      <c r="D13566" s="209"/>
      <c r="E13566" s="209"/>
      <c r="J13566" s="124"/>
    </row>
    <row r="13567" spans="3:10" x14ac:dyDescent="0.2">
      <c r="C13567" s="209"/>
      <c r="D13567" s="209"/>
      <c r="E13567" s="209"/>
      <c r="J13567" s="124"/>
    </row>
    <row r="13568" spans="3:10" x14ac:dyDescent="0.2">
      <c r="C13568" s="209"/>
      <c r="D13568" s="209"/>
      <c r="E13568" s="209"/>
      <c r="J13568" s="124"/>
    </row>
    <row r="13569" spans="3:10" x14ac:dyDescent="0.2">
      <c r="C13569" s="209"/>
      <c r="D13569" s="209"/>
      <c r="E13569" s="209"/>
      <c r="J13569" s="124"/>
    </row>
    <row r="13570" spans="3:10" x14ac:dyDescent="0.2">
      <c r="C13570" s="209"/>
      <c r="D13570" s="209"/>
      <c r="E13570" s="209"/>
      <c r="J13570" s="124"/>
    </row>
    <row r="13571" spans="3:10" x14ac:dyDescent="0.2">
      <c r="C13571" s="209"/>
      <c r="D13571" s="209"/>
      <c r="E13571" s="209"/>
      <c r="J13571" s="124"/>
    </row>
    <row r="13572" spans="3:10" x14ac:dyDescent="0.2">
      <c r="C13572" s="209"/>
      <c r="D13572" s="209"/>
      <c r="E13572" s="209"/>
      <c r="J13572" s="124"/>
    </row>
    <row r="13573" spans="3:10" x14ac:dyDescent="0.2">
      <c r="C13573" s="209"/>
      <c r="D13573" s="209"/>
      <c r="E13573" s="209"/>
      <c r="J13573" s="124"/>
    </row>
    <row r="13574" spans="3:10" x14ac:dyDescent="0.2">
      <c r="C13574" s="209"/>
      <c r="D13574" s="209"/>
      <c r="E13574" s="209"/>
      <c r="J13574" s="124"/>
    </row>
    <row r="13575" spans="3:10" x14ac:dyDescent="0.2">
      <c r="C13575" s="209"/>
      <c r="D13575" s="209"/>
      <c r="E13575" s="209"/>
      <c r="J13575" s="124"/>
    </row>
    <row r="13576" spans="3:10" x14ac:dyDescent="0.2">
      <c r="C13576" s="209"/>
      <c r="D13576" s="209"/>
      <c r="E13576" s="209"/>
      <c r="J13576" s="124"/>
    </row>
    <row r="13577" spans="3:10" x14ac:dyDescent="0.2">
      <c r="C13577" s="209"/>
      <c r="D13577" s="209"/>
      <c r="E13577" s="209"/>
      <c r="J13577" s="124"/>
    </row>
    <row r="13578" spans="3:10" x14ac:dyDescent="0.2">
      <c r="C13578" s="209"/>
      <c r="D13578" s="209"/>
      <c r="E13578" s="209"/>
      <c r="J13578" s="124"/>
    </row>
    <row r="13579" spans="3:10" x14ac:dyDescent="0.2">
      <c r="C13579" s="209"/>
      <c r="D13579" s="209"/>
      <c r="E13579" s="209"/>
      <c r="J13579" s="124"/>
    </row>
    <row r="13580" spans="3:10" x14ac:dyDescent="0.2">
      <c r="C13580" s="209"/>
      <c r="D13580" s="209"/>
      <c r="E13580" s="209"/>
      <c r="J13580" s="124"/>
    </row>
    <row r="13581" spans="3:10" x14ac:dyDescent="0.2">
      <c r="C13581" s="209"/>
      <c r="D13581" s="209"/>
      <c r="E13581" s="209"/>
      <c r="J13581" s="124"/>
    </row>
    <row r="13582" spans="3:10" x14ac:dyDescent="0.2">
      <c r="C13582" s="209"/>
      <c r="D13582" s="209"/>
      <c r="E13582" s="209"/>
      <c r="J13582" s="124"/>
    </row>
    <row r="13583" spans="3:10" x14ac:dyDescent="0.2">
      <c r="C13583" s="209"/>
      <c r="D13583" s="209"/>
      <c r="E13583" s="209"/>
      <c r="J13583" s="124"/>
    </row>
    <row r="13584" spans="3:10" x14ac:dyDescent="0.2">
      <c r="C13584" s="209"/>
      <c r="D13584" s="209"/>
      <c r="E13584" s="209"/>
      <c r="J13584" s="124"/>
    </row>
    <row r="13585" spans="3:10" x14ac:dyDescent="0.2">
      <c r="C13585" s="209"/>
      <c r="D13585" s="209"/>
      <c r="E13585" s="209"/>
      <c r="J13585" s="124"/>
    </row>
    <row r="13586" spans="3:10" x14ac:dyDescent="0.2">
      <c r="C13586" s="209"/>
      <c r="D13586" s="209"/>
      <c r="E13586" s="209"/>
      <c r="J13586" s="124"/>
    </row>
    <row r="13587" spans="3:10" x14ac:dyDescent="0.2">
      <c r="C13587" s="209"/>
      <c r="D13587" s="209"/>
      <c r="E13587" s="209"/>
      <c r="J13587" s="124"/>
    </row>
    <row r="13588" spans="3:10" x14ac:dyDescent="0.2">
      <c r="C13588" s="209"/>
      <c r="D13588" s="209"/>
      <c r="E13588" s="209"/>
      <c r="J13588" s="124"/>
    </row>
    <row r="13589" spans="3:10" x14ac:dyDescent="0.2">
      <c r="C13589" s="209"/>
      <c r="D13589" s="209"/>
      <c r="E13589" s="209"/>
      <c r="J13589" s="124"/>
    </row>
    <row r="13590" spans="3:10" x14ac:dyDescent="0.2">
      <c r="C13590" s="209"/>
      <c r="D13590" s="209"/>
      <c r="E13590" s="209"/>
      <c r="J13590" s="124"/>
    </row>
    <row r="13591" spans="3:10" x14ac:dyDescent="0.2">
      <c r="C13591" s="209"/>
      <c r="D13591" s="209"/>
      <c r="E13591" s="209"/>
      <c r="J13591" s="124"/>
    </row>
    <row r="13592" spans="3:10" x14ac:dyDescent="0.2">
      <c r="C13592" s="209"/>
      <c r="D13592" s="209"/>
      <c r="E13592" s="209"/>
      <c r="J13592" s="124"/>
    </row>
    <row r="13593" spans="3:10" x14ac:dyDescent="0.2">
      <c r="C13593" s="209"/>
      <c r="D13593" s="209"/>
      <c r="E13593" s="209"/>
      <c r="J13593" s="124"/>
    </row>
    <row r="13594" spans="3:10" x14ac:dyDescent="0.2">
      <c r="C13594" s="209"/>
      <c r="D13594" s="209"/>
      <c r="E13594" s="209"/>
      <c r="J13594" s="124"/>
    </row>
    <row r="13595" spans="3:10" x14ac:dyDescent="0.2">
      <c r="C13595" s="209"/>
      <c r="D13595" s="209"/>
      <c r="E13595" s="209"/>
      <c r="J13595" s="124"/>
    </row>
    <row r="13596" spans="3:10" x14ac:dyDescent="0.2">
      <c r="C13596" s="209"/>
      <c r="D13596" s="209"/>
      <c r="E13596" s="209"/>
      <c r="J13596" s="124"/>
    </row>
    <row r="13597" spans="3:10" x14ac:dyDescent="0.2">
      <c r="C13597" s="209"/>
      <c r="D13597" s="209"/>
      <c r="E13597" s="209"/>
      <c r="J13597" s="124"/>
    </row>
    <row r="13598" spans="3:10" x14ac:dyDescent="0.2">
      <c r="C13598" s="209"/>
      <c r="D13598" s="209"/>
      <c r="E13598" s="209"/>
      <c r="J13598" s="124"/>
    </row>
    <row r="13599" spans="3:10" x14ac:dyDescent="0.2">
      <c r="C13599" s="209"/>
      <c r="D13599" s="209"/>
      <c r="E13599" s="209"/>
      <c r="J13599" s="124"/>
    </row>
    <row r="13600" spans="3:10" x14ac:dyDescent="0.2">
      <c r="C13600" s="209"/>
      <c r="D13600" s="209"/>
      <c r="E13600" s="209"/>
      <c r="J13600" s="124"/>
    </row>
    <row r="13601" spans="3:10" x14ac:dyDescent="0.2">
      <c r="C13601" s="209"/>
      <c r="D13601" s="209"/>
      <c r="E13601" s="209"/>
      <c r="J13601" s="124"/>
    </row>
    <row r="13602" spans="3:10" x14ac:dyDescent="0.2">
      <c r="C13602" s="209"/>
      <c r="D13602" s="209"/>
      <c r="E13602" s="209"/>
      <c r="J13602" s="124"/>
    </row>
    <row r="13603" spans="3:10" x14ac:dyDescent="0.2">
      <c r="C13603" s="209"/>
      <c r="D13603" s="209"/>
      <c r="E13603" s="209"/>
      <c r="J13603" s="124"/>
    </row>
    <row r="13604" spans="3:10" x14ac:dyDescent="0.2">
      <c r="C13604" s="209"/>
      <c r="D13604" s="209"/>
      <c r="E13604" s="209"/>
      <c r="J13604" s="124"/>
    </row>
    <row r="13605" spans="3:10" x14ac:dyDescent="0.2">
      <c r="C13605" s="209"/>
      <c r="D13605" s="209"/>
      <c r="E13605" s="209"/>
      <c r="J13605" s="124"/>
    </row>
    <row r="13606" spans="3:10" x14ac:dyDescent="0.2">
      <c r="C13606" s="209"/>
      <c r="D13606" s="209"/>
      <c r="E13606" s="209"/>
      <c r="J13606" s="124"/>
    </row>
    <row r="13607" spans="3:10" x14ac:dyDescent="0.2">
      <c r="C13607" s="209"/>
      <c r="D13607" s="209"/>
      <c r="E13607" s="209"/>
      <c r="J13607" s="124"/>
    </row>
    <row r="13608" spans="3:10" x14ac:dyDescent="0.2">
      <c r="C13608" s="209"/>
      <c r="D13608" s="209"/>
      <c r="E13608" s="209"/>
      <c r="J13608" s="124"/>
    </row>
    <row r="13609" spans="3:10" x14ac:dyDescent="0.2">
      <c r="C13609" s="209"/>
      <c r="D13609" s="209"/>
      <c r="E13609" s="209"/>
      <c r="J13609" s="124"/>
    </row>
    <row r="13610" spans="3:10" x14ac:dyDescent="0.2">
      <c r="C13610" s="209"/>
      <c r="D13610" s="209"/>
      <c r="E13610" s="209"/>
      <c r="J13610" s="124"/>
    </row>
    <row r="13611" spans="3:10" x14ac:dyDescent="0.2">
      <c r="C13611" s="209"/>
      <c r="D13611" s="209"/>
      <c r="E13611" s="209"/>
      <c r="J13611" s="124"/>
    </row>
    <row r="13612" spans="3:10" x14ac:dyDescent="0.2">
      <c r="C13612" s="209"/>
      <c r="D13612" s="209"/>
      <c r="E13612" s="209"/>
      <c r="J13612" s="124"/>
    </row>
    <row r="13613" spans="3:10" x14ac:dyDescent="0.2">
      <c r="C13613" s="209"/>
      <c r="D13613" s="209"/>
      <c r="E13613" s="209"/>
      <c r="J13613" s="124"/>
    </row>
    <row r="13614" spans="3:10" x14ac:dyDescent="0.2">
      <c r="C13614" s="209"/>
      <c r="D13614" s="209"/>
      <c r="E13614" s="209"/>
      <c r="J13614" s="124"/>
    </row>
    <row r="13615" spans="3:10" x14ac:dyDescent="0.2">
      <c r="C13615" s="209"/>
      <c r="D13615" s="209"/>
      <c r="E13615" s="209"/>
      <c r="J13615" s="124"/>
    </row>
    <row r="13616" spans="3:10" x14ac:dyDescent="0.2">
      <c r="C13616" s="209"/>
      <c r="D13616" s="209"/>
      <c r="E13616" s="209"/>
      <c r="J13616" s="124"/>
    </row>
    <row r="13617" spans="3:10" x14ac:dyDescent="0.2">
      <c r="C13617" s="209"/>
      <c r="D13617" s="209"/>
      <c r="E13617" s="209"/>
      <c r="J13617" s="124"/>
    </row>
    <row r="13618" spans="3:10" x14ac:dyDescent="0.2">
      <c r="C13618" s="209"/>
      <c r="D13618" s="209"/>
      <c r="E13618" s="209"/>
      <c r="J13618" s="124"/>
    </row>
    <row r="13619" spans="3:10" x14ac:dyDescent="0.2">
      <c r="C13619" s="209"/>
      <c r="D13619" s="209"/>
      <c r="E13619" s="209"/>
      <c r="J13619" s="124"/>
    </row>
    <row r="13620" spans="3:10" x14ac:dyDescent="0.2">
      <c r="C13620" s="209"/>
      <c r="D13620" s="209"/>
      <c r="E13620" s="209"/>
      <c r="J13620" s="124"/>
    </row>
    <row r="13621" spans="3:10" x14ac:dyDescent="0.2">
      <c r="C13621" s="209"/>
      <c r="D13621" s="209"/>
      <c r="E13621" s="209"/>
      <c r="J13621" s="124"/>
    </row>
    <row r="13622" spans="3:10" x14ac:dyDescent="0.2">
      <c r="C13622" s="209"/>
      <c r="D13622" s="209"/>
      <c r="E13622" s="209"/>
      <c r="J13622" s="124"/>
    </row>
    <row r="13623" spans="3:10" x14ac:dyDescent="0.2">
      <c r="C13623" s="209"/>
      <c r="D13623" s="209"/>
      <c r="E13623" s="209"/>
      <c r="J13623" s="124"/>
    </row>
    <row r="13624" spans="3:10" x14ac:dyDescent="0.2">
      <c r="C13624" s="209"/>
      <c r="D13624" s="209"/>
      <c r="E13624" s="209"/>
      <c r="J13624" s="124"/>
    </row>
    <row r="13625" spans="3:10" x14ac:dyDescent="0.2">
      <c r="C13625" s="209"/>
      <c r="D13625" s="209"/>
      <c r="E13625" s="209"/>
      <c r="J13625" s="124"/>
    </row>
    <row r="13626" spans="3:10" x14ac:dyDescent="0.2">
      <c r="C13626" s="209"/>
      <c r="D13626" s="209"/>
      <c r="E13626" s="209"/>
      <c r="J13626" s="124"/>
    </row>
    <row r="13627" spans="3:10" x14ac:dyDescent="0.2">
      <c r="C13627" s="209"/>
      <c r="D13627" s="209"/>
      <c r="E13627" s="209"/>
      <c r="J13627" s="124"/>
    </row>
    <row r="13628" spans="3:10" x14ac:dyDescent="0.2">
      <c r="C13628" s="209"/>
      <c r="D13628" s="209"/>
      <c r="E13628" s="209"/>
      <c r="J13628" s="124"/>
    </row>
    <row r="13629" spans="3:10" x14ac:dyDescent="0.2">
      <c r="C13629" s="209"/>
      <c r="D13629" s="209"/>
      <c r="E13629" s="209"/>
      <c r="J13629" s="124"/>
    </row>
    <row r="13630" spans="3:10" x14ac:dyDescent="0.2">
      <c r="C13630" s="209"/>
      <c r="D13630" s="209"/>
      <c r="E13630" s="209"/>
      <c r="J13630" s="124"/>
    </row>
    <row r="13631" spans="3:10" x14ac:dyDescent="0.2">
      <c r="C13631" s="209"/>
      <c r="D13631" s="209"/>
      <c r="E13631" s="209"/>
      <c r="J13631" s="124"/>
    </row>
    <row r="13632" spans="3:10" x14ac:dyDescent="0.2">
      <c r="C13632" s="209"/>
      <c r="D13632" s="209"/>
      <c r="E13632" s="209"/>
      <c r="J13632" s="124"/>
    </row>
    <row r="13633" spans="3:10" x14ac:dyDescent="0.2">
      <c r="C13633" s="209"/>
      <c r="D13633" s="209"/>
      <c r="E13633" s="209"/>
      <c r="J13633" s="124"/>
    </row>
    <row r="13634" spans="3:10" x14ac:dyDescent="0.2">
      <c r="C13634" s="209"/>
      <c r="D13634" s="209"/>
      <c r="E13634" s="209"/>
      <c r="J13634" s="124"/>
    </row>
    <row r="13635" spans="3:10" x14ac:dyDescent="0.2">
      <c r="C13635" s="209"/>
      <c r="D13635" s="209"/>
      <c r="E13635" s="209"/>
      <c r="J13635" s="124"/>
    </row>
    <row r="13636" spans="3:10" x14ac:dyDescent="0.2">
      <c r="C13636" s="209"/>
      <c r="D13636" s="209"/>
      <c r="E13636" s="209"/>
      <c r="J13636" s="124"/>
    </row>
    <row r="13637" spans="3:10" x14ac:dyDescent="0.2">
      <c r="C13637" s="209"/>
      <c r="D13637" s="209"/>
      <c r="E13637" s="209"/>
      <c r="J13637" s="124"/>
    </row>
    <row r="13638" spans="3:10" x14ac:dyDescent="0.2">
      <c r="C13638" s="209"/>
      <c r="D13638" s="209"/>
      <c r="E13638" s="209"/>
      <c r="J13638" s="124"/>
    </row>
    <row r="13639" spans="3:10" x14ac:dyDescent="0.2">
      <c r="C13639" s="209"/>
      <c r="D13639" s="209"/>
      <c r="E13639" s="209"/>
      <c r="J13639" s="124"/>
    </row>
    <row r="13640" spans="3:10" x14ac:dyDescent="0.2">
      <c r="C13640" s="209"/>
      <c r="D13640" s="209"/>
      <c r="E13640" s="209"/>
      <c r="J13640" s="124"/>
    </row>
    <row r="13641" spans="3:10" x14ac:dyDescent="0.2">
      <c r="C13641" s="209"/>
      <c r="D13641" s="209"/>
      <c r="E13641" s="209"/>
      <c r="J13641" s="124"/>
    </row>
    <row r="13642" spans="3:10" x14ac:dyDescent="0.2">
      <c r="C13642" s="209"/>
      <c r="D13642" s="209"/>
      <c r="E13642" s="209"/>
      <c r="J13642" s="124"/>
    </row>
    <row r="13643" spans="3:10" x14ac:dyDescent="0.2">
      <c r="C13643" s="209"/>
      <c r="D13643" s="209"/>
      <c r="E13643" s="209"/>
      <c r="J13643" s="124"/>
    </row>
    <row r="13644" spans="3:10" x14ac:dyDescent="0.2">
      <c r="C13644" s="209"/>
      <c r="D13644" s="209"/>
      <c r="E13644" s="209"/>
      <c r="J13644" s="124"/>
    </row>
    <row r="13645" spans="3:10" x14ac:dyDescent="0.2">
      <c r="C13645" s="209"/>
      <c r="D13645" s="209"/>
      <c r="E13645" s="209"/>
      <c r="J13645" s="124"/>
    </row>
    <row r="13646" spans="3:10" x14ac:dyDescent="0.2">
      <c r="C13646" s="209"/>
      <c r="D13646" s="209"/>
      <c r="E13646" s="209"/>
      <c r="J13646" s="124"/>
    </row>
    <row r="13647" spans="3:10" x14ac:dyDescent="0.2">
      <c r="C13647" s="209"/>
      <c r="D13647" s="209"/>
      <c r="E13647" s="209"/>
      <c r="J13647" s="124"/>
    </row>
    <row r="13648" spans="3:10" x14ac:dyDescent="0.2">
      <c r="C13648" s="209"/>
      <c r="D13648" s="209"/>
      <c r="E13648" s="209"/>
      <c r="J13648" s="124"/>
    </row>
    <row r="13649" spans="3:10" x14ac:dyDescent="0.2">
      <c r="C13649" s="209"/>
      <c r="D13649" s="209"/>
      <c r="E13649" s="209"/>
      <c r="J13649" s="124"/>
    </row>
    <row r="13650" spans="3:10" x14ac:dyDescent="0.2">
      <c r="C13650" s="209"/>
      <c r="D13650" s="209"/>
      <c r="E13650" s="209"/>
      <c r="J13650" s="124"/>
    </row>
    <row r="13651" spans="3:10" x14ac:dyDescent="0.2">
      <c r="C13651" s="209"/>
      <c r="D13651" s="209"/>
      <c r="E13651" s="209"/>
      <c r="J13651" s="124"/>
    </row>
    <row r="13652" spans="3:10" x14ac:dyDescent="0.2">
      <c r="C13652" s="209"/>
      <c r="D13652" s="209"/>
      <c r="E13652" s="209"/>
      <c r="J13652" s="124"/>
    </row>
    <row r="13653" spans="3:10" x14ac:dyDescent="0.2">
      <c r="C13653" s="209"/>
      <c r="D13653" s="209"/>
      <c r="E13653" s="209"/>
      <c r="J13653" s="124"/>
    </row>
    <row r="13654" spans="3:10" x14ac:dyDescent="0.2">
      <c r="C13654" s="209"/>
      <c r="D13654" s="209"/>
      <c r="E13654" s="209"/>
      <c r="J13654" s="124"/>
    </row>
    <row r="13655" spans="3:10" x14ac:dyDescent="0.2">
      <c r="C13655" s="209"/>
      <c r="D13655" s="209"/>
      <c r="E13655" s="209"/>
      <c r="J13655" s="124"/>
    </row>
    <row r="13656" spans="3:10" x14ac:dyDescent="0.2">
      <c r="C13656" s="209"/>
      <c r="D13656" s="209"/>
      <c r="E13656" s="209"/>
      <c r="J13656" s="124"/>
    </row>
    <row r="13657" spans="3:10" x14ac:dyDescent="0.2">
      <c r="C13657" s="209"/>
      <c r="D13657" s="209"/>
      <c r="E13657" s="209"/>
      <c r="J13657" s="124"/>
    </row>
    <row r="13658" spans="3:10" x14ac:dyDescent="0.2">
      <c r="C13658" s="209"/>
      <c r="D13658" s="209"/>
      <c r="E13658" s="209"/>
      <c r="J13658" s="124"/>
    </row>
    <row r="13659" spans="3:10" x14ac:dyDescent="0.2">
      <c r="C13659" s="209"/>
      <c r="D13659" s="209"/>
      <c r="E13659" s="209"/>
      <c r="J13659" s="124"/>
    </row>
    <row r="13660" spans="3:10" x14ac:dyDescent="0.2">
      <c r="C13660" s="209"/>
      <c r="D13660" s="209"/>
      <c r="E13660" s="209"/>
      <c r="J13660" s="124"/>
    </row>
    <row r="13661" spans="3:10" x14ac:dyDescent="0.2">
      <c r="C13661" s="209"/>
      <c r="D13661" s="209"/>
      <c r="E13661" s="209"/>
      <c r="J13661" s="124"/>
    </row>
    <row r="13662" spans="3:10" x14ac:dyDescent="0.2">
      <c r="C13662" s="209"/>
      <c r="D13662" s="209"/>
      <c r="E13662" s="209"/>
      <c r="J13662" s="124"/>
    </row>
    <row r="13663" spans="3:10" x14ac:dyDescent="0.2">
      <c r="C13663" s="209"/>
      <c r="D13663" s="209"/>
      <c r="E13663" s="209"/>
      <c r="J13663" s="124"/>
    </row>
    <row r="13664" spans="3:10" x14ac:dyDescent="0.2">
      <c r="C13664" s="209"/>
      <c r="D13664" s="209"/>
      <c r="E13664" s="209"/>
      <c r="J13664" s="124"/>
    </row>
    <row r="13665" spans="3:10" x14ac:dyDescent="0.2">
      <c r="C13665" s="209"/>
      <c r="D13665" s="209"/>
      <c r="E13665" s="209"/>
      <c r="J13665" s="124"/>
    </row>
    <row r="13666" spans="3:10" x14ac:dyDescent="0.2">
      <c r="C13666" s="209"/>
      <c r="D13666" s="209"/>
      <c r="E13666" s="209"/>
      <c r="J13666" s="124"/>
    </row>
    <row r="13667" spans="3:10" x14ac:dyDescent="0.2">
      <c r="C13667" s="209"/>
      <c r="D13667" s="209"/>
      <c r="E13667" s="209"/>
      <c r="J13667" s="124"/>
    </row>
    <row r="13668" spans="3:10" x14ac:dyDescent="0.2">
      <c r="C13668" s="209"/>
      <c r="D13668" s="209"/>
      <c r="E13668" s="209"/>
      <c r="J13668" s="124"/>
    </row>
    <row r="13669" spans="3:10" x14ac:dyDescent="0.2">
      <c r="C13669" s="209"/>
      <c r="D13669" s="209"/>
      <c r="E13669" s="209"/>
      <c r="J13669" s="124"/>
    </row>
    <row r="13670" spans="3:10" x14ac:dyDescent="0.2">
      <c r="C13670" s="209"/>
      <c r="D13670" s="209"/>
      <c r="E13670" s="209"/>
      <c r="J13670" s="124"/>
    </row>
    <row r="13671" spans="3:10" x14ac:dyDescent="0.2">
      <c r="C13671" s="209"/>
      <c r="D13671" s="209"/>
      <c r="E13671" s="209"/>
      <c r="J13671" s="124"/>
    </row>
    <row r="13672" spans="3:10" x14ac:dyDescent="0.2">
      <c r="C13672" s="209"/>
      <c r="D13672" s="209"/>
      <c r="E13672" s="209"/>
      <c r="J13672" s="124"/>
    </row>
    <row r="13673" spans="3:10" x14ac:dyDescent="0.2">
      <c r="C13673" s="209"/>
      <c r="D13673" s="209"/>
      <c r="E13673" s="209"/>
      <c r="J13673" s="124"/>
    </row>
    <row r="13674" spans="3:10" x14ac:dyDescent="0.2">
      <c r="C13674" s="209"/>
      <c r="D13674" s="209"/>
      <c r="E13674" s="209"/>
      <c r="J13674" s="124"/>
    </row>
    <row r="13675" spans="3:10" x14ac:dyDescent="0.2">
      <c r="C13675" s="209"/>
      <c r="D13675" s="209"/>
      <c r="E13675" s="209"/>
      <c r="J13675" s="124"/>
    </row>
    <row r="13676" spans="3:10" x14ac:dyDescent="0.2">
      <c r="C13676" s="209"/>
      <c r="D13676" s="209"/>
      <c r="E13676" s="209"/>
      <c r="J13676" s="124"/>
    </row>
    <row r="13677" spans="3:10" x14ac:dyDescent="0.2">
      <c r="C13677" s="209"/>
      <c r="D13677" s="209"/>
      <c r="E13677" s="209"/>
      <c r="J13677" s="124"/>
    </row>
    <row r="13678" spans="3:10" x14ac:dyDescent="0.2">
      <c r="C13678" s="209"/>
      <c r="D13678" s="209"/>
      <c r="E13678" s="209"/>
      <c r="J13678" s="124"/>
    </row>
    <row r="13679" spans="3:10" x14ac:dyDescent="0.2">
      <c r="C13679" s="209"/>
      <c r="D13679" s="209"/>
      <c r="E13679" s="209"/>
      <c r="J13679" s="124"/>
    </row>
    <row r="13680" spans="3:10" x14ac:dyDescent="0.2">
      <c r="C13680" s="209"/>
      <c r="D13680" s="209"/>
      <c r="E13680" s="209"/>
      <c r="J13680" s="124"/>
    </row>
    <row r="13681" spans="3:10" x14ac:dyDescent="0.2">
      <c r="C13681" s="209"/>
      <c r="D13681" s="209"/>
      <c r="E13681" s="209"/>
      <c r="J13681" s="124"/>
    </row>
    <row r="13682" spans="3:10" x14ac:dyDescent="0.2">
      <c r="C13682" s="209"/>
      <c r="D13682" s="209"/>
      <c r="E13682" s="209"/>
      <c r="J13682" s="124"/>
    </row>
    <row r="13683" spans="3:10" x14ac:dyDescent="0.2">
      <c r="C13683" s="209"/>
      <c r="D13683" s="209"/>
      <c r="E13683" s="209"/>
      <c r="J13683" s="124"/>
    </row>
    <row r="13684" spans="3:10" x14ac:dyDescent="0.2">
      <c r="C13684" s="209"/>
      <c r="D13684" s="209"/>
      <c r="E13684" s="209"/>
      <c r="J13684" s="124"/>
    </row>
    <row r="13685" spans="3:10" x14ac:dyDescent="0.2">
      <c r="C13685" s="209"/>
      <c r="D13685" s="209"/>
      <c r="E13685" s="209"/>
      <c r="J13685" s="124"/>
    </row>
    <row r="13686" spans="3:10" x14ac:dyDescent="0.2">
      <c r="C13686" s="209"/>
      <c r="D13686" s="209"/>
      <c r="E13686" s="209"/>
      <c r="J13686" s="124"/>
    </row>
    <row r="13687" spans="3:10" x14ac:dyDescent="0.2">
      <c r="C13687" s="209"/>
      <c r="D13687" s="209"/>
      <c r="E13687" s="209"/>
      <c r="J13687" s="124"/>
    </row>
    <row r="13688" spans="3:10" x14ac:dyDescent="0.2">
      <c r="C13688" s="209"/>
      <c r="D13688" s="209"/>
      <c r="E13688" s="209"/>
      <c r="J13688" s="124"/>
    </row>
    <row r="13689" spans="3:10" x14ac:dyDescent="0.2">
      <c r="C13689" s="209"/>
      <c r="D13689" s="209"/>
      <c r="E13689" s="209"/>
      <c r="J13689" s="124"/>
    </row>
    <row r="13690" spans="3:10" x14ac:dyDescent="0.2">
      <c r="C13690" s="209"/>
      <c r="D13690" s="209"/>
      <c r="E13690" s="209"/>
      <c r="J13690" s="124"/>
    </row>
    <row r="13691" spans="3:10" x14ac:dyDescent="0.2">
      <c r="C13691" s="209"/>
      <c r="D13691" s="209"/>
      <c r="E13691" s="209"/>
      <c r="J13691" s="124"/>
    </row>
    <row r="13692" spans="3:10" x14ac:dyDescent="0.2">
      <c r="C13692" s="209"/>
      <c r="D13692" s="209"/>
      <c r="E13692" s="209"/>
      <c r="J13692" s="124"/>
    </row>
    <row r="13693" spans="3:10" x14ac:dyDescent="0.2">
      <c r="C13693" s="209"/>
      <c r="D13693" s="209"/>
      <c r="E13693" s="209"/>
      <c r="J13693" s="124"/>
    </row>
    <row r="13694" spans="3:10" x14ac:dyDescent="0.2">
      <c r="C13694" s="209"/>
      <c r="D13694" s="209"/>
      <c r="E13694" s="209"/>
      <c r="J13694" s="124"/>
    </row>
    <row r="13695" spans="3:10" x14ac:dyDescent="0.2">
      <c r="C13695" s="209"/>
      <c r="D13695" s="209"/>
      <c r="E13695" s="209"/>
      <c r="J13695" s="124"/>
    </row>
    <row r="13696" spans="3:10" x14ac:dyDescent="0.2">
      <c r="C13696" s="209"/>
      <c r="D13696" s="209"/>
      <c r="E13696" s="209"/>
      <c r="J13696" s="124"/>
    </row>
    <row r="13697" spans="3:10" x14ac:dyDescent="0.2">
      <c r="C13697" s="209"/>
      <c r="D13697" s="209"/>
      <c r="E13697" s="209"/>
      <c r="J13697" s="124"/>
    </row>
    <row r="13698" spans="3:10" x14ac:dyDescent="0.2">
      <c r="C13698" s="209"/>
      <c r="D13698" s="209"/>
      <c r="E13698" s="209"/>
      <c r="J13698" s="124"/>
    </row>
    <row r="13699" spans="3:10" x14ac:dyDescent="0.2">
      <c r="C13699" s="209"/>
      <c r="D13699" s="209"/>
      <c r="E13699" s="209"/>
      <c r="J13699" s="124"/>
    </row>
    <row r="13700" spans="3:10" x14ac:dyDescent="0.2">
      <c r="C13700" s="209"/>
      <c r="D13700" s="209"/>
      <c r="E13700" s="209"/>
      <c r="J13700" s="124"/>
    </row>
    <row r="13701" spans="3:10" x14ac:dyDescent="0.2">
      <c r="C13701" s="209"/>
      <c r="D13701" s="209"/>
      <c r="E13701" s="209"/>
      <c r="J13701" s="124"/>
    </row>
    <row r="13702" spans="3:10" x14ac:dyDescent="0.2">
      <c r="C13702" s="209"/>
      <c r="D13702" s="209"/>
      <c r="E13702" s="209"/>
      <c r="J13702" s="124"/>
    </row>
    <row r="13703" spans="3:10" x14ac:dyDescent="0.2">
      <c r="C13703" s="209"/>
      <c r="D13703" s="209"/>
      <c r="E13703" s="209"/>
      <c r="J13703" s="124"/>
    </row>
    <row r="13704" spans="3:10" x14ac:dyDescent="0.2">
      <c r="C13704" s="209"/>
      <c r="D13704" s="209"/>
      <c r="E13704" s="209"/>
      <c r="J13704" s="124"/>
    </row>
    <row r="13705" spans="3:10" x14ac:dyDescent="0.2">
      <c r="C13705" s="209"/>
      <c r="D13705" s="209"/>
      <c r="E13705" s="209"/>
      <c r="J13705" s="124"/>
    </row>
    <row r="13706" spans="3:10" x14ac:dyDescent="0.2">
      <c r="C13706" s="209"/>
      <c r="D13706" s="209"/>
      <c r="E13706" s="209"/>
      <c r="J13706" s="124"/>
    </row>
    <row r="13707" spans="3:10" x14ac:dyDescent="0.2">
      <c r="C13707" s="209"/>
      <c r="D13707" s="209"/>
      <c r="E13707" s="209"/>
      <c r="J13707" s="124"/>
    </row>
    <row r="13708" spans="3:10" x14ac:dyDescent="0.2">
      <c r="C13708" s="209"/>
      <c r="D13708" s="209"/>
      <c r="E13708" s="209"/>
      <c r="J13708" s="124"/>
    </row>
    <row r="13709" spans="3:10" x14ac:dyDescent="0.2">
      <c r="C13709" s="209"/>
      <c r="D13709" s="209"/>
      <c r="E13709" s="209"/>
      <c r="J13709" s="124"/>
    </row>
    <row r="13710" spans="3:10" x14ac:dyDescent="0.2">
      <c r="C13710" s="209"/>
      <c r="D13710" s="209"/>
      <c r="E13710" s="209"/>
      <c r="J13710" s="124"/>
    </row>
    <row r="13711" spans="3:10" x14ac:dyDescent="0.2">
      <c r="C13711" s="209"/>
      <c r="D13711" s="209"/>
      <c r="E13711" s="209"/>
      <c r="J13711" s="124"/>
    </row>
    <row r="13712" spans="3:10" x14ac:dyDescent="0.2">
      <c r="C13712" s="209"/>
      <c r="D13712" s="209"/>
      <c r="E13712" s="209"/>
      <c r="J13712" s="124"/>
    </row>
    <row r="13713" spans="3:10" x14ac:dyDescent="0.2">
      <c r="C13713" s="209"/>
      <c r="D13713" s="209"/>
      <c r="E13713" s="209"/>
      <c r="J13713" s="124"/>
    </row>
    <row r="13714" spans="3:10" x14ac:dyDescent="0.2">
      <c r="C13714" s="209"/>
      <c r="D13714" s="209"/>
      <c r="E13714" s="209"/>
      <c r="J13714" s="124"/>
    </row>
    <row r="13715" spans="3:10" x14ac:dyDescent="0.2">
      <c r="C13715" s="209"/>
      <c r="D13715" s="209"/>
      <c r="E13715" s="209"/>
      <c r="J13715" s="124"/>
    </row>
    <row r="13716" spans="3:10" x14ac:dyDescent="0.2">
      <c r="C13716" s="209"/>
      <c r="D13716" s="209"/>
      <c r="E13716" s="209"/>
      <c r="J13716" s="124"/>
    </row>
    <row r="13717" spans="3:10" x14ac:dyDescent="0.2">
      <c r="C13717" s="209"/>
      <c r="D13717" s="209"/>
      <c r="E13717" s="209"/>
      <c r="J13717" s="124"/>
    </row>
    <row r="13718" spans="3:10" x14ac:dyDescent="0.2">
      <c r="C13718" s="209"/>
      <c r="D13718" s="209"/>
      <c r="E13718" s="209"/>
      <c r="J13718" s="124"/>
    </row>
    <row r="13719" spans="3:10" x14ac:dyDescent="0.2">
      <c r="C13719" s="209"/>
      <c r="D13719" s="209"/>
      <c r="E13719" s="209"/>
      <c r="J13719" s="124"/>
    </row>
    <row r="13720" spans="3:10" x14ac:dyDescent="0.2">
      <c r="C13720" s="209"/>
      <c r="D13720" s="209"/>
      <c r="E13720" s="209"/>
      <c r="J13720" s="124"/>
    </row>
    <row r="13721" spans="3:10" x14ac:dyDescent="0.2">
      <c r="C13721" s="209"/>
      <c r="D13721" s="209"/>
      <c r="E13721" s="209"/>
      <c r="J13721" s="124"/>
    </row>
    <row r="13722" spans="3:10" x14ac:dyDescent="0.2">
      <c r="C13722" s="209"/>
      <c r="D13722" s="209"/>
      <c r="E13722" s="209"/>
      <c r="J13722" s="124"/>
    </row>
    <row r="13723" spans="3:10" x14ac:dyDescent="0.2">
      <c r="C13723" s="209"/>
      <c r="D13723" s="209"/>
      <c r="E13723" s="209"/>
      <c r="J13723" s="124"/>
    </row>
    <row r="13724" spans="3:10" x14ac:dyDescent="0.2">
      <c r="C13724" s="209"/>
      <c r="D13724" s="209"/>
      <c r="E13724" s="209"/>
      <c r="J13724" s="124"/>
    </row>
    <row r="13725" spans="3:10" x14ac:dyDescent="0.2">
      <c r="C13725" s="209"/>
      <c r="D13725" s="209"/>
      <c r="E13725" s="209"/>
      <c r="J13725" s="124"/>
    </row>
    <row r="13726" spans="3:10" x14ac:dyDescent="0.2">
      <c r="C13726" s="209"/>
      <c r="D13726" s="209"/>
      <c r="E13726" s="209"/>
      <c r="J13726" s="124"/>
    </row>
    <row r="13727" spans="3:10" x14ac:dyDescent="0.2">
      <c r="C13727" s="209"/>
      <c r="D13727" s="209"/>
      <c r="E13727" s="209"/>
      <c r="J13727" s="124"/>
    </row>
    <row r="13728" spans="3:10" x14ac:dyDescent="0.2">
      <c r="C13728" s="209"/>
      <c r="D13728" s="209"/>
      <c r="E13728" s="209"/>
      <c r="J13728" s="124"/>
    </row>
    <row r="13729" spans="3:10" x14ac:dyDescent="0.2">
      <c r="C13729" s="209"/>
      <c r="D13729" s="209"/>
      <c r="E13729" s="209"/>
      <c r="J13729" s="124"/>
    </row>
    <row r="13730" spans="3:10" x14ac:dyDescent="0.2">
      <c r="C13730" s="209"/>
      <c r="D13730" s="209"/>
      <c r="E13730" s="209"/>
      <c r="J13730" s="124"/>
    </row>
    <row r="13731" spans="3:10" x14ac:dyDescent="0.2">
      <c r="C13731" s="209"/>
      <c r="D13731" s="209"/>
      <c r="E13731" s="209"/>
      <c r="J13731" s="124"/>
    </row>
    <row r="13732" spans="3:10" x14ac:dyDescent="0.2">
      <c r="C13732" s="209"/>
      <c r="D13732" s="209"/>
      <c r="E13732" s="209"/>
      <c r="J13732" s="124"/>
    </row>
    <row r="13733" spans="3:10" x14ac:dyDescent="0.2">
      <c r="C13733" s="209"/>
      <c r="D13733" s="209"/>
      <c r="E13733" s="209"/>
      <c r="J13733" s="124"/>
    </row>
    <row r="13734" spans="3:10" x14ac:dyDescent="0.2">
      <c r="C13734" s="209"/>
      <c r="D13734" s="209"/>
      <c r="E13734" s="209"/>
      <c r="J13734" s="124"/>
    </row>
    <row r="13735" spans="3:10" x14ac:dyDescent="0.2">
      <c r="C13735" s="209"/>
      <c r="D13735" s="209"/>
      <c r="E13735" s="209"/>
      <c r="J13735" s="124"/>
    </row>
    <row r="13736" spans="3:10" x14ac:dyDescent="0.2">
      <c r="C13736" s="209"/>
      <c r="D13736" s="209"/>
      <c r="E13736" s="209"/>
      <c r="J13736" s="124"/>
    </row>
    <row r="13737" spans="3:10" x14ac:dyDescent="0.2">
      <c r="C13737" s="209"/>
      <c r="D13737" s="209"/>
      <c r="E13737" s="209"/>
      <c r="J13737" s="124"/>
    </row>
    <row r="13738" spans="3:10" x14ac:dyDescent="0.2">
      <c r="C13738" s="209"/>
      <c r="D13738" s="209"/>
      <c r="E13738" s="209"/>
      <c r="J13738" s="124"/>
    </row>
    <row r="13739" spans="3:10" x14ac:dyDescent="0.2">
      <c r="C13739" s="209"/>
      <c r="D13739" s="209"/>
      <c r="E13739" s="209"/>
      <c r="J13739" s="124"/>
    </row>
    <row r="13740" spans="3:10" x14ac:dyDescent="0.2">
      <c r="C13740" s="209"/>
      <c r="D13740" s="209"/>
      <c r="E13740" s="209"/>
      <c r="J13740" s="124"/>
    </row>
    <row r="13741" spans="3:10" x14ac:dyDescent="0.2">
      <c r="C13741" s="209"/>
      <c r="D13741" s="209"/>
      <c r="E13741" s="209"/>
      <c r="J13741" s="124"/>
    </row>
    <row r="13742" spans="3:10" x14ac:dyDescent="0.2">
      <c r="C13742" s="209"/>
      <c r="D13742" s="209"/>
      <c r="E13742" s="209"/>
      <c r="J13742" s="124"/>
    </row>
    <row r="13743" spans="3:10" x14ac:dyDescent="0.2">
      <c r="C13743" s="209"/>
      <c r="D13743" s="209"/>
      <c r="E13743" s="209"/>
      <c r="J13743" s="124"/>
    </row>
    <row r="13744" spans="3:10" x14ac:dyDescent="0.2">
      <c r="C13744" s="209"/>
      <c r="D13744" s="209"/>
      <c r="E13744" s="209"/>
      <c r="J13744" s="124"/>
    </row>
    <row r="13745" spans="3:10" x14ac:dyDescent="0.2">
      <c r="C13745" s="209"/>
      <c r="D13745" s="209"/>
      <c r="E13745" s="209"/>
      <c r="J13745" s="124"/>
    </row>
    <row r="13746" spans="3:10" x14ac:dyDescent="0.2">
      <c r="C13746" s="209"/>
      <c r="D13746" s="209"/>
      <c r="E13746" s="209"/>
      <c r="J13746" s="124"/>
    </row>
    <row r="13747" spans="3:10" x14ac:dyDescent="0.2">
      <c r="C13747" s="209"/>
      <c r="D13747" s="209"/>
      <c r="E13747" s="209"/>
      <c r="J13747" s="124"/>
    </row>
    <row r="13748" spans="3:10" x14ac:dyDescent="0.2">
      <c r="C13748" s="209"/>
      <c r="D13748" s="209"/>
      <c r="E13748" s="209"/>
      <c r="J13748" s="124"/>
    </row>
    <row r="13749" spans="3:10" x14ac:dyDescent="0.2">
      <c r="C13749" s="209"/>
      <c r="D13749" s="209"/>
      <c r="E13749" s="209"/>
      <c r="J13749" s="124"/>
    </row>
    <row r="13750" spans="3:10" x14ac:dyDescent="0.2">
      <c r="C13750" s="209"/>
      <c r="D13750" s="209"/>
      <c r="E13750" s="209"/>
      <c r="J13750" s="124"/>
    </row>
    <row r="13751" spans="3:10" x14ac:dyDescent="0.2">
      <c r="C13751" s="209"/>
      <c r="D13751" s="209"/>
      <c r="E13751" s="209"/>
      <c r="J13751" s="124"/>
    </row>
    <row r="13752" spans="3:10" x14ac:dyDescent="0.2">
      <c r="C13752" s="209"/>
      <c r="D13752" s="209"/>
      <c r="E13752" s="209"/>
      <c r="J13752" s="124"/>
    </row>
    <row r="13753" spans="3:10" x14ac:dyDescent="0.2">
      <c r="C13753" s="209"/>
      <c r="D13753" s="209"/>
      <c r="E13753" s="209"/>
      <c r="J13753" s="124"/>
    </row>
    <row r="13754" spans="3:10" x14ac:dyDescent="0.2">
      <c r="C13754" s="209"/>
      <c r="D13754" s="209"/>
      <c r="E13754" s="209"/>
      <c r="J13754" s="124"/>
    </row>
    <row r="13755" spans="3:10" x14ac:dyDescent="0.2">
      <c r="C13755" s="209"/>
      <c r="D13755" s="209"/>
      <c r="E13755" s="209"/>
      <c r="J13755" s="124"/>
    </row>
    <row r="13756" spans="3:10" x14ac:dyDescent="0.2">
      <c r="C13756" s="209"/>
      <c r="D13756" s="209"/>
      <c r="E13756" s="209"/>
      <c r="J13756" s="124"/>
    </row>
    <row r="13757" spans="3:10" x14ac:dyDescent="0.2">
      <c r="C13757" s="209"/>
      <c r="D13757" s="209"/>
      <c r="E13757" s="209"/>
      <c r="J13757" s="124"/>
    </row>
    <row r="13758" spans="3:10" x14ac:dyDescent="0.2">
      <c r="C13758" s="209"/>
      <c r="D13758" s="209"/>
      <c r="E13758" s="209"/>
      <c r="J13758" s="124"/>
    </row>
    <row r="13759" spans="3:10" x14ac:dyDescent="0.2">
      <c r="C13759" s="209"/>
      <c r="D13759" s="209"/>
      <c r="E13759" s="209"/>
      <c r="J13759" s="124"/>
    </row>
    <row r="13760" spans="3:10" x14ac:dyDescent="0.2">
      <c r="C13760" s="209"/>
      <c r="D13760" s="209"/>
      <c r="E13760" s="209"/>
      <c r="J13760" s="124"/>
    </row>
    <row r="13761" spans="3:10" x14ac:dyDescent="0.2">
      <c r="C13761" s="209"/>
      <c r="D13761" s="209"/>
      <c r="E13761" s="209"/>
      <c r="J13761" s="124"/>
    </row>
    <row r="13762" spans="3:10" x14ac:dyDescent="0.2">
      <c r="C13762" s="209"/>
      <c r="D13762" s="209"/>
      <c r="E13762" s="209"/>
      <c r="J13762" s="124"/>
    </row>
    <row r="13763" spans="3:10" x14ac:dyDescent="0.2">
      <c r="C13763" s="209"/>
      <c r="D13763" s="209"/>
      <c r="E13763" s="209"/>
      <c r="J13763" s="124"/>
    </row>
    <row r="13764" spans="3:10" x14ac:dyDescent="0.2">
      <c r="C13764" s="209"/>
      <c r="D13764" s="209"/>
      <c r="E13764" s="209"/>
      <c r="J13764" s="124"/>
    </row>
    <row r="13765" spans="3:10" x14ac:dyDescent="0.2">
      <c r="C13765" s="209"/>
      <c r="D13765" s="209"/>
      <c r="E13765" s="209"/>
      <c r="J13765" s="124"/>
    </row>
    <row r="13766" spans="3:10" x14ac:dyDescent="0.2">
      <c r="C13766" s="209"/>
      <c r="D13766" s="209"/>
      <c r="E13766" s="209"/>
      <c r="J13766" s="124"/>
    </row>
    <row r="13767" spans="3:10" x14ac:dyDescent="0.2">
      <c r="C13767" s="209"/>
      <c r="D13767" s="209"/>
      <c r="E13767" s="209"/>
      <c r="J13767" s="124"/>
    </row>
    <row r="13768" spans="3:10" x14ac:dyDescent="0.2">
      <c r="C13768" s="209"/>
      <c r="D13768" s="209"/>
      <c r="E13768" s="209"/>
      <c r="J13768" s="124"/>
    </row>
    <row r="13769" spans="3:10" x14ac:dyDescent="0.2">
      <c r="C13769" s="209"/>
      <c r="D13769" s="209"/>
      <c r="E13769" s="209"/>
      <c r="J13769" s="124"/>
    </row>
    <row r="13770" spans="3:10" x14ac:dyDescent="0.2">
      <c r="C13770" s="209"/>
      <c r="D13770" s="209"/>
      <c r="E13770" s="209"/>
      <c r="J13770" s="124"/>
    </row>
    <row r="13771" spans="3:10" x14ac:dyDescent="0.2">
      <c r="C13771" s="209"/>
      <c r="D13771" s="209"/>
      <c r="E13771" s="209"/>
      <c r="J13771" s="124"/>
    </row>
    <row r="13772" spans="3:10" x14ac:dyDescent="0.2">
      <c r="C13772" s="209"/>
      <c r="D13772" s="209"/>
      <c r="E13772" s="209"/>
      <c r="J13772" s="124"/>
    </row>
    <row r="13773" spans="3:10" x14ac:dyDescent="0.2">
      <c r="C13773" s="209"/>
      <c r="D13773" s="209"/>
      <c r="E13773" s="209"/>
      <c r="J13773" s="124"/>
    </row>
    <row r="13774" spans="3:10" x14ac:dyDescent="0.2">
      <c r="C13774" s="209"/>
      <c r="D13774" s="209"/>
      <c r="E13774" s="209"/>
      <c r="J13774" s="124"/>
    </row>
    <row r="13775" spans="3:10" x14ac:dyDescent="0.2">
      <c r="C13775" s="209"/>
      <c r="D13775" s="209"/>
      <c r="E13775" s="209"/>
      <c r="J13775" s="124"/>
    </row>
    <row r="13776" spans="3:10" x14ac:dyDescent="0.2">
      <c r="C13776" s="209"/>
      <c r="D13776" s="209"/>
      <c r="E13776" s="209"/>
      <c r="J13776" s="124"/>
    </row>
    <row r="13777" spans="3:10" x14ac:dyDescent="0.2">
      <c r="C13777" s="209"/>
      <c r="D13777" s="209"/>
      <c r="E13777" s="209"/>
      <c r="J13777" s="124"/>
    </row>
    <row r="13778" spans="3:10" x14ac:dyDescent="0.2">
      <c r="C13778" s="209"/>
      <c r="D13778" s="209"/>
      <c r="E13778" s="209"/>
      <c r="J13778" s="124"/>
    </row>
    <row r="13779" spans="3:10" x14ac:dyDescent="0.2">
      <c r="C13779" s="209"/>
      <c r="D13779" s="209"/>
      <c r="E13779" s="209"/>
      <c r="J13779" s="124"/>
    </row>
    <row r="13780" spans="3:10" x14ac:dyDescent="0.2">
      <c r="C13780" s="209"/>
      <c r="D13780" s="209"/>
      <c r="E13780" s="209"/>
      <c r="J13780" s="124"/>
    </row>
    <row r="13781" spans="3:10" x14ac:dyDescent="0.2">
      <c r="C13781" s="209"/>
      <c r="D13781" s="209"/>
      <c r="E13781" s="209"/>
      <c r="J13781" s="124"/>
    </row>
    <row r="13782" spans="3:10" x14ac:dyDescent="0.2">
      <c r="C13782" s="209"/>
      <c r="D13782" s="209"/>
      <c r="E13782" s="209"/>
      <c r="J13782" s="124"/>
    </row>
    <row r="13783" spans="3:10" x14ac:dyDescent="0.2">
      <c r="C13783" s="209"/>
      <c r="D13783" s="209"/>
      <c r="E13783" s="209"/>
      <c r="J13783" s="124"/>
    </row>
    <row r="13784" spans="3:10" x14ac:dyDescent="0.2">
      <c r="C13784" s="209"/>
      <c r="D13784" s="209"/>
      <c r="E13784" s="209"/>
      <c r="J13784" s="124"/>
    </row>
    <row r="13785" spans="3:10" x14ac:dyDescent="0.2">
      <c r="C13785" s="209"/>
      <c r="D13785" s="209"/>
      <c r="E13785" s="209"/>
      <c r="J13785" s="124"/>
    </row>
    <row r="13786" spans="3:10" x14ac:dyDescent="0.2">
      <c r="C13786" s="209"/>
      <c r="D13786" s="209"/>
      <c r="E13786" s="209"/>
      <c r="J13786" s="124"/>
    </row>
    <row r="13787" spans="3:10" x14ac:dyDescent="0.2">
      <c r="C13787" s="209"/>
      <c r="D13787" s="209"/>
      <c r="E13787" s="209"/>
      <c r="J13787" s="124"/>
    </row>
    <row r="13788" spans="3:10" x14ac:dyDescent="0.2">
      <c r="C13788" s="209"/>
      <c r="D13788" s="209"/>
      <c r="E13788" s="209"/>
      <c r="J13788" s="124"/>
    </row>
    <row r="13789" spans="3:10" x14ac:dyDescent="0.2">
      <c r="C13789" s="209"/>
      <c r="D13789" s="209"/>
      <c r="E13789" s="209"/>
      <c r="J13789" s="124"/>
    </row>
    <row r="13790" spans="3:10" x14ac:dyDescent="0.2">
      <c r="C13790" s="209"/>
      <c r="D13790" s="209"/>
      <c r="E13790" s="209"/>
      <c r="J13790" s="124"/>
    </row>
    <row r="13791" spans="3:10" x14ac:dyDescent="0.2">
      <c r="C13791" s="209"/>
      <c r="D13791" s="209"/>
      <c r="E13791" s="209"/>
      <c r="J13791" s="124"/>
    </row>
    <row r="13792" spans="3:10" x14ac:dyDescent="0.2">
      <c r="C13792" s="209"/>
      <c r="D13792" s="209"/>
      <c r="E13792" s="209"/>
      <c r="J13792" s="124"/>
    </row>
    <row r="13793" spans="3:10" x14ac:dyDescent="0.2">
      <c r="C13793" s="209"/>
      <c r="D13793" s="209"/>
      <c r="E13793" s="209"/>
      <c r="J13793" s="124"/>
    </row>
    <row r="13794" spans="3:10" x14ac:dyDescent="0.2">
      <c r="C13794" s="209"/>
      <c r="D13794" s="209"/>
      <c r="E13794" s="209"/>
      <c r="J13794" s="124"/>
    </row>
    <row r="13795" spans="3:10" x14ac:dyDescent="0.2">
      <c r="C13795" s="209"/>
      <c r="D13795" s="209"/>
      <c r="E13795" s="209"/>
      <c r="J13795" s="124"/>
    </row>
    <row r="13796" spans="3:10" x14ac:dyDescent="0.2">
      <c r="C13796" s="209"/>
      <c r="D13796" s="209"/>
      <c r="E13796" s="209"/>
      <c r="J13796" s="124"/>
    </row>
    <row r="13797" spans="3:10" x14ac:dyDescent="0.2">
      <c r="C13797" s="209"/>
      <c r="D13797" s="209"/>
      <c r="E13797" s="209"/>
      <c r="J13797" s="124"/>
    </row>
    <row r="13798" spans="3:10" x14ac:dyDescent="0.2">
      <c r="C13798" s="209"/>
      <c r="D13798" s="209"/>
      <c r="E13798" s="209"/>
      <c r="J13798" s="124"/>
    </row>
    <row r="13799" spans="3:10" x14ac:dyDescent="0.2">
      <c r="C13799" s="209"/>
      <c r="D13799" s="209"/>
      <c r="E13799" s="209"/>
      <c r="J13799" s="124"/>
    </row>
    <row r="13800" spans="3:10" x14ac:dyDescent="0.2">
      <c r="C13800" s="209"/>
      <c r="D13800" s="209"/>
      <c r="E13800" s="209"/>
      <c r="J13800" s="124"/>
    </row>
    <row r="13801" spans="3:10" x14ac:dyDescent="0.2">
      <c r="C13801" s="209"/>
      <c r="D13801" s="209"/>
      <c r="E13801" s="209"/>
      <c r="J13801" s="124"/>
    </row>
    <row r="13802" spans="3:10" x14ac:dyDescent="0.2">
      <c r="C13802" s="209"/>
      <c r="D13802" s="209"/>
      <c r="E13802" s="209"/>
      <c r="J13802" s="124"/>
    </row>
    <row r="13803" spans="3:10" x14ac:dyDescent="0.2">
      <c r="C13803" s="209"/>
      <c r="D13803" s="209"/>
      <c r="E13803" s="209"/>
      <c r="J13803" s="124"/>
    </row>
    <row r="13804" spans="3:10" x14ac:dyDescent="0.2">
      <c r="C13804" s="209"/>
      <c r="D13804" s="209"/>
      <c r="E13804" s="209"/>
      <c r="J13804" s="124"/>
    </row>
    <row r="13805" spans="3:10" x14ac:dyDescent="0.2">
      <c r="C13805" s="209"/>
      <c r="D13805" s="209"/>
      <c r="E13805" s="209"/>
      <c r="J13805" s="124"/>
    </row>
    <row r="13806" spans="3:10" x14ac:dyDescent="0.2">
      <c r="C13806" s="209"/>
      <c r="D13806" s="209"/>
      <c r="E13806" s="209"/>
      <c r="J13806" s="124"/>
    </row>
    <row r="13807" spans="3:10" x14ac:dyDescent="0.2">
      <c r="C13807" s="209"/>
      <c r="D13807" s="209"/>
      <c r="E13807" s="209"/>
      <c r="J13807" s="124"/>
    </row>
    <row r="13808" spans="3:10" x14ac:dyDescent="0.2">
      <c r="C13808" s="209"/>
      <c r="D13808" s="209"/>
      <c r="E13808" s="209"/>
      <c r="J13808" s="124"/>
    </row>
    <row r="13809" spans="3:10" x14ac:dyDescent="0.2">
      <c r="C13809" s="209"/>
      <c r="D13809" s="209"/>
      <c r="E13809" s="209"/>
      <c r="J13809" s="124"/>
    </row>
    <row r="13810" spans="3:10" x14ac:dyDescent="0.2">
      <c r="C13810" s="209"/>
      <c r="D13810" s="209"/>
      <c r="E13810" s="209"/>
      <c r="J13810" s="124"/>
    </row>
    <row r="13811" spans="3:10" x14ac:dyDescent="0.2">
      <c r="C13811" s="209"/>
      <c r="D13811" s="209"/>
      <c r="E13811" s="209"/>
      <c r="J13811" s="124"/>
    </row>
    <row r="13812" spans="3:10" x14ac:dyDescent="0.2">
      <c r="C13812" s="209"/>
      <c r="D13812" s="209"/>
      <c r="E13812" s="209"/>
      <c r="J13812" s="124"/>
    </row>
    <row r="13813" spans="3:10" x14ac:dyDescent="0.2">
      <c r="C13813" s="209"/>
      <c r="D13813" s="209"/>
      <c r="E13813" s="209"/>
      <c r="J13813" s="124"/>
    </row>
    <row r="13814" spans="3:10" x14ac:dyDescent="0.2">
      <c r="C13814" s="209"/>
      <c r="D13814" s="209"/>
      <c r="E13814" s="209"/>
      <c r="J13814" s="124"/>
    </row>
    <row r="13815" spans="3:10" x14ac:dyDescent="0.2">
      <c r="C13815" s="209"/>
      <c r="D13815" s="209"/>
      <c r="E13815" s="209"/>
      <c r="J13815" s="124"/>
    </row>
    <row r="13816" spans="3:10" x14ac:dyDescent="0.2">
      <c r="C13816" s="209"/>
      <c r="D13816" s="209"/>
      <c r="E13816" s="209"/>
      <c r="J13816" s="124"/>
    </row>
    <row r="13817" spans="3:10" x14ac:dyDescent="0.2">
      <c r="C13817" s="209"/>
      <c r="D13817" s="209"/>
      <c r="E13817" s="209"/>
      <c r="J13817" s="124"/>
    </row>
    <row r="13818" spans="3:10" x14ac:dyDescent="0.2">
      <c r="C13818" s="209"/>
      <c r="D13818" s="209"/>
      <c r="E13818" s="209"/>
      <c r="J13818" s="124"/>
    </row>
    <row r="13819" spans="3:10" x14ac:dyDescent="0.2">
      <c r="C13819" s="209"/>
      <c r="D13819" s="209"/>
      <c r="E13819" s="209"/>
      <c r="J13819" s="124"/>
    </row>
    <row r="13820" spans="3:10" x14ac:dyDescent="0.2">
      <c r="C13820" s="209"/>
      <c r="D13820" s="209"/>
      <c r="E13820" s="209"/>
      <c r="J13820" s="124"/>
    </row>
    <row r="13821" spans="3:10" x14ac:dyDescent="0.2">
      <c r="C13821" s="209"/>
      <c r="D13821" s="209"/>
      <c r="E13821" s="209"/>
      <c r="J13821" s="124"/>
    </row>
    <row r="13822" spans="3:10" x14ac:dyDescent="0.2">
      <c r="C13822" s="209"/>
      <c r="D13822" s="209"/>
      <c r="E13822" s="209"/>
      <c r="J13822" s="124"/>
    </row>
    <row r="13823" spans="3:10" x14ac:dyDescent="0.2">
      <c r="C13823" s="209"/>
      <c r="D13823" s="209"/>
      <c r="E13823" s="209"/>
      <c r="J13823" s="124"/>
    </row>
    <row r="13824" spans="3:10" x14ac:dyDescent="0.2">
      <c r="C13824" s="209"/>
      <c r="D13824" s="209"/>
      <c r="E13824" s="209"/>
      <c r="J13824" s="124"/>
    </row>
    <row r="13825" spans="3:10" x14ac:dyDescent="0.2">
      <c r="C13825" s="209"/>
      <c r="D13825" s="209"/>
      <c r="E13825" s="209"/>
      <c r="J13825" s="124"/>
    </row>
    <row r="13826" spans="3:10" x14ac:dyDescent="0.2">
      <c r="C13826" s="209"/>
      <c r="D13826" s="209"/>
      <c r="E13826" s="209"/>
      <c r="J13826" s="124"/>
    </row>
    <row r="13827" spans="3:10" x14ac:dyDescent="0.2">
      <c r="C13827" s="209"/>
      <c r="D13827" s="209"/>
      <c r="E13827" s="209"/>
      <c r="J13827" s="124"/>
    </row>
    <row r="13828" spans="3:10" x14ac:dyDescent="0.2">
      <c r="C13828" s="209"/>
      <c r="D13828" s="209"/>
      <c r="E13828" s="209"/>
      <c r="J13828" s="124"/>
    </row>
    <row r="13829" spans="3:10" x14ac:dyDescent="0.2">
      <c r="C13829" s="209"/>
      <c r="D13829" s="209"/>
      <c r="E13829" s="209"/>
      <c r="J13829" s="124"/>
    </row>
    <row r="13830" spans="3:10" x14ac:dyDescent="0.2">
      <c r="C13830" s="209"/>
      <c r="D13830" s="209"/>
      <c r="E13830" s="209"/>
      <c r="J13830" s="124"/>
    </row>
    <row r="13831" spans="3:10" x14ac:dyDescent="0.2">
      <c r="C13831" s="209"/>
      <c r="D13831" s="209"/>
      <c r="E13831" s="209"/>
      <c r="J13831" s="124"/>
    </row>
    <row r="13832" spans="3:10" x14ac:dyDescent="0.2">
      <c r="C13832" s="209"/>
      <c r="D13832" s="209"/>
      <c r="E13832" s="209"/>
      <c r="J13832" s="124"/>
    </row>
    <row r="13833" spans="3:10" x14ac:dyDescent="0.2">
      <c r="C13833" s="209"/>
      <c r="D13833" s="209"/>
      <c r="E13833" s="209"/>
      <c r="J13833" s="124"/>
    </row>
    <row r="13834" spans="3:10" x14ac:dyDescent="0.2">
      <c r="C13834" s="209"/>
      <c r="D13834" s="209"/>
      <c r="E13834" s="209"/>
      <c r="J13834" s="124"/>
    </row>
    <row r="13835" spans="3:10" x14ac:dyDescent="0.2">
      <c r="C13835" s="209"/>
      <c r="D13835" s="209"/>
      <c r="E13835" s="209"/>
      <c r="J13835" s="124"/>
    </row>
    <row r="13836" spans="3:10" x14ac:dyDescent="0.2">
      <c r="C13836" s="209"/>
      <c r="D13836" s="209"/>
      <c r="E13836" s="209"/>
      <c r="J13836" s="124"/>
    </row>
    <row r="13837" spans="3:10" x14ac:dyDescent="0.2">
      <c r="C13837" s="209"/>
      <c r="D13837" s="209"/>
      <c r="E13837" s="209"/>
      <c r="J13837" s="124"/>
    </row>
    <row r="13838" spans="3:10" x14ac:dyDescent="0.2">
      <c r="C13838" s="209"/>
      <c r="D13838" s="209"/>
      <c r="E13838" s="209"/>
      <c r="J13838" s="124"/>
    </row>
    <row r="13839" spans="3:10" x14ac:dyDescent="0.2">
      <c r="C13839" s="209"/>
      <c r="D13839" s="209"/>
      <c r="E13839" s="209"/>
      <c r="J13839" s="124"/>
    </row>
    <row r="13840" spans="3:10" x14ac:dyDescent="0.2">
      <c r="C13840" s="209"/>
      <c r="D13840" s="209"/>
      <c r="E13840" s="209"/>
      <c r="J13840" s="124"/>
    </row>
    <row r="13841" spans="3:10" x14ac:dyDescent="0.2">
      <c r="C13841" s="209"/>
      <c r="D13841" s="209"/>
      <c r="E13841" s="209"/>
      <c r="J13841" s="124"/>
    </row>
    <row r="13842" spans="3:10" x14ac:dyDescent="0.2">
      <c r="C13842" s="209"/>
      <c r="D13842" s="209"/>
      <c r="E13842" s="209"/>
      <c r="J13842" s="124"/>
    </row>
    <row r="13843" spans="3:10" x14ac:dyDescent="0.2">
      <c r="C13843" s="209"/>
      <c r="D13843" s="209"/>
      <c r="E13843" s="209"/>
      <c r="J13843" s="124"/>
    </row>
    <row r="13844" spans="3:10" x14ac:dyDescent="0.2">
      <c r="C13844" s="209"/>
      <c r="D13844" s="209"/>
      <c r="E13844" s="209"/>
      <c r="J13844" s="124"/>
    </row>
    <row r="13845" spans="3:10" x14ac:dyDescent="0.2">
      <c r="C13845" s="209"/>
      <c r="D13845" s="209"/>
      <c r="E13845" s="209"/>
      <c r="J13845" s="124"/>
    </row>
    <row r="13846" spans="3:10" x14ac:dyDescent="0.2">
      <c r="C13846" s="209"/>
      <c r="D13846" s="209"/>
      <c r="E13846" s="209"/>
      <c r="J13846" s="124"/>
    </row>
    <row r="13847" spans="3:10" x14ac:dyDescent="0.2">
      <c r="C13847" s="209"/>
      <c r="D13847" s="209"/>
      <c r="E13847" s="209"/>
      <c r="J13847" s="124"/>
    </row>
    <row r="13848" spans="3:10" x14ac:dyDescent="0.2">
      <c r="C13848" s="209"/>
      <c r="D13848" s="209"/>
      <c r="E13848" s="209"/>
      <c r="J13848" s="124"/>
    </row>
    <row r="13849" spans="3:10" x14ac:dyDescent="0.2">
      <c r="C13849" s="209"/>
      <c r="D13849" s="209"/>
      <c r="E13849" s="209"/>
      <c r="J13849" s="124"/>
    </row>
    <row r="13850" spans="3:10" x14ac:dyDescent="0.2">
      <c r="C13850" s="209"/>
      <c r="D13850" s="209"/>
      <c r="E13850" s="209"/>
      <c r="J13850" s="124"/>
    </row>
    <row r="13851" spans="3:10" x14ac:dyDescent="0.2">
      <c r="C13851" s="209"/>
      <c r="D13851" s="209"/>
      <c r="E13851" s="209"/>
      <c r="J13851" s="124"/>
    </row>
    <row r="13852" spans="3:10" x14ac:dyDescent="0.2">
      <c r="C13852" s="209"/>
      <c r="D13852" s="209"/>
      <c r="E13852" s="209"/>
      <c r="J13852" s="124"/>
    </row>
    <row r="13853" spans="3:10" x14ac:dyDescent="0.2">
      <c r="C13853" s="209"/>
      <c r="D13853" s="209"/>
      <c r="E13853" s="209"/>
      <c r="J13853" s="124"/>
    </row>
    <row r="13854" spans="3:10" x14ac:dyDescent="0.2">
      <c r="C13854" s="209"/>
      <c r="D13854" s="209"/>
      <c r="E13854" s="209"/>
      <c r="J13854" s="124"/>
    </row>
    <row r="13855" spans="3:10" x14ac:dyDescent="0.2">
      <c r="C13855" s="209"/>
      <c r="D13855" s="209"/>
      <c r="E13855" s="209"/>
      <c r="J13855" s="124"/>
    </row>
    <row r="13856" spans="3:10" x14ac:dyDescent="0.2">
      <c r="C13856" s="209"/>
      <c r="D13856" s="209"/>
      <c r="E13856" s="209"/>
      <c r="J13856" s="124"/>
    </row>
    <row r="13857" spans="3:10" x14ac:dyDescent="0.2">
      <c r="C13857" s="209"/>
      <c r="D13857" s="209"/>
      <c r="E13857" s="209"/>
      <c r="J13857" s="124"/>
    </row>
    <row r="13858" spans="3:10" x14ac:dyDescent="0.2">
      <c r="C13858" s="209"/>
      <c r="D13858" s="209"/>
      <c r="E13858" s="209"/>
      <c r="J13858" s="124"/>
    </row>
    <row r="13859" spans="3:10" x14ac:dyDescent="0.2">
      <c r="C13859" s="209"/>
      <c r="D13859" s="209"/>
      <c r="E13859" s="209"/>
      <c r="J13859" s="124"/>
    </row>
    <row r="13860" spans="3:10" x14ac:dyDescent="0.2">
      <c r="C13860" s="209"/>
      <c r="D13860" s="209"/>
      <c r="E13860" s="209"/>
      <c r="J13860" s="124"/>
    </row>
    <row r="13861" spans="3:10" x14ac:dyDescent="0.2">
      <c r="C13861" s="209"/>
      <c r="D13861" s="209"/>
      <c r="E13861" s="209"/>
      <c r="J13861" s="124"/>
    </row>
    <row r="13862" spans="3:10" x14ac:dyDescent="0.2">
      <c r="C13862" s="209"/>
      <c r="D13862" s="209"/>
      <c r="E13862" s="209"/>
      <c r="J13862" s="124"/>
    </row>
    <row r="13863" spans="3:10" x14ac:dyDescent="0.2">
      <c r="C13863" s="209"/>
      <c r="D13863" s="209"/>
      <c r="E13863" s="209"/>
      <c r="J13863" s="124"/>
    </row>
    <row r="13864" spans="3:10" x14ac:dyDescent="0.2">
      <c r="C13864" s="209"/>
      <c r="D13864" s="209"/>
      <c r="E13864" s="209"/>
      <c r="J13864" s="124"/>
    </row>
    <row r="13865" spans="3:10" x14ac:dyDescent="0.2">
      <c r="C13865" s="209"/>
      <c r="D13865" s="209"/>
      <c r="E13865" s="209"/>
      <c r="J13865" s="124"/>
    </row>
    <row r="13866" spans="3:10" x14ac:dyDescent="0.2">
      <c r="C13866" s="209"/>
      <c r="D13866" s="209"/>
      <c r="E13866" s="209"/>
      <c r="J13866" s="124"/>
    </row>
    <row r="13867" spans="3:10" x14ac:dyDescent="0.2">
      <c r="C13867" s="209"/>
      <c r="D13867" s="209"/>
      <c r="E13867" s="209"/>
      <c r="J13867" s="124"/>
    </row>
    <row r="13868" spans="3:10" x14ac:dyDescent="0.2">
      <c r="C13868" s="209"/>
      <c r="D13868" s="209"/>
      <c r="E13868" s="209"/>
      <c r="J13868" s="124"/>
    </row>
    <row r="13869" spans="3:10" x14ac:dyDescent="0.2">
      <c r="C13869" s="209"/>
      <c r="D13869" s="209"/>
      <c r="E13869" s="209"/>
      <c r="J13869" s="124"/>
    </row>
    <row r="13870" spans="3:10" x14ac:dyDescent="0.2">
      <c r="C13870" s="209"/>
      <c r="D13870" s="209"/>
      <c r="E13870" s="209"/>
      <c r="J13870" s="124"/>
    </row>
    <row r="13871" spans="3:10" x14ac:dyDescent="0.2">
      <c r="C13871" s="209"/>
      <c r="D13871" s="209"/>
      <c r="E13871" s="209"/>
      <c r="J13871" s="124"/>
    </row>
    <row r="13872" spans="3:10" x14ac:dyDescent="0.2">
      <c r="C13872" s="209"/>
      <c r="D13872" s="209"/>
      <c r="E13872" s="209"/>
      <c r="J13872" s="124"/>
    </row>
    <row r="13873" spans="3:10" x14ac:dyDescent="0.2">
      <c r="C13873" s="209"/>
      <c r="D13873" s="209"/>
      <c r="E13873" s="209"/>
      <c r="J13873" s="124"/>
    </row>
    <row r="13874" spans="3:10" x14ac:dyDescent="0.2">
      <c r="C13874" s="209"/>
      <c r="D13874" s="209"/>
      <c r="E13874" s="209"/>
      <c r="J13874" s="124"/>
    </row>
    <row r="13875" spans="3:10" x14ac:dyDescent="0.2">
      <c r="C13875" s="209"/>
      <c r="D13875" s="209"/>
      <c r="E13875" s="209"/>
      <c r="J13875" s="124"/>
    </row>
    <row r="13876" spans="3:10" x14ac:dyDescent="0.2">
      <c r="C13876" s="209"/>
      <c r="D13876" s="209"/>
      <c r="E13876" s="209"/>
      <c r="J13876" s="124"/>
    </row>
    <row r="13877" spans="3:10" x14ac:dyDescent="0.2">
      <c r="C13877" s="209"/>
      <c r="D13877" s="209"/>
      <c r="E13877" s="209"/>
      <c r="J13877" s="124"/>
    </row>
    <row r="13878" spans="3:10" x14ac:dyDescent="0.2">
      <c r="C13878" s="209"/>
      <c r="D13878" s="209"/>
      <c r="E13878" s="209"/>
      <c r="J13878" s="124"/>
    </row>
    <row r="13879" spans="3:10" x14ac:dyDescent="0.2">
      <c r="C13879" s="209"/>
      <c r="D13879" s="209"/>
      <c r="E13879" s="209"/>
      <c r="J13879" s="124"/>
    </row>
    <row r="13880" spans="3:10" x14ac:dyDescent="0.2">
      <c r="C13880" s="209"/>
      <c r="D13880" s="209"/>
      <c r="E13880" s="209"/>
      <c r="J13880" s="124"/>
    </row>
    <row r="13881" spans="3:10" x14ac:dyDescent="0.2">
      <c r="C13881" s="209"/>
      <c r="D13881" s="209"/>
      <c r="E13881" s="209"/>
      <c r="J13881" s="124"/>
    </row>
    <row r="13882" spans="3:10" x14ac:dyDescent="0.2">
      <c r="C13882" s="209"/>
      <c r="D13882" s="209"/>
      <c r="E13882" s="209"/>
      <c r="J13882" s="124"/>
    </row>
    <row r="13883" spans="3:10" x14ac:dyDescent="0.2">
      <c r="C13883" s="209"/>
      <c r="D13883" s="209"/>
      <c r="E13883" s="209"/>
      <c r="J13883" s="124"/>
    </row>
    <row r="13884" spans="3:10" x14ac:dyDescent="0.2">
      <c r="C13884" s="209"/>
      <c r="D13884" s="209"/>
      <c r="E13884" s="209"/>
      <c r="J13884" s="124"/>
    </row>
    <row r="13885" spans="3:10" x14ac:dyDescent="0.2">
      <c r="C13885" s="209"/>
      <c r="D13885" s="209"/>
      <c r="E13885" s="209"/>
      <c r="J13885" s="124"/>
    </row>
    <row r="13886" spans="3:10" x14ac:dyDescent="0.2">
      <c r="C13886" s="209"/>
      <c r="D13886" s="209"/>
      <c r="E13886" s="209"/>
      <c r="J13886" s="124"/>
    </row>
    <row r="13887" spans="3:10" x14ac:dyDescent="0.2">
      <c r="C13887" s="209"/>
      <c r="D13887" s="209"/>
      <c r="E13887" s="209"/>
      <c r="J13887" s="124"/>
    </row>
    <row r="13888" spans="3:10" x14ac:dyDescent="0.2">
      <c r="C13888" s="209"/>
      <c r="D13888" s="209"/>
      <c r="E13888" s="209"/>
      <c r="J13888" s="124"/>
    </row>
    <row r="13889" spans="3:10" x14ac:dyDescent="0.2">
      <c r="C13889" s="209"/>
      <c r="D13889" s="209"/>
      <c r="E13889" s="209"/>
      <c r="J13889" s="124"/>
    </row>
    <row r="13890" spans="3:10" x14ac:dyDescent="0.2">
      <c r="C13890" s="209"/>
      <c r="D13890" s="209"/>
      <c r="E13890" s="209"/>
      <c r="J13890" s="124"/>
    </row>
    <row r="13891" spans="3:10" x14ac:dyDescent="0.2">
      <c r="C13891" s="209"/>
      <c r="D13891" s="209"/>
      <c r="E13891" s="209"/>
      <c r="J13891" s="124"/>
    </row>
    <row r="13892" spans="3:10" x14ac:dyDescent="0.2">
      <c r="C13892" s="209"/>
      <c r="D13892" s="209"/>
      <c r="E13892" s="209"/>
      <c r="J13892" s="124"/>
    </row>
    <row r="13893" spans="3:10" x14ac:dyDescent="0.2">
      <c r="C13893" s="209"/>
      <c r="D13893" s="209"/>
      <c r="E13893" s="209"/>
      <c r="J13893" s="124"/>
    </row>
    <row r="13894" spans="3:10" x14ac:dyDescent="0.2">
      <c r="C13894" s="209"/>
      <c r="D13894" s="209"/>
      <c r="E13894" s="209"/>
      <c r="J13894" s="124"/>
    </row>
    <row r="13895" spans="3:10" x14ac:dyDescent="0.2">
      <c r="C13895" s="209"/>
      <c r="D13895" s="209"/>
      <c r="E13895" s="209"/>
      <c r="J13895" s="124"/>
    </row>
    <row r="13896" spans="3:10" x14ac:dyDescent="0.2">
      <c r="C13896" s="209"/>
      <c r="D13896" s="209"/>
      <c r="E13896" s="209"/>
      <c r="J13896" s="124"/>
    </row>
    <row r="13897" spans="3:10" x14ac:dyDescent="0.2">
      <c r="C13897" s="209"/>
      <c r="D13897" s="209"/>
      <c r="E13897" s="209"/>
      <c r="J13897" s="124"/>
    </row>
    <row r="13898" spans="3:10" x14ac:dyDescent="0.2">
      <c r="C13898" s="209"/>
      <c r="D13898" s="209"/>
      <c r="E13898" s="209"/>
      <c r="J13898" s="124"/>
    </row>
    <row r="13899" spans="3:10" x14ac:dyDescent="0.2">
      <c r="C13899" s="209"/>
      <c r="D13899" s="209"/>
      <c r="E13899" s="209"/>
      <c r="J13899" s="124"/>
    </row>
    <row r="13900" spans="3:10" x14ac:dyDescent="0.2">
      <c r="C13900" s="209"/>
      <c r="D13900" s="209"/>
      <c r="E13900" s="209"/>
      <c r="J13900" s="124"/>
    </row>
    <row r="13901" spans="3:10" x14ac:dyDescent="0.2">
      <c r="C13901" s="209"/>
      <c r="D13901" s="209"/>
      <c r="E13901" s="209"/>
      <c r="J13901" s="124"/>
    </row>
    <row r="13902" spans="3:10" x14ac:dyDescent="0.2">
      <c r="C13902" s="209"/>
      <c r="D13902" s="209"/>
      <c r="E13902" s="209"/>
      <c r="J13902" s="124"/>
    </row>
    <row r="13903" spans="3:10" x14ac:dyDescent="0.2">
      <c r="C13903" s="209"/>
      <c r="D13903" s="209"/>
      <c r="E13903" s="209"/>
      <c r="J13903" s="124"/>
    </row>
    <row r="13904" spans="3:10" x14ac:dyDescent="0.2">
      <c r="C13904" s="209"/>
      <c r="D13904" s="209"/>
      <c r="E13904" s="209"/>
      <c r="J13904" s="124"/>
    </row>
    <row r="13905" spans="3:10" x14ac:dyDescent="0.2">
      <c r="C13905" s="209"/>
      <c r="D13905" s="209"/>
      <c r="E13905" s="209"/>
      <c r="J13905" s="124"/>
    </row>
    <row r="13906" spans="3:10" x14ac:dyDescent="0.2">
      <c r="C13906" s="209"/>
      <c r="D13906" s="209"/>
      <c r="E13906" s="209"/>
      <c r="J13906" s="124"/>
    </row>
    <row r="13907" spans="3:10" x14ac:dyDescent="0.2">
      <c r="C13907" s="209"/>
      <c r="D13907" s="209"/>
      <c r="E13907" s="209"/>
      <c r="J13907" s="124"/>
    </row>
    <row r="13908" spans="3:10" x14ac:dyDescent="0.2">
      <c r="C13908" s="209"/>
      <c r="D13908" s="209"/>
      <c r="E13908" s="209"/>
      <c r="J13908" s="124"/>
    </row>
    <row r="13909" spans="3:10" x14ac:dyDescent="0.2">
      <c r="C13909" s="209"/>
      <c r="D13909" s="209"/>
      <c r="E13909" s="209"/>
      <c r="J13909" s="124"/>
    </row>
    <row r="13910" spans="3:10" x14ac:dyDescent="0.2">
      <c r="C13910" s="209"/>
      <c r="D13910" s="209"/>
      <c r="E13910" s="209"/>
      <c r="J13910" s="124"/>
    </row>
    <row r="13911" spans="3:10" x14ac:dyDescent="0.2">
      <c r="C13911" s="209"/>
      <c r="D13911" s="209"/>
      <c r="E13911" s="209"/>
      <c r="J13911" s="124"/>
    </row>
    <row r="13912" spans="3:10" x14ac:dyDescent="0.2">
      <c r="C13912" s="209"/>
      <c r="D13912" s="209"/>
      <c r="E13912" s="209"/>
      <c r="J13912" s="124"/>
    </row>
    <row r="13913" spans="3:10" x14ac:dyDescent="0.2">
      <c r="C13913" s="209"/>
      <c r="D13913" s="209"/>
      <c r="E13913" s="209"/>
      <c r="J13913" s="124"/>
    </row>
    <row r="13914" spans="3:10" x14ac:dyDescent="0.2">
      <c r="C13914" s="209"/>
      <c r="D13914" s="209"/>
      <c r="E13914" s="209"/>
      <c r="J13914" s="124"/>
    </row>
    <row r="13915" spans="3:10" x14ac:dyDescent="0.2">
      <c r="C13915" s="209"/>
      <c r="D13915" s="209"/>
      <c r="E13915" s="209"/>
      <c r="J13915" s="124"/>
    </row>
    <row r="13916" spans="3:10" x14ac:dyDescent="0.2">
      <c r="C13916" s="209"/>
      <c r="D13916" s="209"/>
      <c r="E13916" s="209"/>
      <c r="J13916" s="124"/>
    </row>
    <row r="13917" spans="3:10" x14ac:dyDescent="0.2">
      <c r="C13917" s="209"/>
      <c r="D13917" s="209"/>
      <c r="E13917" s="209"/>
      <c r="J13917" s="124"/>
    </row>
    <row r="13918" spans="3:10" x14ac:dyDescent="0.2">
      <c r="C13918" s="209"/>
      <c r="D13918" s="209"/>
      <c r="E13918" s="209"/>
      <c r="J13918" s="124"/>
    </row>
    <row r="13919" spans="3:10" x14ac:dyDescent="0.2">
      <c r="C13919" s="209"/>
      <c r="D13919" s="209"/>
      <c r="E13919" s="209"/>
      <c r="J13919" s="124"/>
    </row>
    <row r="13920" spans="3:10" x14ac:dyDescent="0.2">
      <c r="C13920" s="209"/>
      <c r="D13920" s="209"/>
      <c r="E13920" s="209"/>
      <c r="J13920" s="124"/>
    </row>
    <row r="13921" spans="3:10" x14ac:dyDescent="0.2">
      <c r="C13921" s="209"/>
      <c r="D13921" s="209"/>
      <c r="E13921" s="209"/>
      <c r="J13921" s="124"/>
    </row>
    <row r="13922" spans="3:10" x14ac:dyDescent="0.2">
      <c r="C13922" s="209"/>
      <c r="D13922" s="209"/>
      <c r="E13922" s="209"/>
      <c r="J13922" s="124"/>
    </row>
    <row r="13923" spans="3:10" x14ac:dyDescent="0.2">
      <c r="C13923" s="209"/>
      <c r="D13923" s="209"/>
      <c r="E13923" s="209"/>
      <c r="J13923" s="124"/>
    </row>
    <row r="13924" spans="3:10" x14ac:dyDescent="0.2">
      <c r="C13924" s="209"/>
      <c r="D13924" s="209"/>
      <c r="E13924" s="209"/>
      <c r="J13924" s="124"/>
    </row>
    <row r="13925" spans="3:10" x14ac:dyDescent="0.2">
      <c r="C13925" s="209"/>
      <c r="D13925" s="209"/>
      <c r="E13925" s="209"/>
      <c r="J13925" s="124"/>
    </row>
    <row r="13926" spans="3:10" x14ac:dyDescent="0.2">
      <c r="C13926" s="209"/>
      <c r="D13926" s="209"/>
      <c r="E13926" s="209"/>
      <c r="J13926" s="124"/>
    </row>
    <row r="13927" spans="3:10" x14ac:dyDescent="0.2">
      <c r="C13927" s="209"/>
      <c r="D13927" s="209"/>
      <c r="E13927" s="209"/>
      <c r="J13927" s="124"/>
    </row>
    <row r="13928" spans="3:10" x14ac:dyDescent="0.2">
      <c r="C13928" s="209"/>
      <c r="D13928" s="209"/>
      <c r="E13928" s="209"/>
      <c r="J13928" s="124"/>
    </row>
    <row r="13929" spans="3:10" x14ac:dyDescent="0.2">
      <c r="C13929" s="209"/>
      <c r="D13929" s="209"/>
      <c r="E13929" s="209"/>
      <c r="J13929" s="124"/>
    </row>
    <row r="13930" spans="3:10" x14ac:dyDescent="0.2">
      <c r="C13930" s="209"/>
      <c r="D13930" s="209"/>
      <c r="E13930" s="209"/>
      <c r="J13930" s="124"/>
    </row>
    <row r="13931" spans="3:10" x14ac:dyDescent="0.2">
      <c r="C13931" s="209"/>
      <c r="D13931" s="209"/>
      <c r="E13931" s="209"/>
      <c r="J13931" s="124"/>
    </row>
    <row r="13932" spans="3:10" x14ac:dyDescent="0.2">
      <c r="C13932" s="209"/>
      <c r="D13932" s="209"/>
      <c r="E13932" s="209"/>
      <c r="J13932" s="124"/>
    </row>
    <row r="13933" spans="3:10" x14ac:dyDescent="0.2">
      <c r="C13933" s="209"/>
      <c r="D13933" s="209"/>
      <c r="E13933" s="209"/>
      <c r="J13933" s="124"/>
    </row>
    <row r="13934" spans="3:10" x14ac:dyDescent="0.2">
      <c r="C13934" s="209"/>
      <c r="D13934" s="209"/>
      <c r="E13934" s="209"/>
      <c r="J13934" s="124"/>
    </row>
    <row r="13935" spans="3:10" x14ac:dyDescent="0.2">
      <c r="C13935" s="209"/>
      <c r="D13935" s="209"/>
      <c r="E13935" s="209"/>
      <c r="J13935" s="124"/>
    </row>
    <row r="13936" spans="3:10" x14ac:dyDescent="0.2">
      <c r="C13936" s="209"/>
      <c r="D13936" s="209"/>
      <c r="E13936" s="209"/>
      <c r="J13936" s="124"/>
    </row>
    <row r="13937" spans="3:10" x14ac:dyDescent="0.2">
      <c r="C13937" s="209"/>
      <c r="D13937" s="209"/>
      <c r="E13937" s="209"/>
      <c r="J13937" s="124"/>
    </row>
    <row r="13938" spans="3:10" x14ac:dyDescent="0.2">
      <c r="C13938" s="209"/>
      <c r="D13938" s="209"/>
      <c r="E13938" s="209"/>
      <c r="J13938" s="124"/>
    </row>
    <row r="13939" spans="3:10" x14ac:dyDescent="0.2">
      <c r="C13939" s="209"/>
      <c r="D13939" s="209"/>
      <c r="E13939" s="209"/>
      <c r="J13939" s="124"/>
    </row>
    <row r="13940" spans="3:10" x14ac:dyDescent="0.2">
      <c r="C13940" s="209"/>
      <c r="D13940" s="209"/>
      <c r="E13940" s="209"/>
      <c r="J13940" s="124"/>
    </row>
    <row r="13941" spans="3:10" x14ac:dyDescent="0.2">
      <c r="C13941" s="209"/>
      <c r="D13941" s="209"/>
      <c r="E13941" s="209"/>
      <c r="J13941" s="124"/>
    </row>
    <row r="13942" spans="3:10" x14ac:dyDescent="0.2">
      <c r="C13942" s="209"/>
      <c r="D13942" s="209"/>
      <c r="E13942" s="209"/>
      <c r="J13942" s="124"/>
    </row>
    <row r="13943" spans="3:10" x14ac:dyDescent="0.2">
      <c r="C13943" s="209"/>
      <c r="D13943" s="209"/>
      <c r="E13943" s="209"/>
      <c r="J13943" s="124"/>
    </row>
    <row r="13944" spans="3:10" x14ac:dyDescent="0.2">
      <c r="C13944" s="209"/>
      <c r="D13944" s="209"/>
      <c r="E13944" s="209"/>
      <c r="J13944" s="124"/>
    </row>
    <row r="13945" spans="3:10" x14ac:dyDescent="0.2">
      <c r="C13945" s="209"/>
      <c r="D13945" s="209"/>
      <c r="E13945" s="209"/>
      <c r="J13945" s="124"/>
    </row>
    <row r="13946" spans="3:10" x14ac:dyDescent="0.2">
      <c r="C13946" s="209"/>
      <c r="D13946" s="209"/>
      <c r="E13946" s="209"/>
      <c r="J13946" s="124"/>
    </row>
    <row r="13947" spans="3:10" x14ac:dyDescent="0.2">
      <c r="C13947" s="209"/>
      <c r="D13947" s="209"/>
      <c r="E13947" s="209"/>
      <c r="J13947" s="124"/>
    </row>
    <row r="13948" spans="3:10" x14ac:dyDescent="0.2">
      <c r="C13948" s="209"/>
      <c r="D13948" s="209"/>
      <c r="E13948" s="209"/>
      <c r="J13948" s="124"/>
    </row>
    <row r="13949" spans="3:10" x14ac:dyDescent="0.2">
      <c r="C13949" s="209"/>
      <c r="D13949" s="209"/>
      <c r="E13949" s="209"/>
      <c r="J13949" s="124"/>
    </row>
    <row r="13950" spans="3:10" x14ac:dyDescent="0.2">
      <c r="C13950" s="209"/>
      <c r="D13950" s="209"/>
      <c r="E13950" s="209"/>
      <c r="J13950" s="124"/>
    </row>
    <row r="13951" spans="3:10" x14ac:dyDescent="0.2">
      <c r="C13951" s="209"/>
      <c r="D13951" s="209"/>
      <c r="E13951" s="209"/>
      <c r="J13951" s="124"/>
    </row>
    <row r="13952" spans="3:10" x14ac:dyDescent="0.2">
      <c r="C13952" s="209"/>
      <c r="D13952" s="209"/>
      <c r="E13952" s="209"/>
      <c r="J13952" s="124"/>
    </row>
    <row r="13953" spans="3:10" x14ac:dyDescent="0.2">
      <c r="C13953" s="209"/>
      <c r="D13953" s="209"/>
      <c r="E13953" s="209"/>
      <c r="J13953" s="124"/>
    </row>
    <row r="13954" spans="3:10" x14ac:dyDescent="0.2">
      <c r="C13954" s="209"/>
      <c r="D13954" s="209"/>
      <c r="E13954" s="209"/>
      <c r="J13954" s="124"/>
    </row>
    <row r="13955" spans="3:10" x14ac:dyDescent="0.2">
      <c r="C13955" s="209"/>
      <c r="D13955" s="209"/>
      <c r="E13955" s="209"/>
      <c r="J13955" s="124"/>
    </row>
    <row r="13956" spans="3:10" x14ac:dyDescent="0.2">
      <c r="C13956" s="209"/>
      <c r="D13956" s="209"/>
      <c r="E13956" s="209"/>
      <c r="J13956" s="124"/>
    </row>
    <row r="13957" spans="3:10" x14ac:dyDescent="0.2">
      <c r="C13957" s="209"/>
      <c r="D13957" s="209"/>
      <c r="E13957" s="209"/>
      <c r="J13957" s="124"/>
    </row>
    <row r="13958" spans="3:10" x14ac:dyDescent="0.2">
      <c r="C13958" s="209"/>
      <c r="D13958" s="209"/>
      <c r="E13958" s="209"/>
      <c r="J13958" s="124"/>
    </row>
    <row r="13959" spans="3:10" x14ac:dyDescent="0.2">
      <c r="C13959" s="209"/>
      <c r="D13959" s="209"/>
      <c r="E13959" s="209"/>
      <c r="J13959" s="124"/>
    </row>
    <row r="13960" spans="3:10" x14ac:dyDescent="0.2">
      <c r="C13960" s="209"/>
      <c r="D13960" s="209"/>
      <c r="E13960" s="209"/>
      <c r="J13960" s="124"/>
    </row>
    <row r="13961" spans="3:10" x14ac:dyDescent="0.2">
      <c r="C13961" s="209"/>
      <c r="D13961" s="209"/>
      <c r="E13961" s="209"/>
      <c r="J13961" s="124"/>
    </row>
    <row r="13962" spans="3:10" x14ac:dyDescent="0.2">
      <c r="C13962" s="209"/>
      <c r="D13962" s="209"/>
      <c r="E13962" s="209"/>
      <c r="J13962" s="124"/>
    </row>
    <row r="13963" spans="3:10" x14ac:dyDescent="0.2">
      <c r="C13963" s="209"/>
      <c r="D13963" s="209"/>
      <c r="E13963" s="209"/>
      <c r="J13963" s="124"/>
    </row>
    <row r="13964" spans="3:10" x14ac:dyDescent="0.2">
      <c r="C13964" s="209"/>
      <c r="D13964" s="209"/>
      <c r="E13964" s="209"/>
      <c r="J13964" s="124"/>
    </row>
    <row r="13965" spans="3:10" x14ac:dyDescent="0.2">
      <c r="C13965" s="209"/>
      <c r="D13965" s="209"/>
      <c r="E13965" s="209"/>
      <c r="J13965" s="124"/>
    </row>
    <row r="13966" spans="3:10" x14ac:dyDescent="0.2">
      <c r="C13966" s="209"/>
      <c r="D13966" s="209"/>
      <c r="E13966" s="209"/>
      <c r="J13966" s="124"/>
    </row>
    <row r="13967" spans="3:10" x14ac:dyDescent="0.2">
      <c r="C13967" s="209"/>
      <c r="D13967" s="209"/>
      <c r="E13967" s="209"/>
      <c r="J13967" s="124"/>
    </row>
    <row r="13968" spans="3:10" x14ac:dyDescent="0.2">
      <c r="C13968" s="209"/>
      <c r="D13968" s="209"/>
      <c r="E13968" s="209"/>
      <c r="J13968" s="124"/>
    </row>
    <row r="13969" spans="3:10" x14ac:dyDescent="0.2">
      <c r="C13969" s="209"/>
      <c r="D13969" s="209"/>
      <c r="E13969" s="209"/>
      <c r="J13969" s="124"/>
    </row>
    <row r="13970" spans="3:10" x14ac:dyDescent="0.2">
      <c r="C13970" s="209"/>
      <c r="D13970" s="209"/>
      <c r="E13970" s="209"/>
      <c r="J13970" s="124"/>
    </row>
    <row r="13971" spans="3:10" x14ac:dyDescent="0.2">
      <c r="C13971" s="209"/>
      <c r="D13971" s="209"/>
      <c r="E13971" s="209"/>
      <c r="J13971" s="124"/>
    </row>
    <row r="13972" spans="3:10" x14ac:dyDescent="0.2">
      <c r="C13972" s="209"/>
      <c r="D13972" s="209"/>
      <c r="E13972" s="209"/>
      <c r="J13972" s="124"/>
    </row>
    <row r="13973" spans="3:10" x14ac:dyDescent="0.2">
      <c r="C13973" s="209"/>
      <c r="D13973" s="209"/>
      <c r="E13973" s="209"/>
      <c r="J13973" s="124"/>
    </row>
    <row r="13974" spans="3:10" x14ac:dyDescent="0.2">
      <c r="C13974" s="209"/>
      <c r="D13974" s="209"/>
      <c r="E13974" s="209"/>
      <c r="J13974" s="124"/>
    </row>
    <row r="13975" spans="3:10" x14ac:dyDescent="0.2">
      <c r="C13975" s="209"/>
      <c r="D13975" s="209"/>
      <c r="E13975" s="209"/>
      <c r="J13975" s="124"/>
    </row>
    <row r="13976" spans="3:10" x14ac:dyDescent="0.2">
      <c r="C13976" s="209"/>
      <c r="D13976" s="209"/>
      <c r="E13976" s="209"/>
      <c r="J13976" s="124"/>
    </row>
    <row r="13977" spans="3:10" x14ac:dyDescent="0.2">
      <c r="C13977" s="209"/>
      <c r="D13977" s="209"/>
      <c r="E13977" s="209"/>
      <c r="J13977" s="124"/>
    </row>
    <row r="13978" spans="3:10" x14ac:dyDescent="0.2">
      <c r="C13978" s="209"/>
      <c r="D13978" s="209"/>
      <c r="E13978" s="209"/>
      <c r="J13978" s="124"/>
    </row>
    <row r="13979" spans="3:10" x14ac:dyDescent="0.2">
      <c r="C13979" s="209"/>
      <c r="D13979" s="209"/>
      <c r="E13979" s="209"/>
      <c r="J13979" s="124"/>
    </row>
    <row r="13980" spans="3:10" x14ac:dyDescent="0.2">
      <c r="C13980" s="209"/>
      <c r="D13980" s="209"/>
      <c r="E13980" s="209"/>
      <c r="J13980" s="124"/>
    </row>
    <row r="13981" spans="3:10" x14ac:dyDescent="0.2">
      <c r="C13981" s="209"/>
      <c r="D13981" s="209"/>
      <c r="E13981" s="209"/>
      <c r="J13981" s="124"/>
    </row>
    <row r="13982" spans="3:10" x14ac:dyDescent="0.2">
      <c r="C13982" s="209"/>
      <c r="D13982" s="209"/>
      <c r="E13982" s="209"/>
      <c r="J13982" s="124"/>
    </row>
    <row r="13983" spans="3:10" x14ac:dyDescent="0.2">
      <c r="C13983" s="209"/>
      <c r="D13983" s="209"/>
      <c r="E13983" s="209"/>
      <c r="J13983" s="124"/>
    </row>
    <row r="13984" spans="3:10" x14ac:dyDescent="0.2">
      <c r="C13984" s="209"/>
      <c r="D13984" s="209"/>
      <c r="E13984" s="209"/>
      <c r="J13984" s="124"/>
    </row>
    <row r="13985" spans="3:10" x14ac:dyDescent="0.2">
      <c r="C13985" s="209"/>
      <c r="D13985" s="209"/>
      <c r="E13985" s="209"/>
      <c r="J13985" s="124"/>
    </row>
    <row r="13986" spans="3:10" x14ac:dyDescent="0.2">
      <c r="C13986" s="209"/>
      <c r="D13986" s="209"/>
      <c r="E13986" s="209"/>
      <c r="J13986" s="124"/>
    </row>
    <row r="13987" spans="3:10" x14ac:dyDescent="0.2">
      <c r="C13987" s="209"/>
      <c r="D13987" s="209"/>
      <c r="E13987" s="209"/>
      <c r="J13987" s="124"/>
    </row>
    <row r="13988" spans="3:10" x14ac:dyDescent="0.2">
      <c r="C13988" s="209"/>
      <c r="D13988" s="209"/>
      <c r="E13988" s="209"/>
      <c r="J13988" s="124"/>
    </row>
    <row r="13989" spans="3:10" x14ac:dyDescent="0.2">
      <c r="C13989" s="209"/>
      <c r="D13989" s="209"/>
      <c r="E13989" s="209"/>
      <c r="J13989" s="124"/>
    </row>
    <row r="13990" spans="3:10" x14ac:dyDescent="0.2">
      <c r="C13990" s="209"/>
      <c r="D13990" s="209"/>
      <c r="E13990" s="209"/>
      <c r="J13990" s="124"/>
    </row>
    <row r="13991" spans="3:10" x14ac:dyDescent="0.2">
      <c r="C13991" s="209"/>
      <c r="D13991" s="209"/>
      <c r="E13991" s="209"/>
      <c r="J13991" s="124"/>
    </row>
    <row r="13992" spans="3:10" x14ac:dyDescent="0.2">
      <c r="C13992" s="209"/>
      <c r="D13992" s="209"/>
      <c r="E13992" s="209"/>
      <c r="J13992" s="124"/>
    </row>
    <row r="13993" spans="3:10" x14ac:dyDescent="0.2">
      <c r="C13993" s="209"/>
      <c r="D13993" s="209"/>
      <c r="E13993" s="209"/>
      <c r="J13993" s="124"/>
    </row>
    <row r="13994" spans="3:10" x14ac:dyDescent="0.2">
      <c r="C13994" s="209"/>
      <c r="D13994" s="209"/>
      <c r="E13994" s="209"/>
      <c r="J13994" s="124"/>
    </row>
    <row r="13995" spans="3:10" x14ac:dyDescent="0.2">
      <c r="C13995" s="209"/>
      <c r="D13995" s="209"/>
      <c r="E13995" s="209"/>
      <c r="J13995" s="124"/>
    </row>
    <row r="13996" spans="3:10" x14ac:dyDescent="0.2">
      <c r="C13996" s="209"/>
      <c r="D13996" s="209"/>
      <c r="E13996" s="209"/>
      <c r="J13996" s="124"/>
    </row>
    <row r="13997" spans="3:10" x14ac:dyDescent="0.2">
      <c r="C13997" s="209"/>
      <c r="D13997" s="209"/>
      <c r="E13997" s="209"/>
      <c r="J13997" s="124"/>
    </row>
    <row r="13998" spans="3:10" x14ac:dyDescent="0.2">
      <c r="C13998" s="209"/>
      <c r="D13998" s="209"/>
      <c r="E13998" s="209"/>
      <c r="J13998" s="124"/>
    </row>
    <row r="13999" spans="3:10" x14ac:dyDescent="0.2">
      <c r="C13999" s="209"/>
      <c r="D13999" s="209"/>
      <c r="E13999" s="209"/>
      <c r="J13999" s="124"/>
    </row>
    <row r="14000" spans="3:10" x14ac:dyDescent="0.2">
      <c r="C14000" s="209"/>
      <c r="D14000" s="209"/>
      <c r="E14000" s="209"/>
      <c r="J14000" s="124"/>
    </row>
    <row r="14001" spans="3:10" x14ac:dyDescent="0.2">
      <c r="C14001" s="209"/>
      <c r="D14001" s="209"/>
      <c r="E14001" s="209"/>
      <c r="J14001" s="124"/>
    </row>
    <row r="14002" spans="3:10" x14ac:dyDescent="0.2">
      <c r="C14002" s="209"/>
      <c r="D14002" s="209"/>
      <c r="E14002" s="209"/>
      <c r="J14002" s="124"/>
    </row>
    <row r="14003" spans="3:10" x14ac:dyDescent="0.2">
      <c r="C14003" s="209"/>
      <c r="D14003" s="209"/>
      <c r="E14003" s="209"/>
      <c r="J14003" s="124"/>
    </row>
    <row r="14004" spans="3:10" x14ac:dyDescent="0.2">
      <c r="C14004" s="209"/>
      <c r="D14004" s="209"/>
      <c r="E14004" s="209"/>
      <c r="J14004" s="124"/>
    </row>
    <row r="14005" spans="3:10" x14ac:dyDescent="0.2">
      <c r="C14005" s="209"/>
      <c r="D14005" s="209"/>
      <c r="E14005" s="209"/>
      <c r="J14005" s="124"/>
    </row>
    <row r="14006" spans="3:10" x14ac:dyDescent="0.2">
      <c r="C14006" s="209"/>
      <c r="D14006" s="209"/>
      <c r="E14006" s="209"/>
      <c r="J14006" s="124"/>
    </row>
    <row r="14007" spans="3:10" x14ac:dyDescent="0.2">
      <c r="C14007" s="209"/>
      <c r="D14007" s="209"/>
      <c r="E14007" s="209"/>
      <c r="J14007" s="124"/>
    </row>
    <row r="14008" spans="3:10" x14ac:dyDescent="0.2">
      <c r="C14008" s="209"/>
      <c r="D14008" s="209"/>
      <c r="E14008" s="209"/>
      <c r="J14008" s="124"/>
    </row>
    <row r="14009" spans="3:10" x14ac:dyDescent="0.2">
      <c r="C14009" s="209"/>
      <c r="D14009" s="209"/>
      <c r="E14009" s="209"/>
      <c r="J14009" s="124"/>
    </row>
    <row r="14010" spans="3:10" x14ac:dyDescent="0.2">
      <c r="C14010" s="209"/>
      <c r="D14010" s="209"/>
      <c r="E14010" s="209"/>
      <c r="J14010" s="124"/>
    </row>
    <row r="14011" spans="3:10" x14ac:dyDescent="0.2">
      <c r="C14011" s="209"/>
      <c r="D14011" s="209"/>
      <c r="E14011" s="209"/>
      <c r="J14011" s="124"/>
    </row>
    <row r="14012" spans="3:10" x14ac:dyDescent="0.2">
      <c r="C14012" s="209"/>
      <c r="D14012" s="209"/>
      <c r="E14012" s="209"/>
      <c r="J14012" s="124"/>
    </row>
    <row r="14013" spans="3:10" x14ac:dyDescent="0.2">
      <c r="C14013" s="209"/>
      <c r="D14013" s="209"/>
      <c r="E14013" s="209"/>
      <c r="J14013" s="124"/>
    </row>
    <row r="14014" spans="3:10" x14ac:dyDescent="0.2">
      <c r="C14014" s="209"/>
      <c r="D14014" s="209"/>
      <c r="E14014" s="209"/>
      <c r="J14014" s="124"/>
    </row>
    <row r="14015" spans="3:10" x14ac:dyDescent="0.2">
      <c r="C14015" s="209"/>
      <c r="D14015" s="209"/>
      <c r="E14015" s="209"/>
      <c r="J14015" s="124"/>
    </row>
    <row r="14016" spans="3:10" x14ac:dyDescent="0.2">
      <c r="C14016" s="209"/>
      <c r="D14016" s="209"/>
      <c r="E14016" s="209"/>
      <c r="J14016" s="124"/>
    </row>
    <row r="14017" spans="3:10" x14ac:dyDescent="0.2">
      <c r="C14017" s="209"/>
      <c r="D14017" s="209"/>
      <c r="E14017" s="209"/>
      <c r="J14017" s="124"/>
    </row>
    <row r="14018" spans="3:10" x14ac:dyDescent="0.2">
      <c r="C14018" s="209"/>
      <c r="D14018" s="209"/>
      <c r="E14018" s="209"/>
      <c r="J14018" s="124"/>
    </row>
    <row r="14019" spans="3:10" x14ac:dyDescent="0.2">
      <c r="C14019" s="209"/>
      <c r="D14019" s="209"/>
      <c r="E14019" s="209"/>
      <c r="J14019" s="124"/>
    </row>
    <row r="14020" spans="3:10" x14ac:dyDescent="0.2">
      <c r="C14020" s="209"/>
      <c r="D14020" s="209"/>
      <c r="E14020" s="209"/>
      <c r="J14020" s="124"/>
    </row>
    <row r="14021" spans="3:10" x14ac:dyDescent="0.2">
      <c r="C14021" s="209"/>
      <c r="D14021" s="209"/>
      <c r="E14021" s="209"/>
      <c r="J14021" s="124"/>
    </row>
    <row r="14022" spans="3:10" x14ac:dyDescent="0.2">
      <c r="C14022" s="209"/>
      <c r="D14022" s="209"/>
      <c r="E14022" s="209"/>
      <c r="J14022" s="124"/>
    </row>
    <row r="14023" spans="3:10" x14ac:dyDescent="0.2">
      <c r="C14023" s="209"/>
      <c r="D14023" s="209"/>
      <c r="E14023" s="209"/>
      <c r="J14023" s="124"/>
    </row>
    <row r="14024" spans="3:10" x14ac:dyDescent="0.2">
      <c r="C14024" s="209"/>
      <c r="D14024" s="209"/>
      <c r="E14024" s="209"/>
      <c r="J14024" s="124"/>
    </row>
    <row r="14025" spans="3:10" x14ac:dyDescent="0.2">
      <c r="C14025" s="209"/>
      <c r="D14025" s="209"/>
      <c r="E14025" s="209"/>
      <c r="J14025" s="124"/>
    </row>
    <row r="14026" spans="3:10" x14ac:dyDescent="0.2">
      <c r="C14026" s="209"/>
      <c r="D14026" s="209"/>
      <c r="E14026" s="209"/>
      <c r="J14026" s="124"/>
    </row>
    <row r="14027" spans="3:10" x14ac:dyDescent="0.2">
      <c r="C14027" s="209"/>
      <c r="D14027" s="209"/>
      <c r="E14027" s="209"/>
      <c r="J14027" s="124"/>
    </row>
    <row r="14028" spans="3:10" x14ac:dyDescent="0.2">
      <c r="C14028" s="209"/>
      <c r="D14028" s="209"/>
      <c r="E14028" s="209"/>
      <c r="J14028" s="124"/>
    </row>
    <row r="14029" spans="3:10" x14ac:dyDescent="0.2">
      <c r="C14029" s="209"/>
      <c r="D14029" s="209"/>
      <c r="E14029" s="209"/>
      <c r="J14029" s="124"/>
    </row>
    <row r="14030" spans="3:10" x14ac:dyDescent="0.2">
      <c r="C14030" s="209"/>
      <c r="D14030" s="209"/>
      <c r="E14030" s="209"/>
      <c r="J14030" s="124"/>
    </row>
    <row r="14031" spans="3:10" x14ac:dyDescent="0.2">
      <c r="C14031" s="209"/>
      <c r="D14031" s="209"/>
      <c r="E14031" s="209"/>
      <c r="J14031" s="124"/>
    </row>
    <row r="14032" spans="3:10" x14ac:dyDescent="0.2">
      <c r="C14032" s="209"/>
      <c r="D14032" s="209"/>
      <c r="E14032" s="209"/>
      <c r="J14032" s="124"/>
    </row>
    <row r="14033" spans="3:10" x14ac:dyDescent="0.2">
      <c r="C14033" s="209"/>
      <c r="D14033" s="209"/>
      <c r="E14033" s="209"/>
      <c r="J14033" s="124"/>
    </row>
    <row r="14034" spans="3:10" x14ac:dyDescent="0.2">
      <c r="C14034" s="209"/>
      <c r="D14034" s="209"/>
      <c r="E14034" s="209"/>
      <c r="J14034" s="124"/>
    </row>
    <row r="14035" spans="3:10" x14ac:dyDescent="0.2">
      <c r="C14035" s="209"/>
      <c r="D14035" s="209"/>
      <c r="E14035" s="209"/>
      <c r="J14035" s="124"/>
    </row>
    <row r="14036" spans="3:10" x14ac:dyDescent="0.2">
      <c r="C14036" s="209"/>
      <c r="D14036" s="209"/>
      <c r="E14036" s="209"/>
      <c r="J14036" s="124"/>
    </row>
    <row r="14037" spans="3:10" x14ac:dyDescent="0.2">
      <c r="C14037" s="209"/>
      <c r="D14037" s="209"/>
      <c r="E14037" s="209"/>
      <c r="J14037" s="124"/>
    </row>
    <row r="14038" spans="3:10" x14ac:dyDescent="0.2">
      <c r="C14038" s="209"/>
      <c r="D14038" s="209"/>
      <c r="E14038" s="209"/>
      <c r="J14038" s="124"/>
    </row>
    <row r="14039" spans="3:10" x14ac:dyDescent="0.2">
      <c r="C14039" s="209"/>
      <c r="D14039" s="209"/>
      <c r="E14039" s="209"/>
      <c r="J14039" s="124"/>
    </row>
    <row r="14040" spans="3:10" x14ac:dyDescent="0.2">
      <c r="C14040" s="209"/>
      <c r="D14040" s="209"/>
      <c r="E14040" s="209"/>
      <c r="J14040" s="124"/>
    </row>
    <row r="14041" spans="3:10" x14ac:dyDescent="0.2">
      <c r="C14041" s="209"/>
      <c r="D14041" s="209"/>
      <c r="E14041" s="209"/>
      <c r="J14041" s="124"/>
    </row>
    <row r="14042" spans="3:10" x14ac:dyDescent="0.2">
      <c r="C14042" s="209"/>
      <c r="D14042" s="209"/>
      <c r="E14042" s="209"/>
      <c r="J14042" s="124"/>
    </row>
    <row r="14043" spans="3:10" x14ac:dyDescent="0.2">
      <c r="C14043" s="209"/>
      <c r="D14043" s="209"/>
      <c r="E14043" s="209"/>
      <c r="J14043" s="124"/>
    </row>
    <row r="14044" spans="3:10" x14ac:dyDescent="0.2">
      <c r="C14044" s="209"/>
      <c r="D14044" s="209"/>
      <c r="E14044" s="209"/>
      <c r="J14044" s="124"/>
    </row>
    <row r="14045" spans="3:10" x14ac:dyDescent="0.2">
      <c r="C14045" s="209"/>
      <c r="D14045" s="209"/>
      <c r="E14045" s="209"/>
      <c r="J14045" s="124"/>
    </row>
    <row r="14046" spans="3:10" x14ac:dyDescent="0.2">
      <c r="C14046" s="209"/>
      <c r="D14046" s="209"/>
      <c r="E14046" s="209"/>
      <c r="J14046" s="124"/>
    </row>
    <row r="14047" spans="3:10" x14ac:dyDescent="0.2">
      <c r="C14047" s="209"/>
      <c r="D14047" s="209"/>
      <c r="E14047" s="209"/>
      <c r="J14047" s="124"/>
    </row>
    <row r="14048" spans="3:10" x14ac:dyDescent="0.2">
      <c r="C14048" s="209"/>
      <c r="D14048" s="209"/>
      <c r="E14048" s="209"/>
      <c r="J14048" s="124"/>
    </row>
    <row r="14049" spans="3:10" x14ac:dyDescent="0.2">
      <c r="C14049" s="209"/>
      <c r="D14049" s="209"/>
      <c r="E14049" s="209"/>
      <c r="J14049" s="124"/>
    </row>
    <row r="14050" spans="3:10" x14ac:dyDescent="0.2">
      <c r="C14050" s="209"/>
      <c r="D14050" s="209"/>
      <c r="E14050" s="209"/>
      <c r="J14050" s="124"/>
    </row>
    <row r="14051" spans="3:10" x14ac:dyDescent="0.2">
      <c r="C14051" s="209"/>
      <c r="D14051" s="209"/>
      <c r="E14051" s="209"/>
      <c r="J14051" s="124"/>
    </row>
    <row r="14052" spans="3:10" x14ac:dyDescent="0.2">
      <c r="C14052" s="209"/>
      <c r="D14052" s="209"/>
      <c r="E14052" s="209"/>
      <c r="J14052" s="124"/>
    </row>
    <row r="14053" spans="3:10" x14ac:dyDescent="0.2">
      <c r="C14053" s="209"/>
      <c r="D14053" s="209"/>
      <c r="E14053" s="209"/>
      <c r="J14053" s="124"/>
    </row>
    <row r="14054" spans="3:10" x14ac:dyDescent="0.2">
      <c r="C14054" s="209"/>
      <c r="D14054" s="209"/>
      <c r="E14054" s="209"/>
      <c r="J14054" s="124"/>
    </row>
    <row r="14055" spans="3:10" x14ac:dyDescent="0.2">
      <c r="C14055" s="209"/>
      <c r="D14055" s="209"/>
      <c r="E14055" s="209"/>
      <c r="J14055" s="124"/>
    </row>
    <row r="14056" spans="3:10" x14ac:dyDescent="0.2">
      <c r="C14056" s="209"/>
      <c r="D14056" s="209"/>
      <c r="E14056" s="209"/>
      <c r="J14056" s="124"/>
    </row>
    <row r="14057" spans="3:10" x14ac:dyDescent="0.2">
      <c r="C14057" s="209"/>
      <c r="D14057" s="209"/>
      <c r="E14057" s="209"/>
      <c r="J14057" s="124"/>
    </row>
    <row r="14058" spans="3:10" x14ac:dyDescent="0.2">
      <c r="C14058" s="209"/>
      <c r="D14058" s="209"/>
      <c r="E14058" s="209"/>
      <c r="J14058" s="124"/>
    </row>
    <row r="14059" spans="3:10" x14ac:dyDescent="0.2">
      <c r="C14059" s="209"/>
      <c r="D14059" s="209"/>
      <c r="E14059" s="209"/>
      <c r="J14059" s="124"/>
    </row>
    <row r="14060" spans="3:10" x14ac:dyDescent="0.2">
      <c r="C14060" s="209"/>
      <c r="D14060" s="209"/>
      <c r="E14060" s="209"/>
      <c r="J14060" s="124"/>
    </row>
    <row r="14061" spans="3:10" x14ac:dyDescent="0.2">
      <c r="C14061" s="209"/>
      <c r="D14061" s="209"/>
      <c r="E14061" s="209"/>
      <c r="J14061" s="124"/>
    </row>
    <row r="14062" spans="3:10" x14ac:dyDescent="0.2">
      <c r="C14062" s="209"/>
      <c r="D14062" s="209"/>
      <c r="E14062" s="209"/>
      <c r="J14062" s="124"/>
    </row>
    <row r="14063" spans="3:10" x14ac:dyDescent="0.2">
      <c r="C14063" s="209"/>
      <c r="D14063" s="209"/>
      <c r="E14063" s="209"/>
      <c r="J14063" s="124"/>
    </row>
    <row r="14064" spans="3:10" x14ac:dyDescent="0.2">
      <c r="C14064" s="209"/>
      <c r="D14064" s="209"/>
      <c r="E14064" s="209"/>
      <c r="J14064" s="124"/>
    </row>
    <row r="14065" spans="3:10" x14ac:dyDescent="0.2">
      <c r="C14065" s="209"/>
      <c r="D14065" s="209"/>
      <c r="E14065" s="209"/>
      <c r="J14065" s="124"/>
    </row>
    <row r="14066" spans="3:10" x14ac:dyDescent="0.2">
      <c r="C14066" s="209"/>
      <c r="D14066" s="209"/>
      <c r="E14066" s="209"/>
      <c r="J14066" s="124"/>
    </row>
    <row r="14067" spans="3:10" x14ac:dyDescent="0.2">
      <c r="C14067" s="209"/>
      <c r="D14067" s="209"/>
      <c r="E14067" s="209"/>
      <c r="J14067" s="124"/>
    </row>
    <row r="14068" spans="3:10" x14ac:dyDescent="0.2">
      <c r="C14068" s="209"/>
      <c r="D14068" s="209"/>
      <c r="E14068" s="209"/>
      <c r="J14068" s="124"/>
    </row>
    <row r="14069" spans="3:10" x14ac:dyDescent="0.2">
      <c r="C14069" s="209"/>
      <c r="D14069" s="209"/>
      <c r="E14069" s="209"/>
      <c r="J14069" s="124"/>
    </row>
    <row r="14070" spans="3:10" x14ac:dyDescent="0.2">
      <c r="C14070" s="209"/>
      <c r="D14070" s="209"/>
      <c r="E14070" s="209"/>
      <c r="J14070" s="124"/>
    </row>
    <row r="14071" spans="3:10" x14ac:dyDescent="0.2">
      <c r="C14071" s="209"/>
      <c r="D14071" s="209"/>
      <c r="E14071" s="209"/>
      <c r="J14071" s="124"/>
    </row>
    <row r="14072" spans="3:10" x14ac:dyDescent="0.2">
      <c r="C14072" s="209"/>
      <c r="D14072" s="209"/>
      <c r="E14072" s="209"/>
      <c r="J14072" s="124"/>
    </row>
    <row r="14073" spans="3:10" x14ac:dyDescent="0.2">
      <c r="C14073" s="209"/>
      <c r="D14073" s="209"/>
      <c r="E14073" s="209"/>
      <c r="J14073" s="124"/>
    </row>
    <row r="14074" spans="3:10" x14ac:dyDescent="0.2">
      <c r="C14074" s="209"/>
      <c r="D14074" s="209"/>
      <c r="E14074" s="209"/>
      <c r="J14074" s="124"/>
    </row>
    <row r="14075" spans="3:10" x14ac:dyDescent="0.2">
      <c r="C14075" s="209"/>
      <c r="D14075" s="209"/>
      <c r="E14075" s="209"/>
      <c r="J14075" s="124"/>
    </row>
    <row r="14076" spans="3:10" x14ac:dyDescent="0.2">
      <c r="C14076" s="209"/>
      <c r="D14076" s="209"/>
      <c r="E14076" s="209"/>
      <c r="J14076" s="124"/>
    </row>
    <row r="14077" spans="3:10" x14ac:dyDescent="0.2">
      <c r="C14077" s="209"/>
      <c r="D14077" s="209"/>
      <c r="E14077" s="209"/>
      <c r="J14077" s="124"/>
    </row>
    <row r="14078" spans="3:10" x14ac:dyDescent="0.2">
      <c r="C14078" s="209"/>
      <c r="D14078" s="209"/>
      <c r="E14078" s="209"/>
      <c r="J14078" s="124"/>
    </row>
    <row r="14079" spans="3:10" x14ac:dyDescent="0.2">
      <c r="C14079" s="209"/>
      <c r="D14079" s="209"/>
      <c r="E14079" s="209"/>
      <c r="J14079" s="124"/>
    </row>
    <row r="14080" spans="3:10" x14ac:dyDescent="0.2">
      <c r="C14080" s="209"/>
      <c r="D14080" s="209"/>
      <c r="E14080" s="209"/>
      <c r="J14080" s="124"/>
    </row>
    <row r="14081" spans="3:10" x14ac:dyDescent="0.2">
      <c r="C14081" s="209"/>
      <c r="D14081" s="209"/>
      <c r="E14081" s="209"/>
      <c r="J14081" s="124"/>
    </row>
    <row r="14082" spans="3:10" x14ac:dyDescent="0.2">
      <c r="C14082" s="209"/>
      <c r="D14082" s="209"/>
      <c r="E14082" s="209"/>
      <c r="J14082" s="124"/>
    </row>
    <row r="14083" spans="3:10" x14ac:dyDescent="0.2">
      <c r="C14083" s="209"/>
      <c r="D14083" s="209"/>
      <c r="E14083" s="209"/>
      <c r="J14083" s="124"/>
    </row>
    <row r="14084" spans="3:10" x14ac:dyDescent="0.2">
      <c r="C14084" s="209"/>
      <c r="D14084" s="209"/>
      <c r="E14084" s="209"/>
      <c r="J14084" s="124"/>
    </row>
    <row r="14085" spans="3:10" x14ac:dyDescent="0.2">
      <c r="C14085" s="209"/>
      <c r="D14085" s="209"/>
      <c r="E14085" s="209"/>
      <c r="J14085" s="124"/>
    </row>
    <row r="14086" spans="3:10" x14ac:dyDescent="0.2">
      <c r="C14086" s="209"/>
      <c r="D14086" s="209"/>
      <c r="E14086" s="209"/>
      <c r="J14086" s="124"/>
    </row>
    <row r="14087" spans="3:10" x14ac:dyDescent="0.2">
      <c r="C14087" s="209"/>
      <c r="D14087" s="209"/>
      <c r="E14087" s="209"/>
      <c r="J14087" s="124"/>
    </row>
    <row r="14088" spans="3:10" x14ac:dyDescent="0.2">
      <c r="C14088" s="209"/>
      <c r="D14088" s="209"/>
      <c r="E14088" s="209"/>
      <c r="J14088" s="124"/>
    </row>
    <row r="14089" spans="3:10" x14ac:dyDescent="0.2">
      <c r="C14089" s="209"/>
      <c r="D14089" s="209"/>
      <c r="E14089" s="209"/>
      <c r="J14089" s="124"/>
    </row>
    <row r="14090" spans="3:10" x14ac:dyDescent="0.2">
      <c r="C14090" s="209"/>
      <c r="D14090" s="209"/>
      <c r="E14090" s="209"/>
      <c r="J14090" s="124"/>
    </row>
    <row r="14091" spans="3:10" x14ac:dyDescent="0.2">
      <c r="C14091" s="209"/>
      <c r="D14091" s="209"/>
      <c r="E14091" s="209"/>
      <c r="J14091" s="124"/>
    </row>
    <row r="14092" spans="3:10" x14ac:dyDescent="0.2">
      <c r="C14092" s="209"/>
      <c r="D14092" s="209"/>
      <c r="E14092" s="209"/>
      <c r="J14092" s="124"/>
    </row>
    <row r="14093" spans="3:10" x14ac:dyDescent="0.2">
      <c r="C14093" s="209"/>
      <c r="D14093" s="209"/>
      <c r="E14093" s="209"/>
      <c r="J14093" s="124"/>
    </row>
    <row r="14094" spans="3:10" x14ac:dyDescent="0.2">
      <c r="C14094" s="209"/>
      <c r="D14094" s="209"/>
      <c r="E14094" s="209"/>
      <c r="J14094" s="124"/>
    </row>
    <row r="14095" spans="3:10" x14ac:dyDescent="0.2">
      <c r="C14095" s="209"/>
      <c r="D14095" s="209"/>
      <c r="E14095" s="209"/>
      <c r="J14095" s="124"/>
    </row>
    <row r="14096" spans="3:10" x14ac:dyDescent="0.2">
      <c r="C14096" s="209"/>
      <c r="D14096" s="209"/>
      <c r="E14096" s="209"/>
      <c r="J14096" s="124"/>
    </row>
    <row r="14097" spans="3:10" x14ac:dyDescent="0.2">
      <c r="C14097" s="209"/>
      <c r="D14097" s="209"/>
      <c r="E14097" s="209"/>
      <c r="J14097" s="124"/>
    </row>
    <row r="14098" spans="3:10" x14ac:dyDescent="0.2">
      <c r="C14098" s="209"/>
      <c r="D14098" s="209"/>
      <c r="E14098" s="209"/>
      <c r="J14098" s="124"/>
    </row>
    <row r="14099" spans="3:10" x14ac:dyDescent="0.2">
      <c r="C14099" s="209"/>
      <c r="D14099" s="209"/>
      <c r="E14099" s="209"/>
      <c r="J14099" s="124"/>
    </row>
    <row r="14100" spans="3:10" x14ac:dyDescent="0.2">
      <c r="C14100" s="209"/>
      <c r="D14100" s="209"/>
      <c r="E14100" s="209"/>
      <c r="J14100" s="124"/>
    </row>
    <row r="14101" spans="3:10" x14ac:dyDescent="0.2">
      <c r="C14101" s="209"/>
      <c r="D14101" s="209"/>
      <c r="E14101" s="209"/>
      <c r="J14101" s="124"/>
    </row>
    <row r="14102" spans="3:10" x14ac:dyDescent="0.2">
      <c r="C14102" s="209"/>
      <c r="D14102" s="209"/>
      <c r="E14102" s="209"/>
      <c r="J14102" s="124"/>
    </row>
    <row r="14103" spans="3:10" x14ac:dyDescent="0.2">
      <c r="C14103" s="209"/>
      <c r="D14103" s="209"/>
      <c r="E14103" s="209"/>
      <c r="J14103" s="124"/>
    </row>
    <row r="14104" spans="3:10" x14ac:dyDescent="0.2">
      <c r="C14104" s="209"/>
      <c r="D14104" s="209"/>
      <c r="E14104" s="209"/>
      <c r="J14104" s="124"/>
    </row>
    <row r="14105" spans="3:10" x14ac:dyDescent="0.2">
      <c r="C14105" s="209"/>
      <c r="D14105" s="209"/>
      <c r="E14105" s="209"/>
      <c r="J14105" s="124"/>
    </row>
    <row r="14106" spans="3:10" x14ac:dyDescent="0.2">
      <c r="C14106" s="209"/>
      <c r="D14106" s="209"/>
      <c r="E14106" s="209"/>
      <c r="J14106" s="124"/>
    </row>
    <row r="14107" spans="3:10" x14ac:dyDescent="0.2">
      <c r="C14107" s="209"/>
      <c r="D14107" s="209"/>
      <c r="E14107" s="209"/>
      <c r="J14107" s="124"/>
    </row>
    <row r="14108" spans="3:10" x14ac:dyDescent="0.2">
      <c r="C14108" s="209"/>
      <c r="D14108" s="209"/>
      <c r="E14108" s="209"/>
      <c r="J14108" s="124"/>
    </row>
    <row r="14109" spans="3:10" x14ac:dyDescent="0.2">
      <c r="C14109" s="209"/>
      <c r="D14109" s="209"/>
      <c r="E14109" s="209"/>
      <c r="J14109" s="124"/>
    </row>
    <row r="14110" spans="3:10" x14ac:dyDescent="0.2">
      <c r="C14110" s="209"/>
      <c r="D14110" s="209"/>
      <c r="E14110" s="209"/>
      <c r="J14110" s="124"/>
    </row>
    <row r="14111" spans="3:10" x14ac:dyDescent="0.2">
      <c r="C14111" s="209"/>
      <c r="D14111" s="209"/>
      <c r="E14111" s="209"/>
      <c r="J14111" s="124"/>
    </row>
    <row r="14112" spans="3:10" x14ac:dyDescent="0.2">
      <c r="C14112" s="209"/>
      <c r="D14112" s="209"/>
      <c r="E14112" s="209"/>
      <c r="J14112" s="124"/>
    </row>
    <row r="14113" spans="3:10" x14ac:dyDescent="0.2">
      <c r="C14113" s="209"/>
      <c r="D14113" s="209"/>
      <c r="E14113" s="209"/>
      <c r="J14113" s="124"/>
    </row>
    <row r="14114" spans="3:10" x14ac:dyDescent="0.2">
      <c r="C14114" s="209"/>
      <c r="D14114" s="209"/>
      <c r="E14114" s="209"/>
      <c r="J14114" s="124"/>
    </row>
    <row r="14115" spans="3:10" x14ac:dyDescent="0.2">
      <c r="C14115" s="209"/>
      <c r="D14115" s="209"/>
      <c r="E14115" s="209"/>
      <c r="J14115" s="124"/>
    </row>
    <row r="14116" spans="3:10" x14ac:dyDescent="0.2">
      <c r="C14116" s="209"/>
      <c r="D14116" s="209"/>
      <c r="E14116" s="209"/>
      <c r="J14116" s="124"/>
    </row>
    <row r="14117" spans="3:10" x14ac:dyDescent="0.2">
      <c r="C14117" s="209"/>
      <c r="D14117" s="209"/>
      <c r="E14117" s="209"/>
      <c r="J14117" s="124"/>
    </row>
    <row r="14118" spans="3:10" x14ac:dyDescent="0.2">
      <c r="C14118" s="209"/>
      <c r="D14118" s="209"/>
      <c r="E14118" s="209"/>
      <c r="J14118" s="124"/>
    </row>
    <row r="14119" spans="3:10" x14ac:dyDescent="0.2">
      <c r="C14119" s="209"/>
      <c r="D14119" s="209"/>
      <c r="E14119" s="209"/>
      <c r="J14119" s="124"/>
    </row>
    <row r="14120" spans="3:10" x14ac:dyDescent="0.2">
      <c r="C14120" s="209"/>
      <c r="D14120" s="209"/>
      <c r="E14120" s="209"/>
      <c r="J14120" s="124"/>
    </row>
    <row r="14121" spans="3:10" x14ac:dyDescent="0.2">
      <c r="C14121" s="209"/>
      <c r="D14121" s="209"/>
      <c r="E14121" s="209"/>
      <c r="J14121" s="124"/>
    </row>
    <row r="14122" spans="3:10" x14ac:dyDescent="0.2">
      <c r="C14122" s="209"/>
      <c r="D14122" s="209"/>
      <c r="E14122" s="209"/>
      <c r="J14122" s="124"/>
    </row>
    <row r="14123" spans="3:10" x14ac:dyDescent="0.2">
      <c r="C14123" s="209"/>
      <c r="D14123" s="209"/>
      <c r="E14123" s="209"/>
      <c r="J14123" s="124"/>
    </row>
    <row r="14124" spans="3:10" x14ac:dyDescent="0.2">
      <c r="C14124" s="209"/>
      <c r="D14124" s="209"/>
      <c r="E14124" s="209"/>
      <c r="J14124" s="124"/>
    </row>
    <row r="14125" spans="3:10" x14ac:dyDescent="0.2">
      <c r="C14125" s="209"/>
      <c r="D14125" s="209"/>
      <c r="E14125" s="209"/>
      <c r="J14125" s="124"/>
    </row>
    <row r="14126" spans="3:10" x14ac:dyDescent="0.2">
      <c r="C14126" s="209"/>
      <c r="D14126" s="209"/>
      <c r="E14126" s="209"/>
      <c r="J14126" s="124"/>
    </row>
    <row r="14127" spans="3:10" x14ac:dyDescent="0.2">
      <c r="C14127" s="209"/>
      <c r="D14127" s="209"/>
      <c r="E14127" s="209"/>
      <c r="J14127" s="124"/>
    </row>
    <row r="14128" spans="3:10" x14ac:dyDescent="0.2">
      <c r="C14128" s="209"/>
      <c r="D14128" s="209"/>
      <c r="E14128" s="209"/>
      <c r="J14128" s="124"/>
    </row>
    <row r="14129" spans="3:10" x14ac:dyDescent="0.2">
      <c r="C14129" s="209"/>
      <c r="D14129" s="209"/>
      <c r="E14129" s="209"/>
      <c r="J14129" s="124"/>
    </row>
    <row r="14130" spans="3:10" x14ac:dyDescent="0.2">
      <c r="C14130" s="209"/>
      <c r="D14130" s="209"/>
      <c r="E14130" s="209"/>
      <c r="J14130" s="124"/>
    </row>
    <row r="14131" spans="3:10" x14ac:dyDescent="0.2">
      <c r="C14131" s="209"/>
      <c r="D14131" s="209"/>
      <c r="E14131" s="209"/>
      <c r="J14131" s="124"/>
    </row>
    <row r="14132" spans="3:10" x14ac:dyDescent="0.2">
      <c r="C14132" s="209"/>
      <c r="D14132" s="209"/>
      <c r="E14132" s="209"/>
      <c r="J14132" s="124"/>
    </row>
    <row r="14133" spans="3:10" x14ac:dyDescent="0.2">
      <c r="C14133" s="209"/>
      <c r="D14133" s="209"/>
      <c r="E14133" s="209"/>
      <c r="J14133" s="124"/>
    </row>
    <row r="14134" spans="3:10" x14ac:dyDescent="0.2">
      <c r="C14134" s="209"/>
      <c r="D14134" s="209"/>
      <c r="E14134" s="209"/>
      <c r="J14134" s="124"/>
    </row>
    <row r="14135" spans="3:10" x14ac:dyDescent="0.2">
      <c r="C14135" s="209"/>
      <c r="D14135" s="209"/>
      <c r="E14135" s="209"/>
      <c r="J14135" s="124"/>
    </row>
    <row r="14136" spans="3:10" x14ac:dyDescent="0.2">
      <c r="C14136" s="209"/>
      <c r="D14136" s="209"/>
      <c r="E14136" s="209"/>
      <c r="J14136" s="124"/>
    </row>
    <row r="14137" spans="3:10" x14ac:dyDescent="0.2">
      <c r="C14137" s="209"/>
      <c r="D14137" s="209"/>
      <c r="E14137" s="209"/>
      <c r="J14137" s="124"/>
    </row>
    <row r="14138" spans="3:10" x14ac:dyDescent="0.2">
      <c r="C14138" s="209"/>
      <c r="D14138" s="209"/>
      <c r="E14138" s="209"/>
      <c r="J14138" s="124"/>
    </row>
    <row r="14139" spans="3:10" x14ac:dyDescent="0.2">
      <c r="C14139" s="209"/>
      <c r="D14139" s="209"/>
      <c r="E14139" s="209"/>
      <c r="J14139" s="124"/>
    </row>
    <row r="14140" spans="3:10" x14ac:dyDescent="0.2">
      <c r="C14140" s="209"/>
      <c r="D14140" s="209"/>
      <c r="E14140" s="209"/>
      <c r="J14140" s="124"/>
    </row>
    <row r="14141" spans="3:10" x14ac:dyDescent="0.2">
      <c r="C14141" s="209"/>
      <c r="D14141" s="209"/>
      <c r="E14141" s="209"/>
      <c r="J14141" s="124"/>
    </row>
    <row r="14142" spans="3:10" x14ac:dyDescent="0.2">
      <c r="C14142" s="209"/>
      <c r="D14142" s="209"/>
      <c r="E14142" s="209"/>
      <c r="J14142" s="124"/>
    </row>
    <row r="14143" spans="3:10" x14ac:dyDescent="0.2">
      <c r="C14143" s="209"/>
      <c r="D14143" s="209"/>
      <c r="E14143" s="209"/>
      <c r="J14143" s="124"/>
    </row>
    <row r="14144" spans="3:10" x14ac:dyDescent="0.2">
      <c r="C14144" s="209"/>
      <c r="D14144" s="209"/>
      <c r="E14144" s="209"/>
      <c r="J14144" s="124"/>
    </row>
    <row r="14145" spans="3:10" x14ac:dyDescent="0.2">
      <c r="C14145" s="209"/>
      <c r="D14145" s="209"/>
      <c r="E14145" s="209"/>
      <c r="J14145" s="124"/>
    </row>
    <row r="14146" spans="3:10" x14ac:dyDescent="0.2">
      <c r="C14146" s="209"/>
      <c r="D14146" s="209"/>
      <c r="E14146" s="209"/>
      <c r="J14146" s="124"/>
    </row>
    <row r="14147" spans="3:10" x14ac:dyDescent="0.2">
      <c r="C14147" s="209"/>
      <c r="D14147" s="209"/>
      <c r="E14147" s="209"/>
      <c r="J14147" s="124"/>
    </row>
    <row r="14148" spans="3:10" x14ac:dyDescent="0.2">
      <c r="C14148" s="209"/>
      <c r="D14148" s="209"/>
      <c r="E14148" s="209"/>
      <c r="J14148" s="124"/>
    </row>
    <row r="14149" spans="3:10" x14ac:dyDescent="0.2">
      <c r="C14149" s="209"/>
      <c r="D14149" s="209"/>
      <c r="E14149" s="209"/>
      <c r="J14149" s="124"/>
    </row>
    <row r="14150" spans="3:10" x14ac:dyDescent="0.2">
      <c r="C14150" s="209"/>
      <c r="D14150" s="209"/>
      <c r="E14150" s="209"/>
      <c r="J14150" s="124"/>
    </row>
    <row r="14151" spans="3:10" x14ac:dyDescent="0.2">
      <c r="C14151" s="209"/>
      <c r="D14151" s="209"/>
      <c r="E14151" s="209"/>
      <c r="J14151" s="124"/>
    </row>
    <row r="14152" spans="3:10" x14ac:dyDescent="0.2">
      <c r="C14152" s="209"/>
      <c r="D14152" s="209"/>
      <c r="E14152" s="209"/>
      <c r="J14152" s="124"/>
    </row>
    <row r="14153" spans="3:10" x14ac:dyDescent="0.2">
      <c r="C14153" s="209"/>
      <c r="D14153" s="209"/>
      <c r="E14153" s="209"/>
      <c r="J14153" s="124"/>
    </row>
    <row r="14154" spans="3:10" x14ac:dyDescent="0.2">
      <c r="C14154" s="209"/>
      <c r="D14154" s="209"/>
      <c r="E14154" s="209"/>
      <c r="J14154" s="124"/>
    </row>
    <row r="14155" spans="3:10" x14ac:dyDescent="0.2">
      <c r="C14155" s="209"/>
      <c r="D14155" s="209"/>
      <c r="E14155" s="209"/>
      <c r="J14155" s="124"/>
    </row>
    <row r="14156" spans="3:10" x14ac:dyDescent="0.2">
      <c r="C14156" s="209"/>
      <c r="D14156" s="209"/>
      <c r="E14156" s="209"/>
      <c r="J14156" s="124"/>
    </row>
    <row r="14157" spans="3:10" x14ac:dyDescent="0.2">
      <c r="C14157" s="209"/>
      <c r="D14157" s="209"/>
      <c r="E14157" s="209"/>
      <c r="J14157" s="124"/>
    </row>
    <row r="14158" spans="3:10" x14ac:dyDescent="0.2">
      <c r="C14158" s="209"/>
      <c r="D14158" s="209"/>
      <c r="E14158" s="209"/>
      <c r="J14158" s="124"/>
    </row>
    <row r="14159" spans="3:10" x14ac:dyDescent="0.2">
      <c r="C14159" s="209"/>
      <c r="D14159" s="209"/>
      <c r="E14159" s="209"/>
      <c r="J14159" s="124"/>
    </row>
    <row r="14160" spans="3:10" x14ac:dyDescent="0.2">
      <c r="C14160" s="209"/>
      <c r="D14160" s="209"/>
      <c r="E14160" s="209"/>
      <c r="J14160" s="124"/>
    </row>
    <row r="14161" spans="3:10" x14ac:dyDescent="0.2">
      <c r="C14161" s="209"/>
      <c r="D14161" s="209"/>
      <c r="E14161" s="209"/>
      <c r="J14161" s="124"/>
    </row>
    <row r="14162" spans="3:10" x14ac:dyDescent="0.2">
      <c r="C14162" s="209"/>
      <c r="D14162" s="209"/>
      <c r="E14162" s="209"/>
      <c r="J14162" s="124"/>
    </row>
    <row r="14163" spans="3:10" x14ac:dyDescent="0.2">
      <c r="C14163" s="209"/>
      <c r="D14163" s="209"/>
      <c r="E14163" s="209"/>
      <c r="J14163" s="124"/>
    </row>
    <row r="14164" spans="3:10" x14ac:dyDescent="0.2">
      <c r="C14164" s="209"/>
      <c r="D14164" s="209"/>
      <c r="E14164" s="209"/>
      <c r="J14164" s="124"/>
    </row>
    <row r="14165" spans="3:10" x14ac:dyDescent="0.2">
      <c r="C14165" s="209"/>
      <c r="D14165" s="209"/>
      <c r="E14165" s="209"/>
      <c r="J14165" s="124"/>
    </row>
    <row r="14166" spans="3:10" x14ac:dyDescent="0.2">
      <c r="C14166" s="209"/>
      <c r="D14166" s="209"/>
      <c r="E14166" s="209"/>
      <c r="J14166" s="124"/>
    </row>
    <row r="14167" spans="3:10" x14ac:dyDescent="0.2">
      <c r="C14167" s="209"/>
      <c r="D14167" s="209"/>
      <c r="E14167" s="209"/>
      <c r="J14167" s="124"/>
    </row>
    <row r="14168" spans="3:10" x14ac:dyDescent="0.2">
      <c r="C14168" s="209"/>
      <c r="D14168" s="209"/>
      <c r="E14168" s="209"/>
      <c r="J14168" s="124"/>
    </row>
    <row r="14169" spans="3:10" x14ac:dyDescent="0.2">
      <c r="C14169" s="209"/>
      <c r="D14169" s="209"/>
      <c r="E14169" s="209"/>
      <c r="J14169" s="124"/>
    </row>
    <row r="14170" spans="3:10" x14ac:dyDescent="0.2">
      <c r="C14170" s="209"/>
      <c r="D14170" s="209"/>
      <c r="E14170" s="209"/>
      <c r="J14170" s="124"/>
    </row>
    <row r="14171" spans="3:10" x14ac:dyDescent="0.2">
      <c r="C14171" s="209"/>
      <c r="D14171" s="209"/>
      <c r="E14171" s="209"/>
      <c r="J14171" s="124"/>
    </row>
    <row r="14172" spans="3:10" x14ac:dyDescent="0.2">
      <c r="C14172" s="209"/>
      <c r="D14172" s="209"/>
      <c r="E14172" s="209"/>
      <c r="J14172" s="124"/>
    </row>
    <row r="14173" spans="3:10" x14ac:dyDescent="0.2">
      <c r="C14173" s="209"/>
      <c r="D14173" s="209"/>
      <c r="E14173" s="209"/>
      <c r="J14173" s="124"/>
    </row>
    <row r="14174" spans="3:10" x14ac:dyDescent="0.2">
      <c r="C14174" s="209"/>
      <c r="D14174" s="209"/>
      <c r="E14174" s="209"/>
      <c r="J14174" s="124"/>
    </row>
    <row r="14175" spans="3:10" x14ac:dyDescent="0.2">
      <c r="C14175" s="209"/>
      <c r="D14175" s="209"/>
      <c r="E14175" s="209"/>
      <c r="J14175" s="124"/>
    </row>
    <row r="14176" spans="3:10" x14ac:dyDescent="0.2">
      <c r="C14176" s="209"/>
      <c r="D14176" s="209"/>
      <c r="E14176" s="209"/>
      <c r="J14176" s="124"/>
    </row>
    <row r="14177" spans="3:10" x14ac:dyDescent="0.2">
      <c r="C14177" s="209"/>
      <c r="D14177" s="209"/>
      <c r="E14177" s="209"/>
      <c r="J14177" s="124"/>
    </row>
    <row r="14178" spans="3:10" x14ac:dyDescent="0.2">
      <c r="C14178" s="209"/>
      <c r="D14178" s="209"/>
      <c r="E14178" s="209"/>
      <c r="J14178" s="124"/>
    </row>
    <row r="14179" spans="3:10" x14ac:dyDescent="0.2">
      <c r="C14179" s="209"/>
      <c r="D14179" s="209"/>
      <c r="E14179" s="209"/>
      <c r="J14179" s="124"/>
    </row>
    <row r="14180" spans="3:10" x14ac:dyDescent="0.2">
      <c r="C14180" s="209"/>
      <c r="D14180" s="209"/>
      <c r="E14180" s="209"/>
      <c r="J14180" s="124"/>
    </row>
    <row r="14181" spans="3:10" x14ac:dyDescent="0.2">
      <c r="C14181" s="209"/>
      <c r="D14181" s="209"/>
      <c r="E14181" s="209"/>
      <c r="J14181" s="124"/>
    </row>
    <row r="14182" spans="3:10" x14ac:dyDescent="0.2">
      <c r="C14182" s="209"/>
      <c r="D14182" s="209"/>
      <c r="E14182" s="209"/>
      <c r="J14182" s="124"/>
    </row>
    <row r="14183" spans="3:10" x14ac:dyDescent="0.2">
      <c r="C14183" s="209"/>
      <c r="D14183" s="209"/>
      <c r="E14183" s="209"/>
      <c r="J14183" s="124"/>
    </row>
    <row r="14184" spans="3:10" x14ac:dyDescent="0.2">
      <c r="C14184" s="209"/>
      <c r="D14184" s="209"/>
      <c r="E14184" s="209"/>
      <c r="J14184" s="124"/>
    </row>
    <row r="14185" spans="3:10" x14ac:dyDescent="0.2">
      <c r="C14185" s="209"/>
      <c r="D14185" s="209"/>
      <c r="E14185" s="209"/>
      <c r="J14185" s="124"/>
    </row>
    <row r="14186" spans="3:10" x14ac:dyDescent="0.2">
      <c r="C14186" s="209"/>
      <c r="D14186" s="209"/>
      <c r="E14186" s="209"/>
      <c r="J14186" s="124"/>
    </row>
    <row r="14187" spans="3:10" x14ac:dyDescent="0.2">
      <c r="C14187" s="209"/>
      <c r="D14187" s="209"/>
      <c r="E14187" s="209"/>
      <c r="J14187" s="124"/>
    </row>
    <row r="14188" spans="3:10" x14ac:dyDescent="0.2">
      <c r="C14188" s="209"/>
      <c r="D14188" s="209"/>
      <c r="E14188" s="209"/>
      <c r="J14188" s="124"/>
    </row>
    <row r="14189" spans="3:10" x14ac:dyDescent="0.2">
      <c r="C14189" s="209"/>
      <c r="D14189" s="209"/>
      <c r="E14189" s="209"/>
      <c r="J14189" s="124"/>
    </row>
    <row r="14190" spans="3:10" x14ac:dyDescent="0.2">
      <c r="C14190" s="209"/>
      <c r="D14190" s="209"/>
      <c r="E14190" s="209"/>
      <c r="J14190" s="124"/>
    </row>
    <row r="14191" spans="3:10" x14ac:dyDescent="0.2">
      <c r="C14191" s="209"/>
      <c r="D14191" s="209"/>
      <c r="E14191" s="209"/>
      <c r="J14191" s="124"/>
    </row>
    <row r="14192" spans="3:10" x14ac:dyDescent="0.2">
      <c r="C14192" s="209"/>
      <c r="D14192" s="209"/>
      <c r="E14192" s="209"/>
      <c r="J14192" s="124"/>
    </row>
    <row r="14193" spans="3:10" x14ac:dyDescent="0.2">
      <c r="C14193" s="209"/>
      <c r="D14193" s="209"/>
      <c r="E14193" s="209"/>
      <c r="J14193" s="124"/>
    </row>
    <row r="14194" spans="3:10" x14ac:dyDescent="0.2">
      <c r="C14194" s="209"/>
      <c r="D14194" s="209"/>
      <c r="E14194" s="209"/>
      <c r="J14194" s="124"/>
    </row>
    <row r="14195" spans="3:10" x14ac:dyDescent="0.2">
      <c r="C14195" s="209"/>
      <c r="D14195" s="209"/>
      <c r="E14195" s="209"/>
      <c r="J14195" s="124"/>
    </row>
    <row r="14196" spans="3:10" x14ac:dyDescent="0.2">
      <c r="C14196" s="209"/>
      <c r="D14196" s="209"/>
      <c r="E14196" s="209"/>
      <c r="J14196" s="124"/>
    </row>
    <row r="14197" spans="3:10" x14ac:dyDescent="0.2">
      <c r="C14197" s="209"/>
      <c r="D14197" s="209"/>
      <c r="E14197" s="209"/>
      <c r="J14197" s="124"/>
    </row>
    <row r="14198" spans="3:10" x14ac:dyDescent="0.2">
      <c r="C14198" s="209"/>
      <c r="D14198" s="209"/>
      <c r="E14198" s="209"/>
      <c r="J14198" s="124"/>
    </row>
    <row r="14199" spans="3:10" x14ac:dyDescent="0.2">
      <c r="C14199" s="209"/>
      <c r="D14199" s="209"/>
      <c r="E14199" s="209"/>
      <c r="J14199" s="124"/>
    </row>
    <row r="14200" spans="3:10" x14ac:dyDescent="0.2">
      <c r="C14200" s="209"/>
      <c r="D14200" s="209"/>
      <c r="E14200" s="209"/>
      <c r="J14200" s="124"/>
    </row>
    <row r="14201" spans="3:10" x14ac:dyDescent="0.2">
      <c r="C14201" s="209"/>
      <c r="D14201" s="209"/>
      <c r="E14201" s="209"/>
      <c r="J14201" s="124"/>
    </row>
    <row r="14202" spans="3:10" x14ac:dyDescent="0.2">
      <c r="C14202" s="209"/>
      <c r="D14202" s="209"/>
      <c r="E14202" s="209"/>
      <c r="J14202" s="124"/>
    </row>
    <row r="14203" spans="3:10" x14ac:dyDescent="0.2">
      <c r="C14203" s="209"/>
      <c r="D14203" s="209"/>
      <c r="E14203" s="209"/>
      <c r="J14203" s="124"/>
    </row>
    <row r="14204" spans="3:10" x14ac:dyDescent="0.2">
      <c r="C14204" s="209"/>
      <c r="D14204" s="209"/>
      <c r="E14204" s="209"/>
      <c r="J14204" s="124"/>
    </row>
    <row r="14205" spans="3:10" x14ac:dyDescent="0.2">
      <c r="C14205" s="209"/>
      <c r="D14205" s="209"/>
      <c r="E14205" s="209"/>
      <c r="J14205" s="124"/>
    </row>
    <row r="14206" spans="3:10" x14ac:dyDescent="0.2">
      <c r="C14206" s="209"/>
      <c r="D14206" s="209"/>
      <c r="E14206" s="209"/>
      <c r="J14206" s="124"/>
    </row>
    <row r="14207" spans="3:10" x14ac:dyDescent="0.2">
      <c r="C14207" s="209"/>
      <c r="D14207" s="209"/>
      <c r="E14207" s="209"/>
      <c r="J14207" s="124"/>
    </row>
    <row r="14208" spans="3:10" x14ac:dyDescent="0.2">
      <c r="C14208" s="209"/>
      <c r="D14208" s="209"/>
      <c r="E14208" s="209"/>
      <c r="J14208" s="124"/>
    </row>
    <row r="14209" spans="3:10" x14ac:dyDescent="0.2">
      <c r="C14209" s="209"/>
      <c r="D14209" s="209"/>
      <c r="E14209" s="209"/>
      <c r="J14209" s="124"/>
    </row>
    <row r="14210" spans="3:10" x14ac:dyDescent="0.2">
      <c r="C14210" s="209"/>
      <c r="D14210" s="209"/>
      <c r="E14210" s="209"/>
      <c r="J14210" s="124"/>
    </row>
    <row r="14211" spans="3:10" x14ac:dyDescent="0.2">
      <c r="C14211" s="209"/>
      <c r="D14211" s="209"/>
      <c r="E14211" s="209"/>
      <c r="J14211" s="124"/>
    </row>
    <row r="14212" spans="3:10" x14ac:dyDescent="0.2">
      <c r="C14212" s="209"/>
      <c r="D14212" s="209"/>
      <c r="E14212" s="209"/>
      <c r="J14212" s="124"/>
    </row>
    <row r="14213" spans="3:10" x14ac:dyDescent="0.2">
      <c r="C14213" s="209"/>
      <c r="D14213" s="209"/>
      <c r="E14213" s="209"/>
      <c r="J14213" s="124"/>
    </row>
    <row r="14214" spans="3:10" x14ac:dyDescent="0.2">
      <c r="C14214" s="209"/>
      <c r="D14214" s="209"/>
      <c r="E14214" s="209"/>
      <c r="J14214" s="124"/>
    </row>
    <row r="14215" spans="3:10" x14ac:dyDescent="0.2">
      <c r="C14215" s="209"/>
      <c r="D14215" s="209"/>
      <c r="E14215" s="209"/>
      <c r="J14215" s="124"/>
    </row>
    <row r="14216" spans="3:10" x14ac:dyDescent="0.2">
      <c r="C14216" s="209"/>
      <c r="D14216" s="209"/>
      <c r="E14216" s="209"/>
      <c r="J14216" s="124"/>
    </row>
    <row r="14217" spans="3:10" x14ac:dyDescent="0.2">
      <c r="C14217" s="209"/>
      <c r="D14217" s="209"/>
      <c r="E14217" s="209"/>
      <c r="J14217" s="124"/>
    </row>
    <row r="14218" spans="3:10" x14ac:dyDescent="0.2">
      <c r="C14218" s="209"/>
      <c r="D14218" s="209"/>
      <c r="E14218" s="209"/>
      <c r="J14218" s="124"/>
    </row>
    <row r="14219" spans="3:10" x14ac:dyDescent="0.2">
      <c r="C14219" s="209"/>
      <c r="D14219" s="209"/>
      <c r="E14219" s="209"/>
      <c r="J14219" s="124"/>
    </row>
    <row r="14220" spans="3:10" x14ac:dyDescent="0.2">
      <c r="C14220" s="209"/>
      <c r="D14220" s="209"/>
      <c r="E14220" s="209"/>
      <c r="J14220" s="124"/>
    </row>
    <row r="14221" spans="3:10" x14ac:dyDescent="0.2">
      <c r="C14221" s="209"/>
      <c r="D14221" s="209"/>
      <c r="E14221" s="209"/>
      <c r="J14221" s="124"/>
    </row>
    <row r="14222" spans="3:10" x14ac:dyDescent="0.2">
      <c r="C14222" s="209"/>
      <c r="D14222" s="209"/>
      <c r="E14222" s="209"/>
      <c r="J14222" s="124"/>
    </row>
    <row r="14223" spans="3:10" x14ac:dyDescent="0.2">
      <c r="C14223" s="209"/>
      <c r="D14223" s="209"/>
      <c r="E14223" s="209"/>
      <c r="J14223" s="124"/>
    </row>
    <row r="14224" spans="3:10" x14ac:dyDescent="0.2">
      <c r="C14224" s="209"/>
      <c r="D14224" s="209"/>
      <c r="E14224" s="209"/>
      <c r="J14224" s="124"/>
    </row>
    <row r="14225" spans="3:10" x14ac:dyDescent="0.2">
      <c r="C14225" s="209"/>
      <c r="D14225" s="209"/>
      <c r="E14225" s="209"/>
      <c r="J14225" s="124"/>
    </row>
    <row r="14226" spans="3:10" x14ac:dyDescent="0.2">
      <c r="C14226" s="209"/>
      <c r="D14226" s="209"/>
      <c r="E14226" s="209"/>
      <c r="J14226" s="124"/>
    </row>
    <row r="14227" spans="3:10" x14ac:dyDescent="0.2">
      <c r="C14227" s="209"/>
      <c r="D14227" s="209"/>
      <c r="E14227" s="209"/>
      <c r="J14227" s="124"/>
    </row>
    <row r="14228" spans="3:10" x14ac:dyDescent="0.2">
      <c r="C14228" s="209"/>
      <c r="D14228" s="209"/>
      <c r="E14228" s="209"/>
      <c r="J14228" s="124"/>
    </row>
    <row r="14229" spans="3:10" x14ac:dyDescent="0.2">
      <c r="C14229" s="209"/>
      <c r="D14229" s="209"/>
      <c r="E14229" s="209"/>
      <c r="J14229" s="124"/>
    </row>
    <row r="14230" spans="3:10" x14ac:dyDescent="0.2">
      <c r="C14230" s="209"/>
      <c r="D14230" s="209"/>
      <c r="E14230" s="209"/>
      <c r="J14230" s="124"/>
    </row>
    <row r="14231" spans="3:10" x14ac:dyDescent="0.2">
      <c r="C14231" s="209"/>
      <c r="D14231" s="209"/>
      <c r="E14231" s="209"/>
      <c r="J14231" s="124"/>
    </row>
    <row r="14232" spans="3:10" x14ac:dyDescent="0.2">
      <c r="C14232" s="209"/>
      <c r="D14232" s="209"/>
      <c r="E14232" s="209"/>
      <c r="J14232" s="124"/>
    </row>
    <row r="14233" spans="3:10" x14ac:dyDescent="0.2">
      <c r="C14233" s="209"/>
      <c r="D14233" s="209"/>
      <c r="E14233" s="209"/>
      <c r="J14233" s="124"/>
    </row>
    <row r="14234" spans="3:10" x14ac:dyDescent="0.2">
      <c r="C14234" s="209"/>
      <c r="D14234" s="209"/>
      <c r="E14234" s="209"/>
      <c r="J14234" s="124"/>
    </row>
    <row r="14235" spans="3:10" x14ac:dyDescent="0.2">
      <c r="C14235" s="209"/>
      <c r="D14235" s="209"/>
      <c r="E14235" s="209"/>
      <c r="J14235" s="124"/>
    </row>
    <row r="14236" spans="3:10" x14ac:dyDescent="0.2">
      <c r="C14236" s="209"/>
      <c r="D14236" s="209"/>
      <c r="E14236" s="209"/>
      <c r="J14236" s="124"/>
    </row>
    <row r="14237" spans="3:10" x14ac:dyDescent="0.2">
      <c r="C14237" s="209"/>
      <c r="D14237" s="209"/>
      <c r="E14237" s="209"/>
      <c r="J14237" s="124"/>
    </row>
    <row r="14238" spans="3:10" x14ac:dyDescent="0.2">
      <c r="C14238" s="209"/>
      <c r="D14238" s="209"/>
      <c r="E14238" s="209"/>
      <c r="J14238" s="124"/>
    </row>
    <row r="14239" spans="3:10" x14ac:dyDescent="0.2">
      <c r="C14239" s="209"/>
      <c r="D14239" s="209"/>
      <c r="E14239" s="209"/>
      <c r="J14239" s="124"/>
    </row>
    <row r="14240" spans="3:10" x14ac:dyDescent="0.2">
      <c r="C14240" s="209"/>
      <c r="D14240" s="209"/>
      <c r="E14240" s="209"/>
      <c r="J14240" s="124"/>
    </row>
    <row r="14241" spans="3:10" x14ac:dyDescent="0.2">
      <c r="C14241" s="209"/>
      <c r="D14241" s="209"/>
      <c r="E14241" s="209"/>
      <c r="J14241" s="124"/>
    </row>
    <row r="14242" spans="3:10" x14ac:dyDescent="0.2">
      <c r="C14242" s="209"/>
      <c r="D14242" s="209"/>
      <c r="E14242" s="209"/>
      <c r="J14242" s="124"/>
    </row>
    <row r="14243" spans="3:10" x14ac:dyDescent="0.2">
      <c r="C14243" s="209"/>
      <c r="D14243" s="209"/>
      <c r="E14243" s="209"/>
      <c r="J14243" s="124"/>
    </row>
    <row r="14244" spans="3:10" x14ac:dyDescent="0.2">
      <c r="C14244" s="209"/>
      <c r="D14244" s="209"/>
      <c r="E14244" s="209"/>
      <c r="J14244" s="124"/>
    </row>
    <row r="14245" spans="3:10" x14ac:dyDescent="0.2">
      <c r="C14245" s="209"/>
      <c r="D14245" s="209"/>
      <c r="E14245" s="209"/>
      <c r="J14245" s="124"/>
    </row>
    <row r="14246" spans="3:10" x14ac:dyDescent="0.2">
      <c r="C14246" s="209"/>
      <c r="D14246" s="209"/>
      <c r="E14246" s="209"/>
      <c r="J14246" s="124"/>
    </row>
    <row r="14247" spans="3:10" x14ac:dyDescent="0.2">
      <c r="C14247" s="209"/>
      <c r="D14247" s="209"/>
      <c r="E14247" s="209"/>
      <c r="J14247" s="124"/>
    </row>
    <row r="14248" spans="3:10" x14ac:dyDescent="0.2">
      <c r="C14248" s="209"/>
      <c r="D14248" s="209"/>
      <c r="E14248" s="209"/>
      <c r="J14248" s="124"/>
    </row>
    <row r="14249" spans="3:10" x14ac:dyDescent="0.2">
      <c r="C14249" s="209"/>
      <c r="D14249" s="209"/>
      <c r="E14249" s="209"/>
      <c r="J14249" s="124"/>
    </row>
    <row r="14250" spans="3:10" x14ac:dyDescent="0.2">
      <c r="C14250" s="209"/>
      <c r="D14250" s="209"/>
      <c r="E14250" s="209"/>
      <c r="J14250" s="124"/>
    </row>
    <row r="14251" spans="3:10" x14ac:dyDescent="0.2">
      <c r="C14251" s="209"/>
      <c r="D14251" s="209"/>
      <c r="E14251" s="209"/>
      <c r="J14251" s="124"/>
    </row>
    <row r="14252" spans="3:10" x14ac:dyDescent="0.2">
      <c r="C14252" s="209"/>
      <c r="D14252" s="209"/>
      <c r="E14252" s="209"/>
      <c r="J14252" s="124"/>
    </row>
    <row r="14253" spans="3:10" x14ac:dyDescent="0.2">
      <c r="C14253" s="209"/>
      <c r="D14253" s="209"/>
      <c r="E14253" s="209"/>
      <c r="J14253" s="124"/>
    </row>
    <row r="14254" spans="3:10" x14ac:dyDescent="0.2">
      <c r="C14254" s="209"/>
      <c r="D14254" s="209"/>
      <c r="E14254" s="209"/>
      <c r="J14254" s="124"/>
    </row>
    <row r="14255" spans="3:10" x14ac:dyDescent="0.2">
      <c r="C14255" s="209"/>
      <c r="D14255" s="209"/>
      <c r="E14255" s="209"/>
      <c r="J14255" s="124"/>
    </row>
    <row r="14256" spans="3:10" x14ac:dyDescent="0.2">
      <c r="C14256" s="209"/>
      <c r="D14256" s="209"/>
      <c r="E14256" s="209"/>
      <c r="J14256" s="124"/>
    </row>
    <row r="14257" spans="3:10" x14ac:dyDescent="0.2">
      <c r="C14257" s="209"/>
      <c r="D14257" s="209"/>
      <c r="E14257" s="209"/>
      <c r="J14257" s="124"/>
    </row>
    <row r="14258" spans="3:10" x14ac:dyDescent="0.2">
      <c r="C14258" s="209"/>
      <c r="D14258" s="209"/>
      <c r="E14258" s="209"/>
      <c r="J14258" s="124"/>
    </row>
    <row r="14259" spans="3:10" x14ac:dyDescent="0.2">
      <c r="C14259" s="209"/>
      <c r="D14259" s="209"/>
      <c r="E14259" s="209"/>
      <c r="J14259" s="124"/>
    </row>
    <row r="14260" spans="3:10" x14ac:dyDescent="0.2">
      <c r="C14260" s="209"/>
      <c r="D14260" s="209"/>
      <c r="E14260" s="209"/>
      <c r="J14260" s="124"/>
    </row>
    <row r="14261" spans="3:10" x14ac:dyDescent="0.2">
      <c r="C14261" s="209"/>
      <c r="D14261" s="209"/>
      <c r="E14261" s="209"/>
      <c r="J14261" s="124"/>
    </row>
    <row r="14262" spans="3:10" x14ac:dyDescent="0.2">
      <c r="C14262" s="209"/>
      <c r="D14262" s="209"/>
      <c r="E14262" s="209"/>
      <c r="J14262" s="124"/>
    </row>
    <row r="14263" spans="3:10" x14ac:dyDescent="0.2">
      <c r="C14263" s="209"/>
      <c r="D14263" s="209"/>
      <c r="E14263" s="209"/>
      <c r="J14263" s="124"/>
    </row>
    <row r="14264" spans="3:10" x14ac:dyDescent="0.2">
      <c r="C14264" s="209"/>
      <c r="D14264" s="209"/>
      <c r="E14264" s="209"/>
      <c r="J14264" s="124"/>
    </row>
    <row r="14265" spans="3:10" x14ac:dyDescent="0.2">
      <c r="C14265" s="209"/>
      <c r="D14265" s="209"/>
      <c r="E14265" s="209"/>
      <c r="J14265" s="124"/>
    </row>
    <row r="14266" spans="3:10" x14ac:dyDescent="0.2">
      <c r="C14266" s="209"/>
      <c r="D14266" s="209"/>
      <c r="E14266" s="209"/>
      <c r="J14266" s="124"/>
    </row>
    <row r="14267" spans="3:10" x14ac:dyDescent="0.2">
      <c r="C14267" s="209"/>
      <c r="D14267" s="209"/>
      <c r="E14267" s="209"/>
      <c r="J14267" s="124"/>
    </row>
    <row r="14268" spans="3:10" x14ac:dyDescent="0.2">
      <c r="C14268" s="209"/>
      <c r="D14268" s="209"/>
      <c r="E14268" s="209"/>
      <c r="J14268" s="124"/>
    </row>
    <row r="14269" spans="3:10" x14ac:dyDescent="0.2">
      <c r="C14269" s="209"/>
      <c r="D14269" s="209"/>
      <c r="E14269" s="209"/>
      <c r="J14269" s="124"/>
    </row>
    <row r="14270" spans="3:10" x14ac:dyDescent="0.2">
      <c r="C14270" s="209"/>
      <c r="D14270" s="209"/>
      <c r="E14270" s="209"/>
      <c r="J14270" s="124"/>
    </row>
    <row r="14271" spans="3:10" x14ac:dyDescent="0.2">
      <c r="C14271" s="209"/>
      <c r="D14271" s="209"/>
      <c r="E14271" s="209"/>
      <c r="J14271" s="124"/>
    </row>
    <row r="14272" spans="3:10" x14ac:dyDescent="0.2">
      <c r="C14272" s="209"/>
      <c r="D14272" s="209"/>
      <c r="E14272" s="209"/>
      <c r="J14272" s="124"/>
    </row>
    <row r="14273" spans="3:10" x14ac:dyDescent="0.2">
      <c r="C14273" s="209"/>
      <c r="D14273" s="209"/>
      <c r="E14273" s="209"/>
      <c r="J14273" s="124"/>
    </row>
    <row r="14274" spans="3:10" x14ac:dyDescent="0.2">
      <c r="C14274" s="209"/>
      <c r="D14274" s="209"/>
      <c r="E14274" s="209"/>
      <c r="J14274" s="124"/>
    </row>
    <row r="14275" spans="3:10" x14ac:dyDescent="0.2">
      <c r="C14275" s="209"/>
      <c r="D14275" s="209"/>
      <c r="E14275" s="209"/>
      <c r="J14275" s="124"/>
    </row>
    <row r="14276" spans="3:10" x14ac:dyDescent="0.2">
      <c r="C14276" s="209"/>
      <c r="D14276" s="209"/>
      <c r="E14276" s="209"/>
      <c r="J14276" s="124"/>
    </row>
    <row r="14277" spans="3:10" x14ac:dyDescent="0.2">
      <c r="C14277" s="209"/>
      <c r="D14277" s="209"/>
      <c r="E14277" s="209"/>
      <c r="J14277" s="124"/>
    </row>
    <row r="14278" spans="3:10" x14ac:dyDescent="0.2">
      <c r="C14278" s="209"/>
      <c r="D14278" s="209"/>
      <c r="E14278" s="209"/>
      <c r="J14278" s="124"/>
    </row>
    <row r="14279" spans="3:10" x14ac:dyDescent="0.2">
      <c r="C14279" s="209"/>
      <c r="D14279" s="209"/>
      <c r="E14279" s="209"/>
      <c r="J14279" s="124"/>
    </row>
    <row r="14280" spans="3:10" x14ac:dyDescent="0.2">
      <c r="C14280" s="209"/>
      <c r="D14280" s="209"/>
      <c r="E14280" s="209"/>
      <c r="J14280" s="124"/>
    </row>
    <row r="14281" spans="3:10" x14ac:dyDescent="0.2">
      <c r="C14281" s="209"/>
      <c r="D14281" s="209"/>
      <c r="E14281" s="209"/>
      <c r="J14281" s="124"/>
    </row>
    <row r="14282" spans="3:10" x14ac:dyDescent="0.2">
      <c r="C14282" s="209"/>
      <c r="D14282" s="209"/>
      <c r="E14282" s="209"/>
      <c r="J14282" s="124"/>
    </row>
    <row r="14283" spans="3:10" x14ac:dyDescent="0.2">
      <c r="C14283" s="209"/>
      <c r="D14283" s="209"/>
      <c r="E14283" s="209"/>
      <c r="J14283" s="124"/>
    </row>
    <row r="14284" spans="3:10" x14ac:dyDescent="0.2">
      <c r="C14284" s="209"/>
      <c r="D14284" s="209"/>
      <c r="E14284" s="209"/>
      <c r="J14284" s="124"/>
    </row>
    <row r="14285" spans="3:10" x14ac:dyDescent="0.2">
      <c r="C14285" s="209"/>
      <c r="D14285" s="209"/>
      <c r="E14285" s="209"/>
      <c r="J14285" s="124"/>
    </row>
    <row r="14286" spans="3:10" x14ac:dyDescent="0.2">
      <c r="C14286" s="209"/>
      <c r="D14286" s="209"/>
      <c r="E14286" s="209"/>
      <c r="J14286" s="124"/>
    </row>
    <row r="14287" spans="3:10" x14ac:dyDescent="0.2">
      <c r="C14287" s="209"/>
      <c r="D14287" s="209"/>
      <c r="E14287" s="209"/>
      <c r="J14287" s="124"/>
    </row>
    <row r="14288" spans="3:10" x14ac:dyDescent="0.2">
      <c r="C14288" s="209"/>
      <c r="D14288" s="209"/>
      <c r="E14288" s="209"/>
      <c r="J14288" s="124"/>
    </row>
    <row r="14289" spans="3:10" x14ac:dyDescent="0.2">
      <c r="C14289" s="209"/>
      <c r="D14289" s="209"/>
      <c r="E14289" s="209"/>
      <c r="J14289" s="124"/>
    </row>
    <row r="14290" spans="3:10" x14ac:dyDescent="0.2">
      <c r="C14290" s="209"/>
      <c r="D14290" s="209"/>
      <c r="E14290" s="209"/>
      <c r="J14290" s="124"/>
    </row>
    <row r="14291" spans="3:10" x14ac:dyDescent="0.2">
      <c r="C14291" s="209"/>
      <c r="D14291" s="209"/>
      <c r="E14291" s="209"/>
      <c r="J14291" s="124"/>
    </row>
    <row r="14292" spans="3:10" x14ac:dyDescent="0.2">
      <c r="C14292" s="209"/>
      <c r="D14292" s="209"/>
      <c r="E14292" s="209"/>
      <c r="J14292" s="124"/>
    </row>
    <row r="14293" spans="3:10" x14ac:dyDescent="0.2">
      <c r="C14293" s="209"/>
      <c r="D14293" s="209"/>
      <c r="E14293" s="209"/>
      <c r="J14293" s="124"/>
    </row>
    <row r="14294" spans="3:10" x14ac:dyDescent="0.2">
      <c r="C14294" s="209"/>
      <c r="D14294" s="209"/>
      <c r="E14294" s="209"/>
      <c r="J14294" s="124"/>
    </row>
    <row r="14295" spans="3:10" x14ac:dyDescent="0.2">
      <c r="C14295" s="209"/>
      <c r="D14295" s="209"/>
      <c r="E14295" s="209"/>
      <c r="J14295" s="124"/>
    </row>
    <row r="14296" spans="3:10" x14ac:dyDescent="0.2">
      <c r="C14296" s="209"/>
      <c r="D14296" s="209"/>
      <c r="E14296" s="209"/>
      <c r="J14296" s="124"/>
    </row>
    <row r="14297" spans="3:10" x14ac:dyDescent="0.2">
      <c r="C14297" s="209"/>
      <c r="D14297" s="209"/>
      <c r="E14297" s="209"/>
      <c r="J14297" s="124"/>
    </row>
    <row r="14298" spans="3:10" x14ac:dyDescent="0.2">
      <c r="C14298" s="209"/>
      <c r="D14298" s="209"/>
      <c r="E14298" s="209"/>
      <c r="J14298" s="124"/>
    </row>
    <row r="14299" spans="3:10" x14ac:dyDescent="0.2">
      <c r="C14299" s="209"/>
      <c r="D14299" s="209"/>
      <c r="E14299" s="209"/>
      <c r="J14299" s="124"/>
    </row>
    <row r="14300" spans="3:10" x14ac:dyDescent="0.2">
      <c r="C14300" s="209"/>
      <c r="D14300" s="209"/>
      <c r="E14300" s="209"/>
      <c r="J14300" s="124"/>
    </row>
    <row r="14301" spans="3:10" x14ac:dyDescent="0.2">
      <c r="C14301" s="209"/>
      <c r="D14301" s="209"/>
      <c r="E14301" s="209"/>
      <c r="J14301" s="124"/>
    </row>
    <row r="14302" spans="3:10" x14ac:dyDescent="0.2">
      <c r="C14302" s="209"/>
      <c r="D14302" s="209"/>
      <c r="E14302" s="209"/>
      <c r="J14302" s="124"/>
    </row>
    <row r="14303" spans="3:10" x14ac:dyDescent="0.2">
      <c r="C14303" s="209"/>
      <c r="D14303" s="209"/>
      <c r="E14303" s="209"/>
      <c r="J14303" s="124"/>
    </row>
    <row r="14304" spans="3:10" x14ac:dyDescent="0.2">
      <c r="C14304" s="209"/>
      <c r="D14304" s="209"/>
      <c r="E14304" s="209"/>
      <c r="J14304" s="124"/>
    </row>
    <row r="14305" spans="3:10" x14ac:dyDescent="0.2">
      <c r="C14305" s="209"/>
      <c r="D14305" s="209"/>
      <c r="E14305" s="209"/>
      <c r="J14305" s="124"/>
    </row>
    <row r="14306" spans="3:10" x14ac:dyDescent="0.2">
      <c r="C14306" s="209"/>
      <c r="D14306" s="209"/>
      <c r="E14306" s="209"/>
      <c r="J14306" s="124"/>
    </row>
    <row r="14307" spans="3:10" x14ac:dyDescent="0.2">
      <c r="C14307" s="209"/>
      <c r="D14307" s="209"/>
      <c r="E14307" s="209"/>
      <c r="J14307" s="124"/>
    </row>
    <row r="14308" spans="3:10" x14ac:dyDescent="0.2">
      <c r="C14308" s="209"/>
      <c r="D14308" s="209"/>
      <c r="E14308" s="209"/>
      <c r="J14308" s="124"/>
    </row>
    <row r="14309" spans="3:10" x14ac:dyDescent="0.2">
      <c r="C14309" s="209"/>
      <c r="D14309" s="209"/>
      <c r="E14309" s="209"/>
      <c r="J14309" s="124"/>
    </row>
    <row r="14310" spans="3:10" x14ac:dyDescent="0.2">
      <c r="C14310" s="209"/>
      <c r="D14310" s="209"/>
      <c r="E14310" s="209"/>
      <c r="J14310" s="124"/>
    </row>
    <row r="14311" spans="3:10" x14ac:dyDescent="0.2">
      <c r="C14311" s="209"/>
      <c r="D14311" s="209"/>
      <c r="E14311" s="209"/>
      <c r="J14311" s="124"/>
    </row>
    <row r="14312" spans="3:10" x14ac:dyDescent="0.2">
      <c r="C14312" s="209"/>
      <c r="D14312" s="209"/>
      <c r="E14312" s="209"/>
      <c r="J14312" s="124"/>
    </row>
    <row r="14313" spans="3:10" x14ac:dyDescent="0.2">
      <c r="C14313" s="209"/>
      <c r="D14313" s="209"/>
      <c r="E14313" s="209"/>
      <c r="J14313" s="124"/>
    </row>
    <row r="14314" spans="3:10" x14ac:dyDescent="0.2">
      <c r="C14314" s="209"/>
      <c r="D14314" s="209"/>
      <c r="E14314" s="209"/>
      <c r="J14314" s="124"/>
    </row>
    <row r="14315" spans="3:10" x14ac:dyDescent="0.2">
      <c r="C14315" s="209"/>
      <c r="D14315" s="209"/>
      <c r="E14315" s="209"/>
      <c r="J14315" s="124"/>
    </row>
    <row r="14316" spans="3:10" x14ac:dyDescent="0.2">
      <c r="C14316" s="209"/>
      <c r="D14316" s="209"/>
      <c r="E14316" s="209"/>
      <c r="J14316" s="124"/>
    </row>
    <row r="14317" spans="3:10" x14ac:dyDescent="0.2">
      <c r="C14317" s="209"/>
      <c r="D14317" s="209"/>
      <c r="E14317" s="209"/>
      <c r="J14317" s="124"/>
    </row>
    <row r="14318" spans="3:10" x14ac:dyDescent="0.2">
      <c r="C14318" s="209"/>
      <c r="D14318" s="209"/>
      <c r="E14318" s="209"/>
      <c r="J14318" s="124"/>
    </row>
    <row r="14319" spans="3:10" x14ac:dyDescent="0.2">
      <c r="C14319" s="209"/>
      <c r="D14319" s="209"/>
      <c r="E14319" s="209"/>
      <c r="J14319" s="124"/>
    </row>
    <row r="14320" spans="3:10" x14ac:dyDescent="0.2">
      <c r="C14320" s="209"/>
      <c r="D14320" s="209"/>
      <c r="E14320" s="209"/>
      <c r="J14320" s="124"/>
    </row>
    <row r="14321" spans="3:10" x14ac:dyDescent="0.2">
      <c r="C14321" s="209"/>
      <c r="D14321" s="209"/>
      <c r="E14321" s="209"/>
      <c r="J14321" s="124"/>
    </row>
    <row r="14322" spans="3:10" x14ac:dyDescent="0.2">
      <c r="C14322" s="209"/>
      <c r="D14322" s="209"/>
      <c r="E14322" s="209"/>
      <c r="J14322" s="124"/>
    </row>
    <row r="14323" spans="3:10" x14ac:dyDescent="0.2">
      <c r="C14323" s="209"/>
      <c r="D14323" s="209"/>
      <c r="E14323" s="209"/>
      <c r="J14323" s="124"/>
    </row>
    <row r="14324" spans="3:10" x14ac:dyDescent="0.2">
      <c r="C14324" s="209"/>
      <c r="D14324" s="209"/>
      <c r="E14324" s="209"/>
      <c r="J14324" s="124"/>
    </row>
    <row r="14325" spans="3:10" x14ac:dyDescent="0.2">
      <c r="C14325" s="209"/>
      <c r="D14325" s="209"/>
      <c r="E14325" s="209"/>
      <c r="J14325" s="124"/>
    </row>
    <row r="14326" spans="3:10" x14ac:dyDescent="0.2">
      <c r="C14326" s="209"/>
      <c r="D14326" s="209"/>
      <c r="E14326" s="209"/>
      <c r="J14326" s="124"/>
    </row>
    <row r="14327" spans="3:10" x14ac:dyDescent="0.2">
      <c r="C14327" s="209"/>
      <c r="D14327" s="209"/>
      <c r="E14327" s="209"/>
      <c r="J14327" s="124"/>
    </row>
    <row r="14328" spans="3:10" x14ac:dyDescent="0.2">
      <c r="C14328" s="209"/>
      <c r="D14328" s="209"/>
      <c r="E14328" s="209"/>
      <c r="J14328" s="124"/>
    </row>
    <row r="14329" spans="3:10" x14ac:dyDescent="0.2">
      <c r="C14329" s="209"/>
      <c r="D14329" s="209"/>
      <c r="E14329" s="209"/>
      <c r="J14329" s="124"/>
    </row>
    <row r="14330" spans="3:10" x14ac:dyDescent="0.2">
      <c r="C14330" s="209"/>
      <c r="D14330" s="209"/>
      <c r="E14330" s="209"/>
      <c r="J14330" s="124"/>
    </row>
    <row r="14331" spans="3:10" x14ac:dyDescent="0.2">
      <c r="C14331" s="209"/>
      <c r="D14331" s="209"/>
      <c r="E14331" s="209"/>
      <c r="J14331" s="124"/>
    </row>
    <row r="14332" spans="3:10" x14ac:dyDescent="0.2">
      <c r="C14332" s="209"/>
      <c r="D14332" s="209"/>
      <c r="E14332" s="209"/>
      <c r="J14332" s="124"/>
    </row>
    <row r="14333" spans="3:10" x14ac:dyDescent="0.2">
      <c r="C14333" s="209"/>
      <c r="D14333" s="209"/>
      <c r="E14333" s="209"/>
      <c r="J14333" s="124"/>
    </row>
    <row r="14334" spans="3:10" x14ac:dyDescent="0.2">
      <c r="C14334" s="209"/>
      <c r="D14334" s="209"/>
      <c r="E14334" s="209"/>
      <c r="J14334" s="124"/>
    </row>
    <row r="14335" spans="3:10" x14ac:dyDescent="0.2">
      <c r="C14335" s="209"/>
      <c r="D14335" s="209"/>
      <c r="E14335" s="209"/>
      <c r="J14335" s="124"/>
    </row>
    <row r="14336" spans="3:10" x14ac:dyDescent="0.2">
      <c r="C14336" s="209"/>
      <c r="D14336" s="209"/>
      <c r="E14336" s="209"/>
      <c r="J14336" s="124"/>
    </row>
    <row r="14337" spans="3:10" x14ac:dyDescent="0.2">
      <c r="C14337" s="209"/>
      <c r="D14337" s="209"/>
      <c r="E14337" s="209"/>
      <c r="J14337" s="124"/>
    </row>
    <row r="14338" spans="3:10" x14ac:dyDescent="0.2">
      <c r="C14338" s="209"/>
      <c r="D14338" s="209"/>
      <c r="E14338" s="209"/>
      <c r="J14338" s="124"/>
    </row>
    <row r="14339" spans="3:10" x14ac:dyDescent="0.2">
      <c r="C14339" s="209"/>
      <c r="D14339" s="209"/>
      <c r="E14339" s="209"/>
      <c r="J14339" s="124"/>
    </row>
    <row r="14340" spans="3:10" x14ac:dyDescent="0.2">
      <c r="C14340" s="209"/>
      <c r="D14340" s="209"/>
      <c r="E14340" s="209"/>
      <c r="J14340" s="124"/>
    </row>
    <row r="14341" spans="3:10" x14ac:dyDescent="0.2">
      <c r="C14341" s="209"/>
      <c r="D14341" s="209"/>
      <c r="E14341" s="209"/>
      <c r="J14341" s="124"/>
    </row>
    <row r="14342" spans="3:10" x14ac:dyDescent="0.2">
      <c r="C14342" s="209"/>
      <c r="D14342" s="209"/>
      <c r="E14342" s="209"/>
      <c r="J14342" s="124"/>
    </row>
    <row r="14343" spans="3:10" x14ac:dyDescent="0.2">
      <c r="C14343" s="209"/>
      <c r="D14343" s="209"/>
      <c r="E14343" s="209"/>
      <c r="J14343" s="124"/>
    </row>
    <row r="14344" spans="3:10" x14ac:dyDescent="0.2">
      <c r="C14344" s="209"/>
      <c r="D14344" s="209"/>
      <c r="E14344" s="209"/>
      <c r="J14344" s="124"/>
    </row>
    <row r="14345" spans="3:10" x14ac:dyDescent="0.2">
      <c r="C14345" s="209"/>
      <c r="D14345" s="209"/>
      <c r="E14345" s="209"/>
      <c r="J14345" s="124"/>
    </row>
    <row r="14346" spans="3:10" x14ac:dyDescent="0.2">
      <c r="C14346" s="209"/>
      <c r="D14346" s="209"/>
      <c r="E14346" s="209"/>
      <c r="J14346" s="124"/>
    </row>
    <row r="14347" spans="3:10" x14ac:dyDescent="0.2">
      <c r="C14347" s="209"/>
      <c r="D14347" s="209"/>
      <c r="E14347" s="209"/>
      <c r="J14347" s="124"/>
    </row>
    <row r="14348" spans="3:10" x14ac:dyDescent="0.2">
      <c r="C14348" s="209"/>
      <c r="D14348" s="209"/>
      <c r="E14348" s="209"/>
      <c r="J14348" s="124"/>
    </row>
    <row r="14349" spans="3:10" x14ac:dyDescent="0.2">
      <c r="C14349" s="209"/>
      <c r="D14349" s="209"/>
      <c r="E14349" s="209"/>
      <c r="J14349" s="124"/>
    </row>
    <row r="14350" spans="3:10" x14ac:dyDescent="0.2">
      <c r="C14350" s="209"/>
      <c r="D14350" s="209"/>
      <c r="E14350" s="209"/>
      <c r="J14350" s="124"/>
    </row>
    <row r="14351" spans="3:10" x14ac:dyDescent="0.2">
      <c r="C14351" s="209"/>
      <c r="D14351" s="209"/>
      <c r="E14351" s="209"/>
      <c r="J14351" s="124"/>
    </row>
    <row r="14352" spans="3:10" x14ac:dyDescent="0.2">
      <c r="C14352" s="209"/>
      <c r="D14352" s="209"/>
      <c r="E14352" s="209"/>
      <c r="J14352" s="124"/>
    </row>
    <row r="14353" spans="3:10" x14ac:dyDescent="0.2">
      <c r="C14353" s="209"/>
      <c r="D14353" s="209"/>
      <c r="E14353" s="209"/>
      <c r="J14353" s="124"/>
    </row>
    <row r="14354" spans="3:10" x14ac:dyDescent="0.2">
      <c r="C14354" s="209"/>
      <c r="D14354" s="209"/>
      <c r="E14354" s="209"/>
      <c r="J14354" s="124"/>
    </row>
    <row r="14355" spans="3:10" x14ac:dyDescent="0.2">
      <c r="C14355" s="209"/>
      <c r="D14355" s="209"/>
      <c r="E14355" s="209"/>
      <c r="J14355" s="124"/>
    </row>
    <row r="14356" spans="3:10" x14ac:dyDescent="0.2">
      <c r="C14356" s="209"/>
      <c r="D14356" s="209"/>
      <c r="E14356" s="209"/>
      <c r="J14356" s="124"/>
    </row>
    <row r="14357" spans="3:10" x14ac:dyDescent="0.2">
      <c r="C14357" s="209"/>
      <c r="D14357" s="209"/>
      <c r="E14357" s="209"/>
      <c r="J14357" s="124"/>
    </row>
    <row r="14358" spans="3:10" x14ac:dyDescent="0.2">
      <c r="C14358" s="209"/>
      <c r="D14358" s="209"/>
      <c r="E14358" s="209"/>
      <c r="J14358" s="124"/>
    </row>
    <row r="14359" spans="3:10" x14ac:dyDescent="0.2">
      <c r="C14359" s="209"/>
      <c r="D14359" s="209"/>
      <c r="E14359" s="209"/>
      <c r="J14359" s="124"/>
    </row>
    <row r="14360" spans="3:10" x14ac:dyDescent="0.2">
      <c r="C14360" s="209"/>
      <c r="D14360" s="209"/>
      <c r="E14360" s="209"/>
      <c r="J14360" s="124"/>
    </row>
    <row r="14361" spans="3:10" x14ac:dyDescent="0.2">
      <c r="C14361" s="209"/>
      <c r="D14361" s="209"/>
      <c r="E14361" s="209"/>
      <c r="J14361" s="124"/>
    </row>
    <row r="14362" spans="3:10" x14ac:dyDescent="0.2">
      <c r="C14362" s="209"/>
      <c r="D14362" s="209"/>
      <c r="E14362" s="209"/>
      <c r="J14362" s="124"/>
    </row>
    <row r="14363" spans="3:10" x14ac:dyDescent="0.2">
      <c r="C14363" s="209"/>
      <c r="D14363" s="209"/>
      <c r="E14363" s="209"/>
      <c r="J14363" s="124"/>
    </row>
    <row r="14364" spans="3:10" x14ac:dyDescent="0.2">
      <c r="C14364" s="209"/>
      <c r="D14364" s="209"/>
      <c r="E14364" s="209"/>
      <c r="J14364" s="124"/>
    </row>
    <row r="14365" spans="3:10" x14ac:dyDescent="0.2">
      <c r="C14365" s="209"/>
      <c r="D14365" s="209"/>
      <c r="E14365" s="209"/>
      <c r="J14365" s="124"/>
    </row>
    <row r="14366" spans="3:10" x14ac:dyDescent="0.2">
      <c r="C14366" s="209"/>
      <c r="D14366" s="209"/>
      <c r="E14366" s="209"/>
      <c r="J14366" s="124"/>
    </row>
    <row r="14367" spans="3:10" x14ac:dyDescent="0.2">
      <c r="C14367" s="209"/>
      <c r="D14367" s="209"/>
      <c r="E14367" s="209"/>
      <c r="J14367" s="124"/>
    </row>
    <row r="14368" spans="3:10" x14ac:dyDescent="0.2">
      <c r="C14368" s="209"/>
      <c r="D14368" s="209"/>
      <c r="E14368" s="209"/>
      <c r="J14368" s="124"/>
    </row>
    <row r="14369" spans="3:10" x14ac:dyDescent="0.2">
      <c r="C14369" s="209"/>
      <c r="D14369" s="209"/>
      <c r="E14369" s="209"/>
      <c r="J14369" s="124"/>
    </row>
    <row r="14370" spans="3:10" x14ac:dyDescent="0.2">
      <c r="C14370" s="209"/>
      <c r="D14370" s="209"/>
      <c r="E14370" s="209"/>
      <c r="J14370" s="124"/>
    </row>
    <row r="14371" spans="3:10" x14ac:dyDescent="0.2">
      <c r="C14371" s="209"/>
      <c r="D14371" s="209"/>
      <c r="E14371" s="209"/>
      <c r="J14371" s="124"/>
    </row>
    <row r="14372" spans="3:10" x14ac:dyDescent="0.2">
      <c r="C14372" s="209"/>
      <c r="D14372" s="209"/>
      <c r="E14372" s="209"/>
      <c r="J14372" s="124"/>
    </row>
    <row r="14373" spans="3:10" x14ac:dyDescent="0.2">
      <c r="C14373" s="209"/>
      <c r="D14373" s="209"/>
      <c r="E14373" s="209"/>
      <c r="J14373" s="124"/>
    </row>
    <row r="14374" spans="3:10" x14ac:dyDescent="0.2">
      <c r="C14374" s="209"/>
      <c r="D14374" s="209"/>
      <c r="E14374" s="209"/>
      <c r="J14374" s="124"/>
    </row>
    <row r="14375" spans="3:10" x14ac:dyDescent="0.2">
      <c r="C14375" s="209"/>
      <c r="D14375" s="209"/>
      <c r="E14375" s="209"/>
      <c r="J14375" s="124"/>
    </row>
    <row r="14376" spans="3:10" x14ac:dyDescent="0.2">
      <c r="C14376" s="209"/>
      <c r="D14376" s="209"/>
      <c r="E14376" s="209"/>
      <c r="J14376" s="124"/>
    </row>
    <row r="14377" spans="3:10" x14ac:dyDescent="0.2">
      <c r="C14377" s="209"/>
      <c r="D14377" s="209"/>
      <c r="E14377" s="209"/>
      <c r="J14377" s="124"/>
    </row>
    <row r="14378" spans="3:10" x14ac:dyDescent="0.2">
      <c r="C14378" s="209"/>
      <c r="D14378" s="209"/>
      <c r="E14378" s="209"/>
      <c r="J14378" s="124"/>
    </row>
    <row r="14379" spans="3:10" x14ac:dyDescent="0.2">
      <c r="C14379" s="209"/>
      <c r="D14379" s="209"/>
      <c r="E14379" s="209"/>
      <c r="J14379" s="124"/>
    </row>
    <row r="14380" spans="3:10" x14ac:dyDescent="0.2">
      <c r="C14380" s="209"/>
      <c r="D14380" s="209"/>
      <c r="E14380" s="209"/>
      <c r="J14380" s="124"/>
    </row>
    <row r="14381" spans="3:10" x14ac:dyDescent="0.2">
      <c r="C14381" s="209"/>
      <c r="D14381" s="209"/>
      <c r="E14381" s="209"/>
      <c r="J14381" s="124"/>
    </row>
    <row r="14382" spans="3:10" x14ac:dyDescent="0.2">
      <c r="C14382" s="209"/>
      <c r="D14382" s="209"/>
      <c r="E14382" s="209"/>
      <c r="J14382" s="124"/>
    </row>
    <row r="14383" spans="3:10" x14ac:dyDescent="0.2">
      <c r="C14383" s="209"/>
      <c r="D14383" s="209"/>
      <c r="E14383" s="209"/>
      <c r="J14383" s="124"/>
    </row>
    <row r="14384" spans="3:10" x14ac:dyDescent="0.2">
      <c r="C14384" s="209"/>
      <c r="D14384" s="209"/>
      <c r="E14384" s="209"/>
      <c r="J14384" s="124"/>
    </row>
    <row r="14385" spans="3:10" x14ac:dyDescent="0.2">
      <c r="C14385" s="209"/>
      <c r="D14385" s="209"/>
      <c r="E14385" s="209"/>
      <c r="J14385" s="124"/>
    </row>
    <row r="14386" spans="3:10" x14ac:dyDescent="0.2">
      <c r="C14386" s="209"/>
      <c r="D14386" s="209"/>
      <c r="E14386" s="209"/>
      <c r="J14386" s="124"/>
    </row>
    <row r="14387" spans="3:10" x14ac:dyDescent="0.2">
      <c r="C14387" s="209"/>
      <c r="D14387" s="209"/>
      <c r="E14387" s="209"/>
      <c r="J14387" s="124"/>
    </row>
    <row r="14388" spans="3:10" x14ac:dyDescent="0.2">
      <c r="C14388" s="209"/>
      <c r="D14388" s="209"/>
      <c r="E14388" s="209"/>
      <c r="J14388" s="124"/>
    </row>
    <row r="14389" spans="3:10" x14ac:dyDescent="0.2">
      <c r="C14389" s="209"/>
      <c r="D14389" s="209"/>
      <c r="E14389" s="209"/>
      <c r="J14389" s="124"/>
    </row>
    <row r="14390" spans="3:10" x14ac:dyDescent="0.2">
      <c r="C14390" s="209"/>
      <c r="D14390" s="209"/>
      <c r="E14390" s="209"/>
      <c r="J14390" s="124"/>
    </row>
    <row r="14391" spans="3:10" x14ac:dyDescent="0.2">
      <c r="C14391" s="209"/>
      <c r="D14391" s="209"/>
      <c r="E14391" s="209"/>
      <c r="J14391" s="124"/>
    </row>
    <row r="14392" spans="3:10" x14ac:dyDescent="0.2">
      <c r="C14392" s="209"/>
      <c r="D14392" s="209"/>
      <c r="E14392" s="209"/>
      <c r="J14392" s="124"/>
    </row>
    <row r="14393" spans="3:10" x14ac:dyDescent="0.2">
      <c r="C14393" s="209"/>
      <c r="D14393" s="209"/>
      <c r="E14393" s="209"/>
      <c r="J14393" s="124"/>
    </row>
    <row r="14394" spans="3:10" x14ac:dyDescent="0.2">
      <c r="C14394" s="209"/>
      <c r="D14394" s="209"/>
      <c r="E14394" s="209"/>
      <c r="J14394" s="124"/>
    </row>
    <row r="14395" spans="3:10" x14ac:dyDescent="0.2">
      <c r="C14395" s="209"/>
      <c r="D14395" s="209"/>
      <c r="E14395" s="209"/>
      <c r="J14395" s="124"/>
    </row>
    <row r="14396" spans="3:10" x14ac:dyDescent="0.2">
      <c r="C14396" s="209"/>
      <c r="D14396" s="209"/>
      <c r="E14396" s="209"/>
      <c r="J14396" s="124"/>
    </row>
    <row r="14397" spans="3:10" x14ac:dyDescent="0.2">
      <c r="C14397" s="209"/>
      <c r="D14397" s="209"/>
      <c r="E14397" s="209"/>
      <c r="J14397" s="124"/>
    </row>
    <row r="14398" spans="3:10" x14ac:dyDescent="0.2">
      <c r="C14398" s="209"/>
      <c r="D14398" s="209"/>
      <c r="E14398" s="209"/>
      <c r="J14398" s="124"/>
    </row>
    <row r="14399" spans="3:10" x14ac:dyDescent="0.2">
      <c r="C14399" s="209"/>
      <c r="D14399" s="209"/>
      <c r="E14399" s="209"/>
      <c r="J14399" s="124"/>
    </row>
    <row r="14400" spans="3:10" x14ac:dyDescent="0.2">
      <c r="C14400" s="209"/>
      <c r="D14400" s="209"/>
      <c r="E14400" s="209"/>
      <c r="J14400" s="124"/>
    </row>
    <row r="14401" spans="3:10" x14ac:dyDescent="0.2">
      <c r="C14401" s="209"/>
      <c r="D14401" s="209"/>
      <c r="E14401" s="209"/>
      <c r="J14401" s="124"/>
    </row>
    <row r="14402" spans="3:10" x14ac:dyDescent="0.2">
      <c r="C14402" s="209"/>
      <c r="D14402" s="209"/>
      <c r="E14402" s="209"/>
      <c r="J14402" s="124"/>
    </row>
    <row r="14403" spans="3:10" x14ac:dyDescent="0.2">
      <c r="C14403" s="209"/>
      <c r="D14403" s="209"/>
      <c r="E14403" s="209"/>
      <c r="J14403" s="124"/>
    </row>
    <row r="14404" spans="3:10" x14ac:dyDescent="0.2">
      <c r="C14404" s="209"/>
      <c r="D14404" s="209"/>
      <c r="E14404" s="209"/>
      <c r="J14404" s="124"/>
    </row>
    <row r="14405" spans="3:10" x14ac:dyDescent="0.2">
      <c r="C14405" s="209"/>
      <c r="D14405" s="209"/>
      <c r="E14405" s="209"/>
      <c r="J14405" s="124"/>
    </row>
    <row r="14406" spans="3:10" x14ac:dyDescent="0.2">
      <c r="C14406" s="209"/>
      <c r="D14406" s="209"/>
      <c r="E14406" s="209"/>
      <c r="J14406" s="124"/>
    </row>
    <row r="14407" spans="3:10" x14ac:dyDescent="0.2">
      <c r="C14407" s="209"/>
      <c r="D14407" s="209"/>
      <c r="E14407" s="209"/>
      <c r="J14407" s="124"/>
    </row>
    <row r="14408" spans="3:10" x14ac:dyDescent="0.2">
      <c r="C14408" s="209"/>
      <c r="D14408" s="209"/>
      <c r="E14408" s="209"/>
      <c r="J14408" s="124"/>
    </row>
    <row r="14409" spans="3:10" x14ac:dyDescent="0.2">
      <c r="C14409" s="209"/>
      <c r="D14409" s="209"/>
      <c r="E14409" s="209"/>
      <c r="J14409" s="124"/>
    </row>
    <row r="14410" spans="3:10" x14ac:dyDescent="0.2">
      <c r="C14410" s="209"/>
      <c r="D14410" s="209"/>
      <c r="E14410" s="209"/>
      <c r="J14410" s="124"/>
    </row>
    <row r="14411" spans="3:10" x14ac:dyDescent="0.2">
      <c r="C14411" s="209"/>
      <c r="D14411" s="209"/>
      <c r="E14411" s="209"/>
      <c r="J14411" s="124"/>
    </row>
    <row r="14412" spans="3:10" x14ac:dyDescent="0.2">
      <c r="C14412" s="209"/>
      <c r="D14412" s="209"/>
      <c r="E14412" s="209"/>
      <c r="J14412" s="124"/>
    </row>
    <row r="14413" spans="3:10" x14ac:dyDescent="0.2">
      <c r="C14413" s="209"/>
      <c r="D14413" s="209"/>
      <c r="E14413" s="209"/>
      <c r="J14413" s="124"/>
    </row>
    <row r="14414" spans="3:10" x14ac:dyDescent="0.2">
      <c r="C14414" s="209"/>
      <c r="D14414" s="209"/>
      <c r="E14414" s="209"/>
      <c r="J14414" s="124"/>
    </row>
    <row r="14415" spans="3:10" x14ac:dyDescent="0.2">
      <c r="C14415" s="209"/>
      <c r="D14415" s="209"/>
      <c r="E14415" s="209"/>
      <c r="J14415" s="124"/>
    </row>
    <row r="14416" spans="3:10" x14ac:dyDescent="0.2">
      <c r="C14416" s="209"/>
      <c r="D14416" s="209"/>
      <c r="E14416" s="209"/>
      <c r="J14416" s="124"/>
    </row>
    <row r="14417" spans="3:10" x14ac:dyDescent="0.2">
      <c r="C14417" s="209"/>
      <c r="D14417" s="209"/>
      <c r="E14417" s="209"/>
      <c r="J14417" s="124"/>
    </row>
    <row r="14418" spans="3:10" x14ac:dyDescent="0.2">
      <c r="C14418" s="209"/>
      <c r="D14418" s="209"/>
      <c r="E14418" s="209"/>
      <c r="J14418" s="124"/>
    </row>
    <row r="14419" spans="3:10" x14ac:dyDescent="0.2">
      <c r="C14419" s="209"/>
      <c r="D14419" s="209"/>
      <c r="E14419" s="209"/>
      <c r="J14419" s="124"/>
    </row>
    <row r="14420" spans="3:10" x14ac:dyDescent="0.2">
      <c r="C14420" s="209"/>
      <c r="D14420" s="209"/>
      <c r="E14420" s="209"/>
      <c r="J14420" s="124"/>
    </row>
    <row r="14421" spans="3:10" x14ac:dyDescent="0.2">
      <c r="C14421" s="209"/>
      <c r="D14421" s="209"/>
      <c r="E14421" s="209"/>
      <c r="J14421" s="124"/>
    </row>
    <row r="14422" spans="3:10" x14ac:dyDescent="0.2">
      <c r="C14422" s="209"/>
      <c r="D14422" s="209"/>
      <c r="E14422" s="209"/>
      <c r="J14422" s="124"/>
    </row>
    <row r="14423" spans="3:10" x14ac:dyDescent="0.2">
      <c r="C14423" s="209"/>
      <c r="D14423" s="209"/>
      <c r="E14423" s="209"/>
      <c r="J14423" s="124"/>
    </row>
    <row r="14424" spans="3:10" x14ac:dyDescent="0.2">
      <c r="C14424" s="209"/>
      <c r="D14424" s="209"/>
      <c r="E14424" s="209"/>
      <c r="J14424" s="124"/>
    </row>
    <row r="14425" spans="3:10" x14ac:dyDescent="0.2">
      <c r="C14425" s="209"/>
      <c r="D14425" s="209"/>
      <c r="E14425" s="209"/>
      <c r="J14425" s="124"/>
    </row>
    <row r="14426" spans="3:10" x14ac:dyDescent="0.2">
      <c r="C14426" s="209"/>
      <c r="D14426" s="209"/>
      <c r="E14426" s="209"/>
      <c r="J14426" s="124"/>
    </row>
    <row r="14427" spans="3:10" x14ac:dyDescent="0.2">
      <c r="C14427" s="209"/>
      <c r="D14427" s="209"/>
      <c r="E14427" s="209"/>
      <c r="J14427" s="124"/>
    </row>
    <row r="14428" spans="3:10" x14ac:dyDescent="0.2">
      <c r="C14428" s="209"/>
      <c r="D14428" s="209"/>
      <c r="E14428" s="209"/>
      <c r="J14428" s="124"/>
    </row>
    <row r="14429" spans="3:10" x14ac:dyDescent="0.2">
      <c r="C14429" s="209"/>
      <c r="D14429" s="209"/>
      <c r="E14429" s="209"/>
      <c r="J14429" s="124"/>
    </row>
    <row r="14430" spans="3:10" x14ac:dyDescent="0.2">
      <c r="C14430" s="209"/>
      <c r="D14430" s="209"/>
      <c r="E14430" s="209"/>
      <c r="J14430" s="124"/>
    </row>
    <row r="14431" spans="3:10" x14ac:dyDescent="0.2">
      <c r="C14431" s="209"/>
      <c r="D14431" s="209"/>
      <c r="E14431" s="209"/>
      <c r="J14431" s="124"/>
    </row>
    <row r="14432" spans="3:10" x14ac:dyDescent="0.2">
      <c r="C14432" s="209"/>
      <c r="D14432" s="209"/>
      <c r="E14432" s="209"/>
      <c r="J14432" s="124"/>
    </row>
    <row r="14433" spans="3:10" x14ac:dyDescent="0.2">
      <c r="C14433" s="209"/>
      <c r="D14433" s="209"/>
      <c r="E14433" s="209"/>
      <c r="J14433" s="124"/>
    </row>
    <row r="14434" spans="3:10" x14ac:dyDescent="0.2">
      <c r="C14434" s="209"/>
      <c r="D14434" s="209"/>
      <c r="E14434" s="209"/>
      <c r="J14434" s="124"/>
    </row>
    <row r="14435" spans="3:10" x14ac:dyDescent="0.2">
      <c r="C14435" s="209"/>
      <c r="D14435" s="209"/>
      <c r="E14435" s="209"/>
      <c r="J14435" s="124"/>
    </row>
    <row r="14436" spans="3:10" x14ac:dyDescent="0.2">
      <c r="C14436" s="209"/>
      <c r="D14436" s="209"/>
      <c r="E14436" s="209"/>
      <c r="J14436" s="124"/>
    </row>
    <row r="14437" spans="3:10" x14ac:dyDescent="0.2">
      <c r="C14437" s="209"/>
      <c r="D14437" s="209"/>
      <c r="E14437" s="209"/>
      <c r="J14437" s="124"/>
    </row>
    <row r="14438" spans="3:10" x14ac:dyDescent="0.2">
      <c r="C14438" s="209"/>
      <c r="D14438" s="209"/>
      <c r="E14438" s="209"/>
      <c r="J14438" s="124"/>
    </row>
    <row r="14439" spans="3:10" x14ac:dyDescent="0.2">
      <c r="C14439" s="209"/>
      <c r="D14439" s="209"/>
      <c r="E14439" s="209"/>
      <c r="J14439" s="124"/>
    </row>
    <row r="14440" spans="3:10" x14ac:dyDescent="0.2">
      <c r="C14440" s="209"/>
      <c r="D14440" s="209"/>
      <c r="E14440" s="209"/>
      <c r="J14440" s="124"/>
    </row>
    <row r="14441" spans="3:10" x14ac:dyDescent="0.2">
      <c r="C14441" s="209"/>
      <c r="D14441" s="209"/>
      <c r="E14441" s="209"/>
      <c r="J14441" s="124"/>
    </row>
    <row r="14442" spans="3:10" x14ac:dyDescent="0.2">
      <c r="C14442" s="209"/>
      <c r="D14442" s="209"/>
      <c r="E14442" s="209"/>
      <c r="J14442" s="124"/>
    </row>
    <row r="14443" spans="3:10" x14ac:dyDescent="0.2">
      <c r="C14443" s="209"/>
      <c r="D14443" s="209"/>
      <c r="E14443" s="209"/>
      <c r="J14443" s="124"/>
    </row>
    <row r="14444" spans="3:10" x14ac:dyDescent="0.2">
      <c r="C14444" s="209"/>
      <c r="D14444" s="209"/>
      <c r="E14444" s="209"/>
      <c r="J14444" s="124"/>
    </row>
    <row r="14445" spans="3:10" x14ac:dyDescent="0.2">
      <c r="C14445" s="209"/>
      <c r="D14445" s="209"/>
      <c r="E14445" s="209"/>
      <c r="J14445" s="124"/>
    </row>
    <row r="14446" spans="3:10" x14ac:dyDescent="0.2">
      <c r="C14446" s="209"/>
      <c r="D14446" s="209"/>
      <c r="E14446" s="209"/>
      <c r="J14446" s="124"/>
    </row>
    <row r="14447" spans="3:10" x14ac:dyDescent="0.2">
      <c r="C14447" s="209"/>
      <c r="D14447" s="209"/>
      <c r="E14447" s="209"/>
      <c r="J14447" s="124"/>
    </row>
    <row r="14448" spans="3:10" x14ac:dyDescent="0.2">
      <c r="C14448" s="209"/>
      <c r="D14448" s="209"/>
      <c r="E14448" s="209"/>
      <c r="J14448" s="124"/>
    </row>
    <row r="14449" spans="3:10" x14ac:dyDescent="0.2">
      <c r="C14449" s="209"/>
      <c r="D14449" s="209"/>
      <c r="E14449" s="209"/>
      <c r="J14449" s="124"/>
    </row>
    <row r="14450" spans="3:10" x14ac:dyDescent="0.2">
      <c r="C14450" s="209"/>
      <c r="D14450" s="209"/>
      <c r="E14450" s="209"/>
      <c r="J14450" s="124"/>
    </row>
    <row r="14451" spans="3:10" x14ac:dyDescent="0.2">
      <c r="C14451" s="209"/>
      <c r="D14451" s="209"/>
      <c r="E14451" s="209"/>
      <c r="J14451" s="124"/>
    </row>
    <row r="14452" spans="3:10" x14ac:dyDescent="0.2">
      <c r="C14452" s="209"/>
      <c r="D14452" s="209"/>
      <c r="E14452" s="209"/>
      <c r="J14452" s="124"/>
    </row>
    <row r="14453" spans="3:10" x14ac:dyDescent="0.2">
      <c r="C14453" s="209"/>
      <c r="D14453" s="209"/>
      <c r="E14453" s="209"/>
      <c r="J14453" s="124"/>
    </row>
    <row r="14454" spans="3:10" x14ac:dyDescent="0.2">
      <c r="C14454" s="209"/>
      <c r="D14454" s="209"/>
      <c r="E14454" s="209"/>
      <c r="J14454" s="124"/>
    </row>
    <row r="14455" spans="3:10" x14ac:dyDescent="0.2">
      <c r="C14455" s="209"/>
      <c r="D14455" s="209"/>
      <c r="E14455" s="209"/>
      <c r="J14455" s="124"/>
    </row>
    <row r="14456" spans="3:10" x14ac:dyDescent="0.2">
      <c r="C14456" s="209"/>
      <c r="D14456" s="209"/>
      <c r="E14456" s="209"/>
      <c r="J14456" s="124"/>
    </row>
    <row r="14457" spans="3:10" x14ac:dyDescent="0.2">
      <c r="C14457" s="209"/>
      <c r="D14457" s="209"/>
      <c r="E14457" s="209"/>
      <c r="J14457" s="124"/>
    </row>
    <row r="14458" spans="3:10" x14ac:dyDescent="0.2">
      <c r="C14458" s="209"/>
      <c r="D14458" s="209"/>
      <c r="E14458" s="209"/>
      <c r="J14458" s="124"/>
    </row>
    <row r="14459" spans="3:10" x14ac:dyDescent="0.2">
      <c r="C14459" s="209"/>
      <c r="D14459" s="209"/>
      <c r="E14459" s="209"/>
      <c r="J14459" s="124"/>
    </row>
    <row r="14460" spans="3:10" x14ac:dyDescent="0.2">
      <c r="C14460" s="209"/>
      <c r="D14460" s="209"/>
      <c r="E14460" s="209"/>
      <c r="J14460" s="124"/>
    </row>
    <row r="14461" spans="3:10" x14ac:dyDescent="0.2">
      <c r="C14461" s="209"/>
      <c r="D14461" s="209"/>
      <c r="E14461" s="209"/>
      <c r="J14461" s="124"/>
    </row>
    <row r="14462" spans="3:10" x14ac:dyDescent="0.2">
      <c r="C14462" s="209"/>
      <c r="D14462" s="209"/>
      <c r="E14462" s="209"/>
      <c r="J14462" s="124"/>
    </row>
    <row r="14463" spans="3:10" x14ac:dyDescent="0.2">
      <c r="C14463" s="209"/>
      <c r="D14463" s="209"/>
      <c r="E14463" s="209"/>
      <c r="J14463" s="124"/>
    </row>
    <row r="14464" spans="3:10" x14ac:dyDescent="0.2">
      <c r="C14464" s="209"/>
      <c r="D14464" s="209"/>
      <c r="E14464" s="209"/>
      <c r="J14464" s="124"/>
    </row>
    <row r="14465" spans="3:10" x14ac:dyDescent="0.2">
      <c r="C14465" s="209"/>
      <c r="D14465" s="209"/>
      <c r="E14465" s="209"/>
      <c r="J14465" s="124"/>
    </row>
    <row r="14466" spans="3:10" x14ac:dyDescent="0.2">
      <c r="C14466" s="209"/>
      <c r="D14466" s="209"/>
      <c r="E14466" s="209"/>
      <c r="J14466" s="124"/>
    </row>
    <row r="14467" spans="3:10" x14ac:dyDescent="0.2">
      <c r="C14467" s="209"/>
      <c r="D14467" s="209"/>
      <c r="E14467" s="209"/>
      <c r="J14467" s="124"/>
    </row>
    <row r="14468" spans="3:10" x14ac:dyDescent="0.2">
      <c r="C14468" s="209"/>
      <c r="D14468" s="209"/>
      <c r="E14468" s="209"/>
      <c r="J14468" s="124"/>
    </row>
    <row r="14469" spans="3:10" x14ac:dyDescent="0.2">
      <c r="C14469" s="209"/>
      <c r="D14469" s="209"/>
      <c r="E14469" s="209"/>
      <c r="J14469" s="124"/>
    </row>
    <row r="14470" spans="3:10" x14ac:dyDescent="0.2">
      <c r="C14470" s="209"/>
      <c r="D14470" s="209"/>
      <c r="E14470" s="209"/>
      <c r="J14470" s="124"/>
    </row>
    <row r="14471" spans="3:10" x14ac:dyDescent="0.2">
      <c r="C14471" s="209"/>
      <c r="D14471" s="209"/>
      <c r="E14471" s="209"/>
      <c r="J14471" s="124"/>
    </row>
    <row r="14472" spans="3:10" x14ac:dyDescent="0.2">
      <c r="C14472" s="209"/>
      <c r="D14472" s="209"/>
      <c r="E14472" s="209"/>
      <c r="J14472" s="124"/>
    </row>
    <row r="14473" spans="3:10" x14ac:dyDescent="0.2">
      <c r="C14473" s="209"/>
      <c r="D14473" s="209"/>
      <c r="E14473" s="209"/>
      <c r="J14473" s="124"/>
    </row>
    <row r="14474" spans="3:10" x14ac:dyDescent="0.2">
      <c r="C14474" s="209"/>
      <c r="D14474" s="209"/>
      <c r="E14474" s="209"/>
      <c r="J14474" s="124"/>
    </row>
    <row r="14475" spans="3:10" x14ac:dyDescent="0.2">
      <c r="C14475" s="209"/>
      <c r="D14475" s="209"/>
      <c r="E14475" s="209"/>
      <c r="J14475" s="124"/>
    </row>
    <row r="14476" spans="3:10" x14ac:dyDescent="0.2">
      <c r="C14476" s="209"/>
      <c r="D14476" s="209"/>
      <c r="E14476" s="209"/>
      <c r="J14476" s="124"/>
    </row>
    <row r="14477" spans="3:10" x14ac:dyDescent="0.2">
      <c r="C14477" s="209"/>
      <c r="D14477" s="209"/>
      <c r="E14477" s="209"/>
      <c r="J14477" s="124"/>
    </row>
    <row r="14478" spans="3:10" x14ac:dyDescent="0.2">
      <c r="C14478" s="209"/>
      <c r="D14478" s="209"/>
      <c r="E14478" s="209"/>
      <c r="J14478" s="124"/>
    </row>
    <row r="14479" spans="3:10" x14ac:dyDescent="0.2">
      <c r="C14479" s="209"/>
      <c r="D14479" s="209"/>
      <c r="E14479" s="209"/>
      <c r="J14479" s="124"/>
    </row>
    <row r="14480" spans="3:10" x14ac:dyDescent="0.2">
      <c r="C14480" s="209"/>
      <c r="D14480" s="209"/>
      <c r="E14480" s="209"/>
      <c r="J14480" s="124"/>
    </row>
    <row r="14481" spans="3:10" x14ac:dyDescent="0.2">
      <c r="C14481" s="209"/>
      <c r="D14481" s="209"/>
      <c r="E14481" s="209"/>
      <c r="J14481" s="124"/>
    </row>
    <row r="14482" spans="3:10" x14ac:dyDescent="0.2">
      <c r="C14482" s="209"/>
      <c r="D14482" s="209"/>
      <c r="E14482" s="209"/>
      <c r="J14482" s="124"/>
    </row>
    <row r="14483" spans="3:10" x14ac:dyDescent="0.2">
      <c r="C14483" s="209"/>
      <c r="D14483" s="209"/>
      <c r="E14483" s="209"/>
      <c r="J14483" s="124"/>
    </row>
    <row r="14484" spans="3:10" x14ac:dyDescent="0.2">
      <c r="C14484" s="209"/>
      <c r="D14484" s="209"/>
      <c r="E14484" s="209"/>
      <c r="J14484" s="124"/>
    </row>
    <row r="14485" spans="3:10" x14ac:dyDescent="0.2">
      <c r="C14485" s="209"/>
      <c r="D14485" s="209"/>
      <c r="E14485" s="209"/>
      <c r="J14485" s="124"/>
    </row>
    <row r="14486" spans="3:10" x14ac:dyDescent="0.2">
      <c r="C14486" s="209"/>
      <c r="D14486" s="209"/>
      <c r="E14486" s="209"/>
      <c r="J14486" s="124"/>
    </row>
    <row r="14487" spans="3:10" x14ac:dyDescent="0.2">
      <c r="C14487" s="209"/>
      <c r="D14487" s="209"/>
      <c r="E14487" s="209"/>
      <c r="J14487" s="124"/>
    </row>
    <row r="14488" spans="3:10" x14ac:dyDescent="0.2">
      <c r="C14488" s="209"/>
      <c r="D14488" s="209"/>
      <c r="E14488" s="209"/>
      <c r="J14488" s="124"/>
    </row>
    <row r="14489" spans="3:10" x14ac:dyDescent="0.2">
      <c r="C14489" s="209"/>
      <c r="D14489" s="209"/>
      <c r="E14489" s="209"/>
      <c r="J14489" s="124"/>
    </row>
    <row r="14490" spans="3:10" x14ac:dyDescent="0.2">
      <c r="C14490" s="209"/>
      <c r="D14490" s="209"/>
      <c r="E14490" s="209"/>
      <c r="J14490" s="124"/>
    </row>
    <row r="14491" spans="3:10" x14ac:dyDescent="0.2">
      <c r="C14491" s="209"/>
      <c r="D14491" s="209"/>
      <c r="E14491" s="209"/>
      <c r="J14491" s="124"/>
    </row>
    <row r="14492" spans="3:10" x14ac:dyDescent="0.2">
      <c r="C14492" s="209"/>
      <c r="D14492" s="209"/>
      <c r="E14492" s="209"/>
      <c r="J14492" s="124"/>
    </row>
    <row r="14493" spans="3:10" x14ac:dyDescent="0.2">
      <c r="C14493" s="209"/>
      <c r="D14493" s="209"/>
      <c r="E14493" s="209"/>
      <c r="J14493" s="124"/>
    </row>
    <row r="14494" spans="3:10" x14ac:dyDescent="0.2">
      <c r="C14494" s="209"/>
      <c r="D14494" s="209"/>
      <c r="E14494" s="209"/>
      <c r="J14494" s="124"/>
    </row>
    <row r="14495" spans="3:10" x14ac:dyDescent="0.2">
      <c r="C14495" s="209"/>
      <c r="D14495" s="209"/>
      <c r="E14495" s="209"/>
      <c r="J14495" s="124"/>
    </row>
    <row r="14496" spans="3:10" x14ac:dyDescent="0.2">
      <c r="C14496" s="209"/>
      <c r="D14496" s="209"/>
      <c r="E14496" s="209"/>
      <c r="J14496" s="124"/>
    </row>
    <row r="14497" spans="3:10" x14ac:dyDescent="0.2">
      <c r="C14497" s="209"/>
      <c r="D14497" s="209"/>
      <c r="E14497" s="209"/>
      <c r="J14497" s="124"/>
    </row>
    <row r="14498" spans="3:10" x14ac:dyDescent="0.2">
      <c r="C14498" s="209"/>
      <c r="D14498" s="209"/>
      <c r="E14498" s="209"/>
      <c r="J14498" s="124"/>
    </row>
    <row r="14499" spans="3:10" x14ac:dyDescent="0.2">
      <c r="C14499" s="209"/>
      <c r="D14499" s="209"/>
      <c r="E14499" s="209"/>
      <c r="J14499" s="124"/>
    </row>
    <row r="14500" spans="3:10" x14ac:dyDescent="0.2">
      <c r="C14500" s="209"/>
      <c r="D14500" s="209"/>
      <c r="E14500" s="209"/>
      <c r="J14500" s="124"/>
    </row>
    <row r="14501" spans="3:10" x14ac:dyDescent="0.2">
      <c r="C14501" s="209"/>
      <c r="D14501" s="209"/>
      <c r="E14501" s="209"/>
      <c r="J14501" s="124"/>
    </row>
    <row r="14502" spans="3:10" x14ac:dyDescent="0.2">
      <c r="C14502" s="209"/>
      <c r="D14502" s="209"/>
      <c r="E14502" s="209"/>
      <c r="J14502" s="124"/>
    </row>
    <row r="14503" spans="3:10" x14ac:dyDescent="0.2">
      <c r="C14503" s="209"/>
      <c r="D14503" s="209"/>
      <c r="E14503" s="209"/>
      <c r="J14503" s="124"/>
    </row>
    <row r="14504" spans="3:10" x14ac:dyDescent="0.2">
      <c r="C14504" s="209"/>
      <c r="D14504" s="209"/>
      <c r="E14504" s="209"/>
      <c r="J14504" s="124"/>
    </row>
    <row r="14505" spans="3:10" x14ac:dyDescent="0.2">
      <c r="C14505" s="209"/>
      <c r="D14505" s="209"/>
      <c r="E14505" s="209"/>
      <c r="J14505" s="124"/>
    </row>
    <row r="14506" spans="3:10" x14ac:dyDescent="0.2">
      <c r="C14506" s="209"/>
      <c r="D14506" s="209"/>
      <c r="E14506" s="209"/>
      <c r="J14506" s="124"/>
    </row>
    <row r="14507" spans="3:10" x14ac:dyDescent="0.2">
      <c r="C14507" s="209"/>
      <c r="D14507" s="209"/>
      <c r="E14507" s="209"/>
      <c r="J14507" s="124"/>
    </row>
    <row r="14508" spans="3:10" x14ac:dyDescent="0.2">
      <c r="C14508" s="209"/>
      <c r="D14508" s="209"/>
      <c r="E14508" s="209"/>
      <c r="J14508" s="124"/>
    </row>
    <row r="14509" spans="3:10" x14ac:dyDescent="0.2">
      <c r="C14509" s="209"/>
      <c r="D14509" s="209"/>
      <c r="E14509" s="209"/>
      <c r="J14509" s="124"/>
    </row>
    <row r="14510" spans="3:10" x14ac:dyDescent="0.2">
      <c r="C14510" s="209"/>
      <c r="D14510" s="209"/>
      <c r="E14510" s="209"/>
      <c r="J14510" s="124"/>
    </row>
    <row r="14511" spans="3:10" x14ac:dyDescent="0.2">
      <c r="C14511" s="209"/>
      <c r="D14511" s="209"/>
      <c r="E14511" s="209"/>
      <c r="J14511" s="124"/>
    </row>
    <row r="14512" spans="3:10" x14ac:dyDescent="0.2">
      <c r="C14512" s="209"/>
      <c r="D14512" s="209"/>
      <c r="E14512" s="209"/>
      <c r="J14512" s="124"/>
    </row>
    <row r="14513" spans="3:10" x14ac:dyDescent="0.2">
      <c r="C14513" s="209"/>
      <c r="D14513" s="209"/>
      <c r="E14513" s="209"/>
      <c r="J14513" s="124"/>
    </row>
    <row r="14514" spans="3:10" x14ac:dyDescent="0.2">
      <c r="C14514" s="209"/>
      <c r="D14514" s="209"/>
      <c r="E14514" s="209"/>
      <c r="J14514" s="124"/>
    </row>
    <row r="14515" spans="3:10" x14ac:dyDescent="0.2">
      <c r="C14515" s="209"/>
      <c r="D14515" s="209"/>
      <c r="E14515" s="209"/>
      <c r="J14515" s="124"/>
    </row>
    <row r="14516" spans="3:10" x14ac:dyDescent="0.2">
      <c r="C14516" s="209"/>
      <c r="D14516" s="209"/>
      <c r="E14516" s="209"/>
      <c r="J14516" s="124"/>
    </row>
    <row r="14517" spans="3:10" x14ac:dyDescent="0.2">
      <c r="C14517" s="209"/>
      <c r="D14517" s="209"/>
      <c r="E14517" s="209"/>
      <c r="J14517" s="124"/>
    </row>
    <row r="14518" spans="3:10" x14ac:dyDescent="0.2">
      <c r="C14518" s="209"/>
      <c r="D14518" s="209"/>
      <c r="E14518" s="209"/>
      <c r="J14518" s="124"/>
    </row>
    <row r="14519" spans="3:10" x14ac:dyDescent="0.2">
      <c r="C14519" s="209"/>
      <c r="D14519" s="209"/>
      <c r="E14519" s="209"/>
      <c r="J14519" s="124"/>
    </row>
    <row r="14520" spans="3:10" x14ac:dyDescent="0.2">
      <c r="C14520" s="209"/>
      <c r="D14520" s="209"/>
      <c r="E14520" s="209"/>
      <c r="J14520" s="124"/>
    </row>
    <row r="14521" spans="3:10" x14ac:dyDescent="0.2">
      <c r="C14521" s="209"/>
      <c r="D14521" s="209"/>
      <c r="E14521" s="209"/>
      <c r="J14521" s="124"/>
    </row>
    <row r="14522" spans="3:10" x14ac:dyDescent="0.2">
      <c r="C14522" s="209"/>
      <c r="D14522" s="209"/>
      <c r="E14522" s="209"/>
      <c r="J14522" s="124"/>
    </row>
    <row r="14523" spans="3:10" x14ac:dyDescent="0.2">
      <c r="C14523" s="209"/>
      <c r="D14523" s="209"/>
      <c r="E14523" s="209"/>
      <c r="J14523" s="124"/>
    </row>
    <row r="14524" spans="3:10" x14ac:dyDescent="0.2">
      <c r="C14524" s="209"/>
      <c r="D14524" s="209"/>
      <c r="E14524" s="209"/>
      <c r="J14524" s="124"/>
    </row>
    <row r="14525" spans="3:10" x14ac:dyDescent="0.2">
      <c r="C14525" s="209"/>
      <c r="D14525" s="209"/>
      <c r="E14525" s="209"/>
      <c r="J14525" s="124"/>
    </row>
    <row r="14526" spans="3:10" x14ac:dyDescent="0.2">
      <c r="C14526" s="209"/>
      <c r="D14526" s="209"/>
      <c r="E14526" s="209"/>
      <c r="J14526" s="124"/>
    </row>
    <row r="14527" spans="3:10" x14ac:dyDescent="0.2">
      <c r="C14527" s="209"/>
      <c r="D14527" s="209"/>
      <c r="E14527" s="209"/>
      <c r="J14527" s="124"/>
    </row>
    <row r="14528" spans="3:10" x14ac:dyDescent="0.2">
      <c r="C14528" s="209"/>
      <c r="D14528" s="209"/>
      <c r="E14528" s="209"/>
      <c r="J14528" s="124"/>
    </row>
    <row r="14529" spans="3:10" x14ac:dyDescent="0.2">
      <c r="C14529" s="209"/>
      <c r="D14529" s="209"/>
      <c r="E14529" s="209"/>
      <c r="J14529" s="124"/>
    </row>
    <row r="14530" spans="3:10" x14ac:dyDescent="0.2">
      <c r="C14530" s="209"/>
      <c r="D14530" s="209"/>
      <c r="E14530" s="209"/>
      <c r="J14530" s="124"/>
    </row>
    <row r="14531" spans="3:10" x14ac:dyDescent="0.2">
      <c r="C14531" s="209"/>
      <c r="D14531" s="209"/>
      <c r="E14531" s="209"/>
      <c r="J14531" s="124"/>
    </row>
    <row r="14532" spans="3:10" x14ac:dyDescent="0.2">
      <c r="C14532" s="209"/>
      <c r="D14532" s="209"/>
      <c r="E14532" s="209"/>
      <c r="J14532" s="124"/>
    </row>
    <row r="14533" spans="3:10" x14ac:dyDescent="0.2">
      <c r="C14533" s="209"/>
      <c r="D14533" s="209"/>
      <c r="E14533" s="209"/>
      <c r="J14533" s="124"/>
    </row>
    <row r="14534" spans="3:10" x14ac:dyDescent="0.2">
      <c r="C14534" s="209"/>
      <c r="D14534" s="209"/>
      <c r="E14534" s="209"/>
      <c r="J14534" s="124"/>
    </row>
    <row r="14535" spans="3:10" x14ac:dyDescent="0.2">
      <c r="C14535" s="209"/>
      <c r="D14535" s="209"/>
      <c r="E14535" s="209"/>
      <c r="J14535" s="124"/>
    </row>
    <row r="14536" spans="3:10" x14ac:dyDescent="0.2">
      <c r="C14536" s="209"/>
      <c r="D14536" s="209"/>
      <c r="E14536" s="209"/>
      <c r="J14536" s="124"/>
    </row>
    <row r="14537" spans="3:10" x14ac:dyDescent="0.2">
      <c r="C14537" s="209"/>
      <c r="D14537" s="209"/>
      <c r="E14537" s="209"/>
      <c r="J14537" s="124"/>
    </row>
    <row r="14538" spans="3:10" x14ac:dyDescent="0.2">
      <c r="C14538" s="209"/>
      <c r="D14538" s="209"/>
      <c r="E14538" s="209"/>
      <c r="J14538" s="124"/>
    </row>
    <row r="14539" spans="3:10" x14ac:dyDescent="0.2">
      <c r="C14539" s="209"/>
      <c r="D14539" s="209"/>
      <c r="E14539" s="209"/>
      <c r="J14539" s="124"/>
    </row>
    <row r="14540" spans="3:10" x14ac:dyDescent="0.2">
      <c r="C14540" s="209"/>
      <c r="D14540" s="209"/>
      <c r="E14540" s="209"/>
      <c r="J14540" s="124"/>
    </row>
    <row r="14541" spans="3:10" x14ac:dyDescent="0.2">
      <c r="C14541" s="209"/>
      <c r="D14541" s="209"/>
      <c r="E14541" s="209"/>
      <c r="J14541" s="124"/>
    </row>
    <row r="14542" spans="3:10" x14ac:dyDescent="0.2">
      <c r="C14542" s="209"/>
      <c r="D14542" s="209"/>
      <c r="E14542" s="209"/>
      <c r="J14542" s="124"/>
    </row>
    <row r="14543" spans="3:10" x14ac:dyDescent="0.2">
      <c r="C14543" s="209"/>
      <c r="D14543" s="209"/>
      <c r="E14543" s="209"/>
      <c r="J14543" s="124"/>
    </row>
    <row r="14544" spans="3:10" x14ac:dyDescent="0.2">
      <c r="C14544" s="209"/>
      <c r="D14544" s="209"/>
      <c r="E14544" s="209"/>
      <c r="J14544" s="124"/>
    </row>
    <row r="14545" spans="3:10" x14ac:dyDescent="0.2">
      <c r="C14545" s="209"/>
      <c r="D14545" s="209"/>
      <c r="E14545" s="209"/>
      <c r="J14545" s="124"/>
    </row>
    <row r="14546" spans="3:10" x14ac:dyDescent="0.2">
      <c r="C14546" s="209"/>
      <c r="D14546" s="209"/>
      <c r="E14546" s="209"/>
      <c r="J14546" s="124"/>
    </row>
    <row r="14547" spans="3:10" x14ac:dyDescent="0.2">
      <c r="C14547" s="209"/>
      <c r="D14547" s="209"/>
      <c r="E14547" s="209"/>
      <c r="J14547" s="124"/>
    </row>
    <row r="14548" spans="3:10" x14ac:dyDescent="0.2">
      <c r="C14548" s="209"/>
      <c r="D14548" s="209"/>
      <c r="E14548" s="209"/>
      <c r="J14548" s="124"/>
    </row>
    <row r="14549" spans="3:10" x14ac:dyDescent="0.2">
      <c r="C14549" s="209"/>
      <c r="D14549" s="209"/>
      <c r="E14549" s="209"/>
      <c r="J14549" s="124"/>
    </row>
    <row r="14550" spans="3:10" x14ac:dyDescent="0.2">
      <c r="C14550" s="209"/>
      <c r="D14550" s="209"/>
      <c r="E14550" s="209"/>
      <c r="J14550" s="124"/>
    </row>
    <row r="14551" spans="3:10" x14ac:dyDescent="0.2">
      <c r="C14551" s="209"/>
      <c r="D14551" s="209"/>
      <c r="E14551" s="209"/>
      <c r="J14551" s="124"/>
    </row>
    <row r="14552" spans="3:10" x14ac:dyDescent="0.2">
      <c r="C14552" s="209"/>
      <c r="D14552" s="209"/>
      <c r="E14552" s="209"/>
      <c r="J14552" s="124"/>
    </row>
    <row r="14553" spans="3:10" x14ac:dyDescent="0.2">
      <c r="C14553" s="209"/>
      <c r="D14553" s="209"/>
      <c r="E14553" s="209"/>
      <c r="J14553" s="124"/>
    </row>
    <row r="14554" spans="3:10" x14ac:dyDescent="0.2">
      <c r="C14554" s="209"/>
      <c r="D14554" s="209"/>
      <c r="E14554" s="209"/>
      <c r="J14554" s="124"/>
    </row>
    <row r="14555" spans="3:10" x14ac:dyDescent="0.2">
      <c r="C14555" s="209"/>
      <c r="D14555" s="209"/>
      <c r="E14555" s="209"/>
      <c r="J14555" s="124"/>
    </row>
    <row r="14556" spans="3:10" x14ac:dyDescent="0.2">
      <c r="C14556" s="209"/>
      <c r="D14556" s="209"/>
      <c r="E14556" s="209"/>
      <c r="J14556" s="124"/>
    </row>
    <row r="14557" spans="3:10" x14ac:dyDescent="0.2">
      <c r="C14557" s="209"/>
      <c r="D14557" s="209"/>
      <c r="E14557" s="209"/>
      <c r="J14557" s="124"/>
    </row>
    <row r="14558" spans="3:10" x14ac:dyDescent="0.2">
      <c r="C14558" s="209"/>
      <c r="D14558" s="209"/>
      <c r="E14558" s="209"/>
      <c r="J14558" s="124"/>
    </row>
    <row r="14559" spans="3:10" x14ac:dyDescent="0.2">
      <c r="C14559" s="209"/>
      <c r="D14559" s="209"/>
      <c r="E14559" s="209"/>
      <c r="J14559" s="124"/>
    </row>
    <row r="14560" spans="3:10" x14ac:dyDescent="0.2">
      <c r="C14560" s="209"/>
      <c r="D14560" s="209"/>
      <c r="E14560" s="209"/>
      <c r="J14560" s="124"/>
    </row>
    <row r="14561" spans="3:10" x14ac:dyDescent="0.2">
      <c r="C14561" s="209"/>
      <c r="D14561" s="209"/>
      <c r="E14561" s="209"/>
      <c r="J14561" s="124"/>
    </row>
    <row r="14562" spans="3:10" x14ac:dyDescent="0.2">
      <c r="C14562" s="209"/>
      <c r="D14562" s="209"/>
      <c r="E14562" s="209"/>
      <c r="J14562" s="124"/>
    </row>
    <row r="14563" spans="3:10" x14ac:dyDescent="0.2">
      <c r="C14563" s="209"/>
      <c r="D14563" s="209"/>
      <c r="E14563" s="209"/>
      <c r="J14563" s="124"/>
    </row>
    <row r="14564" spans="3:10" x14ac:dyDescent="0.2">
      <c r="C14564" s="209"/>
      <c r="D14564" s="209"/>
      <c r="E14564" s="209"/>
      <c r="J14564" s="124"/>
    </row>
    <row r="14565" spans="3:10" x14ac:dyDescent="0.2">
      <c r="C14565" s="209"/>
      <c r="D14565" s="209"/>
      <c r="E14565" s="209"/>
      <c r="J14565" s="124"/>
    </row>
    <row r="14566" spans="3:10" x14ac:dyDescent="0.2">
      <c r="C14566" s="209"/>
      <c r="D14566" s="209"/>
      <c r="E14566" s="209"/>
      <c r="J14566" s="124"/>
    </row>
    <row r="14567" spans="3:10" x14ac:dyDescent="0.2">
      <c r="C14567" s="209"/>
      <c r="D14567" s="209"/>
      <c r="E14567" s="209"/>
      <c r="J14567" s="124"/>
    </row>
    <row r="14568" spans="3:10" x14ac:dyDescent="0.2">
      <c r="C14568" s="209"/>
      <c r="D14568" s="209"/>
      <c r="E14568" s="209"/>
      <c r="J14568" s="124"/>
    </row>
    <row r="14569" spans="3:10" x14ac:dyDescent="0.2">
      <c r="C14569" s="209"/>
      <c r="D14569" s="209"/>
      <c r="E14569" s="209"/>
      <c r="J14569" s="124"/>
    </row>
    <row r="14570" spans="3:10" x14ac:dyDescent="0.2">
      <c r="C14570" s="209"/>
      <c r="D14570" s="209"/>
      <c r="E14570" s="209"/>
      <c r="J14570" s="124"/>
    </row>
    <row r="14571" spans="3:10" x14ac:dyDescent="0.2">
      <c r="C14571" s="209"/>
      <c r="D14571" s="209"/>
      <c r="E14571" s="209"/>
      <c r="J14571" s="124"/>
    </row>
    <row r="14572" spans="3:10" x14ac:dyDescent="0.2">
      <c r="C14572" s="209"/>
      <c r="D14572" s="209"/>
      <c r="E14572" s="209"/>
      <c r="J14572" s="124"/>
    </row>
    <row r="14573" spans="3:10" x14ac:dyDescent="0.2">
      <c r="C14573" s="209"/>
      <c r="D14573" s="209"/>
      <c r="E14573" s="209"/>
      <c r="J14573" s="124"/>
    </row>
    <row r="14574" spans="3:10" x14ac:dyDescent="0.2">
      <c r="C14574" s="209"/>
      <c r="D14574" s="209"/>
      <c r="E14574" s="209"/>
      <c r="J14574" s="124"/>
    </row>
    <row r="14575" spans="3:10" x14ac:dyDescent="0.2">
      <c r="C14575" s="209"/>
      <c r="D14575" s="209"/>
      <c r="E14575" s="209"/>
      <c r="J14575" s="124"/>
    </row>
    <row r="14576" spans="3:10" x14ac:dyDescent="0.2">
      <c r="C14576" s="209"/>
      <c r="D14576" s="209"/>
      <c r="E14576" s="209"/>
      <c r="J14576" s="124"/>
    </row>
    <row r="14577" spans="3:10" x14ac:dyDescent="0.2">
      <c r="C14577" s="209"/>
      <c r="D14577" s="209"/>
      <c r="E14577" s="209"/>
      <c r="J14577" s="124"/>
    </row>
    <row r="14578" spans="3:10" x14ac:dyDescent="0.2">
      <c r="C14578" s="209"/>
      <c r="D14578" s="209"/>
      <c r="E14578" s="209"/>
      <c r="J14578" s="124"/>
    </row>
    <row r="14579" spans="3:10" x14ac:dyDescent="0.2">
      <c r="C14579" s="209"/>
      <c r="D14579" s="209"/>
      <c r="E14579" s="209"/>
      <c r="J14579" s="124"/>
    </row>
    <row r="14580" spans="3:10" x14ac:dyDescent="0.2">
      <c r="C14580" s="209"/>
      <c r="D14580" s="209"/>
      <c r="E14580" s="209"/>
      <c r="J14580" s="124"/>
    </row>
    <row r="14581" spans="3:10" x14ac:dyDescent="0.2">
      <c r="C14581" s="209"/>
      <c r="D14581" s="209"/>
      <c r="E14581" s="209"/>
      <c r="J14581" s="124"/>
    </row>
    <row r="14582" spans="3:10" x14ac:dyDescent="0.2">
      <c r="C14582" s="209"/>
      <c r="D14582" s="209"/>
      <c r="E14582" s="209"/>
      <c r="J14582" s="124"/>
    </row>
    <row r="14583" spans="3:10" x14ac:dyDescent="0.2">
      <c r="C14583" s="209"/>
      <c r="D14583" s="209"/>
      <c r="E14583" s="209"/>
      <c r="J14583" s="124"/>
    </row>
    <row r="14584" spans="3:10" x14ac:dyDescent="0.2">
      <c r="C14584" s="209"/>
      <c r="D14584" s="209"/>
      <c r="E14584" s="209"/>
      <c r="J14584" s="124"/>
    </row>
    <row r="14585" spans="3:10" x14ac:dyDescent="0.2">
      <c r="C14585" s="209"/>
      <c r="D14585" s="209"/>
      <c r="E14585" s="209"/>
      <c r="J14585" s="124"/>
    </row>
    <row r="14586" spans="3:10" x14ac:dyDescent="0.2">
      <c r="C14586" s="209"/>
      <c r="D14586" s="209"/>
      <c r="E14586" s="209"/>
      <c r="J14586" s="124"/>
    </row>
    <row r="14587" spans="3:10" x14ac:dyDescent="0.2">
      <c r="C14587" s="209"/>
      <c r="D14587" s="209"/>
      <c r="E14587" s="209"/>
      <c r="J14587" s="124"/>
    </row>
    <row r="14588" spans="3:10" x14ac:dyDescent="0.2">
      <c r="C14588" s="209"/>
      <c r="D14588" s="209"/>
      <c r="E14588" s="209"/>
      <c r="J14588" s="124"/>
    </row>
    <row r="14589" spans="3:10" x14ac:dyDescent="0.2">
      <c r="C14589" s="209"/>
      <c r="D14589" s="209"/>
      <c r="E14589" s="209"/>
      <c r="J14589" s="124"/>
    </row>
    <row r="14590" spans="3:10" x14ac:dyDescent="0.2">
      <c r="C14590" s="209"/>
      <c r="D14590" s="209"/>
      <c r="E14590" s="209"/>
      <c r="J14590" s="124"/>
    </row>
    <row r="14591" spans="3:10" x14ac:dyDescent="0.2">
      <c r="C14591" s="209"/>
      <c r="D14591" s="209"/>
      <c r="E14591" s="209"/>
      <c r="J14591" s="124"/>
    </row>
    <row r="14592" spans="3:10" x14ac:dyDescent="0.2">
      <c r="C14592" s="209"/>
      <c r="D14592" s="209"/>
      <c r="E14592" s="209"/>
      <c r="J14592" s="124"/>
    </row>
    <row r="14593" spans="3:10" x14ac:dyDescent="0.2">
      <c r="C14593" s="209"/>
      <c r="D14593" s="209"/>
      <c r="E14593" s="209"/>
      <c r="J14593" s="124"/>
    </row>
    <row r="14594" spans="3:10" x14ac:dyDescent="0.2">
      <c r="C14594" s="209"/>
      <c r="D14594" s="209"/>
      <c r="E14594" s="209"/>
      <c r="J14594" s="124"/>
    </row>
    <row r="14595" spans="3:10" x14ac:dyDescent="0.2">
      <c r="C14595" s="209"/>
      <c r="D14595" s="209"/>
      <c r="E14595" s="209"/>
      <c r="J14595" s="124"/>
    </row>
    <row r="14596" spans="3:10" x14ac:dyDescent="0.2">
      <c r="C14596" s="209"/>
      <c r="D14596" s="209"/>
      <c r="E14596" s="209"/>
      <c r="J14596" s="124"/>
    </row>
    <row r="14597" spans="3:10" x14ac:dyDescent="0.2">
      <c r="C14597" s="209"/>
      <c r="D14597" s="209"/>
      <c r="E14597" s="209"/>
      <c r="J14597" s="124"/>
    </row>
    <row r="14598" spans="3:10" x14ac:dyDescent="0.2">
      <c r="C14598" s="209"/>
      <c r="D14598" s="209"/>
      <c r="E14598" s="209"/>
      <c r="J14598" s="124"/>
    </row>
    <row r="14599" spans="3:10" x14ac:dyDescent="0.2">
      <c r="C14599" s="209"/>
      <c r="D14599" s="209"/>
      <c r="E14599" s="209"/>
      <c r="J14599" s="124"/>
    </row>
    <row r="14600" spans="3:10" x14ac:dyDescent="0.2">
      <c r="C14600" s="209"/>
      <c r="D14600" s="209"/>
      <c r="E14600" s="209"/>
      <c r="J14600" s="124"/>
    </row>
    <row r="14601" spans="3:10" x14ac:dyDescent="0.2">
      <c r="C14601" s="209"/>
      <c r="D14601" s="209"/>
      <c r="E14601" s="209"/>
      <c r="J14601" s="124"/>
    </row>
    <row r="14602" spans="3:10" x14ac:dyDescent="0.2">
      <c r="C14602" s="209"/>
      <c r="D14602" s="209"/>
      <c r="E14602" s="209"/>
      <c r="J14602" s="124"/>
    </row>
    <row r="14603" spans="3:10" x14ac:dyDescent="0.2">
      <c r="C14603" s="209"/>
      <c r="D14603" s="209"/>
      <c r="E14603" s="209"/>
      <c r="J14603" s="124"/>
    </row>
    <row r="14604" spans="3:10" x14ac:dyDescent="0.2">
      <c r="C14604" s="209"/>
      <c r="D14604" s="209"/>
      <c r="E14604" s="209"/>
      <c r="J14604" s="124"/>
    </row>
    <row r="14605" spans="3:10" x14ac:dyDescent="0.2">
      <c r="C14605" s="209"/>
      <c r="D14605" s="209"/>
      <c r="E14605" s="209"/>
      <c r="J14605" s="124"/>
    </row>
    <row r="14606" spans="3:10" x14ac:dyDescent="0.2">
      <c r="C14606" s="209"/>
      <c r="D14606" s="209"/>
      <c r="E14606" s="209"/>
      <c r="J14606" s="124"/>
    </row>
    <row r="14607" spans="3:10" x14ac:dyDescent="0.2">
      <c r="C14607" s="209"/>
      <c r="D14607" s="209"/>
      <c r="E14607" s="209"/>
      <c r="J14607" s="124"/>
    </row>
    <row r="14608" spans="3:10" x14ac:dyDescent="0.2">
      <c r="C14608" s="209"/>
      <c r="D14608" s="209"/>
      <c r="E14608" s="209"/>
      <c r="J14608" s="124"/>
    </row>
    <row r="14609" spans="3:10" x14ac:dyDescent="0.2">
      <c r="C14609" s="209"/>
      <c r="D14609" s="209"/>
      <c r="E14609" s="209"/>
      <c r="J14609" s="124"/>
    </row>
    <row r="14610" spans="3:10" x14ac:dyDescent="0.2">
      <c r="C14610" s="209"/>
      <c r="D14610" s="209"/>
      <c r="E14610" s="209"/>
      <c r="J14610" s="124"/>
    </row>
    <row r="14611" spans="3:10" x14ac:dyDescent="0.2">
      <c r="C14611" s="209"/>
      <c r="D14611" s="209"/>
      <c r="E14611" s="209"/>
      <c r="J14611" s="124"/>
    </row>
    <row r="14612" spans="3:10" x14ac:dyDescent="0.2">
      <c r="C14612" s="209"/>
      <c r="D14612" s="209"/>
      <c r="E14612" s="209"/>
      <c r="J14612" s="124"/>
    </row>
    <row r="14613" spans="3:10" x14ac:dyDescent="0.2">
      <c r="C14613" s="209"/>
      <c r="D14613" s="209"/>
      <c r="E14613" s="209"/>
      <c r="J14613" s="124"/>
    </row>
    <row r="14614" spans="3:10" x14ac:dyDescent="0.2">
      <c r="C14614" s="209"/>
      <c r="D14614" s="209"/>
      <c r="E14614" s="209"/>
      <c r="J14614" s="124"/>
    </row>
    <row r="14615" spans="3:10" x14ac:dyDescent="0.2">
      <c r="C14615" s="209"/>
      <c r="D14615" s="209"/>
      <c r="E14615" s="209"/>
      <c r="J14615" s="124"/>
    </row>
    <row r="14616" spans="3:10" x14ac:dyDescent="0.2">
      <c r="C14616" s="209"/>
      <c r="D14616" s="209"/>
      <c r="E14616" s="209"/>
      <c r="J14616" s="124"/>
    </row>
    <row r="14617" spans="3:10" x14ac:dyDescent="0.2">
      <c r="C14617" s="209"/>
      <c r="D14617" s="209"/>
      <c r="E14617" s="209"/>
      <c r="J14617" s="124"/>
    </row>
    <row r="14618" spans="3:10" x14ac:dyDescent="0.2">
      <c r="C14618" s="209"/>
      <c r="D14618" s="209"/>
      <c r="E14618" s="209"/>
      <c r="J14618" s="124"/>
    </row>
    <row r="14619" spans="3:10" x14ac:dyDescent="0.2">
      <c r="C14619" s="209"/>
      <c r="D14619" s="209"/>
      <c r="E14619" s="209"/>
      <c r="J14619" s="124"/>
    </row>
    <row r="14620" spans="3:10" x14ac:dyDescent="0.2">
      <c r="C14620" s="209"/>
      <c r="D14620" s="209"/>
      <c r="E14620" s="209"/>
      <c r="J14620" s="124"/>
    </row>
    <row r="14621" spans="3:10" x14ac:dyDescent="0.2">
      <c r="C14621" s="209"/>
      <c r="D14621" s="209"/>
      <c r="E14621" s="209"/>
      <c r="J14621" s="124"/>
    </row>
    <row r="14622" spans="3:10" x14ac:dyDescent="0.2">
      <c r="C14622" s="209"/>
      <c r="D14622" s="209"/>
      <c r="E14622" s="209"/>
      <c r="J14622" s="124"/>
    </row>
    <row r="14623" spans="3:10" x14ac:dyDescent="0.2">
      <c r="C14623" s="209"/>
      <c r="D14623" s="209"/>
      <c r="E14623" s="209"/>
      <c r="J14623" s="124"/>
    </row>
    <row r="14624" spans="3:10" x14ac:dyDescent="0.2">
      <c r="C14624" s="209"/>
      <c r="D14624" s="209"/>
      <c r="E14624" s="209"/>
      <c r="J14624" s="124"/>
    </row>
    <row r="14625" spans="3:10" x14ac:dyDescent="0.2">
      <c r="C14625" s="209"/>
      <c r="D14625" s="209"/>
      <c r="E14625" s="209"/>
      <c r="J14625" s="124"/>
    </row>
    <row r="14626" spans="3:10" x14ac:dyDescent="0.2">
      <c r="C14626" s="209"/>
      <c r="D14626" s="209"/>
      <c r="E14626" s="209"/>
      <c r="J14626" s="124"/>
    </row>
    <row r="14627" spans="3:10" x14ac:dyDescent="0.2">
      <c r="C14627" s="209"/>
      <c r="D14627" s="209"/>
      <c r="E14627" s="209"/>
      <c r="J14627" s="124"/>
    </row>
    <row r="14628" spans="3:10" x14ac:dyDescent="0.2">
      <c r="C14628" s="209"/>
      <c r="D14628" s="209"/>
      <c r="E14628" s="209"/>
      <c r="J14628" s="124"/>
    </row>
    <row r="14629" spans="3:10" x14ac:dyDescent="0.2">
      <c r="C14629" s="209"/>
      <c r="D14629" s="209"/>
      <c r="E14629" s="209"/>
      <c r="J14629" s="124"/>
    </row>
    <row r="14630" spans="3:10" x14ac:dyDescent="0.2">
      <c r="C14630" s="209"/>
      <c r="D14630" s="209"/>
      <c r="E14630" s="209"/>
      <c r="J14630" s="124"/>
    </row>
    <row r="14631" spans="3:10" x14ac:dyDescent="0.2">
      <c r="C14631" s="209"/>
      <c r="D14631" s="209"/>
      <c r="E14631" s="209"/>
      <c r="J14631" s="124"/>
    </row>
    <row r="14632" spans="3:10" x14ac:dyDescent="0.2">
      <c r="C14632" s="209"/>
      <c r="D14632" s="209"/>
      <c r="E14632" s="209"/>
      <c r="J14632" s="124"/>
    </row>
    <row r="14633" spans="3:10" x14ac:dyDescent="0.2">
      <c r="C14633" s="209"/>
      <c r="D14633" s="209"/>
      <c r="E14633" s="209"/>
      <c r="J14633" s="124"/>
    </row>
    <row r="14634" spans="3:10" x14ac:dyDescent="0.2">
      <c r="C14634" s="209"/>
      <c r="D14634" s="209"/>
      <c r="E14634" s="209"/>
      <c r="J14634" s="124"/>
    </row>
    <row r="14635" spans="3:10" x14ac:dyDescent="0.2">
      <c r="C14635" s="209"/>
      <c r="D14635" s="209"/>
      <c r="E14635" s="209"/>
      <c r="J14635" s="124"/>
    </row>
    <row r="14636" spans="3:10" x14ac:dyDescent="0.2">
      <c r="C14636" s="209"/>
      <c r="D14636" s="209"/>
      <c r="E14636" s="209"/>
      <c r="J14636" s="124"/>
    </row>
    <row r="14637" spans="3:10" x14ac:dyDescent="0.2">
      <c r="C14637" s="209"/>
      <c r="D14637" s="209"/>
      <c r="E14637" s="209"/>
      <c r="J14637" s="124"/>
    </row>
    <row r="14638" spans="3:10" x14ac:dyDescent="0.2">
      <c r="C14638" s="209"/>
      <c r="D14638" s="209"/>
      <c r="E14638" s="209"/>
      <c r="J14638" s="124"/>
    </row>
    <row r="14639" spans="3:10" x14ac:dyDescent="0.2">
      <c r="C14639" s="209"/>
      <c r="D14639" s="209"/>
      <c r="E14639" s="209"/>
      <c r="J14639" s="124"/>
    </row>
    <row r="14640" spans="3:10" x14ac:dyDescent="0.2">
      <c r="C14640" s="209"/>
      <c r="D14640" s="209"/>
      <c r="E14640" s="209"/>
      <c r="J14640" s="124"/>
    </row>
    <row r="14641" spans="3:10" x14ac:dyDescent="0.2">
      <c r="C14641" s="209"/>
      <c r="D14641" s="209"/>
      <c r="E14641" s="209"/>
      <c r="J14641" s="124"/>
    </row>
    <row r="14642" spans="3:10" x14ac:dyDescent="0.2">
      <c r="C14642" s="209"/>
      <c r="D14642" s="209"/>
      <c r="E14642" s="209"/>
      <c r="J14642" s="124"/>
    </row>
    <row r="14643" spans="3:10" x14ac:dyDescent="0.2">
      <c r="C14643" s="209"/>
      <c r="D14643" s="209"/>
      <c r="E14643" s="209"/>
      <c r="J14643" s="124"/>
    </row>
    <row r="14644" spans="3:10" x14ac:dyDescent="0.2">
      <c r="C14644" s="209"/>
      <c r="D14644" s="209"/>
      <c r="E14644" s="209"/>
      <c r="J14644" s="124"/>
    </row>
    <row r="14645" spans="3:10" x14ac:dyDescent="0.2">
      <c r="C14645" s="209"/>
      <c r="D14645" s="209"/>
      <c r="E14645" s="209"/>
      <c r="J14645" s="124"/>
    </row>
    <row r="14646" spans="3:10" x14ac:dyDescent="0.2">
      <c r="C14646" s="209"/>
      <c r="D14646" s="209"/>
      <c r="E14646" s="209"/>
      <c r="J14646" s="124"/>
    </row>
    <row r="14647" spans="3:10" x14ac:dyDescent="0.2">
      <c r="C14647" s="209"/>
      <c r="D14647" s="209"/>
      <c r="E14647" s="209"/>
      <c r="J14647" s="124"/>
    </row>
    <row r="14648" spans="3:10" x14ac:dyDescent="0.2">
      <c r="C14648" s="209"/>
      <c r="D14648" s="209"/>
      <c r="E14648" s="209"/>
      <c r="J14648" s="124"/>
    </row>
    <row r="14649" spans="3:10" x14ac:dyDescent="0.2">
      <c r="C14649" s="209"/>
      <c r="D14649" s="209"/>
      <c r="E14649" s="209"/>
      <c r="J14649" s="124"/>
    </row>
    <row r="14650" spans="3:10" x14ac:dyDescent="0.2">
      <c r="C14650" s="209"/>
      <c r="D14650" s="209"/>
      <c r="E14650" s="209"/>
      <c r="J14650" s="124"/>
    </row>
    <row r="14651" spans="3:10" x14ac:dyDescent="0.2">
      <c r="C14651" s="209"/>
      <c r="D14651" s="209"/>
      <c r="E14651" s="209"/>
      <c r="J14651" s="124"/>
    </row>
    <row r="14652" spans="3:10" x14ac:dyDescent="0.2">
      <c r="C14652" s="209"/>
      <c r="D14652" s="209"/>
      <c r="E14652" s="209"/>
      <c r="J14652" s="124"/>
    </row>
    <row r="14653" spans="3:10" x14ac:dyDescent="0.2">
      <c r="C14653" s="209"/>
      <c r="D14653" s="209"/>
      <c r="E14653" s="209"/>
      <c r="J14653" s="124"/>
    </row>
    <row r="14654" spans="3:10" x14ac:dyDescent="0.2">
      <c r="C14654" s="209"/>
      <c r="D14654" s="209"/>
      <c r="E14654" s="209"/>
      <c r="J14654" s="124"/>
    </row>
    <row r="14655" spans="3:10" x14ac:dyDescent="0.2">
      <c r="C14655" s="209"/>
      <c r="D14655" s="209"/>
      <c r="E14655" s="209"/>
      <c r="J14655" s="124"/>
    </row>
    <row r="14656" spans="3:10" x14ac:dyDescent="0.2">
      <c r="C14656" s="209"/>
      <c r="D14656" s="209"/>
      <c r="E14656" s="209"/>
      <c r="J14656" s="124"/>
    </row>
    <row r="14657" spans="3:10" x14ac:dyDescent="0.2">
      <c r="C14657" s="209"/>
      <c r="D14657" s="209"/>
      <c r="E14657" s="209"/>
      <c r="J14657" s="124"/>
    </row>
    <row r="14658" spans="3:10" x14ac:dyDescent="0.2">
      <c r="C14658" s="209"/>
      <c r="D14658" s="209"/>
      <c r="E14658" s="209"/>
      <c r="J14658" s="124"/>
    </row>
    <row r="14659" spans="3:10" x14ac:dyDescent="0.2">
      <c r="C14659" s="209"/>
      <c r="D14659" s="209"/>
      <c r="E14659" s="209"/>
      <c r="J14659" s="124"/>
    </row>
    <row r="14660" spans="3:10" x14ac:dyDescent="0.2">
      <c r="C14660" s="209"/>
      <c r="D14660" s="209"/>
      <c r="E14660" s="209"/>
      <c r="J14660" s="124"/>
    </row>
    <row r="14661" spans="3:10" x14ac:dyDescent="0.2">
      <c r="C14661" s="209"/>
      <c r="D14661" s="209"/>
      <c r="E14661" s="209"/>
      <c r="J14661" s="124"/>
    </row>
    <row r="14662" spans="3:10" x14ac:dyDescent="0.2">
      <c r="C14662" s="209"/>
      <c r="D14662" s="209"/>
      <c r="E14662" s="209"/>
      <c r="J14662" s="124"/>
    </row>
    <row r="14663" spans="3:10" x14ac:dyDescent="0.2">
      <c r="C14663" s="209"/>
      <c r="D14663" s="209"/>
      <c r="E14663" s="209"/>
      <c r="J14663" s="124"/>
    </row>
    <row r="14664" spans="3:10" x14ac:dyDescent="0.2">
      <c r="C14664" s="209"/>
      <c r="D14664" s="209"/>
      <c r="E14664" s="209"/>
      <c r="J14664" s="124"/>
    </row>
    <row r="14665" spans="3:10" x14ac:dyDescent="0.2">
      <c r="C14665" s="209"/>
      <c r="D14665" s="209"/>
      <c r="E14665" s="209"/>
      <c r="J14665" s="124"/>
    </row>
    <row r="14666" spans="3:10" x14ac:dyDescent="0.2">
      <c r="C14666" s="209"/>
      <c r="D14666" s="209"/>
      <c r="E14666" s="209"/>
      <c r="J14666" s="124"/>
    </row>
    <row r="14667" spans="3:10" x14ac:dyDescent="0.2">
      <c r="C14667" s="209"/>
      <c r="D14667" s="209"/>
      <c r="E14667" s="209"/>
      <c r="J14667" s="124"/>
    </row>
    <row r="14668" spans="3:10" x14ac:dyDescent="0.2">
      <c r="C14668" s="209"/>
      <c r="D14668" s="209"/>
      <c r="E14668" s="209"/>
      <c r="J14668" s="124"/>
    </row>
    <row r="14669" spans="3:10" x14ac:dyDescent="0.2">
      <c r="C14669" s="209"/>
      <c r="D14669" s="209"/>
      <c r="E14669" s="209"/>
      <c r="J14669" s="124"/>
    </row>
    <row r="14670" spans="3:10" x14ac:dyDescent="0.2">
      <c r="C14670" s="209"/>
      <c r="D14670" s="209"/>
      <c r="E14670" s="209"/>
      <c r="J14670" s="124"/>
    </row>
    <row r="14671" spans="3:10" x14ac:dyDescent="0.2">
      <c r="C14671" s="209"/>
      <c r="D14671" s="209"/>
      <c r="E14671" s="209"/>
      <c r="J14671" s="124"/>
    </row>
    <row r="14672" spans="3:10" x14ac:dyDescent="0.2">
      <c r="C14672" s="209"/>
      <c r="D14672" s="209"/>
      <c r="E14672" s="209"/>
      <c r="J14672" s="124"/>
    </row>
    <row r="14673" spans="3:10" x14ac:dyDescent="0.2">
      <c r="C14673" s="209"/>
      <c r="D14673" s="209"/>
      <c r="E14673" s="209"/>
      <c r="J14673" s="124"/>
    </row>
    <row r="14674" spans="3:10" x14ac:dyDescent="0.2">
      <c r="C14674" s="209"/>
      <c r="D14674" s="209"/>
      <c r="E14674" s="209"/>
      <c r="J14674" s="124"/>
    </row>
    <row r="14675" spans="3:10" x14ac:dyDescent="0.2">
      <c r="C14675" s="209"/>
      <c r="D14675" s="209"/>
      <c r="E14675" s="209"/>
      <c r="J14675" s="124"/>
    </row>
    <row r="14676" spans="3:10" x14ac:dyDescent="0.2">
      <c r="C14676" s="209"/>
      <c r="D14676" s="209"/>
      <c r="E14676" s="209"/>
      <c r="J14676" s="124"/>
    </row>
    <row r="14677" spans="3:10" x14ac:dyDescent="0.2">
      <c r="C14677" s="209"/>
      <c r="D14677" s="209"/>
      <c r="E14677" s="209"/>
      <c r="J14677" s="124"/>
    </row>
    <row r="14678" spans="3:10" x14ac:dyDescent="0.2">
      <c r="C14678" s="209"/>
      <c r="D14678" s="209"/>
      <c r="E14678" s="209"/>
      <c r="J14678" s="124"/>
    </row>
    <row r="14679" spans="3:10" x14ac:dyDescent="0.2">
      <c r="C14679" s="209"/>
      <c r="D14679" s="209"/>
      <c r="E14679" s="209"/>
      <c r="J14679" s="124"/>
    </row>
    <row r="14680" spans="3:10" x14ac:dyDescent="0.2">
      <c r="C14680" s="209"/>
      <c r="D14680" s="209"/>
      <c r="E14680" s="209"/>
      <c r="J14680" s="124"/>
    </row>
    <row r="14681" spans="3:10" x14ac:dyDescent="0.2">
      <c r="C14681" s="209"/>
      <c r="D14681" s="209"/>
      <c r="E14681" s="209"/>
      <c r="J14681" s="124"/>
    </row>
    <row r="14682" spans="3:10" x14ac:dyDescent="0.2">
      <c r="C14682" s="209"/>
      <c r="D14682" s="209"/>
      <c r="E14682" s="209"/>
      <c r="J14682" s="124"/>
    </row>
    <row r="14683" spans="3:10" x14ac:dyDescent="0.2">
      <c r="C14683" s="209"/>
      <c r="D14683" s="209"/>
      <c r="E14683" s="209"/>
      <c r="J14683" s="124"/>
    </row>
    <row r="14684" spans="3:10" x14ac:dyDescent="0.2">
      <c r="C14684" s="209"/>
      <c r="D14684" s="209"/>
      <c r="E14684" s="209"/>
      <c r="J14684" s="124"/>
    </row>
    <row r="14685" spans="3:10" x14ac:dyDescent="0.2">
      <c r="C14685" s="209"/>
      <c r="D14685" s="209"/>
      <c r="E14685" s="209"/>
      <c r="J14685" s="124"/>
    </row>
    <row r="14686" spans="3:10" x14ac:dyDescent="0.2">
      <c r="C14686" s="209"/>
      <c r="D14686" s="209"/>
      <c r="E14686" s="209"/>
      <c r="J14686" s="124"/>
    </row>
    <row r="14687" spans="3:10" x14ac:dyDescent="0.2">
      <c r="C14687" s="209"/>
      <c r="D14687" s="209"/>
      <c r="E14687" s="209"/>
      <c r="J14687" s="124"/>
    </row>
    <row r="14688" spans="3:10" x14ac:dyDescent="0.2">
      <c r="C14688" s="209"/>
      <c r="D14688" s="209"/>
      <c r="E14688" s="209"/>
      <c r="J14688" s="124"/>
    </row>
    <row r="14689" spans="3:10" x14ac:dyDescent="0.2">
      <c r="C14689" s="209"/>
      <c r="D14689" s="209"/>
      <c r="E14689" s="209"/>
      <c r="J14689" s="124"/>
    </row>
    <row r="14690" spans="3:10" x14ac:dyDescent="0.2">
      <c r="C14690" s="209"/>
      <c r="D14690" s="209"/>
      <c r="E14690" s="209"/>
      <c r="J14690" s="124"/>
    </row>
    <row r="14691" spans="3:10" x14ac:dyDescent="0.2">
      <c r="C14691" s="209"/>
      <c r="D14691" s="209"/>
      <c r="E14691" s="209"/>
      <c r="J14691" s="124"/>
    </row>
    <row r="14692" spans="3:10" x14ac:dyDescent="0.2">
      <c r="C14692" s="209"/>
      <c r="D14692" s="209"/>
      <c r="E14692" s="209"/>
      <c r="J14692" s="124"/>
    </row>
    <row r="14693" spans="3:10" x14ac:dyDescent="0.2">
      <c r="C14693" s="209"/>
      <c r="D14693" s="209"/>
      <c r="E14693" s="209"/>
      <c r="J14693" s="124"/>
    </row>
    <row r="14694" spans="3:10" x14ac:dyDescent="0.2">
      <c r="C14694" s="209"/>
      <c r="D14694" s="209"/>
      <c r="E14694" s="209"/>
      <c r="J14694" s="124"/>
    </row>
    <row r="14695" spans="3:10" x14ac:dyDescent="0.2">
      <c r="C14695" s="209"/>
      <c r="D14695" s="209"/>
      <c r="E14695" s="209"/>
      <c r="J14695" s="124"/>
    </row>
    <row r="14696" spans="3:10" x14ac:dyDescent="0.2">
      <c r="C14696" s="209"/>
      <c r="D14696" s="209"/>
      <c r="E14696" s="209"/>
      <c r="J14696" s="124"/>
    </row>
    <row r="14697" spans="3:10" x14ac:dyDescent="0.2">
      <c r="C14697" s="209"/>
      <c r="D14697" s="209"/>
      <c r="E14697" s="209"/>
      <c r="J14697" s="124"/>
    </row>
    <row r="14698" spans="3:10" x14ac:dyDescent="0.2">
      <c r="C14698" s="209"/>
      <c r="D14698" s="209"/>
      <c r="E14698" s="209"/>
      <c r="J14698" s="124"/>
    </row>
    <row r="14699" spans="3:10" x14ac:dyDescent="0.2">
      <c r="C14699" s="209"/>
      <c r="D14699" s="209"/>
      <c r="E14699" s="209"/>
      <c r="J14699" s="124"/>
    </row>
    <row r="14700" spans="3:10" x14ac:dyDescent="0.2">
      <c r="C14700" s="209"/>
      <c r="D14700" s="209"/>
      <c r="E14700" s="209"/>
      <c r="J14700" s="124"/>
    </row>
    <row r="14701" spans="3:10" x14ac:dyDescent="0.2">
      <c r="C14701" s="209"/>
      <c r="D14701" s="209"/>
      <c r="E14701" s="209"/>
      <c r="J14701" s="124"/>
    </row>
    <row r="14702" spans="3:10" x14ac:dyDescent="0.2">
      <c r="C14702" s="209"/>
      <c r="D14702" s="209"/>
      <c r="E14702" s="209"/>
      <c r="J14702" s="124"/>
    </row>
    <row r="14703" spans="3:10" x14ac:dyDescent="0.2">
      <c r="C14703" s="209"/>
      <c r="D14703" s="209"/>
      <c r="E14703" s="209"/>
      <c r="J14703" s="124"/>
    </row>
    <row r="14704" spans="3:10" x14ac:dyDescent="0.2">
      <c r="C14704" s="209"/>
      <c r="D14704" s="209"/>
      <c r="E14704" s="209"/>
      <c r="J14704" s="124"/>
    </row>
    <row r="14705" spans="3:10" x14ac:dyDescent="0.2">
      <c r="C14705" s="209"/>
      <c r="D14705" s="209"/>
      <c r="E14705" s="209"/>
      <c r="J14705" s="124"/>
    </row>
    <row r="14706" spans="3:10" x14ac:dyDescent="0.2">
      <c r="C14706" s="209"/>
      <c r="D14706" s="209"/>
      <c r="E14706" s="209"/>
      <c r="J14706" s="124"/>
    </row>
    <row r="14707" spans="3:10" x14ac:dyDescent="0.2">
      <c r="C14707" s="209"/>
      <c r="D14707" s="209"/>
      <c r="E14707" s="209"/>
      <c r="J14707" s="124"/>
    </row>
    <row r="14708" spans="3:10" x14ac:dyDescent="0.2">
      <c r="C14708" s="209"/>
      <c r="D14708" s="209"/>
      <c r="E14708" s="209"/>
      <c r="J14708" s="124"/>
    </row>
    <row r="14709" spans="3:10" x14ac:dyDescent="0.2">
      <c r="C14709" s="209"/>
      <c r="D14709" s="209"/>
      <c r="E14709" s="209"/>
      <c r="J14709" s="124"/>
    </row>
    <row r="14710" spans="3:10" x14ac:dyDescent="0.2">
      <c r="C14710" s="209"/>
      <c r="D14710" s="209"/>
      <c r="E14710" s="209"/>
      <c r="J14710" s="124"/>
    </row>
    <row r="14711" spans="3:10" x14ac:dyDescent="0.2">
      <c r="C14711" s="209"/>
      <c r="D14711" s="209"/>
      <c r="E14711" s="209"/>
      <c r="J14711" s="124"/>
    </row>
    <row r="14712" spans="3:10" x14ac:dyDescent="0.2">
      <c r="C14712" s="209"/>
      <c r="D14712" s="209"/>
      <c r="E14712" s="209"/>
      <c r="J14712" s="124"/>
    </row>
    <row r="14713" spans="3:10" x14ac:dyDescent="0.2">
      <c r="C14713" s="209"/>
      <c r="D14713" s="209"/>
      <c r="E14713" s="209"/>
      <c r="J14713" s="124"/>
    </row>
    <row r="14714" spans="3:10" x14ac:dyDescent="0.2">
      <c r="C14714" s="209"/>
      <c r="D14714" s="209"/>
      <c r="E14714" s="209"/>
      <c r="J14714" s="124"/>
    </row>
    <row r="14715" spans="3:10" x14ac:dyDescent="0.2">
      <c r="C14715" s="209"/>
      <c r="D14715" s="209"/>
      <c r="E14715" s="209"/>
      <c r="J14715" s="124"/>
    </row>
    <row r="14716" spans="3:10" x14ac:dyDescent="0.2">
      <c r="C14716" s="209"/>
      <c r="D14716" s="209"/>
      <c r="E14716" s="209"/>
      <c r="J14716" s="124"/>
    </row>
    <row r="14717" spans="3:10" x14ac:dyDescent="0.2">
      <c r="C14717" s="209"/>
      <c r="D14717" s="209"/>
      <c r="E14717" s="209"/>
      <c r="J14717" s="124"/>
    </row>
    <row r="14718" spans="3:10" x14ac:dyDescent="0.2">
      <c r="C14718" s="209"/>
      <c r="D14718" s="209"/>
      <c r="E14718" s="209"/>
      <c r="J14718" s="124"/>
    </row>
    <row r="14719" spans="3:10" x14ac:dyDescent="0.2">
      <c r="C14719" s="209"/>
      <c r="D14719" s="209"/>
      <c r="E14719" s="209"/>
      <c r="J14719" s="124"/>
    </row>
    <row r="14720" spans="3:10" x14ac:dyDescent="0.2">
      <c r="C14720" s="209"/>
      <c r="D14720" s="209"/>
      <c r="E14720" s="209"/>
      <c r="J14720" s="124"/>
    </row>
    <row r="14721" spans="3:10" x14ac:dyDescent="0.2">
      <c r="C14721" s="209"/>
      <c r="D14721" s="209"/>
      <c r="E14721" s="209"/>
      <c r="J14721" s="124"/>
    </row>
    <row r="14722" spans="3:10" x14ac:dyDescent="0.2">
      <c r="C14722" s="209"/>
      <c r="D14722" s="209"/>
      <c r="E14722" s="209"/>
      <c r="J14722" s="124"/>
    </row>
    <row r="14723" spans="3:10" x14ac:dyDescent="0.2">
      <c r="C14723" s="209"/>
      <c r="D14723" s="209"/>
      <c r="E14723" s="209"/>
      <c r="J14723" s="124"/>
    </row>
    <row r="14724" spans="3:10" x14ac:dyDescent="0.2">
      <c r="C14724" s="209"/>
      <c r="D14724" s="209"/>
      <c r="E14724" s="209"/>
      <c r="J14724" s="124"/>
    </row>
    <row r="14725" spans="3:10" x14ac:dyDescent="0.2">
      <c r="C14725" s="209"/>
      <c r="D14725" s="209"/>
      <c r="E14725" s="209"/>
      <c r="J14725" s="124"/>
    </row>
    <row r="14726" spans="3:10" x14ac:dyDescent="0.2">
      <c r="C14726" s="209"/>
      <c r="D14726" s="209"/>
      <c r="E14726" s="209"/>
      <c r="J14726" s="124"/>
    </row>
    <row r="14727" spans="3:10" x14ac:dyDescent="0.2">
      <c r="C14727" s="209"/>
      <c r="D14727" s="209"/>
      <c r="E14727" s="209"/>
      <c r="J14727" s="124"/>
    </row>
    <row r="14728" spans="3:10" x14ac:dyDescent="0.2">
      <c r="C14728" s="209"/>
      <c r="D14728" s="209"/>
      <c r="E14728" s="209"/>
      <c r="J14728" s="124"/>
    </row>
    <row r="14729" spans="3:10" x14ac:dyDescent="0.2">
      <c r="C14729" s="209"/>
      <c r="D14729" s="209"/>
      <c r="E14729" s="209"/>
      <c r="J14729" s="124"/>
    </row>
    <row r="14730" spans="3:10" x14ac:dyDescent="0.2">
      <c r="C14730" s="209"/>
      <c r="D14730" s="209"/>
      <c r="E14730" s="209"/>
      <c r="J14730" s="124"/>
    </row>
    <row r="14731" spans="3:10" x14ac:dyDescent="0.2">
      <c r="C14731" s="209"/>
      <c r="D14731" s="209"/>
      <c r="E14731" s="209"/>
      <c r="J14731" s="124"/>
    </row>
    <row r="14732" spans="3:10" x14ac:dyDescent="0.2">
      <c r="C14732" s="209"/>
      <c r="D14732" s="209"/>
      <c r="E14732" s="209"/>
      <c r="J14732" s="124"/>
    </row>
    <row r="14733" spans="3:10" x14ac:dyDescent="0.2">
      <c r="C14733" s="209"/>
      <c r="D14733" s="209"/>
      <c r="E14733" s="209"/>
      <c r="J14733" s="124"/>
    </row>
    <row r="14734" spans="3:10" x14ac:dyDescent="0.2">
      <c r="C14734" s="209"/>
      <c r="D14734" s="209"/>
      <c r="E14734" s="209"/>
      <c r="J14734" s="124"/>
    </row>
    <row r="14735" spans="3:10" x14ac:dyDescent="0.2">
      <c r="C14735" s="209"/>
      <c r="D14735" s="209"/>
      <c r="E14735" s="209"/>
      <c r="J14735" s="124"/>
    </row>
    <row r="14736" spans="3:10" x14ac:dyDescent="0.2">
      <c r="C14736" s="209"/>
      <c r="D14736" s="209"/>
      <c r="E14736" s="209"/>
      <c r="J14736" s="124"/>
    </row>
    <row r="14737" spans="3:10" x14ac:dyDescent="0.2">
      <c r="C14737" s="209"/>
      <c r="D14737" s="209"/>
      <c r="E14737" s="209"/>
      <c r="J14737" s="124"/>
    </row>
    <row r="14738" spans="3:10" x14ac:dyDescent="0.2">
      <c r="C14738" s="209"/>
      <c r="D14738" s="209"/>
      <c r="E14738" s="209"/>
      <c r="J14738" s="124"/>
    </row>
    <row r="14739" spans="3:10" x14ac:dyDescent="0.2">
      <c r="C14739" s="209"/>
      <c r="D14739" s="209"/>
      <c r="E14739" s="209"/>
      <c r="J14739" s="124"/>
    </row>
    <row r="14740" spans="3:10" x14ac:dyDescent="0.2">
      <c r="C14740" s="209"/>
      <c r="D14740" s="209"/>
      <c r="E14740" s="209"/>
      <c r="J14740" s="124"/>
    </row>
    <row r="14741" spans="3:10" x14ac:dyDescent="0.2">
      <c r="C14741" s="209"/>
      <c r="D14741" s="209"/>
      <c r="E14741" s="209"/>
      <c r="J14741" s="124"/>
    </row>
    <row r="14742" spans="3:10" x14ac:dyDescent="0.2">
      <c r="C14742" s="209"/>
      <c r="D14742" s="209"/>
      <c r="E14742" s="209"/>
      <c r="J14742" s="124"/>
    </row>
    <row r="14743" spans="3:10" x14ac:dyDescent="0.2">
      <c r="C14743" s="209"/>
      <c r="D14743" s="209"/>
      <c r="E14743" s="209"/>
      <c r="J14743" s="124"/>
    </row>
    <row r="14744" spans="3:10" x14ac:dyDescent="0.2">
      <c r="C14744" s="209"/>
      <c r="D14744" s="209"/>
      <c r="E14744" s="209"/>
      <c r="J14744" s="124"/>
    </row>
    <row r="14745" spans="3:10" x14ac:dyDescent="0.2">
      <c r="C14745" s="209"/>
      <c r="D14745" s="209"/>
      <c r="E14745" s="209"/>
      <c r="J14745" s="124"/>
    </row>
    <row r="14746" spans="3:10" x14ac:dyDescent="0.2">
      <c r="C14746" s="209"/>
      <c r="D14746" s="209"/>
      <c r="E14746" s="209"/>
      <c r="J14746" s="124"/>
    </row>
    <row r="14747" spans="3:10" x14ac:dyDescent="0.2">
      <c r="C14747" s="209"/>
      <c r="D14747" s="209"/>
      <c r="E14747" s="209"/>
      <c r="J14747" s="124"/>
    </row>
    <row r="14748" spans="3:10" x14ac:dyDescent="0.2">
      <c r="C14748" s="209"/>
      <c r="D14748" s="209"/>
      <c r="E14748" s="209"/>
      <c r="J14748" s="124"/>
    </row>
    <row r="14749" spans="3:10" x14ac:dyDescent="0.2">
      <c r="C14749" s="209"/>
      <c r="D14749" s="209"/>
      <c r="E14749" s="209"/>
      <c r="J14749" s="124"/>
    </row>
    <row r="14750" spans="3:10" x14ac:dyDescent="0.2">
      <c r="C14750" s="209"/>
      <c r="D14750" s="209"/>
      <c r="E14750" s="209"/>
      <c r="J14750" s="124"/>
    </row>
    <row r="14751" spans="3:10" x14ac:dyDescent="0.2">
      <c r="C14751" s="209"/>
      <c r="D14751" s="209"/>
      <c r="E14751" s="209"/>
      <c r="J14751" s="124"/>
    </row>
    <row r="14752" spans="3:10" x14ac:dyDescent="0.2">
      <c r="C14752" s="209"/>
      <c r="D14752" s="209"/>
      <c r="E14752" s="209"/>
      <c r="J14752" s="124"/>
    </row>
    <row r="14753" spans="3:10" x14ac:dyDescent="0.2">
      <c r="C14753" s="209"/>
      <c r="D14753" s="209"/>
      <c r="E14753" s="209"/>
      <c r="J14753" s="124"/>
    </row>
    <row r="14754" spans="3:10" x14ac:dyDescent="0.2">
      <c r="C14754" s="209"/>
      <c r="D14754" s="209"/>
      <c r="E14754" s="209"/>
      <c r="J14754" s="124"/>
    </row>
    <row r="14755" spans="3:10" x14ac:dyDescent="0.2">
      <c r="C14755" s="209"/>
      <c r="D14755" s="209"/>
      <c r="E14755" s="209"/>
      <c r="J14755" s="124"/>
    </row>
    <row r="14756" spans="3:10" x14ac:dyDescent="0.2">
      <c r="C14756" s="209"/>
      <c r="D14756" s="209"/>
      <c r="E14756" s="209"/>
      <c r="J14756" s="124"/>
    </row>
    <row r="14757" spans="3:10" x14ac:dyDescent="0.2">
      <c r="C14757" s="209"/>
      <c r="D14757" s="209"/>
      <c r="E14757" s="209"/>
      <c r="J14757" s="124"/>
    </row>
    <row r="14758" spans="3:10" x14ac:dyDescent="0.2">
      <c r="C14758" s="209"/>
      <c r="D14758" s="209"/>
      <c r="E14758" s="209"/>
      <c r="J14758" s="124"/>
    </row>
    <row r="14759" spans="3:10" x14ac:dyDescent="0.2">
      <c r="C14759" s="209"/>
      <c r="D14759" s="209"/>
      <c r="E14759" s="209"/>
      <c r="J14759" s="124"/>
    </row>
    <row r="14760" spans="3:10" x14ac:dyDescent="0.2">
      <c r="C14760" s="209"/>
      <c r="D14760" s="209"/>
      <c r="E14760" s="209"/>
      <c r="J14760" s="124"/>
    </row>
    <row r="14761" spans="3:10" x14ac:dyDescent="0.2">
      <c r="C14761" s="209"/>
      <c r="D14761" s="209"/>
      <c r="E14761" s="209"/>
      <c r="J14761" s="124"/>
    </row>
    <row r="14762" spans="3:10" x14ac:dyDescent="0.2">
      <c r="C14762" s="209"/>
      <c r="D14762" s="209"/>
      <c r="E14762" s="209"/>
      <c r="J14762" s="124"/>
    </row>
    <row r="14763" spans="3:10" x14ac:dyDescent="0.2">
      <c r="C14763" s="209"/>
      <c r="D14763" s="209"/>
      <c r="E14763" s="209"/>
      <c r="J14763" s="124"/>
    </row>
    <row r="14764" spans="3:10" x14ac:dyDescent="0.2">
      <c r="C14764" s="209"/>
      <c r="D14764" s="209"/>
      <c r="E14764" s="209"/>
      <c r="J14764" s="124"/>
    </row>
    <row r="14765" spans="3:10" x14ac:dyDescent="0.2">
      <c r="C14765" s="209"/>
      <c r="D14765" s="209"/>
      <c r="E14765" s="209"/>
      <c r="J14765" s="124"/>
    </row>
    <row r="14766" spans="3:10" x14ac:dyDescent="0.2">
      <c r="C14766" s="209"/>
      <c r="D14766" s="209"/>
      <c r="E14766" s="209"/>
      <c r="J14766" s="124"/>
    </row>
    <row r="14767" spans="3:10" x14ac:dyDescent="0.2">
      <c r="C14767" s="209"/>
      <c r="D14767" s="209"/>
      <c r="E14767" s="209"/>
      <c r="J14767" s="124"/>
    </row>
    <row r="14768" spans="3:10" x14ac:dyDescent="0.2">
      <c r="C14768" s="209"/>
      <c r="D14768" s="209"/>
      <c r="E14768" s="209"/>
      <c r="J14768" s="124"/>
    </row>
    <row r="14769" spans="3:10" x14ac:dyDescent="0.2">
      <c r="C14769" s="209"/>
      <c r="D14769" s="209"/>
      <c r="E14769" s="209"/>
      <c r="J14769" s="124"/>
    </row>
    <row r="14770" spans="3:10" x14ac:dyDescent="0.2">
      <c r="C14770" s="209"/>
      <c r="D14770" s="209"/>
      <c r="E14770" s="209"/>
      <c r="J14770" s="124"/>
    </row>
    <row r="14771" spans="3:10" x14ac:dyDescent="0.2">
      <c r="C14771" s="209"/>
      <c r="D14771" s="209"/>
      <c r="E14771" s="209"/>
      <c r="J14771" s="124"/>
    </row>
    <row r="14772" spans="3:10" x14ac:dyDescent="0.2">
      <c r="C14772" s="209"/>
      <c r="D14772" s="209"/>
      <c r="E14772" s="209"/>
      <c r="J14772" s="124"/>
    </row>
    <row r="14773" spans="3:10" x14ac:dyDescent="0.2">
      <c r="C14773" s="209"/>
      <c r="D14773" s="209"/>
      <c r="E14773" s="209"/>
      <c r="J14773" s="124"/>
    </row>
    <row r="14774" spans="3:10" x14ac:dyDescent="0.2">
      <c r="C14774" s="209"/>
      <c r="D14774" s="209"/>
      <c r="E14774" s="209"/>
      <c r="J14774" s="124"/>
    </row>
    <row r="14775" spans="3:10" x14ac:dyDescent="0.2">
      <c r="C14775" s="209"/>
      <c r="D14775" s="209"/>
      <c r="E14775" s="209"/>
      <c r="J14775" s="124"/>
    </row>
    <row r="14776" spans="3:10" x14ac:dyDescent="0.2">
      <c r="C14776" s="209"/>
      <c r="D14776" s="209"/>
      <c r="E14776" s="209"/>
      <c r="J14776" s="124"/>
    </row>
    <row r="14777" spans="3:10" x14ac:dyDescent="0.2">
      <c r="C14777" s="209"/>
      <c r="D14777" s="209"/>
      <c r="E14777" s="209"/>
      <c r="J14777" s="124"/>
    </row>
    <row r="14778" spans="3:10" x14ac:dyDescent="0.2">
      <c r="C14778" s="209"/>
      <c r="D14778" s="209"/>
      <c r="E14778" s="209"/>
      <c r="J14778" s="124"/>
    </row>
    <row r="14779" spans="3:10" x14ac:dyDescent="0.2">
      <c r="C14779" s="209"/>
      <c r="D14779" s="209"/>
      <c r="E14779" s="209"/>
      <c r="J14779" s="124"/>
    </row>
    <row r="14780" spans="3:10" x14ac:dyDescent="0.2">
      <c r="C14780" s="209"/>
      <c r="D14780" s="209"/>
      <c r="E14780" s="209"/>
      <c r="J14780" s="124"/>
    </row>
    <row r="14781" spans="3:10" x14ac:dyDescent="0.2">
      <c r="C14781" s="209"/>
      <c r="D14781" s="209"/>
      <c r="E14781" s="209"/>
      <c r="J14781" s="124"/>
    </row>
    <row r="14782" spans="3:10" x14ac:dyDescent="0.2">
      <c r="C14782" s="209"/>
      <c r="D14782" s="209"/>
      <c r="E14782" s="209"/>
      <c r="J14782" s="124"/>
    </row>
    <row r="14783" spans="3:10" x14ac:dyDescent="0.2">
      <c r="C14783" s="209"/>
      <c r="D14783" s="209"/>
      <c r="E14783" s="209"/>
      <c r="J14783" s="124"/>
    </row>
    <row r="14784" spans="3:10" x14ac:dyDescent="0.2">
      <c r="C14784" s="209"/>
      <c r="D14784" s="209"/>
      <c r="E14784" s="209"/>
      <c r="J14784" s="124"/>
    </row>
    <row r="14785" spans="3:10" x14ac:dyDescent="0.2">
      <c r="C14785" s="209"/>
      <c r="D14785" s="209"/>
      <c r="E14785" s="209"/>
      <c r="J14785" s="124"/>
    </row>
    <row r="14786" spans="3:10" x14ac:dyDescent="0.2">
      <c r="C14786" s="209"/>
      <c r="D14786" s="209"/>
      <c r="E14786" s="209"/>
      <c r="J14786" s="124"/>
    </row>
    <row r="14787" spans="3:10" x14ac:dyDescent="0.2">
      <c r="C14787" s="209"/>
      <c r="D14787" s="209"/>
      <c r="E14787" s="209"/>
      <c r="J14787" s="124"/>
    </row>
    <row r="14788" spans="3:10" x14ac:dyDescent="0.2">
      <c r="C14788" s="209"/>
      <c r="D14788" s="209"/>
      <c r="E14788" s="209"/>
      <c r="J14788" s="124"/>
    </row>
    <row r="14789" spans="3:10" x14ac:dyDescent="0.2">
      <c r="C14789" s="209"/>
      <c r="D14789" s="209"/>
      <c r="E14789" s="209"/>
      <c r="J14789" s="124"/>
    </row>
    <row r="14790" spans="3:10" x14ac:dyDescent="0.2">
      <c r="C14790" s="209"/>
      <c r="D14790" s="209"/>
      <c r="E14790" s="209"/>
      <c r="J14790" s="124"/>
    </row>
    <row r="14791" spans="3:10" x14ac:dyDescent="0.2">
      <c r="C14791" s="209"/>
      <c r="D14791" s="209"/>
      <c r="E14791" s="209"/>
      <c r="J14791" s="124"/>
    </row>
    <row r="14792" spans="3:10" x14ac:dyDescent="0.2">
      <c r="C14792" s="209"/>
      <c r="D14792" s="209"/>
      <c r="E14792" s="209"/>
      <c r="J14792" s="124"/>
    </row>
    <row r="14793" spans="3:10" x14ac:dyDescent="0.2">
      <c r="C14793" s="209"/>
      <c r="D14793" s="209"/>
      <c r="E14793" s="209"/>
      <c r="J14793" s="124"/>
    </row>
    <row r="14794" spans="3:10" x14ac:dyDescent="0.2">
      <c r="C14794" s="209"/>
      <c r="D14794" s="209"/>
      <c r="E14794" s="209"/>
      <c r="J14794" s="124"/>
    </row>
    <row r="14795" spans="3:10" x14ac:dyDescent="0.2">
      <c r="C14795" s="209"/>
      <c r="D14795" s="209"/>
      <c r="E14795" s="209"/>
      <c r="J14795" s="124"/>
    </row>
    <row r="14796" spans="3:10" x14ac:dyDescent="0.2">
      <c r="C14796" s="209"/>
      <c r="D14796" s="209"/>
      <c r="E14796" s="209"/>
      <c r="J14796" s="124"/>
    </row>
    <row r="14797" spans="3:10" x14ac:dyDescent="0.2">
      <c r="C14797" s="209"/>
      <c r="D14797" s="209"/>
      <c r="E14797" s="209"/>
      <c r="J14797" s="124"/>
    </row>
    <row r="14798" spans="3:10" x14ac:dyDescent="0.2">
      <c r="C14798" s="209"/>
      <c r="D14798" s="209"/>
      <c r="E14798" s="209"/>
      <c r="J14798" s="124"/>
    </row>
    <row r="14799" spans="3:10" x14ac:dyDescent="0.2">
      <c r="C14799" s="209"/>
      <c r="D14799" s="209"/>
      <c r="E14799" s="209"/>
      <c r="J14799" s="124"/>
    </row>
    <row r="14800" spans="3:10" x14ac:dyDescent="0.2">
      <c r="C14800" s="209"/>
      <c r="D14800" s="209"/>
      <c r="E14800" s="209"/>
      <c r="J14800" s="124"/>
    </row>
    <row r="14801" spans="3:10" x14ac:dyDescent="0.2">
      <c r="C14801" s="209"/>
      <c r="D14801" s="209"/>
      <c r="E14801" s="209"/>
      <c r="J14801" s="124"/>
    </row>
    <row r="14802" spans="3:10" x14ac:dyDescent="0.2">
      <c r="C14802" s="209"/>
      <c r="D14802" s="209"/>
      <c r="E14802" s="209"/>
      <c r="J14802" s="124"/>
    </row>
    <row r="14803" spans="3:10" x14ac:dyDescent="0.2">
      <c r="C14803" s="209"/>
      <c r="D14803" s="209"/>
      <c r="E14803" s="209"/>
      <c r="J14803" s="124"/>
    </row>
    <row r="14804" spans="3:10" x14ac:dyDescent="0.2">
      <c r="C14804" s="209"/>
      <c r="D14804" s="209"/>
      <c r="E14804" s="209"/>
      <c r="J14804" s="124"/>
    </row>
    <row r="14805" spans="3:10" x14ac:dyDescent="0.2">
      <c r="C14805" s="209"/>
      <c r="D14805" s="209"/>
      <c r="E14805" s="209"/>
      <c r="J14805" s="124"/>
    </row>
    <row r="14806" spans="3:10" x14ac:dyDescent="0.2">
      <c r="C14806" s="209"/>
      <c r="D14806" s="209"/>
      <c r="E14806" s="209"/>
      <c r="J14806" s="124"/>
    </row>
    <row r="14807" spans="3:10" x14ac:dyDescent="0.2">
      <c r="C14807" s="209"/>
      <c r="D14807" s="209"/>
      <c r="E14807" s="209"/>
      <c r="J14807" s="124"/>
    </row>
    <row r="14808" spans="3:10" x14ac:dyDescent="0.2">
      <c r="C14808" s="209"/>
      <c r="D14808" s="209"/>
      <c r="E14808" s="209"/>
      <c r="J14808" s="124"/>
    </row>
    <row r="14809" spans="3:10" x14ac:dyDescent="0.2">
      <c r="C14809" s="209"/>
      <c r="D14809" s="209"/>
      <c r="E14809" s="209"/>
      <c r="J14809" s="124"/>
    </row>
    <row r="14810" spans="3:10" x14ac:dyDescent="0.2">
      <c r="C14810" s="209"/>
      <c r="D14810" s="209"/>
      <c r="E14810" s="209"/>
      <c r="J14810" s="124"/>
    </row>
    <row r="14811" spans="3:10" x14ac:dyDescent="0.2">
      <c r="C14811" s="209"/>
      <c r="D14811" s="209"/>
      <c r="E14811" s="209"/>
      <c r="J14811" s="124"/>
    </row>
    <row r="14812" spans="3:10" x14ac:dyDescent="0.2">
      <c r="C14812" s="209"/>
      <c r="D14812" s="209"/>
      <c r="E14812" s="209"/>
      <c r="J14812" s="124"/>
    </row>
    <row r="14813" spans="3:10" x14ac:dyDescent="0.2">
      <c r="C14813" s="209"/>
      <c r="D14813" s="209"/>
      <c r="E14813" s="209"/>
      <c r="J14813" s="124"/>
    </row>
    <row r="14814" spans="3:10" x14ac:dyDescent="0.2">
      <c r="C14814" s="209"/>
      <c r="D14814" s="209"/>
      <c r="E14814" s="209"/>
      <c r="J14814" s="124"/>
    </row>
    <row r="14815" spans="3:10" x14ac:dyDescent="0.2">
      <c r="C14815" s="209"/>
      <c r="D14815" s="209"/>
      <c r="E14815" s="209"/>
      <c r="J14815" s="124"/>
    </row>
    <row r="14816" spans="3:10" x14ac:dyDescent="0.2">
      <c r="C14816" s="209"/>
      <c r="D14816" s="209"/>
      <c r="E14816" s="209"/>
      <c r="J14816" s="124"/>
    </row>
    <row r="14817" spans="3:10" x14ac:dyDescent="0.2">
      <c r="C14817" s="209"/>
      <c r="D14817" s="209"/>
      <c r="E14817" s="209"/>
      <c r="J14817" s="124"/>
    </row>
    <row r="14818" spans="3:10" x14ac:dyDescent="0.2">
      <c r="C14818" s="209"/>
      <c r="D14818" s="209"/>
      <c r="E14818" s="209"/>
      <c r="J14818" s="124"/>
    </row>
    <row r="14819" spans="3:10" x14ac:dyDescent="0.2">
      <c r="C14819" s="209"/>
      <c r="D14819" s="209"/>
      <c r="E14819" s="209"/>
      <c r="J14819" s="124"/>
    </row>
    <row r="14820" spans="3:10" x14ac:dyDescent="0.2">
      <c r="C14820" s="209"/>
      <c r="D14820" s="209"/>
      <c r="E14820" s="209"/>
      <c r="J14820" s="124"/>
    </row>
    <row r="14821" spans="3:10" x14ac:dyDescent="0.2">
      <c r="C14821" s="209"/>
      <c r="D14821" s="209"/>
      <c r="E14821" s="209"/>
      <c r="J14821" s="124"/>
    </row>
    <row r="14822" spans="3:10" x14ac:dyDescent="0.2">
      <c r="C14822" s="209"/>
      <c r="D14822" s="209"/>
      <c r="E14822" s="209"/>
      <c r="J14822" s="124"/>
    </row>
    <row r="14823" spans="3:10" x14ac:dyDescent="0.2">
      <c r="C14823" s="209"/>
      <c r="D14823" s="209"/>
      <c r="E14823" s="209"/>
      <c r="J14823" s="124"/>
    </row>
    <row r="14824" spans="3:10" x14ac:dyDescent="0.2">
      <c r="C14824" s="209"/>
      <c r="D14824" s="209"/>
      <c r="E14824" s="209"/>
      <c r="J14824" s="124"/>
    </row>
    <row r="14825" spans="3:10" x14ac:dyDescent="0.2">
      <c r="C14825" s="209"/>
      <c r="D14825" s="209"/>
      <c r="E14825" s="209"/>
      <c r="J14825" s="124"/>
    </row>
    <row r="14826" spans="3:10" x14ac:dyDescent="0.2">
      <c r="C14826" s="209"/>
      <c r="D14826" s="209"/>
      <c r="E14826" s="209"/>
      <c r="J14826" s="124"/>
    </row>
    <row r="14827" spans="3:10" x14ac:dyDescent="0.2">
      <c r="C14827" s="209"/>
      <c r="D14827" s="209"/>
      <c r="E14827" s="209"/>
      <c r="J14827" s="124"/>
    </row>
    <row r="14828" spans="3:10" x14ac:dyDescent="0.2">
      <c r="C14828" s="209"/>
      <c r="D14828" s="209"/>
      <c r="E14828" s="209"/>
      <c r="J14828" s="124"/>
    </row>
    <row r="14829" spans="3:10" x14ac:dyDescent="0.2">
      <c r="C14829" s="209"/>
      <c r="D14829" s="209"/>
      <c r="E14829" s="209"/>
      <c r="J14829" s="124"/>
    </row>
    <row r="14830" spans="3:10" x14ac:dyDescent="0.2">
      <c r="C14830" s="209"/>
      <c r="D14830" s="209"/>
      <c r="E14830" s="209"/>
      <c r="J14830" s="124"/>
    </row>
    <row r="14831" spans="3:10" x14ac:dyDescent="0.2">
      <c r="C14831" s="209"/>
      <c r="D14831" s="209"/>
      <c r="E14831" s="209"/>
      <c r="J14831" s="124"/>
    </row>
    <row r="14832" spans="3:10" x14ac:dyDescent="0.2">
      <c r="C14832" s="209"/>
      <c r="D14832" s="209"/>
      <c r="E14832" s="209"/>
      <c r="J14832" s="124"/>
    </row>
    <row r="14833" spans="3:10" x14ac:dyDescent="0.2">
      <c r="C14833" s="209"/>
      <c r="D14833" s="209"/>
      <c r="E14833" s="209"/>
      <c r="J14833" s="124"/>
    </row>
    <row r="14834" spans="3:10" x14ac:dyDescent="0.2">
      <c r="C14834" s="209"/>
      <c r="D14834" s="209"/>
      <c r="E14834" s="209"/>
      <c r="J14834" s="124"/>
    </row>
    <row r="14835" spans="3:10" x14ac:dyDescent="0.2">
      <c r="C14835" s="209"/>
      <c r="D14835" s="209"/>
      <c r="E14835" s="209"/>
      <c r="J14835" s="124"/>
    </row>
    <row r="14836" spans="3:10" x14ac:dyDescent="0.2">
      <c r="C14836" s="209"/>
      <c r="D14836" s="209"/>
      <c r="E14836" s="209"/>
      <c r="J14836" s="124"/>
    </row>
    <row r="14837" spans="3:10" x14ac:dyDescent="0.2">
      <c r="C14837" s="209"/>
      <c r="D14837" s="209"/>
      <c r="E14837" s="209"/>
      <c r="J14837" s="124"/>
    </row>
    <row r="14838" spans="3:10" x14ac:dyDescent="0.2">
      <c r="C14838" s="209"/>
      <c r="D14838" s="209"/>
      <c r="E14838" s="209"/>
      <c r="J14838" s="124"/>
    </row>
    <row r="14839" spans="3:10" x14ac:dyDescent="0.2">
      <c r="C14839" s="209"/>
      <c r="D14839" s="209"/>
      <c r="E14839" s="209"/>
      <c r="J14839" s="124"/>
    </row>
    <row r="14840" spans="3:10" x14ac:dyDescent="0.2">
      <c r="C14840" s="209"/>
      <c r="D14840" s="209"/>
      <c r="E14840" s="209"/>
      <c r="J14840" s="124"/>
    </row>
    <row r="14841" spans="3:10" x14ac:dyDescent="0.2">
      <c r="C14841" s="209"/>
      <c r="D14841" s="209"/>
      <c r="E14841" s="209"/>
      <c r="J14841" s="124"/>
    </row>
    <row r="14842" spans="3:10" x14ac:dyDescent="0.2">
      <c r="C14842" s="209"/>
      <c r="D14842" s="209"/>
      <c r="E14842" s="209"/>
      <c r="J14842" s="124"/>
    </row>
    <row r="14843" spans="3:10" x14ac:dyDescent="0.2">
      <c r="C14843" s="209"/>
      <c r="D14843" s="209"/>
      <c r="E14843" s="209"/>
      <c r="J14843" s="124"/>
    </row>
    <row r="14844" spans="3:10" x14ac:dyDescent="0.2">
      <c r="C14844" s="209"/>
      <c r="D14844" s="209"/>
      <c r="E14844" s="209"/>
      <c r="J14844" s="124"/>
    </row>
    <row r="14845" spans="3:10" x14ac:dyDescent="0.2">
      <c r="C14845" s="209"/>
      <c r="D14845" s="209"/>
      <c r="E14845" s="209"/>
      <c r="J14845" s="124"/>
    </row>
    <row r="14846" spans="3:10" x14ac:dyDescent="0.2">
      <c r="C14846" s="209"/>
      <c r="D14846" s="209"/>
      <c r="E14846" s="209"/>
      <c r="J14846" s="124"/>
    </row>
    <row r="14847" spans="3:10" x14ac:dyDescent="0.2">
      <c r="C14847" s="209"/>
      <c r="D14847" s="209"/>
      <c r="E14847" s="209"/>
      <c r="J14847" s="124"/>
    </row>
    <row r="14848" spans="3:10" x14ac:dyDescent="0.2">
      <c r="C14848" s="209"/>
      <c r="D14848" s="209"/>
      <c r="E14848" s="209"/>
      <c r="J14848" s="124"/>
    </row>
    <row r="14849" spans="3:10" x14ac:dyDescent="0.2">
      <c r="C14849" s="209"/>
      <c r="D14849" s="209"/>
      <c r="E14849" s="209"/>
      <c r="J14849" s="124"/>
    </row>
    <row r="14850" spans="3:10" x14ac:dyDescent="0.2">
      <c r="C14850" s="209"/>
      <c r="D14850" s="209"/>
      <c r="E14850" s="209"/>
      <c r="J14850" s="124"/>
    </row>
    <row r="14851" spans="3:10" x14ac:dyDescent="0.2">
      <c r="C14851" s="209"/>
      <c r="D14851" s="209"/>
      <c r="E14851" s="209"/>
      <c r="J14851" s="124"/>
    </row>
    <row r="14852" spans="3:10" x14ac:dyDescent="0.2">
      <c r="C14852" s="209"/>
      <c r="D14852" s="209"/>
      <c r="E14852" s="209"/>
      <c r="J14852" s="124"/>
    </row>
    <row r="14853" spans="3:10" x14ac:dyDescent="0.2">
      <c r="C14853" s="209"/>
      <c r="D14853" s="209"/>
      <c r="E14853" s="209"/>
      <c r="J14853" s="124"/>
    </row>
    <row r="14854" spans="3:10" x14ac:dyDescent="0.2">
      <c r="C14854" s="209"/>
      <c r="D14854" s="209"/>
      <c r="E14854" s="209"/>
      <c r="J14854" s="124"/>
    </row>
    <row r="14855" spans="3:10" x14ac:dyDescent="0.2">
      <c r="C14855" s="209"/>
      <c r="D14855" s="209"/>
      <c r="E14855" s="209"/>
      <c r="J14855" s="124"/>
    </row>
    <row r="14856" spans="3:10" x14ac:dyDescent="0.2">
      <c r="C14856" s="209"/>
      <c r="D14856" s="209"/>
      <c r="E14856" s="209"/>
      <c r="J14856" s="124"/>
    </row>
    <row r="14857" spans="3:10" x14ac:dyDescent="0.2">
      <c r="C14857" s="209"/>
      <c r="D14857" s="209"/>
      <c r="E14857" s="209"/>
      <c r="J14857" s="124"/>
    </row>
    <row r="14858" spans="3:10" x14ac:dyDescent="0.2">
      <c r="C14858" s="209"/>
      <c r="D14858" s="209"/>
      <c r="E14858" s="209"/>
      <c r="J14858" s="124"/>
    </row>
    <row r="14859" spans="3:10" x14ac:dyDescent="0.2">
      <c r="C14859" s="209"/>
      <c r="D14859" s="209"/>
      <c r="E14859" s="209"/>
      <c r="J14859" s="124"/>
    </row>
    <row r="14860" spans="3:10" x14ac:dyDescent="0.2">
      <c r="C14860" s="209"/>
      <c r="D14860" s="209"/>
      <c r="E14860" s="209"/>
      <c r="J14860" s="124"/>
    </row>
    <row r="14861" spans="3:10" x14ac:dyDescent="0.2">
      <c r="C14861" s="209"/>
      <c r="D14861" s="209"/>
      <c r="E14861" s="209"/>
      <c r="J14861" s="124"/>
    </row>
    <row r="14862" spans="3:10" x14ac:dyDescent="0.2">
      <c r="C14862" s="209"/>
      <c r="D14862" s="209"/>
      <c r="E14862" s="209"/>
      <c r="J14862" s="124"/>
    </row>
    <row r="14863" spans="3:10" x14ac:dyDescent="0.2">
      <c r="C14863" s="209"/>
      <c r="D14863" s="209"/>
      <c r="E14863" s="209"/>
      <c r="J14863" s="124"/>
    </row>
    <row r="14864" spans="3:10" x14ac:dyDescent="0.2">
      <c r="C14864" s="209"/>
      <c r="D14864" s="209"/>
      <c r="E14864" s="209"/>
      <c r="J14864" s="124"/>
    </row>
    <row r="14865" spans="3:10" x14ac:dyDescent="0.2">
      <c r="C14865" s="209"/>
      <c r="D14865" s="209"/>
      <c r="E14865" s="209"/>
      <c r="J14865" s="124"/>
    </row>
    <row r="14866" spans="3:10" x14ac:dyDescent="0.2">
      <c r="C14866" s="209"/>
      <c r="D14866" s="209"/>
      <c r="E14866" s="209"/>
      <c r="J14866" s="124"/>
    </row>
    <row r="14867" spans="3:10" x14ac:dyDescent="0.2">
      <c r="C14867" s="209"/>
      <c r="D14867" s="209"/>
      <c r="E14867" s="209"/>
      <c r="J14867" s="124"/>
    </row>
    <row r="14868" spans="3:10" x14ac:dyDescent="0.2">
      <c r="C14868" s="209"/>
      <c r="D14868" s="209"/>
      <c r="E14868" s="209"/>
      <c r="J14868" s="124"/>
    </row>
    <row r="14869" spans="3:10" x14ac:dyDescent="0.2">
      <c r="C14869" s="209"/>
      <c r="D14869" s="209"/>
      <c r="E14869" s="209"/>
      <c r="J14869" s="124"/>
    </row>
    <row r="14870" spans="3:10" x14ac:dyDescent="0.2">
      <c r="C14870" s="209"/>
      <c r="D14870" s="209"/>
      <c r="E14870" s="209"/>
      <c r="J14870" s="124"/>
    </row>
    <row r="14871" spans="3:10" x14ac:dyDescent="0.2">
      <c r="C14871" s="209"/>
      <c r="D14871" s="209"/>
      <c r="E14871" s="209"/>
      <c r="J14871" s="124"/>
    </row>
    <row r="14872" spans="3:10" x14ac:dyDescent="0.2">
      <c r="C14872" s="209"/>
      <c r="D14872" s="209"/>
      <c r="E14872" s="209"/>
      <c r="J14872" s="124"/>
    </row>
    <row r="14873" spans="3:10" x14ac:dyDescent="0.2">
      <c r="C14873" s="209"/>
      <c r="D14873" s="209"/>
      <c r="E14873" s="209"/>
      <c r="J14873" s="124"/>
    </row>
    <row r="14874" spans="3:10" x14ac:dyDescent="0.2">
      <c r="C14874" s="209"/>
      <c r="D14874" s="209"/>
      <c r="E14874" s="209"/>
      <c r="J14874" s="124"/>
    </row>
    <row r="14875" spans="3:10" x14ac:dyDescent="0.2">
      <c r="C14875" s="209"/>
      <c r="D14875" s="209"/>
      <c r="E14875" s="209"/>
      <c r="J14875" s="124"/>
    </row>
    <row r="14876" spans="3:10" x14ac:dyDescent="0.2">
      <c r="C14876" s="209"/>
      <c r="D14876" s="209"/>
      <c r="E14876" s="209"/>
      <c r="J14876" s="124"/>
    </row>
    <row r="14877" spans="3:10" x14ac:dyDescent="0.2">
      <c r="C14877" s="209"/>
      <c r="D14877" s="209"/>
      <c r="E14877" s="209"/>
      <c r="J14877" s="124"/>
    </row>
    <row r="14878" spans="3:10" x14ac:dyDescent="0.2">
      <c r="C14878" s="209"/>
      <c r="D14878" s="209"/>
      <c r="E14878" s="209"/>
      <c r="J14878" s="124"/>
    </row>
    <row r="14879" spans="3:10" x14ac:dyDescent="0.2">
      <c r="C14879" s="209"/>
      <c r="D14879" s="209"/>
      <c r="E14879" s="209"/>
      <c r="J14879" s="124"/>
    </row>
    <row r="14880" spans="3:10" x14ac:dyDescent="0.2">
      <c r="C14880" s="209"/>
      <c r="D14880" s="209"/>
      <c r="E14880" s="209"/>
      <c r="J14880" s="124"/>
    </row>
    <row r="14881" spans="3:10" x14ac:dyDescent="0.2">
      <c r="C14881" s="209"/>
      <c r="D14881" s="209"/>
      <c r="E14881" s="209"/>
      <c r="J14881" s="124"/>
    </row>
    <row r="14882" spans="3:10" x14ac:dyDescent="0.2">
      <c r="C14882" s="209"/>
      <c r="D14882" s="209"/>
      <c r="E14882" s="209"/>
      <c r="J14882" s="124"/>
    </row>
    <row r="14883" spans="3:10" x14ac:dyDescent="0.2">
      <c r="C14883" s="209"/>
      <c r="D14883" s="209"/>
      <c r="E14883" s="209"/>
      <c r="J14883" s="124"/>
    </row>
    <row r="14884" spans="3:10" x14ac:dyDescent="0.2">
      <c r="C14884" s="209"/>
      <c r="D14884" s="209"/>
      <c r="E14884" s="209"/>
      <c r="J14884" s="124"/>
    </row>
    <row r="14885" spans="3:10" x14ac:dyDescent="0.2">
      <c r="C14885" s="209"/>
      <c r="D14885" s="209"/>
      <c r="E14885" s="209"/>
      <c r="J14885" s="124"/>
    </row>
    <row r="14886" spans="3:10" x14ac:dyDescent="0.2">
      <c r="C14886" s="209"/>
      <c r="D14886" s="209"/>
      <c r="E14886" s="209"/>
      <c r="J14886" s="124"/>
    </row>
    <row r="14887" spans="3:10" x14ac:dyDescent="0.2">
      <c r="C14887" s="209"/>
      <c r="D14887" s="209"/>
      <c r="E14887" s="209"/>
      <c r="J14887" s="124"/>
    </row>
    <row r="14888" spans="3:10" x14ac:dyDescent="0.2">
      <c r="C14888" s="209"/>
      <c r="D14888" s="209"/>
      <c r="E14888" s="209"/>
      <c r="J14888" s="124"/>
    </row>
    <row r="14889" spans="3:10" x14ac:dyDescent="0.2">
      <c r="C14889" s="209"/>
      <c r="D14889" s="209"/>
      <c r="E14889" s="209"/>
      <c r="J14889" s="124"/>
    </row>
    <row r="14890" spans="3:10" x14ac:dyDescent="0.2">
      <c r="C14890" s="209"/>
      <c r="D14890" s="209"/>
      <c r="E14890" s="209"/>
      <c r="J14890" s="124"/>
    </row>
    <row r="14891" spans="3:10" x14ac:dyDescent="0.2">
      <c r="C14891" s="209"/>
      <c r="D14891" s="209"/>
      <c r="E14891" s="209"/>
      <c r="J14891" s="124"/>
    </row>
    <row r="14892" spans="3:10" x14ac:dyDescent="0.2">
      <c r="C14892" s="209"/>
      <c r="D14892" s="209"/>
      <c r="E14892" s="209"/>
      <c r="J14892" s="124"/>
    </row>
    <row r="14893" spans="3:10" x14ac:dyDescent="0.2">
      <c r="C14893" s="209"/>
      <c r="D14893" s="209"/>
      <c r="E14893" s="209"/>
      <c r="J14893" s="124"/>
    </row>
    <row r="14894" spans="3:10" x14ac:dyDescent="0.2">
      <c r="C14894" s="209"/>
      <c r="D14894" s="209"/>
      <c r="E14894" s="209"/>
      <c r="J14894" s="124"/>
    </row>
    <row r="14895" spans="3:10" x14ac:dyDescent="0.2">
      <c r="C14895" s="209"/>
      <c r="D14895" s="209"/>
      <c r="E14895" s="209"/>
      <c r="J14895" s="124"/>
    </row>
    <row r="14896" spans="3:10" x14ac:dyDescent="0.2">
      <c r="C14896" s="209"/>
      <c r="D14896" s="209"/>
      <c r="E14896" s="209"/>
      <c r="J14896" s="124"/>
    </row>
    <row r="14897" spans="3:10" x14ac:dyDescent="0.2">
      <c r="C14897" s="209"/>
      <c r="D14897" s="209"/>
      <c r="E14897" s="209"/>
      <c r="J14897" s="124"/>
    </row>
    <row r="14898" spans="3:10" x14ac:dyDescent="0.2">
      <c r="C14898" s="209"/>
      <c r="D14898" s="209"/>
      <c r="E14898" s="209"/>
      <c r="J14898" s="124"/>
    </row>
    <row r="14899" spans="3:10" x14ac:dyDescent="0.2">
      <c r="C14899" s="209"/>
      <c r="D14899" s="209"/>
      <c r="E14899" s="209"/>
      <c r="J14899" s="124"/>
    </row>
    <row r="14900" spans="3:10" x14ac:dyDescent="0.2">
      <c r="C14900" s="209"/>
      <c r="D14900" s="209"/>
      <c r="E14900" s="209"/>
      <c r="J14900" s="124"/>
    </row>
    <row r="14901" spans="3:10" x14ac:dyDescent="0.2">
      <c r="C14901" s="209"/>
      <c r="D14901" s="209"/>
      <c r="E14901" s="209"/>
      <c r="J14901" s="124"/>
    </row>
    <row r="14902" spans="3:10" x14ac:dyDescent="0.2">
      <c r="C14902" s="209"/>
      <c r="D14902" s="209"/>
      <c r="E14902" s="209"/>
      <c r="J14902" s="124"/>
    </row>
    <row r="14903" spans="3:10" x14ac:dyDescent="0.2">
      <c r="C14903" s="209"/>
      <c r="D14903" s="209"/>
      <c r="E14903" s="209"/>
      <c r="J14903" s="124"/>
    </row>
    <row r="14904" spans="3:10" x14ac:dyDescent="0.2">
      <c r="C14904" s="209"/>
      <c r="D14904" s="209"/>
      <c r="E14904" s="209"/>
      <c r="J14904" s="124"/>
    </row>
    <row r="14905" spans="3:10" x14ac:dyDescent="0.2">
      <c r="C14905" s="209"/>
      <c r="D14905" s="209"/>
      <c r="E14905" s="209"/>
      <c r="J14905" s="124"/>
    </row>
    <row r="14906" spans="3:10" x14ac:dyDescent="0.2">
      <c r="C14906" s="209"/>
      <c r="D14906" s="209"/>
      <c r="E14906" s="209"/>
      <c r="J14906" s="124"/>
    </row>
    <row r="14907" spans="3:10" x14ac:dyDescent="0.2">
      <c r="C14907" s="209"/>
      <c r="D14907" s="209"/>
      <c r="E14907" s="209"/>
      <c r="J14907" s="124"/>
    </row>
    <row r="14908" spans="3:10" x14ac:dyDescent="0.2">
      <c r="C14908" s="209"/>
      <c r="D14908" s="209"/>
      <c r="E14908" s="209"/>
      <c r="J14908" s="124"/>
    </row>
    <row r="14909" spans="3:10" x14ac:dyDescent="0.2">
      <c r="C14909" s="209"/>
      <c r="D14909" s="209"/>
      <c r="E14909" s="209"/>
      <c r="J14909" s="124"/>
    </row>
    <row r="14910" spans="3:10" x14ac:dyDescent="0.2">
      <c r="C14910" s="209"/>
      <c r="D14910" s="209"/>
      <c r="E14910" s="209"/>
      <c r="J14910" s="124"/>
    </row>
    <row r="14911" spans="3:10" x14ac:dyDescent="0.2">
      <c r="C14911" s="209"/>
      <c r="D14911" s="209"/>
      <c r="E14911" s="209"/>
      <c r="J14911" s="124"/>
    </row>
    <row r="14912" spans="3:10" x14ac:dyDescent="0.2">
      <c r="C14912" s="209"/>
      <c r="D14912" s="209"/>
      <c r="E14912" s="209"/>
      <c r="J14912" s="124"/>
    </row>
    <row r="14913" spans="3:10" x14ac:dyDescent="0.2">
      <c r="C14913" s="209"/>
      <c r="D14913" s="209"/>
      <c r="E14913" s="209"/>
      <c r="J14913" s="124"/>
    </row>
    <row r="14914" spans="3:10" x14ac:dyDescent="0.2">
      <c r="C14914" s="209"/>
      <c r="D14914" s="209"/>
      <c r="E14914" s="209"/>
      <c r="J14914" s="124"/>
    </row>
    <row r="14915" spans="3:10" x14ac:dyDescent="0.2">
      <c r="C14915" s="209"/>
      <c r="D14915" s="209"/>
      <c r="E14915" s="209"/>
      <c r="J14915" s="124"/>
    </row>
    <row r="14916" spans="3:10" x14ac:dyDescent="0.2">
      <c r="C14916" s="209"/>
      <c r="D14916" s="209"/>
      <c r="E14916" s="209"/>
      <c r="J14916" s="124"/>
    </row>
    <row r="14917" spans="3:10" x14ac:dyDescent="0.2">
      <c r="C14917" s="209"/>
      <c r="D14917" s="209"/>
      <c r="E14917" s="209"/>
      <c r="J14917" s="124"/>
    </row>
    <row r="14918" spans="3:10" x14ac:dyDescent="0.2">
      <c r="C14918" s="209"/>
      <c r="D14918" s="209"/>
      <c r="E14918" s="209"/>
      <c r="J14918" s="124"/>
    </row>
    <row r="14919" spans="3:10" x14ac:dyDescent="0.2">
      <c r="C14919" s="209"/>
      <c r="D14919" s="209"/>
      <c r="E14919" s="209"/>
      <c r="J14919" s="124"/>
    </row>
    <row r="14920" spans="3:10" x14ac:dyDescent="0.2">
      <c r="C14920" s="209"/>
      <c r="D14920" s="209"/>
      <c r="E14920" s="209"/>
      <c r="J14920" s="124"/>
    </row>
    <row r="14921" spans="3:10" x14ac:dyDescent="0.2">
      <c r="C14921" s="209"/>
      <c r="D14921" s="209"/>
      <c r="E14921" s="209"/>
      <c r="J14921" s="124"/>
    </row>
    <row r="14922" spans="3:10" x14ac:dyDescent="0.2">
      <c r="C14922" s="209"/>
      <c r="D14922" s="209"/>
      <c r="E14922" s="209"/>
      <c r="J14922" s="124"/>
    </row>
    <row r="14923" spans="3:10" x14ac:dyDescent="0.2">
      <c r="C14923" s="209"/>
      <c r="D14923" s="209"/>
      <c r="E14923" s="209"/>
      <c r="J14923" s="124"/>
    </row>
    <row r="14924" spans="3:10" x14ac:dyDescent="0.2">
      <c r="C14924" s="209"/>
      <c r="D14924" s="209"/>
      <c r="E14924" s="209"/>
      <c r="J14924" s="124"/>
    </row>
    <row r="14925" spans="3:10" x14ac:dyDescent="0.2">
      <c r="C14925" s="209"/>
      <c r="D14925" s="209"/>
      <c r="E14925" s="209"/>
      <c r="J14925" s="124"/>
    </row>
    <row r="14926" spans="3:10" x14ac:dyDescent="0.2">
      <c r="C14926" s="209"/>
      <c r="D14926" s="209"/>
      <c r="E14926" s="209"/>
      <c r="J14926" s="124"/>
    </row>
    <row r="14927" spans="3:10" x14ac:dyDescent="0.2">
      <c r="C14927" s="209"/>
      <c r="D14927" s="209"/>
      <c r="E14927" s="209"/>
      <c r="J14927" s="124"/>
    </row>
    <row r="14928" spans="3:10" x14ac:dyDescent="0.2">
      <c r="C14928" s="209"/>
      <c r="D14928" s="209"/>
      <c r="E14928" s="209"/>
      <c r="J14928" s="124"/>
    </row>
    <row r="14929" spans="3:10" x14ac:dyDescent="0.2">
      <c r="C14929" s="209"/>
      <c r="D14929" s="209"/>
      <c r="E14929" s="209"/>
      <c r="J14929" s="124"/>
    </row>
    <row r="14930" spans="3:10" x14ac:dyDescent="0.2">
      <c r="C14930" s="209"/>
      <c r="D14930" s="209"/>
      <c r="E14930" s="209"/>
      <c r="J14930" s="124"/>
    </row>
    <row r="14931" spans="3:10" x14ac:dyDescent="0.2">
      <c r="C14931" s="209"/>
      <c r="D14931" s="209"/>
      <c r="E14931" s="209"/>
      <c r="J14931" s="124"/>
    </row>
    <row r="14932" spans="3:10" x14ac:dyDescent="0.2">
      <c r="C14932" s="209"/>
      <c r="D14932" s="209"/>
      <c r="E14932" s="209"/>
      <c r="J14932" s="124"/>
    </row>
    <row r="14933" spans="3:10" x14ac:dyDescent="0.2">
      <c r="C14933" s="209"/>
      <c r="D14933" s="209"/>
      <c r="E14933" s="209"/>
      <c r="J14933" s="124"/>
    </row>
    <row r="14934" spans="3:10" x14ac:dyDescent="0.2">
      <c r="C14934" s="209"/>
      <c r="D14934" s="209"/>
      <c r="E14934" s="209"/>
      <c r="J14934" s="124"/>
    </row>
    <row r="14935" spans="3:10" x14ac:dyDescent="0.2">
      <c r="C14935" s="209"/>
      <c r="D14935" s="209"/>
      <c r="E14935" s="209"/>
      <c r="J14935" s="124"/>
    </row>
    <row r="14936" spans="3:10" x14ac:dyDescent="0.2">
      <c r="C14936" s="209"/>
      <c r="D14936" s="209"/>
      <c r="E14936" s="209"/>
      <c r="J14936" s="124"/>
    </row>
    <row r="14937" spans="3:10" x14ac:dyDescent="0.2">
      <c r="C14937" s="209"/>
      <c r="D14937" s="209"/>
      <c r="E14937" s="209"/>
      <c r="J14937" s="124"/>
    </row>
    <row r="14938" spans="3:10" x14ac:dyDescent="0.2">
      <c r="C14938" s="209"/>
      <c r="D14938" s="209"/>
      <c r="E14938" s="209"/>
      <c r="J14938" s="124"/>
    </row>
    <row r="14939" spans="3:10" x14ac:dyDescent="0.2">
      <c r="C14939" s="209"/>
      <c r="D14939" s="209"/>
      <c r="E14939" s="209"/>
      <c r="J14939" s="124"/>
    </row>
    <row r="14940" spans="3:10" x14ac:dyDescent="0.2">
      <c r="C14940" s="209"/>
      <c r="D14940" s="209"/>
      <c r="E14940" s="209"/>
      <c r="J14940" s="124"/>
    </row>
    <row r="14941" spans="3:10" x14ac:dyDescent="0.2">
      <c r="C14941" s="209"/>
      <c r="D14941" s="209"/>
      <c r="E14941" s="209"/>
      <c r="J14941" s="124"/>
    </row>
    <row r="14942" spans="3:10" x14ac:dyDescent="0.2">
      <c r="C14942" s="209"/>
      <c r="D14942" s="209"/>
      <c r="E14942" s="209"/>
      <c r="J14942" s="124"/>
    </row>
    <row r="14943" spans="3:10" x14ac:dyDescent="0.2">
      <c r="C14943" s="209"/>
      <c r="D14943" s="209"/>
      <c r="E14943" s="209"/>
      <c r="J14943" s="124"/>
    </row>
    <row r="14944" spans="3:10" x14ac:dyDescent="0.2">
      <c r="C14944" s="209"/>
      <c r="D14944" s="209"/>
      <c r="E14944" s="209"/>
      <c r="J14944" s="124"/>
    </row>
    <row r="14945" spans="3:10" x14ac:dyDescent="0.2">
      <c r="C14945" s="209"/>
      <c r="D14945" s="209"/>
      <c r="E14945" s="209"/>
      <c r="J14945" s="124"/>
    </row>
    <row r="14946" spans="3:10" x14ac:dyDescent="0.2">
      <c r="C14946" s="209"/>
      <c r="D14946" s="209"/>
      <c r="E14946" s="209"/>
      <c r="J14946" s="124"/>
    </row>
    <row r="14947" spans="3:10" x14ac:dyDescent="0.2">
      <c r="C14947" s="209"/>
      <c r="D14947" s="209"/>
      <c r="E14947" s="209"/>
      <c r="J14947" s="124"/>
    </row>
    <row r="14948" spans="3:10" x14ac:dyDescent="0.2">
      <c r="C14948" s="209"/>
      <c r="D14948" s="209"/>
      <c r="E14948" s="209"/>
      <c r="J14948" s="124"/>
    </row>
    <row r="14949" spans="3:10" x14ac:dyDescent="0.2">
      <c r="C14949" s="209"/>
      <c r="D14949" s="209"/>
      <c r="E14949" s="209"/>
      <c r="J14949" s="124"/>
    </row>
    <row r="14950" spans="3:10" x14ac:dyDescent="0.2">
      <c r="C14950" s="209"/>
      <c r="D14950" s="209"/>
      <c r="E14950" s="209"/>
      <c r="J14950" s="124"/>
    </row>
    <row r="14951" spans="3:10" x14ac:dyDescent="0.2">
      <c r="C14951" s="209"/>
      <c r="D14951" s="209"/>
      <c r="E14951" s="209"/>
      <c r="J14951" s="124"/>
    </row>
    <row r="14952" spans="3:10" x14ac:dyDescent="0.2">
      <c r="C14952" s="209"/>
      <c r="D14952" s="209"/>
      <c r="E14952" s="209"/>
      <c r="J14952" s="124"/>
    </row>
    <row r="14953" spans="3:10" x14ac:dyDescent="0.2">
      <c r="C14953" s="209"/>
      <c r="D14953" s="209"/>
      <c r="E14953" s="209"/>
      <c r="J14953" s="124"/>
    </row>
    <row r="14954" spans="3:10" x14ac:dyDescent="0.2">
      <c r="C14954" s="209"/>
      <c r="D14954" s="209"/>
      <c r="E14954" s="209"/>
      <c r="J14954" s="124"/>
    </row>
    <row r="14955" spans="3:10" x14ac:dyDescent="0.2">
      <c r="C14955" s="209"/>
      <c r="D14955" s="209"/>
      <c r="E14955" s="209"/>
      <c r="J14955" s="124"/>
    </row>
    <row r="14956" spans="3:10" x14ac:dyDescent="0.2">
      <c r="C14956" s="209"/>
      <c r="D14956" s="209"/>
      <c r="E14956" s="209"/>
      <c r="J14956" s="124"/>
    </row>
    <row r="14957" spans="3:10" x14ac:dyDescent="0.2">
      <c r="C14957" s="209"/>
      <c r="D14957" s="209"/>
      <c r="E14957" s="209"/>
      <c r="J14957" s="124"/>
    </row>
    <row r="14958" spans="3:10" x14ac:dyDescent="0.2">
      <c r="C14958" s="209"/>
      <c r="D14958" s="209"/>
      <c r="E14958" s="209"/>
      <c r="J14958" s="124"/>
    </row>
    <row r="14959" spans="3:10" x14ac:dyDescent="0.2">
      <c r="C14959" s="209"/>
      <c r="D14959" s="209"/>
      <c r="E14959" s="209"/>
      <c r="J14959" s="124"/>
    </row>
    <row r="14960" spans="3:10" x14ac:dyDescent="0.2">
      <c r="C14960" s="209"/>
      <c r="D14960" s="209"/>
      <c r="E14960" s="209"/>
      <c r="J14960" s="124"/>
    </row>
    <row r="14961" spans="3:10" x14ac:dyDescent="0.2">
      <c r="C14961" s="209"/>
      <c r="D14961" s="209"/>
      <c r="E14961" s="209"/>
      <c r="J14961" s="124"/>
    </row>
    <row r="14962" spans="3:10" x14ac:dyDescent="0.2">
      <c r="C14962" s="209"/>
      <c r="D14962" s="209"/>
      <c r="E14962" s="209"/>
      <c r="J14962" s="124"/>
    </row>
    <row r="14963" spans="3:10" x14ac:dyDescent="0.2">
      <c r="C14963" s="209"/>
      <c r="D14963" s="209"/>
      <c r="E14963" s="209"/>
      <c r="J14963" s="124"/>
    </row>
    <row r="14964" spans="3:10" x14ac:dyDescent="0.2">
      <c r="C14964" s="209"/>
      <c r="D14964" s="209"/>
      <c r="E14964" s="209"/>
      <c r="J14964" s="124"/>
    </row>
    <row r="14965" spans="3:10" x14ac:dyDescent="0.2">
      <c r="C14965" s="209"/>
      <c r="D14965" s="209"/>
      <c r="E14965" s="209"/>
      <c r="J14965" s="124"/>
    </row>
    <row r="14966" spans="3:10" x14ac:dyDescent="0.2">
      <c r="C14966" s="209"/>
      <c r="D14966" s="209"/>
      <c r="E14966" s="209"/>
      <c r="J14966" s="124"/>
    </row>
    <row r="14967" spans="3:10" x14ac:dyDescent="0.2">
      <c r="C14967" s="209"/>
      <c r="D14967" s="209"/>
      <c r="E14967" s="209"/>
      <c r="J14967" s="124"/>
    </row>
    <row r="14968" spans="3:10" x14ac:dyDescent="0.2">
      <c r="C14968" s="209"/>
      <c r="D14968" s="209"/>
      <c r="E14968" s="209"/>
      <c r="J14968" s="124"/>
    </row>
    <row r="14969" spans="3:10" x14ac:dyDescent="0.2">
      <c r="C14969" s="209"/>
      <c r="D14969" s="209"/>
      <c r="E14969" s="209"/>
      <c r="J14969" s="124"/>
    </row>
    <row r="14970" spans="3:10" x14ac:dyDescent="0.2">
      <c r="C14970" s="209"/>
      <c r="D14970" s="209"/>
      <c r="E14970" s="209"/>
      <c r="J14970" s="124"/>
    </row>
    <row r="14971" spans="3:10" x14ac:dyDescent="0.2">
      <c r="C14971" s="209"/>
      <c r="D14971" s="209"/>
      <c r="E14971" s="209"/>
      <c r="J14971" s="124"/>
    </row>
    <row r="14972" spans="3:10" x14ac:dyDescent="0.2">
      <c r="C14972" s="209"/>
      <c r="D14972" s="209"/>
      <c r="E14972" s="209"/>
      <c r="J14972" s="124"/>
    </row>
    <row r="14973" spans="3:10" x14ac:dyDescent="0.2">
      <c r="C14973" s="209"/>
      <c r="D14973" s="209"/>
      <c r="E14973" s="209"/>
      <c r="J14973" s="124"/>
    </row>
    <row r="14974" spans="3:10" x14ac:dyDescent="0.2">
      <c r="C14974" s="209"/>
      <c r="D14974" s="209"/>
      <c r="E14974" s="209"/>
      <c r="J14974" s="124"/>
    </row>
    <row r="14975" spans="3:10" x14ac:dyDescent="0.2">
      <c r="C14975" s="209"/>
      <c r="D14975" s="209"/>
      <c r="E14975" s="209"/>
      <c r="J14975" s="124"/>
    </row>
    <row r="14976" spans="3:10" x14ac:dyDescent="0.2">
      <c r="C14976" s="209"/>
      <c r="D14976" s="209"/>
      <c r="E14976" s="209"/>
      <c r="J14976" s="124"/>
    </row>
    <row r="14977" spans="3:10" x14ac:dyDescent="0.2">
      <c r="C14977" s="209"/>
      <c r="D14977" s="209"/>
      <c r="E14977" s="209"/>
      <c r="J14977" s="124"/>
    </row>
    <row r="14978" spans="3:10" x14ac:dyDescent="0.2">
      <c r="C14978" s="209"/>
      <c r="D14978" s="209"/>
      <c r="E14978" s="209"/>
      <c r="J14978" s="124"/>
    </row>
    <row r="14979" spans="3:10" x14ac:dyDescent="0.2">
      <c r="C14979" s="209"/>
      <c r="D14979" s="209"/>
      <c r="E14979" s="209"/>
      <c r="J14979" s="124"/>
    </row>
    <row r="14980" spans="3:10" x14ac:dyDescent="0.2">
      <c r="C14980" s="209"/>
      <c r="D14980" s="209"/>
      <c r="E14980" s="209"/>
      <c r="J14980" s="124"/>
    </row>
    <row r="14981" spans="3:10" x14ac:dyDescent="0.2">
      <c r="C14981" s="209"/>
      <c r="D14981" s="209"/>
      <c r="E14981" s="209"/>
      <c r="J14981" s="124"/>
    </row>
    <row r="14982" spans="3:10" x14ac:dyDescent="0.2">
      <c r="C14982" s="209"/>
      <c r="D14982" s="209"/>
      <c r="E14982" s="209"/>
      <c r="J14982" s="124"/>
    </row>
    <row r="14983" spans="3:10" x14ac:dyDescent="0.2">
      <c r="C14983" s="209"/>
      <c r="D14983" s="209"/>
      <c r="E14983" s="209"/>
      <c r="J14983" s="124"/>
    </row>
    <row r="14984" spans="3:10" x14ac:dyDescent="0.2">
      <c r="C14984" s="209"/>
      <c r="D14984" s="209"/>
      <c r="E14984" s="209"/>
      <c r="J14984" s="124"/>
    </row>
    <row r="14985" spans="3:10" x14ac:dyDescent="0.2">
      <c r="C14985" s="209"/>
      <c r="D14985" s="209"/>
      <c r="E14985" s="209"/>
      <c r="J14985" s="124"/>
    </row>
    <row r="14986" spans="3:10" x14ac:dyDescent="0.2">
      <c r="C14986" s="209"/>
      <c r="D14986" s="209"/>
      <c r="E14986" s="209"/>
      <c r="J14986" s="124"/>
    </row>
    <row r="14987" spans="3:10" x14ac:dyDescent="0.2">
      <c r="C14987" s="209"/>
      <c r="D14987" s="209"/>
      <c r="E14987" s="209"/>
      <c r="J14987" s="124"/>
    </row>
    <row r="14988" spans="3:10" x14ac:dyDescent="0.2">
      <c r="C14988" s="209"/>
      <c r="D14988" s="209"/>
      <c r="E14988" s="209"/>
      <c r="J14988" s="124"/>
    </row>
    <row r="14989" spans="3:10" x14ac:dyDescent="0.2">
      <c r="C14989" s="209"/>
      <c r="D14989" s="209"/>
      <c r="E14989" s="209"/>
      <c r="J14989" s="124"/>
    </row>
    <row r="14990" spans="3:10" x14ac:dyDescent="0.2">
      <c r="C14990" s="209"/>
      <c r="D14990" s="209"/>
      <c r="E14990" s="209"/>
      <c r="J14990" s="124"/>
    </row>
    <row r="14991" spans="3:10" x14ac:dyDescent="0.2">
      <c r="C14991" s="209"/>
      <c r="D14991" s="209"/>
      <c r="E14991" s="209"/>
      <c r="J14991" s="124"/>
    </row>
    <row r="14992" spans="3:10" x14ac:dyDescent="0.2">
      <c r="C14992" s="209"/>
      <c r="D14992" s="209"/>
      <c r="E14992" s="209"/>
      <c r="J14992" s="124"/>
    </row>
    <row r="14993" spans="3:10" x14ac:dyDescent="0.2">
      <c r="C14993" s="209"/>
      <c r="D14993" s="209"/>
      <c r="E14993" s="209"/>
      <c r="J14993" s="124"/>
    </row>
    <row r="14994" spans="3:10" x14ac:dyDescent="0.2">
      <c r="C14994" s="209"/>
      <c r="D14994" s="209"/>
      <c r="E14994" s="209"/>
      <c r="J14994" s="124"/>
    </row>
    <row r="14995" spans="3:10" x14ac:dyDescent="0.2">
      <c r="C14995" s="209"/>
      <c r="D14995" s="209"/>
      <c r="E14995" s="209"/>
      <c r="J14995" s="124"/>
    </row>
    <row r="14996" spans="3:10" x14ac:dyDescent="0.2">
      <c r="C14996" s="209"/>
      <c r="D14996" s="209"/>
      <c r="E14996" s="209"/>
      <c r="J14996" s="124"/>
    </row>
    <row r="14997" spans="3:10" x14ac:dyDescent="0.2">
      <c r="C14997" s="209"/>
      <c r="D14997" s="209"/>
      <c r="E14997" s="209"/>
      <c r="J14997" s="124"/>
    </row>
    <row r="14998" spans="3:10" x14ac:dyDescent="0.2">
      <c r="C14998" s="209"/>
      <c r="D14998" s="209"/>
      <c r="E14998" s="209"/>
      <c r="J14998" s="124"/>
    </row>
    <row r="14999" spans="3:10" x14ac:dyDescent="0.2">
      <c r="C14999" s="209"/>
      <c r="D14999" s="209"/>
      <c r="E14999" s="209"/>
      <c r="J14999" s="124"/>
    </row>
    <row r="15000" spans="3:10" x14ac:dyDescent="0.2">
      <c r="C15000" s="209"/>
      <c r="D15000" s="209"/>
      <c r="E15000" s="209"/>
      <c r="J15000" s="124"/>
    </row>
    <row r="15001" spans="3:10" x14ac:dyDescent="0.2">
      <c r="C15001" s="209"/>
      <c r="D15001" s="209"/>
      <c r="E15001" s="209"/>
      <c r="J15001" s="124"/>
    </row>
    <row r="15002" spans="3:10" x14ac:dyDescent="0.2">
      <c r="C15002" s="209"/>
      <c r="D15002" s="209"/>
      <c r="E15002" s="209"/>
      <c r="J15002" s="124"/>
    </row>
    <row r="15003" spans="3:10" x14ac:dyDescent="0.2">
      <c r="C15003" s="209"/>
      <c r="D15003" s="209"/>
      <c r="E15003" s="209"/>
      <c r="J15003" s="124"/>
    </row>
    <row r="15004" spans="3:10" x14ac:dyDescent="0.2">
      <c r="C15004" s="209"/>
      <c r="D15004" s="209"/>
      <c r="E15004" s="209"/>
      <c r="J15004" s="124"/>
    </row>
    <row r="15005" spans="3:10" x14ac:dyDescent="0.2">
      <c r="C15005" s="209"/>
      <c r="D15005" s="209"/>
      <c r="E15005" s="209"/>
      <c r="J15005" s="124"/>
    </row>
    <row r="15006" spans="3:10" x14ac:dyDescent="0.2">
      <c r="C15006" s="209"/>
      <c r="D15006" s="209"/>
      <c r="E15006" s="209"/>
      <c r="J15006" s="124"/>
    </row>
    <row r="15007" spans="3:10" x14ac:dyDescent="0.2">
      <c r="C15007" s="209"/>
      <c r="D15007" s="209"/>
      <c r="E15007" s="209"/>
      <c r="J15007" s="124"/>
    </row>
    <row r="15008" spans="3:10" x14ac:dyDescent="0.2">
      <c r="C15008" s="209"/>
      <c r="D15008" s="209"/>
      <c r="E15008" s="209"/>
      <c r="J15008" s="124"/>
    </row>
    <row r="15009" spans="3:10" x14ac:dyDescent="0.2">
      <c r="C15009" s="209"/>
      <c r="D15009" s="209"/>
      <c r="E15009" s="209"/>
      <c r="J15009" s="124"/>
    </row>
    <row r="15010" spans="3:10" x14ac:dyDescent="0.2">
      <c r="C15010" s="209"/>
      <c r="D15010" s="209"/>
      <c r="E15010" s="209"/>
      <c r="J15010" s="124"/>
    </row>
    <row r="15011" spans="3:10" x14ac:dyDescent="0.2">
      <c r="C15011" s="209"/>
      <c r="D15011" s="209"/>
      <c r="E15011" s="209"/>
      <c r="J15011" s="124"/>
    </row>
    <row r="15012" spans="3:10" x14ac:dyDescent="0.2">
      <c r="C15012" s="209"/>
      <c r="D15012" s="209"/>
      <c r="E15012" s="209"/>
      <c r="J15012" s="124"/>
    </row>
    <row r="15013" spans="3:10" x14ac:dyDescent="0.2">
      <c r="C15013" s="209"/>
      <c r="D15013" s="209"/>
      <c r="E15013" s="209"/>
      <c r="J15013" s="124"/>
    </row>
    <row r="15014" spans="3:10" x14ac:dyDescent="0.2">
      <c r="C15014" s="209"/>
      <c r="D15014" s="209"/>
      <c r="E15014" s="209"/>
      <c r="J15014" s="124"/>
    </row>
    <row r="15015" spans="3:10" x14ac:dyDescent="0.2">
      <c r="C15015" s="209"/>
      <c r="D15015" s="209"/>
      <c r="E15015" s="209"/>
      <c r="J15015" s="124"/>
    </row>
    <row r="15016" spans="3:10" x14ac:dyDescent="0.2">
      <c r="C15016" s="209"/>
      <c r="D15016" s="209"/>
      <c r="E15016" s="209"/>
      <c r="J15016" s="124"/>
    </row>
    <row r="15017" spans="3:10" x14ac:dyDescent="0.2">
      <c r="C15017" s="209"/>
      <c r="D15017" s="209"/>
      <c r="E15017" s="209"/>
      <c r="J15017" s="124"/>
    </row>
    <row r="15018" spans="3:10" x14ac:dyDescent="0.2">
      <c r="C15018" s="209"/>
      <c r="D15018" s="209"/>
      <c r="E15018" s="209"/>
      <c r="J15018" s="124"/>
    </row>
    <row r="15019" spans="3:10" x14ac:dyDescent="0.2">
      <c r="C15019" s="209"/>
      <c r="D15019" s="209"/>
      <c r="E15019" s="209"/>
      <c r="J15019" s="124"/>
    </row>
    <row r="15020" spans="3:10" x14ac:dyDescent="0.2">
      <c r="C15020" s="209"/>
      <c r="D15020" s="209"/>
      <c r="E15020" s="209"/>
      <c r="J15020" s="124"/>
    </row>
    <row r="15021" spans="3:10" x14ac:dyDescent="0.2">
      <c r="C15021" s="209"/>
      <c r="D15021" s="209"/>
      <c r="E15021" s="209"/>
      <c r="J15021" s="124"/>
    </row>
    <row r="15022" spans="3:10" x14ac:dyDescent="0.2">
      <c r="C15022" s="209"/>
      <c r="D15022" s="209"/>
      <c r="E15022" s="209"/>
      <c r="J15022" s="124"/>
    </row>
    <row r="15023" spans="3:10" x14ac:dyDescent="0.2">
      <c r="C15023" s="209"/>
      <c r="D15023" s="209"/>
      <c r="E15023" s="209"/>
      <c r="J15023" s="124"/>
    </row>
    <row r="15024" spans="3:10" x14ac:dyDescent="0.2">
      <c r="C15024" s="209"/>
      <c r="D15024" s="209"/>
      <c r="E15024" s="209"/>
      <c r="J15024" s="124"/>
    </row>
    <row r="15025" spans="3:10" x14ac:dyDescent="0.2">
      <c r="C15025" s="209"/>
      <c r="D15025" s="209"/>
      <c r="E15025" s="209"/>
      <c r="J15025" s="124"/>
    </row>
    <row r="15026" spans="3:10" x14ac:dyDescent="0.2">
      <c r="C15026" s="209"/>
      <c r="D15026" s="209"/>
      <c r="E15026" s="209"/>
      <c r="J15026" s="124"/>
    </row>
    <row r="15027" spans="3:10" x14ac:dyDescent="0.2">
      <c r="C15027" s="209"/>
      <c r="D15027" s="209"/>
      <c r="E15027" s="209"/>
      <c r="J15027" s="124"/>
    </row>
    <row r="15028" spans="3:10" x14ac:dyDescent="0.2">
      <c r="C15028" s="209"/>
      <c r="D15028" s="209"/>
      <c r="E15028" s="209"/>
      <c r="J15028" s="124"/>
    </row>
    <row r="15029" spans="3:10" x14ac:dyDescent="0.2">
      <c r="C15029" s="209"/>
      <c r="D15029" s="209"/>
      <c r="E15029" s="209"/>
      <c r="J15029" s="124"/>
    </row>
    <row r="15030" spans="3:10" x14ac:dyDescent="0.2">
      <c r="C15030" s="209"/>
      <c r="D15030" s="209"/>
      <c r="E15030" s="209"/>
      <c r="J15030" s="124"/>
    </row>
    <row r="15031" spans="3:10" x14ac:dyDescent="0.2">
      <c r="C15031" s="209"/>
      <c r="D15031" s="209"/>
      <c r="E15031" s="209"/>
      <c r="J15031" s="124"/>
    </row>
    <row r="15032" spans="3:10" x14ac:dyDescent="0.2">
      <c r="C15032" s="209"/>
      <c r="D15032" s="209"/>
      <c r="E15032" s="209"/>
      <c r="J15032" s="124"/>
    </row>
    <row r="15033" spans="3:10" x14ac:dyDescent="0.2">
      <c r="C15033" s="209"/>
      <c r="D15033" s="209"/>
      <c r="E15033" s="209"/>
      <c r="J15033" s="124"/>
    </row>
    <row r="15034" spans="3:10" x14ac:dyDescent="0.2">
      <c r="C15034" s="209"/>
      <c r="D15034" s="209"/>
      <c r="E15034" s="209"/>
      <c r="J15034" s="124"/>
    </row>
    <row r="15035" spans="3:10" x14ac:dyDescent="0.2">
      <c r="C15035" s="209"/>
      <c r="D15035" s="209"/>
      <c r="E15035" s="209"/>
      <c r="J15035" s="124"/>
    </row>
    <row r="15036" spans="3:10" x14ac:dyDescent="0.2">
      <c r="C15036" s="209"/>
      <c r="D15036" s="209"/>
      <c r="E15036" s="209"/>
      <c r="J15036" s="124"/>
    </row>
    <row r="15037" spans="3:10" x14ac:dyDescent="0.2">
      <c r="C15037" s="209"/>
      <c r="D15037" s="209"/>
      <c r="E15037" s="209"/>
      <c r="J15037" s="124"/>
    </row>
    <row r="15038" spans="3:10" x14ac:dyDescent="0.2">
      <c r="C15038" s="209"/>
      <c r="D15038" s="209"/>
      <c r="E15038" s="209"/>
      <c r="J15038" s="124"/>
    </row>
    <row r="15039" spans="3:10" x14ac:dyDescent="0.2">
      <c r="C15039" s="209"/>
      <c r="D15039" s="209"/>
      <c r="E15039" s="209"/>
      <c r="J15039" s="124"/>
    </row>
    <row r="15040" spans="3:10" x14ac:dyDescent="0.2">
      <c r="C15040" s="209"/>
      <c r="D15040" s="209"/>
      <c r="E15040" s="209"/>
      <c r="J15040" s="124"/>
    </row>
    <row r="15041" spans="3:10" x14ac:dyDescent="0.2">
      <c r="C15041" s="209"/>
      <c r="D15041" s="209"/>
      <c r="E15041" s="209"/>
      <c r="J15041" s="124"/>
    </row>
    <row r="15042" spans="3:10" x14ac:dyDescent="0.2">
      <c r="C15042" s="209"/>
      <c r="D15042" s="209"/>
      <c r="E15042" s="209"/>
      <c r="J15042" s="124"/>
    </row>
    <row r="15043" spans="3:10" x14ac:dyDescent="0.2">
      <c r="C15043" s="209"/>
      <c r="D15043" s="209"/>
      <c r="E15043" s="209"/>
      <c r="J15043" s="124"/>
    </row>
    <row r="15044" spans="3:10" x14ac:dyDescent="0.2">
      <c r="C15044" s="209"/>
      <c r="D15044" s="209"/>
      <c r="E15044" s="209"/>
      <c r="J15044" s="124"/>
    </row>
    <row r="15045" spans="3:10" x14ac:dyDescent="0.2">
      <c r="C15045" s="209"/>
      <c r="D15045" s="209"/>
      <c r="E15045" s="209"/>
      <c r="J15045" s="124"/>
    </row>
    <row r="15046" spans="3:10" x14ac:dyDescent="0.2">
      <c r="C15046" s="209"/>
      <c r="D15046" s="209"/>
      <c r="E15046" s="209"/>
      <c r="J15046" s="124"/>
    </row>
    <row r="15047" spans="3:10" x14ac:dyDescent="0.2">
      <c r="C15047" s="209"/>
      <c r="D15047" s="209"/>
      <c r="E15047" s="209"/>
      <c r="J15047" s="124"/>
    </row>
    <row r="15048" spans="3:10" x14ac:dyDescent="0.2">
      <c r="C15048" s="209"/>
      <c r="D15048" s="209"/>
      <c r="E15048" s="209"/>
      <c r="J15048" s="124"/>
    </row>
    <row r="15049" spans="3:10" x14ac:dyDescent="0.2">
      <c r="C15049" s="209"/>
      <c r="D15049" s="209"/>
      <c r="E15049" s="209"/>
      <c r="J15049" s="124"/>
    </row>
    <row r="15050" spans="3:10" x14ac:dyDescent="0.2">
      <c r="C15050" s="209"/>
      <c r="D15050" s="209"/>
      <c r="E15050" s="209"/>
      <c r="J15050" s="124"/>
    </row>
    <row r="15051" spans="3:10" x14ac:dyDescent="0.2">
      <c r="C15051" s="209"/>
      <c r="D15051" s="209"/>
      <c r="E15051" s="209"/>
      <c r="J15051" s="124"/>
    </row>
    <row r="15052" spans="3:10" x14ac:dyDescent="0.2">
      <c r="C15052" s="209"/>
      <c r="D15052" s="209"/>
      <c r="E15052" s="209"/>
      <c r="J15052" s="124"/>
    </row>
    <row r="15053" spans="3:10" x14ac:dyDescent="0.2">
      <c r="C15053" s="209"/>
      <c r="D15053" s="209"/>
      <c r="E15053" s="209"/>
      <c r="J15053" s="124"/>
    </row>
    <row r="15054" spans="3:10" x14ac:dyDescent="0.2">
      <c r="C15054" s="209"/>
      <c r="D15054" s="209"/>
      <c r="E15054" s="209"/>
      <c r="J15054" s="124"/>
    </row>
    <row r="15055" spans="3:10" x14ac:dyDescent="0.2">
      <c r="C15055" s="209"/>
      <c r="D15055" s="209"/>
      <c r="E15055" s="209"/>
      <c r="J15055" s="124"/>
    </row>
    <row r="15056" spans="3:10" x14ac:dyDescent="0.2">
      <c r="C15056" s="209"/>
      <c r="D15056" s="209"/>
      <c r="E15056" s="209"/>
      <c r="J15056" s="124"/>
    </row>
    <row r="15057" spans="3:10" x14ac:dyDescent="0.2">
      <c r="C15057" s="209"/>
      <c r="D15057" s="209"/>
      <c r="E15057" s="209"/>
      <c r="J15057" s="124"/>
    </row>
    <row r="15058" spans="3:10" x14ac:dyDescent="0.2">
      <c r="C15058" s="209"/>
      <c r="D15058" s="209"/>
      <c r="E15058" s="209"/>
      <c r="J15058" s="124"/>
    </row>
    <row r="15059" spans="3:10" x14ac:dyDescent="0.2">
      <c r="C15059" s="209"/>
      <c r="D15059" s="209"/>
      <c r="E15059" s="209"/>
      <c r="J15059" s="124"/>
    </row>
    <row r="15060" spans="3:10" x14ac:dyDescent="0.2">
      <c r="C15060" s="209"/>
      <c r="D15060" s="209"/>
      <c r="E15060" s="209"/>
      <c r="J15060" s="124"/>
    </row>
    <row r="15061" spans="3:10" x14ac:dyDescent="0.2">
      <c r="C15061" s="209"/>
      <c r="D15061" s="209"/>
      <c r="E15061" s="209"/>
      <c r="J15061" s="124"/>
    </row>
    <row r="15062" spans="3:10" x14ac:dyDescent="0.2">
      <c r="C15062" s="209"/>
      <c r="D15062" s="209"/>
      <c r="E15062" s="209"/>
      <c r="J15062" s="124"/>
    </row>
    <row r="15063" spans="3:10" x14ac:dyDescent="0.2">
      <c r="C15063" s="209"/>
      <c r="D15063" s="209"/>
      <c r="E15063" s="209"/>
      <c r="J15063" s="124"/>
    </row>
    <row r="15064" spans="3:10" x14ac:dyDescent="0.2">
      <c r="C15064" s="209"/>
      <c r="D15064" s="209"/>
      <c r="E15064" s="209"/>
      <c r="J15064" s="124"/>
    </row>
    <row r="15065" spans="3:10" x14ac:dyDescent="0.2">
      <c r="C15065" s="209"/>
      <c r="D15065" s="209"/>
      <c r="E15065" s="209"/>
      <c r="J15065" s="124"/>
    </row>
    <row r="15066" spans="3:10" x14ac:dyDescent="0.2">
      <c r="C15066" s="209"/>
      <c r="D15066" s="209"/>
      <c r="E15066" s="209"/>
      <c r="J15066" s="124"/>
    </row>
    <row r="15067" spans="3:10" x14ac:dyDescent="0.2">
      <c r="C15067" s="209"/>
      <c r="D15067" s="209"/>
      <c r="E15067" s="209"/>
      <c r="J15067" s="124"/>
    </row>
    <row r="15068" spans="3:10" x14ac:dyDescent="0.2">
      <c r="C15068" s="209"/>
      <c r="D15068" s="209"/>
      <c r="E15068" s="209"/>
      <c r="J15068" s="124"/>
    </row>
    <row r="15069" spans="3:10" x14ac:dyDescent="0.2">
      <c r="C15069" s="209"/>
      <c r="D15069" s="209"/>
      <c r="E15069" s="209"/>
      <c r="J15069" s="124"/>
    </row>
    <row r="15070" spans="3:10" x14ac:dyDescent="0.2">
      <c r="C15070" s="209"/>
      <c r="D15070" s="209"/>
      <c r="E15070" s="209"/>
      <c r="J15070" s="124"/>
    </row>
    <row r="15071" spans="3:10" x14ac:dyDescent="0.2">
      <c r="C15071" s="209"/>
      <c r="D15071" s="209"/>
      <c r="E15071" s="209"/>
      <c r="J15071" s="124"/>
    </row>
    <row r="15072" spans="3:10" x14ac:dyDescent="0.2">
      <c r="C15072" s="209"/>
      <c r="D15072" s="209"/>
      <c r="E15072" s="209"/>
      <c r="J15072" s="124"/>
    </row>
    <row r="15073" spans="3:10" x14ac:dyDescent="0.2">
      <c r="C15073" s="209"/>
      <c r="D15073" s="209"/>
      <c r="E15073" s="209"/>
      <c r="J15073" s="124"/>
    </row>
    <row r="15074" spans="3:10" x14ac:dyDescent="0.2">
      <c r="C15074" s="209"/>
      <c r="D15074" s="209"/>
      <c r="E15074" s="209"/>
      <c r="J15074" s="124"/>
    </row>
    <row r="15075" spans="3:10" x14ac:dyDescent="0.2">
      <c r="C15075" s="209"/>
      <c r="D15075" s="209"/>
      <c r="E15075" s="209"/>
      <c r="J15075" s="124"/>
    </row>
    <row r="15076" spans="3:10" x14ac:dyDescent="0.2">
      <c r="C15076" s="209"/>
      <c r="D15076" s="209"/>
      <c r="E15076" s="209"/>
      <c r="J15076" s="124"/>
    </row>
    <row r="15077" spans="3:10" x14ac:dyDescent="0.2">
      <c r="C15077" s="209"/>
      <c r="D15077" s="209"/>
      <c r="E15077" s="209"/>
      <c r="J15077" s="124"/>
    </row>
    <row r="15078" spans="3:10" x14ac:dyDescent="0.2">
      <c r="C15078" s="209"/>
      <c r="D15078" s="209"/>
      <c r="E15078" s="209"/>
      <c r="J15078" s="124"/>
    </row>
    <row r="15079" spans="3:10" x14ac:dyDescent="0.2">
      <c r="C15079" s="209"/>
      <c r="D15079" s="209"/>
      <c r="E15079" s="209"/>
      <c r="J15079" s="124"/>
    </row>
    <row r="15080" spans="3:10" x14ac:dyDescent="0.2">
      <c r="C15080" s="209"/>
      <c r="D15080" s="209"/>
      <c r="E15080" s="209"/>
      <c r="J15080" s="124"/>
    </row>
    <row r="15081" spans="3:10" x14ac:dyDescent="0.2">
      <c r="C15081" s="209"/>
      <c r="D15081" s="209"/>
      <c r="E15081" s="209"/>
      <c r="J15081" s="124"/>
    </row>
    <row r="15082" spans="3:10" x14ac:dyDescent="0.2">
      <c r="C15082" s="209"/>
      <c r="D15082" s="209"/>
      <c r="E15082" s="209"/>
      <c r="J15082" s="124"/>
    </row>
    <row r="15083" spans="3:10" x14ac:dyDescent="0.2">
      <c r="C15083" s="209"/>
      <c r="D15083" s="209"/>
      <c r="E15083" s="209"/>
      <c r="J15083" s="124"/>
    </row>
    <row r="15084" spans="3:10" x14ac:dyDescent="0.2">
      <c r="C15084" s="209"/>
      <c r="D15084" s="209"/>
      <c r="E15084" s="209"/>
      <c r="J15084" s="124"/>
    </row>
    <row r="15085" spans="3:10" x14ac:dyDescent="0.2">
      <c r="C15085" s="209"/>
      <c r="D15085" s="209"/>
      <c r="E15085" s="209"/>
      <c r="J15085" s="124"/>
    </row>
    <row r="15086" spans="3:10" x14ac:dyDescent="0.2">
      <c r="C15086" s="209"/>
      <c r="D15086" s="209"/>
      <c r="E15086" s="209"/>
      <c r="J15086" s="124"/>
    </row>
    <row r="15087" spans="3:10" x14ac:dyDescent="0.2">
      <c r="C15087" s="209"/>
      <c r="D15087" s="209"/>
      <c r="E15087" s="209"/>
      <c r="J15087" s="124"/>
    </row>
    <row r="15088" spans="3:10" x14ac:dyDescent="0.2">
      <c r="C15088" s="209"/>
      <c r="D15088" s="209"/>
      <c r="E15088" s="209"/>
      <c r="J15088" s="124"/>
    </row>
    <row r="15089" spans="3:10" x14ac:dyDescent="0.2">
      <c r="C15089" s="209"/>
      <c r="D15089" s="209"/>
      <c r="E15089" s="209"/>
      <c r="J15089" s="124"/>
    </row>
    <row r="15090" spans="3:10" x14ac:dyDescent="0.2">
      <c r="C15090" s="209"/>
      <c r="D15090" s="209"/>
      <c r="E15090" s="209"/>
      <c r="J15090" s="124"/>
    </row>
    <row r="15091" spans="3:10" x14ac:dyDescent="0.2">
      <c r="C15091" s="209"/>
      <c r="D15091" s="209"/>
      <c r="E15091" s="209"/>
      <c r="J15091" s="124"/>
    </row>
    <row r="15092" spans="3:10" x14ac:dyDescent="0.2">
      <c r="C15092" s="209"/>
      <c r="D15092" s="209"/>
      <c r="E15092" s="209"/>
      <c r="J15092" s="124"/>
    </row>
    <row r="15093" spans="3:10" x14ac:dyDescent="0.2">
      <c r="C15093" s="209"/>
      <c r="D15093" s="209"/>
      <c r="E15093" s="209"/>
      <c r="J15093" s="124"/>
    </row>
    <row r="15094" spans="3:10" x14ac:dyDescent="0.2">
      <c r="C15094" s="209"/>
      <c r="D15094" s="209"/>
      <c r="E15094" s="209"/>
      <c r="J15094" s="124"/>
    </row>
    <row r="15095" spans="3:10" x14ac:dyDescent="0.2">
      <c r="C15095" s="209"/>
      <c r="D15095" s="209"/>
      <c r="E15095" s="209"/>
      <c r="J15095" s="124"/>
    </row>
    <row r="15096" spans="3:10" x14ac:dyDescent="0.2">
      <c r="C15096" s="209"/>
      <c r="D15096" s="209"/>
      <c r="E15096" s="209"/>
      <c r="J15096" s="124"/>
    </row>
    <row r="15097" spans="3:10" x14ac:dyDescent="0.2">
      <c r="C15097" s="209"/>
      <c r="D15097" s="209"/>
      <c r="E15097" s="209"/>
      <c r="J15097" s="124"/>
    </row>
    <row r="15098" spans="3:10" x14ac:dyDescent="0.2">
      <c r="C15098" s="209"/>
      <c r="D15098" s="209"/>
      <c r="E15098" s="209"/>
      <c r="J15098" s="124"/>
    </row>
    <row r="15099" spans="3:10" x14ac:dyDescent="0.2">
      <c r="C15099" s="209"/>
      <c r="D15099" s="209"/>
      <c r="E15099" s="209"/>
      <c r="J15099" s="124"/>
    </row>
    <row r="15100" spans="3:10" x14ac:dyDescent="0.2">
      <c r="C15100" s="209"/>
      <c r="D15100" s="209"/>
      <c r="E15100" s="209"/>
      <c r="J15100" s="124"/>
    </row>
    <row r="15101" spans="3:10" x14ac:dyDescent="0.2">
      <c r="C15101" s="209"/>
      <c r="D15101" s="209"/>
      <c r="E15101" s="209"/>
      <c r="J15101" s="124"/>
    </row>
    <row r="15102" spans="3:10" x14ac:dyDescent="0.2">
      <c r="C15102" s="209"/>
      <c r="D15102" s="209"/>
      <c r="E15102" s="209"/>
      <c r="J15102" s="124"/>
    </row>
    <row r="15103" spans="3:10" x14ac:dyDescent="0.2">
      <c r="C15103" s="209"/>
      <c r="D15103" s="209"/>
      <c r="E15103" s="209"/>
      <c r="J15103" s="124"/>
    </row>
    <row r="15104" spans="3:10" x14ac:dyDescent="0.2">
      <c r="C15104" s="209"/>
      <c r="D15104" s="209"/>
      <c r="E15104" s="209"/>
      <c r="J15104" s="124"/>
    </row>
    <row r="15105" spans="3:10" x14ac:dyDescent="0.2">
      <c r="C15105" s="209"/>
      <c r="D15105" s="209"/>
      <c r="E15105" s="209"/>
      <c r="J15105" s="124"/>
    </row>
    <row r="15106" spans="3:10" x14ac:dyDescent="0.2">
      <c r="C15106" s="209"/>
      <c r="D15106" s="209"/>
      <c r="E15106" s="209"/>
      <c r="J15106" s="124"/>
    </row>
    <row r="15107" spans="3:10" x14ac:dyDescent="0.2">
      <c r="C15107" s="209"/>
      <c r="D15107" s="209"/>
      <c r="E15107" s="209"/>
      <c r="J15107" s="124"/>
    </row>
    <row r="15108" spans="3:10" x14ac:dyDescent="0.2">
      <c r="C15108" s="209"/>
      <c r="D15108" s="209"/>
      <c r="E15108" s="209"/>
      <c r="J15108" s="124"/>
    </row>
    <row r="15109" spans="3:10" x14ac:dyDescent="0.2">
      <c r="C15109" s="209"/>
      <c r="D15109" s="209"/>
      <c r="E15109" s="209"/>
      <c r="J15109" s="124"/>
    </row>
    <row r="15110" spans="3:10" x14ac:dyDescent="0.2">
      <c r="C15110" s="209"/>
      <c r="D15110" s="209"/>
      <c r="E15110" s="209"/>
      <c r="J15110" s="124"/>
    </row>
    <row r="15111" spans="3:10" x14ac:dyDescent="0.2">
      <c r="C15111" s="209"/>
      <c r="D15111" s="209"/>
      <c r="E15111" s="209"/>
      <c r="J15111" s="124"/>
    </row>
    <row r="15112" spans="3:10" x14ac:dyDescent="0.2">
      <c r="C15112" s="209"/>
      <c r="D15112" s="209"/>
      <c r="E15112" s="209"/>
      <c r="J15112" s="124"/>
    </row>
    <row r="15113" spans="3:10" x14ac:dyDescent="0.2">
      <c r="C15113" s="209"/>
      <c r="D15113" s="209"/>
      <c r="E15113" s="209"/>
      <c r="J15113" s="124"/>
    </row>
    <row r="15114" spans="3:10" x14ac:dyDescent="0.2">
      <c r="C15114" s="209"/>
      <c r="D15114" s="209"/>
      <c r="E15114" s="209"/>
      <c r="J15114" s="124"/>
    </row>
    <row r="15115" spans="3:10" x14ac:dyDescent="0.2">
      <c r="C15115" s="209"/>
      <c r="D15115" s="209"/>
      <c r="E15115" s="209"/>
      <c r="J15115" s="124"/>
    </row>
    <row r="15116" spans="3:10" x14ac:dyDescent="0.2">
      <c r="C15116" s="209"/>
      <c r="D15116" s="209"/>
      <c r="E15116" s="209"/>
      <c r="J15116" s="124"/>
    </row>
    <row r="15117" spans="3:10" x14ac:dyDescent="0.2">
      <c r="C15117" s="209"/>
      <c r="D15117" s="209"/>
      <c r="E15117" s="209"/>
      <c r="J15117" s="124"/>
    </row>
    <row r="15118" spans="3:10" x14ac:dyDescent="0.2">
      <c r="C15118" s="209"/>
      <c r="D15118" s="209"/>
      <c r="E15118" s="209"/>
      <c r="J15118" s="124"/>
    </row>
    <row r="15119" spans="3:10" x14ac:dyDescent="0.2">
      <c r="C15119" s="209"/>
      <c r="D15119" s="209"/>
      <c r="E15119" s="209"/>
      <c r="J15119" s="124"/>
    </row>
    <row r="15120" spans="3:10" x14ac:dyDescent="0.2">
      <c r="C15120" s="209"/>
      <c r="D15120" s="209"/>
      <c r="E15120" s="209"/>
      <c r="J15120" s="124"/>
    </row>
    <row r="15121" spans="3:10" x14ac:dyDescent="0.2">
      <c r="C15121" s="209"/>
      <c r="D15121" s="209"/>
      <c r="E15121" s="209"/>
      <c r="J15121" s="124"/>
    </row>
    <row r="15122" spans="3:10" x14ac:dyDescent="0.2">
      <c r="C15122" s="209"/>
      <c r="D15122" s="209"/>
      <c r="E15122" s="209"/>
      <c r="J15122" s="124"/>
    </row>
    <row r="15123" spans="3:10" x14ac:dyDescent="0.2">
      <c r="C15123" s="209"/>
      <c r="D15123" s="209"/>
      <c r="E15123" s="209"/>
      <c r="J15123" s="124"/>
    </row>
    <row r="15124" spans="3:10" x14ac:dyDescent="0.2">
      <c r="C15124" s="209"/>
      <c r="D15124" s="209"/>
      <c r="E15124" s="209"/>
      <c r="J15124" s="124"/>
    </row>
    <row r="15125" spans="3:10" x14ac:dyDescent="0.2">
      <c r="C15125" s="209"/>
      <c r="D15125" s="209"/>
      <c r="E15125" s="209"/>
      <c r="J15125" s="124"/>
    </row>
    <row r="15126" spans="3:10" x14ac:dyDescent="0.2">
      <c r="C15126" s="209"/>
      <c r="D15126" s="209"/>
      <c r="E15126" s="209"/>
      <c r="J15126" s="124"/>
    </row>
    <row r="15127" spans="3:10" x14ac:dyDescent="0.2">
      <c r="C15127" s="209"/>
      <c r="D15127" s="209"/>
      <c r="E15127" s="209"/>
      <c r="J15127" s="124"/>
    </row>
    <row r="15128" spans="3:10" x14ac:dyDescent="0.2">
      <c r="C15128" s="209"/>
      <c r="D15128" s="209"/>
      <c r="E15128" s="209"/>
      <c r="J15128" s="124"/>
    </row>
    <row r="15129" spans="3:10" x14ac:dyDescent="0.2">
      <c r="C15129" s="209"/>
      <c r="D15129" s="209"/>
      <c r="E15129" s="209"/>
      <c r="J15129" s="124"/>
    </row>
    <row r="15130" spans="3:10" x14ac:dyDescent="0.2">
      <c r="C15130" s="209"/>
      <c r="D15130" s="209"/>
      <c r="E15130" s="209"/>
      <c r="J15130" s="124"/>
    </row>
    <row r="15131" spans="3:10" x14ac:dyDescent="0.2">
      <c r="C15131" s="209"/>
      <c r="D15131" s="209"/>
      <c r="E15131" s="209"/>
      <c r="J15131" s="124"/>
    </row>
    <row r="15132" spans="3:10" x14ac:dyDescent="0.2">
      <c r="C15132" s="209"/>
      <c r="D15132" s="209"/>
      <c r="E15132" s="209"/>
      <c r="J15132" s="124"/>
    </row>
    <row r="15133" spans="3:10" x14ac:dyDescent="0.2">
      <c r="C15133" s="209"/>
      <c r="D15133" s="209"/>
      <c r="E15133" s="209"/>
      <c r="J15133" s="124"/>
    </row>
    <row r="15134" spans="3:10" x14ac:dyDescent="0.2">
      <c r="C15134" s="209"/>
      <c r="D15134" s="209"/>
      <c r="E15134" s="209"/>
      <c r="J15134" s="124"/>
    </row>
    <row r="15135" spans="3:10" x14ac:dyDescent="0.2">
      <c r="C15135" s="209"/>
      <c r="D15135" s="209"/>
      <c r="E15135" s="209"/>
      <c r="J15135" s="124"/>
    </row>
    <row r="15136" spans="3:10" x14ac:dyDescent="0.2">
      <c r="C15136" s="209"/>
      <c r="D15136" s="209"/>
      <c r="E15136" s="209"/>
      <c r="J15136" s="124"/>
    </row>
    <row r="15137" spans="3:10" x14ac:dyDescent="0.2">
      <c r="C15137" s="209"/>
      <c r="D15137" s="209"/>
      <c r="E15137" s="209"/>
      <c r="J15137" s="124"/>
    </row>
    <row r="15138" spans="3:10" x14ac:dyDescent="0.2">
      <c r="C15138" s="209"/>
      <c r="D15138" s="209"/>
      <c r="E15138" s="209"/>
      <c r="J15138" s="124"/>
    </row>
    <row r="15139" spans="3:10" x14ac:dyDescent="0.2">
      <c r="C15139" s="209"/>
      <c r="D15139" s="209"/>
      <c r="E15139" s="209"/>
      <c r="J15139" s="124"/>
    </row>
    <row r="15140" spans="3:10" x14ac:dyDescent="0.2">
      <c r="C15140" s="209"/>
      <c r="D15140" s="209"/>
      <c r="E15140" s="209"/>
      <c r="J15140" s="124"/>
    </row>
    <row r="15141" spans="3:10" x14ac:dyDescent="0.2">
      <c r="C15141" s="209"/>
      <c r="D15141" s="209"/>
      <c r="E15141" s="209"/>
      <c r="J15141" s="124"/>
    </row>
    <row r="15142" spans="3:10" x14ac:dyDescent="0.2">
      <c r="C15142" s="209"/>
      <c r="D15142" s="209"/>
      <c r="E15142" s="209"/>
      <c r="J15142" s="124"/>
    </row>
    <row r="15143" spans="3:10" x14ac:dyDescent="0.2">
      <c r="C15143" s="209"/>
      <c r="D15143" s="209"/>
      <c r="E15143" s="209"/>
      <c r="J15143" s="124"/>
    </row>
    <row r="15144" spans="3:10" x14ac:dyDescent="0.2">
      <c r="C15144" s="209"/>
      <c r="D15144" s="209"/>
      <c r="E15144" s="209"/>
      <c r="J15144" s="124"/>
    </row>
    <row r="15145" spans="3:10" x14ac:dyDescent="0.2">
      <c r="C15145" s="209"/>
      <c r="D15145" s="209"/>
      <c r="E15145" s="209"/>
      <c r="J15145" s="124"/>
    </row>
    <row r="15146" spans="3:10" x14ac:dyDescent="0.2">
      <c r="C15146" s="209"/>
      <c r="D15146" s="209"/>
      <c r="E15146" s="209"/>
      <c r="J15146" s="124"/>
    </row>
    <row r="15147" spans="3:10" x14ac:dyDescent="0.2">
      <c r="C15147" s="209"/>
      <c r="D15147" s="209"/>
      <c r="E15147" s="209"/>
      <c r="J15147" s="124"/>
    </row>
    <row r="15148" spans="3:10" x14ac:dyDescent="0.2">
      <c r="C15148" s="209"/>
      <c r="D15148" s="209"/>
      <c r="E15148" s="209"/>
      <c r="J15148" s="124"/>
    </row>
    <row r="15149" spans="3:10" x14ac:dyDescent="0.2">
      <c r="C15149" s="209"/>
      <c r="D15149" s="209"/>
      <c r="E15149" s="209"/>
      <c r="J15149" s="124"/>
    </row>
    <row r="15150" spans="3:10" x14ac:dyDescent="0.2">
      <c r="C15150" s="209"/>
      <c r="D15150" s="209"/>
      <c r="E15150" s="209"/>
      <c r="J15150" s="124"/>
    </row>
    <row r="15151" spans="3:10" x14ac:dyDescent="0.2">
      <c r="C15151" s="209"/>
      <c r="D15151" s="209"/>
      <c r="E15151" s="209"/>
      <c r="J15151" s="124"/>
    </row>
    <row r="15152" spans="3:10" x14ac:dyDescent="0.2">
      <c r="C15152" s="209"/>
      <c r="D15152" s="209"/>
      <c r="E15152" s="209"/>
      <c r="J15152" s="124"/>
    </row>
    <row r="15153" spans="3:10" x14ac:dyDescent="0.2">
      <c r="C15153" s="209"/>
      <c r="D15153" s="209"/>
      <c r="E15153" s="209"/>
      <c r="J15153" s="124"/>
    </row>
    <row r="15154" spans="3:10" x14ac:dyDescent="0.2">
      <c r="C15154" s="209"/>
      <c r="D15154" s="209"/>
      <c r="E15154" s="209"/>
      <c r="J15154" s="124"/>
    </row>
    <row r="15155" spans="3:10" x14ac:dyDescent="0.2">
      <c r="C15155" s="209"/>
      <c r="D15155" s="209"/>
      <c r="E15155" s="209"/>
      <c r="J15155" s="124"/>
    </row>
    <row r="15156" spans="3:10" x14ac:dyDescent="0.2">
      <c r="C15156" s="209"/>
      <c r="D15156" s="209"/>
      <c r="E15156" s="209"/>
      <c r="J15156" s="124"/>
    </row>
    <row r="15157" spans="3:10" x14ac:dyDescent="0.2">
      <c r="C15157" s="209"/>
      <c r="D15157" s="209"/>
      <c r="E15157" s="209"/>
      <c r="J15157" s="124"/>
    </row>
    <row r="15158" spans="3:10" x14ac:dyDescent="0.2">
      <c r="C15158" s="209"/>
      <c r="D15158" s="209"/>
      <c r="E15158" s="209"/>
      <c r="J15158" s="124"/>
    </row>
    <row r="15159" spans="3:10" x14ac:dyDescent="0.2">
      <c r="C15159" s="209"/>
      <c r="D15159" s="209"/>
      <c r="E15159" s="209"/>
      <c r="J15159" s="124"/>
    </row>
    <row r="15160" spans="3:10" x14ac:dyDescent="0.2">
      <c r="C15160" s="209"/>
      <c r="D15160" s="209"/>
      <c r="E15160" s="209"/>
      <c r="J15160" s="124"/>
    </row>
    <row r="15161" spans="3:10" x14ac:dyDescent="0.2">
      <c r="C15161" s="209"/>
      <c r="D15161" s="209"/>
      <c r="E15161" s="209"/>
      <c r="J15161" s="124"/>
    </row>
    <row r="15162" spans="3:10" x14ac:dyDescent="0.2">
      <c r="C15162" s="209"/>
      <c r="D15162" s="209"/>
      <c r="E15162" s="209"/>
      <c r="J15162" s="124"/>
    </row>
    <row r="15163" spans="3:10" x14ac:dyDescent="0.2">
      <c r="C15163" s="209"/>
      <c r="D15163" s="209"/>
      <c r="E15163" s="209"/>
      <c r="J15163" s="124"/>
    </row>
    <row r="15164" spans="3:10" x14ac:dyDescent="0.2">
      <c r="C15164" s="209"/>
      <c r="D15164" s="209"/>
      <c r="E15164" s="209"/>
      <c r="J15164" s="124"/>
    </row>
    <row r="15165" spans="3:10" x14ac:dyDescent="0.2">
      <c r="C15165" s="209"/>
      <c r="D15165" s="209"/>
      <c r="E15165" s="209"/>
      <c r="J15165" s="124"/>
    </row>
    <row r="15166" spans="3:10" x14ac:dyDescent="0.2">
      <c r="C15166" s="209"/>
      <c r="D15166" s="209"/>
      <c r="E15166" s="209"/>
      <c r="J15166" s="124"/>
    </row>
    <row r="15167" spans="3:10" x14ac:dyDescent="0.2">
      <c r="C15167" s="209"/>
      <c r="D15167" s="209"/>
      <c r="E15167" s="209"/>
      <c r="J15167" s="124"/>
    </row>
    <row r="15168" spans="3:10" x14ac:dyDescent="0.2">
      <c r="C15168" s="209"/>
      <c r="D15168" s="209"/>
      <c r="E15168" s="209"/>
      <c r="J15168" s="124"/>
    </row>
    <row r="15169" spans="3:10" x14ac:dyDescent="0.2">
      <c r="C15169" s="209"/>
      <c r="D15169" s="209"/>
      <c r="E15169" s="209"/>
      <c r="J15169" s="124"/>
    </row>
    <row r="15170" spans="3:10" x14ac:dyDescent="0.2">
      <c r="C15170" s="209"/>
      <c r="D15170" s="209"/>
      <c r="E15170" s="209"/>
      <c r="J15170" s="124"/>
    </row>
    <row r="15171" spans="3:10" x14ac:dyDescent="0.2">
      <c r="C15171" s="209"/>
      <c r="D15171" s="209"/>
      <c r="E15171" s="209"/>
      <c r="J15171" s="124"/>
    </row>
    <row r="15172" spans="3:10" x14ac:dyDescent="0.2">
      <c r="C15172" s="209"/>
      <c r="D15172" s="209"/>
      <c r="E15172" s="209"/>
      <c r="J15172" s="124"/>
    </row>
    <row r="15173" spans="3:10" x14ac:dyDescent="0.2">
      <c r="C15173" s="209"/>
      <c r="D15173" s="209"/>
      <c r="E15173" s="209"/>
      <c r="J15173" s="124"/>
    </row>
    <row r="15174" spans="3:10" x14ac:dyDescent="0.2">
      <c r="C15174" s="209"/>
      <c r="D15174" s="209"/>
      <c r="E15174" s="209"/>
      <c r="J15174" s="124"/>
    </row>
    <row r="15175" spans="3:10" x14ac:dyDescent="0.2">
      <c r="C15175" s="209"/>
      <c r="D15175" s="209"/>
      <c r="E15175" s="209"/>
      <c r="J15175" s="124"/>
    </row>
    <row r="15176" spans="3:10" x14ac:dyDescent="0.2">
      <c r="C15176" s="209"/>
      <c r="D15176" s="209"/>
      <c r="E15176" s="209"/>
      <c r="J15176" s="124"/>
    </row>
    <row r="15177" spans="3:10" x14ac:dyDescent="0.2">
      <c r="C15177" s="209"/>
      <c r="D15177" s="209"/>
      <c r="E15177" s="209"/>
      <c r="J15177" s="124"/>
    </row>
    <row r="15178" spans="3:10" x14ac:dyDescent="0.2">
      <c r="C15178" s="209"/>
      <c r="D15178" s="209"/>
      <c r="E15178" s="209"/>
      <c r="J15178" s="124"/>
    </row>
    <row r="15179" spans="3:10" x14ac:dyDescent="0.2">
      <c r="C15179" s="209"/>
      <c r="D15179" s="209"/>
      <c r="E15179" s="209"/>
      <c r="J15179" s="124"/>
    </row>
    <row r="15180" spans="3:10" x14ac:dyDescent="0.2">
      <c r="C15180" s="209"/>
      <c r="D15180" s="209"/>
      <c r="E15180" s="209"/>
      <c r="J15180" s="124"/>
    </row>
    <row r="15181" spans="3:10" x14ac:dyDescent="0.2">
      <c r="C15181" s="209"/>
      <c r="D15181" s="209"/>
      <c r="E15181" s="209"/>
      <c r="J15181" s="124"/>
    </row>
    <row r="15182" spans="3:10" x14ac:dyDescent="0.2">
      <c r="C15182" s="209"/>
      <c r="D15182" s="209"/>
      <c r="E15182" s="209"/>
      <c r="J15182" s="124"/>
    </row>
    <row r="15183" spans="3:10" x14ac:dyDescent="0.2">
      <c r="C15183" s="209"/>
      <c r="D15183" s="209"/>
      <c r="E15183" s="209"/>
      <c r="J15183" s="124"/>
    </row>
    <row r="15184" spans="3:10" x14ac:dyDescent="0.2">
      <c r="C15184" s="209"/>
      <c r="D15184" s="209"/>
      <c r="E15184" s="209"/>
      <c r="J15184" s="124"/>
    </row>
    <row r="15185" spans="3:10" x14ac:dyDescent="0.2">
      <c r="C15185" s="209"/>
      <c r="D15185" s="209"/>
      <c r="E15185" s="209"/>
      <c r="J15185" s="124"/>
    </row>
    <row r="15186" spans="3:10" x14ac:dyDescent="0.2">
      <c r="C15186" s="209"/>
      <c r="D15186" s="209"/>
      <c r="E15186" s="209"/>
      <c r="J15186" s="124"/>
    </row>
    <row r="15187" spans="3:10" x14ac:dyDescent="0.2">
      <c r="C15187" s="209"/>
      <c r="D15187" s="209"/>
      <c r="E15187" s="209"/>
      <c r="J15187" s="124"/>
    </row>
    <row r="15188" spans="3:10" x14ac:dyDescent="0.2">
      <c r="C15188" s="209"/>
      <c r="D15188" s="209"/>
      <c r="E15188" s="209"/>
      <c r="J15188" s="124"/>
    </row>
    <row r="15189" spans="3:10" x14ac:dyDescent="0.2">
      <c r="C15189" s="209"/>
      <c r="D15189" s="209"/>
      <c r="E15189" s="209"/>
      <c r="J15189" s="124"/>
    </row>
    <row r="15190" spans="3:10" x14ac:dyDescent="0.2">
      <c r="C15190" s="209"/>
      <c r="D15190" s="209"/>
      <c r="E15190" s="209"/>
      <c r="J15190" s="124"/>
    </row>
    <row r="15191" spans="3:10" x14ac:dyDescent="0.2">
      <c r="C15191" s="209"/>
      <c r="D15191" s="209"/>
      <c r="E15191" s="209"/>
      <c r="J15191" s="124"/>
    </row>
    <row r="15192" spans="3:10" x14ac:dyDescent="0.2">
      <c r="C15192" s="209"/>
      <c r="D15192" s="209"/>
      <c r="E15192" s="209"/>
      <c r="J15192" s="124"/>
    </row>
    <row r="15193" spans="3:10" x14ac:dyDescent="0.2">
      <c r="C15193" s="209"/>
      <c r="D15193" s="209"/>
      <c r="E15193" s="209"/>
      <c r="J15193" s="124"/>
    </row>
    <row r="15194" spans="3:10" x14ac:dyDescent="0.2">
      <c r="C15194" s="209"/>
      <c r="D15194" s="209"/>
      <c r="E15194" s="209"/>
      <c r="J15194" s="124"/>
    </row>
    <row r="15195" spans="3:10" x14ac:dyDescent="0.2">
      <c r="C15195" s="209"/>
      <c r="D15195" s="209"/>
      <c r="E15195" s="209"/>
      <c r="J15195" s="124"/>
    </row>
    <row r="15196" spans="3:10" x14ac:dyDescent="0.2">
      <c r="C15196" s="209"/>
      <c r="D15196" s="209"/>
      <c r="E15196" s="209"/>
      <c r="J15196" s="124"/>
    </row>
    <row r="15197" spans="3:10" x14ac:dyDescent="0.2">
      <c r="C15197" s="209"/>
      <c r="D15197" s="209"/>
      <c r="E15197" s="209"/>
      <c r="J15197" s="124"/>
    </row>
    <row r="15198" spans="3:10" x14ac:dyDescent="0.2">
      <c r="C15198" s="209"/>
      <c r="D15198" s="209"/>
      <c r="E15198" s="209"/>
      <c r="J15198" s="124"/>
    </row>
    <row r="15199" spans="3:10" x14ac:dyDescent="0.2">
      <c r="C15199" s="209"/>
      <c r="D15199" s="209"/>
      <c r="E15199" s="209"/>
      <c r="J15199" s="124"/>
    </row>
    <row r="15200" spans="3:10" x14ac:dyDescent="0.2">
      <c r="C15200" s="209"/>
      <c r="D15200" s="209"/>
      <c r="E15200" s="209"/>
      <c r="J15200" s="124"/>
    </row>
    <row r="15201" spans="3:10" x14ac:dyDescent="0.2">
      <c r="C15201" s="209"/>
      <c r="D15201" s="209"/>
      <c r="E15201" s="209"/>
      <c r="J15201" s="124"/>
    </row>
    <row r="15202" spans="3:10" x14ac:dyDescent="0.2">
      <c r="C15202" s="209"/>
      <c r="D15202" s="209"/>
      <c r="E15202" s="209"/>
      <c r="J15202" s="124"/>
    </row>
    <row r="15203" spans="3:10" x14ac:dyDescent="0.2">
      <c r="C15203" s="209"/>
      <c r="D15203" s="209"/>
      <c r="E15203" s="209"/>
      <c r="J15203" s="124"/>
    </row>
    <row r="15204" spans="3:10" x14ac:dyDescent="0.2">
      <c r="C15204" s="209"/>
      <c r="D15204" s="209"/>
      <c r="E15204" s="209"/>
      <c r="J15204" s="124"/>
    </row>
    <row r="15205" spans="3:10" x14ac:dyDescent="0.2">
      <c r="C15205" s="209"/>
      <c r="D15205" s="209"/>
      <c r="E15205" s="209"/>
      <c r="J15205" s="124"/>
    </row>
    <row r="15206" spans="3:10" x14ac:dyDescent="0.2">
      <c r="C15206" s="209"/>
      <c r="D15206" s="209"/>
      <c r="E15206" s="209"/>
      <c r="J15206" s="124"/>
    </row>
    <row r="15207" spans="3:10" x14ac:dyDescent="0.2">
      <c r="C15207" s="209"/>
      <c r="D15207" s="209"/>
      <c r="E15207" s="209"/>
      <c r="J15207" s="124"/>
    </row>
    <row r="15208" spans="3:10" x14ac:dyDescent="0.2">
      <c r="C15208" s="209"/>
      <c r="D15208" s="209"/>
      <c r="E15208" s="209"/>
      <c r="J15208" s="124"/>
    </row>
    <row r="15209" spans="3:10" x14ac:dyDescent="0.2">
      <c r="C15209" s="209"/>
      <c r="D15209" s="209"/>
      <c r="E15209" s="209"/>
      <c r="J15209" s="124"/>
    </row>
    <row r="15210" spans="3:10" x14ac:dyDescent="0.2">
      <c r="C15210" s="209"/>
      <c r="D15210" s="209"/>
      <c r="E15210" s="209"/>
      <c r="J15210" s="124"/>
    </row>
    <row r="15211" spans="3:10" x14ac:dyDescent="0.2">
      <c r="C15211" s="209"/>
      <c r="D15211" s="209"/>
      <c r="E15211" s="209"/>
      <c r="J15211" s="124"/>
    </row>
    <row r="15212" spans="3:10" x14ac:dyDescent="0.2">
      <c r="C15212" s="209"/>
      <c r="D15212" s="209"/>
      <c r="E15212" s="209"/>
      <c r="J15212" s="124"/>
    </row>
    <row r="15213" spans="3:10" x14ac:dyDescent="0.2">
      <c r="C15213" s="209"/>
      <c r="D15213" s="209"/>
      <c r="E15213" s="209"/>
      <c r="J15213" s="124"/>
    </row>
    <row r="15214" spans="3:10" x14ac:dyDescent="0.2">
      <c r="C15214" s="209"/>
      <c r="D15214" s="209"/>
      <c r="E15214" s="209"/>
      <c r="J15214" s="124"/>
    </row>
    <row r="15215" spans="3:10" x14ac:dyDescent="0.2">
      <c r="C15215" s="209"/>
      <c r="D15215" s="209"/>
      <c r="E15215" s="209"/>
      <c r="J15215" s="124"/>
    </row>
    <row r="15216" spans="3:10" x14ac:dyDescent="0.2">
      <c r="C15216" s="209"/>
      <c r="D15216" s="209"/>
      <c r="E15216" s="209"/>
      <c r="J15216" s="124"/>
    </row>
    <row r="15217" spans="3:10" x14ac:dyDescent="0.2">
      <c r="C15217" s="209"/>
      <c r="D15217" s="209"/>
      <c r="E15217" s="209"/>
      <c r="J15217" s="124"/>
    </row>
    <row r="15218" spans="3:10" x14ac:dyDescent="0.2">
      <c r="C15218" s="209"/>
      <c r="D15218" s="209"/>
      <c r="E15218" s="209"/>
      <c r="J15218" s="124"/>
    </row>
    <row r="15219" spans="3:10" x14ac:dyDescent="0.2">
      <c r="C15219" s="209"/>
      <c r="D15219" s="209"/>
      <c r="E15219" s="209"/>
      <c r="J15219" s="124"/>
    </row>
    <row r="15220" spans="3:10" x14ac:dyDescent="0.2">
      <c r="C15220" s="209"/>
      <c r="D15220" s="209"/>
      <c r="E15220" s="209"/>
      <c r="J15220" s="124"/>
    </row>
    <row r="15221" spans="3:10" x14ac:dyDescent="0.2">
      <c r="C15221" s="209"/>
      <c r="D15221" s="209"/>
      <c r="E15221" s="209"/>
      <c r="J15221" s="124"/>
    </row>
    <row r="15222" spans="3:10" x14ac:dyDescent="0.2">
      <c r="C15222" s="209"/>
      <c r="D15222" s="209"/>
      <c r="E15222" s="209"/>
      <c r="J15222" s="124"/>
    </row>
    <row r="15223" spans="3:10" x14ac:dyDescent="0.2">
      <c r="C15223" s="209"/>
      <c r="D15223" s="209"/>
      <c r="E15223" s="209"/>
      <c r="J15223" s="124"/>
    </row>
    <row r="15224" spans="3:10" x14ac:dyDescent="0.2">
      <c r="C15224" s="209"/>
      <c r="D15224" s="209"/>
      <c r="E15224" s="209"/>
      <c r="J15224" s="124"/>
    </row>
    <row r="15225" spans="3:10" x14ac:dyDescent="0.2">
      <c r="C15225" s="209"/>
      <c r="D15225" s="209"/>
      <c r="E15225" s="209"/>
      <c r="J15225" s="124"/>
    </row>
    <row r="15226" spans="3:10" x14ac:dyDescent="0.2">
      <c r="C15226" s="209"/>
      <c r="D15226" s="209"/>
      <c r="E15226" s="209"/>
      <c r="J15226" s="124"/>
    </row>
    <row r="15227" spans="3:10" x14ac:dyDescent="0.2">
      <c r="C15227" s="209"/>
      <c r="D15227" s="209"/>
      <c r="E15227" s="209"/>
      <c r="J15227" s="124"/>
    </row>
    <row r="15228" spans="3:10" x14ac:dyDescent="0.2">
      <c r="C15228" s="209"/>
      <c r="D15228" s="209"/>
      <c r="E15228" s="209"/>
      <c r="J15228" s="124"/>
    </row>
    <row r="15229" spans="3:10" x14ac:dyDescent="0.2">
      <c r="C15229" s="209"/>
      <c r="D15229" s="209"/>
      <c r="E15229" s="209"/>
      <c r="J15229" s="124"/>
    </row>
    <row r="15230" spans="3:10" x14ac:dyDescent="0.2">
      <c r="C15230" s="209"/>
      <c r="D15230" s="209"/>
      <c r="E15230" s="209"/>
      <c r="J15230" s="124"/>
    </row>
    <row r="15231" spans="3:10" x14ac:dyDescent="0.2">
      <c r="C15231" s="209"/>
      <c r="D15231" s="209"/>
      <c r="E15231" s="209"/>
      <c r="J15231" s="124"/>
    </row>
    <row r="15232" spans="3:10" x14ac:dyDescent="0.2">
      <c r="C15232" s="209"/>
      <c r="D15232" s="209"/>
      <c r="E15232" s="209"/>
      <c r="J15232" s="124"/>
    </row>
    <row r="15233" spans="3:10" x14ac:dyDescent="0.2">
      <c r="C15233" s="209"/>
      <c r="D15233" s="209"/>
      <c r="E15233" s="209"/>
      <c r="J15233" s="124"/>
    </row>
    <row r="15234" spans="3:10" x14ac:dyDescent="0.2">
      <c r="C15234" s="209"/>
      <c r="D15234" s="209"/>
      <c r="E15234" s="209"/>
      <c r="J15234" s="124"/>
    </row>
    <row r="15235" spans="3:10" x14ac:dyDescent="0.2">
      <c r="C15235" s="209"/>
      <c r="D15235" s="209"/>
      <c r="E15235" s="209"/>
      <c r="J15235" s="124"/>
    </row>
    <row r="15236" spans="3:10" x14ac:dyDescent="0.2">
      <c r="C15236" s="209"/>
      <c r="D15236" s="209"/>
      <c r="E15236" s="209"/>
      <c r="J15236" s="124"/>
    </row>
    <row r="15237" spans="3:10" x14ac:dyDescent="0.2">
      <c r="C15237" s="209"/>
      <c r="D15237" s="209"/>
      <c r="E15237" s="209"/>
      <c r="J15237" s="124"/>
    </row>
    <row r="15238" spans="3:10" x14ac:dyDescent="0.2">
      <c r="C15238" s="209"/>
      <c r="D15238" s="209"/>
      <c r="E15238" s="209"/>
      <c r="J15238" s="124"/>
    </row>
    <row r="15239" spans="3:10" x14ac:dyDescent="0.2">
      <c r="C15239" s="209"/>
      <c r="D15239" s="209"/>
      <c r="E15239" s="209"/>
      <c r="J15239" s="124"/>
    </row>
    <row r="15240" spans="3:10" x14ac:dyDescent="0.2">
      <c r="C15240" s="209"/>
      <c r="D15240" s="209"/>
      <c r="E15240" s="209"/>
      <c r="J15240" s="124"/>
    </row>
    <row r="15241" spans="3:10" x14ac:dyDescent="0.2">
      <c r="C15241" s="209"/>
      <c r="D15241" s="209"/>
      <c r="E15241" s="209"/>
      <c r="J15241" s="124"/>
    </row>
    <row r="15242" spans="3:10" x14ac:dyDescent="0.2">
      <c r="C15242" s="209"/>
      <c r="D15242" s="209"/>
      <c r="E15242" s="209"/>
      <c r="J15242" s="124"/>
    </row>
    <row r="15243" spans="3:10" x14ac:dyDescent="0.2">
      <c r="C15243" s="209"/>
      <c r="D15243" s="209"/>
      <c r="E15243" s="209"/>
      <c r="J15243" s="124"/>
    </row>
    <row r="15244" spans="3:10" x14ac:dyDescent="0.2">
      <c r="C15244" s="209"/>
      <c r="D15244" s="209"/>
      <c r="E15244" s="209"/>
      <c r="J15244" s="124"/>
    </row>
    <row r="15245" spans="3:10" x14ac:dyDescent="0.2">
      <c r="C15245" s="209"/>
      <c r="D15245" s="209"/>
      <c r="E15245" s="209"/>
      <c r="J15245" s="124"/>
    </row>
    <row r="15246" spans="3:10" x14ac:dyDescent="0.2">
      <c r="C15246" s="209"/>
      <c r="D15246" s="209"/>
      <c r="E15246" s="209"/>
      <c r="J15246" s="124"/>
    </row>
    <row r="15247" spans="3:10" x14ac:dyDescent="0.2">
      <c r="C15247" s="209"/>
      <c r="D15247" s="209"/>
      <c r="E15247" s="209"/>
      <c r="J15247" s="124"/>
    </row>
    <row r="15248" spans="3:10" x14ac:dyDescent="0.2">
      <c r="C15248" s="209"/>
      <c r="D15248" s="209"/>
      <c r="E15248" s="209"/>
      <c r="J15248" s="124"/>
    </row>
    <row r="15249" spans="3:10" x14ac:dyDescent="0.2">
      <c r="C15249" s="209"/>
      <c r="D15249" s="209"/>
      <c r="E15249" s="209"/>
      <c r="J15249" s="124"/>
    </row>
    <row r="15250" spans="3:10" x14ac:dyDescent="0.2">
      <c r="C15250" s="209"/>
      <c r="D15250" s="209"/>
      <c r="E15250" s="209"/>
      <c r="J15250" s="124"/>
    </row>
    <row r="15251" spans="3:10" x14ac:dyDescent="0.2">
      <c r="C15251" s="209"/>
      <c r="D15251" s="209"/>
      <c r="E15251" s="209"/>
      <c r="J15251" s="124"/>
    </row>
    <row r="15252" spans="3:10" x14ac:dyDescent="0.2">
      <c r="C15252" s="209"/>
      <c r="D15252" s="209"/>
      <c r="E15252" s="209"/>
      <c r="J15252" s="124"/>
    </row>
    <row r="15253" spans="3:10" x14ac:dyDescent="0.2">
      <c r="C15253" s="209"/>
      <c r="D15253" s="209"/>
      <c r="E15253" s="209"/>
      <c r="J15253" s="124"/>
    </row>
    <row r="15254" spans="3:10" x14ac:dyDescent="0.2">
      <c r="C15254" s="209"/>
      <c r="D15254" s="209"/>
      <c r="E15254" s="209"/>
      <c r="J15254" s="124"/>
    </row>
    <row r="15255" spans="3:10" x14ac:dyDescent="0.2">
      <c r="C15255" s="209"/>
      <c r="D15255" s="209"/>
      <c r="E15255" s="209"/>
      <c r="J15255" s="124"/>
    </row>
    <row r="15256" spans="3:10" x14ac:dyDescent="0.2">
      <c r="C15256" s="209"/>
      <c r="D15256" s="209"/>
      <c r="E15256" s="209"/>
      <c r="J15256" s="124"/>
    </row>
    <row r="15257" spans="3:10" x14ac:dyDescent="0.2">
      <c r="C15257" s="209"/>
      <c r="D15257" s="209"/>
      <c r="E15257" s="209"/>
      <c r="J15257" s="124"/>
    </row>
    <row r="15258" spans="3:10" x14ac:dyDescent="0.2">
      <c r="C15258" s="209"/>
      <c r="D15258" s="209"/>
      <c r="E15258" s="209"/>
      <c r="J15258" s="124"/>
    </row>
    <row r="15259" spans="3:10" x14ac:dyDescent="0.2">
      <c r="C15259" s="209"/>
      <c r="D15259" s="209"/>
      <c r="E15259" s="209"/>
      <c r="J15259" s="124"/>
    </row>
    <row r="15260" spans="3:10" x14ac:dyDescent="0.2">
      <c r="C15260" s="209"/>
      <c r="D15260" s="209"/>
      <c r="E15260" s="209"/>
      <c r="J15260" s="124"/>
    </row>
    <row r="15261" spans="3:10" x14ac:dyDescent="0.2">
      <c r="C15261" s="209"/>
      <c r="D15261" s="209"/>
      <c r="E15261" s="209"/>
      <c r="J15261" s="124"/>
    </row>
    <row r="15262" spans="3:10" x14ac:dyDescent="0.2">
      <c r="C15262" s="209"/>
      <c r="D15262" s="209"/>
      <c r="E15262" s="209"/>
      <c r="J15262" s="124"/>
    </row>
    <row r="15263" spans="3:10" x14ac:dyDescent="0.2">
      <c r="C15263" s="209"/>
      <c r="D15263" s="209"/>
      <c r="E15263" s="209"/>
      <c r="J15263" s="124"/>
    </row>
    <row r="15264" spans="3:10" x14ac:dyDescent="0.2">
      <c r="C15264" s="209"/>
      <c r="D15264" s="209"/>
      <c r="E15264" s="209"/>
      <c r="J15264" s="124"/>
    </row>
    <row r="15265" spans="3:10" x14ac:dyDescent="0.2">
      <c r="C15265" s="209"/>
      <c r="D15265" s="209"/>
      <c r="E15265" s="209"/>
      <c r="J15265" s="124"/>
    </row>
    <row r="15266" spans="3:10" x14ac:dyDescent="0.2">
      <c r="C15266" s="209"/>
      <c r="D15266" s="209"/>
      <c r="E15266" s="209"/>
      <c r="J15266" s="124"/>
    </row>
    <row r="15267" spans="3:10" x14ac:dyDescent="0.2">
      <c r="C15267" s="209"/>
      <c r="D15267" s="209"/>
      <c r="E15267" s="209"/>
      <c r="J15267" s="124"/>
    </row>
    <row r="15268" spans="3:10" x14ac:dyDescent="0.2">
      <c r="C15268" s="209"/>
      <c r="D15268" s="209"/>
      <c r="E15268" s="209"/>
      <c r="J15268" s="124"/>
    </row>
    <row r="15269" spans="3:10" x14ac:dyDescent="0.2">
      <c r="C15269" s="209"/>
      <c r="D15269" s="209"/>
      <c r="E15269" s="209"/>
      <c r="J15269" s="124"/>
    </row>
    <row r="15270" spans="3:10" x14ac:dyDescent="0.2">
      <c r="C15270" s="209"/>
      <c r="D15270" s="209"/>
      <c r="E15270" s="209"/>
      <c r="J15270" s="124"/>
    </row>
    <row r="15271" spans="3:10" x14ac:dyDescent="0.2">
      <c r="C15271" s="209"/>
      <c r="D15271" s="209"/>
      <c r="E15271" s="209"/>
      <c r="J15271" s="124"/>
    </row>
    <row r="15272" spans="3:10" x14ac:dyDescent="0.2">
      <c r="C15272" s="209"/>
      <c r="D15272" s="209"/>
      <c r="E15272" s="209"/>
      <c r="J15272" s="124"/>
    </row>
    <row r="15273" spans="3:10" x14ac:dyDescent="0.2">
      <c r="C15273" s="209"/>
      <c r="D15273" s="209"/>
      <c r="E15273" s="209"/>
      <c r="J15273" s="124"/>
    </row>
    <row r="15274" spans="3:10" x14ac:dyDescent="0.2">
      <c r="C15274" s="209"/>
      <c r="D15274" s="209"/>
      <c r="E15274" s="209"/>
      <c r="J15274" s="124"/>
    </row>
    <row r="15275" spans="3:10" x14ac:dyDescent="0.2">
      <c r="C15275" s="209"/>
      <c r="D15275" s="209"/>
      <c r="E15275" s="209"/>
      <c r="J15275" s="124"/>
    </row>
    <row r="15276" spans="3:10" x14ac:dyDescent="0.2">
      <c r="C15276" s="209"/>
      <c r="D15276" s="209"/>
      <c r="E15276" s="209"/>
      <c r="J15276" s="124"/>
    </row>
    <row r="15277" spans="3:10" x14ac:dyDescent="0.2">
      <c r="C15277" s="209"/>
      <c r="D15277" s="209"/>
      <c r="E15277" s="209"/>
      <c r="J15277" s="124"/>
    </row>
    <row r="15278" spans="3:10" x14ac:dyDescent="0.2">
      <c r="C15278" s="209"/>
      <c r="D15278" s="209"/>
      <c r="E15278" s="209"/>
      <c r="J15278" s="124"/>
    </row>
    <row r="15279" spans="3:10" x14ac:dyDescent="0.2">
      <c r="C15279" s="209"/>
      <c r="D15279" s="209"/>
      <c r="E15279" s="209"/>
      <c r="J15279" s="124"/>
    </row>
    <row r="15280" spans="3:10" x14ac:dyDescent="0.2">
      <c r="C15280" s="209"/>
      <c r="D15280" s="209"/>
      <c r="E15280" s="209"/>
      <c r="J15280" s="124"/>
    </row>
    <row r="15281" spans="3:10" x14ac:dyDescent="0.2">
      <c r="C15281" s="209"/>
      <c r="D15281" s="209"/>
      <c r="E15281" s="209"/>
      <c r="J15281" s="124"/>
    </row>
    <row r="15282" spans="3:10" x14ac:dyDescent="0.2">
      <c r="C15282" s="209"/>
      <c r="D15282" s="209"/>
      <c r="E15282" s="209"/>
      <c r="J15282" s="124"/>
    </row>
    <row r="15283" spans="3:10" x14ac:dyDescent="0.2">
      <c r="C15283" s="209"/>
      <c r="D15283" s="209"/>
      <c r="E15283" s="209"/>
      <c r="J15283" s="124"/>
    </row>
    <row r="15284" spans="3:10" x14ac:dyDescent="0.2">
      <c r="C15284" s="209"/>
      <c r="D15284" s="209"/>
      <c r="E15284" s="209"/>
      <c r="J15284" s="124"/>
    </row>
    <row r="15285" spans="3:10" x14ac:dyDescent="0.2">
      <c r="C15285" s="209"/>
      <c r="D15285" s="209"/>
      <c r="E15285" s="209"/>
      <c r="J15285" s="124"/>
    </row>
    <row r="15286" spans="3:10" x14ac:dyDescent="0.2">
      <c r="C15286" s="209"/>
      <c r="D15286" s="209"/>
      <c r="E15286" s="209"/>
      <c r="J15286" s="124"/>
    </row>
    <row r="15287" spans="3:10" x14ac:dyDescent="0.2">
      <c r="C15287" s="209"/>
      <c r="D15287" s="209"/>
      <c r="E15287" s="209"/>
      <c r="J15287" s="124"/>
    </row>
    <row r="15288" spans="3:10" x14ac:dyDescent="0.2">
      <c r="C15288" s="209"/>
      <c r="D15288" s="209"/>
      <c r="E15288" s="209"/>
      <c r="J15288" s="124"/>
    </row>
    <row r="15289" spans="3:10" x14ac:dyDescent="0.2">
      <c r="C15289" s="209"/>
      <c r="D15289" s="209"/>
      <c r="E15289" s="209"/>
      <c r="J15289" s="124"/>
    </row>
    <row r="15290" spans="3:10" x14ac:dyDescent="0.2">
      <c r="C15290" s="209"/>
      <c r="D15290" s="209"/>
      <c r="E15290" s="209"/>
      <c r="J15290" s="124"/>
    </row>
    <row r="15291" spans="3:10" x14ac:dyDescent="0.2">
      <c r="C15291" s="209"/>
      <c r="D15291" s="209"/>
      <c r="E15291" s="209"/>
      <c r="J15291" s="124"/>
    </row>
    <row r="15292" spans="3:10" x14ac:dyDescent="0.2">
      <c r="C15292" s="209"/>
      <c r="D15292" s="209"/>
      <c r="E15292" s="209"/>
      <c r="J15292" s="124"/>
    </row>
    <row r="15293" spans="3:10" x14ac:dyDescent="0.2">
      <c r="C15293" s="209"/>
      <c r="D15293" s="209"/>
      <c r="E15293" s="209"/>
      <c r="J15293" s="124"/>
    </row>
    <row r="15294" spans="3:10" x14ac:dyDescent="0.2">
      <c r="C15294" s="209"/>
      <c r="D15294" s="209"/>
      <c r="E15294" s="209"/>
      <c r="J15294" s="124"/>
    </row>
    <row r="15295" spans="3:10" x14ac:dyDescent="0.2">
      <c r="C15295" s="209"/>
      <c r="D15295" s="209"/>
      <c r="E15295" s="209"/>
      <c r="J15295" s="124"/>
    </row>
    <row r="15296" spans="3:10" x14ac:dyDescent="0.2">
      <c r="C15296" s="209"/>
      <c r="D15296" s="209"/>
      <c r="E15296" s="209"/>
      <c r="J15296" s="124"/>
    </row>
    <row r="15297" spans="3:10" x14ac:dyDescent="0.2">
      <c r="C15297" s="209"/>
      <c r="D15297" s="209"/>
      <c r="E15297" s="209"/>
      <c r="J15297" s="124"/>
    </row>
    <row r="15298" spans="3:10" x14ac:dyDescent="0.2">
      <c r="C15298" s="209"/>
      <c r="D15298" s="209"/>
      <c r="E15298" s="209"/>
      <c r="J15298" s="124"/>
    </row>
    <row r="15299" spans="3:10" x14ac:dyDescent="0.2">
      <c r="C15299" s="209"/>
      <c r="D15299" s="209"/>
      <c r="E15299" s="209"/>
      <c r="J15299" s="124"/>
    </row>
    <row r="15300" spans="3:10" x14ac:dyDescent="0.2">
      <c r="C15300" s="209"/>
      <c r="D15300" s="209"/>
      <c r="E15300" s="209"/>
      <c r="J15300" s="124"/>
    </row>
    <row r="15301" spans="3:10" x14ac:dyDescent="0.2">
      <c r="C15301" s="209"/>
      <c r="D15301" s="209"/>
      <c r="E15301" s="209"/>
      <c r="J15301" s="124"/>
    </row>
    <row r="15302" spans="3:10" x14ac:dyDescent="0.2">
      <c r="C15302" s="209"/>
      <c r="D15302" s="209"/>
      <c r="E15302" s="209"/>
      <c r="J15302" s="124"/>
    </row>
    <row r="15303" spans="3:10" x14ac:dyDescent="0.2">
      <c r="C15303" s="209"/>
      <c r="D15303" s="209"/>
      <c r="E15303" s="209"/>
      <c r="J15303" s="124"/>
    </row>
    <row r="15304" spans="3:10" x14ac:dyDescent="0.2">
      <c r="C15304" s="209"/>
      <c r="D15304" s="209"/>
      <c r="E15304" s="209"/>
      <c r="J15304" s="124"/>
    </row>
    <row r="15305" spans="3:10" x14ac:dyDescent="0.2">
      <c r="C15305" s="209"/>
      <c r="D15305" s="209"/>
      <c r="E15305" s="209"/>
      <c r="J15305" s="124"/>
    </row>
    <row r="15306" spans="3:10" x14ac:dyDescent="0.2">
      <c r="C15306" s="209"/>
      <c r="D15306" s="209"/>
      <c r="E15306" s="209"/>
      <c r="J15306" s="124"/>
    </row>
    <row r="15307" spans="3:10" x14ac:dyDescent="0.2">
      <c r="C15307" s="209"/>
      <c r="D15307" s="209"/>
      <c r="E15307" s="209"/>
      <c r="J15307" s="124"/>
    </row>
    <row r="15308" spans="3:10" x14ac:dyDescent="0.2">
      <c r="C15308" s="209"/>
      <c r="D15308" s="209"/>
      <c r="E15308" s="209"/>
      <c r="J15308" s="124"/>
    </row>
    <row r="15309" spans="3:10" x14ac:dyDescent="0.2">
      <c r="C15309" s="209"/>
      <c r="D15309" s="209"/>
      <c r="E15309" s="209"/>
      <c r="J15309" s="124"/>
    </row>
    <row r="15310" spans="3:10" x14ac:dyDescent="0.2">
      <c r="C15310" s="209"/>
      <c r="D15310" s="209"/>
      <c r="E15310" s="209"/>
      <c r="J15310" s="124"/>
    </row>
    <row r="15311" spans="3:10" x14ac:dyDescent="0.2">
      <c r="C15311" s="209"/>
      <c r="D15311" s="209"/>
      <c r="E15311" s="209"/>
      <c r="J15311" s="124"/>
    </row>
    <row r="15312" spans="3:10" x14ac:dyDescent="0.2">
      <c r="C15312" s="209"/>
      <c r="D15312" s="209"/>
      <c r="E15312" s="209"/>
      <c r="J15312" s="124"/>
    </row>
    <row r="15313" spans="3:10" x14ac:dyDescent="0.2">
      <c r="C15313" s="209"/>
      <c r="D15313" s="209"/>
      <c r="E15313" s="209"/>
      <c r="J15313" s="124"/>
    </row>
    <row r="15314" spans="3:10" x14ac:dyDescent="0.2">
      <c r="C15314" s="209"/>
      <c r="D15314" s="209"/>
      <c r="E15314" s="209"/>
      <c r="J15314" s="124"/>
    </row>
    <row r="15315" spans="3:10" x14ac:dyDescent="0.2">
      <c r="C15315" s="209"/>
      <c r="D15315" s="209"/>
      <c r="E15315" s="209"/>
      <c r="J15315" s="124"/>
    </row>
    <row r="15316" spans="3:10" x14ac:dyDescent="0.2">
      <c r="C15316" s="209"/>
      <c r="D15316" s="209"/>
      <c r="E15316" s="209"/>
      <c r="J15316" s="124"/>
    </row>
    <row r="15317" spans="3:10" x14ac:dyDescent="0.2">
      <c r="C15317" s="209"/>
      <c r="D15317" s="209"/>
      <c r="E15317" s="209"/>
      <c r="J15317" s="124"/>
    </row>
    <row r="15318" spans="3:10" x14ac:dyDescent="0.2">
      <c r="C15318" s="209"/>
      <c r="D15318" s="209"/>
      <c r="E15318" s="209"/>
      <c r="J15318" s="124"/>
    </row>
    <row r="15319" spans="3:10" x14ac:dyDescent="0.2">
      <c r="C15319" s="209"/>
      <c r="D15319" s="209"/>
      <c r="E15319" s="209"/>
      <c r="J15319" s="124"/>
    </row>
    <row r="15320" spans="3:10" x14ac:dyDescent="0.2">
      <c r="C15320" s="209"/>
      <c r="D15320" s="209"/>
      <c r="E15320" s="209"/>
      <c r="J15320" s="124"/>
    </row>
    <row r="15321" spans="3:10" x14ac:dyDescent="0.2">
      <c r="C15321" s="209"/>
      <c r="D15321" s="209"/>
      <c r="E15321" s="209"/>
      <c r="J15321" s="124"/>
    </row>
    <row r="15322" spans="3:10" x14ac:dyDescent="0.2">
      <c r="C15322" s="209"/>
      <c r="D15322" s="209"/>
      <c r="E15322" s="209"/>
      <c r="J15322" s="124"/>
    </row>
    <row r="15323" spans="3:10" x14ac:dyDescent="0.2">
      <c r="C15323" s="209"/>
      <c r="D15323" s="209"/>
      <c r="E15323" s="209"/>
      <c r="J15323" s="124"/>
    </row>
    <row r="15324" spans="3:10" x14ac:dyDescent="0.2">
      <c r="C15324" s="209"/>
      <c r="D15324" s="209"/>
      <c r="E15324" s="209"/>
      <c r="J15324" s="124"/>
    </row>
    <row r="15325" spans="3:10" x14ac:dyDescent="0.2">
      <c r="C15325" s="209"/>
      <c r="D15325" s="209"/>
      <c r="E15325" s="209"/>
      <c r="J15325" s="124"/>
    </row>
    <row r="15326" spans="3:10" x14ac:dyDescent="0.2">
      <c r="C15326" s="209"/>
      <c r="D15326" s="209"/>
      <c r="E15326" s="209"/>
      <c r="J15326" s="124"/>
    </row>
    <row r="15327" spans="3:10" x14ac:dyDescent="0.2">
      <c r="C15327" s="209"/>
      <c r="D15327" s="209"/>
      <c r="E15327" s="209"/>
      <c r="J15327" s="124"/>
    </row>
    <row r="15328" spans="3:10" x14ac:dyDescent="0.2">
      <c r="C15328" s="209"/>
      <c r="D15328" s="209"/>
      <c r="E15328" s="209"/>
      <c r="J15328" s="124"/>
    </row>
    <row r="15329" spans="3:10" x14ac:dyDescent="0.2">
      <c r="C15329" s="209"/>
      <c r="D15329" s="209"/>
      <c r="E15329" s="209"/>
      <c r="J15329" s="124"/>
    </row>
    <row r="15330" spans="3:10" x14ac:dyDescent="0.2">
      <c r="C15330" s="209"/>
      <c r="D15330" s="209"/>
      <c r="E15330" s="209"/>
      <c r="J15330" s="124"/>
    </row>
    <row r="15331" spans="3:10" x14ac:dyDescent="0.2">
      <c r="C15331" s="209"/>
      <c r="D15331" s="209"/>
      <c r="E15331" s="209"/>
      <c r="J15331" s="124"/>
    </row>
    <row r="15332" spans="3:10" x14ac:dyDescent="0.2">
      <c r="C15332" s="209"/>
      <c r="D15332" s="209"/>
      <c r="E15332" s="209"/>
      <c r="J15332" s="124"/>
    </row>
    <row r="15333" spans="3:10" x14ac:dyDescent="0.2">
      <c r="C15333" s="209"/>
      <c r="D15333" s="209"/>
      <c r="E15333" s="209"/>
      <c r="J15333" s="124"/>
    </row>
    <row r="15334" spans="3:10" x14ac:dyDescent="0.2">
      <c r="C15334" s="209"/>
      <c r="D15334" s="209"/>
      <c r="E15334" s="209"/>
      <c r="J15334" s="124"/>
    </row>
    <row r="15335" spans="3:10" x14ac:dyDescent="0.2">
      <c r="C15335" s="209"/>
      <c r="D15335" s="209"/>
      <c r="E15335" s="209"/>
      <c r="J15335" s="124"/>
    </row>
    <row r="15336" spans="3:10" x14ac:dyDescent="0.2">
      <c r="C15336" s="209"/>
      <c r="D15336" s="209"/>
      <c r="E15336" s="209"/>
      <c r="J15336" s="124"/>
    </row>
    <row r="15337" spans="3:10" x14ac:dyDescent="0.2">
      <c r="C15337" s="209"/>
      <c r="D15337" s="209"/>
      <c r="E15337" s="209"/>
      <c r="J15337" s="124"/>
    </row>
    <row r="15338" spans="3:10" x14ac:dyDescent="0.2">
      <c r="C15338" s="209"/>
      <c r="D15338" s="209"/>
      <c r="E15338" s="209"/>
      <c r="J15338" s="124"/>
    </row>
    <row r="15339" spans="3:10" x14ac:dyDescent="0.2">
      <c r="C15339" s="209"/>
      <c r="D15339" s="209"/>
      <c r="E15339" s="209"/>
      <c r="J15339" s="124"/>
    </row>
    <row r="15340" spans="3:10" x14ac:dyDescent="0.2">
      <c r="C15340" s="209"/>
      <c r="D15340" s="209"/>
      <c r="E15340" s="209"/>
      <c r="J15340" s="124"/>
    </row>
    <row r="15341" spans="3:10" x14ac:dyDescent="0.2">
      <c r="C15341" s="209"/>
      <c r="D15341" s="209"/>
      <c r="E15341" s="209"/>
      <c r="J15341" s="124"/>
    </row>
    <row r="15342" spans="3:10" x14ac:dyDescent="0.2">
      <c r="C15342" s="209"/>
      <c r="D15342" s="209"/>
      <c r="E15342" s="209"/>
      <c r="J15342" s="124"/>
    </row>
    <row r="15343" spans="3:10" x14ac:dyDescent="0.2">
      <c r="C15343" s="209"/>
      <c r="D15343" s="209"/>
      <c r="E15343" s="209"/>
      <c r="J15343" s="124"/>
    </row>
    <row r="15344" spans="3:10" x14ac:dyDescent="0.2">
      <c r="C15344" s="209"/>
      <c r="D15344" s="209"/>
      <c r="E15344" s="209"/>
      <c r="J15344" s="124"/>
    </row>
    <row r="15345" spans="3:10" x14ac:dyDescent="0.2">
      <c r="C15345" s="209"/>
      <c r="D15345" s="209"/>
      <c r="E15345" s="209"/>
      <c r="J15345" s="124"/>
    </row>
    <row r="15346" spans="3:10" x14ac:dyDescent="0.2">
      <c r="C15346" s="209"/>
      <c r="D15346" s="209"/>
      <c r="E15346" s="209"/>
      <c r="J15346" s="124"/>
    </row>
    <row r="15347" spans="3:10" x14ac:dyDescent="0.2">
      <c r="C15347" s="209"/>
      <c r="D15347" s="209"/>
      <c r="E15347" s="209"/>
      <c r="J15347" s="124"/>
    </row>
    <row r="15348" spans="3:10" x14ac:dyDescent="0.2">
      <c r="C15348" s="209"/>
      <c r="D15348" s="209"/>
      <c r="E15348" s="209"/>
      <c r="J15348" s="124"/>
    </row>
    <row r="15349" spans="3:10" x14ac:dyDescent="0.2">
      <c r="C15349" s="209"/>
      <c r="D15349" s="209"/>
      <c r="E15349" s="209"/>
      <c r="J15349" s="124"/>
    </row>
    <row r="15350" spans="3:10" x14ac:dyDescent="0.2">
      <c r="C15350" s="209"/>
      <c r="D15350" s="209"/>
      <c r="E15350" s="209"/>
      <c r="J15350" s="124"/>
    </row>
    <row r="15351" spans="3:10" x14ac:dyDescent="0.2">
      <c r="C15351" s="209"/>
      <c r="D15351" s="209"/>
      <c r="E15351" s="209"/>
      <c r="J15351" s="124"/>
    </row>
    <row r="15352" spans="3:10" x14ac:dyDescent="0.2">
      <c r="C15352" s="209"/>
      <c r="D15352" s="209"/>
      <c r="E15352" s="209"/>
      <c r="J15352" s="124"/>
    </row>
    <row r="15353" spans="3:10" x14ac:dyDescent="0.2">
      <c r="C15353" s="209"/>
      <c r="D15353" s="209"/>
      <c r="E15353" s="209"/>
      <c r="J15353" s="124"/>
    </row>
    <row r="15354" spans="3:10" x14ac:dyDescent="0.2">
      <c r="C15354" s="209"/>
      <c r="D15354" s="209"/>
      <c r="E15354" s="209"/>
      <c r="J15354" s="124"/>
    </row>
    <row r="15355" spans="3:10" x14ac:dyDescent="0.2">
      <c r="C15355" s="209"/>
      <c r="D15355" s="209"/>
      <c r="E15355" s="209"/>
      <c r="J15355" s="124"/>
    </row>
    <row r="15356" spans="3:10" x14ac:dyDescent="0.2">
      <c r="C15356" s="209"/>
      <c r="D15356" s="209"/>
      <c r="E15356" s="209"/>
      <c r="J15356" s="124"/>
    </row>
    <row r="15357" spans="3:10" x14ac:dyDescent="0.2">
      <c r="C15357" s="209"/>
      <c r="D15357" s="209"/>
      <c r="E15357" s="209"/>
      <c r="J15357" s="124"/>
    </row>
    <row r="15358" spans="3:10" x14ac:dyDescent="0.2">
      <c r="C15358" s="209"/>
      <c r="D15358" s="209"/>
      <c r="E15358" s="209"/>
      <c r="J15358" s="124"/>
    </row>
    <row r="15359" spans="3:10" x14ac:dyDescent="0.2">
      <c r="C15359" s="209"/>
      <c r="D15359" s="209"/>
      <c r="E15359" s="209"/>
      <c r="J15359" s="124"/>
    </row>
    <row r="15360" spans="3:10" x14ac:dyDescent="0.2">
      <c r="C15360" s="209"/>
      <c r="D15360" s="209"/>
      <c r="E15360" s="209"/>
      <c r="J15360" s="124"/>
    </row>
    <row r="15361" spans="3:10" x14ac:dyDescent="0.2">
      <c r="C15361" s="209"/>
      <c r="D15361" s="209"/>
      <c r="E15361" s="209"/>
      <c r="J15361" s="124"/>
    </row>
    <row r="15362" spans="3:10" x14ac:dyDescent="0.2">
      <c r="C15362" s="209"/>
      <c r="D15362" s="209"/>
      <c r="E15362" s="209"/>
      <c r="J15362" s="124"/>
    </row>
    <row r="15363" spans="3:10" x14ac:dyDescent="0.2">
      <c r="C15363" s="209"/>
      <c r="D15363" s="209"/>
      <c r="E15363" s="209"/>
      <c r="J15363" s="124"/>
    </row>
    <row r="15364" spans="3:10" x14ac:dyDescent="0.2">
      <c r="C15364" s="209"/>
      <c r="D15364" s="209"/>
      <c r="E15364" s="209"/>
      <c r="J15364" s="124"/>
    </row>
    <row r="15365" spans="3:10" x14ac:dyDescent="0.2">
      <c r="C15365" s="209"/>
      <c r="D15365" s="209"/>
      <c r="E15365" s="209"/>
      <c r="J15365" s="124"/>
    </row>
    <row r="15366" spans="3:10" x14ac:dyDescent="0.2">
      <c r="C15366" s="209"/>
      <c r="D15366" s="209"/>
      <c r="E15366" s="209"/>
      <c r="J15366" s="124"/>
    </row>
    <row r="15367" spans="3:10" x14ac:dyDescent="0.2">
      <c r="C15367" s="209"/>
      <c r="D15367" s="209"/>
      <c r="E15367" s="209"/>
      <c r="J15367" s="124"/>
    </row>
    <row r="15368" spans="3:10" x14ac:dyDescent="0.2">
      <c r="C15368" s="209"/>
      <c r="D15368" s="209"/>
      <c r="E15368" s="209"/>
      <c r="J15368" s="124"/>
    </row>
    <row r="15369" spans="3:10" x14ac:dyDescent="0.2">
      <c r="C15369" s="209"/>
      <c r="D15369" s="209"/>
      <c r="E15369" s="209"/>
      <c r="J15369" s="124"/>
    </row>
    <row r="15370" spans="3:10" x14ac:dyDescent="0.2">
      <c r="C15370" s="209"/>
      <c r="D15370" s="209"/>
      <c r="E15370" s="209"/>
      <c r="J15370" s="124"/>
    </row>
    <row r="15371" spans="3:10" x14ac:dyDescent="0.2">
      <c r="C15371" s="209"/>
      <c r="D15371" s="209"/>
      <c r="E15371" s="209"/>
      <c r="J15371" s="124"/>
    </row>
    <row r="15372" spans="3:10" x14ac:dyDescent="0.2">
      <c r="C15372" s="209"/>
      <c r="D15372" s="209"/>
      <c r="E15372" s="209"/>
      <c r="J15372" s="124"/>
    </row>
    <row r="15373" spans="3:10" x14ac:dyDescent="0.2">
      <c r="C15373" s="209"/>
      <c r="D15373" s="209"/>
      <c r="E15373" s="209"/>
      <c r="J15373" s="124"/>
    </row>
    <row r="15374" spans="3:10" x14ac:dyDescent="0.2">
      <c r="C15374" s="209"/>
      <c r="D15374" s="209"/>
      <c r="E15374" s="209"/>
      <c r="J15374" s="124"/>
    </row>
    <row r="15375" spans="3:10" x14ac:dyDescent="0.2">
      <c r="C15375" s="209"/>
      <c r="D15375" s="209"/>
      <c r="E15375" s="209"/>
      <c r="J15375" s="124"/>
    </row>
    <row r="15376" spans="3:10" x14ac:dyDescent="0.2">
      <c r="C15376" s="209"/>
      <c r="D15376" s="209"/>
      <c r="E15376" s="209"/>
      <c r="J15376" s="124"/>
    </row>
    <row r="15377" spans="3:10" x14ac:dyDescent="0.2">
      <c r="C15377" s="209"/>
      <c r="D15377" s="209"/>
      <c r="E15377" s="209"/>
      <c r="J15377" s="124"/>
    </row>
    <row r="15378" spans="3:10" x14ac:dyDescent="0.2">
      <c r="C15378" s="209"/>
      <c r="D15378" s="209"/>
      <c r="E15378" s="209"/>
      <c r="J15378" s="124"/>
    </row>
    <row r="15379" spans="3:10" x14ac:dyDescent="0.2">
      <c r="C15379" s="209"/>
      <c r="D15379" s="209"/>
      <c r="E15379" s="209"/>
      <c r="J15379" s="124"/>
    </row>
    <row r="15380" spans="3:10" x14ac:dyDescent="0.2">
      <c r="C15380" s="209"/>
      <c r="D15380" s="209"/>
      <c r="E15380" s="209"/>
      <c r="J15380" s="124"/>
    </row>
    <row r="15381" spans="3:10" x14ac:dyDescent="0.2">
      <c r="C15381" s="209"/>
      <c r="D15381" s="209"/>
      <c r="E15381" s="209"/>
      <c r="J15381" s="124"/>
    </row>
    <row r="15382" spans="3:10" x14ac:dyDescent="0.2">
      <c r="C15382" s="209"/>
      <c r="D15382" s="209"/>
      <c r="E15382" s="209"/>
      <c r="J15382" s="124"/>
    </row>
    <row r="15383" spans="3:10" x14ac:dyDescent="0.2">
      <c r="C15383" s="209"/>
      <c r="D15383" s="209"/>
      <c r="E15383" s="209"/>
      <c r="J15383" s="124"/>
    </row>
    <row r="15384" spans="3:10" x14ac:dyDescent="0.2">
      <c r="C15384" s="209"/>
      <c r="D15384" s="209"/>
      <c r="E15384" s="209"/>
      <c r="J15384" s="124"/>
    </row>
    <row r="15385" spans="3:10" x14ac:dyDescent="0.2">
      <c r="C15385" s="209"/>
      <c r="D15385" s="209"/>
      <c r="E15385" s="209"/>
      <c r="J15385" s="124"/>
    </row>
    <row r="15386" spans="3:10" x14ac:dyDescent="0.2">
      <c r="C15386" s="209"/>
      <c r="D15386" s="209"/>
      <c r="E15386" s="209"/>
      <c r="J15386" s="124"/>
    </row>
    <row r="15387" spans="3:10" x14ac:dyDescent="0.2">
      <c r="C15387" s="209"/>
      <c r="D15387" s="209"/>
      <c r="E15387" s="209"/>
      <c r="J15387" s="124"/>
    </row>
    <row r="15388" spans="3:10" x14ac:dyDescent="0.2">
      <c r="C15388" s="209"/>
      <c r="D15388" s="209"/>
      <c r="E15388" s="209"/>
      <c r="J15388" s="124"/>
    </row>
    <row r="15389" spans="3:10" x14ac:dyDescent="0.2">
      <c r="C15389" s="209"/>
      <c r="D15389" s="209"/>
      <c r="E15389" s="209"/>
      <c r="J15389" s="124"/>
    </row>
    <row r="15390" spans="3:10" x14ac:dyDescent="0.2">
      <c r="C15390" s="209"/>
      <c r="D15390" s="209"/>
      <c r="E15390" s="209"/>
      <c r="J15390" s="124"/>
    </row>
    <row r="15391" spans="3:10" x14ac:dyDescent="0.2">
      <c r="C15391" s="209"/>
      <c r="D15391" s="209"/>
      <c r="E15391" s="209"/>
      <c r="J15391" s="124"/>
    </row>
    <row r="15392" spans="3:10" x14ac:dyDescent="0.2">
      <c r="C15392" s="209"/>
      <c r="D15392" s="209"/>
      <c r="E15392" s="209"/>
      <c r="J15392" s="124"/>
    </row>
    <row r="15393" spans="3:10" x14ac:dyDescent="0.2">
      <c r="C15393" s="209"/>
      <c r="D15393" s="209"/>
      <c r="E15393" s="209"/>
      <c r="J15393" s="124"/>
    </row>
    <row r="15394" spans="3:10" x14ac:dyDescent="0.2">
      <c r="C15394" s="209"/>
      <c r="D15394" s="209"/>
      <c r="E15394" s="209"/>
      <c r="J15394" s="124"/>
    </row>
    <row r="15395" spans="3:10" x14ac:dyDescent="0.2">
      <c r="C15395" s="209"/>
      <c r="D15395" s="209"/>
      <c r="E15395" s="209"/>
      <c r="J15395" s="124"/>
    </row>
    <row r="15396" spans="3:10" x14ac:dyDescent="0.2">
      <c r="C15396" s="209"/>
      <c r="D15396" s="209"/>
      <c r="E15396" s="209"/>
      <c r="J15396" s="124"/>
    </row>
    <row r="15397" spans="3:10" x14ac:dyDescent="0.2">
      <c r="C15397" s="209"/>
      <c r="D15397" s="209"/>
      <c r="E15397" s="209"/>
      <c r="J15397" s="124"/>
    </row>
    <row r="15398" spans="3:10" x14ac:dyDescent="0.2">
      <c r="C15398" s="209"/>
      <c r="D15398" s="209"/>
      <c r="E15398" s="209"/>
      <c r="J15398" s="124"/>
    </row>
    <row r="15399" spans="3:10" x14ac:dyDescent="0.2">
      <c r="C15399" s="209"/>
      <c r="D15399" s="209"/>
      <c r="E15399" s="209"/>
      <c r="J15399" s="124"/>
    </row>
    <row r="15400" spans="3:10" x14ac:dyDescent="0.2">
      <c r="C15400" s="209"/>
      <c r="D15400" s="209"/>
      <c r="E15400" s="209"/>
      <c r="J15400" s="124"/>
    </row>
    <row r="15401" spans="3:10" x14ac:dyDescent="0.2">
      <c r="C15401" s="209"/>
      <c r="D15401" s="209"/>
      <c r="E15401" s="209"/>
      <c r="J15401" s="124"/>
    </row>
    <row r="15402" spans="3:10" x14ac:dyDescent="0.2">
      <c r="C15402" s="209"/>
      <c r="D15402" s="209"/>
      <c r="E15402" s="209"/>
      <c r="J15402" s="124"/>
    </row>
    <row r="15403" spans="3:10" x14ac:dyDescent="0.2">
      <c r="C15403" s="209"/>
      <c r="D15403" s="209"/>
      <c r="E15403" s="209"/>
      <c r="J15403" s="124"/>
    </row>
    <row r="15404" spans="3:10" x14ac:dyDescent="0.2">
      <c r="C15404" s="209"/>
      <c r="D15404" s="209"/>
      <c r="E15404" s="209"/>
      <c r="J15404" s="124"/>
    </row>
    <row r="15405" spans="3:10" x14ac:dyDescent="0.2">
      <c r="C15405" s="209"/>
      <c r="D15405" s="209"/>
      <c r="E15405" s="209"/>
      <c r="J15405" s="124"/>
    </row>
    <row r="15406" spans="3:10" x14ac:dyDescent="0.2">
      <c r="C15406" s="209"/>
      <c r="D15406" s="209"/>
      <c r="E15406" s="209"/>
      <c r="J15406" s="124"/>
    </row>
    <row r="15407" spans="3:10" x14ac:dyDescent="0.2">
      <c r="C15407" s="209"/>
      <c r="D15407" s="209"/>
      <c r="E15407" s="209"/>
      <c r="J15407" s="124"/>
    </row>
    <row r="15408" spans="3:10" x14ac:dyDescent="0.2">
      <c r="C15408" s="209"/>
      <c r="D15408" s="209"/>
      <c r="E15408" s="209"/>
      <c r="J15408" s="124"/>
    </row>
    <row r="15409" spans="3:10" x14ac:dyDescent="0.2">
      <c r="C15409" s="209"/>
      <c r="D15409" s="209"/>
      <c r="E15409" s="209"/>
      <c r="J15409" s="124"/>
    </row>
    <row r="15410" spans="3:10" x14ac:dyDescent="0.2">
      <c r="C15410" s="209"/>
      <c r="D15410" s="209"/>
      <c r="E15410" s="209"/>
      <c r="J15410" s="124"/>
    </row>
    <row r="15411" spans="3:10" x14ac:dyDescent="0.2">
      <c r="C15411" s="209"/>
      <c r="D15411" s="209"/>
      <c r="E15411" s="209"/>
      <c r="J15411" s="124"/>
    </row>
    <row r="15412" spans="3:10" x14ac:dyDescent="0.2">
      <c r="C15412" s="209"/>
      <c r="D15412" s="209"/>
      <c r="E15412" s="209"/>
      <c r="J15412" s="124"/>
    </row>
    <row r="15413" spans="3:10" x14ac:dyDescent="0.2">
      <c r="C15413" s="209"/>
      <c r="D15413" s="209"/>
      <c r="E15413" s="209"/>
      <c r="J15413" s="124"/>
    </row>
    <row r="15414" spans="3:10" x14ac:dyDescent="0.2">
      <c r="C15414" s="209"/>
      <c r="D15414" s="209"/>
      <c r="E15414" s="209"/>
      <c r="J15414" s="124"/>
    </row>
    <row r="15415" spans="3:10" x14ac:dyDescent="0.2">
      <c r="C15415" s="209"/>
      <c r="D15415" s="209"/>
      <c r="E15415" s="209"/>
      <c r="J15415" s="124"/>
    </row>
    <row r="15416" spans="3:10" x14ac:dyDescent="0.2">
      <c r="C15416" s="209"/>
      <c r="D15416" s="209"/>
      <c r="E15416" s="209"/>
      <c r="J15416" s="124"/>
    </row>
    <row r="15417" spans="3:10" x14ac:dyDescent="0.2">
      <c r="C15417" s="209"/>
      <c r="D15417" s="209"/>
      <c r="E15417" s="209"/>
      <c r="J15417" s="124"/>
    </row>
    <row r="15418" spans="3:10" x14ac:dyDescent="0.2">
      <c r="C15418" s="209"/>
      <c r="D15418" s="209"/>
      <c r="E15418" s="209"/>
      <c r="J15418" s="124"/>
    </row>
    <row r="15419" spans="3:10" x14ac:dyDescent="0.2">
      <c r="C15419" s="209"/>
      <c r="D15419" s="209"/>
      <c r="E15419" s="209"/>
      <c r="J15419" s="124"/>
    </row>
    <row r="15420" spans="3:10" x14ac:dyDescent="0.2">
      <c r="C15420" s="209"/>
      <c r="D15420" s="209"/>
      <c r="E15420" s="209"/>
      <c r="J15420" s="124"/>
    </row>
    <row r="15421" spans="3:10" x14ac:dyDescent="0.2">
      <c r="C15421" s="209"/>
      <c r="D15421" s="209"/>
      <c r="E15421" s="209"/>
      <c r="J15421" s="124"/>
    </row>
    <row r="15422" spans="3:10" x14ac:dyDescent="0.2">
      <c r="C15422" s="209"/>
      <c r="D15422" s="209"/>
      <c r="E15422" s="209"/>
      <c r="J15422" s="124"/>
    </row>
    <row r="15423" spans="3:10" x14ac:dyDescent="0.2">
      <c r="C15423" s="209"/>
      <c r="D15423" s="209"/>
      <c r="E15423" s="209"/>
      <c r="J15423" s="124"/>
    </row>
    <row r="15424" spans="3:10" x14ac:dyDescent="0.2">
      <c r="C15424" s="209"/>
      <c r="D15424" s="209"/>
      <c r="E15424" s="209"/>
      <c r="J15424" s="124"/>
    </row>
    <row r="15425" spans="3:10" x14ac:dyDescent="0.2">
      <c r="C15425" s="209"/>
      <c r="D15425" s="209"/>
      <c r="E15425" s="209"/>
      <c r="J15425" s="124"/>
    </row>
    <row r="15426" spans="3:10" x14ac:dyDescent="0.2">
      <c r="C15426" s="209"/>
      <c r="D15426" s="209"/>
      <c r="E15426" s="209"/>
      <c r="J15426" s="124"/>
    </row>
    <row r="15427" spans="3:10" x14ac:dyDescent="0.2">
      <c r="C15427" s="209"/>
      <c r="D15427" s="209"/>
      <c r="E15427" s="209"/>
      <c r="J15427" s="124"/>
    </row>
    <row r="15428" spans="3:10" x14ac:dyDescent="0.2">
      <c r="C15428" s="209"/>
      <c r="D15428" s="209"/>
      <c r="E15428" s="209"/>
      <c r="J15428" s="124"/>
    </row>
    <row r="15429" spans="3:10" x14ac:dyDescent="0.2">
      <c r="C15429" s="209"/>
      <c r="D15429" s="209"/>
      <c r="E15429" s="209"/>
      <c r="J15429" s="124"/>
    </row>
    <row r="15430" spans="3:10" x14ac:dyDescent="0.2">
      <c r="C15430" s="209"/>
      <c r="D15430" s="209"/>
      <c r="E15430" s="209"/>
      <c r="J15430" s="124"/>
    </row>
    <row r="15431" spans="3:10" x14ac:dyDescent="0.2">
      <c r="C15431" s="209"/>
      <c r="D15431" s="209"/>
      <c r="E15431" s="209"/>
      <c r="J15431" s="124"/>
    </row>
    <row r="15432" spans="3:10" x14ac:dyDescent="0.2">
      <c r="C15432" s="209"/>
      <c r="D15432" s="209"/>
      <c r="E15432" s="209"/>
      <c r="J15432" s="124"/>
    </row>
    <row r="15433" spans="3:10" x14ac:dyDescent="0.2">
      <c r="C15433" s="209"/>
      <c r="D15433" s="209"/>
      <c r="E15433" s="209"/>
      <c r="J15433" s="124"/>
    </row>
    <row r="15434" spans="3:10" x14ac:dyDescent="0.2">
      <c r="C15434" s="209"/>
      <c r="D15434" s="209"/>
      <c r="E15434" s="209"/>
      <c r="J15434" s="124"/>
    </row>
    <row r="15435" spans="3:10" x14ac:dyDescent="0.2">
      <c r="C15435" s="209"/>
      <c r="D15435" s="209"/>
      <c r="E15435" s="209"/>
      <c r="J15435" s="124"/>
    </row>
    <row r="15436" spans="3:10" x14ac:dyDescent="0.2">
      <c r="C15436" s="209"/>
      <c r="D15436" s="209"/>
      <c r="E15436" s="209"/>
      <c r="J15436" s="124"/>
    </row>
    <row r="15437" spans="3:10" x14ac:dyDescent="0.2">
      <c r="C15437" s="209"/>
      <c r="D15437" s="209"/>
      <c r="E15437" s="209"/>
      <c r="J15437" s="124"/>
    </row>
    <row r="15438" spans="3:10" x14ac:dyDescent="0.2">
      <c r="C15438" s="209"/>
      <c r="D15438" s="209"/>
      <c r="E15438" s="209"/>
      <c r="J15438" s="124"/>
    </row>
    <row r="15439" spans="3:10" x14ac:dyDescent="0.2">
      <c r="C15439" s="209"/>
      <c r="D15439" s="209"/>
      <c r="E15439" s="209"/>
      <c r="J15439" s="124"/>
    </row>
    <row r="15440" spans="3:10" x14ac:dyDescent="0.2">
      <c r="C15440" s="209"/>
      <c r="D15440" s="209"/>
      <c r="E15440" s="209"/>
      <c r="J15440" s="124"/>
    </row>
    <row r="15441" spans="3:10" x14ac:dyDescent="0.2">
      <c r="C15441" s="209"/>
      <c r="D15441" s="209"/>
      <c r="E15441" s="209"/>
      <c r="J15441" s="124"/>
    </row>
    <row r="15442" spans="3:10" x14ac:dyDescent="0.2">
      <c r="C15442" s="209"/>
      <c r="D15442" s="209"/>
      <c r="E15442" s="209"/>
      <c r="J15442" s="124"/>
    </row>
    <row r="15443" spans="3:10" x14ac:dyDescent="0.2">
      <c r="C15443" s="209"/>
      <c r="D15443" s="209"/>
      <c r="E15443" s="209"/>
      <c r="J15443" s="124"/>
    </row>
    <row r="15444" spans="3:10" x14ac:dyDescent="0.2">
      <c r="C15444" s="209"/>
      <c r="D15444" s="209"/>
      <c r="E15444" s="209"/>
      <c r="J15444" s="124"/>
    </row>
    <row r="15445" spans="3:10" x14ac:dyDescent="0.2">
      <c r="C15445" s="209"/>
      <c r="D15445" s="209"/>
      <c r="E15445" s="209"/>
      <c r="J15445" s="124"/>
    </row>
    <row r="15446" spans="3:10" x14ac:dyDescent="0.2">
      <c r="C15446" s="209"/>
      <c r="D15446" s="209"/>
      <c r="E15446" s="209"/>
      <c r="J15446" s="124"/>
    </row>
    <row r="15447" spans="3:10" x14ac:dyDescent="0.2">
      <c r="C15447" s="209"/>
      <c r="D15447" s="209"/>
      <c r="E15447" s="209"/>
      <c r="J15447" s="124"/>
    </row>
    <row r="15448" spans="3:10" x14ac:dyDescent="0.2">
      <c r="C15448" s="209"/>
      <c r="D15448" s="209"/>
      <c r="E15448" s="209"/>
      <c r="J15448" s="124"/>
    </row>
    <row r="15449" spans="3:10" x14ac:dyDescent="0.2">
      <c r="C15449" s="209"/>
      <c r="D15449" s="209"/>
      <c r="E15449" s="209"/>
      <c r="J15449" s="124"/>
    </row>
    <row r="15450" spans="3:10" x14ac:dyDescent="0.2">
      <c r="C15450" s="209"/>
      <c r="D15450" s="209"/>
      <c r="E15450" s="209"/>
      <c r="J15450" s="124"/>
    </row>
    <row r="15451" spans="3:10" x14ac:dyDescent="0.2">
      <c r="C15451" s="209"/>
      <c r="D15451" s="209"/>
      <c r="E15451" s="209"/>
      <c r="J15451" s="124"/>
    </row>
    <row r="15452" spans="3:10" x14ac:dyDescent="0.2">
      <c r="C15452" s="209"/>
      <c r="D15452" s="209"/>
      <c r="E15452" s="209"/>
      <c r="J15452" s="124"/>
    </row>
    <row r="15453" spans="3:10" x14ac:dyDescent="0.2">
      <c r="C15453" s="209"/>
      <c r="D15453" s="209"/>
      <c r="E15453" s="209"/>
      <c r="J15453" s="124"/>
    </row>
    <row r="15454" spans="3:10" x14ac:dyDescent="0.2">
      <c r="C15454" s="209"/>
      <c r="D15454" s="209"/>
      <c r="E15454" s="209"/>
      <c r="J15454" s="124"/>
    </row>
    <row r="15455" spans="3:10" x14ac:dyDescent="0.2">
      <c r="C15455" s="209"/>
      <c r="D15455" s="209"/>
      <c r="E15455" s="209"/>
      <c r="J15455" s="124"/>
    </row>
    <row r="15456" spans="3:10" x14ac:dyDescent="0.2">
      <c r="C15456" s="209"/>
      <c r="D15456" s="209"/>
      <c r="E15456" s="209"/>
      <c r="J15456" s="124"/>
    </row>
    <row r="15457" spans="3:10" x14ac:dyDescent="0.2">
      <c r="C15457" s="209"/>
      <c r="D15457" s="209"/>
      <c r="E15457" s="209"/>
      <c r="J15457" s="124"/>
    </row>
    <row r="15458" spans="3:10" x14ac:dyDescent="0.2">
      <c r="C15458" s="209"/>
      <c r="D15458" s="209"/>
      <c r="E15458" s="209"/>
      <c r="J15458" s="124"/>
    </row>
    <row r="15459" spans="3:10" x14ac:dyDescent="0.2">
      <c r="C15459" s="209"/>
      <c r="D15459" s="209"/>
      <c r="E15459" s="209"/>
      <c r="J15459" s="124"/>
    </row>
    <row r="15460" spans="3:10" x14ac:dyDescent="0.2">
      <c r="C15460" s="209"/>
      <c r="D15460" s="209"/>
      <c r="E15460" s="209"/>
      <c r="J15460" s="124"/>
    </row>
    <row r="15461" spans="3:10" x14ac:dyDescent="0.2">
      <c r="C15461" s="209"/>
      <c r="D15461" s="209"/>
      <c r="E15461" s="209"/>
      <c r="J15461" s="124"/>
    </row>
    <row r="15462" spans="3:10" x14ac:dyDescent="0.2">
      <c r="C15462" s="209"/>
      <c r="D15462" s="209"/>
      <c r="E15462" s="209"/>
      <c r="J15462" s="124"/>
    </row>
    <row r="15463" spans="3:10" x14ac:dyDescent="0.2">
      <c r="C15463" s="209"/>
      <c r="D15463" s="209"/>
      <c r="E15463" s="209"/>
      <c r="J15463" s="124"/>
    </row>
    <row r="15464" spans="3:10" x14ac:dyDescent="0.2">
      <c r="C15464" s="209"/>
      <c r="D15464" s="209"/>
      <c r="E15464" s="209"/>
      <c r="J15464" s="124"/>
    </row>
    <row r="15465" spans="3:10" x14ac:dyDescent="0.2">
      <c r="C15465" s="209"/>
      <c r="D15465" s="209"/>
      <c r="E15465" s="209"/>
      <c r="J15465" s="124"/>
    </row>
    <row r="15466" spans="3:10" x14ac:dyDescent="0.2">
      <c r="C15466" s="209"/>
      <c r="D15466" s="209"/>
      <c r="E15466" s="209"/>
      <c r="J15466" s="124"/>
    </row>
    <row r="15467" spans="3:10" x14ac:dyDescent="0.2">
      <c r="C15467" s="209"/>
      <c r="D15467" s="209"/>
      <c r="E15467" s="209"/>
      <c r="J15467" s="124"/>
    </row>
    <row r="15468" spans="3:10" x14ac:dyDescent="0.2">
      <c r="C15468" s="209"/>
      <c r="D15468" s="209"/>
      <c r="E15468" s="209"/>
      <c r="J15468" s="124"/>
    </row>
    <row r="15469" spans="3:10" x14ac:dyDescent="0.2">
      <c r="C15469" s="209"/>
      <c r="D15469" s="209"/>
      <c r="E15469" s="209"/>
      <c r="J15469" s="124"/>
    </row>
    <row r="15470" spans="3:10" x14ac:dyDescent="0.2">
      <c r="C15470" s="209"/>
      <c r="D15470" s="209"/>
      <c r="E15470" s="209"/>
      <c r="J15470" s="124"/>
    </row>
    <row r="15471" spans="3:10" x14ac:dyDescent="0.2">
      <c r="C15471" s="209"/>
      <c r="D15471" s="209"/>
      <c r="E15471" s="209"/>
      <c r="J15471" s="124"/>
    </row>
    <row r="15472" spans="3:10" x14ac:dyDescent="0.2">
      <c r="C15472" s="209"/>
      <c r="D15472" s="209"/>
      <c r="E15472" s="209"/>
      <c r="J15472" s="124"/>
    </row>
    <row r="15473" spans="3:10" x14ac:dyDescent="0.2">
      <c r="C15473" s="209"/>
      <c r="D15473" s="209"/>
      <c r="E15473" s="209"/>
      <c r="J15473" s="124"/>
    </row>
    <row r="15474" spans="3:10" x14ac:dyDescent="0.2">
      <c r="C15474" s="209"/>
      <c r="D15474" s="209"/>
      <c r="E15474" s="209"/>
      <c r="J15474" s="124"/>
    </row>
    <row r="15475" spans="3:10" x14ac:dyDescent="0.2">
      <c r="C15475" s="209"/>
      <c r="D15475" s="209"/>
      <c r="E15475" s="209"/>
      <c r="J15475" s="124"/>
    </row>
    <row r="15476" spans="3:10" x14ac:dyDescent="0.2">
      <c r="C15476" s="209"/>
      <c r="D15476" s="209"/>
      <c r="E15476" s="209"/>
      <c r="J15476" s="124"/>
    </row>
    <row r="15477" spans="3:10" x14ac:dyDescent="0.2">
      <c r="C15477" s="209"/>
      <c r="D15477" s="209"/>
      <c r="E15477" s="209"/>
      <c r="J15477" s="124"/>
    </row>
    <row r="15478" spans="3:10" x14ac:dyDescent="0.2">
      <c r="C15478" s="209"/>
      <c r="D15478" s="209"/>
      <c r="E15478" s="209"/>
      <c r="J15478" s="124"/>
    </row>
    <row r="15479" spans="3:10" x14ac:dyDescent="0.2">
      <c r="C15479" s="209"/>
      <c r="D15479" s="209"/>
      <c r="E15479" s="209"/>
      <c r="J15479" s="124"/>
    </row>
    <row r="15480" spans="3:10" x14ac:dyDescent="0.2">
      <c r="C15480" s="209"/>
      <c r="D15480" s="209"/>
      <c r="E15480" s="209"/>
      <c r="J15480" s="124"/>
    </row>
    <row r="15481" spans="3:10" x14ac:dyDescent="0.2">
      <c r="C15481" s="209"/>
      <c r="D15481" s="209"/>
      <c r="E15481" s="209"/>
      <c r="J15481" s="124"/>
    </row>
    <row r="15482" spans="3:10" x14ac:dyDescent="0.2">
      <c r="C15482" s="209"/>
      <c r="D15482" s="209"/>
      <c r="E15482" s="209"/>
      <c r="J15482" s="124"/>
    </row>
    <row r="15483" spans="3:10" x14ac:dyDescent="0.2">
      <c r="C15483" s="209"/>
      <c r="D15483" s="209"/>
      <c r="E15483" s="209"/>
      <c r="J15483" s="124"/>
    </row>
    <row r="15484" spans="3:10" x14ac:dyDescent="0.2">
      <c r="C15484" s="209"/>
      <c r="D15484" s="209"/>
      <c r="E15484" s="209"/>
      <c r="J15484" s="124"/>
    </row>
    <row r="15485" spans="3:10" x14ac:dyDescent="0.2">
      <c r="C15485" s="209"/>
      <c r="D15485" s="209"/>
      <c r="E15485" s="209"/>
      <c r="J15485" s="124"/>
    </row>
    <row r="15486" spans="3:10" x14ac:dyDescent="0.2">
      <c r="C15486" s="209"/>
      <c r="D15486" s="209"/>
      <c r="E15486" s="209"/>
      <c r="J15486" s="124"/>
    </row>
    <row r="15487" spans="3:10" x14ac:dyDescent="0.2">
      <c r="C15487" s="209"/>
      <c r="D15487" s="209"/>
      <c r="E15487" s="209"/>
      <c r="J15487" s="124"/>
    </row>
    <row r="15488" spans="3:10" x14ac:dyDescent="0.2">
      <c r="C15488" s="209"/>
      <c r="D15488" s="209"/>
      <c r="E15488" s="209"/>
      <c r="J15488" s="124"/>
    </row>
    <row r="15489" spans="3:10" x14ac:dyDescent="0.2">
      <c r="C15489" s="209"/>
      <c r="D15489" s="209"/>
      <c r="E15489" s="209"/>
      <c r="J15489" s="124"/>
    </row>
    <row r="15490" spans="3:10" x14ac:dyDescent="0.2">
      <c r="C15490" s="209"/>
      <c r="D15490" s="209"/>
      <c r="E15490" s="209"/>
      <c r="J15490" s="124"/>
    </row>
    <row r="15491" spans="3:10" x14ac:dyDescent="0.2">
      <c r="C15491" s="209"/>
      <c r="D15491" s="209"/>
      <c r="E15491" s="209"/>
      <c r="J15491" s="124"/>
    </row>
    <row r="15492" spans="3:10" x14ac:dyDescent="0.2">
      <c r="C15492" s="209"/>
      <c r="D15492" s="209"/>
      <c r="E15492" s="209"/>
      <c r="J15492" s="124"/>
    </row>
    <row r="15493" spans="3:10" x14ac:dyDescent="0.2">
      <c r="C15493" s="209"/>
      <c r="D15493" s="209"/>
      <c r="E15493" s="209"/>
      <c r="J15493" s="124"/>
    </row>
    <row r="15494" spans="3:10" x14ac:dyDescent="0.2">
      <c r="C15494" s="209"/>
      <c r="D15494" s="209"/>
      <c r="E15494" s="209"/>
      <c r="J15494" s="124"/>
    </row>
    <row r="15495" spans="3:10" x14ac:dyDescent="0.2">
      <c r="C15495" s="209"/>
      <c r="D15495" s="209"/>
      <c r="E15495" s="209"/>
      <c r="J15495" s="124"/>
    </row>
    <row r="15496" spans="3:10" x14ac:dyDescent="0.2">
      <c r="C15496" s="209"/>
      <c r="D15496" s="209"/>
      <c r="E15496" s="209"/>
      <c r="J15496" s="124"/>
    </row>
    <row r="15497" spans="3:10" x14ac:dyDescent="0.2">
      <c r="C15497" s="209"/>
      <c r="D15497" s="209"/>
      <c r="E15497" s="209"/>
      <c r="J15497" s="124"/>
    </row>
    <row r="15498" spans="3:10" x14ac:dyDescent="0.2">
      <c r="C15498" s="209"/>
      <c r="D15498" s="209"/>
      <c r="E15498" s="209"/>
      <c r="J15498" s="124"/>
    </row>
    <row r="15499" spans="3:10" x14ac:dyDescent="0.2">
      <c r="C15499" s="209"/>
      <c r="D15499" s="209"/>
      <c r="E15499" s="209"/>
      <c r="J15499" s="124"/>
    </row>
    <row r="15500" spans="3:10" x14ac:dyDescent="0.2">
      <c r="C15500" s="209"/>
      <c r="D15500" s="209"/>
      <c r="E15500" s="209"/>
      <c r="J15500" s="124"/>
    </row>
    <row r="15501" spans="3:10" x14ac:dyDescent="0.2">
      <c r="C15501" s="209"/>
      <c r="D15501" s="209"/>
      <c r="E15501" s="209"/>
      <c r="J15501" s="124"/>
    </row>
    <row r="15502" spans="3:10" x14ac:dyDescent="0.2">
      <c r="C15502" s="209"/>
      <c r="D15502" s="209"/>
      <c r="E15502" s="209"/>
      <c r="J15502" s="124"/>
    </row>
    <row r="15503" spans="3:10" x14ac:dyDescent="0.2">
      <c r="C15503" s="209"/>
      <c r="D15503" s="209"/>
      <c r="E15503" s="209"/>
      <c r="J15503" s="124"/>
    </row>
    <row r="15504" spans="3:10" x14ac:dyDescent="0.2">
      <c r="C15504" s="209"/>
      <c r="D15504" s="209"/>
      <c r="E15504" s="209"/>
      <c r="J15504" s="124"/>
    </row>
    <row r="15505" spans="3:10" x14ac:dyDescent="0.2">
      <c r="C15505" s="209"/>
      <c r="D15505" s="209"/>
      <c r="E15505" s="209"/>
      <c r="J15505" s="124"/>
    </row>
    <row r="15506" spans="3:10" x14ac:dyDescent="0.2">
      <c r="C15506" s="209"/>
      <c r="D15506" s="209"/>
      <c r="E15506" s="209"/>
      <c r="J15506" s="124"/>
    </row>
    <row r="15507" spans="3:10" x14ac:dyDescent="0.2">
      <c r="C15507" s="209"/>
      <c r="D15507" s="209"/>
      <c r="E15507" s="209"/>
      <c r="J15507" s="124"/>
    </row>
    <row r="15508" spans="3:10" x14ac:dyDescent="0.2">
      <c r="C15508" s="209"/>
      <c r="D15508" s="209"/>
      <c r="E15508" s="209"/>
      <c r="J15508" s="124"/>
    </row>
    <row r="15509" spans="3:10" x14ac:dyDescent="0.2">
      <c r="C15509" s="209"/>
      <c r="D15509" s="209"/>
      <c r="E15509" s="209"/>
      <c r="J15509" s="124"/>
    </row>
    <row r="15510" spans="3:10" x14ac:dyDescent="0.2">
      <c r="C15510" s="209"/>
      <c r="D15510" s="209"/>
      <c r="E15510" s="209"/>
      <c r="J15510" s="124"/>
    </row>
    <row r="15511" spans="3:10" x14ac:dyDescent="0.2">
      <c r="C15511" s="209"/>
      <c r="D15511" s="209"/>
      <c r="E15511" s="209"/>
      <c r="J15511" s="124"/>
    </row>
    <row r="15512" spans="3:10" x14ac:dyDescent="0.2">
      <c r="C15512" s="209"/>
      <c r="D15512" s="209"/>
      <c r="E15512" s="209"/>
      <c r="J15512" s="124"/>
    </row>
    <row r="15513" spans="3:10" x14ac:dyDescent="0.2">
      <c r="C15513" s="209"/>
      <c r="D15513" s="209"/>
      <c r="E15513" s="209"/>
      <c r="J15513" s="124"/>
    </row>
    <row r="15514" spans="3:10" x14ac:dyDescent="0.2">
      <c r="C15514" s="209"/>
      <c r="D15514" s="209"/>
      <c r="E15514" s="209"/>
      <c r="J15514" s="124"/>
    </row>
    <row r="15515" spans="3:10" x14ac:dyDescent="0.2">
      <c r="C15515" s="209"/>
      <c r="D15515" s="209"/>
      <c r="E15515" s="209"/>
      <c r="J15515" s="124"/>
    </row>
    <row r="15516" spans="3:10" x14ac:dyDescent="0.2">
      <c r="C15516" s="209"/>
      <c r="D15516" s="209"/>
      <c r="E15516" s="209"/>
      <c r="J15516" s="124"/>
    </row>
    <row r="15517" spans="3:10" x14ac:dyDescent="0.2">
      <c r="C15517" s="209"/>
      <c r="D15517" s="209"/>
      <c r="E15517" s="209"/>
      <c r="J15517" s="124"/>
    </row>
    <row r="15518" spans="3:10" x14ac:dyDescent="0.2">
      <c r="C15518" s="209"/>
      <c r="D15518" s="209"/>
      <c r="E15518" s="209"/>
      <c r="J15518" s="124"/>
    </row>
    <row r="15519" spans="3:10" x14ac:dyDescent="0.2">
      <c r="C15519" s="209"/>
      <c r="D15519" s="209"/>
      <c r="E15519" s="209"/>
      <c r="J15519" s="124"/>
    </row>
    <row r="15520" spans="3:10" x14ac:dyDescent="0.2">
      <c r="C15520" s="209"/>
      <c r="D15520" s="209"/>
      <c r="E15520" s="209"/>
      <c r="J15520" s="124"/>
    </row>
    <row r="15521" spans="3:10" x14ac:dyDescent="0.2">
      <c r="C15521" s="209"/>
      <c r="D15521" s="209"/>
      <c r="E15521" s="209"/>
      <c r="J15521" s="124"/>
    </row>
    <row r="15522" spans="3:10" x14ac:dyDescent="0.2">
      <c r="C15522" s="209"/>
      <c r="D15522" s="209"/>
      <c r="E15522" s="209"/>
      <c r="J15522" s="124"/>
    </row>
    <row r="15523" spans="3:10" x14ac:dyDescent="0.2">
      <c r="C15523" s="209"/>
      <c r="D15523" s="209"/>
      <c r="E15523" s="209"/>
      <c r="J15523" s="124"/>
    </row>
    <row r="15524" spans="3:10" x14ac:dyDescent="0.2">
      <c r="C15524" s="209"/>
      <c r="D15524" s="209"/>
      <c r="E15524" s="209"/>
      <c r="J15524" s="124"/>
    </row>
    <row r="15525" spans="3:10" x14ac:dyDescent="0.2">
      <c r="C15525" s="209"/>
      <c r="D15525" s="209"/>
      <c r="E15525" s="209"/>
      <c r="J15525" s="124"/>
    </row>
    <row r="15526" spans="3:10" x14ac:dyDescent="0.2">
      <c r="C15526" s="209"/>
      <c r="D15526" s="209"/>
      <c r="E15526" s="209"/>
      <c r="J15526" s="124"/>
    </row>
    <row r="15527" spans="3:10" x14ac:dyDescent="0.2">
      <c r="C15527" s="209"/>
      <c r="D15527" s="209"/>
      <c r="E15527" s="209"/>
      <c r="J15527" s="124"/>
    </row>
    <row r="15528" spans="3:10" x14ac:dyDescent="0.2">
      <c r="C15528" s="209"/>
      <c r="D15528" s="209"/>
      <c r="E15528" s="209"/>
      <c r="J15528" s="124"/>
    </row>
    <row r="15529" spans="3:10" x14ac:dyDescent="0.2">
      <c r="C15529" s="209"/>
      <c r="D15529" s="209"/>
      <c r="E15529" s="209"/>
      <c r="J15529" s="124"/>
    </row>
    <row r="15530" spans="3:10" x14ac:dyDescent="0.2">
      <c r="C15530" s="209"/>
      <c r="D15530" s="209"/>
      <c r="E15530" s="209"/>
      <c r="J15530" s="124"/>
    </row>
    <row r="15531" spans="3:10" x14ac:dyDescent="0.2">
      <c r="C15531" s="209"/>
      <c r="D15531" s="209"/>
      <c r="E15531" s="209"/>
      <c r="J15531" s="124"/>
    </row>
    <row r="15532" spans="3:10" x14ac:dyDescent="0.2">
      <c r="C15532" s="209"/>
      <c r="D15532" s="209"/>
      <c r="E15532" s="209"/>
      <c r="J15532" s="124"/>
    </row>
    <row r="15533" spans="3:10" x14ac:dyDescent="0.2">
      <c r="C15533" s="209"/>
      <c r="D15533" s="209"/>
      <c r="E15533" s="209"/>
      <c r="J15533" s="124"/>
    </row>
    <row r="15534" spans="3:10" x14ac:dyDescent="0.2">
      <c r="C15534" s="209"/>
      <c r="D15534" s="209"/>
      <c r="E15534" s="209"/>
      <c r="J15534" s="124"/>
    </row>
    <row r="15535" spans="3:10" x14ac:dyDescent="0.2">
      <c r="C15535" s="209"/>
      <c r="D15535" s="209"/>
      <c r="E15535" s="209"/>
      <c r="J15535" s="124"/>
    </row>
    <row r="15536" spans="3:10" x14ac:dyDescent="0.2">
      <c r="C15536" s="209"/>
      <c r="D15536" s="209"/>
      <c r="E15536" s="209"/>
      <c r="J15536" s="124"/>
    </row>
    <row r="15537" spans="3:10" x14ac:dyDescent="0.2">
      <c r="C15537" s="209"/>
      <c r="D15537" s="209"/>
      <c r="E15537" s="209"/>
      <c r="J15537" s="124"/>
    </row>
    <row r="15538" spans="3:10" x14ac:dyDescent="0.2">
      <c r="C15538" s="209"/>
      <c r="D15538" s="209"/>
      <c r="E15538" s="209"/>
      <c r="J15538" s="124"/>
    </row>
    <row r="15539" spans="3:10" x14ac:dyDescent="0.2">
      <c r="C15539" s="209"/>
      <c r="D15539" s="209"/>
      <c r="E15539" s="209"/>
      <c r="J15539" s="124"/>
    </row>
    <row r="15540" spans="3:10" x14ac:dyDescent="0.2">
      <c r="C15540" s="209"/>
      <c r="D15540" s="209"/>
      <c r="E15540" s="209"/>
      <c r="J15540" s="124"/>
    </row>
    <row r="15541" spans="3:10" x14ac:dyDescent="0.2">
      <c r="C15541" s="209"/>
      <c r="D15541" s="209"/>
      <c r="E15541" s="209"/>
      <c r="J15541" s="124"/>
    </row>
    <row r="15542" spans="3:10" x14ac:dyDescent="0.2">
      <c r="C15542" s="209"/>
      <c r="D15542" s="209"/>
      <c r="E15542" s="209"/>
      <c r="J15542" s="124"/>
    </row>
    <row r="15543" spans="3:10" x14ac:dyDescent="0.2">
      <c r="C15543" s="209"/>
      <c r="D15543" s="209"/>
      <c r="E15543" s="209"/>
      <c r="J15543" s="124"/>
    </row>
    <row r="15544" spans="3:10" x14ac:dyDescent="0.2">
      <c r="C15544" s="209"/>
      <c r="D15544" s="209"/>
      <c r="E15544" s="209"/>
      <c r="J15544" s="124"/>
    </row>
    <row r="15545" spans="3:10" x14ac:dyDescent="0.2">
      <c r="C15545" s="209"/>
      <c r="D15545" s="209"/>
      <c r="E15545" s="209"/>
      <c r="J15545" s="124"/>
    </row>
    <row r="15546" spans="3:10" x14ac:dyDescent="0.2">
      <c r="C15546" s="209"/>
      <c r="D15546" s="209"/>
      <c r="E15546" s="209"/>
      <c r="J15546" s="124"/>
    </row>
    <row r="15547" spans="3:10" x14ac:dyDescent="0.2">
      <c r="C15547" s="209"/>
      <c r="D15547" s="209"/>
      <c r="E15547" s="209"/>
      <c r="J15547" s="124"/>
    </row>
    <row r="15548" spans="3:10" x14ac:dyDescent="0.2">
      <c r="C15548" s="209"/>
      <c r="D15548" s="209"/>
      <c r="E15548" s="209"/>
      <c r="J15548" s="124"/>
    </row>
    <row r="15549" spans="3:10" x14ac:dyDescent="0.2">
      <c r="C15549" s="209"/>
      <c r="D15549" s="209"/>
      <c r="E15549" s="209"/>
      <c r="J15549" s="124"/>
    </row>
    <row r="15550" spans="3:10" x14ac:dyDescent="0.2">
      <c r="C15550" s="209"/>
      <c r="D15550" s="209"/>
      <c r="E15550" s="209"/>
      <c r="J15550" s="124"/>
    </row>
    <row r="15551" spans="3:10" x14ac:dyDescent="0.2">
      <c r="C15551" s="209"/>
      <c r="D15551" s="209"/>
      <c r="E15551" s="209"/>
      <c r="J15551" s="124"/>
    </row>
    <row r="15552" spans="3:10" x14ac:dyDescent="0.2">
      <c r="C15552" s="209"/>
      <c r="D15552" s="209"/>
      <c r="E15552" s="209"/>
      <c r="J15552" s="124"/>
    </row>
    <row r="15553" spans="3:10" x14ac:dyDescent="0.2">
      <c r="C15553" s="209"/>
      <c r="D15553" s="209"/>
      <c r="E15553" s="209"/>
      <c r="J15553" s="124"/>
    </row>
    <row r="15554" spans="3:10" x14ac:dyDescent="0.2">
      <c r="C15554" s="209"/>
      <c r="D15554" s="209"/>
      <c r="E15554" s="209"/>
      <c r="J15554" s="124"/>
    </row>
    <row r="15555" spans="3:10" x14ac:dyDescent="0.2">
      <c r="C15555" s="209"/>
      <c r="D15555" s="209"/>
      <c r="E15555" s="209"/>
      <c r="J15555" s="124"/>
    </row>
    <row r="15556" spans="3:10" x14ac:dyDescent="0.2">
      <c r="C15556" s="209"/>
      <c r="D15556" s="209"/>
      <c r="E15556" s="209"/>
      <c r="J15556" s="124"/>
    </row>
    <row r="15557" spans="3:10" x14ac:dyDescent="0.2">
      <c r="C15557" s="209"/>
      <c r="D15557" s="209"/>
      <c r="E15557" s="209"/>
      <c r="J15557" s="124"/>
    </row>
    <row r="15558" spans="3:10" x14ac:dyDescent="0.2">
      <c r="C15558" s="209"/>
      <c r="D15558" s="209"/>
      <c r="E15558" s="209"/>
      <c r="J15558" s="124"/>
    </row>
    <row r="15559" spans="3:10" x14ac:dyDescent="0.2">
      <c r="C15559" s="209"/>
      <c r="D15559" s="209"/>
      <c r="E15559" s="209"/>
      <c r="J15559" s="124"/>
    </row>
    <row r="15560" spans="3:10" x14ac:dyDescent="0.2">
      <c r="C15560" s="209"/>
      <c r="D15560" s="209"/>
      <c r="E15560" s="209"/>
      <c r="J15560" s="124"/>
    </row>
    <row r="15561" spans="3:10" x14ac:dyDescent="0.2">
      <c r="C15561" s="209"/>
      <c r="D15561" s="209"/>
      <c r="E15561" s="209"/>
      <c r="J15561" s="124"/>
    </row>
    <row r="15562" spans="3:10" x14ac:dyDescent="0.2">
      <c r="C15562" s="209"/>
      <c r="D15562" s="209"/>
      <c r="E15562" s="209"/>
      <c r="J15562" s="124"/>
    </row>
    <row r="15563" spans="3:10" x14ac:dyDescent="0.2">
      <c r="C15563" s="209"/>
      <c r="D15563" s="209"/>
      <c r="E15563" s="209"/>
      <c r="J15563" s="124"/>
    </row>
    <row r="15564" spans="3:10" x14ac:dyDescent="0.2">
      <c r="C15564" s="209"/>
      <c r="D15564" s="209"/>
      <c r="E15564" s="209"/>
      <c r="J15564" s="124"/>
    </row>
    <row r="15565" spans="3:10" x14ac:dyDescent="0.2">
      <c r="C15565" s="209"/>
      <c r="D15565" s="209"/>
      <c r="E15565" s="209"/>
      <c r="J15565" s="124"/>
    </row>
    <row r="15566" spans="3:10" x14ac:dyDescent="0.2">
      <c r="C15566" s="209"/>
      <c r="D15566" s="209"/>
      <c r="E15566" s="209"/>
      <c r="J15566" s="124"/>
    </row>
    <row r="15567" spans="3:10" x14ac:dyDescent="0.2">
      <c r="C15567" s="209"/>
      <c r="D15567" s="209"/>
      <c r="E15567" s="209"/>
      <c r="J15567" s="124"/>
    </row>
    <row r="15568" spans="3:10" x14ac:dyDescent="0.2">
      <c r="C15568" s="209"/>
      <c r="D15568" s="209"/>
      <c r="E15568" s="209"/>
      <c r="J15568" s="124"/>
    </row>
    <row r="15569" spans="3:10" x14ac:dyDescent="0.2">
      <c r="C15569" s="209"/>
      <c r="D15569" s="209"/>
      <c r="E15569" s="209"/>
      <c r="J15569" s="124"/>
    </row>
    <row r="15570" spans="3:10" x14ac:dyDescent="0.2">
      <c r="C15570" s="209"/>
      <c r="D15570" s="209"/>
      <c r="E15570" s="209"/>
      <c r="J15570" s="124"/>
    </row>
    <row r="15571" spans="3:10" x14ac:dyDescent="0.2">
      <c r="C15571" s="209"/>
      <c r="D15571" s="209"/>
      <c r="E15571" s="209"/>
      <c r="J15571" s="124"/>
    </row>
    <row r="15572" spans="3:10" x14ac:dyDescent="0.2">
      <c r="C15572" s="209"/>
      <c r="D15572" s="209"/>
      <c r="E15572" s="209"/>
      <c r="J15572" s="124"/>
    </row>
    <row r="15573" spans="3:10" x14ac:dyDescent="0.2">
      <c r="C15573" s="209"/>
      <c r="D15573" s="209"/>
      <c r="E15573" s="209"/>
      <c r="J15573" s="124"/>
    </row>
    <row r="15574" spans="3:10" x14ac:dyDescent="0.2">
      <c r="C15574" s="209"/>
      <c r="D15574" s="209"/>
      <c r="E15574" s="209"/>
      <c r="J15574" s="124"/>
    </row>
    <row r="15575" spans="3:10" x14ac:dyDescent="0.2">
      <c r="C15575" s="209"/>
      <c r="D15575" s="209"/>
      <c r="E15575" s="209"/>
      <c r="J15575" s="124"/>
    </row>
    <row r="15576" spans="3:10" x14ac:dyDescent="0.2">
      <c r="C15576" s="209"/>
      <c r="D15576" s="209"/>
      <c r="E15576" s="209"/>
      <c r="J15576" s="124"/>
    </row>
    <row r="15577" spans="3:10" x14ac:dyDescent="0.2">
      <c r="C15577" s="209"/>
      <c r="D15577" s="209"/>
      <c r="E15577" s="209"/>
      <c r="J15577" s="124"/>
    </row>
    <row r="15578" spans="3:10" x14ac:dyDescent="0.2">
      <c r="C15578" s="209"/>
      <c r="D15578" s="209"/>
      <c r="E15578" s="209"/>
      <c r="J15578" s="124"/>
    </row>
    <row r="15579" spans="3:10" x14ac:dyDescent="0.2">
      <c r="C15579" s="209"/>
      <c r="D15579" s="209"/>
      <c r="E15579" s="209"/>
      <c r="J15579" s="124"/>
    </row>
    <row r="15580" spans="3:10" x14ac:dyDescent="0.2">
      <c r="C15580" s="209"/>
      <c r="D15580" s="209"/>
      <c r="E15580" s="209"/>
      <c r="J15580" s="124"/>
    </row>
    <row r="15581" spans="3:10" x14ac:dyDescent="0.2">
      <c r="C15581" s="209"/>
      <c r="D15581" s="209"/>
      <c r="E15581" s="209"/>
      <c r="J15581" s="124"/>
    </row>
    <row r="15582" spans="3:10" x14ac:dyDescent="0.2">
      <c r="C15582" s="209"/>
      <c r="D15582" s="209"/>
      <c r="E15582" s="209"/>
      <c r="J15582" s="124"/>
    </row>
    <row r="15583" spans="3:10" x14ac:dyDescent="0.2">
      <c r="C15583" s="209"/>
      <c r="D15583" s="209"/>
      <c r="E15583" s="209"/>
      <c r="J15583" s="124"/>
    </row>
    <row r="15584" spans="3:10" x14ac:dyDescent="0.2">
      <c r="C15584" s="209"/>
      <c r="D15584" s="209"/>
      <c r="E15584" s="209"/>
      <c r="J15584" s="124"/>
    </row>
    <row r="15585" spans="3:10" x14ac:dyDescent="0.2">
      <c r="C15585" s="209"/>
      <c r="D15585" s="209"/>
      <c r="E15585" s="209"/>
      <c r="J15585" s="124"/>
    </row>
    <row r="15586" spans="3:10" x14ac:dyDescent="0.2">
      <c r="C15586" s="209"/>
      <c r="D15586" s="209"/>
      <c r="E15586" s="209"/>
      <c r="J15586" s="124"/>
    </row>
    <row r="15587" spans="3:10" x14ac:dyDescent="0.2">
      <c r="C15587" s="209"/>
      <c r="D15587" s="209"/>
      <c r="E15587" s="209"/>
      <c r="J15587" s="124"/>
    </row>
    <row r="15588" spans="3:10" x14ac:dyDescent="0.2">
      <c r="C15588" s="209"/>
      <c r="D15588" s="209"/>
      <c r="E15588" s="209"/>
      <c r="J15588" s="124"/>
    </row>
    <row r="15589" spans="3:10" x14ac:dyDescent="0.2">
      <c r="C15589" s="209"/>
      <c r="D15589" s="209"/>
      <c r="E15589" s="209"/>
      <c r="J15589" s="124"/>
    </row>
    <row r="15590" spans="3:10" x14ac:dyDescent="0.2">
      <c r="C15590" s="209"/>
      <c r="D15590" s="209"/>
      <c r="E15590" s="209"/>
      <c r="J15590" s="124"/>
    </row>
    <row r="15591" spans="3:10" x14ac:dyDescent="0.2">
      <c r="C15591" s="209"/>
      <c r="D15591" s="209"/>
      <c r="E15591" s="209"/>
      <c r="J15591" s="124"/>
    </row>
    <row r="15592" spans="3:10" x14ac:dyDescent="0.2">
      <c r="C15592" s="209"/>
      <c r="D15592" s="209"/>
      <c r="E15592" s="209"/>
      <c r="J15592" s="124"/>
    </row>
    <row r="15593" spans="3:10" x14ac:dyDescent="0.2">
      <c r="C15593" s="209"/>
      <c r="D15593" s="209"/>
      <c r="E15593" s="209"/>
      <c r="J15593" s="124"/>
    </row>
    <row r="15594" spans="3:10" x14ac:dyDescent="0.2">
      <c r="C15594" s="209"/>
      <c r="D15594" s="209"/>
      <c r="E15594" s="209"/>
      <c r="J15594" s="124"/>
    </row>
    <row r="15595" spans="3:10" x14ac:dyDescent="0.2">
      <c r="C15595" s="209"/>
      <c r="D15595" s="209"/>
      <c r="E15595" s="209"/>
      <c r="J15595" s="124"/>
    </row>
    <row r="15596" spans="3:10" x14ac:dyDescent="0.2">
      <c r="C15596" s="209"/>
      <c r="D15596" s="209"/>
      <c r="E15596" s="209"/>
      <c r="J15596" s="124"/>
    </row>
    <row r="15597" spans="3:10" x14ac:dyDescent="0.2">
      <c r="C15597" s="209"/>
      <c r="D15597" s="209"/>
      <c r="E15597" s="209"/>
      <c r="J15597" s="124"/>
    </row>
    <row r="15598" spans="3:10" x14ac:dyDescent="0.2">
      <c r="C15598" s="209"/>
      <c r="D15598" s="209"/>
      <c r="E15598" s="209"/>
      <c r="J15598" s="124"/>
    </row>
    <row r="15599" spans="3:10" x14ac:dyDescent="0.2">
      <c r="C15599" s="209"/>
      <c r="D15599" s="209"/>
      <c r="E15599" s="209"/>
      <c r="J15599" s="124"/>
    </row>
    <row r="15600" spans="3:10" x14ac:dyDescent="0.2">
      <c r="C15600" s="209"/>
      <c r="D15600" s="209"/>
      <c r="E15600" s="209"/>
      <c r="J15600" s="124"/>
    </row>
    <row r="15601" spans="3:10" x14ac:dyDescent="0.2">
      <c r="C15601" s="209"/>
      <c r="D15601" s="209"/>
      <c r="E15601" s="209"/>
      <c r="J15601" s="124"/>
    </row>
    <row r="15602" spans="3:10" x14ac:dyDescent="0.2">
      <c r="C15602" s="209"/>
      <c r="D15602" s="209"/>
      <c r="E15602" s="209"/>
      <c r="J15602" s="124"/>
    </row>
    <row r="15603" spans="3:10" x14ac:dyDescent="0.2">
      <c r="C15603" s="209"/>
      <c r="D15603" s="209"/>
      <c r="E15603" s="209"/>
      <c r="J15603" s="124"/>
    </row>
    <row r="15604" spans="3:10" x14ac:dyDescent="0.2">
      <c r="C15604" s="209"/>
      <c r="D15604" s="209"/>
      <c r="E15604" s="209"/>
      <c r="J15604" s="124"/>
    </row>
    <row r="15605" spans="3:10" x14ac:dyDescent="0.2">
      <c r="C15605" s="209"/>
      <c r="D15605" s="209"/>
      <c r="E15605" s="209"/>
      <c r="J15605" s="124"/>
    </row>
    <row r="15606" spans="3:10" x14ac:dyDescent="0.2">
      <c r="C15606" s="209"/>
      <c r="D15606" s="209"/>
      <c r="E15606" s="209"/>
      <c r="J15606" s="124"/>
    </row>
    <row r="15607" spans="3:10" x14ac:dyDescent="0.2">
      <c r="C15607" s="209"/>
      <c r="D15607" s="209"/>
      <c r="E15607" s="209"/>
      <c r="J15607" s="124"/>
    </row>
    <row r="15608" spans="3:10" x14ac:dyDescent="0.2">
      <c r="C15608" s="209"/>
      <c r="D15608" s="209"/>
      <c r="E15608" s="209"/>
      <c r="J15608" s="124"/>
    </row>
    <row r="15609" spans="3:10" x14ac:dyDescent="0.2">
      <c r="C15609" s="209"/>
      <c r="D15609" s="209"/>
      <c r="E15609" s="209"/>
      <c r="J15609" s="124"/>
    </row>
    <row r="15610" spans="3:10" x14ac:dyDescent="0.2">
      <c r="C15610" s="209"/>
      <c r="D15610" s="209"/>
      <c r="E15610" s="209"/>
      <c r="J15610" s="124"/>
    </row>
    <row r="15611" spans="3:10" x14ac:dyDescent="0.2">
      <c r="C15611" s="209"/>
      <c r="D15611" s="209"/>
      <c r="E15611" s="209"/>
      <c r="J15611" s="124"/>
    </row>
    <row r="15612" spans="3:10" x14ac:dyDescent="0.2">
      <c r="C15612" s="209"/>
      <c r="D15612" s="209"/>
      <c r="E15612" s="209"/>
      <c r="J15612" s="124"/>
    </row>
    <row r="15613" spans="3:10" x14ac:dyDescent="0.2">
      <c r="C15613" s="209"/>
      <c r="D15613" s="209"/>
      <c r="E15613" s="209"/>
      <c r="J15613" s="124"/>
    </row>
    <row r="15614" spans="3:10" x14ac:dyDescent="0.2">
      <c r="C15614" s="209"/>
      <c r="D15614" s="209"/>
      <c r="E15614" s="209"/>
      <c r="J15614" s="124"/>
    </row>
    <row r="15615" spans="3:10" x14ac:dyDescent="0.2">
      <c r="C15615" s="209"/>
      <c r="D15615" s="209"/>
      <c r="E15615" s="209"/>
      <c r="J15615" s="124"/>
    </row>
    <row r="15616" spans="3:10" x14ac:dyDescent="0.2">
      <c r="C15616" s="209"/>
      <c r="D15616" s="209"/>
      <c r="E15616" s="209"/>
      <c r="J15616" s="124"/>
    </row>
    <row r="15617" spans="3:10" x14ac:dyDescent="0.2">
      <c r="C15617" s="209"/>
      <c r="D15617" s="209"/>
      <c r="E15617" s="209"/>
      <c r="J15617" s="124"/>
    </row>
    <row r="15618" spans="3:10" x14ac:dyDescent="0.2">
      <c r="C15618" s="209"/>
      <c r="D15618" s="209"/>
      <c r="E15618" s="209"/>
      <c r="J15618" s="124"/>
    </row>
    <row r="15619" spans="3:10" x14ac:dyDescent="0.2">
      <c r="C15619" s="209"/>
      <c r="D15619" s="209"/>
      <c r="E15619" s="209"/>
      <c r="J15619" s="124"/>
    </row>
    <row r="15620" spans="3:10" x14ac:dyDescent="0.2">
      <c r="C15620" s="209"/>
      <c r="D15620" s="209"/>
      <c r="E15620" s="209"/>
      <c r="J15620" s="124"/>
    </row>
    <row r="15621" spans="3:10" x14ac:dyDescent="0.2">
      <c r="C15621" s="209"/>
      <c r="D15621" s="209"/>
      <c r="E15621" s="209"/>
      <c r="J15621" s="124"/>
    </row>
    <row r="15622" spans="3:10" x14ac:dyDescent="0.2">
      <c r="C15622" s="209"/>
      <c r="D15622" s="209"/>
      <c r="E15622" s="209"/>
      <c r="J15622" s="124"/>
    </row>
    <row r="15623" spans="3:10" x14ac:dyDescent="0.2">
      <c r="C15623" s="209"/>
      <c r="D15623" s="209"/>
      <c r="E15623" s="209"/>
      <c r="J15623" s="124"/>
    </row>
    <row r="15624" spans="3:10" x14ac:dyDescent="0.2">
      <c r="C15624" s="209"/>
      <c r="D15624" s="209"/>
      <c r="E15624" s="209"/>
      <c r="J15624" s="124"/>
    </row>
    <row r="15625" spans="3:10" x14ac:dyDescent="0.2">
      <c r="C15625" s="209"/>
      <c r="D15625" s="209"/>
      <c r="E15625" s="209"/>
      <c r="J15625" s="124"/>
    </row>
    <row r="15626" spans="3:10" x14ac:dyDescent="0.2">
      <c r="C15626" s="209"/>
      <c r="D15626" s="209"/>
      <c r="E15626" s="209"/>
      <c r="J15626" s="124"/>
    </row>
    <row r="15627" spans="3:10" x14ac:dyDescent="0.2">
      <c r="C15627" s="209"/>
      <c r="D15627" s="209"/>
      <c r="E15627" s="209"/>
      <c r="J15627" s="124"/>
    </row>
    <row r="15628" spans="3:10" x14ac:dyDescent="0.2">
      <c r="C15628" s="209"/>
      <c r="D15628" s="209"/>
      <c r="E15628" s="209"/>
      <c r="J15628" s="124"/>
    </row>
    <row r="15629" spans="3:10" x14ac:dyDescent="0.2">
      <c r="C15629" s="209"/>
      <c r="D15629" s="209"/>
      <c r="E15629" s="209"/>
      <c r="J15629" s="124"/>
    </row>
    <row r="15630" spans="3:10" x14ac:dyDescent="0.2">
      <c r="C15630" s="209"/>
      <c r="D15630" s="209"/>
      <c r="E15630" s="209"/>
      <c r="J15630" s="124"/>
    </row>
    <row r="15631" spans="3:10" x14ac:dyDescent="0.2">
      <c r="C15631" s="209"/>
      <c r="D15631" s="209"/>
      <c r="E15631" s="209"/>
      <c r="J15631" s="124"/>
    </row>
    <row r="15632" spans="3:10" x14ac:dyDescent="0.2">
      <c r="C15632" s="209"/>
      <c r="D15632" s="209"/>
      <c r="E15632" s="209"/>
      <c r="J15632" s="124"/>
    </row>
    <row r="15633" spans="3:10" x14ac:dyDescent="0.2">
      <c r="C15633" s="209"/>
      <c r="D15633" s="209"/>
      <c r="E15633" s="209"/>
      <c r="J15633" s="124"/>
    </row>
    <row r="15634" spans="3:10" x14ac:dyDescent="0.2">
      <c r="C15634" s="209"/>
      <c r="D15634" s="209"/>
      <c r="E15634" s="209"/>
      <c r="J15634" s="124"/>
    </row>
    <row r="15635" spans="3:10" x14ac:dyDescent="0.2">
      <c r="C15635" s="209"/>
      <c r="D15635" s="209"/>
      <c r="E15635" s="209"/>
      <c r="J15635" s="124"/>
    </row>
    <row r="15636" spans="3:10" x14ac:dyDescent="0.2">
      <c r="C15636" s="209"/>
      <c r="D15636" s="209"/>
      <c r="E15636" s="209"/>
      <c r="J15636" s="124"/>
    </row>
    <row r="15637" spans="3:10" x14ac:dyDescent="0.2">
      <c r="C15637" s="209"/>
      <c r="D15637" s="209"/>
      <c r="E15637" s="209"/>
      <c r="J15637" s="124"/>
    </row>
    <row r="15638" spans="3:10" x14ac:dyDescent="0.2">
      <c r="C15638" s="209"/>
      <c r="D15638" s="209"/>
      <c r="E15638" s="209"/>
      <c r="J15638" s="124"/>
    </row>
    <row r="15639" spans="3:10" x14ac:dyDescent="0.2">
      <c r="C15639" s="209"/>
      <c r="D15639" s="209"/>
      <c r="E15639" s="209"/>
      <c r="J15639" s="124"/>
    </row>
    <row r="15640" spans="3:10" x14ac:dyDescent="0.2">
      <c r="C15640" s="209"/>
      <c r="D15640" s="209"/>
      <c r="E15640" s="209"/>
      <c r="J15640" s="124"/>
    </row>
    <row r="15641" spans="3:10" x14ac:dyDescent="0.2">
      <c r="C15641" s="209"/>
      <c r="D15641" s="209"/>
      <c r="E15641" s="209"/>
      <c r="J15641" s="124"/>
    </row>
    <row r="15642" spans="3:10" x14ac:dyDescent="0.2">
      <c r="C15642" s="209"/>
      <c r="D15642" s="209"/>
      <c r="E15642" s="209"/>
      <c r="J15642" s="124"/>
    </row>
    <row r="15643" spans="3:10" x14ac:dyDescent="0.2">
      <c r="C15643" s="209"/>
      <c r="D15643" s="209"/>
      <c r="E15643" s="209"/>
      <c r="J15643" s="124"/>
    </row>
    <row r="15644" spans="3:10" x14ac:dyDescent="0.2">
      <c r="C15644" s="209"/>
      <c r="D15644" s="209"/>
      <c r="E15644" s="209"/>
      <c r="J15644" s="124"/>
    </row>
    <row r="15645" spans="3:10" x14ac:dyDescent="0.2">
      <c r="C15645" s="209"/>
      <c r="D15645" s="209"/>
      <c r="E15645" s="209"/>
      <c r="J15645" s="124"/>
    </row>
    <row r="15646" spans="3:10" x14ac:dyDescent="0.2">
      <c r="C15646" s="209"/>
      <c r="D15646" s="209"/>
      <c r="E15646" s="209"/>
      <c r="J15646" s="124"/>
    </row>
    <row r="15647" spans="3:10" x14ac:dyDescent="0.2">
      <c r="C15647" s="209"/>
      <c r="D15647" s="209"/>
      <c r="E15647" s="209"/>
      <c r="J15647" s="124"/>
    </row>
    <row r="15648" spans="3:10" x14ac:dyDescent="0.2">
      <c r="C15648" s="209"/>
      <c r="D15648" s="209"/>
      <c r="E15648" s="209"/>
      <c r="J15648" s="124"/>
    </row>
    <row r="15649" spans="3:10" x14ac:dyDescent="0.2">
      <c r="C15649" s="209"/>
      <c r="D15649" s="209"/>
      <c r="E15649" s="209"/>
      <c r="J15649" s="124"/>
    </row>
    <row r="15650" spans="3:10" x14ac:dyDescent="0.2">
      <c r="C15650" s="209"/>
      <c r="D15650" s="209"/>
      <c r="E15650" s="209"/>
      <c r="J15650" s="124"/>
    </row>
    <row r="15651" spans="3:10" x14ac:dyDescent="0.2">
      <c r="C15651" s="209"/>
      <c r="D15651" s="209"/>
      <c r="E15651" s="209"/>
      <c r="J15651" s="124"/>
    </row>
    <row r="15652" spans="3:10" x14ac:dyDescent="0.2">
      <c r="C15652" s="209"/>
      <c r="D15652" s="209"/>
      <c r="E15652" s="209"/>
      <c r="J15652" s="124"/>
    </row>
    <row r="15653" spans="3:10" x14ac:dyDescent="0.2">
      <c r="C15653" s="209"/>
      <c r="D15653" s="209"/>
      <c r="E15653" s="209"/>
      <c r="J15653" s="124"/>
    </row>
    <row r="15654" spans="3:10" x14ac:dyDescent="0.2">
      <c r="C15654" s="209"/>
      <c r="D15654" s="209"/>
      <c r="E15654" s="209"/>
      <c r="J15654" s="124"/>
    </row>
    <row r="15655" spans="3:10" x14ac:dyDescent="0.2">
      <c r="C15655" s="209"/>
      <c r="D15655" s="209"/>
      <c r="E15655" s="209"/>
      <c r="J15655" s="124"/>
    </row>
    <row r="15656" spans="3:10" x14ac:dyDescent="0.2">
      <c r="C15656" s="209"/>
      <c r="D15656" s="209"/>
      <c r="E15656" s="209"/>
      <c r="J15656" s="124"/>
    </row>
    <row r="15657" spans="3:10" x14ac:dyDescent="0.2">
      <c r="C15657" s="209"/>
      <c r="D15657" s="209"/>
      <c r="E15657" s="209"/>
      <c r="J15657" s="124"/>
    </row>
    <row r="15658" spans="3:10" x14ac:dyDescent="0.2">
      <c r="C15658" s="209"/>
      <c r="D15658" s="209"/>
      <c r="E15658" s="209"/>
      <c r="J15658" s="124"/>
    </row>
    <row r="15659" spans="3:10" x14ac:dyDescent="0.2">
      <c r="C15659" s="209"/>
      <c r="D15659" s="209"/>
      <c r="E15659" s="209"/>
      <c r="J15659" s="124"/>
    </row>
    <row r="15660" spans="3:10" x14ac:dyDescent="0.2">
      <c r="C15660" s="209"/>
      <c r="D15660" s="209"/>
      <c r="E15660" s="209"/>
      <c r="J15660" s="124"/>
    </row>
    <row r="15661" spans="3:10" x14ac:dyDescent="0.2">
      <c r="C15661" s="209"/>
      <c r="D15661" s="209"/>
      <c r="E15661" s="209"/>
      <c r="J15661" s="124"/>
    </row>
    <row r="15662" spans="3:10" x14ac:dyDescent="0.2">
      <c r="C15662" s="209"/>
      <c r="D15662" s="209"/>
      <c r="E15662" s="209"/>
      <c r="J15662" s="124"/>
    </row>
    <row r="15663" spans="3:10" x14ac:dyDescent="0.2">
      <c r="C15663" s="209"/>
      <c r="D15663" s="209"/>
      <c r="E15663" s="209"/>
      <c r="J15663" s="124"/>
    </row>
    <row r="15664" spans="3:10" x14ac:dyDescent="0.2">
      <c r="C15664" s="209"/>
      <c r="D15664" s="209"/>
      <c r="E15664" s="209"/>
      <c r="J15664" s="124"/>
    </row>
    <row r="15665" spans="3:10" x14ac:dyDescent="0.2">
      <c r="C15665" s="209"/>
      <c r="D15665" s="209"/>
      <c r="E15665" s="209"/>
      <c r="J15665" s="124"/>
    </row>
    <row r="15666" spans="3:10" x14ac:dyDescent="0.2">
      <c r="C15666" s="209"/>
      <c r="D15666" s="209"/>
      <c r="E15666" s="209"/>
      <c r="J15666" s="124"/>
    </row>
    <row r="15667" spans="3:10" x14ac:dyDescent="0.2">
      <c r="C15667" s="209"/>
      <c r="D15667" s="209"/>
      <c r="E15667" s="209"/>
      <c r="J15667" s="124"/>
    </row>
    <row r="15668" spans="3:10" x14ac:dyDescent="0.2">
      <c r="C15668" s="209"/>
      <c r="D15668" s="209"/>
      <c r="E15668" s="209"/>
      <c r="J15668" s="124"/>
    </row>
    <row r="15669" spans="3:10" x14ac:dyDescent="0.2">
      <c r="C15669" s="209"/>
      <c r="D15669" s="209"/>
      <c r="E15669" s="209"/>
      <c r="J15669" s="124"/>
    </row>
    <row r="15670" spans="3:10" x14ac:dyDescent="0.2">
      <c r="C15670" s="209"/>
      <c r="D15670" s="209"/>
      <c r="E15670" s="209"/>
      <c r="J15670" s="124"/>
    </row>
    <row r="15671" spans="3:10" x14ac:dyDescent="0.2">
      <c r="C15671" s="209"/>
      <c r="D15671" s="209"/>
      <c r="E15671" s="209"/>
      <c r="J15671" s="124"/>
    </row>
    <row r="15672" spans="3:10" x14ac:dyDescent="0.2">
      <c r="C15672" s="209"/>
      <c r="D15672" s="209"/>
      <c r="E15672" s="209"/>
      <c r="J15672" s="124"/>
    </row>
    <row r="15673" spans="3:10" x14ac:dyDescent="0.2">
      <c r="C15673" s="209"/>
      <c r="D15673" s="209"/>
      <c r="E15673" s="209"/>
      <c r="J15673" s="124"/>
    </row>
    <row r="15674" spans="3:10" x14ac:dyDescent="0.2">
      <c r="C15674" s="209"/>
      <c r="D15674" s="209"/>
      <c r="E15674" s="209"/>
      <c r="J15674" s="124"/>
    </row>
    <row r="15675" spans="3:10" x14ac:dyDescent="0.2">
      <c r="C15675" s="209"/>
      <c r="D15675" s="209"/>
      <c r="E15675" s="209"/>
      <c r="J15675" s="124"/>
    </row>
    <row r="15676" spans="3:10" x14ac:dyDescent="0.2">
      <c r="C15676" s="209"/>
      <c r="D15676" s="209"/>
      <c r="E15676" s="209"/>
      <c r="J15676" s="124"/>
    </row>
    <row r="15677" spans="3:10" x14ac:dyDescent="0.2">
      <c r="C15677" s="209"/>
      <c r="D15677" s="209"/>
      <c r="E15677" s="209"/>
      <c r="J15677" s="124"/>
    </row>
    <row r="15678" spans="3:10" x14ac:dyDescent="0.2">
      <c r="C15678" s="209"/>
      <c r="D15678" s="209"/>
      <c r="E15678" s="209"/>
      <c r="J15678" s="124"/>
    </row>
    <row r="15679" spans="3:10" x14ac:dyDescent="0.2">
      <c r="C15679" s="209"/>
      <c r="D15679" s="209"/>
      <c r="E15679" s="209"/>
      <c r="J15679" s="124"/>
    </row>
    <row r="15680" spans="3:10" x14ac:dyDescent="0.2">
      <c r="C15680" s="209"/>
      <c r="D15680" s="209"/>
      <c r="E15680" s="209"/>
      <c r="J15680" s="124"/>
    </row>
    <row r="15681" spans="3:10" x14ac:dyDescent="0.2">
      <c r="C15681" s="209"/>
      <c r="D15681" s="209"/>
      <c r="E15681" s="209"/>
      <c r="J15681" s="124"/>
    </row>
    <row r="15682" spans="3:10" x14ac:dyDescent="0.2">
      <c r="C15682" s="209"/>
      <c r="D15682" s="209"/>
      <c r="E15682" s="209"/>
      <c r="J15682" s="124"/>
    </row>
    <row r="15683" spans="3:10" x14ac:dyDescent="0.2">
      <c r="C15683" s="209"/>
      <c r="D15683" s="209"/>
      <c r="E15683" s="209"/>
      <c r="J15683" s="124"/>
    </row>
    <row r="15684" spans="3:10" x14ac:dyDescent="0.2">
      <c r="C15684" s="209"/>
      <c r="D15684" s="209"/>
      <c r="E15684" s="209"/>
      <c r="J15684" s="124"/>
    </row>
    <row r="15685" spans="3:10" x14ac:dyDescent="0.2">
      <c r="C15685" s="209"/>
      <c r="D15685" s="209"/>
      <c r="E15685" s="209"/>
      <c r="J15685" s="124"/>
    </row>
    <row r="15686" spans="3:10" x14ac:dyDescent="0.2">
      <c r="C15686" s="209"/>
      <c r="D15686" s="209"/>
      <c r="E15686" s="209"/>
      <c r="J15686" s="124"/>
    </row>
    <row r="15687" spans="3:10" x14ac:dyDescent="0.2">
      <c r="C15687" s="209"/>
      <c r="D15687" s="209"/>
      <c r="E15687" s="209"/>
      <c r="J15687" s="124"/>
    </row>
    <row r="15688" spans="3:10" x14ac:dyDescent="0.2">
      <c r="C15688" s="209"/>
      <c r="D15688" s="209"/>
      <c r="E15688" s="209"/>
      <c r="J15688" s="124"/>
    </row>
    <row r="15689" spans="3:10" x14ac:dyDescent="0.2">
      <c r="C15689" s="209"/>
      <c r="D15689" s="209"/>
      <c r="E15689" s="209"/>
      <c r="J15689" s="124"/>
    </row>
    <row r="15690" spans="3:10" x14ac:dyDescent="0.2">
      <c r="C15690" s="209"/>
      <c r="D15690" s="209"/>
      <c r="E15690" s="209"/>
      <c r="J15690" s="124"/>
    </row>
    <row r="15691" spans="3:10" x14ac:dyDescent="0.2">
      <c r="C15691" s="209"/>
      <c r="D15691" s="209"/>
      <c r="E15691" s="209"/>
      <c r="J15691" s="124"/>
    </row>
    <row r="15692" spans="3:10" x14ac:dyDescent="0.2">
      <c r="C15692" s="209"/>
      <c r="D15692" s="209"/>
      <c r="E15692" s="209"/>
      <c r="J15692" s="124"/>
    </row>
    <row r="15693" spans="3:10" x14ac:dyDescent="0.2">
      <c r="C15693" s="209"/>
      <c r="D15693" s="209"/>
      <c r="E15693" s="209"/>
      <c r="J15693" s="124"/>
    </row>
    <row r="15694" spans="3:10" x14ac:dyDescent="0.2">
      <c r="C15694" s="209"/>
      <c r="D15694" s="209"/>
      <c r="E15694" s="209"/>
      <c r="J15694" s="124"/>
    </row>
    <row r="15695" spans="3:10" x14ac:dyDescent="0.2">
      <c r="C15695" s="209"/>
      <c r="D15695" s="209"/>
      <c r="E15695" s="209"/>
      <c r="J15695" s="124"/>
    </row>
    <row r="15696" spans="3:10" x14ac:dyDescent="0.2">
      <c r="C15696" s="209"/>
      <c r="D15696" s="209"/>
      <c r="E15696" s="209"/>
      <c r="J15696" s="124"/>
    </row>
    <row r="15697" spans="3:10" x14ac:dyDescent="0.2">
      <c r="C15697" s="209"/>
      <c r="D15697" s="209"/>
      <c r="E15697" s="209"/>
      <c r="J15697" s="124"/>
    </row>
    <row r="15698" spans="3:10" x14ac:dyDescent="0.2">
      <c r="C15698" s="209"/>
      <c r="D15698" s="209"/>
      <c r="E15698" s="209"/>
      <c r="J15698" s="124"/>
    </row>
    <row r="15699" spans="3:10" x14ac:dyDescent="0.2">
      <c r="C15699" s="209"/>
      <c r="D15699" s="209"/>
      <c r="E15699" s="209"/>
      <c r="J15699" s="124"/>
    </row>
    <row r="15700" spans="3:10" x14ac:dyDescent="0.2">
      <c r="C15700" s="209"/>
      <c r="D15700" s="209"/>
      <c r="E15700" s="209"/>
      <c r="J15700" s="124"/>
    </row>
    <row r="15701" spans="3:10" x14ac:dyDescent="0.2">
      <c r="C15701" s="209"/>
      <c r="D15701" s="209"/>
      <c r="E15701" s="209"/>
      <c r="J15701" s="124"/>
    </row>
    <row r="15702" spans="3:10" x14ac:dyDescent="0.2">
      <c r="C15702" s="209"/>
      <c r="D15702" s="209"/>
      <c r="E15702" s="209"/>
      <c r="J15702" s="124"/>
    </row>
    <row r="15703" spans="3:10" x14ac:dyDescent="0.2">
      <c r="C15703" s="209"/>
      <c r="D15703" s="209"/>
      <c r="E15703" s="209"/>
      <c r="J15703" s="124"/>
    </row>
    <row r="15704" spans="3:10" x14ac:dyDescent="0.2">
      <c r="C15704" s="209"/>
      <c r="D15704" s="209"/>
      <c r="E15704" s="209"/>
      <c r="J15704" s="124"/>
    </row>
    <row r="15705" spans="3:10" x14ac:dyDescent="0.2">
      <c r="C15705" s="209"/>
      <c r="D15705" s="209"/>
      <c r="E15705" s="209"/>
      <c r="J15705" s="124"/>
    </row>
    <row r="15706" spans="3:10" x14ac:dyDescent="0.2">
      <c r="C15706" s="209"/>
      <c r="D15706" s="209"/>
      <c r="E15706" s="209"/>
      <c r="J15706" s="124"/>
    </row>
    <row r="15707" spans="3:10" x14ac:dyDescent="0.2">
      <c r="C15707" s="209"/>
      <c r="D15707" s="209"/>
      <c r="E15707" s="209"/>
      <c r="J15707" s="124"/>
    </row>
    <row r="15708" spans="3:10" x14ac:dyDescent="0.2">
      <c r="C15708" s="209"/>
      <c r="D15708" s="209"/>
      <c r="E15708" s="209"/>
      <c r="J15708" s="124"/>
    </row>
    <row r="15709" spans="3:10" x14ac:dyDescent="0.2">
      <c r="C15709" s="209"/>
      <c r="D15709" s="209"/>
      <c r="E15709" s="209"/>
      <c r="J15709" s="124"/>
    </row>
    <row r="15710" spans="3:10" x14ac:dyDescent="0.2">
      <c r="C15710" s="209"/>
      <c r="D15710" s="209"/>
      <c r="E15710" s="209"/>
      <c r="J15710" s="124"/>
    </row>
    <row r="15711" spans="3:10" x14ac:dyDescent="0.2">
      <c r="C15711" s="209"/>
      <c r="D15711" s="209"/>
      <c r="E15711" s="209"/>
      <c r="J15711" s="124"/>
    </row>
    <row r="15712" spans="3:10" x14ac:dyDescent="0.2">
      <c r="C15712" s="209"/>
      <c r="D15712" s="209"/>
      <c r="E15712" s="209"/>
      <c r="J15712" s="124"/>
    </row>
    <row r="15713" spans="3:10" x14ac:dyDescent="0.2">
      <c r="C15713" s="209"/>
      <c r="D15713" s="209"/>
      <c r="E15713" s="209"/>
      <c r="J15713" s="124"/>
    </row>
    <row r="15714" spans="3:10" x14ac:dyDescent="0.2">
      <c r="C15714" s="209"/>
      <c r="D15714" s="209"/>
      <c r="E15714" s="209"/>
      <c r="J15714" s="124"/>
    </row>
    <row r="15715" spans="3:10" x14ac:dyDescent="0.2">
      <c r="C15715" s="209"/>
      <c r="D15715" s="209"/>
      <c r="E15715" s="209"/>
      <c r="J15715" s="124"/>
    </row>
    <row r="15716" spans="3:10" x14ac:dyDescent="0.2">
      <c r="C15716" s="209"/>
      <c r="D15716" s="209"/>
      <c r="E15716" s="209"/>
      <c r="J15716" s="124"/>
    </row>
    <row r="15717" spans="3:10" x14ac:dyDescent="0.2">
      <c r="C15717" s="209"/>
      <c r="D15717" s="209"/>
      <c r="E15717" s="209"/>
      <c r="J15717" s="124"/>
    </row>
    <row r="15718" spans="3:10" x14ac:dyDescent="0.2">
      <c r="C15718" s="209"/>
      <c r="D15718" s="209"/>
      <c r="E15718" s="209"/>
      <c r="J15718" s="124"/>
    </row>
    <row r="15719" spans="3:10" x14ac:dyDescent="0.2">
      <c r="C15719" s="209"/>
      <c r="D15719" s="209"/>
      <c r="E15719" s="209"/>
      <c r="J15719" s="124"/>
    </row>
    <row r="15720" spans="3:10" x14ac:dyDescent="0.2">
      <c r="C15720" s="209"/>
      <c r="D15720" s="209"/>
      <c r="E15720" s="209"/>
      <c r="J15720" s="124"/>
    </row>
    <row r="15721" spans="3:10" x14ac:dyDescent="0.2">
      <c r="C15721" s="209"/>
      <c r="D15721" s="209"/>
      <c r="E15721" s="209"/>
      <c r="J15721" s="124"/>
    </row>
    <row r="15722" spans="3:10" x14ac:dyDescent="0.2">
      <c r="C15722" s="209"/>
      <c r="D15722" s="209"/>
      <c r="E15722" s="209"/>
      <c r="J15722" s="124"/>
    </row>
    <row r="15723" spans="3:10" x14ac:dyDescent="0.2">
      <c r="C15723" s="209"/>
      <c r="D15723" s="209"/>
      <c r="E15723" s="209"/>
      <c r="J15723" s="124"/>
    </row>
    <row r="15724" spans="3:10" x14ac:dyDescent="0.2">
      <c r="C15724" s="209"/>
      <c r="D15724" s="209"/>
      <c r="E15724" s="209"/>
      <c r="J15724" s="124"/>
    </row>
    <row r="15725" spans="3:10" x14ac:dyDescent="0.2">
      <c r="C15725" s="209"/>
      <c r="D15725" s="209"/>
      <c r="E15725" s="209"/>
      <c r="J15725" s="124"/>
    </row>
    <row r="15726" spans="3:10" x14ac:dyDescent="0.2">
      <c r="C15726" s="209"/>
      <c r="D15726" s="209"/>
      <c r="E15726" s="209"/>
      <c r="J15726" s="124"/>
    </row>
    <row r="15727" spans="3:10" x14ac:dyDescent="0.2">
      <c r="C15727" s="209"/>
      <c r="D15727" s="209"/>
      <c r="E15727" s="209"/>
      <c r="J15727" s="124"/>
    </row>
    <row r="15728" spans="3:10" x14ac:dyDescent="0.2">
      <c r="C15728" s="209"/>
      <c r="D15728" s="209"/>
      <c r="E15728" s="209"/>
      <c r="J15728" s="124"/>
    </row>
    <row r="15729" spans="3:10" x14ac:dyDescent="0.2">
      <c r="C15729" s="209"/>
      <c r="D15729" s="209"/>
      <c r="E15729" s="209"/>
      <c r="J15729" s="124"/>
    </row>
    <row r="15730" spans="3:10" x14ac:dyDescent="0.2">
      <c r="C15730" s="209"/>
      <c r="D15730" s="209"/>
      <c r="E15730" s="209"/>
      <c r="J15730" s="124"/>
    </row>
    <row r="15731" spans="3:10" x14ac:dyDescent="0.2">
      <c r="C15731" s="209"/>
      <c r="D15731" s="209"/>
      <c r="E15731" s="209"/>
      <c r="J15731" s="124"/>
    </row>
    <row r="15732" spans="3:10" x14ac:dyDescent="0.2">
      <c r="C15732" s="209"/>
      <c r="D15732" s="209"/>
      <c r="E15732" s="209"/>
      <c r="J15732" s="124"/>
    </row>
    <row r="15733" spans="3:10" x14ac:dyDescent="0.2">
      <c r="C15733" s="209"/>
      <c r="D15733" s="209"/>
      <c r="E15733" s="209"/>
      <c r="J15733" s="124"/>
    </row>
    <row r="15734" spans="3:10" x14ac:dyDescent="0.2">
      <c r="C15734" s="209"/>
      <c r="D15734" s="209"/>
      <c r="E15734" s="209"/>
      <c r="J15734" s="124"/>
    </row>
    <row r="15735" spans="3:10" x14ac:dyDescent="0.2">
      <c r="C15735" s="209"/>
      <c r="D15735" s="209"/>
      <c r="E15735" s="209"/>
      <c r="J15735" s="124"/>
    </row>
    <row r="15736" spans="3:10" x14ac:dyDescent="0.2">
      <c r="C15736" s="209"/>
      <c r="D15736" s="209"/>
      <c r="E15736" s="209"/>
      <c r="J15736" s="124"/>
    </row>
    <row r="15737" spans="3:10" x14ac:dyDescent="0.2">
      <c r="C15737" s="209"/>
      <c r="D15737" s="209"/>
      <c r="E15737" s="209"/>
      <c r="J15737" s="124"/>
    </row>
    <row r="15738" spans="3:10" x14ac:dyDescent="0.2">
      <c r="C15738" s="209"/>
      <c r="D15738" s="209"/>
      <c r="E15738" s="209"/>
      <c r="J15738" s="124"/>
    </row>
    <row r="15739" spans="3:10" x14ac:dyDescent="0.2">
      <c r="C15739" s="209"/>
      <c r="D15739" s="209"/>
      <c r="E15739" s="209"/>
      <c r="J15739" s="124"/>
    </row>
    <row r="15740" spans="3:10" x14ac:dyDescent="0.2">
      <c r="C15740" s="209"/>
      <c r="D15740" s="209"/>
      <c r="E15740" s="209"/>
      <c r="J15740" s="124"/>
    </row>
    <row r="15741" spans="3:10" x14ac:dyDescent="0.2">
      <c r="C15741" s="209"/>
      <c r="D15741" s="209"/>
      <c r="E15741" s="209"/>
      <c r="J15741" s="124"/>
    </row>
    <row r="15742" spans="3:10" x14ac:dyDescent="0.2">
      <c r="C15742" s="209"/>
      <c r="D15742" s="209"/>
      <c r="E15742" s="209"/>
      <c r="J15742" s="124"/>
    </row>
    <row r="15743" spans="3:10" x14ac:dyDescent="0.2">
      <c r="C15743" s="209"/>
      <c r="D15743" s="209"/>
      <c r="E15743" s="209"/>
      <c r="J15743" s="124"/>
    </row>
    <row r="15744" spans="3:10" x14ac:dyDescent="0.2">
      <c r="C15744" s="209"/>
      <c r="D15744" s="209"/>
      <c r="E15744" s="209"/>
      <c r="J15744" s="124"/>
    </row>
    <row r="15745" spans="3:10" x14ac:dyDescent="0.2">
      <c r="C15745" s="209"/>
      <c r="D15745" s="209"/>
      <c r="E15745" s="209"/>
      <c r="J15745" s="124"/>
    </row>
    <row r="15746" spans="3:10" x14ac:dyDescent="0.2">
      <c r="C15746" s="209"/>
      <c r="D15746" s="209"/>
      <c r="E15746" s="209"/>
      <c r="J15746" s="124"/>
    </row>
    <row r="15747" spans="3:10" x14ac:dyDescent="0.2">
      <c r="C15747" s="209"/>
      <c r="D15747" s="209"/>
      <c r="E15747" s="209"/>
      <c r="J15747" s="124"/>
    </row>
    <row r="15748" spans="3:10" x14ac:dyDescent="0.2">
      <c r="C15748" s="209"/>
      <c r="D15748" s="209"/>
      <c r="E15748" s="209"/>
      <c r="J15748" s="124"/>
    </row>
    <row r="15749" spans="3:10" x14ac:dyDescent="0.2">
      <c r="C15749" s="209"/>
      <c r="D15749" s="209"/>
      <c r="E15749" s="209"/>
      <c r="J15749" s="124"/>
    </row>
    <row r="15750" spans="3:10" x14ac:dyDescent="0.2">
      <c r="C15750" s="209"/>
      <c r="D15750" s="209"/>
      <c r="E15750" s="209"/>
      <c r="J15750" s="124"/>
    </row>
    <row r="15751" spans="3:10" x14ac:dyDescent="0.2">
      <c r="C15751" s="209"/>
      <c r="D15751" s="209"/>
      <c r="E15751" s="209"/>
      <c r="J15751" s="124"/>
    </row>
    <row r="15752" spans="3:10" x14ac:dyDescent="0.2">
      <c r="C15752" s="209"/>
      <c r="D15752" s="209"/>
      <c r="E15752" s="209"/>
      <c r="J15752" s="124"/>
    </row>
    <row r="15753" spans="3:10" x14ac:dyDescent="0.2">
      <c r="C15753" s="209"/>
      <c r="D15753" s="209"/>
      <c r="E15753" s="209"/>
      <c r="J15753" s="124"/>
    </row>
    <row r="15754" spans="3:10" x14ac:dyDescent="0.2">
      <c r="C15754" s="209"/>
      <c r="D15754" s="209"/>
      <c r="E15754" s="209"/>
      <c r="J15754" s="124"/>
    </row>
    <row r="15755" spans="3:10" x14ac:dyDescent="0.2">
      <c r="C15755" s="209"/>
      <c r="D15755" s="209"/>
      <c r="E15755" s="209"/>
      <c r="J15755" s="124"/>
    </row>
    <row r="15756" spans="3:10" x14ac:dyDescent="0.2">
      <c r="C15756" s="209"/>
      <c r="D15756" s="209"/>
      <c r="E15756" s="209"/>
      <c r="J15756" s="124"/>
    </row>
    <row r="15757" spans="3:10" x14ac:dyDescent="0.2">
      <c r="C15757" s="209"/>
      <c r="D15757" s="209"/>
      <c r="E15757" s="209"/>
      <c r="J15757" s="124"/>
    </row>
    <row r="15758" spans="3:10" x14ac:dyDescent="0.2">
      <c r="C15758" s="209"/>
      <c r="D15758" s="209"/>
      <c r="E15758" s="209"/>
      <c r="J15758" s="124"/>
    </row>
    <row r="15759" spans="3:10" x14ac:dyDescent="0.2">
      <c r="C15759" s="209"/>
      <c r="D15759" s="209"/>
      <c r="E15759" s="209"/>
      <c r="J15759" s="124"/>
    </row>
    <row r="15760" spans="3:10" x14ac:dyDescent="0.2">
      <c r="C15760" s="209"/>
      <c r="D15760" s="209"/>
      <c r="E15760" s="209"/>
      <c r="J15760" s="124"/>
    </row>
    <row r="15761" spans="3:10" x14ac:dyDescent="0.2">
      <c r="C15761" s="209"/>
      <c r="D15761" s="209"/>
      <c r="E15761" s="209"/>
      <c r="J15761" s="124"/>
    </row>
    <row r="15762" spans="3:10" x14ac:dyDescent="0.2">
      <c r="C15762" s="209"/>
      <c r="D15762" s="209"/>
      <c r="E15762" s="209"/>
      <c r="J15762" s="124"/>
    </row>
    <row r="15763" spans="3:10" x14ac:dyDescent="0.2">
      <c r="C15763" s="209"/>
      <c r="D15763" s="209"/>
      <c r="E15763" s="209"/>
      <c r="J15763" s="124"/>
    </row>
    <row r="15764" spans="3:10" x14ac:dyDescent="0.2">
      <c r="C15764" s="209"/>
      <c r="D15764" s="209"/>
      <c r="E15764" s="209"/>
      <c r="J15764" s="124"/>
    </row>
    <row r="15765" spans="3:10" x14ac:dyDescent="0.2">
      <c r="C15765" s="209"/>
      <c r="D15765" s="209"/>
      <c r="E15765" s="209"/>
      <c r="J15765" s="124"/>
    </row>
    <row r="15766" spans="3:10" x14ac:dyDescent="0.2">
      <c r="C15766" s="209"/>
      <c r="D15766" s="209"/>
      <c r="E15766" s="209"/>
      <c r="J15766" s="124"/>
    </row>
    <row r="15767" spans="3:10" x14ac:dyDescent="0.2">
      <c r="C15767" s="209"/>
      <c r="D15767" s="209"/>
      <c r="E15767" s="209"/>
      <c r="J15767" s="124"/>
    </row>
    <row r="15768" spans="3:10" x14ac:dyDescent="0.2">
      <c r="C15768" s="209"/>
      <c r="D15768" s="209"/>
      <c r="E15768" s="209"/>
      <c r="J15768" s="124"/>
    </row>
    <row r="15769" spans="3:10" x14ac:dyDescent="0.2">
      <c r="C15769" s="209"/>
      <c r="D15769" s="209"/>
      <c r="E15769" s="209"/>
      <c r="J15769" s="124"/>
    </row>
    <row r="15770" spans="3:10" x14ac:dyDescent="0.2">
      <c r="C15770" s="209"/>
      <c r="D15770" s="209"/>
      <c r="E15770" s="209"/>
      <c r="J15770" s="124"/>
    </row>
    <row r="15771" spans="3:10" x14ac:dyDescent="0.2">
      <c r="C15771" s="209"/>
      <c r="D15771" s="209"/>
      <c r="E15771" s="209"/>
      <c r="J15771" s="124"/>
    </row>
    <row r="15772" spans="3:10" x14ac:dyDescent="0.2">
      <c r="C15772" s="209"/>
      <c r="D15772" s="209"/>
      <c r="E15772" s="209"/>
      <c r="J15772" s="124"/>
    </row>
    <row r="15773" spans="3:10" x14ac:dyDescent="0.2">
      <c r="C15773" s="209"/>
      <c r="D15773" s="209"/>
      <c r="E15773" s="209"/>
      <c r="J15773" s="124"/>
    </row>
    <row r="15774" spans="3:10" x14ac:dyDescent="0.2">
      <c r="C15774" s="209"/>
      <c r="D15774" s="209"/>
      <c r="E15774" s="209"/>
      <c r="J15774" s="124"/>
    </row>
    <row r="15775" spans="3:10" x14ac:dyDescent="0.2">
      <c r="C15775" s="209"/>
      <c r="D15775" s="209"/>
      <c r="E15775" s="209"/>
      <c r="J15775" s="124"/>
    </row>
    <row r="15776" spans="3:10" x14ac:dyDescent="0.2">
      <c r="C15776" s="209"/>
      <c r="D15776" s="209"/>
      <c r="E15776" s="209"/>
      <c r="J15776" s="124"/>
    </row>
    <row r="15777" spans="3:10" x14ac:dyDescent="0.2">
      <c r="C15777" s="209"/>
      <c r="D15777" s="209"/>
      <c r="E15777" s="209"/>
      <c r="J15777" s="124"/>
    </row>
    <row r="15778" spans="3:10" x14ac:dyDescent="0.2">
      <c r="C15778" s="209"/>
      <c r="D15778" s="209"/>
      <c r="E15778" s="209"/>
      <c r="J15778" s="124"/>
    </row>
    <row r="15779" spans="3:10" x14ac:dyDescent="0.2">
      <c r="C15779" s="209"/>
      <c r="D15779" s="209"/>
      <c r="E15779" s="209"/>
      <c r="J15779" s="124"/>
    </row>
    <row r="15780" spans="3:10" x14ac:dyDescent="0.2">
      <c r="C15780" s="209"/>
      <c r="D15780" s="209"/>
      <c r="E15780" s="209"/>
      <c r="J15780" s="124"/>
    </row>
    <row r="15781" spans="3:10" x14ac:dyDescent="0.2">
      <c r="C15781" s="209"/>
      <c r="D15781" s="209"/>
      <c r="E15781" s="209"/>
      <c r="J15781" s="124"/>
    </row>
    <row r="15782" spans="3:10" x14ac:dyDescent="0.2">
      <c r="C15782" s="209"/>
      <c r="D15782" s="209"/>
      <c r="E15782" s="209"/>
      <c r="J15782" s="124"/>
    </row>
    <row r="15783" spans="3:10" x14ac:dyDescent="0.2">
      <c r="C15783" s="209"/>
      <c r="D15783" s="209"/>
      <c r="E15783" s="209"/>
      <c r="J15783" s="124"/>
    </row>
    <row r="15784" spans="3:10" x14ac:dyDescent="0.2">
      <c r="C15784" s="209"/>
      <c r="D15784" s="209"/>
      <c r="E15784" s="209"/>
      <c r="J15784" s="124"/>
    </row>
    <row r="15785" spans="3:10" x14ac:dyDescent="0.2">
      <c r="C15785" s="209"/>
      <c r="D15785" s="209"/>
      <c r="E15785" s="209"/>
      <c r="J15785" s="124"/>
    </row>
    <row r="15786" spans="3:10" x14ac:dyDescent="0.2">
      <c r="C15786" s="209"/>
      <c r="D15786" s="209"/>
      <c r="E15786" s="209"/>
      <c r="J15786" s="124"/>
    </row>
    <row r="15787" spans="3:10" x14ac:dyDescent="0.2">
      <c r="C15787" s="209"/>
      <c r="D15787" s="209"/>
      <c r="E15787" s="209"/>
      <c r="J15787" s="124"/>
    </row>
    <row r="15788" spans="3:10" x14ac:dyDescent="0.2">
      <c r="C15788" s="209"/>
      <c r="D15788" s="209"/>
      <c r="E15788" s="209"/>
      <c r="J15788" s="124"/>
    </row>
    <row r="15789" spans="3:10" x14ac:dyDescent="0.2">
      <c r="C15789" s="209"/>
      <c r="D15789" s="209"/>
      <c r="E15789" s="209"/>
      <c r="J15789" s="124"/>
    </row>
    <row r="15790" spans="3:10" x14ac:dyDescent="0.2">
      <c r="C15790" s="209"/>
      <c r="D15790" s="209"/>
      <c r="E15790" s="209"/>
      <c r="J15790" s="124"/>
    </row>
    <row r="15791" spans="3:10" x14ac:dyDescent="0.2">
      <c r="C15791" s="209"/>
      <c r="D15791" s="209"/>
      <c r="E15791" s="209"/>
      <c r="J15791" s="124"/>
    </row>
    <row r="15792" spans="3:10" x14ac:dyDescent="0.2">
      <c r="C15792" s="209"/>
      <c r="D15792" s="209"/>
      <c r="E15792" s="209"/>
      <c r="J15792" s="124"/>
    </row>
    <row r="15793" spans="3:10" x14ac:dyDescent="0.2">
      <c r="C15793" s="209"/>
      <c r="D15793" s="209"/>
      <c r="E15793" s="209"/>
      <c r="J15793" s="124"/>
    </row>
    <row r="15794" spans="3:10" x14ac:dyDescent="0.2">
      <c r="C15794" s="209"/>
      <c r="D15794" s="209"/>
      <c r="E15794" s="209"/>
      <c r="J15794" s="124"/>
    </row>
    <row r="15795" spans="3:10" x14ac:dyDescent="0.2">
      <c r="C15795" s="209"/>
      <c r="D15795" s="209"/>
      <c r="E15795" s="209"/>
      <c r="J15795" s="124"/>
    </row>
    <row r="15796" spans="3:10" x14ac:dyDescent="0.2">
      <c r="C15796" s="209"/>
      <c r="D15796" s="209"/>
      <c r="E15796" s="209"/>
      <c r="J15796" s="124"/>
    </row>
    <row r="15797" spans="3:10" x14ac:dyDescent="0.2">
      <c r="C15797" s="209"/>
      <c r="D15797" s="209"/>
      <c r="E15797" s="209"/>
      <c r="J15797" s="124"/>
    </row>
    <row r="15798" spans="3:10" x14ac:dyDescent="0.2">
      <c r="C15798" s="209"/>
      <c r="D15798" s="209"/>
      <c r="E15798" s="209"/>
      <c r="J15798" s="124"/>
    </row>
    <row r="15799" spans="3:10" x14ac:dyDescent="0.2">
      <c r="C15799" s="209"/>
      <c r="D15799" s="209"/>
      <c r="E15799" s="209"/>
      <c r="J15799" s="124"/>
    </row>
    <row r="15800" spans="3:10" x14ac:dyDescent="0.2">
      <c r="C15800" s="209"/>
      <c r="D15800" s="209"/>
      <c r="E15800" s="209"/>
      <c r="J15800" s="124"/>
    </row>
    <row r="15801" spans="3:10" x14ac:dyDescent="0.2">
      <c r="C15801" s="209"/>
      <c r="D15801" s="209"/>
      <c r="E15801" s="209"/>
      <c r="J15801" s="124"/>
    </row>
    <row r="15802" spans="3:10" x14ac:dyDescent="0.2">
      <c r="C15802" s="209"/>
      <c r="D15802" s="209"/>
      <c r="E15802" s="209"/>
      <c r="J15802" s="124"/>
    </row>
    <row r="15803" spans="3:10" x14ac:dyDescent="0.2">
      <c r="C15803" s="209"/>
      <c r="D15803" s="209"/>
      <c r="E15803" s="209"/>
      <c r="J15803" s="124"/>
    </row>
    <row r="15804" spans="3:10" x14ac:dyDescent="0.2">
      <c r="C15804" s="209"/>
      <c r="D15804" s="209"/>
      <c r="E15804" s="209"/>
      <c r="J15804" s="124"/>
    </row>
    <row r="15805" spans="3:10" x14ac:dyDescent="0.2">
      <c r="C15805" s="209"/>
      <c r="D15805" s="209"/>
      <c r="E15805" s="209"/>
      <c r="J15805" s="124"/>
    </row>
    <row r="15806" spans="3:10" x14ac:dyDescent="0.2">
      <c r="C15806" s="209"/>
      <c r="D15806" s="209"/>
      <c r="E15806" s="209"/>
      <c r="J15806" s="124"/>
    </row>
    <row r="15807" spans="3:10" x14ac:dyDescent="0.2">
      <c r="C15807" s="209"/>
      <c r="D15807" s="209"/>
      <c r="E15807" s="209"/>
      <c r="J15807" s="124"/>
    </row>
    <row r="15808" spans="3:10" x14ac:dyDescent="0.2">
      <c r="C15808" s="209"/>
      <c r="D15808" s="209"/>
      <c r="E15808" s="209"/>
      <c r="J15808" s="124"/>
    </row>
    <row r="15809" spans="3:10" x14ac:dyDescent="0.2">
      <c r="C15809" s="209"/>
      <c r="D15809" s="209"/>
      <c r="E15809" s="209"/>
      <c r="J15809" s="124"/>
    </row>
    <row r="15810" spans="3:10" x14ac:dyDescent="0.2">
      <c r="C15810" s="209"/>
      <c r="D15810" s="209"/>
      <c r="E15810" s="209"/>
      <c r="J15810" s="124"/>
    </row>
    <row r="15811" spans="3:10" x14ac:dyDescent="0.2">
      <c r="C15811" s="209"/>
      <c r="D15811" s="209"/>
      <c r="E15811" s="209"/>
      <c r="J15811" s="124"/>
    </row>
    <row r="15812" spans="3:10" x14ac:dyDescent="0.2">
      <c r="C15812" s="209"/>
      <c r="D15812" s="209"/>
      <c r="E15812" s="209"/>
      <c r="J15812" s="124"/>
    </row>
    <row r="15813" spans="3:10" x14ac:dyDescent="0.2">
      <c r="C15813" s="209"/>
      <c r="D15813" s="209"/>
      <c r="E15813" s="209"/>
      <c r="J15813" s="124"/>
    </row>
    <row r="15814" spans="3:10" x14ac:dyDescent="0.2">
      <c r="C15814" s="209"/>
      <c r="D15814" s="209"/>
      <c r="E15814" s="209"/>
      <c r="J15814" s="124"/>
    </row>
    <row r="15815" spans="3:10" x14ac:dyDescent="0.2">
      <c r="C15815" s="209"/>
      <c r="D15815" s="209"/>
      <c r="E15815" s="209"/>
      <c r="J15815" s="124"/>
    </row>
    <row r="15816" spans="3:10" x14ac:dyDescent="0.2">
      <c r="C15816" s="209"/>
      <c r="D15816" s="209"/>
      <c r="E15816" s="209"/>
      <c r="J15816" s="124"/>
    </row>
    <row r="15817" spans="3:10" x14ac:dyDescent="0.2">
      <c r="C15817" s="209"/>
      <c r="D15817" s="209"/>
      <c r="E15817" s="209"/>
      <c r="J15817" s="124"/>
    </row>
    <row r="15818" spans="3:10" x14ac:dyDescent="0.2">
      <c r="C15818" s="209"/>
      <c r="D15818" s="209"/>
      <c r="E15818" s="209"/>
      <c r="J15818" s="124"/>
    </row>
    <row r="15819" spans="3:10" x14ac:dyDescent="0.2">
      <c r="C15819" s="209"/>
      <c r="D15819" s="209"/>
      <c r="E15819" s="209"/>
      <c r="J15819" s="124"/>
    </row>
    <row r="15820" spans="3:10" x14ac:dyDescent="0.2">
      <c r="C15820" s="209"/>
      <c r="D15820" s="209"/>
      <c r="E15820" s="209"/>
      <c r="J15820" s="124"/>
    </row>
    <row r="15821" spans="3:10" x14ac:dyDescent="0.2">
      <c r="C15821" s="209"/>
      <c r="D15821" s="209"/>
      <c r="E15821" s="209"/>
      <c r="J15821" s="124"/>
    </row>
    <row r="15822" spans="3:10" x14ac:dyDescent="0.2">
      <c r="C15822" s="209"/>
      <c r="D15822" s="209"/>
      <c r="E15822" s="209"/>
      <c r="J15822" s="124"/>
    </row>
    <row r="15823" spans="3:10" x14ac:dyDescent="0.2">
      <c r="C15823" s="209"/>
      <c r="D15823" s="209"/>
      <c r="E15823" s="209"/>
      <c r="J15823" s="124"/>
    </row>
    <row r="15824" spans="3:10" x14ac:dyDescent="0.2">
      <c r="C15824" s="209"/>
      <c r="D15824" s="209"/>
      <c r="E15824" s="209"/>
      <c r="J15824" s="124"/>
    </row>
    <row r="15825" spans="3:10" x14ac:dyDescent="0.2">
      <c r="C15825" s="209"/>
      <c r="D15825" s="209"/>
      <c r="E15825" s="209"/>
      <c r="J15825" s="124"/>
    </row>
    <row r="15826" spans="3:10" x14ac:dyDescent="0.2">
      <c r="C15826" s="209"/>
      <c r="D15826" s="209"/>
      <c r="E15826" s="209"/>
      <c r="J15826" s="124"/>
    </row>
    <row r="15827" spans="3:10" x14ac:dyDescent="0.2">
      <c r="C15827" s="209"/>
      <c r="D15827" s="209"/>
      <c r="E15827" s="209"/>
      <c r="J15827" s="124"/>
    </row>
    <row r="15828" spans="3:10" x14ac:dyDescent="0.2">
      <c r="C15828" s="209"/>
      <c r="D15828" s="209"/>
      <c r="E15828" s="209"/>
      <c r="J15828" s="124"/>
    </row>
    <row r="15829" spans="3:10" x14ac:dyDescent="0.2">
      <c r="C15829" s="209"/>
      <c r="D15829" s="209"/>
      <c r="E15829" s="209"/>
      <c r="J15829" s="124"/>
    </row>
    <row r="15830" spans="3:10" x14ac:dyDescent="0.2">
      <c r="C15830" s="209"/>
      <c r="D15830" s="209"/>
      <c r="E15830" s="209"/>
      <c r="J15830" s="124"/>
    </row>
    <row r="15831" spans="3:10" x14ac:dyDescent="0.2">
      <c r="C15831" s="209"/>
      <c r="D15831" s="209"/>
      <c r="E15831" s="209"/>
      <c r="J15831" s="124"/>
    </row>
    <row r="15832" spans="3:10" x14ac:dyDescent="0.2">
      <c r="C15832" s="209"/>
      <c r="D15832" s="209"/>
      <c r="E15832" s="209"/>
      <c r="J15832" s="124"/>
    </row>
    <row r="15833" spans="3:10" x14ac:dyDescent="0.2">
      <c r="C15833" s="209"/>
      <c r="D15833" s="209"/>
      <c r="E15833" s="209"/>
      <c r="J15833" s="124"/>
    </row>
    <row r="15834" spans="3:10" x14ac:dyDescent="0.2">
      <c r="C15834" s="209"/>
      <c r="D15834" s="209"/>
      <c r="E15834" s="209"/>
      <c r="J15834" s="124"/>
    </row>
    <row r="15835" spans="3:10" x14ac:dyDescent="0.2">
      <c r="C15835" s="209"/>
      <c r="D15835" s="209"/>
      <c r="E15835" s="209"/>
      <c r="J15835" s="124"/>
    </row>
    <row r="15836" spans="3:10" x14ac:dyDescent="0.2">
      <c r="C15836" s="209"/>
      <c r="D15836" s="209"/>
      <c r="E15836" s="209"/>
      <c r="J15836" s="124"/>
    </row>
    <row r="15837" spans="3:10" x14ac:dyDescent="0.2">
      <c r="C15837" s="209"/>
      <c r="D15837" s="209"/>
      <c r="E15837" s="209"/>
      <c r="J15837" s="124"/>
    </row>
    <row r="15838" spans="3:10" x14ac:dyDescent="0.2">
      <c r="C15838" s="209"/>
      <c r="D15838" s="209"/>
      <c r="E15838" s="209"/>
      <c r="J15838" s="124"/>
    </row>
    <row r="15839" spans="3:10" x14ac:dyDescent="0.2">
      <c r="C15839" s="209"/>
      <c r="D15839" s="209"/>
      <c r="E15839" s="209"/>
      <c r="J15839" s="124"/>
    </row>
    <row r="15840" spans="3:10" x14ac:dyDescent="0.2">
      <c r="C15840" s="209"/>
      <c r="D15840" s="209"/>
      <c r="E15840" s="209"/>
      <c r="J15840" s="124"/>
    </row>
    <row r="15841" spans="3:10" x14ac:dyDescent="0.2">
      <c r="C15841" s="209"/>
      <c r="D15841" s="209"/>
      <c r="E15841" s="209"/>
      <c r="J15841" s="124"/>
    </row>
    <row r="15842" spans="3:10" x14ac:dyDescent="0.2">
      <c r="C15842" s="209"/>
      <c r="D15842" s="209"/>
      <c r="E15842" s="209"/>
      <c r="J15842" s="124"/>
    </row>
    <row r="15843" spans="3:10" x14ac:dyDescent="0.2">
      <c r="C15843" s="209"/>
      <c r="D15843" s="209"/>
      <c r="E15843" s="209"/>
      <c r="J15843" s="124"/>
    </row>
    <row r="15844" spans="3:10" x14ac:dyDescent="0.2">
      <c r="C15844" s="209"/>
      <c r="D15844" s="209"/>
      <c r="E15844" s="209"/>
      <c r="J15844" s="124"/>
    </row>
    <row r="15845" spans="3:10" x14ac:dyDescent="0.2">
      <c r="C15845" s="209"/>
      <c r="D15845" s="209"/>
      <c r="E15845" s="209"/>
      <c r="J15845" s="124"/>
    </row>
    <row r="15846" spans="3:10" x14ac:dyDescent="0.2">
      <c r="C15846" s="209"/>
      <c r="D15846" s="209"/>
      <c r="E15846" s="209"/>
      <c r="J15846" s="124"/>
    </row>
    <row r="15847" spans="3:10" x14ac:dyDescent="0.2">
      <c r="C15847" s="209"/>
      <c r="D15847" s="209"/>
      <c r="E15847" s="209"/>
      <c r="J15847" s="124"/>
    </row>
    <row r="15848" spans="3:10" x14ac:dyDescent="0.2">
      <c r="C15848" s="209"/>
      <c r="D15848" s="209"/>
      <c r="E15848" s="209"/>
      <c r="J15848" s="124"/>
    </row>
    <row r="15849" spans="3:10" x14ac:dyDescent="0.2">
      <c r="C15849" s="209"/>
      <c r="D15849" s="209"/>
      <c r="E15849" s="209"/>
      <c r="J15849" s="124"/>
    </row>
    <row r="15850" spans="3:10" x14ac:dyDescent="0.2">
      <c r="C15850" s="209"/>
      <c r="D15850" s="209"/>
      <c r="E15850" s="209"/>
      <c r="J15850" s="124"/>
    </row>
    <row r="15851" spans="3:10" x14ac:dyDescent="0.2">
      <c r="C15851" s="209"/>
      <c r="D15851" s="209"/>
      <c r="E15851" s="209"/>
      <c r="J15851" s="124"/>
    </row>
    <row r="15852" spans="3:10" x14ac:dyDescent="0.2">
      <c r="C15852" s="209"/>
      <c r="D15852" s="209"/>
      <c r="E15852" s="209"/>
      <c r="J15852" s="124"/>
    </row>
    <row r="15853" spans="3:10" x14ac:dyDescent="0.2">
      <c r="C15853" s="209"/>
      <c r="D15853" s="209"/>
      <c r="E15853" s="209"/>
      <c r="J15853" s="124"/>
    </row>
    <row r="15854" spans="3:10" x14ac:dyDescent="0.2">
      <c r="C15854" s="209"/>
      <c r="D15854" s="209"/>
      <c r="E15854" s="209"/>
      <c r="J15854" s="124"/>
    </row>
    <row r="15855" spans="3:10" x14ac:dyDescent="0.2">
      <c r="C15855" s="209"/>
      <c r="D15855" s="209"/>
      <c r="E15855" s="209"/>
      <c r="J15855" s="124"/>
    </row>
    <row r="15856" spans="3:10" x14ac:dyDescent="0.2">
      <c r="C15856" s="209"/>
      <c r="D15856" s="209"/>
      <c r="E15856" s="209"/>
      <c r="J15856" s="124"/>
    </row>
    <row r="15857" spans="3:10" x14ac:dyDescent="0.2">
      <c r="C15857" s="209"/>
      <c r="D15857" s="209"/>
      <c r="E15857" s="209"/>
      <c r="J15857" s="124"/>
    </row>
    <row r="15858" spans="3:10" x14ac:dyDescent="0.2">
      <c r="C15858" s="209"/>
      <c r="D15858" s="209"/>
      <c r="E15858" s="209"/>
      <c r="J15858" s="124"/>
    </row>
    <row r="15859" spans="3:10" x14ac:dyDescent="0.2">
      <c r="C15859" s="209"/>
      <c r="D15859" s="209"/>
      <c r="E15859" s="209"/>
      <c r="J15859" s="124"/>
    </row>
    <row r="15860" spans="3:10" x14ac:dyDescent="0.2">
      <c r="C15860" s="209"/>
      <c r="D15860" s="209"/>
      <c r="E15860" s="209"/>
      <c r="J15860" s="124"/>
    </row>
    <row r="15861" spans="3:10" x14ac:dyDescent="0.2">
      <c r="C15861" s="209"/>
      <c r="D15861" s="209"/>
      <c r="E15861" s="209"/>
      <c r="J15861" s="124"/>
    </row>
    <row r="15862" spans="3:10" x14ac:dyDescent="0.2">
      <c r="C15862" s="209"/>
      <c r="D15862" s="209"/>
      <c r="E15862" s="209"/>
      <c r="J15862" s="124"/>
    </row>
    <row r="15863" spans="3:10" x14ac:dyDescent="0.2">
      <c r="C15863" s="209"/>
      <c r="D15863" s="209"/>
      <c r="E15863" s="209"/>
      <c r="J15863" s="124"/>
    </row>
    <row r="15864" spans="3:10" x14ac:dyDescent="0.2">
      <c r="C15864" s="209"/>
      <c r="D15864" s="209"/>
      <c r="E15864" s="209"/>
      <c r="J15864" s="124"/>
    </row>
    <row r="15865" spans="3:10" x14ac:dyDescent="0.2">
      <c r="C15865" s="209"/>
      <c r="D15865" s="209"/>
      <c r="E15865" s="209"/>
      <c r="J15865" s="124"/>
    </row>
    <row r="15866" spans="3:10" x14ac:dyDescent="0.2">
      <c r="C15866" s="209"/>
      <c r="D15866" s="209"/>
      <c r="E15866" s="209"/>
      <c r="J15866" s="124"/>
    </row>
    <row r="15867" spans="3:10" x14ac:dyDescent="0.2">
      <c r="C15867" s="209"/>
      <c r="D15867" s="209"/>
      <c r="E15867" s="209"/>
      <c r="J15867" s="124"/>
    </row>
    <row r="15868" spans="3:10" x14ac:dyDescent="0.2">
      <c r="C15868" s="209"/>
      <c r="D15868" s="209"/>
      <c r="E15868" s="209"/>
      <c r="J15868" s="124"/>
    </row>
    <row r="15869" spans="3:10" x14ac:dyDescent="0.2">
      <c r="C15869" s="209"/>
      <c r="D15869" s="209"/>
      <c r="E15869" s="209"/>
      <c r="J15869" s="124"/>
    </row>
    <row r="15870" spans="3:10" x14ac:dyDescent="0.2">
      <c r="C15870" s="209"/>
      <c r="D15870" s="209"/>
      <c r="E15870" s="209"/>
      <c r="J15870" s="124"/>
    </row>
    <row r="15871" spans="3:10" x14ac:dyDescent="0.2">
      <c r="C15871" s="209"/>
      <c r="D15871" s="209"/>
      <c r="E15871" s="209"/>
      <c r="J15871" s="124"/>
    </row>
    <row r="15872" spans="3:10" x14ac:dyDescent="0.2">
      <c r="C15872" s="209"/>
      <c r="D15872" s="209"/>
      <c r="E15872" s="209"/>
      <c r="J15872" s="124"/>
    </row>
    <row r="15873" spans="3:10" x14ac:dyDescent="0.2">
      <c r="C15873" s="209"/>
      <c r="D15873" s="209"/>
      <c r="E15873" s="209"/>
      <c r="J15873" s="124"/>
    </row>
    <row r="15874" spans="3:10" x14ac:dyDescent="0.2">
      <c r="C15874" s="209"/>
      <c r="D15874" s="209"/>
      <c r="E15874" s="209"/>
      <c r="J15874" s="124"/>
    </row>
    <row r="15875" spans="3:10" x14ac:dyDescent="0.2">
      <c r="C15875" s="209"/>
      <c r="D15875" s="209"/>
      <c r="E15875" s="209"/>
      <c r="J15875" s="124"/>
    </row>
    <row r="15876" spans="3:10" x14ac:dyDescent="0.2">
      <c r="C15876" s="209"/>
      <c r="D15876" s="209"/>
      <c r="E15876" s="209"/>
      <c r="J15876" s="124"/>
    </row>
    <row r="15877" spans="3:10" x14ac:dyDescent="0.2">
      <c r="C15877" s="209"/>
      <c r="D15877" s="209"/>
      <c r="E15877" s="209"/>
      <c r="J15877" s="124"/>
    </row>
    <row r="15878" spans="3:10" x14ac:dyDescent="0.2">
      <c r="C15878" s="209"/>
      <c r="D15878" s="209"/>
      <c r="E15878" s="209"/>
      <c r="J15878" s="124"/>
    </row>
    <row r="15879" spans="3:10" x14ac:dyDescent="0.2">
      <c r="C15879" s="209"/>
      <c r="D15879" s="209"/>
      <c r="E15879" s="209"/>
      <c r="J15879" s="124"/>
    </row>
    <row r="15880" spans="3:10" x14ac:dyDescent="0.2">
      <c r="C15880" s="209"/>
      <c r="D15880" s="209"/>
      <c r="E15880" s="209"/>
      <c r="J15880" s="124"/>
    </row>
    <row r="15881" spans="3:10" x14ac:dyDescent="0.2">
      <c r="C15881" s="209"/>
      <c r="D15881" s="209"/>
      <c r="E15881" s="209"/>
      <c r="J15881" s="124"/>
    </row>
    <row r="15882" spans="3:10" x14ac:dyDescent="0.2">
      <c r="C15882" s="209"/>
      <c r="D15882" s="209"/>
      <c r="E15882" s="209"/>
      <c r="J15882" s="124"/>
    </row>
    <row r="15883" spans="3:10" x14ac:dyDescent="0.2">
      <c r="C15883" s="209"/>
      <c r="D15883" s="209"/>
      <c r="E15883" s="209"/>
      <c r="J15883" s="124"/>
    </row>
    <row r="15884" spans="3:10" x14ac:dyDescent="0.2">
      <c r="C15884" s="209"/>
      <c r="D15884" s="209"/>
      <c r="E15884" s="209"/>
      <c r="J15884" s="124"/>
    </row>
    <row r="15885" spans="3:10" x14ac:dyDescent="0.2">
      <c r="C15885" s="209"/>
      <c r="D15885" s="209"/>
      <c r="E15885" s="209"/>
      <c r="J15885" s="124"/>
    </row>
    <row r="15886" spans="3:10" x14ac:dyDescent="0.2">
      <c r="C15886" s="209"/>
      <c r="D15886" s="209"/>
      <c r="E15886" s="209"/>
      <c r="J15886" s="124"/>
    </row>
    <row r="15887" spans="3:10" x14ac:dyDescent="0.2">
      <c r="C15887" s="209"/>
      <c r="D15887" s="209"/>
      <c r="E15887" s="209"/>
      <c r="J15887" s="124"/>
    </row>
    <row r="15888" spans="3:10" x14ac:dyDescent="0.2">
      <c r="C15888" s="209"/>
      <c r="D15888" s="209"/>
      <c r="E15888" s="209"/>
      <c r="J15888" s="124"/>
    </row>
    <row r="15889" spans="3:10" x14ac:dyDescent="0.2">
      <c r="C15889" s="209"/>
      <c r="D15889" s="209"/>
      <c r="E15889" s="209"/>
      <c r="J15889" s="124"/>
    </row>
    <row r="15890" spans="3:10" x14ac:dyDescent="0.2">
      <c r="C15890" s="209"/>
      <c r="D15890" s="209"/>
      <c r="E15890" s="209"/>
      <c r="J15890" s="124"/>
    </row>
    <row r="15891" spans="3:10" x14ac:dyDescent="0.2">
      <c r="C15891" s="209"/>
      <c r="D15891" s="209"/>
      <c r="E15891" s="209"/>
      <c r="J15891" s="124"/>
    </row>
    <row r="15892" spans="3:10" x14ac:dyDescent="0.2">
      <c r="C15892" s="209"/>
      <c r="D15892" s="209"/>
      <c r="E15892" s="209"/>
      <c r="J15892" s="124"/>
    </row>
    <row r="15893" spans="3:10" x14ac:dyDescent="0.2">
      <c r="C15893" s="209"/>
      <c r="D15893" s="209"/>
      <c r="E15893" s="209"/>
      <c r="J15893" s="124"/>
    </row>
    <row r="15894" spans="3:10" x14ac:dyDescent="0.2">
      <c r="C15894" s="209"/>
      <c r="D15894" s="209"/>
      <c r="E15894" s="209"/>
      <c r="J15894" s="124"/>
    </row>
    <row r="15895" spans="3:10" x14ac:dyDescent="0.2">
      <c r="C15895" s="209"/>
      <c r="D15895" s="209"/>
      <c r="E15895" s="209"/>
      <c r="J15895" s="124"/>
    </row>
    <row r="15896" spans="3:10" x14ac:dyDescent="0.2">
      <c r="C15896" s="209"/>
      <c r="D15896" s="209"/>
      <c r="E15896" s="209"/>
      <c r="J15896" s="124"/>
    </row>
    <row r="15897" spans="3:10" x14ac:dyDescent="0.2">
      <c r="C15897" s="209"/>
      <c r="D15897" s="209"/>
      <c r="E15897" s="209"/>
      <c r="J15897" s="124"/>
    </row>
    <row r="15898" spans="3:10" x14ac:dyDescent="0.2">
      <c r="C15898" s="209"/>
      <c r="D15898" s="209"/>
      <c r="E15898" s="209"/>
      <c r="J15898" s="124"/>
    </row>
    <row r="15899" spans="3:10" x14ac:dyDescent="0.2">
      <c r="C15899" s="209"/>
      <c r="D15899" s="209"/>
      <c r="E15899" s="209"/>
      <c r="J15899" s="124"/>
    </row>
    <row r="15900" spans="3:10" x14ac:dyDescent="0.2">
      <c r="C15900" s="209"/>
      <c r="D15900" s="209"/>
      <c r="E15900" s="209"/>
      <c r="J15900" s="124"/>
    </row>
    <row r="15901" spans="3:10" x14ac:dyDescent="0.2">
      <c r="C15901" s="209"/>
      <c r="D15901" s="209"/>
      <c r="E15901" s="209"/>
      <c r="J15901" s="124"/>
    </row>
    <row r="15902" spans="3:10" x14ac:dyDescent="0.2">
      <c r="C15902" s="209"/>
      <c r="D15902" s="209"/>
      <c r="E15902" s="209"/>
      <c r="J15902" s="124"/>
    </row>
    <row r="15903" spans="3:10" x14ac:dyDescent="0.2">
      <c r="C15903" s="209"/>
      <c r="D15903" s="209"/>
      <c r="E15903" s="209"/>
      <c r="J15903" s="124"/>
    </row>
    <row r="15904" spans="3:10" x14ac:dyDescent="0.2">
      <c r="C15904" s="209"/>
      <c r="D15904" s="209"/>
      <c r="E15904" s="209"/>
      <c r="J15904" s="124"/>
    </row>
    <row r="15905" spans="3:10" x14ac:dyDescent="0.2">
      <c r="C15905" s="209"/>
      <c r="D15905" s="209"/>
      <c r="E15905" s="209"/>
      <c r="J15905" s="124"/>
    </row>
    <row r="15906" spans="3:10" x14ac:dyDescent="0.2">
      <c r="C15906" s="209"/>
      <c r="D15906" s="209"/>
      <c r="E15906" s="209"/>
      <c r="J15906" s="124"/>
    </row>
    <row r="15907" spans="3:10" x14ac:dyDescent="0.2">
      <c r="C15907" s="209"/>
      <c r="D15907" s="209"/>
      <c r="E15907" s="209"/>
      <c r="J15907" s="124"/>
    </row>
    <row r="15908" spans="3:10" x14ac:dyDescent="0.2">
      <c r="C15908" s="209"/>
      <c r="D15908" s="209"/>
      <c r="E15908" s="209"/>
      <c r="J15908" s="124"/>
    </row>
    <row r="15909" spans="3:10" x14ac:dyDescent="0.2">
      <c r="C15909" s="209"/>
      <c r="D15909" s="209"/>
      <c r="E15909" s="209"/>
      <c r="J15909" s="124"/>
    </row>
    <row r="15910" spans="3:10" x14ac:dyDescent="0.2">
      <c r="C15910" s="209"/>
      <c r="D15910" s="209"/>
      <c r="E15910" s="209"/>
      <c r="J15910" s="124"/>
    </row>
    <row r="15911" spans="3:10" x14ac:dyDescent="0.2">
      <c r="C15911" s="209"/>
      <c r="D15911" s="209"/>
      <c r="E15911" s="209"/>
      <c r="J15911" s="124"/>
    </row>
    <row r="15912" spans="3:10" x14ac:dyDescent="0.2">
      <c r="C15912" s="209"/>
      <c r="D15912" s="209"/>
      <c r="E15912" s="209"/>
      <c r="J15912" s="124"/>
    </row>
    <row r="15913" spans="3:10" x14ac:dyDescent="0.2">
      <c r="C15913" s="209"/>
      <c r="D15913" s="209"/>
      <c r="E15913" s="209"/>
      <c r="J15913" s="124"/>
    </row>
    <row r="15914" spans="3:10" x14ac:dyDescent="0.2">
      <c r="C15914" s="209"/>
      <c r="D15914" s="209"/>
      <c r="E15914" s="209"/>
      <c r="J15914" s="124"/>
    </row>
    <row r="15915" spans="3:10" x14ac:dyDescent="0.2">
      <c r="C15915" s="209"/>
      <c r="D15915" s="209"/>
      <c r="E15915" s="209"/>
      <c r="J15915" s="124"/>
    </row>
    <row r="15916" spans="3:10" x14ac:dyDescent="0.2">
      <c r="C15916" s="209"/>
      <c r="D15916" s="209"/>
      <c r="E15916" s="209"/>
      <c r="J15916" s="124"/>
    </row>
    <row r="15917" spans="3:10" x14ac:dyDescent="0.2">
      <c r="C15917" s="209"/>
      <c r="D15917" s="209"/>
      <c r="E15917" s="209"/>
      <c r="J15917" s="124"/>
    </row>
    <row r="15918" spans="3:10" x14ac:dyDescent="0.2">
      <c r="C15918" s="209"/>
      <c r="D15918" s="209"/>
      <c r="E15918" s="209"/>
      <c r="J15918" s="124"/>
    </row>
    <row r="15919" spans="3:10" x14ac:dyDescent="0.2">
      <c r="C15919" s="209"/>
      <c r="D15919" s="209"/>
      <c r="E15919" s="209"/>
      <c r="J15919" s="124"/>
    </row>
    <row r="15920" spans="3:10" x14ac:dyDescent="0.2">
      <c r="C15920" s="209"/>
      <c r="D15920" s="209"/>
      <c r="E15920" s="209"/>
      <c r="J15920" s="124"/>
    </row>
    <row r="15921" spans="3:10" x14ac:dyDescent="0.2">
      <c r="C15921" s="209"/>
      <c r="D15921" s="209"/>
      <c r="E15921" s="209"/>
      <c r="J15921" s="124"/>
    </row>
    <row r="15922" spans="3:10" x14ac:dyDescent="0.2">
      <c r="C15922" s="209"/>
      <c r="D15922" s="209"/>
      <c r="E15922" s="209"/>
      <c r="J15922" s="124"/>
    </row>
    <row r="15923" spans="3:10" x14ac:dyDescent="0.2">
      <c r="C15923" s="209"/>
      <c r="D15923" s="209"/>
      <c r="E15923" s="209"/>
      <c r="J15923" s="124"/>
    </row>
    <row r="15924" spans="3:10" x14ac:dyDescent="0.2">
      <c r="C15924" s="209"/>
      <c r="D15924" s="209"/>
      <c r="E15924" s="209"/>
      <c r="J15924" s="124"/>
    </row>
    <row r="15925" spans="3:10" x14ac:dyDescent="0.2">
      <c r="C15925" s="209"/>
      <c r="D15925" s="209"/>
      <c r="E15925" s="209"/>
      <c r="J15925" s="124"/>
    </row>
    <row r="15926" spans="3:10" x14ac:dyDescent="0.2">
      <c r="C15926" s="209"/>
      <c r="D15926" s="209"/>
      <c r="E15926" s="209"/>
      <c r="J15926" s="124"/>
    </row>
    <row r="15927" spans="3:10" x14ac:dyDescent="0.2">
      <c r="C15927" s="209"/>
      <c r="D15927" s="209"/>
      <c r="E15927" s="209"/>
      <c r="J15927" s="124"/>
    </row>
    <row r="15928" spans="3:10" x14ac:dyDescent="0.2">
      <c r="C15928" s="209"/>
      <c r="D15928" s="209"/>
      <c r="E15928" s="209"/>
      <c r="J15928" s="124"/>
    </row>
    <row r="15929" spans="3:10" x14ac:dyDescent="0.2">
      <c r="C15929" s="209"/>
      <c r="D15929" s="209"/>
      <c r="E15929" s="209"/>
      <c r="J15929" s="124"/>
    </row>
    <row r="15930" spans="3:10" x14ac:dyDescent="0.2">
      <c r="C15930" s="209"/>
      <c r="D15930" s="209"/>
      <c r="E15930" s="209"/>
      <c r="J15930" s="124"/>
    </row>
    <row r="15931" spans="3:10" x14ac:dyDescent="0.2">
      <c r="C15931" s="209"/>
      <c r="D15931" s="209"/>
      <c r="E15931" s="209"/>
      <c r="J15931" s="124"/>
    </row>
    <row r="15932" spans="3:10" x14ac:dyDescent="0.2">
      <c r="C15932" s="209"/>
      <c r="D15932" s="209"/>
      <c r="E15932" s="209"/>
      <c r="J15932" s="124"/>
    </row>
    <row r="15933" spans="3:10" x14ac:dyDescent="0.2">
      <c r="C15933" s="209"/>
      <c r="D15933" s="209"/>
      <c r="E15933" s="209"/>
      <c r="J15933" s="124"/>
    </row>
    <row r="15934" spans="3:10" x14ac:dyDescent="0.2">
      <c r="C15934" s="209"/>
      <c r="D15934" s="209"/>
      <c r="E15934" s="209"/>
      <c r="J15934" s="124"/>
    </row>
    <row r="15935" spans="3:10" x14ac:dyDescent="0.2">
      <c r="C15935" s="209"/>
      <c r="D15935" s="209"/>
      <c r="E15935" s="209"/>
      <c r="J15935" s="124"/>
    </row>
    <row r="15936" spans="3:10" x14ac:dyDescent="0.2">
      <c r="C15936" s="209"/>
      <c r="D15936" s="209"/>
      <c r="E15936" s="209"/>
      <c r="J15936" s="124"/>
    </row>
    <row r="15937" spans="3:10" x14ac:dyDescent="0.2">
      <c r="C15937" s="209"/>
      <c r="D15937" s="209"/>
      <c r="E15937" s="209"/>
      <c r="J15937" s="124"/>
    </row>
    <row r="15938" spans="3:10" x14ac:dyDescent="0.2">
      <c r="C15938" s="209"/>
      <c r="D15938" s="209"/>
      <c r="E15938" s="209"/>
      <c r="J15938" s="124"/>
    </row>
    <row r="15939" spans="3:10" x14ac:dyDescent="0.2">
      <c r="C15939" s="209"/>
      <c r="D15939" s="209"/>
      <c r="E15939" s="209"/>
      <c r="J15939" s="124"/>
    </row>
    <row r="15940" spans="3:10" x14ac:dyDescent="0.2">
      <c r="C15940" s="209"/>
      <c r="D15940" s="209"/>
      <c r="E15940" s="209"/>
      <c r="J15940" s="124"/>
    </row>
    <row r="15941" spans="3:10" x14ac:dyDescent="0.2">
      <c r="C15941" s="209"/>
      <c r="D15941" s="209"/>
      <c r="E15941" s="209"/>
      <c r="J15941" s="124"/>
    </row>
    <row r="15942" spans="3:10" x14ac:dyDescent="0.2">
      <c r="C15942" s="209"/>
      <c r="D15942" s="209"/>
      <c r="E15942" s="209"/>
      <c r="J15942" s="124"/>
    </row>
    <row r="15943" spans="3:10" x14ac:dyDescent="0.2">
      <c r="C15943" s="209"/>
      <c r="D15943" s="209"/>
      <c r="E15943" s="209"/>
      <c r="J15943" s="124"/>
    </row>
    <row r="15944" spans="3:10" x14ac:dyDescent="0.2">
      <c r="C15944" s="209"/>
      <c r="D15944" s="209"/>
      <c r="E15944" s="209"/>
      <c r="J15944" s="124"/>
    </row>
    <row r="15945" spans="3:10" x14ac:dyDescent="0.2">
      <c r="C15945" s="209"/>
      <c r="D15945" s="209"/>
      <c r="E15945" s="209"/>
      <c r="J15945" s="124"/>
    </row>
    <row r="15946" spans="3:10" x14ac:dyDescent="0.2">
      <c r="C15946" s="209"/>
      <c r="D15946" s="209"/>
      <c r="E15946" s="209"/>
      <c r="J15946" s="124"/>
    </row>
    <row r="15947" spans="3:10" x14ac:dyDescent="0.2">
      <c r="C15947" s="209"/>
      <c r="D15947" s="209"/>
      <c r="E15947" s="209"/>
      <c r="J15947" s="124"/>
    </row>
    <row r="15948" spans="3:10" x14ac:dyDescent="0.2">
      <c r="C15948" s="209"/>
      <c r="D15948" s="209"/>
      <c r="E15948" s="209"/>
      <c r="J15948" s="124"/>
    </row>
    <row r="15949" spans="3:10" x14ac:dyDescent="0.2">
      <c r="C15949" s="209"/>
      <c r="D15949" s="209"/>
      <c r="E15949" s="209"/>
      <c r="J15949" s="124"/>
    </row>
    <row r="15950" spans="3:10" x14ac:dyDescent="0.2">
      <c r="C15950" s="209"/>
      <c r="D15950" s="209"/>
      <c r="E15950" s="209"/>
      <c r="J15950" s="124"/>
    </row>
    <row r="15951" spans="3:10" x14ac:dyDescent="0.2">
      <c r="C15951" s="209"/>
      <c r="D15951" s="209"/>
      <c r="E15951" s="209"/>
      <c r="J15951" s="124"/>
    </row>
    <row r="15952" spans="3:10" x14ac:dyDescent="0.2">
      <c r="C15952" s="209"/>
      <c r="D15952" s="209"/>
      <c r="E15952" s="209"/>
      <c r="J15952" s="124"/>
    </row>
    <row r="15953" spans="3:10" x14ac:dyDescent="0.2">
      <c r="C15953" s="209"/>
      <c r="D15953" s="209"/>
      <c r="E15953" s="209"/>
      <c r="J15953" s="124"/>
    </row>
    <row r="15954" spans="3:10" x14ac:dyDescent="0.2">
      <c r="C15954" s="209"/>
      <c r="D15954" s="209"/>
      <c r="E15954" s="209"/>
      <c r="J15954" s="124"/>
    </row>
    <row r="15955" spans="3:10" x14ac:dyDescent="0.2">
      <c r="C15955" s="209"/>
      <c r="D15955" s="209"/>
      <c r="E15955" s="209"/>
      <c r="J15955" s="124"/>
    </row>
    <row r="15956" spans="3:10" x14ac:dyDescent="0.2">
      <c r="C15956" s="209"/>
      <c r="D15956" s="209"/>
      <c r="E15956" s="209"/>
      <c r="J15956" s="124"/>
    </row>
    <row r="15957" spans="3:10" x14ac:dyDescent="0.2">
      <c r="C15957" s="209"/>
      <c r="D15957" s="209"/>
      <c r="E15957" s="209"/>
      <c r="J15957" s="124"/>
    </row>
    <row r="15958" spans="3:10" x14ac:dyDescent="0.2">
      <c r="C15958" s="209"/>
      <c r="D15958" s="209"/>
      <c r="E15958" s="209"/>
      <c r="J15958" s="124"/>
    </row>
    <row r="15959" spans="3:10" x14ac:dyDescent="0.2">
      <c r="C15959" s="209"/>
      <c r="D15959" s="209"/>
      <c r="E15959" s="209"/>
      <c r="J15959" s="124"/>
    </row>
    <row r="15960" spans="3:10" x14ac:dyDescent="0.2">
      <c r="C15960" s="209"/>
      <c r="D15960" s="209"/>
      <c r="E15960" s="209"/>
      <c r="J15960" s="124"/>
    </row>
    <row r="15961" spans="3:10" x14ac:dyDescent="0.2">
      <c r="C15961" s="209"/>
      <c r="D15961" s="209"/>
      <c r="E15961" s="209"/>
      <c r="J15961" s="124"/>
    </row>
    <row r="15962" spans="3:10" x14ac:dyDescent="0.2">
      <c r="C15962" s="209"/>
      <c r="D15962" s="209"/>
      <c r="E15962" s="209"/>
      <c r="J15962" s="124"/>
    </row>
    <row r="15963" spans="3:10" x14ac:dyDescent="0.2">
      <c r="C15963" s="209"/>
      <c r="D15963" s="209"/>
      <c r="E15963" s="209"/>
      <c r="J15963" s="124"/>
    </row>
    <row r="15964" spans="3:10" x14ac:dyDescent="0.2">
      <c r="C15964" s="209"/>
      <c r="D15964" s="209"/>
      <c r="E15964" s="209"/>
      <c r="J15964" s="124"/>
    </row>
    <row r="15965" spans="3:10" x14ac:dyDescent="0.2">
      <c r="C15965" s="209"/>
      <c r="D15965" s="209"/>
      <c r="E15965" s="209"/>
      <c r="J15965" s="124"/>
    </row>
    <row r="15966" spans="3:10" x14ac:dyDescent="0.2">
      <c r="C15966" s="209"/>
      <c r="D15966" s="209"/>
      <c r="E15966" s="209"/>
      <c r="J15966" s="124"/>
    </row>
    <row r="15967" spans="3:10" x14ac:dyDescent="0.2">
      <c r="C15967" s="209"/>
      <c r="D15967" s="209"/>
      <c r="E15967" s="209"/>
      <c r="J15967" s="124"/>
    </row>
    <row r="15968" spans="3:10" x14ac:dyDescent="0.2">
      <c r="C15968" s="209"/>
      <c r="D15968" s="209"/>
      <c r="E15968" s="209"/>
      <c r="J15968" s="124"/>
    </row>
    <row r="15969" spans="3:10" x14ac:dyDescent="0.2">
      <c r="C15969" s="209"/>
      <c r="D15969" s="209"/>
      <c r="E15969" s="209"/>
      <c r="J15969" s="124"/>
    </row>
    <row r="15970" spans="3:10" x14ac:dyDescent="0.2">
      <c r="C15970" s="209"/>
      <c r="D15970" s="209"/>
      <c r="E15970" s="209"/>
      <c r="J15970" s="124"/>
    </row>
    <row r="15971" spans="3:10" x14ac:dyDescent="0.2">
      <c r="C15971" s="209"/>
      <c r="D15971" s="209"/>
      <c r="E15971" s="209"/>
      <c r="J15971" s="124"/>
    </row>
    <row r="15972" spans="3:10" x14ac:dyDescent="0.2">
      <c r="C15972" s="209"/>
      <c r="D15972" s="209"/>
      <c r="E15972" s="209"/>
      <c r="J15972" s="124"/>
    </row>
    <row r="15973" spans="3:10" x14ac:dyDescent="0.2">
      <c r="C15973" s="209"/>
      <c r="D15973" s="209"/>
      <c r="E15973" s="209"/>
      <c r="J15973" s="124"/>
    </row>
    <row r="15974" spans="3:10" x14ac:dyDescent="0.2">
      <c r="C15974" s="209"/>
      <c r="D15974" s="209"/>
      <c r="E15974" s="209"/>
      <c r="J15974" s="124"/>
    </row>
    <row r="15975" spans="3:10" x14ac:dyDescent="0.2">
      <c r="C15975" s="209"/>
      <c r="D15975" s="209"/>
      <c r="E15975" s="209"/>
      <c r="J15975" s="124"/>
    </row>
    <row r="15976" spans="3:10" x14ac:dyDescent="0.2">
      <c r="C15976" s="209"/>
      <c r="D15976" s="209"/>
      <c r="E15976" s="209"/>
      <c r="J15976" s="124"/>
    </row>
    <row r="15977" spans="3:10" x14ac:dyDescent="0.2">
      <c r="C15977" s="209"/>
      <c r="D15977" s="209"/>
      <c r="E15977" s="209"/>
      <c r="J15977" s="124"/>
    </row>
    <row r="15978" spans="3:10" x14ac:dyDescent="0.2">
      <c r="C15978" s="209"/>
      <c r="D15978" s="209"/>
      <c r="E15978" s="209"/>
      <c r="J15978" s="124"/>
    </row>
    <row r="15979" spans="3:10" x14ac:dyDescent="0.2">
      <c r="C15979" s="209"/>
      <c r="D15979" s="209"/>
      <c r="E15979" s="209"/>
      <c r="J15979" s="124"/>
    </row>
    <row r="15980" spans="3:10" x14ac:dyDescent="0.2">
      <c r="C15980" s="209"/>
      <c r="D15980" s="209"/>
      <c r="E15980" s="209"/>
      <c r="J15980" s="124"/>
    </row>
    <row r="15981" spans="3:10" x14ac:dyDescent="0.2">
      <c r="C15981" s="209"/>
      <c r="D15981" s="209"/>
      <c r="E15981" s="209"/>
      <c r="J15981" s="124"/>
    </row>
    <row r="15982" spans="3:10" x14ac:dyDescent="0.2">
      <c r="C15982" s="209"/>
      <c r="D15982" s="209"/>
      <c r="E15982" s="209"/>
      <c r="J15982" s="124"/>
    </row>
    <row r="15983" spans="3:10" x14ac:dyDescent="0.2">
      <c r="C15983" s="209"/>
      <c r="D15983" s="209"/>
      <c r="E15983" s="209"/>
      <c r="J15983" s="124"/>
    </row>
    <row r="15984" spans="3:10" x14ac:dyDescent="0.2">
      <c r="C15984" s="209"/>
      <c r="D15984" s="209"/>
      <c r="E15984" s="209"/>
      <c r="J15984" s="124"/>
    </row>
    <row r="15985" spans="3:10" x14ac:dyDescent="0.2">
      <c r="C15985" s="209"/>
      <c r="D15985" s="209"/>
      <c r="E15985" s="209"/>
      <c r="J15985" s="124"/>
    </row>
    <row r="15986" spans="3:10" x14ac:dyDescent="0.2">
      <c r="C15986" s="209"/>
      <c r="D15986" s="209"/>
      <c r="E15986" s="209"/>
      <c r="J15986" s="124"/>
    </row>
    <row r="15987" spans="3:10" x14ac:dyDescent="0.2">
      <c r="C15987" s="209"/>
      <c r="D15987" s="209"/>
      <c r="E15987" s="209"/>
      <c r="J15987" s="124"/>
    </row>
    <row r="15988" spans="3:10" x14ac:dyDescent="0.2">
      <c r="C15988" s="209"/>
      <c r="D15988" s="209"/>
      <c r="E15988" s="209"/>
      <c r="J15988" s="124"/>
    </row>
    <row r="15989" spans="3:10" x14ac:dyDescent="0.2">
      <c r="C15989" s="209"/>
      <c r="D15989" s="209"/>
      <c r="E15989" s="209"/>
      <c r="J15989" s="124"/>
    </row>
    <row r="15990" spans="3:10" x14ac:dyDescent="0.2">
      <c r="C15990" s="209"/>
      <c r="D15990" s="209"/>
      <c r="E15990" s="209"/>
      <c r="J15990" s="124"/>
    </row>
    <row r="15991" spans="3:10" x14ac:dyDescent="0.2">
      <c r="C15991" s="209"/>
      <c r="D15991" s="209"/>
      <c r="E15991" s="209"/>
      <c r="J15991" s="124"/>
    </row>
    <row r="15992" spans="3:10" x14ac:dyDescent="0.2">
      <c r="C15992" s="209"/>
      <c r="D15992" s="209"/>
      <c r="E15992" s="209"/>
      <c r="J15992" s="124"/>
    </row>
    <row r="15993" spans="3:10" x14ac:dyDescent="0.2">
      <c r="C15993" s="209"/>
      <c r="D15993" s="209"/>
      <c r="E15993" s="209"/>
      <c r="J15993" s="124"/>
    </row>
    <row r="15994" spans="3:10" x14ac:dyDescent="0.2">
      <c r="C15994" s="209"/>
      <c r="D15994" s="209"/>
      <c r="E15994" s="209"/>
      <c r="J15994" s="124"/>
    </row>
    <row r="15995" spans="3:10" x14ac:dyDescent="0.2">
      <c r="C15995" s="209"/>
      <c r="D15995" s="209"/>
      <c r="E15995" s="209"/>
      <c r="J15995" s="124"/>
    </row>
    <row r="15996" spans="3:10" x14ac:dyDescent="0.2">
      <c r="C15996" s="209"/>
      <c r="D15996" s="209"/>
      <c r="E15996" s="209"/>
      <c r="J15996" s="124"/>
    </row>
    <row r="15997" spans="3:10" x14ac:dyDescent="0.2">
      <c r="C15997" s="209"/>
      <c r="D15997" s="209"/>
      <c r="E15997" s="209"/>
      <c r="J15997" s="124"/>
    </row>
    <row r="15998" spans="3:10" x14ac:dyDescent="0.2">
      <c r="C15998" s="209"/>
      <c r="D15998" s="209"/>
      <c r="E15998" s="209"/>
      <c r="J15998" s="124"/>
    </row>
    <row r="15999" spans="3:10" x14ac:dyDescent="0.2">
      <c r="C15999" s="209"/>
      <c r="D15999" s="209"/>
      <c r="E15999" s="209"/>
      <c r="J15999" s="124"/>
    </row>
    <row r="16000" spans="3:10" x14ac:dyDescent="0.2">
      <c r="C16000" s="209"/>
      <c r="D16000" s="209"/>
      <c r="E16000" s="209"/>
      <c r="J16000" s="124"/>
    </row>
    <row r="16001" spans="3:10" x14ac:dyDescent="0.2">
      <c r="C16001" s="209"/>
      <c r="D16001" s="209"/>
      <c r="E16001" s="209"/>
      <c r="J16001" s="124"/>
    </row>
    <row r="16002" spans="3:10" x14ac:dyDescent="0.2">
      <c r="C16002" s="209"/>
      <c r="D16002" s="209"/>
      <c r="E16002" s="209"/>
      <c r="J16002" s="124"/>
    </row>
    <row r="16003" spans="3:10" x14ac:dyDescent="0.2">
      <c r="C16003" s="209"/>
      <c r="D16003" s="209"/>
      <c r="E16003" s="209"/>
      <c r="J16003" s="124"/>
    </row>
    <row r="16004" spans="3:10" x14ac:dyDescent="0.2">
      <c r="C16004" s="209"/>
      <c r="D16004" s="209"/>
      <c r="E16004" s="209"/>
      <c r="J16004" s="124"/>
    </row>
    <row r="16005" spans="3:10" x14ac:dyDescent="0.2">
      <c r="C16005" s="209"/>
      <c r="D16005" s="209"/>
      <c r="E16005" s="209"/>
      <c r="J16005" s="124"/>
    </row>
    <row r="16006" spans="3:10" x14ac:dyDescent="0.2">
      <c r="C16006" s="209"/>
      <c r="D16006" s="209"/>
      <c r="E16006" s="209"/>
      <c r="J16006" s="124"/>
    </row>
    <row r="16007" spans="3:10" x14ac:dyDescent="0.2">
      <c r="C16007" s="209"/>
      <c r="D16007" s="209"/>
      <c r="E16007" s="209"/>
      <c r="J16007" s="124"/>
    </row>
    <row r="16008" spans="3:10" x14ac:dyDescent="0.2">
      <c r="C16008" s="209"/>
      <c r="D16008" s="209"/>
      <c r="E16008" s="209"/>
      <c r="J16008" s="124"/>
    </row>
    <row r="16009" spans="3:10" x14ac:dyDescent="0.2">
      <c r="C16009" s="209"/>
      <c r="D16009" s="209"/>
      <c r="E16009" s="209"/>
      <c r="J16009" s="124"/>
    </row>
    <row r="16010" spans="3:10" x14ac:dyDescent="0.2">
      <c r="C16010" s="209"/>
      <c r="D16010" s="209"/>
      <c r="E16010" s="209"/>
      <c r="J16010" s="124"/>
    </row>
    <row r="16011" spans="3:10" x14ac:dyDescent="0.2">
      <c r="C16011" s="209"/>
      <c r="D16011" s="209"/>
      <c r="E16011" s="209"/>
      <c r="J16011" s="124"/>
    </row>
    <row r="16012" spans="3:10" x14ac:dyDescent="0.2">
      <c r="C16012" s="209"/>
      <c r="D16012" s="209"/>
      <c r="E16012" s="209"/>
      <c r="J16012" s="124"/>
    </row>
    <row r="16013" spans="3:10" x14ac:dyDescent="0.2">
      <c r="C16013" s="209"/>
      <c r="D16013" s="209"/>
      <c r="E16013" s="209"/>
      <c r="J16013" s="124"/>
    </row>
    <row r="16014" spans="3:10" x14ac:dyDescent="0.2">
      <c r="C16014" s="209"/>
      <c r="D16014" s="209"/>
      <c r="E16014" s="209"/>
      <c r="J16014" s="124"/>
    </row>
    <row r="16015" spans="3:10" x14ac:dyDescent="0.2">
      <c r="C16015" s="209"/>
      <c r="D16015" s="209"/>
      <c r="E16015" s="209"/>
      <c r="J16015" s="124"/>
    </row>
    <row r="16016" spans="3:10" x14ac:dyDescent="0.2">
      <c r="C16016" s="209"/>
      <c r="D16016" s="209"/>
      <c r="E16016" s="209"/>
      <c r="J16016" s="124"/>
    </row>
    <row r="16017" spans="3:10" x14ac:dyDescent="0.2">
      <c r="C16017" s="209"/>
      <c r="D16017" s="209"/>
      <c r="E16017" s="209"/>
      <c r="J16017" s="124"/>
    </row>
    <row r="16018" spans="3:10" x14ac:dyDescent="0.2">
      <c r="C16018" s="209"/>
      <c r="D16018" s="209"/>
      <c r="E16018" s="209"/>
      <c r="J16018" s="124"/>
    </row>
    <row r="16019" spans="3:10" x14ac:dyDescent="0.2">
      <c r="C16019" s="209"/>
      <c r="D16019" s="209"/>
      <c r="E16019" s="209"/>
      <c r="J16019" s="124"/>
    </row>
    <row r="16020" spans="3:10" x14ac:dyDescent="0.2">
      <c r="C16020" s="209"/>
      <c r="D16020" s="209"/>
      <c r="E16020" s="209"/>
      <c r="J16020" s="124"/>
    </row>
    <row r="16021" spans="3:10" x14ac:dyDescent="0.2">
      <c r="C16021" s="209"/>
      <c r="D16021" s="209"/>
      <c r="E16021" s="209"/>
      <c r="J16021" s="124"/>
    </row>
    <row r="16022" spans="3:10" x14ac:dyDescent="0.2">
      <c r="C16022" s="209"/>
      <c r="D16022" s="209"/>
      <c r="E16022" s="209"/>
      <c r="J16022" s="124"/>
    </row>
    <row r="16023" spans="3:10" x14ac:dyDescent="0.2">
      <c r="C16023" s="209"/>
      <c r="D16023" s="209"/>
      <c r="E16023" s="209"/>
      <c r="J16023" s="124"/>
    </row>
    <row r="16024" spans="3:10" x14ac:dyDescent="0.2">
      <c r="C16024" s="209"/>
      <c r="D16024" s="209"/>
      <c r="E16024" s="209"/>
      <c r="J16024" s="124"/>
    </row>
    <row r="16025" spans="3:10" x14ac:dyDescent="0.2">
      <c r="C16025" s="209"/>
      <c r="D16025" s="209"/>
      <c r="E16025" s="209"/>
      <c r="J16025" s="124"/>
    </row>
    <row r="16026" spans="3:10" x14ac:dyDescent="0.2">
      <c r="C16026" s="209"/>
      <c r="D16026" s="209"/>
      <c r="E16026" s="209"/>
      <c r="J16026" s="124"/>
    </row>
    <row r="16027" spans="3:10" x14ac:dyDescent="0.2">
      <c r="C16027" s="209"/>
      <c r="D16027" s="209"/>
      <c r="E16027" s="209"/>
      <c r="J16027" s="124"/>
    </row>
    <row r="16028" spans="3:10" x14ac:dyDescent="0.2">
      <c r="C16028" s="209"/>
      <c r="D16028" s="209"/>
      <c r="E16028" s="209"/>
      <c r="J16028" s="124"/>
    </row>
    <row r="16029" spans="3:10" x14ac:dyDescent="0.2">
      <c r="C16029" s="209"/>
      <c r="D16029" s="209"/>
      <c r="E16029" s="209"/>
      <c r="J16029" s="124"/>
    </row>
    <row r="16030" spans="3:10" x14ac:dyDescent="0.2">
      <c r="C16030" s="209"/>
      <c r="D16030" s="209"/>
      <c r="E16030" s="209"/>
      <c r="J16030" s="124"/>
    </row>
    <row r="16031" spans="3:10" x14ac:dyDescent="0.2">
      <c r="C16031" s="209"/>
      <c r="D16031" s="209"/>
      <c r="E16031" s="209"/>
      <c r="J16031" s="124"/>
    </row>
    <row r="16032" spans="3:10" x14ac:dyDescent="0.2">
      <c r="C16032" s="209"/>
      <c r="D16032" s="209"/>
      <c r="E16032" s="209"/>
      <c r="J16032" s="124"/>
    </row>
    <row r="16033" spans="3:10" x14ac:dyDescent="0.2">
      <c r="C16033" s="209"/>
      <c r="D16033" s="209"/>
      <c r="E16033" s="209"/>
      <c r="J16033" s="124"/>
    </row>
    <row r="16034" spans="3:10" x14ac:dyDescent="0.2">
      <c r="C16034" s="209"/>
      <c r="D16034" s="209"/>
      <c r="E16034" s="209"/>
      <c r="J16034" s="124"/>
    </row>
    <row r="16035" spans="3:10" x14ac:dyDescent="0.2">
      <c r="C16035" s="209"/>
      <c r="D16035" s="209"/>
      <c r="E16035" s="209"/>
      <c r="J16035" s="124"/>
    </row>
    <row r="16036" spans="3:10" x14ac:dyDescent="0.2">
      <c r="C16036" s="209"/>
      <c r="D16036" s="209"/>
      <c r="E16036" s="209"/>
      <c r="J16036" s="124"/>
    </row>
    <row r="16037" spans="3:10" x14ac:dyDescent="0.2">
      <c r="C16037" s="209"/>
      <c r="D16037" s="209"/>
      <c r="E16037" s="209"/>
      <c r="J16037" s="124"/>
    </row>
    <row r="16038" spans="3:10" x14ac:dyDescent="0.2">
      <c r="C16038" s="209"/>
      <c r="D16038" s="209"/>
      <c r="E16038" s="209"/>
      <c r="J16038" s="124"/>
    </row>
    <row r="16039" spans="3:10" x14ac:dyDescent="0.2">
      <c r="C16039" s="209"/>
      <c r="D16039" s="209"/>
      <c r="E16039" s="209"/>
      <c r="J16039" s="124"/>
    </row>
    <row r="16040" spans="3:10" x14ac:dyDescent="0.2">
      <c r="C16040" s="209"/>
      <c r="D16040" s="209"/>
      <c r="E16040" s="209"/>
      <c r="J16040" s="124"/>
    </row>
    <row r="16041" spans="3:10" x14ac:dyDescent="0.2">
      <c r="C16041" s="209"/>
      <c r="D16041" s="209"/>
      <c r="E16041" s="209"/>
      <c r="J16041" s="124"/>
    </row>
    <row r="16042" spans="3:10" x14ac:dyDescent="0.2">
      <c r="C16042" s="209"/>
      <c r="D16042" s="209"/>
      <c r="E16042" s="209"/>
      <c r="J16042" s="124"/>
    </row>
    <row r="16043" spans="3:10" x14ac:dyDescent="0.2">
      <c r="C16043" s="209"/>
      <c r="D16043" s="209"/>
      <c r="E16043" s="209"/>
      <c r="J16043" s="124"/>
    </row>
    <row r="16044" spans="3:10" x14ac:dyDescent="0.2">
      <c r="C16044" s="209"/>
      <c r="D16044" s="209"/>
      <c r="E16044" s="209"/>
      <c r="J16044" s="124"/>
    </row>
    <row r="16045" spans="3:10" x14ac:dyDescent="0.2">
      <c r="C16045" s="209"/>
      <c r="D16045" s="209"/>
      <c r="E16045" s="209"/>
      <c r="J16045" s="124"/>
    </row>
    <row r="16046" spans="3:10" x14ac:dyDescent="0.2">
      <c r="C16046" s="209"/>
      <c r="D16046" s="209"/>
      <c r="E16046" s="209"/>
      <c r="J16046" s="124"/>
    </row>
    <row r="16047" spans="3:10" x14ac:dyDescent="0.2">
      <c r="C16047" s="209"/>
      <c r="D16047" s="209"/>
      <c r="E16047" s="209"/>
      <c r="J16047" s="124"/>
    </row>
    <row r="16048" spans="3:10" x14ac:dyDescent="0.2">
      <c r="C16048" s="209"/>
      <c r="D16048" s="209"/>
      <c r="E16048" s="209"/>
      <c r="J16048" s="124"/>
    </row>
    <row r="16049" spans="3:10" x14ac:dyDescent="0.2">
      <c r="C16049" s="209"/>
      <c r="D16049" s="209"/>
      <c r="E16049" s="209"/>
      <c r="J16049" s="124"/>
    </row>
    <row r="16050" spans="3:10" x14ac:dyDescent="0.2">
      <c r="C16050" s="209"/>
      <c r="D16050" s="209"/>
      <c r="E16050" s="209"/>
      <c r="J16050" s="124"/>
    </row>
    <row r="16051" spans="3:10" x14ac:dyDescent="0.2">
      <c r="C16051" s="209"/>
      <c r="D16051" s="209"/>
      <c r="E16051" s="209"/>
      <c r="J16051" s="124"/>
    </row>
    <row r="16052" spans="3:10" x14ac:dyDescent="0.2">
      <c r="C16052" s="209"/>
      <c r="D16052" s="209"/>
      <c r="E16052" s="209"/>
      <c r="J16052" s="124"/>
    </row>
    <row r="16053" spans="3:10" x14ac:dyDescent="0.2">
      <c r="C16053" s="209"/>
      <c r="D16053" s="209"/>
      <c r="E16053" s="209"/>
      <c r="J16053" s="124"/>
    </row>
    <row r="16054" spans="3:10" x14ac:dyDescent="0.2">
      <c r="C16054" s="209"/>
      <c r="D16054" s="209"/>
      <c r="E16054" s="209"/>
      <c r="J16054" s="124"/>
    </row>
    <row r="16055" spans="3:10" x14ac:dyDescent="0.2">
      <c r="C16055" s="209"/>
      <c r="D16055" s="209"/>
      <c r="E16055" s="209"/>
      <c r="J16055" s="124"/>
    </row>
    <row r="16056" spans="3:10" x14ac:dyDescent="0.2">
      <c r="C16056" s="209"/>
      <c r="D16056" s="209"/>
      <c r="E16056" s="209"/>
      <c r="J16056" s="124"/>
    </row>
    <row r="16057" spans="3:10" x14ac:dyDescent="0.2">
      <c r="C16057" s="209"/>
      <c r="D16057" s="209"/>
      <c r="E16057" s="209"/>
      <c r="J16057" s="124"/>
    </row>
    <row r="16058" spans="3:10" x14ac:dyDescent="0.2">
      <c r="C16058" s="209"/>
      <c r="D16058" s="209"/>
      <c r="E16058" s="209"/>
      <c r="J16058" s="124"/>
    </row>
    <row r="16059" spans="3:10" x14ac:dyDescent="0.2">
      <c r="C16059" s="209"/>
      <c r="D16059" s="209"/>
      <c r="E16059" s="209"/>
      <c r="J16059" s="124"/>
    </row>
    <row r="16060" spans="3:10" x14ac:dyDescent="0.2">
      <c r="C16060" s="209"/>
      <c r="D16060" s="209"/>
      <c r="E16060" s="209"/>
      <c r="J16060" s="124"/>
    </row>
    <row r="16061" spans="3:10" x14ac:dyDescent="0.2">
      <c r="C16061" s="209"/>
      <c r="D16061" s="209"/>
      <c r="E16061" s="209"/>
      <c r="J16061" s="124"/>
    </row>
    <row r="16062" spans="3:10" x14ac:dyDescent="0.2">
      <c r="C16062" s="209"/>
      <c r="D16062" s="209"/>
      <c r="E16062" s="209"/>
      <c r="J16062" s="124"/>
    </row>
    <row r="16063" spans="3:10" x14ac:dyDescent="0.2">
      <c r="C16063" s="209"/>
      <c r="D16063" s="209"/>
      <c r="E16063" s="209"/>
      <c r="J16063" s="124"/>
    </row>
    <row r="16064" spans="3:10" x14ac:dyDescent="0.2">
      <c r="C16064" s="209"/>
      <c r="D16064" s="209"/>
      <c r="E16064" s="209"/>
      <c r="J16064" s="124"/>
    </row>
    <row r="16065" spans="3:10" x14ac:dyDescent="0.2">
      <c r="C16065" s="209"/>
      <c r="D16065" s="209"/>
      <c r="E16065" s="209"/>
      <c r="J16065" s="124"/>
    </row>
    <row r="16066" spans="3:10" x14ac:dyDescent="0.2">
      <c r="C16066" s="209"/>
      <c r="D16066" s="209"/>
      <c r="E16066" s="209"/>
      <c r="J16066" s="124"/>
    </row>
    <row r="16067" spans="3:10" x14ac:dyDescent="0.2">
      <c r="C16067" s="209"/>
      <c r="D16067" s="209"/>
      <c r="E16067" s="209"/>
      <c r="J16067" s="124"/>
    </row>
    <row r="16068" spans="3:10" x14ac:dyDescent="0.2">
      <c r="C16068" s="209"/>
      <c r="D16068" s="209"/>
      <c r="E16068" s="209"/>
      <c r="J16068" s="124"/>
    </row>
    <row r="16069" spans="3:10" x14ac:dyDescent="0.2">
      <c r="C16069" s="209"/>
      <c r="D16069" s="209"/>
      <c r="E16069" s="209"/>
      <c r="J16069" s="124"/>
    </row>
    <row r="16070" spans="3:10" x14ac:dyDescent="0.2">
      <c r="C16070" s="209"/>
      <c r="D16070" s="209"/>
      <c r="E16070" s="209"/>
      <c r="J16070" s="124"/>
    </row>
    <row r="16071" spans="3:10" x14ac:dyDescent="0.2">
      <c r="C16071" s="209"/>
      <c r="D16071" s="209"/>
      <c r="E16071" s="209"/>
      <c r="J16071" s="124"/>
    </row>
    <row r="16072" spans="3:10" x14ac:dyDescent="0.2">
      <c r="C16072" s="209"/>
      <c r="D16072" s="209"/>
      <c r="E16072" s="209"/>
      <c r="J16072" s="124"/>
    </row>
    <row r="16073" spans="3:10" x14ac:dyDescent="0.2">
      <c r="C16073" s="209"/>
      <c r="D16073" s="209"/>
      <c r="E16073" s="209"/>
      <c r="J16073" s="124"/>
    </row>
    <row r="16074" spans="3:10" x14ac:dyDescent="0.2">
      <c r="C16074" s="209"/>
      <c r="D16074" s="209"/>
      <c r="E16074" s="209"/>
      <c r="J16074" s="124"/>
    </row>
    <row r="16075" spans="3:10" x14ac:dyDescent="0.2">
      <c r="C16075" s="209"/>
      <c r="D16075" s="209"/>
      <c r="E16075" s="209"/>
      <c r="J16075" s="124"/>
    </row>
    <row r="16076" spans="3:10" x14ac:dyDescent="0.2">
      <c r="C16076" s="209"/>
      <c r="D16076" s="209"/>
      <c r="E16076" s="209"/>
      <c r="J16076" s="124"/>
    </row>
    <row r="16077" spans="3:10" x14ac:dyDescent="0.2">
      <c r="C16077" s="209"/>
      <c r="D16077" s="209"/>
      <c r="E16077" s="209"/>
      <c r="J16077" s="124"/>
    </row>
    <row r="16078" spans="3:10" x14ac:dyDescent="0.2">
      <c r="C16078" s="209"/>
      <c r="D16078" s="209"/>
      <c r="E16078" s="209"/>
      <c r="J16078" s="124"/>
    </row>
    <row r="16079" spans="3:10" x14ac:dyDescent="0.2">
      <c r="C16079" s="209"/>
      <c r="D16079" s="209"/>
      <c r="E16079" s="209"/>
      <c r="J16079" s="124"/>
    </row>
    <row r="16080" spans="3:10" x14ac:dyDescent="0.2">
      <c r="C16080" s="209"/>
      <c r="D16080" s="209"/>
      <c r="E16080" s="209"/>
      <c r="J16080" s="124"/>
    </row>
    <row r="16081" spans="3:10" x14ac:dyDescent="0.2">
      <c r="C16081" s="209"/>
      <c r="D16081" s="209"/>
      <c r="E16081" s="209"/>
      <c r="J16081" s="124"/>
    </row>
    <row r="16082" spans="3:10" x14ac:dyDescent="0.2">
      <c r="C16082" s="209"/>
      <c r="D16082" s="209"/>
      <c r="E16082" s="209"/>
      <c r="J16082" s="124"/>
    </row>
    <row r="16083" spans="3:10" x14ac:dyDescent="0.2">
      <c r="C16083" s="209"/>
      <c r="D16083" s="209"/>
      <c r="E16083" s="209"/>
      <c r="J16083" s="124"/>
    </row>
    <row r="16084" spans="3:10" x14ac:dyDescent="0.2">
      <c r="C16084" s="209"/>
      <c r="D16084" s="209"/>
      <c r="E16084" s="209"/>
      <c r="J16084" s="124"/>
    </row>
    <row r="16085" spans="3:10" x14ac:dyDescent="0.2">
      <c r="C16085" s="209"/>
      <c r="D16085" s="209"/>
      <c r="E16085" s="209"/>
      <c r="J16085" s="124"/>
    </row>
    <row r="16086" spans="3:10" x14ac:dyDescent="0.2">
      <c r="C16086" s="209"/>
      <c r="D16086" s="209"/>
      <c r="E16086" s="209"/>
      <c r="J16086" s="124"/>
    </row>
    <row r="16087" spans="3:10" x14ac:dyDescent="0.2">
      <c r="C16087" s="209"/>
      <c r="D16087" s="209"/>
      <c r="E16087" s="209"/>
      <c r="J16087" s="124"/>
    </row>
    <row r="16088" spans="3:10" x14ac:dyDescent="0.2">
      <c r="C16088" s="209"/>
      <c r="D16088" s="209"/>
      <c r="E16088" s="209"/>
      <c r="J16088" s="124"/>
    </row>
    <row r="16089" spans="3:10" x14ac:dyDescent="0.2">
      <c r="C16089" s="209"/>
      <c r="D16089" s="209"/>
      <c r="E16089" s="209"/>
      <c r="J16089" s="124"/>
    </row>
    <row r="16090" spans="3:10" x14ac:dyDescent="0.2">
      <c r="C16090" s="209"/>
      <c r="D16090" s="209"/>
      <c r="E16090" s="209"/>
      <c r="J16090" s="124"/>
    </row>
    <row r="16091" spans="3:10" x14ac:dyDescent="0.2">
      <c r="C16091" s="209"/>
      <c r="D16091" s="209"/>
      <c r="E16091" s="209"/>
      <c r="J16091" s="124"/>
    </row>
    <row r="16092" spans="3:10" x14ac:dyDescent="0.2">
      <c r="C16092" s="209"/>
      <c r="D16092" s="209"/>
      <c r="E16092" s="209"/>
      <c r="J16092" s="124"/>
    </row>
    <row r="16093" spans="3:10" x14ac:dyDescent="0.2">
      <c r="C16093" s="209"/>
      <c r="D16093" s="209"/>
      <c r="E16093" s="209"/>
      <c r="J16093" s="124"/>
    </row>
    <row r="16094" spans="3:10" x14ac:dyDescent="0.2">
      <c r="C16094" s="209"/>
      <c r="D16094" s="209"/>
      <c r="E16094" s="209"/>
      <c r="J16094" s="124"/>
    </row>
    <row r="16095" spans="3:10" x14ac:dyDescent="0.2">
      <c r="C16095" s="209"/>
      <c r="D16095" s="209"/>
      <c r="E16095" s="209"/>
      <c r="J16095" s="124"/>
    </row>
    <row r="16096" spans="3:10" x14ac:dyDescent="0.2">
      <c r="C16096" s="209"/>
      <c r="D16096" s="209"/>
      <c r="E16096" s="209"/>
      <c r="J16096" s="124"/>
    </row>
    <row r="16097" spans="3:10" x14ac:dyDescent="0.2">
      <c r="C16097" s="209"/>
      <c r="D16097" s="209"/>
      <c r="E16097" s="209"/>
      <c r="J16097" s="124"/>
    </row>
    <row r="16098" spans="3:10" x14ac:dyDescent="0.2">
      <c r="C16098" s="209"/>
      <c r="D16098" s="209"/>
      <c r="E16098" s="209"/>
      <c r="J16098" s="124"/>
    </row>
    <row r="16099" spans="3:10" x14ac:dyDescent="0.2">
      <c r="C16099" s="209"/>
      <c r="D16099" s="209"/>
      <c r="E16099" s="209"/>
      <c r="J16099" s="124"/>
    </row>
    <row r="16100" spans="3:10" x14ac:dyDescent="0.2">
      <c r="C16100" s="209"/>
      <c r="D16100" s="209"/>
      <c r="E16100" s="209"/>
      <c r="J16100" s="124"/>
    </row>
    <row r="16101" spans="3:10" x14ac:dyDescent="0.2">
      <c r="C16101" s="209"/>
      <c r="D16101" s="209"/>
      <c r="E16101" s="209"/>
      <c r="J16101" s="124"/>
    </row>
    <row r="16102" spans="3:10" x14ac:dyDescent="0.2">
      <c r="C16102" s="209"/>
      <c r="D16102" s="209"/>
      <c r="E16102" s="209"/>
      <c r="J16102" s="124"/>
    </row>
    <row r="16103" spans="3:10" x14ac:dyDescent="0.2">
      <c r="C16103" s="209"/>
      <c r="D16103" s="209"/>
      <c r="E16103" s="209"/>
      <c r="J16103" s="124"/>
    </row>
    <row r="16104" spans="3:10" x14ac:dyDescent="0.2">
      <c r="C16104" s="209"/>
      <c r="D16104" s="209"/>
      <c r="E16104" s="209"/>
      <c r="J16104" s="124"/>
    </row>
    <row r="16105" spans="3:10" x14ac:dyDescent="0.2">
      <c r="C16105" s="209"/>
      <c r="D16105" s="209"/>
      <c r="E16105" s="209"/>
      <c r="J16105" s="124"/>
    </row>
    <row r="16106" spans="3:10" x14ac:dyDescent="0.2">
      <c r="C16106" s="209"/>
      <c r="D16106" s="209"/>
      <c r="E16106" s="209"/>
      <c r="J16106" s="124"/>
    </row>
    <row r="16107" spans="3:10" x14ac:dyDescent="0.2">
      <c r="C16107" s="209"/>
      <c r="D16107" s="209"/>
      <c r="E16107" s="209"/>
      <c r="J16107" s="124"/>
    </row>
    <row r="16108" spans="3:10" x14ac:dyDescent="0.2">
      <c r="C16108" s="209"/>
      <c r="D16108" s="209"/>
      <c r="E16108" s="209"/>
      <c r="J16108" s="124"/>
    </row>
    <row r="16109" spans="3:10" x14ac:dyDescent="0.2">
      <c r="C16109" s="209"/>
      <c r="D16109" s="209"/>
      <c r="E16109" s="209"/>
      <c r="J16109" s="124"/>
    </row>
    <row r="16110" spans="3:10" x14ac:dyDescent="0.2">
      <c r="C16110" s="209"/>
      <c r="D16110" s="209"/>
      <c r="E16110" s="209"/>
      <c r="J16110" s="124"/>
    </row>
    <row r="16111" spans="3:10" x14ac:dyDescent="0.2">
      <c r="C16111" s="209"/>
      <c r="D16111" s="209"/>
      <c r="E16111" s="209"/>
      <c r="J16111" s="124"/>
    </row>
    <row r="16112" spans="3:10" x14ac:dyDescent="0.2">
      <c r="C16112" s="209"/>
      <c r="D16112" s="209"/>
      <c r="E16112" s="209"/>
      <c r="J16112" s="124"/>
    </row>
    <row r="16113" spans="3:10" x14ac:dyDescent="0.2">
      <c r="C16113" s="209"/>
      <c r="D16113" s="209"/>
      <c r="E16113" s="209"/>
      <c r="J16113" s="124"/>
    </row>
    <row r="16114" spans="3:10" x14ac:dyDescent="0.2">
      <c r="C16114" s="209"/>
      <c r="D16114" s="209"/>
      <c r="E16114" s="209"/>
      <c r="J16114" s="124"/>
    </row>
    <row r="16115" spans="3:10" x14ac:dyDescent="0.2">
      <c r="C16115" s="209"/>
      <c r="D16115" s="209"/>
      <c r="E16115" s="209"/>
      <c r="J16115" s="124"/>
    </row>
    <row r="16116" spans="3:10" x14ac:dyDescent="0.2">
      <c r="C16116" s="209"/>
      <c r="D16116" s="209"/>
      <c r="E16116" s="209"/>
      <c r="J16116" s="124"/>
    </row>
    <row r="16117" spans="3:10" x14ac:dyDescent="0.2">
      <c r="C16117" s="209"/>
      <c r="D16117" s="209"/>
      <c r="E16117" s="209"/>
      <c r="J16117" s="124"/>
    </row>
    <row r="16118" spans="3:10" x14ac:dyDescent="0.2">
      <c r="C16118" s="209"/>
      <c r="D16118" s="209"/>
      <c r="E16118" s="209"/>
      <c r="J16118" s="124"/>
    </row>
    <row r="16119" spans="3:10" x14ac:dyDescent="0.2">
      <c r="C16119" s="209"/>
      <c r="D16119" s="209"/>
      <c r="E16119" s="209"/>
      <c r="J16119" s="124"/>
    </row>
    <row r="16120" spans="3:10" x14ac:dyDescent="0.2">
      <c r="C16120" s="209"/>
      <c r="D16120" s="209"/>
      <c r="E16120" s="209"/>
      <c r="J16120" s="124"/>
    </row>
    <row r="16121" spans="3:10" x14ac:dyDescent="0.2">
      <c r="C16121" s="209"/>
      <c r="D16121" s="209"/>
      <c r="E16121" s="209"/>
      <c r="J16121" s="124"/>
    </row>
    <row r="16122" spans="3:10" x14ac:dyDescent="0.2">
      <c r="C16122" s="209"/>
      <c r="D16122" s="209"/>
      <c r="E16122" s="209"/>
      <c r="J16122" s="124"/>
    </row>
    <row r="16123" spans="3:10" x14ac:dyDescent="0.2">
      <c r="C16123" s="209"/>
      <c r="D16123" s="209"/>
      <c r="E16123" s="209"/>
      <c r="J16123" s="124"/>
    </row>
    <row r="16124" spans="3:10" x14ac:dyDescent="0.2">
      <c r="C16124" s="209"/>
      <c r="D16124" s="209"/>
      <c r="E16124" s="209"/>
      <c r="J16124" s="124"/>
    </row>
    <row r="16125" spans="3:10" x14ac:dyDescent="0.2">
      <c r="C16125" s="209"/>
      <c r="D16125" s="209"/>
      <c r="E16125" s="209"/>
      <c r="J16125" s="124"/>
    </row>
    <row r="16126" spans="3:10" x14ac:dyDescent="0.2">
      <c r="C16126" s="209"/>
      <c r="D16126" s="209"/>
      <c r="E16126" s="209"/>
      <c r="J16126" s="124"/>
    </row>
    <row r="16127" spans="3:10" x14ac:dyDescent="0.2">
      <c r="C16127" s="209"/>
      <c r="D16127" s="209"/>
      <c r="E16127" s="209"/>
      <c r="J16127" s="124"/>
    </row>
    <row r="16128" spans="3:10" x14ac:dyDescent="0.2">
      <c r="C16128" s="209"/>
      <c r="D16128" s="209"/>
      <c r="E16128" s="209"/>
      <c r="J16128" s="124"/>
    </row>
    <row r="16129" spans="3:10" x14ac:dyDescent="0.2">
      <c r="C16129" s="209"/>
      <c r="D16129" s="209"/>
      <c r="E16129" s="209"/>
      <c r="J16129" s="124"/>
    </row>
    <row r="16130" spans="3:10" x14ac:dyDescent="0.2">
      <c r="C16130" s="209"/>
      <c r="D16130" s="209"/>
      <c r="E16130" s="209"/>
      <c r="J16130" s="124"/>
    </row>
    <row r="16131" spans="3:10" x14ac:dyDescent="0.2">
      <c r="C16131" s="209"/>
      <c r="D16131" s="209"/>
      <c r="E16131" s="209"/>
      <c r="J16131" s="124"/>
    </row>
    <row r="16132" spans="3:10" x14ac:dyDescent="0.2">
      <c r="C16132" s="209"/>
      <c r="D16132" s="209"/>
      <c r="E16132" s="209"/>
      <c r="J16132" s="124"/>
    </row>
    <row r="16133" spans="3:10" x14ac:dyDescent="0.2">
      <c r="C16133" s="209"/>
      <c r="D16133" s="209"/>
      <c r="E16133" s="209"/>
      <c r="J16133" s="124"/>
    </row>
    <row r="16134" spans="3:10" x14ac:dyDescent="0.2">
      <c r="C16134" s="209"/>
      <c r="D16134" s="209"/>
      <c r="E16134" s="209"/>
      <c r="J16134" s="124"/>
    </row>
    <row r="16135" spans="3:10" x14ac:dyDescent="0.2">
      <c r="C16135" s="209"/>
      <c r="D16135" s="209"/>
      <c r="E16135" s="209"/>
      <c r="J16135" s="124"/>
    </row>
    <row r="16136" spans="3:10" x14ac:dyDescent="0.2">
      <c r="C16136" s="209"/>
      <c r="D16136" s="209"/>
      <c r="E16136" s="209"/>
      <c r="J16136" s="124"/>
    </row>
    <row r="16137" spans="3:10" x14ac:dyDescent="0.2">
      <c r="C16137" s="209"/>
      <c r="D16137" s="209"/>
      <c r="E16137" s="209"/>
      <c r="J16137" s="124"/>
    </row>
    <row r="16138" spans="3:10" x14ac:dyDescent="0.2">
      <c r="C16138" s="209"/>
      <c r="D16138" s="209"/>
      <c r="E16138" s="209"/>
      <c r="J16138" s="124"/>
    </row>
    <row r="16139" spans="3:10" x14ac:dyDescent="0.2">
      <c r="C16139" s="209"/>
      <c r="D16139" s="209"/>
      <c r="E16139" s="209"/>
      <c r="J16139" s="124"/>
    </row>
    <row r="16140" spans="3:10" x14ac:dyDescent="0.2">
      <c r="C16140" s="209"/>
      <c r="D16140" s="209"/>
      <c r="E16140" s="209"/>
      <c r="J16140" s="124"/>
    </row>
    <row r="16141" spans="3:10" x14ac:dyDescent="0.2">
      <c r="C16141" s="209"/>
      <c r="D16141" s="209"/>
      <c r="E16141" s="209"/>
      <c r="J16141" s="124"/>
    </row>
    <row r="16142" spans="3:10" x14ac:dyDescent="0.2">
      <c r="C16142" s="209"/>
      <c r="D16142" s="209"/>
      <c r="E16142" s="209"/>
      <c r="J16142" s="124"/>
    </row>
    <row r="16143" spans="3:10" x14ac:dyDescent="0.2">
      <c r="C16143" s="209"/>
      <c r="D16143" s="209"/>
      <c r="E16143" s="209"/>
      <c r="J16143" s="124"/>
    </row>
    <row r="16144" spans="3:10" x14ac:dyDescent="0.2">
      <c r="C16144" s="209"/>
      <c r="D16144" s="209"/>
      <c r="E16144" s="209"/>
      <c r="J16144" s="124"/>
    </row>
    <row r="16145" spans="3:10" x14ac:dyDescent="0.2">
      <c r="C16145" s="209"/>
      <c r="D16145" s="209"/>
      <c r="E16145" s="209"/>
      <c r="J16145" s="124"/>
    </row>
    <row r="16146" spans="3:10" x14ac:dyDescent="0.2">
      <c r="C16146" s="209"/>
      <c r="D16146" s="209"/>
      <c r="E16146" s="209"/>
      <c r="J16146" s="124"/>
    </row>
    <row r="16147" spans="3:10" x14ac:dyDescent="0.2">
      <c r="C16147" s="209"/>
      <c r="D16147" s="209"/>
      <c r="E16147" s="209"/>
      <c r="J16147" s="124"/>
    </row>
    <row r="16148" spans="3:10" x14ac:dyDescent="0.2">
      <c r="C16148" s="209"/>
      <c r="D16148" s="209"/>
      <c r="E16148" s="209"/>
      <c r="J16148" s="124"/>
    </row>
    <row r="16149" spans="3:10" x14ac:dyDescent="0.2">
      <c r="C16149" s="209"/>
      <c r="D16149" s="209"/>
      <c r="E16149" s="209"/>
      <c r="J16149" s="124"/>
    </row>
    <row r="16150" spans="3:10" x14ac:dyDescent="0.2">
      <c r="C16150" s="209"/>
      <c r="D16150" s="209"/>
      <c r="E16150" s="209"/>
      <c r="J16150" s="124"/>
    </row>
    <row r="16151" spans="3:10" x14ac:dyDescent="0.2">
      <c r="C16151" s="209"/>
      <c r="D16151" s="209"/>
      <c r="E16151" s="209"/>
      <c r="J16151" s="124"/>
    </row>
    <row r="16152" spans="3:10" x14ac:dyDescent="0.2">
      <c r="C16152" s="209"/>
      <c r="D16152" s="209"/>
      <c r="E16152" s="209"/>
      <c r="J16152" s="124"/>
    </row>
    <row r="16153" spans="3:10" x14ac:dyDescent="0.2">
      <c r="C16153" s="209"/>
      <c r="D16153" s="209"/>
      <c r="E16153" s="209"/>
      <c r="J16153" s="124"/>
    </row>
    <row r="16154" spans="3:10" x14ac:dyDescent="0.2">
      <c r="C16154" s="209"/>
      <c r="D16154" s="209"/>
      <c r="E16154" s="209"/>
      <c r="J16154" s="124"/>
    </row>
    <row r="16155" spans="3:10" x14ac:dyDescent="0.2">
      <c r="C16155" s="209"/>
      <c r="D16155" s="209"/>
      <c r="E16155" s="209"/>
      <c r="J16155" s="124"/>
    </row>
    <row r="16156" spans="3:10" x14ac:dyDescent="0.2">
      <c r="C16156" s="209"/>
      <c r="D16156" s="209"/>
      <c r="E16156" s="209"/>
      <c r="J16156" s="124"/>
    </row>
    <row r="16157" spans="3:10" x14ac:dyDescent="0.2">
      <c r="C16157" s="209"/>
      <c r="D16157" s="209"/>
      <c r="E16157" s="209"/>
      <c r="J16157" s="124"/>
    </row>
    <row r="16158" spans="3:10" x14ac:dyDescent="0.2">
      <c r="C16158" s="209"/>
      <c r="D16158" s="209"/>
      <c r="E16158" s="209"/>
      <c r="J16158" s="124"/>
    </row>
    <row r="16159" spans="3:10" x14ac:dyDescent="0.2">
      <c r="C16159" s="209"/>
      <c r="D16159" s="209"/>
      <c r="E16159" s="209"/>
      <c r="J16159" s="124"/>
    </row>
    <row r="16160" spans="3:10" x14ac:dyDescent="0.2">
      <c r="C16160" s="209"/>
      <c r="D16160" s="209"/>
      <c r="E16160" s="209"/>
      <c r="J16160" s="124"/>
    </row>
    <row r="16161" spans="3:10" x14ac:dyDescent="0.2">
      <c r="C16161" s="209"/>
      <c r="D16161" s="209"/>
      <c r="E16161" s="209"/>
      <c r="J16161" s="124"/>
    </row>
    <row r="16162" spans="3:10" x14ac:dyDescent="0.2">
      <c r="C16162" s="209"/>
      <c r="D16162" s="209"/>
      <c r="E16162" s="209"/>
      <c r="J16162" s="124"/>
    </row>
    <row r="16163" spans="3:10" x14ac:dyDescent="0.2">
      <c r="C16163" s="209"/>
      <c r="D16163" s="209"/>
      <c r="E16163" s="209"/>
      <c r="J16163" s="124"/>
    </row>
    <row r="16164" spans="3:10" x14ac:dyDescent="0.2">
      <c r="C16164" s="209"/>
      <c r="D16164" s="209"/>
      <c r="E16164" s="209"/>
      <c r="J16164" s="124"/>
    </row>
    <row r="16165" spans="3:10" x14ac:dyDescent="0.2">
      <c r="C16165" s="209"/>
      <c r="D16165" s="209"/>
      <c r="E16165" s="209"/>
      <c r="J16165" s="124"/>
    </row>
    <row r="16166" spans="3:10" x14ac:dyDescent="0.2">
      <c r="C16166" s="209"/>
      <c r="D16166" s="209"/>
      <c r="E16166" s="209"/>
      <c r="J16166" s="124"/>
    </row>
    <row r="16167" spans="3:10" x14ac:dyDescent="0.2">
      <c r="C16167" s="209"/>
      <c r="D16167" s="209"/>
      <c r="E16167" s="209"/>
      <c r="J16167" s="124"/>
    </row>
    <row r="16168" spans="3:10" x14ac:dyDescent="0.2">
      <c r="C16168" s="209"/>
      <c r="D16168" s="209"/>
      <c r="E16168" s="209"/>
      <c r="J16168" s="124"/>
    </row>
    <row r="16169" spans="3:10" x14ac:dyDescent="0.2">
      <c r="C16169" s="209"/>
      <c r="D16169" s="209"/>
      <c r="E16169" s="209"/>
      <c r="J16169" s="124"/>
    </row>
    <row r="16170" spans="3:10" x14ac:dyDescent="0.2">
      <c r="C16170" s="209"/>
      <c r="D16170" s="209"/>
      <c r="E16170" s="209"/>
      <c r="J16170" s="124"/>
    </row>
    <row r="16171" spans="3:10" x14ac:dyDescent="0.2">
      <c r="C16171" s="209"/>
      <c r="D16171" s="209"/>
      <c r="E16171" s="209"/>
      <c r="J16171" s="124"/>
    </row>
    <row r="16172" spans="3:10" x14ac:dyDescent="0.2">
      <c r="C16172" s="209"/>
      <c r="D16172" s="209"/>
      <c r="E16172" s="209"/>
      <c r="J16172" s="124"/>
    </row>
    <row r="16173" spans="3:10" x14ac:dyDescent="0.2">
      <c r="C16173" s="209"/>
      <c r="D16173" s="209"/>
      <c r="E16173" s="209"/>
      <c r="J16173" s="124"/>
    </row>
    <row r="16174" spans="3:10" x14ac:dyDescent="0.2">
      <c r="C16174" s="209"/>
      <c r="D16174" s="209"/>
      <c r="E16174" s="209"/>
      <c r="J16174" s="124"/>
    </row>
    <row r="16175" spans="3:10" x14ac:dyDescent="0.2">
      <c r="C16175" s="209"/>
      <c r="D16175" s="209"/>
      <c r="E16175" s="209"/>
      <c r="J16175" s="124"/>
    </row>
    <row r="16176" spans="3:10" x14ac:dyDescent="0.2">
      <c r="C16176" s="209"/>
      <c r="D16176" s="209"/>
      <c r="E16176" s="209"/>
      <c r="J16176" s="124"/>
    </row>
    <row r="16177" spans="3:10" x14ac:dyDescent="0.2">
      <c r="C16177" s="209"/>
      <c r="D16177" s="209"/>
      <c r="E16177" s="209"/>
      <c r="J16177" s="124"/>
    </row>
    <row r="16178" spans="3:10" x14ac:dyDescent="0.2">
      <c r="C16178" s="209"/>
      <c r="D16178" s="209"/>
      <c r="E16178" s="209"/>
      <c r="J16178" s="124"/>
    </row>
    <row r="16179" spans="3:10" x14ac:dyDescent="0.2">
      <c r="C16179" s="209"/>
      <c r="D16179" s="209"/>
      <c r="E16179" s="209"/>
      <c r="J16179" s="124"/>
    </row>
    <row r="16180" spans="3:10" x14ac:dyDescent="0.2">
      <c r="C16180" s="209"/>
      <c r="D16180" s="209"/>
      <c r="E16180" s="209"/>
      <c r="J16180" s="124"/>
    </row>
    <row r="16181" spans="3:10" x14ac:dyDescent="0.2">
      <c r="C16181" s="209"/>
      <c r="D16181" s="209"/>
      <c r="E16181" s="209"/>
      <c r="J16181" s="124"/>
    </row>
    <row r="16182" spans="3:10" x14ac:dyDescent="0.2">
      <c r="C16182" s="209"/>
      <c r="D16182" s="209"/>
      <c r="E16182" s="209"/>
      <c r="J16182" s="124"/>
    </row>
    <row r="16183" spans="3:10" x14ac:dyDescent="0.2">
      <c r="C16183" s="209"/>
      <c r="D16183" s="209"/>
      <c r="E16183" s="209"/>
      <c r="J16183" s="124"/>
    </row>
    <row r="16184" spans="3:10" x14ac:dyDescent="0.2">
      <c r="C16184" s="209"/>
      <c r="D16184" s="209"/>
      <c r="E16184" s="209"/>
      <c r="J16184" s="124"/>
    </row>
    <row r="16185" spans="3:10" x14ac:dyDescent="0.2">
      <c r="C16185" s="209"/>
      <c r="D16185" s="209"/>
      <c r="E16185" s="209"/>
      <c r="J16185" s="124"/>
    </row>
    <row r="16186" spans="3:10" x14ac:dyDescent="0.2">
      <c r="C16186" s="209"/>
      <c r="D16186" s="209"/>
      <c r="E16186" s="209"/>
      <c r="J16186" s="124"/>
    </row>
    <row r="16187" spans="3:10" x14ac:dyDescent="0.2">
      <c r="C16187" s="209"/>
      <c r="D16187" s="209"/>
      <c r="E16187" s="209"/>
      <c r="J16187" s="124"/>
    </row>
    <row r="16188" spans="3:10" x14ac:dyDescent="0.2">
      <c r="C16188" s="209"/>
      <c r="D16188" s="209"/>
      <c r="E16188" s="209"/>
      <c r="J16188" s="124"/>
    </row>
    <row r="16189" spans="3:10" x14ac:dyDescent="0.2">
      <c r="C16189" s="209"/>
      <c r="D16189" s="209"/>
      <c r="E16189" s="209"/>
      <c r="J16189" s="124"/>
    </row>
    <row r="16190" spans="3:10" x14ac:dyDescent="0.2">
      <c r="C16190" s="209"/>
      <c r="D16190" s="209"/>
      <c r="E16190" s="209"/>
      <c r="J16190" s="124"/>
    </row>
    <row r="16191" spans="3:10" x14ac:dyDescent="0.2">
      <c r="C16191" s="209"/>
      <c r="D16191" s="209"/>
      <c r="E16191" s="209"/>
      <c r="J16191" s="124"/>
    </row>
    <row r="16192" spans="3:10" x14ac:dyDescent="0.2">
      <c r="C16192" s="209"/>
      <c r="D16192" s="209"/>
      <c r="E16192" s="209"/>
      <c r="J16192" s="124"/>
    </row>
    <row r="16193" spans="3:10" x14ac:dyDescent="0.2">
      <c r="C16193" s="209"/>
      <c r="D16193" s="209"/>
      <c r="E16193" s="209"/>
      <c r="J16193" s="124"/>
    </row>
    <row r="16194" spans="3:10" x14ac:dyDescent="0.2">
      <c r="C16194" s="209"/>
      <c r="D16194" s="209"/>
      <c r="E16194" s="209"/>
      <c r="J16194" s="124"/>
    </row>
    <row r="16195" spans="3:10" x14ac:dyDescent="0.2">
      <c r="C16195" s="209"/>
      <c r="D16195" s="209"/>
      <c r="E16195" s="209"/>
      <c r="J16195" s="124"/>
    </row>
    <row r="16196" spans="3:10" x14ac:dyDescent="0.2">
      <c r="C16196" s="209"/>
      <c r="D16196" s="209"/>
      <c r="E16196" s="209"/>
      <c r="J16196" s="124"/>
    </row>
    <row r="16197" spans="3:10" x14ac:dyDescent="0.2">
      <c r="C16197" s="209"/>
      <c r="D16197" s="209"/>
      <c r="E16197" s="209"/>
      <c r="J16197" s="124"/>
    </row>
    <row r="16198" spans="3:10" x14ac:dyDescent="0.2">
      <c r="C16198" s="209"/>
      <c r="D16198" s="209"/>
      <c r="E16198" s="209"/>
      <c r="J16198" s="124"/>
    </row>
    <row r="16199" spans="3:10" x14ac:dyDescent="0.2">
      <c r="C16199" s="209"/>
      <c r="D16199" s="209"/>
      <c r="E16199" s="209"/>
      <c r="J16199" s="124"/>
    </row>
    <row r="16200" spans="3:10" x14ac:dyDescent="0.2">
      <c r="C16200" s="209"/>
      <c r="D16200" s="209"/>
      <c r="E16200" s="209"/>
      <c r="J16200" s="124"/>
    </row>
    <row r="16201" spans="3:10" x14ac:dyDescent="0.2">
      <c r="C16201" s="209"/>
      <c r="D16201" s="209"/>
      <c r="E16201" s="209"/>
      <c r="J16201" s="124"/>
    </row>
    <row r="16202" spans="3:10" x14ac:dyDescent="0.2">
      <c r="C16202" s="209"/>
      <c r="D16202" s="209"/>
      <c r="E16202" s="209"/>
      <c r="J16202" s="124"/>
    </row>
    <row r="16203" spans="3:10" x14ac:dyDescent="0.2">
      <c r="C16203" s="209"/>
      <c r="D16203" s="209"/>
      <c r="E16203" s="209"/>
      <c r="J16203" s="124"/>
    </row>
    <row r="16204" spans="3:10" x14ac:dyDescent="0.2">
      <c r="C16204" s="209"/>
      <c r="D16204" s="209"/>
      <c r="E16204" s="209"/>
      <c r="J16204" s="124"/>
    </row>
    <row r="16205" spans="3:10" x14ac:dyDescent="0.2">
      <c r="C16205" s="209"/>
      <c r="D16205" s="209"/>
      <c r="E16205" s="209"/>
      <c r="J16205" s="124"/>
    </row>
    <row r="16206" spans="3:10" x14ac:dyDescent="0.2">
      <c r="C16206" s="209"/>
      <c r="D16206" s="209"/>
      <c r="E16206" s="209"/>
      <c r="J16206" s="124"/>
    </row>
    <row r="16207" spans="3:10" x14ac:dyDescent="0.2">
      <c r="C16207" s="209"/>
      <c r="D16207" s="209"/>
      <c r="E16207" s="209"/>
      <c r="J16207" s="124"/>
    </row>
    <row r="16208" spans="3:10" x14ac:dyDescent="0.2">
      <c r="C16208" s="209"/>
      <c r="D16208" s="209"/>
      <c r="E16208" s="209"/>
      <c r="J16208" s="124"/>
    </row>
    <row r="16209" spans="3:10" x14ac:dyDescent="0.2">
      <c r="C16209" s="209"/>
      <c r="D16209" s="209"/>
      <c r="E16209" s="209"/>
      <c r="J16209" s="124"/>
    </row>
    <row r="16210" spans="3:10" x14ac:dyDescent="0.2">
      <c r="C16210" s="209"/>
      <c r="D16210" s="209"/>
      <c r="E16210" s="209"/>
      <c r="J16210" s="124"/>
    </row>
    <row r="16211" spans="3:10" x14ac:dyDescent="0.2">
      <c r="C16211" s="209"/>
      <c r="D16211" s="209"/>
      <c r="E16211" s="209"/>
      <c r="J16211" s="124"/>
    </row>
    <row r="16212" spans="3:10" x14ac:dyDescent="0.2">
      <c r="C16212" s="209"/>
      <c r="D16212" s="209"/>
      <c r="E16212" s="209"/>
      <c r="J16212" s="124"/>
    </row>
    <row r="16213" spans="3:10" x14ac:dyDescent="0.2">
      <c r="C16213" s="209"/>
      <c r="D16213" s="209"/>
      <c r="E16213" s="209"/>
      <c r="J16213" s="124"/>
    </row>
    <row r="16214" spans="3:10" x14ac:dyDescent="0.2">
      <c r="C16214" s="209"/>
      <c r="D16214" s="209"/>
      <c r="E16214" s="209"/>
      <c r="J16214" s="124"/>
    </row>
    <row r="16215" spans="3:10" x14ac:dyDescent="0.2">
      <c r="C16215" s="209"/>
      <c r="D16215" s="209"/>
      <c r="E16215" s="209"/>
      <c r="J16215" s="124"/>
    </row>
    <row r="16216" spans="3:10" x14ac:dyDescent="0.2">
      <c r="C16216" s="209"/>
      <c r="D16216" s="209"/>
      <c r="E16216" s="209"/>
      <c r="J16216" s="124"/>
    </row>
    <row r="16217" spans="3:10" x14ac:dyDescent="0.2">
      <c r="C16217" s="209"/>
      <c r="D16217" s="209"/>
      <c r="E16217" s="209"/>
      <c r="J16217" s="124"/>
    </row>
    <row r="16218" spans="3:10" x14ac:dyDescent="0.2">
      <c r="C16218" s="209"/>
      <c r="D16218" s="209"/>
      <c r="E16218" s="209"/>
      <c r="J16218" s="124"/>
    </row>
    <row r="16219" spans="3:10" x14ac:dyDescent="0.2">
      <c r="C16219" s="209"/>
      <c r="D16219" s="209"/>
      <c r="E16219" s="209"/>
      <c r="J16219" s="124"/>
    </row>
    <row r="16220" spans="3:10" x14ac:dyDescent="0.2">
      <c r="C16220" s="209"/>
      <c r="D16220" s="209"/>
      <c r="E16220" s="209"/>
      <c r="J16220" s="124"/>
    </row>
    <row r="16221" spans="3:10" x14ac:dyDescent="0.2">
      <c r="C16221" s="209"/>
      <c r="D16221" s="209"/>
      <c r="E16221" s="209"/>
      <c r="J16221" s="124"/>
    </row>
    <row r="16222" spans="3:10" x14ac:dyDescent="0.2">
      <c r="C16222" s="209"/>
      <c r="D16222" s="209"/>
      <c r="E16222" s="209"/>
      <c r="J16222" s="124"/>
    </row>
    <row r="16223" spans="3:10" x14ac:dyDescent="0.2">
      <c r="C16223" s="209"/>
      <c r="D16223" s="209"/>
      <c r="E16223" s="209"/>
      <c r="J16223" s="124"/>
    </row>
    <row r="16224" spans="3:10" x14ac:dyDescent="0.2">
      <c r="C16224" s="209"/>
      <c r="D16224" s="209"/>
      <c r="E16224" s="209"/>
      <c r="J16224" s="124"/>
    </row>
    <row r="16225" spans="3:10" x14ac:dyDescent="0.2">
      <c r="C16225" s="209"/>
      <c r="D16225" s="209"/>
      <c r="E16225" s="209"/>
      <c r="J16225" s="124"/>
    </row>
    <row r="16226" spans="3:10" x14ac:dyDescent="0.2">
      <c r="C16226" s="209"/>
      <c r="D16226" s="209"/>
      <c r="E16226" s="209"/>
      <c r="J16226" s="124"/>
    </row>
    <row r="16227" spans="3:10" x14ac:dyDescent="0.2">
      <c r="C16227" s="209"/>
      <c r="D16227" s="209"/>
      <c r="E16227" s="209"/>
      <c r="J16227" s="124"/>
    </row>
    <row r="16228" spans="3:10" x14ac:dyDescent="0.2">
      <c r="C16228" s="209"/>
      <c r="D16228" s="209"/>
      <c r="E16228" s="209"/>
      <c r="J16228" s="124"/>
    </row>
    <row r="16229" spans="3:10" x14ac:dyDescent="0.2">
      <c r="C16229" s="209"/>
      <c r="D16229" s="209"/>
      <c r="E16229" s="209"/>
      <c r="J16229" s="124"/>
    </row>
    <row r="16230" spans="3:10" x14ac:dyDescent="0.2">
      <c r="C16230" s="209"/>
      <c r="D16230" s="209"/>
      <c r="E16230" s="209"/>
      <c r="J16230" s="124"/>
    </row>
    <row r="16231" spans="3:10" x14ac:dyDescent="0.2">
      <c r="C16231" s="209"/>
      <c r="D16231" s="209"/>
      <c r="E16231" s="209"/>
      <c r="J16231" s="124"/>
    </row>
    <row r="16232" spans="3:10" x14ac:dyDescent="0.2">
      <c r="C16232" s="209"/>
      <c r="D16232" s="209"/>
      <c r="E16232" s="209"/>
      <c r="J16232" s="124"/>
    </row>
    <row r="16233" spans="3:10" x14ac:dyDescent="0.2">
      <c r="C16233" s="209"/>
      <c r="D16233" s="209"/>
      <c r="E16233" s="209"/>
      <c r="J16233" s="124"/>
    </row>
    <row r="16234" spans="3:10" x14ac:dyDescent="0.2">
      <c r="C16234" s="209"/>
      <c r="D16234" s="209"/>
      <c r="E16234" s="209"/>
      <c r="J16234" s="124"/>
    </row>
    <row r="16235" spans="3:10" x14ac:dyDescent="0.2">
      <c r="C16235" s="209"/>
      <c r="D16235" s="209"/>
      <c r="E16235" s="209"/>
      <c r="J16235" s="124"/>
    </row>
    <row r="16236" spans="3:10" x14ac:dyDescent="0.2">
      <c r="C16236" s="209"/>
      <c r="D16236" s="209"/>
      <c r="E16236" s="209"/>
      <c r="J16236" s="124"/>
    </row>
    <row r="16237" spans="3:10" x14ac:dyDescent="0.2">
      <c r="C16237" s="209"/>
      <c r="D16237" s="209"/>
      <c r="E16237" s="209"/>
      <c r="J16237" s="124"/>
    </row>
    <row r="16238" spans="3:10" x14ac:dyDescent="0.2">
      <c r="C16238" s="209"/>
      <c r="D16238" s="209"/>
      <c r="E16238" s="209"/>
      <c r="J16238" s="124"/>
    </row>
    <row r="16239" spans="3:10" x14ac:dyDescent="0.2">
      <c r="C16239" s="209"/>
      <c r="D16239" s="209"/>
      <c r="E16239" s="209"/>
      <c r="J16239" s="124"/>
    </row>
    <row r="16240" spans="3:10" x14ac:dyDescent="0.2">
      <c r="C16240" s="209"/>
      <c r="D16240" s="209"/>
      <c r="E16240" s="209"/>
      <c r="J16240" s="124"/>
    </row>
    <row r="16241" spans="3:10" x14ac:dyDescent="0.2">
      <c r="C16241" s="209"/>
      <c r="D16241" s="209"/>
      <c r="E16241" s="209"/>
      <c r="J16241" s="124"/>
    </row>
    <row r="16242" spans="3:10" x14ac:dyDescent="0.2">
      <c r="C16242" s="209"/>
      <c r="D16242" s="209"/>
      <c r="E16242" s="209"/>
      <c r="J16242" s="124"/>
    </row>
    <row r="16243" spans="3:10" x14ac:dyDescent="0.2">
      <c r="C16243" s="209"/>
      <c r="D16243" s="209"/>
      <c r="E16243" s="209"/>
      <c r="J16243" s="124"/>
    </row>
    <row r="16244" spans="3:10" x14ac:dyDescent="0.2">
      <c r="C16244" s="209"/>
      <c r="D16244" s="209"/>
      <c r="E16244" s="209"/>
      <c r="J16244" s="124"/>
    </row>
    <row r="16245" spans="3:10" x14ac:dyDescent="0.2">
      <c r="C16245" s="209"/>
      <c r="D16245" s="209"/>
      <c r="E16245" s="209"/>
      <c r="J16245" s="124"/>
    </row>
    <row r="16246" spans="3:10" x14ac:dyDescent="0.2">
      <c r="C16246" s="209"/>
      <c r="D16246" s="209"/>
      <c r="E16246" s="209"/>
      <c r="J16246" s="124"/>
    </row>
    <row r="16247" spans="3:10" x14ac:dyDescent="0.2">
      <c r="C16247" s="209"/>
      <c r="D16247" s="209"/>
      <c r="E16247" s="209"/>
      <c r="J16247" s="124"/>
    </row>
    <row r="16248" spans="3:10" x14ac:dyDescent="0.2">
      <c r="C16248" s="209"/>
      <c r="D16248" s="209"/>
      <c r="E16248" s="209"/>
      <c r="J16248" s="124"/>
    </row>
    <row r="16249" spans="3:10" x14ac:dyDescent="0.2">
      <c r="C16249" s="209"/>
      <c r="D16249" s="209"/>
      <c r="E16249" s="209"/>
      <c r="J16249" s="124"/>
    </row>
    <row r="16250" spans="3:10" x14ac:dyDescent="0.2">
      <c r="C16250" s="209"/>
      <c r="D16250" s="209"/>
      <c r="E16250" s="209"/>
      <c r="J16250" s="124"/>
    </row>
    <row r="16251" spans="3:10" x14ac:dyDescent="0.2">
      <c r="C16251" s="209"/>
      <c r="D16251" s="209"/>
      <c r="E16251" s="209"/>
      <c r="J16251" s="124"/>
    </row>
    <row r="16252" spans="3:10" x14ac:dyDescent="0.2">
      <c r="C16252" s="209"/>
      <c r="D16252" s="209"/>
      <c r="E16252" s="209"/>
      <c r="J16252" s="124"/>
    </row>
    <row r="16253" spans="3:10" x14ac:dyDescent="0.2">
      <c r="C16253" s="209"/>
      <c r="D16253" s="209"/>
      <c r="E16253" s="209"/>
      <c r="J16253" s="124"/>
    </row>
    <row r="16254" spans="3:10" x14ac:dyDescent="0.2">
      <c r="C16254" s="209"/>
      <c r="D16254" s="209"/>
      <c r="E16254" s="209"/>
      <c r="J16254" s="124"/>
    </row>
    <row r="16255" spans="3:10" x14ac:dyDescent="0.2">
      <c r="C16255" s="209"/>
      <c r="D16255" s="209"/>
      <c r="E16255" s="209"/>
      <c r="J16255" s="124"/>
    </row>
    <row r="16256" spans="3:10" x14ac:dyDescent="0.2">
      <c r="C16256" s="209"/>
      <c r="D16256" s="209"/>
      <c r="E16256" s="209"/>
      <c r="J16256" s="124"/>
    </row>
    <row r="16257" spans="3:10" x14ac:dyDescent="0.2">
      <c r="C16257" s="209"/>
      <c r="D16257" s="209"/>
      <c r="E16257" s="209"/>
      <c r="J16257" s="124"/>
    </row>
    <row r="16258" spans="3:10" x14ac:dyDescent="0.2">
      <c r="C16258" s="209"/>
      <c r="D16258" s="209"/>
      <c r="E16258" s="209"/>
      <c r="J16258" s="124"/>
    </row>
    <row r="16259" spans="3:10" x14ac:dyDescent="0.2">
      <c r="C16259" s="209"/>
      <c r="D16259" s="209"/>
      <c r="E16259" s="209"/>
      <c r="J16259" s="124"/>
    </row>
    <row r="16260" spans="3:10" x14ac:dyDescent="0.2">
      <c r="C16260" s="209"/>
      <c r="D16260" s="209"/>
      <c r="E16260" s="209"/>
      <c r="J16260" s="124"/>
    </row>
    <row r="16261" spans="3:10" x14ac:dyDescent="0.2">
      <c r="C16261" s="209"/>
      <c r="D16261" s="209"/>
      <c r="E16261" s="209"/>
      <c r="J16261" s="124"/>
    </row>
    <row r="16262" spans="3:10" x14ac:dyDescent="0.2">
      <c r="C16262" s="209"/>
      <c r="D16262" s="209"/>
      <c r="E16262" s="209"/>
      <c r="J16262" s="124"/>
    </row>
    <row r="16263" spans="3:10" x14ac:dyDescent="0.2">
      <c r="C16263" s="209"/>
      <c r="D16263" s="209"/>
      <c r="E16263" s="209"/>
      <c r="J16263" s="124"/>
    </row>
    <row r="16264" spans="3:10" x14ac:dyDescent="0.2">
      <c r="C16264" s="209"/>
      <c r="D16264" s="209"/>
      <c r="E16264" s="209"/>
      <c r="J16264" s="124"/>
    </row>
    <row r="16265" spans="3:10" x14ac:dyDescent="0.2">
      <c r="C16265" s="209"/>
      <c r="D16265" s="209"/>
      <c r="E16265" s="209"/>
      <c r="J16265" s="124"/>
    </row>
    <row r="16266" spans="3:10" x14ac:dyDescent="0.2">
      <c r="C16266" s="209"/>
      <c r="D16266" s="209"/>
      <c r="E16266" s="209"/>
      <c r="J16266" s="124"/>
    </row>
    <row r="16267" spans="3:10" x14ac:dyDescent="0.2">
      <c r="C16267" s="209"/>
      <c r="D16267" s="209"/>
      <c r="E16267" s="209"/>
      <c r="J16267" s="124"/>
    </row>
    <row r="16268" spans="3:10" x14ac:dyDescent="0.2">
      <c r="C16268" s="209"/>
      <c r="D16268" s="209"/>
      <c r="E16268" s="209"/>
      <c r="J16268" s="124"/>
    </row>
    <row r="16269" spans="3:10" x14ac:dyDescent="0.2">
      <c r="C16269" s="209"/>
      <c r="D16269" s="209"/>
      <c r="E16269" s="209"/>
      <c r="J16269" s="124"/>
    </row>
    <row r="16270" spans="3:10" x14ac:dyDescent="0.2">
      <c r="C16270" s="209"/>
      <c r="D16270" s="209"/>
      <c r="E16270" s="209"/>
      <c r="J16270" s="124"/>
    </row>
    <row r="16271" spans="3:10" x14ac:dyDescent="0.2">
      <c r="C16271" s="209"/>
      <c r="D16271" s="209"/>
      <c r="E16271" s="209"/>
      <c r="J16271" s="124"/>
    </row>
    <row r="16272" spans="3:10" x14ac:dyDescent="0.2">
      <c r="C16272" s="209"/>
      <c r="D16272" s="209"/>
      <c r="E16272" s="209"/>
      <c r="J16272" s="124"/>
    </row>
    <row r="16273" spans="3:10" x14ac:dyDescent="0.2">
      <c r="C16273" s="209"/>
      <c r="D16273" s="209"/>
      <c r="E16273" s="209"/>
      <c r="J16273" s="124"/>
    </row>
    <row r="16274" spans="3:10" x14ac:dyDescent="0.2">
      <c r="C16274" s="209"/>
      <c r="D16274" s="209"/>
      <c r="E16274" s="209"/>
      <c r="J16274" s="124"/>
    </row>
    <row r="16275" spans="3:10" x14ac:dyDescent="0.2">
      <c r="C16275" s="209"/>
      <c r="D16275" s="209"/>
      <c r="E16275" s="209"/>
      <c r="J16275" s="124"/>
    </row>
    <row r="16276" spans="3:10" x14ac:dyDescent="0.2">
      <c r="C16276" s="209"/>
      <c r="D16276" s="209"/>
      <c r="E16276" s="209"/>
      <c r="J16276" s="124"/>
    </row>
    <row r="16277" spans="3:10" x14ac:dyDescent="0.2">
      <c r="C16277" s="209"/>
      <c r="D16277" s="209"/>
      <c r="E16277" s="209"/>
      <c r="J16277" s="124"/>
    </row>
    <row r="16278" spans="3:10" x14ac:dyDescent="0.2">
      <c r="C16278" s="209"/>
      <c r="D16278" s="209"/>
      <c r="E16278" s="209"/>
      <c r="J16278" s="124"/>
    </row>
    <row r="16279" spans="3:10" x14ac:dyDescent="0.2">
      <c r="C16279" s="209"/>
      <c r="D16279" s="209"/>
      <c r="E16279" s="209"/>
      <c r="J16279" s="124"/>
    </row>
    <row r="16280" spans="3:10" x14ac:dyDescent="0.2">
      <c r="C16280" s="209"/>
      <c r="D16280" s="209"/>
      <c r="E16280" s="209"/>
      <c r="J16280" s="124"/>
    </row>
    <row r="16281" spans="3:10" x14ac:dyDescent="0.2">
      <c r="C16281" s="209"/>
      <c r="D16281" s="209"/>
      <c r="E16281" s="209"/>
      <c r="J16281" s="124"/>
    </row>
    <row r="16282" spans="3:10" x14ac:dyDescent="0.2">
      <c r="C16282" s="209"/>
      <c r="D16282" s="209"/>
      <c r="E16282" s="209"/>
      <c r="J16282" s="124"/>
    </row>
    <row r="16283" spans="3:10" x14ac:dyDescent="0.2">
      <c r="C16283" s="209"/>
      <c r="D16283" s="209"/>
      <c r="E16283" s="209"/>
      <c r="J16283" s="124"/>
    </row>
    <row r="16284" spans="3:10" x14ac:dyDescent="0.2">
      <c r="C16284" s="209"/>
      <c r="D16284" s="209"/>
      <c r="E16284" s="209"/>
      <c r="J16284" s="124"/>
    </row>
    <row r="16285" spans="3:10" x14ac:dyDescent="0.2">
      <c r="C16285" s="209"/>
      <c r="D16285" s="209"/>
      <c r="E16285" s="209"/>
      <c r="J16285" s="124"/>
    </row>
    <row r="16286" spans="3:10" x14ac:dyDescent="0.2">
      <c r="C16286" s="209"/>
      <c r="D16286" s="209"/>
      <c r="E16286" s="209"/>
      <c r="J16286" s="124"/>
    </row>
    <row r="16287" spans="3:10" x14ac:dyDescent="0.2">
      <c r="C16287" s="209"/>
      <c r="D16287" s="209"/>
      <c r="E16287" s="209"/>
      <c r="J16287" s="124"/>
    </row>
    <row r="16288" spans="3:10" x14ac:dyDescent="0.2">
      <c r="C16288" s="209"/>
      <c r="D16288" s="209"/>
      <c r="E16288" s="209"/>
      <c r="J16288" s="124"/>
    </row>
    <row r="16289" spans="3:10" x14ac:dyDescent="0.2">
      <c r="C16289" s="209"/>
      <c r="D16289" s="209"/>
      <c r="E16289" s="209"/>
      <c r="J16289" s="124"/>
    </row>
    <row r="16290" spans="3:10" x14ac:dyDescent="0.2">
      <c r="C16290" s="209"/>
      <c r="D16290" s="209"/>
      <c r="E16290" s="209"/>
      <c r="J16290" s="124"/>
    </row>
    <row r="16291" spans="3:10" x14ac:dyDescent="0.2">
      <c r="C16291" s="209"/>
      <c r="D16291" s="209"/>
      <c r="E16291" s="209"/>
      <c r="J16291" s="124"/>
    </row>
    <row r="16292" spans="3:10" x14ac:dyDescent="0.2">
      <c r="C16292" s="209"/>
      <c r="D16292" s="209"/>
      <c r="E16292" s="209"/>
      <c r="J16292" s="124"/>
    </row>
    <row r="16293" spans="3:10" x14ac:dyDescent="0.2">
      <c r="C16293" s="209"/>
      <c r="D16293" s="209"/>
      <c r="E16293" s="209"/>
      <c r="J16293" s="124"/>
    </row>
    <row r="16294" spans="3:10" x14ac:dyDescent="0.2">
      <c r="C16294" s="209"/>
      <c r="D16294" s="209"/>
      <c r="E16294" s="209"/>
      <c r="J16294" s="124"/>
    </row>
    <row r="16295" spans="3:10" x14ac:dyDescent="0.2">
      <c r="C16295" s="209"/>
      <c r="D16295" s="209"/>
      <c r="E16295" s="209"/>
      <c r="J16295" s="124"/>
    </row>
    <row r="16296" spans="3:10" x14ac:dyDescent="0.2">
      <c r="C16296" s="209"/>
      <c r="D16296" s="209"/>
      <c r="E16296" s="209"/>
      <c r="J16296" s="124"/>
    </row>
    <row r="16297" spans="3:10" x14ac:dyDescent="0.2">
      <c r="C16297" s="209"/>
      <c r="D16297" s="209"/>
      <c r="E16297" s="209"/>
      <c r="J16297" s="124"/>
    </row>
    <row r="16298" spans="3:10" x14ac:dyDescent="0.2">
      <c r="C16298" s="209"/>
      <c r="D16298" s="209"/>
      <c r="E16298" s="209"/>
      <c r="J16298" s="124"/>
    </row>
    <row r="16299" spans="3:10" x14ac:dyDescent="0.2">
      <c r="C16299" s="209"/>
      <c r="D16299" s="209"/>
      <c r="E16299" s="209"/>
      <c r="J16299" s="124"/>
    </row>
    <row r="16300" spans="3:10" x14ac:dyDescent="0.2">
      <c r="C16300" s="209"/>
      <c r="D16300" s="209"/>
      <c r="E16300" s="209"/>
      <c r="J16300" s="124"/>
    </row>
    <row r="16301" spans="3:10" x14ac:dyDescent="0.2">
      <c r="C16301" s="209"/>
      <c r="D16301" s="209"/>
      <c r="E16301" s="209"/>
      <c r="J16301" s="124"/>
    </row>
    <row r="16302" spans="3:10" x14ac:dyDescent="0.2">
      <c r="C16302" s="209"/>
      <c r="D16302" s="209"/>
      <c r="E16302" s="209"/>
      <c r="J16302" s="124"/>
    </row>
    <row r="16303" spans="3:10" x14ac:dyDescent="0.2">
      <c r="C16303" s="209"/>
      <c r="D16303" s="209"/>
      <c r="E16303" s="209"/>
      <c r="J16303" s="124"/>
    </row>
    <row r="16304" spans="3:10" x14ac:dyDescent="0.2">
      <c r="C16304" s="209"/>
      <c r="D16304" s="209"/>
      <c r="E16304" s="209"/>
      <c r="J16304" s="124"/>
    </row>
    <row r="16305" spans="3:10" x14ac:dyDescent="0.2">
      <c r="C16305" s="209"/>
      <c r="D16305" s="209"/>
      <c r="E16305" s="209"/>
      <c r="J16305" s="124"/>
    </row>
    <row r="16306" spans="3:10" x14ac:dyDescent="0.2">
      <c r="C16306" s="209"/>
      <c r="D16306" s="209"/>
      <c r="E16306" s="209"/>
      <c r="J16306" s="124"/>
    </row>
    <row r="16307" spans="3:10" x14ac:dyDescent="0.2">
      <c r="C16307" s="209"/>
      <c r="D16307" s="209"/>
      <c r="E16307" s="209"/>
      <c r="J16307" s="124"/>
    </row>
    <row r="16308" spans="3:10" x14ac:dyDescent="0.2">
      <c r="C16308" s="209"/>
      <c r="D16308" s="209"/>
      <c r="E16308" s="209"/>
      <c r="J16308" s="124"/>
    </row>
    <row r="16309" spans="3:10" x14ac:dyDescent="0.2">
      <c r="C16309" s="209"/>
      <c r="D16309" s="209"/>
      <c r="E16309" s="209"/>
      <c r="J16309" s="124"/>
    </row>
    <row r="16310" spans="3:10" x14ac:dyDescent="0.2">
      <c r="C16310" s="209"/>
      <c r="D16310" s="209"/>
      <c r="E16310" s="209"/>
      <c r="J16310" s="124"/>
    </row>
    <row r="16311" spans="3:10" x14ac:dyDescent="0.2">
      <c r="C16311" s="209"/>
      <c r="D16311" s="209"/>
      <c r="E16311" s="209"/>
      <c r="J16311" s="124"/>
    </row>
    <row r="16312" spans="3:10" x14ac:dyDescent="0.2">
      <c r="C16312" s="209"/>
      <c r="D16312" s="209"/>
      <c r="E16312" s="209"/>
      <c r="J16312" s="124"/>
    </row>
    <row r="16313" spans="3:10" x14ac:dyDescent="0.2">
      <c r="C16313" s="209"/>
      <c r="D16313" s="209"/>
      <c r="E16313" s="209"/>
      <c r="J16313" s="124"/>
    </row>
    <row r="16314" spans="3:10" x14ac:dyDescent="0.2">
      <c r="C16314" s="209"/>
      <c r="D16314" s="209"/>
      <c r="E16314" s="209"/>
      <c r="J16314" s="124"/>
    </row>
    <row r="16315" spans="3:10" x14ac:dyDescent="0.2">
      <c r="C16315" s="209"/>
      <c r="D16315" s="209"/>
      <c r="E16315" s="209"/>
      <c r="J16315" s="124"/>
    </row>
    <row r="16316" spans="3:10" x14ac:dyDescent="0.2">
      <c r="C16316" s="209"/>
      <c r="D16316" s="209"/>
      <c r="E16316" s="209"/>
      <c r="J16316" s="124"/>
    </row>
    <row r="16317" spans="3:10" x14ac:dyDescent="0.2">
      <c r="C16317" s="209"/>
      <c r="D16317" s="209"/>
      <c r="E16317" s="209"/>
      <c r="J16317" s="124"/>
    </row>
    <row r="16318" spans="3:10" x14ac:dyDescent="0.2">
      <c r="C16318" s="209"/>
      <c r="D16318" s="209"/>
      <c r="E16318" s="209"/>
      <c r="J16318" s="124"/>
    </row>
    <row r="16319" spans="3:10" x14ac:dyDescent="0.2">
      <c r="C16319" s="209"/>
      <c r="D16319" s="209"/>
      <c r="E16319" s="209"/>
      <c r="J16319" s="124"/>
    </row>
    <row r="16320" spans="3:10" x14ac:dyDescent="0.2">
      <c r="C16320" s="209"/>
      <c r="D16320" s="209"/>
      <c r="E16320" s="209"/>
      <c r="J16320" s="124"/>
    </row>
    <row r="16321" spans="3:10" x14ac:dyDescent="0.2">
      <c r="C16321" s="209"/>
      <c r="D16321" s="209"/>
      <c r="E16321" s="209"/>
      <c r="J16321" s="124"/>
    </row>
    <row r="16322" spans="3:10" x14ac:dyDescent="0.2">
      <c r="C16322" s="209"/>
      <c r="D16322" s="209"/>
      <c r="E16322" s="209"/>
      <c r="J16322" s="124"/>
    </row>
    <row r="16323" spans="3:10" x14ac:dyDescent="0.2">
      <c r="C16323" s="209"/>
      <c r="D16323" s="209"/>
      <c r="E16323" s="209"/>
      <c r="J16323" s="124"/>
    </row>
    <row r="16324" spans="3:10" x14ac:dyDescent="0.2">
      <c r="C16324" s="209"/>
      <c r="D16324" s="209"/>
      <c r="E16324" s="209"/>
      <c r="J16324" s="124"/>
    </row>
    <row r="16325" spans="3:10" x14ac:dyDescent="0.2">
      <c r="C16325" s="209"/>
      <c r="D16325" s="209"/>
      <c r="E16325" s="209"/>
      <c r="J16325" s="124"/>
    </row>
    <row r="16326" spans="3:10" x14ac:dyDescent="0.2">
      <c r="C16326" s="209"/>
      <c r="D16326" s="209"/>
      <c r="E16326" s="209"/>
      <c r="J16326" s="124"/>
    </row>
    <row r="16327" spans="3:10" x14ac:dyDescent="0.2">
      <c r="C16327" s="209"/>
      <c r="D16327" s="209"/>
      <c r="E16327" s="209"/>
      <c r="J16327" s="124"/>
    </row>
    <row r="16328" spans="3:10" x14ac:dyDescent="0.2">
      <c r="C16328" s="209"/>
      <c r="D16328" s="209"/>
      <c r="E16328" s="209"/>
      <c r="J16328" s="124"/>
    </row>
    <row r="16329" spans="3:10" x14ac:dyDescent="0.2">
      <c r="C16329" s="209"/>
      <c r="D16329" s="209"/>
      <c r="E16329" s="209"/>
      <c r="J16329" s="124"/>
    </row>
    <row r="16330" spans="3:10" x14ac:dyDescent="0.2">
      <c r="C16330" s="209"/>
      <c r="D16330" s="209"/>
      <c r="E16330" s="209"/>
      <c r="J16330" s="124"/>
    </row>
    <row r="16331" spans="3:10" x14ac:dyDescent="0.2">
      <c r="C16331" s="209"/>
      <c r="D16331" s="209"/>
      <c r="E16331" s="209"/>
      <c r="J16331" s="124"/>
    </row>
    <row r="16332" spans="3:10" x14ac:dyDescent="0.2">
      <c r="C16332" s="209"/>
      <c r="D16332" s="209"/>
      <c r="E16332" s="209"/>
      <c r="J16332" s="124"/>
    </row>
    <row r="16333" spans="3:10" x14ac:dyDescent="0.2">
      <c r="C16333" s="209"/>
      <c r="D16333" s="209"/>
      <c r="E16333" s="209"/>
      <c r="J16333" s="124"/>
    </row>
    <row r="16334" spans="3:10" x14ac:dyDescent="0.2">
      <c r="C16334" s="209"/>
      <c r="D16334" s="209"/>
      <c r="E16334" s="209"/>
      <c r="J16334" s="124"/>
    </row>
    <row r="16335" spans="3:10" x14ac:dyDescent="0.2">
      <c r="C16335" s="209"/>
      <c r="D16335" s="209"/>
      <c r="E16335" s="209"/>
      <c r="J16335" s="124"/>
    </row>
    <row r="16336" spans="3:10" x14ac:dyDescent="0.2">
      <c r="C16336" s="209"/>
      <c r="D16336" s="209"/>
      <c r="E16336" s="209"/>
      <c r="J16336" s="124"/>
    </row>
    <row r="16337" spans="3:10" x14ac:dyDescent="0.2">
      <c r="C16337" s="209"/>
      <c r="D16337" s="209"/>
      <c r="E16337" s="209"/>
      <c r="J16337" s="124"/>
    </row>
    <row r="16338" spans="3:10" x14ac:dyDescent="0.2">
      <c r="C16338" s="209"/>
      <c r="D16338" s="209"/>
      <c r="E16338" s="209"/>
      <c r="J16338" s="124"/>
    </row>
    <row r="16339" spans="3:10" x14ac:dyDescent="0.2">
      <c r="C16339" s="209"/>
      <c r="D16339" s="209"/>
      <c r="E16339" s="209"/>
      <c r="J16339" s="124"/>
    </row>
    <row r="16340" spans="3:10" x14ac:dyDescent="0.2">
      <c r="C16340" s="209"/>
      <c r="D16340" s="209"/>
      <c r="E16340" s="209"/>
      <c r="J16340" s="124"/>
    </row>
    <row r="16341" spans="3:10" x14ac:dyDescent="0.2">
      <c r="C16341" s="209"/>
      <c r="D16341" s="209"/>
      <c r="E16341" s="209"/>
      <c r="J16341" s="124"/>
    </row>
    <row r="16342" spans="3:10" x14ac:dyDescent="0.2">
      <c r="C16342" s="209"/>
      <c r="D16342" s="209"/>
      <c r="E16342" s="209"/>
      <c r="J16342" s="124"/>
    </row>
    <row r="16343" spans="3:10" x14ac:dyDescent="0.2">
      <c r="C16343" s="209"/>
      <c r="D16343" s="209"/>
      <c r="E16343" s="209"/>
      <c r="J16343" s="124"/>
    </row>
    <row r="16344" spans="3:10" x14ac:dyDescent="0.2">
      <c r="C16344" s="209"/>
      <c r="D16344" s="209"/>
      <c r="E16344" s="209"/>
      <c r="J16344" s="124"/>
    </row>
    <row r="16345" spans="3:10" x14ac:dyDescent="0.2">
      <c r="C16345" s="209"/>
      <c r="D16345" s="209"/>
      <c r="E16345" s="209"/>
      <c r="J16345" s="124"/>
    </row>
    <row r="16346" spans="3:10" x14ac:dyDescent="0.2">
      <c r="C16346" s="209"/>
      <c r="D16346" s="209"/>
      <c r="E16346" s="209"/>
      <c r="J16346" s="124"/>
    </row>
    <row r="16347" spans="3:10" x14ac:dyDescent="0.2">
      <c r="C16347" s="209"/>
      <c r="D16347" s="209"/>
      <c r="E16347" s="209"/>
      <c r="J16347" s="124"/>
    </row>
    <row r="16348" spans="3:10" x14ac:dyDescent="0.2">
      <c r="C16348" s="209"/>
      <c r="D16348" s="209"/>
      <c r="E16348" s="209"/>
      <c r="J16348" s="124"/>
    </row>
    <row r="16349" spans="3:10" x14ac:dyDescent="0.2">
      <c r="C16349" s="209"/>
      <c r="D16349" s="209"/>
      <c r="E16349" s="209"/>
      <c r="J16349" s="124"/>
    </row>
    <row r="16350" spans="3:10" x14ac:dyDescent="0.2">
      <c r="C16350" s="209"/>
      <c r="D16350" s="209"/>
      <c r="E16350" s="209"/>
      <c r="J16350" s="124"/>
    </row>
    <row r="16351" spans="3:10" x14ac:dyDescent="0.2">
      <c r="C16351" s="209"/>
      <c r="D16351" s="209"/>
      <c r="E16351" s="209"/>
      <c r="J16351" s="124"/>
    </row>
    <row r="16352" spans="3:10" x14ac:dyDescent="0.2">
      <c r="C16352" s="209"/>
      <c r="D16352" s="209"/>
      <c r="E16352" s="209"/>
      <c r="J16352" s="124"/>
    </row>
    <row r="16353" spans="3:10" x14ac:dyDescent="0.2">
      <c r="C16353" s="209"/>
      <c r="D16353" s="209"/>
      <c r="E16353" s="209"/>
      <c r="J16353" s="124"/>
    </row>
    <row r="16354" spans="3:10" x14ac:dyDescent="0.2">
      <c r="C16354" s="209"/>
      <c r="D16354" s="209"/>
      <c r="E16354" s="209"/>
      <c r="J16354" s="124"/>
    </row>
    <row r="16355" spans="3:10" x14ac:dyDescent="0.2">
      <c r="C16355" s="209"/>
      <c r="D16355" s="209"/>
      <c r="E16355" s="209"/>
      <c r="J16355" s="124"/>
    </row>
    <row r="16356" spans="3:10" x14ac:dyDescent="0.2">
      <c r="C16356" s="209"/>
      <c r="D16356" s="209"/>
      <c r="E16356" s="209"/>
      <c r="J16356" s="124"/>
    </row>
    <row r="16357" spans="3:10" x14ac:dyDescent="0.2">
      <c r="C16357" s="209"/>
      <c r="D16357" s="209"/>
      <c r="E16357" s="209"/>
      <c r="J16357" s="124"/>
    </row>
    <row r="16358" spans="3:10" x14ac:dyDescent="0.2">
      <c r="C16358" s="209"/>
      <c r="D16358" s="209"/>
      <c r="E16358" s="209"/>
      <c r="J16358" s="124"/>
    </row>
    <row r="16359" spans="3:10" x14ac:dyDescent="0.2">
      <c r="C16359" s="209"/>
      <c r="D16359" s="209"/>
      <c r="E16359" s="209"/>
      <c r="J16359" s="124"/>
    </row>
    <row r="16360" spans="3:10" x14ac:dyDescent="0.2">
      <c r="C16360" s="209"/>
      <c r="D16360" s="209"/>
      <c r="E16360" s="209"/>
      <c r="J16360" s="124"/>
    </row>
    <row r="16361" spans="3:10" x14ac:dyDescent="0.2">
      <c r="C16361" s="209"/>
      <c r="D16361" s="209"/>
      <c r="E16361" s="209"/>
      <c r="J16361" s="124"/>
    </row>
    <row r="16362" spans="3:10" x14ac:dyDescent="0.2">
      <c r="C16362" s="209"/>
      <c r="D16362" s="209"/>
      <c r="E16362" s="209"/>
      <c r="J16362" s="124"/>
    </row>
    <row r="16363" spans="3:10" x14ac:dyDescent="0.2">
      <c r="C16363" s="209"/>
      <c r="D16363" s="209"/>
      <c r="E16363" s="209"/>
      <c r="J16363" s="124"/>
    </row>
    <row r="16364" spans="3:10" x14ac:dyDescent="0.2">
      <c r="C16364" s="209"/>
      <c r="D16364" s="209"/>
      <c r="E16364" s="209"/>
      <c r="J16364" s="124"/>
    </row>
    <row r="16365" spans="3:10" x14ac:dyDescent="0.2">
      <c r="C16365" s="209"/>
      <c r="D16365" s="209"/>
      <c r="E16365" s="209"/>
      <c r="J16365" s="124"/>
    </row>
    <row r="16366" spans="3:10" x14ac:dyDescent="0.2">
      <c r="C16366" s="209"/>
      <c r="D16366" s="209"/>
      <c r="E16366" s="209"/>
      <c r="J16366" s="124"/>
    </row>
    <row r="16367" spans="3:10" x14ac:dyDescent="0.2">
      <c r="C16367" s="209"/>
      <c r="D16367" s="209"/>
      <c r="E16367" s="209"/>
      <c r="J16367" s="124"/>
    </row>
    <row r="16368" spans="3:10" x14ac:dyDescent="0.2">
      <c r="C16368" s="209"/>
      <c r="D16368" s="209"/>
      <c r="E16368" s="209"/>
      <c r="J16368" s="124"/>
    </row>
    <row r="16369" spans="3:10" x14ac:dyDescent="0.2">
      <c r="C16369" s="209"/>
      <c r="D16369" s="209"/>
      <c r="E16369" s="209"/>
      <c r="J16369" s="124"/>
    </row>
    <row r="16370" spans="3:10" x14ac:dyDescent="0.2">
      <c r="C16370" s="209"/>
      <c r="D16370" s="209"/>
      <c r="E16370" s="209"/>
      <c r="J16370" s="124"/>
    </row>
    <row r="16371" spans="3:10" x14ac:dyDescent="0.2">
      <c r="C16371" s="209"/>
      <c r="D16371" s="209"/>
      <c r="E16371" s="209"/>
      <c r="J16371" s="124"/>
    </row>
    <row r="16372" spans="3:10" x14ac:dyDescent="0.2">
      <c r="C16372" s="209"/>
      <c r="D16372" s="209"/>
      <c r="E16372" s="209"/>
      <c r="J16372" s="124"/>
    </row>
    <row r="16373" spans="3:10" x14ac:dyDescent="0.2">
      <c r="C16373" s="209"/>
      <c r="D16373" s="209"/>
      <c r="E16373" s="209"/>
      <c r="J16373" s="124"/>
    </row>
    <row r="16374" spans="3:10" x14ac:dyDescent="0.2">
      <c r="C16374" s="209"/>
      <c r="D16374" s="209"/>
      <c r="E16374" s="209"/>
      <c r="J16374" s="124"/>
    </row>
    <row r="16375" spans="3:10" x14ac:dyDescent="0.2">
      <c r="C16375" s="209"/>
      <c r="D16375" s="209"/>
      <c r="E16375" s="209"/>
      <c r="J16375" s="124"/>
    </row>
    <row r="16376" spans="3:10" x14ac:dyDescent="0.2">
      <c r="C16376" s="209"/>
      <c r="D16376" s="209"/>
      <c r="E16376" s="209"/>
      <c r="J16376" s="124"/>
    </row>
    <row r="16377" spans="3:10" x14ac:dyDescent="0.2">
      <c r="C16377" s="209"/>
      <c r="D16377" s="209"/>
      <c r="E16377" s="209"/>
      <c r="J16377" s="124"/>
    </row>
    <row r="16378" spans="3:10" x14ac:dyDescent="0.2">
      <c r="C16378" s="209"/>
      <c r="D16378" s="209"/>
      <c r="E16378" s="209"/>
      <c r="J16378" s="124"/>
    </row>
    <row r="16379" spans="3:10" x14ac:dyDescent="0.2">
      <c r="C16379" s="209"/>
      <c r="D16379" s="209"/>
      <c r="E16379" s="209"/>
      <c r="J16379" s="124"/>
    </row>
    <row r="16380" spans="3:10" x14ac:dyDescent="0.2">
      <c r="C16380" s="209"/>
      <c r="D16380" s="209"/>
      <c r="E16380" s="209"/>
      <c r="J16380" s="124"/>
    </row>
    <row r="16381" spans="3:10" x14ac:dyDescent="0.2">
      <c r="C16381" s="209"/>
      <c r="D16381" s="209"/>
      <c r="E16381" s="209"/>
      <c r="J16381" s="124"/>
    </row>
    <row r="16382" spans="3:10" x14ac:dyDescent="0.2">
      <c r="C16382" s="209"/>
      <c r="D16382" s="209"/>
      <c r="E16382" s="209"/>
      <c r="J16382" s="124"/>
    </row>
    <row r="16383" spans="3:10" x14ac:dyDescent="0.2">
      <c r="C16383" s="209"/>
      <c r="D16383" s="209"/>
      <c r="E16383" s="209"/>
      <c r="J16383" s="124"/>
    </row>
    <row r="16384" spans="3:10" x14ac:dyDescent="0.2">
      <c r="C16384" s="209"/>
      <c r="D16384" s="209"/>
      <c r="E16384" s="209"/>
      <c r="J16384" s="124"/>
    </row>
    <row r="16385" spans="3:10" x14ac:dyDescent="0.2">
      <c r="C16385" s="209"/>
      <c r="D16385" s="209"/>
      <c r="E16385" s="209"/>
      <c r="J16385" s="124"/>
    </row>
    <row r="16386" spans="3:10" x14ac:dyDescent="0.2">
      <c r="C16386" s="209"/>
      <c r="D16386" s="209"/>
      <c r="E16386" s="209"/>
      <c r="J16386" s="124"/>
    </row>
    <row r="16387" spans="3:10" x14ac:dyDescent="0.2">
      <c r="C16387" s="209"/>
      <c r="D16387" s="209"/>
      <c r="E16387" s="209"/>
      <c r="J16387" s="124"/>
    </row>
    <row r="16388" spans="3:10" x14ac:dyDescent="0.2">
      <c r="C16388" s="209"/>
      <c r="D16388" s="209"/>
      <c r="E16388" s="209"/>
      <c r="J16388" s="124"/>
    </row>
    <row r="16389" spans="3:10" x14ac:dyDescent="0.2">
      <c r="C16389" s="209"/>
      <c r="D16389" s="209"/>
      <c r="E16389" s="209"/>
      <c r="J16389" s="124"/>
    </row>
    <row r="16390" spans="3:10" x14ac:dyDescent="0.2">
      <c r="C16390" s="209"/>
      <c r="D16390" s="209"/>
      <c r="E16390" s="209"/>
      <c r="J16390" s="124"/>
    </row>
    <row r="16391" spans="3:10" x14ac:dyDescent="0.2">
      <c r="C16391" s="209"/>
      <c r="D16391" s="209"/>
      <c r="E16391" s="209"/>
      <c r="J16391" s="124"/>
    </row>
    <row r="16392" spans="3:10" x14ac:dyDescent="0.2">
      <c r="C16392" s="209"/>
      <c r="D16392" s="209"/>
      <c r="E16392" s="209"/>
      <c r="J16392" s="124"/>
    </row>
    <row r="16393" spans="3:10" x14ac:dyDescent="0.2">
      <c r="C16393" s="209"/>
      <c r="D16393" s="209"/>
      <c r="E16393" s="209"/>
      <c r="J16393" s="124"/>
    </row>
    <row r="16394" spans="3:10" x14ac:dyDescent="0.2">
      <c r="C16394" s="209"/>
      <c r="D16394" s="209"/>
      <c r="E16394" s="209"/>
      <c r="J16394" s="124"/>
    </row>
    <row r="16395" spans="3:10" x14ac:dyDescent="0.2">
      <c r="C16395" s="209"/>
      <c r="D16395" s="209"/>
      <c r="E16395" s="209"/>
      <c r="J16395" s="124"/>
    </row>
    <row r="16396" spans="3:10" x14ac:dyDescent="0.2">
      <c r="C16396" s="209"/>
      <c r="D16396" s="209"/>
      <c r="E16396" s="209"/>
      <c r="J16396" s="124"/>
    </row>
    <row r="16397" spans="3:10" x14ac:dyDescent="0.2">
      <c r="C16397" s="209"/>
      <c r="D16397" s="209"/>
      <c r="E16397" s="209"/>
      <c r="J16397" s="124"/>
    </row>
    <row r="16398" spans="3:10" x14ac:dyDescent="0.2">
      <c r="C16398" s="209"/>
      <c r="D16398" s="209"/>
      <c r="E16398" s="209"/>
      <c r="J16398" s="124"/>
    </row>
    <row r="16399" spans="3:10" x14ac:dyDescent="0.2">
      <c r="C16399" s="209"/>
      <c r="D16399" s="209"/>
      <c r="E16399" s="209"/>
      <c r="J16399" s="124"/>
    </row>
    <row r="16400" spans="3:10" x14ac:dyDescent="0.2">
      <c r="C16400" s="209"/>
      <c r="D16400" s="209"/>
      <c r="E16400" s="209"/>
      <c r="J16400" s="124"/>
    </row>
    <row r="16401" spans="3:10" x14ac:dyDescent="0.2">
      <c r="C16401" s="209"/>
      <c r="D16401" s="209"/>
      <c r="E16401" s="209"/>
      <c r="J16401" s="124"/>
    </row>
    <row r="16402" spans="3:10" x14ac:dyDescent="0.2">
      <c r="C16402" s="209"/>
      <c r="D16402" s="209"/>
      <c r="E16402" s="209"/>
      <c r="J16402" s="124"/>
    </row>
    <row r="16403" spans="3:10" x14ac:dyDescent="0.2">
      <c r="C16403" s="209"/>
      <c r="D16403" s="209"/>
      <c r="E16403" s="209"/>
      <c r="J16403" s="124"/>
    </row>
    <row r="16404" spans="3:10" x14ac:dyDescent="0.2">
      <c r="C16404" s="209"/>
      <c r="D16404" s="209"/>
      <c r="E16404" s="209"/>
      <c r="J16404" s="124"/>
    </row>
    <row r="16405" spans="3:10" x14ac:dyDescent="0.2">
      <c r="C16405" s="209"/>
      <c r="D16405" s="209"/>
      <c r="E16405" s="209"/>
      <c r="J16405" s="124"/>
    </row>
    <row r="16406" spans="3:10" x14ac:dyDescent="0.2">
      <c r="C16406" s="209"/>
      <c r="D16406" s="209"/>
      <c r="E16406" s="209"/>
      <c r="J16406" s="124"/>
    </row>
    <row r="16407" spans="3:10" x14ac:dyDescent="0.2">
      <c r="C16407" s="209"/>
      <c r="D16407" s="209"/>
      <c r="E16407" s="209"/>
      <c r="J16407" s="124"/>
    </row>
    <row r="16408" spans="3:10" x14ac:dyDescent="0.2">
      <c r="C16408" s="209"/>
      <c r="D16408" s="209"/>
      <c r="E16408" s="209"/>
      <c r="J16408" s="124"/>
    </row>
    <row r="16409" spans="3:10" x14ac:dyDescent="0.2">
      <c r="C16409" s="209"/>
      <c r="D16409" s="209"/>
      <c r="E16409" s="209"/>
      <c r="J16409" s="124"/>
    </row>
    <row r="16410" spans="3:10" x14ac:dyDescent="0.2">
      <c r="C16410" s="209"/>
      <c r="D16410" s="209"/>
      <c r="E16410" s="209"/>
      <c r="J16410" s="124"/>
    </row>
    <row r="16411" spans="3:10" x14ac:dyDescent="0.2">
      <c r="C16411" s="209"/>
      <c r="D16411" s="209"/>
      <c r="E16411" s="209"/>
      <c r="J16411" s="124"/>
    </row>
    <row r="16412" spans="3:10" x14ac:dyDescent="0.2">
      <c r="C16412" s="209"/>
      <c r="D16412" s="209"/>
      <c r="E16412" s="209"/>
      <c r="J16412" s="124"/>
    </row>
    <row r="16413" spans="3:10" x14ac:dyDescent="0.2">
      <c r="C16413" s="209"/>
      <c r="D16413" s="209"/>
      <c r="E16413" s="209"/>
      <c r="J16413" s="124"/>
    </row>
    <row r="16414" spans="3:10" x14ac:dyDescent="0.2">
      <c r="C16414" s="209"/>
      <c r="D16414" s="209"/>
      <c r="E16414" s="209"/>
      <c r="J16414" s="124"/>
    </row>
    <row r="16415" spans="3:10" x14ac:dyDescent="0.2">
      <c r="C16415" s="209"/>
      <c r="D16415" s="209"/>
      <c r="E16415" s="209"/>
      <c r="J16415" s="124"/>
    </row>
    <row r="16416" spans="3:10" x14ac:dyDescent="0.2">
      <c r="C16416" s="209"/>
      <c r="D16416" s="209"/>
      <c r="E16416" s="209"/>
      <c r="J16416" s="124"/>
    </row>
    <row r="16417" spans="3:10" x14ac:dyDescent="0.2">
      <c r="C16417" s="209"/>
      <c r="D16417" s="209"/>
      <c r="E16417" s="209"/>
      <c r="J16417" s="124"/>
    </row>
    <row r="16418" spans="3:10" x14ac:dyDescent="0.2">
      <c r="C16418" s="209"/>
      <c r="D16418" s="209"/>
      <c r="E16418" s="209"/>
      <c r="J16418" s="124"/>
    </row>
    <row r="16419" spans="3:10" x14ac:dyDescent="0.2">
      <c r="C16419" s="209"/>
      <c r="D16419" s="209"/>
      <c r="E16419" s="209"/>
      <c r="J16419" s="124"/>
    </row>
    <row r="16420" spans="3:10" x14ac:dyDescent="0.2">
      <c r="C16420" s="209"/>
      <c r="D16420" s="209"/>
      <c r="E16420" s="209"/>
      <c r="J16420" s="124"/>
    </row>
    <row r="16421" spans="3:10" x14ac:dyDescent="0.2">
      <c r="C16421" s="209"/>
      <c r="D16421" s="209"/>
      <c r="E16421" s="209"/>
      <c r="J16421" s="124"/>
    </row>
    <row r="16422" spans="3:10" x14ac:dyDescent="0.2">
      <c r="C16422" s="209"/>
      <c r="D16422" s="209"/>
      <c r="E16422" s="209"/>
      <c r="J16422" s="124"/>
    </row>
    <row r="16423" spans="3:10" x14ac:dyDescent="0.2">
      <c r="C16423" s="209"/>
      <c r="D16423" s="209"/>
      <c r="E16423" s="209"/>
      <c r="J16423" s="124"/>
    </row>
    <row r="16424" spans="3:10" x14ac:dyDescent="0.2">
      <c r="C16424" s="209"/>
      <c r="D16424" s="209"/>
      <c r="E16424" s="209"/>
      <c r="J16424" s="124"/>
    </row>
    <row r="16425" spans="3:10" x14ac:dyDescent="0.2">
      <c r="C16425" s="209"/>
      <c r="D16425" s="209"/>
      <c r="E16425" s="209"/>
      <c r="J16425" s="124"/>
    </row>
    <row r="16426" spans="3:10" x14ac:dyDescent="0.2">
      <c r="C16426" s="209"/>
      <c r="D16426" s="209"/>
      <c r="E16426" s="209"/>
      <c r="J16426" s="124"/>
    </row>
    <row r="16427" spans="3:10" x14ac:dyDescent="0.2">
      <c r="C16427" s="209"/>
      <c r="D16427" s="209"/>
      <c r="E16427" s="209"/>
      <c r="J16427" s="124"/>
    </row>
    <row r="16428" spans="3:10" x14ac:dyDescent="0.2">
      <c r="C16428" s="209"/>
      <c r="D16428" s="209"/>
      <c r="E16428" s="209"/>
      <c r="J16428" s="124"/>
    </row>
    <row r="16429" spans="3:10" x14ac:dyDescent="0.2">
      <c r="C16429" s="209"/>
      <c r="D16429" s="209"/>
      <c r="E16429" s="209"/>
      <c r="J16429" s="124"/>
    </row>
    <row r="16430" spans="3:10" x14ac:dyDescent="0.2">
      <c r="C16430" s="209"/>
      <c r="D16430" s="209"/>
      <c r="E16430" s="209"/>
      <c r="J16430" s="124"/>
    </row>
    <row r="16431" spans="3:10" x14ac:dyDescent="0.2">
      <c r="C16431" s="209"/>
      <c r="D16431" s="209"/>
      <c r="E16431" s="209"/>
      <c r="J16431" s="124"/>
    </row>
    <row r="16432" spans="3:10" x14ac:dyDescent="0.2">
      <c r="C16432" s="209"/>
      <c r="D16432" s="209"/>
      <c r="E16432" s="209"/>
      <c r="J16432" s="124"/>
    </row>
    <row r="16433" spans="3:10" x14ac:dyDescent="0.2">
      <c r="C16433" s="209"/>
      <c r="D16433" s="209"/>
      <c r="E16433" s="209"/>
      <c r="J16433" s="124"/>
    </row>
    <row r="16434" spans="3:10" x14ac:dyDescent="0.2">
      <c r="C16434" s="209"/>
      <c r="D16434" s="209"/>
      <c r="E16434" s="209"/>
      <c r="J16434" s="124"/>
    </row>
    <row r="16435" spans="3:10" x14ac:dyDescent="0.2">
      <c r="C16435" s="209"/>
      <c r="D16435" s="209"/>
      <c r="E16435" s="209"/>
      <c r="J16435" s="124"/>
    </row>
    <row r="16436" spans="3:10" x14ac:dyDescent="0.2">
      <c r="C16436" s="209"/>
      <c r="D16436" s="209"/>
      <c r="E16436" s="209"/>
      <c r="J16436" s="124"/>
    </row>
    <row r="16437" spans="3:10" x14ac:dyDescent="0.2">
      <c r="C16437" s="209"/>
      <c r="D16437" s="209"/>
      <c r="E16437" s="209"/>
      <c r="J16437" s="124"/>
    </row>
    <row r="16438" spans="3:10" x14ac:dyDescent="0.2">
      <c r="C16438" s="209"/>
      <c r="D16438" s="209"/>
      <c r="E16438" s="209"/>
      <c r="J16438" s="124"/>
    </row>
    <row r="16439" spans="3:10" x14ac:dyDescent="0.2">
      <c r="C16439" s="209"/>
      <c r="D16439" s="209"/>
      <c r="E16439" s="209"/>
      <c r="J16439" s="124"/>
    </row>
    <row r="16440" spans="3:10" x14ac:dyDescent="0.2">
      <c r="C16440" s="209"/>
      <c r="D16440" s="209"/>
      <c r="E16440" s="209"/>
      <c r="J16440" s="124"/>
    </row>
    <row r="16441" spans="3:10" x14ac:dyDescent="0.2">
      <c r="C16441" s="209"/>
      <c r="D16441" s="209"/>
      <c r="E16441" s="209"/>
      <c r="J16441" s="124"/>
    </row>
    <row r="16442" spans="3:10" x14ac:dyDescent="0.2">
      <c r="C16442" s="209"/>
      <c r="D16442" s="209"/>
      <c r="E16442" s="209"/>
      <c r="J16442" s="124"/>
    </row>
    <row r="16443" spans="3:10" x14ac:dyDescent="0.2">
      <c r="C16443" s="209"/>
      <c r="D16443" s="209"/>
      <c r="E16443" s="209"/>
      <c r="J16443" s="124"/>
    </row>
    <row r="16444" spans="3:10" x14ac:dyDescent="0.2">
      <c r="C16444" s="209"/>
      <c r="D16444" s="209"/>
      <c r="E16444" s="209"/>
      <c r="J16444" s="124"/>
    </row>
    <row r="16445" spans="3:10" x14ac:dyDescent="0.2">
      <c r="C16445" s="209"/>
      <c r="D16445" s="209"/>
      <c r="E16445" s="209"/>
      <c r="J16445" s="124"/>
    </row>
    <row r="16446" spans="3:10" x14ac:dyDescent="0.2">
      <c r="C16446" s="209"/>
      <c r="D16446" s="209"/>
      <c r="E16446" s="209"/>
      <c r="J16446" s="124"/>
    </row>
    <row r="16447" spans="3:10" x14ac:dyDescent="0.2">
      <c r="C16447" s="209"/>
      <c r="D16447" s="209"/>
      <c r="E16447" s="209"/>
      <c r="J16447" s="124"/>
    </row>
    <row r="16448" spans="3:10" x14ac:dyDescent="0.2">
      <c r="C16448" s="209"/>
      <c r="D16448" s="209"/>
      <c r="E16448" s="209"/>
      <c r="J16448" s="124"/>
    </row>
    <row r="16449" spans="3:10" x14ac:dyDescent="0.2">
      <c r="C16449" s="209"/>
      <c r="D16449" s="209"/>
      <c r="E16449" s="209"/>
      <c r="J16449" s="124"/>
    </row>
    <row r="16450" spans="3:10" x14ac:dyDescent="0.2">
      <c r="C16450" s="209"/>
      <c r="D16450" s="209"/>
      <c r="E16450" s="209"/>
      <c r="J16450" s="124"/>
    </row>
    <row r="16451" spans="3:10" x14ac:dyDescent="0.2">
      <c r="C16451" s="209"/>
      <c r="D16451" s="209"/>
      <c r="E16451" s="209"/>
      <c r="J16451" s="124"/>
    </row>
    <row r="16452" spans="3:10" x14ac:dyDescent="0.2">
      <c r="C16452" s="209"/>
      <c r="D16452" s="209"/>
      <c r="E16452" s="209"/>
      <c r="J16452" s="124"/>
    </row>
    <row r="16453" spans="3:10" x14ac:dyDescent="0.2">
      <c r="C16453" s="209"/>
      <c r="D16453" s="209"/>
      <c r="E16453" s="209"/>
      <c r="J16453" s="124"/>
    </row>
    <row r="16454" spans="3:10" x14ac:dyDescent="0.2">
      <c r="C16454" s="209"/>
      <c r="D16454" s="209"/>
      <c r="E16454" s="209"/>
      <c r="J16454" s="124"/>
    </row>
    <row r="16455" spans="3:10" x14ac:dyDescent="0.2">
      <c r="C16455" s="209"/>
      <c r="D16455" s="209"/>
      <c r="E16455" s="209"/>
      <c r="J16455" s="124"/>
    </row>
    <row r="16456" spans="3:10" x14ac:dyDescent="0.2">
      <c r="C16456" s="209"/>
      <c r="D16456" s="209"/>
      <c r="E16456" s="209"/>
      <c r="J16456" s="124"/>
    </row>
    <row r="16457" spans="3:10" x14ac:dyDescent="0.2">
      <c r="C16457" s="209"/>
      <c r="D16457" s="209"/>
      <c r="E16457" s="209"/>
      <c r="J16457" s="124"/>
    </row>
    <row r="16458" spans="3:10" x14ac:dyDescent="0.2">
      <c r="C16458" s="209"/>
      <c r="D16458" s="209"/>
      <c r="E16458" s="209"/>
      <c r="J16458" s="124"/>
    </row>
    <row r="16459" spans="3:10" x14ac:dyDescent="0.2">
      <c r="C16459" s="209"/>
      <c r="D16459" s="209"/>
      <c r="E16459" s="209"/>
      <c r="J16459" s="124"/>
    </row>
    <row r="16460" spans="3:10" x14ac:dyDescent="0.2">
      <c r="C16460" s="209"/>
      <c r="D16460" s="209"/>
      <c r="E16460" s="209"/>
      <c r="J16460" s="124"/>
    </row>
    <row r="16461" spans="3:10" x14ac:dyDescent="0.2">
      <c r="C16461" s="209"/>
      <c r="D16461" s="209"/>
      <c r="E16461" s="209"/>
      <c r="J16461" s="124"/>
    </row>
    <row r="16462" spans="3:10" x14ac:dyDescent="0.2">
      <c r="C16462" s="209"/>
      <c r="D16462" s="209"/>
      <c r="E16462" s="209"/>
      <c r="J16462" s="124"/>
    </row>
    <row r="16463" spans="3:10" x14ac:dyDescent="0.2">
      <c r="C16463" s="209"/>
      <c r="D16463" s="209"/>
      <c r="E16463" s="209"/>
      <c r="J16463" s="124"/>
    </row>
    <row r="16464" spans="3:10" x14ac:dyDescent="0.2">
      <c r="C16464" s="209"/>
      <c r="D16464" s="209"/>
      <c r="E16464" s="209"/>
      <c r="J16464" s="124"/>
    </row>
    <row r="16465" spans="3:10" x14ac:dyDescent="0.2">
      <c r="C16465" s="209"/>
      <c r="D16465" s="209"/>
      <c r="E16465" s="209"/>
      <c r="J16465" s="124"/>
    </row>
    <row r="16466" spans="3:10" x14ac:dyDescent="0.2">
      <c r="C16466" s="209"/>
      <c r="D16466" s="209"/>
      <c r="E16466" s="209"/>
      <c r="J16466" s="124"/>
    </row>
    <row r="16467" spans="3:10" x14ac:dyDescent="0.2">
      <c r="C16467" s="209"/>
      <c r="D16467" s="209"/>
      <c r="E16467" s="209"/>
      <c r="J16467" s="124"/>
    </row>
    <row r="16468" spans="3:10" x14ac:dyDescent="0.2">
      <c r="C16468" s="209"/>
      <c r="D16468" s="209"/>
      <c r="E16468" s="209"/>
      <c r="J16468" s="124"/>
    </row>
    <row r="16469" spans="3:10" x14ac:dyDescent="0.2">
      <c r="C16469" s="209"/>
      <c r="D16469" s="209"/>
      <c r="E16469" s="209"/>
      <c r="J16469" s="124"/>
    </row>
    <row r="16470" spans="3:10" x14ac:dyDescent="0.2">
      <c r="C16470" s="209"/>
      <c r="D16470" s="209"/>
      <c r="E16470" s="209"/>
      <c r="J16470" s="124"/>
    </row>
    <row r="16471" spans="3:10" x14ac:dyDescent="0.2">
      <c r="C16471" s="209"/>
      <c r="D16471" s="209"/>
      <c r="E16471" s="209"/>
      <c r="J16471" s="124"/>
    </row>
    <row r="16472" spans="3:10" x14ac:dyDescent="0.2">
      <c r="C16472" s="209"/>
      <c r="D16472" s="209"/>
      <c r="E16472" s="209"/>
      <c r="J16472" s="124"/>
    </row>
    <row r="16473" spans="3:10" x14ac:dyDescent="0.2">
      <c r="C16473" s="209"/>
      <c r="D16473" s="209"/>
      <c r="E16473" s="209"/>
      <c r="J16473" s="124"/>
    </row>
    <row r="16474" spans="3:10" x14ac:dyDescent="0.2">
      <c r="C16474" s="209"/>
      <c r="D16474" s="209"/>
      <c r="E16474" s="209"/>
      <c r="J16474" s="124"/>
    </row>
    <row r="16475" spans="3:10" x14ac:dyDescent="0.2">
      <c r="C16475" s="209"/>
      <c r="D16475" s="209"/>
      <c r="E16475" s="209"/>
      <c r="J16475" s="124"/>
    </row>
    <row r="16476" spans="3:10" x14ac:dyDescent="0.2">
      <c r="C16476" s="209"/>
      <c r="D16476" s="209"/>
      <c r="E16476" s="209"/>
      <c r="J16476" s="124"/>
    </row>
    <row r="16477" spans="3:10" x14ac:dyDescent="0.2">
      <c r="C16477" s="209"/>
      <c r="D16477" s="209"/>
      <c r="E16477" s="209"/>
      <c r="J16477" s="124"/>
    </row>
    <row r="16478" spans="3:10" x14ac:dyDescent="0.2">
      <c r="C16478" s="209"/>
      <c r="D16478" s="209"/>
      <c r="E16478" s="209"/>
      <c r="J16478" s="124"/>
    </row>
    <row r="16479" spans="3:10" x14ac:dyDescent="0.2">
      <c r="C16479" s="209"/>
      <c r="D16479" s="209"/>
      <c r="E16479" s="209"/>
      <c r="J16479" s="124"/>
    </row>
    <row r="16480" spans="3:10" x14ac:dyDescent="0.2">
      <c r="C16480" s="209"/>
      <c r="D16480" s="209"/>
      <c r="E16480" s="209"/>
      <c r="J16480" s="124"/>
    </row>
    <row r="16481" spans="3:10" x14ac:dyDescent="0.2">
      <c r="C16481" s="209"/>
      <c r="D16481" s="209"/>
      <c r="E16481" s="209"/>
      <c r="J16481" s="124"/>
    </row>
    <row r="16482" spans="3:10" x14ac:dyDescent="0.2">
      <c r="C16482" s="209"/>
      <c r="D16482" s="209"/>
      <c r="E16482" s="209"/>
      <c r="J16482" s="124"/>
    </row>
    <row r="16483" spans="3:10" x14ac:dyDescent="0.2">
      <c r="C16483" s="209"/>
      <c r="D16483" s="209"/>
      <c r="E16483" s="209"/>
      <c r="J16483" s="124"/>
    </row>
    <row r="16484" spans="3:10" x14ac:dyDescent="0.2">
      <c r="C16484" s="209"/>
      <c r="D16484" s="209"/>
      <c r="E16484" s="209"/>
      <c r="J16484" s="124"/>
    </row>
    <row r="16485" spans="3:10" x14ac:dyDescent="0.2">
      <c r="C16485" s="209"/>
      <c r="D16485" s="209"/>
      <c r="E16485" s="209"/>
      <c r="J16485" s="124"/>
    </row>
    <row r="16486" spans="3:10" x14ac:dyDescent="0.2">
      <c r="C16486" s="209"/>
      <c r="D16486" s="209"/>
      <c r="E16486" s="209"/>
      <c r="J16486" s="124"/>
    </row>
    <row r="16487" spans="3:10" x14ac:dyDescent="0.2">
      <c r="C16487" s="209"/>
      <c r="D16487" s="209"/>
      <c r="E16487" s="209"/>
      <c r="J16487" s="124"/>
    </row>
    <row r="16488" spans="3:10" x14ac:dyDescent="0.2">
      <c r="C16488" s="209"/>
      <c r="D16488" s="209"/>
      <c r="E16488" s="209"/>
      <c r="J16488" s="124"/>
    </row>
    <row r="16489" spans="3:10" x14ac:dyDescent="0.2">
      <c r="D16489" s="209"/>
      <c r="E16489" s="209"/>
      <c r="J16489" s="124"/>
    </row>
  </sheetData>
  <autoFilter ref="B4:AD184"/>
  <sortState ref="B5:AC184">
    <sortCondition ref="K5:K184"/>
  </sortState>
  <mergeCells count="11">
    <mergeCell ref="AE1:AH1"/>
    <mergeCell ref="AI1:AK1"/>
    <mergeCell ref="B3:P3"/>
    <mergeCell ref="W2:X2"/>
    <mergeCell ref="AA2:AB2"/>
    <mergeCell ref="Q3:AD3"/>
    <mergeCell ref="D1:E1"/>
    <mergeCell ref="F1:G1"/>
    <mergeCell ref="H1:I1"/>
    <mergeCell ref="J1:K1"/>
    <mergeCell ref="L1:M1"/>
  </mergeCells>
  <pageMargins left="0.7" right="0.7" top="0.75" bottom="0.75" header="0.3" footer="0.3"/>
  <pageSetup paperSize="119" orientation="portrait" horizontalDpi="4294967294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16511"/>
  <sheetViews>
    <sheetView topLeftCell="K1" workbookViewId="0">
      <selection activeCell="S30" sqref="S30"/>
    </sheetView>
  </sheetViews>
  <sheetFormatPr defaultColWidth="15.42578125" defaultRowHeight="12.75" x14ac:dyDescent="0.2"/>
  <cols>
    <col min="1" max="1" width="15.42578125" style="56"/>
    <col min="2" max="2" width="27.42578125" style="56" customWidth="1"/>
    <col min="3" max="3" width="22.7109375" style="56" customWidth="1"/>
    <col min="4" max="4" width="29.140625" style="56" customWidth="1"/>
    <col min="5" max="5" width="27.140625" style="257" customWidth="1"/>
    <col min="6" max="6" width="22.28515625" style="56" customWidth="1"/>
    <col min="7" max="7" width="22.85546875" style="257" customWidth="1"/>
    <col min="8" max="8" width="18.85546875" style="56" customWidth="1"/>
    <col min="9" max="9" width="15.42578125" style="56"/>
    <col min="10" max="10" width="22" style="56" customWidth="1"/>
    <col min="11" max="16384" width="15.42578125" style="56"/>
  </cols>
  <sheetData>
    <row r="1" spans="1:27" x14ac:dyDescent="0.2">
      <c r="A1" s="212" t="s">
        <v>840</v>
      </c>
      <c r="B1" s="212" t="s">
        <v>7</v>
      </c>
      <c r="C1" s="212" t="s">
        <v>8</v>
      </c>
      <c r="D1" s="212" t="s">
        <v>603</v>
      </c>
      <c r="E1" s="255" t="s">
        <v>1290</v>
      </c>
      <c r="F1" s="212" t="s">
        <v>1289</v>
      </c>
      <c r="G1" s="255" t="s">
        <v>1288</v>
      </c>
      <c r="H1" s="212" t="s">
        <v>1291</v>
      </c>
      <c r="I1" s="210" t="s">
        <v>1292</v>
      </c>
      <c r="J1" s="210"/>
      <c r="K1" s="210"/>
      <c r="L1" s="218" t="s">
        <v>1056</v>
      </c>
      <c r="M1" s="218" t="s">
        <v>1052</v>
      </c>
      <c r="N1" s="215"/>
      <c r="O1" s="215"/>
      <c r="P1" s="215"/>
      <c r="Q1" s="215"/>
      <c r="R1" s="215"/>
      <c r="S1" s="216"/>
      <c r="T1" s="216"/>
      <c r="U1" s="216"/>
      <c r="V1" s="216"/>
      <c r="W1" s="211"/>
    </row>
    <row r="2" spans="1:27" ht="15" x14ac:dyDescent="0.25">
      <c r="A2" s="212" t="s">
        <v>816</v>
      </c>
      <c r="B2" s="212" t="s">
        <v>816</v>
      </c>
      <c r="C2" s="212" t="s">
        <v>816</v>
      </c>
      <c r="D2" s="213">
        <f t="array" ref="D2">COUNT(IF('15-16 DP'!$F$5:$F$184={"MA","UB","LB","ZU","RT","TU"},'15-16 DP'!$A$5:$A$184))</f>
        <v>180</v>
      </c>
      <c r="E2" s="256">
        <f>D2/$D$2</f>
        <v>1</v>
      </c>
      <c r="F2" s="56">
        <v>46</v>
      </c>
      <c r="G2" s="256">
        <f>F2/$F$2</f>
        <v>1</v>
      </c>
      <c r="H2" s="258">
        <v>48.865111274637414</v>
      </c>
      <c r="L2" s="216"/>
      <c r="M2" s="215" t="s">
        <v>1293</v>
      </c>
      <c r="N2" s="215" t="s">
        <v>14</v>
      </c>
      <c r="O2" s="215" t="s">
        <v>18</v>
      </c>
      <c r="P2" s="215" t="s">
        <v>1295</v>
      </c>
      <c r="Q2" s="216" t="s">
        <v>782</v>
      </c>
      <c r="R2" s="216" t="s">
        <v>1297</v>
      </c>
      <c r="S2" s="216" t="s">
        <v>1296</v>
      </c>
      <c r="T2" s="81" t="s">
        <v>1298</v>
      </c>
      <c r="U2" s="81" t="s">
        <v>1299</v>
      </c>
      <c r="V2" s="217" t="s">
        <v>816</v>
      </c>
      <c r="W2" s="220"/>
    </row>
    <row r="3" spans="1:27" ht="15" x14ac:dyDescent="0.25">
      <c r="A3" s="212" t="s">
        <v>816</v>
      </c>
      <c r="B3" s="212" t="s">
        <v>14</v>
      </c>
      <c r="C3" s="212" t="s">
        <v>816</v>
      </c>
      <c r="D3" s="213">
        <f t="array" ref="D3">COUNT(IF('15-16 DP'!$F$5:$F$184={"MA","UB","LB","ZU","RT","TU"},IF('15-16 DP'!$Q$5:$Q$184="NW",'15-16 DP'!$A$5:$A$184)))</f>
        <v>138</v>
      </c>
      <c r="E3" s="256">
        <f t="shared" ref="E3:E11" si="0">D3/$D$2</f>
        <v>0.76666666666666672</v>
      </c>
      <c r="F3" s="213"/>
      <c r="G3" s="256"/>
      <c r="H3" s="258">
        <v>67.229119775555716</v>
      </c>
      <c r="M3" s="216" t="s">
        <v>13</v>
      </c>
      <c r="N3" s="216"/>
      <c r="O3" s="216"/>
      <c r="P3" s="216"/>
      <c r="Q3" s="216"/>
      <c r="R3" s="216"/>
      <c r="S3" s="216"/>
      <c r="T3" s="216"/>
      <c r="U3" s="216"/>
      <c r="V3" s="216"/>
      <c r="W3" s="211"/>
      <c r="AA3" s="119"/>
    </row>
    <row r="4" spans="1:27" ht="15" x14ac:dyDescent="0.25">
      <c r="A4" s="212" t="s">
        <v>816</v>
      </c>
      <c r="B4" s="212" t="s">
        <v>18</v>
      </c>
      <c r="C4" s="212" t="s">
        <v>816</v>
      </c>
      <c r="D4" s="213">
        <f t="array" ref="D4">COUNT(IF('15-16 DP'!$F$5:$F$184={"MA","UB","LB","ZU","RT","TU"},IF('15-16 DP'!$Q$5:$Q$184="ST",'15-16 DP'!$A$5:$A$184)))</f>
        <v>42</v>
      </c>
      <c r="E4" s="256">
        <f t="shared" si="0"/>
        <v>0.23333333333333334</v>
      </c>
      <c r="F4" s="213"/>
      <c r="G4" s="256"/>
      <c r="H4" s="258">
        <v>39.979300709676949</v>
      </c>
      <c r="I4" s="210"/>
      <c r="J4" s="210"/>
      <c r="K4" s="210"/>
      <c r="L4" s="210"/>
      <c r="M4" s="216" t="s">
        <v>17</v>
      </c>
      <c r="N4" s="121">
        <f t="array" ref="N4">AVERAGE(IF('Well Data-NK'!$G$109:$G$154={"MA"},IF('Well Data-NK'!$K$109:$K$154="NW",'Well Data-NK'!$Q$109:$Q$154)))</f>
        <v>57.083333333332121</v>
      </c>
      <c r="O4" s="121">
        <f t="array" ref="O4">AVERAGE(IF('Well Data-NK'!$G$109:$G$154={"MA"},IF('Well Data-NK'!$K$109:$K$154="ST",'Well Data-NK'!$Q$109:$Q$154)))</f>
        <v>38.743981185184644</v>
      </c>
      <c r="P4" s="121">
        <f t="array" ref="P4">AVERAGE(IF('Well Data-NK'!$G$109:$G$154={"MA"},IF('Well Data-NK'!$K$109:$K$154="NW",IF('Well Data-NK'!$J$109:$J$154="Prod",'Well Data-NK'!$Q$109:$Q$154))))</f>
        <v>57.083333333332121</v>
      </c>
      <c r="Q4" s="121">
        <f t="array" ref="Q4">AVERAGE(IF('Well Data-NK'!$G$109:$G$154={"MA"},IF('Well Data-NK'!$K$109:$K$154="ST",IF('Well Data-NK'!$J$109:$J$154="Prod",'Well Data-NK'!$Q$109:$Q$154))))</f>
        <v>47.881547142856107</v>
      </c>
      <c r="R4" s="121" t="e">
        <f t="array" ref="R4">AVERAGE(IF('Well Data-NK'!$G$109:$G$154={"MA"},IF('Well Data-NK'!$K$109:$K$154="NW",IF('Well Data-NK'!$J$109:$J$154="Inj",'Well Data-NK'!$Q$109:$Q$154))))</f>
        <v>#DIV/0!</v>
      </c>
      <c r="S4" s="121">
        <f t="array" ref="S4">AVERAGE(IF('Well Data-NK'!$G$109:$G$154={"MA"},IF('Well Data-NK'!$K$109:$K$154="ST",IF('Well Data-NK'!$J$109:$J$154="Inj",'Well Data-NK'!$Q$109:$Q$154))))</f>
        <v>35.545833099999626</v>
      </c>
      <c r="T4" s="216"/>
      <c r="U4" s="216"/>
      <c r="V4" s="214">
        <f t="array" ref="V4">AVERAGE(IF('Well Data-NK'!$G$109:$G$154={"MA"},'Well Data-NK'!$Q$109:$Q$154))</f>
        <v>40.008764091953431</v>
      </c>
      <c r="AA4" s="119"/>
    </row>
    <row r="5" spans="1:27" ht="15" x14ac:dyDescent="0.25">
      <c r="A5" s="212" t="s">
        <v>816</v>
      </c>
      <c r="B5" s="212" t="s">
        <v>816</v>
      </c>
      <c r="C5" s="212" t="s">
        <v>298</v>
      </c>
      <c r="D5" s="213">
        <f t="array" ref="D5">COUNT(IF('15-16 DP'!$F$5:$F$184={"MA","UB","LB","ZU","RT","TU"},IF('15-16 DP'!$R$5:$R$184="Prod",'15-16 DP'!$A$5:$A$184)))</f>
        <v>136</v>
      </c>
      <c r="E5" s="256">
        <f t="shared" si="0"/>
        <v>0.75555555555555554</v>
      </c>
      <c r="F5" s="213"/>
      <c r="G5" s="256"/>
      <c r="H5" s="258"/>
      <c r="J5" s="211"/>
      <c r="M5" s="216" t="s">
        <v>29</v>
      </c>
      <c r="N5" s="121">
        <f t="array" ref="N5">AVERAGE(IF('Well Data-NK'!$G$109:$G$154={"UB"},IF('Well Data-NK'!$K$109:$K$154="NW",'Well Data-NK'!$Q$109:$Q$154)))</f>
        <v>53.604164999999995</v>
      </c>
      <c r="O5" s="121">
        <f t="array" ref="O5">AVERAGE(IF('Well Data-NK'!$G$109:$G$154={"UB"},IF('Well Data-NK'!$K$109:$K$154="ST",'Well Data-NK'!$Q$109:$Q$154)))</f>
        <v>52.635414999999995</v>
      </c>
      <c r="P5" s="121">
        <f t="array" ref="P5">AVERAGE(IF('Well Data-NK'!$G$109:$G$154={"UB"},IF('Well Data-NK'!$K$109:$K$154="NW",IF('Well Data-NK'!$J$109:$J$154="Prod",'Well Data-NK'!$Q$109:$Q$154))))</f>
        <v>53.604164999999995</v>
      </c>
      <c r="Q5" s="121">
        <f t="array" ref="Q5">AVERAGE(IF('Well Data-NK'!$G$109:$G$154={"UB"},IF('Well Data-NK'!$K$109:$K$154="ST",IF('Well Data-NK'!$J$109:$J$154="Prod",'Well Data-NK'!$Q$109:$Q$154))))</f>
        <v>52.635414999999995</v>
      </c>
      <c r="R5" s="121" t="e">
        <f t="array" ref="R5">AVERAGE(IF('Well Data-NK'!$G$109:$G$154={"UB"},IF('Well Data-NK'!$K$109:$K$154="NW",IF('Well Data-NK'!$J$109:$J$154="Inj",'Well Data-NK'!$Q$109:$Q$154))))</f>
        <v>#DIV/0!</v>
      </c>
      <c r="S5" s="121" t="e">
        <f t="array" ref="S5">AVERAGE(IF('Well Data-NK'!$G$109:$G$154={"UB"},IF('Well Data-NK'!$K$109:$K$154="ST",IF('Well Data-NK'!$J$109:$J$154="Inj",'Well Data-NK'!$Q$109:$Q$154))))</f>
        <v>#DIV/0!</v>
      </c>
      <c r="T5" s="216"/>
      <c r="U5" s="216"/>
      <c r="V5" s="121">
        <f t="array" ref="V5">AVERAGE(IF('Well Data-NK'!$G$109:$G$154={"UB"},'Well Data-NK'!$Q$109:$Q$154))</f>
        <v>53.119789999999995</v>
      </c>
      <c r="AA5" s="119"/>
    </row>
    <row r="6" spans="1:27" ht="15" x14ac:dyDescent="0.25">
      <c r="A6" s="212" t="s">
        <v>816</v>
      </c>
      <c r="B6" s="212" t="s">
        <v>816</v>
      </c>
      <c r="C6" s="212" t="s">
        <v>34</v>
      </c>
      <c r="D6" s="213">
        <f t="array" ref="D6">COUNT(IF('15-16 DP'!$F$5:$F$184={"MA","UB","LB","ZU","RT","TU"},IF('15-16 DP'!$R$5:$R$184="Inj",'15-16 DP'!$A$5:$A$184)))</f>
        <v>37</v>
      </c>
      <c r="E6" s="256">
        <f t="shared" si="0"/>
        <v>0.20555555555555555</v>
      </c>
      <c r="F6" s="213"/>
      <c r="G6" s="256"/>
      <c r="H6" s="258"/>
      <c r="J6" s="108"/>
      <c r="M6" s="216" t="s">
        <v>22</v>
      </c>
      <c r="N6" s="121">
        <f t="array" ref="N6">AVERAGE(IF('Well Data-NK'!$G$109:$G$154={"LB"},IF('Well Data-NK'!$K$109:$K$154="NW",'Well Data-NK'!$Q$109:$Q$154)))</f>
        <v>55.81537142381022</v>
      </c>
      <c r="O6" s="121" t="e">
        <f t="array" ref="O6">AVERAGE(IF('Well Data-NK'!$G$109:$G$154={"LB"},IF('Well Data-NK'!$K$109:$K$154="ST",'Well Data-NK'!$Q$109:$Q$154)))</f>
        <v>#DIV/0!</v>
      </c>
      <c r="P6" s="121">
        <f t="array" ref="P6">AVERAGE(IF('Well Data-NK'!$G$109:$G$154={"LB"},IF('Well Data-NK'!$K$109:$K$154="NW",IF('Well Data-NK'!$J$109:$J$154="Prod",'Well Data-NK'!$Q$109:$Q$154))))</f>
        <v>55.81537142381022</v>
      </c>
      <c r="Q6" s="121" t="e">
        <f t="array" ref="Q6">AVERAGE(IF('Well Data-NK'!$G$109:$G$154={"LB"},IF('Well Data-NK'!$K$109:$K$154="ST",IF('Well Data-NK'!$J$109:$J$154="Prod",'Well Data-NK'!$Q$109:$Q$154))))</f>
        <v>#DIV/0!</v>
      </c>
      <c r="R6" s="121" t="e">
        <f t="array" ref="R6">AVERAGE(IF('Well Data-NK'!$G$109:$G$154={"LB"},IF('Well Data-NK'!$K$109:$K$154="NW",IF('Well Data-NK'!$J$109:$J$154="Inj",'Well Data-NK'!$Q$109:$Q$154))))</f>
        <v>#DIV/0!</v>
      </c>
      <c r="S6" s="121" t="e">
        <f t="array" ref="S6">AVERAGE(IF('Well Data-NK'!$G$109:$G$154={"LB"},IF('Well Data-NK'!$K$109:$K$154="ST",IF('Well Data-NK'!$J$109:$J$154="Inj",'Well Data-NK'!$Q$109:$Q$154))))</f>
        <v>#DIV/0!</v>
      </c>
      <c r="T6" s="216"/>
      <c r="U6" s="216"/>
      <c r="V6" s="121">
        <f t="array" ref="V6">AVERAGE(IF('Well Data-NK'!$G$109:$G$154={"LB"},'Well Data-NK'!$Q$109:$Q$154))</f>
        <v>55.81537142381022</v>
      </c>
      <c r="AA6" s="119"/>
    </row>
    <row r="7" spans="1:27" ht="15" x14ac:dyDescent="0.25">
      <c r="A7" s="212" t="s">
        <v>17</v>
      </c>
      <c r="B7" s="212" t="s">
        <v>816</v>
      </c>
      <c r="C7" s="212" t="s">
        <v>816</v>
      </c>
      <c r="D7" s="213">
        <f t="array" ref="D7">COUNT(IF('15-16 DP'!$F$5:$F$184={"MA"},'15-16 DP'!$A$5:$A$184))</f>
        <v>110</v>
      </c>
      <c r="E7" s="256">
        <f t="shared" si="0"/>
        <v>0.61111111111111116</v>
      </c>
      <c r="F7" s="56">
        <v>29</v>
      </c>
      <c r="G7" s="256">
        <f t="shared" ref="G7:G11" si="1">F7/$F$2</f>
        <v>0.63043478260869568</v>
      </c>
      <c r="H7" s="258">
        <v>40.008764091953431</v>
      </c>
      <c r="I7" s="56">
        <f t="array" ref="I7">AVERAGE(IF('15-16 DP'!$F$5:$F$184={"MA"},'15-16 DP'!$N$5:$N$184))</f>
        <v>55.68181818181818</v>
      </c>
      <c r="J7" s="108"/>
      <c r="K7" s="119"/>
      <c r="M7" s="216" t="s">
        <v>825</v>
      </c>
      <c r="N7" s="121">
        <f t="array" ref="N7">AVERAGE(IF('Well Data-NK'!$G$109:$G$154={"RT","ZU"},IF('Well Data-NK'!$K$109:$K$154="NW",'Well Data-NK'!$Q$109:$Q$154)))</f>
        <v>99.088549999999998</v>
      </c>
      <c r="O7" s="121">
        <f t="array" ref="O7">AVERAGE(IF('Well Data-NK'!$G$109:$G$154={"RT","ZU"},IF('Well Data-NK'!$K$109:$K$154="ST",'Well Data-NK'!$Q$109:$Q$154)))</f>
        <v>44</v>
      </c>
      <c r="P7" s="121">
        <f t="array" ref="P7">AVERAGE(IF('Well Data-NK'!$G$109:$G$154={"ZU","RT"},IF('Well Data-NK'!$K$109:$K$154="NW",IF('Well Data-NK'!$J$109:$J$154="Prod",'Well Data-NK'!$Q$109:$Q$154))))</f>
        <v>99.088549999999998</v>
      </c>
      <c r="Q7" s="121">
        <f t="array" ref="Q7">AVERAGE(IF('Well Data-NK'!$G$109:$G$154={"ZU","RT"},IF('Well Data-NK'!$K$109:$K$154="ST",IF('Well Data-NK'!$J$109:$J$154="Prod",'Well Data-NK'!$Q$109:$Q$154))))</f>
        <v>52</v>
      </c>
      <c r="R7" s="121" t="e">
        <f t="array" ref="R7">AVERAGE(IF('Well Data-NK'!$G$109:$G$154={"ZU","RT"},IF('Well Data-NK'!$K$109:$K$154="NW",IF('Well Data-NK'!$J$109:$J$154="Inj",'Well Data-NK'!$Q$109:$Q$154))))</f>
        <v>#DIV/0!</v>
      </c>
      <c r="S7" s="121">
        <f t="array" ref="S7">AVERAGE(IF('Well Data-NK'!$G$109:$G$154={"ZU","RT"},IF('Well Data-NK'!$K$109:$K$154="ST",IF('Well Data-NK'!$J$109:$J$154="Inj",'Well Data-NK'!$Q$109:$Q$154))))</f>
        <v>36</v>
      </c>
      <c r="T7" s="216"/>
      <c r="U7" s="216"/>
      <c r="V7" s="121">
        <f t="array" ref="V7">AVERAGE(IF('Well Data-NK'!$G$109:$G$154={"ZU","RT"},'Well Data-NK'!$Q$109:$Q$154))</f>
        <v>80.725700000000003</v>
      </c>
      <c r="AA7" s="119"/>
    </row>
    <row r="8" spans="1:27" ht="15" x14ac:dyDescent="0.25">
      <c r="A8" s="212" t="s">
        <v>29</v>
      </c>
      <c r="B8" s="212" t="s">
        <v>816</v>
      </c>
      <c r="C8" s="212" t="s">
        <v>816</v>
      </c>
      <c r="D8" s="213">
        <f t="array" ref="D8">COUNT(IF('15-16 DP'!$F$5:$F$184={"UB"},'15-16 DP'!$A$5:$A$184))</f>
        <v>22</v>
      </c>
      <c r="E8" s="256">
        <f t="shared" si="0"/>
        <v>0.12222222222222222</v>
      </c>
      <c r="F8" s="56">
        <v>4</v>
      </c>
      <c r="G8" s="256">
        <f t="shared" si="1"/>
        <v>8.6956521739130432E-2</v>
      </c>
      <c r="H8" s="258">
        <v>53.119789999999995</v>
      </c>
      <c r="I8" s="56">
        <f t="array" ref="I8">AVERAGE(IF('15-16 DP'!$F$5:$F$184={"UB"},'15-16 DP'!$N$5:$N$184))</f>
        <v>62.68181818181818</v>
      </c>
      <c r="J8" s="108"/>
      <c r="K8" s="119"/>
      <c r="M8" s="216" t="s">
        <v>816</v>
      </c>
      <c r="N8" s="121">
        <f t="array" ref="N8">AVERAGE(IF('Well Data-NK'!$G$109:$G$154={"RT","ZU","LB","UB","MA"},IF('Well Data-NK'!$K$109:$K$154="NW",'Well Data-NK'!$Q$109:$Q$154)))</f>
        <v>67.229119775555716</v>
      </c>
      <c r="O8" s="121">
        <f t="array" ref="O8">AVERAGE(IF('Well Data-NK'!$G$109:$G$154={"RT","ZU","LB","UB","MA"},IF('Well Data-NK'!$K$109:$K$154="ST",'Well Data-NK'!$Q$109:$Q$154)))</f>
        <v>39.979300709676949</v>
      </c>
      <c r="P8" s="121">
        <f t="array" ref="P8">AVERAGE(IF('Well Data-NK'!$G$109:$G$154={"ZU","RT","LB","UB","MA"},IF('Well Data-NK'!$K$109:$K$154="NW",IF('Well Data-NK'!$J$109:$J$154="Prod",'Well Data-NK'!$Q$109:$Q$154))))</f>
        <v>67.229119775555716</v>
      </c>
      <c r="Q8" s="121">
        <f t="array" ref="Q8">AVERAGE(IF('Well Data-NK'!$G$109:$G$154={"ZU","RT","LB","UB","MA"},IF('Well Data-NK'!$K$109:$K$154="ST",IF('Well Data-NK'!$J$109:$J$154="Prod",'Well Data-NK'!$Q$109:$Q$154))))</f>
        <v>49.244165999999268</v>
      </c>
      <c r="R8" s="121" t="e">
        <f t="array" ref="R8">AVERAGE(IF('Well Data-NK'!$G$109:$G$154={"ZU","RT","LB","UB","MA"},IF('Well Data-NK'!$K$109:$K$154="NW",IF('Well Data-NK'!$J$109:$J$154="Inj",'Well Data-NK'!$Q$109:$Q$154))))</f>
        <v>#DIV/0!</v>
      </c>
      <c r="S8" s="121">
        <f t="array" ref="S8">AVERAGE(IF('Well Data-NK'!$G$109:$G$154={"ZU","RT","LB","UB","MA"},IF('Well Data-NK'!$K$109:$K$154="ST",IF('Well Data-NK'!$J$109:$J$154="Inj",'Well Data-NK'!$Q$109:$Q$154))))</f>
        <v>35.567460095237742</v>
      </c>
      <c r="T8" s="216"/>
      <c r="U8" s="216"/>
      <c r="V8" s="121">
        <f t="array" ref="V8">AVERAGE(IF('Well Data-NK'!$G$109:$G$154={"ZU","RT","LB","UB","MA"},'Well Data-NK'!$Q$109:$Q$154))</f>
        <v>48.865111274637414</v>
      </c>
      <c r="AA8" s="119"/>
    </row>
    <row r="9" spans="1:27" ht="15" x14ac:dyDescent="0.25">
      <c r="A9" s="212" t="s">
        <v>22</v>
      </c>
      <c r="B9" s="212" t="s">
        <v>816</v>
      </c>
      <c r="C9" s="212" t="s">
        <v>816</v>
      </c>
      <c r="D9" s="213">
        <f t="array" ref="D9">COUNT(IF('15-16 DP'!$F$5:$F$184={"LB"},'15-16 DP'!$A$5:$A$184))</f>
        <v>31</v>
      </c>
      <c r="E9" s="256">
        <f t="shared" si="0"/>
        <v>0.17222222222222222</v>
      </c>
      <c r="F9" s="56">
        <v>7</v>
      </c>
      <c r="G9" s="256">
        <f t="shared" si="1"/>
        <v>0.15217391304347827</v>
      </c>
      <c r="H9" s="258">
        <v>55.81537142381022</v>
      </c>
      <c r="I9" s="56">
        <f t="array" ref="I9">AVERAGE(IF('15-16 DP'!$F$5:$F$184={"LB"},'15-16 DP'!$N$5:$N$184))</f>
        <v>67.41935483870968</v>
      </c>
      <c r="J9" s="108"/>
      <c r="K9"/>
      <c r="Y9" s="119"/>
    </row>
    <row r="10" spans="1:27" ht="15" x14ac:dyDescent="0.25">
      <c r="A10" s="212" t="s">
        <v>13</v>
      </c>
      <c r="B10" s="212" t="s">
        <v>816</v>
      </c>
      <c r="C10" s="212" t="s">
        <v>816</v>
      </c>
      <c r="D10" s="213">
        <f t="array" ref="D10">COUNT(IF('15-16 DP'!$F$5:$F$184={"TU"},'15-16 DP'!$A$5:$A$184))</f>
        <v>1</v>
      </c>
      <c r="E10" s="256">
        <f t="shared" si="0"/>
        <v>5.5555555555555558E-3</v>
      </c>
      <c r="F10" s="213">
        <v>0</v>
      </c>
      <c r="G10" s="256">
        <f t="shared" si="1"/>
        <v>0</v>
      </c>
      <c r="H10" s="258">
        <v>0</v>
      </c>
      <c r="I10" s="56">
        <v>0</v>
      </c>
      <c r="J10" s="108"/>
      <c r="K10"/>
      <c r="Y10" s="119"/>
    </row>
    <row r="11" spans="1:27" ht="15" x14ac:dyDescent="0.25">
      <c r="A11" s="212" t="s">
        <v>825</v>
      </c>
      <c r="B11" s="212" t="s">
        <v>816</v>
      </c>
      <c r="C11" s="212" t="s">
        <v>816</v>
      </c>
      <c r="D11" s="213">
        <f t="array" ref="D11">COUNT(IF('15-16 DP'!$F$5:$F$184={"ZU","RT"},'15-16 DP'!$A$5:$A$184))</f>
        <v>16</v>
      </c>
      <c r="E11" s="256">
        <f t="shared" si="0"/>
        <v>8.8888888888888892E-2</v>
      </c>
      <c r="F11" s="56">
        <v>6</v>
      </c>
      <c r="G11" s="256">
        <f t="shared" si="1"/>
        <v>0.13043478260869565</v>
      </c>
      <c r="H11" s="258">
        <v>48.865111274637414</v>
      </c>
      <c r="I11" s="56">
        <f t="array" ref="I11">AVERAGE(IF('15-16 DP'!$F$5:$F$184={"ZU","RT"},'15-16 DP'!$N$5:$N$184))</f>
        <v>98.3125</v>
      </c>
      <c r="J11" s="108"/>
      <c r="K11" s="108"/>
      <c r="L11"/>
      <c r="M11" s="219" t="s">
        <v>1056</v>
      </c>
      <c r="N11" s="218" t="s">
        <v>1053</v>
      </c>
      <c r="O11" s="215"/>
      <c r="P11" s="215"/>
      <c r="Q11" s="215"/>
      <c r="R11" s="215"/>
      <c r="S11" s="215"/>
      <c r="T11" s="216"/>
      <c r="U11" s="216"/>
      <c r="V11" s="216"/>
      <c r="X11" s="211"/>
      <c r="Z11" s="119"/>
    </row>
    <row r="12" spans="1:27" ht="15" x14ac:dyDescent="0.25">
      <c r="A12" s="251" t="s">
        <v>17</v>
      </c>
      <c r="B12" s="252" t="s">
        <v>14</v>
      </c>
      <c r="C12" s="252" t="s">
        <v>298</v>
      </c>
      <c r="D12" s="253">
        <f t="array" ref="D12">COUNT(IF('15-16 DP'!$T$5:$T$184=A12,IF('15-16 DP'!$Q$5:$Q$184=B12,IF('15-16 DP'!$R$5:$R$184=C12,'15-16 DP'!$A$5:$A$184))))</f>
        <v>53</v>
      </c>
      <c r="I12" s="108"/>
      <c r="J12"/>
      <c r="K12" s="119"/>
      <c r="M12" s="215" t="s">
        <v>1293</v>
      </c>
      <c r="N12" s="215" t="s">
        <v>14</v>
      </c>
      <c r="O12" s="215" t="s">
        <v>18</v>
      </c>
      <c r="P12" s="215" t="s">
        <v>1295</v>
      </c>
      <c r="Q12" s="216" t="s">
        <v>782</v>
      </c>
      <c r="R12" s="216" t="s">
        <v>1297</v>
      </c>
      <c r="S12" s="216" t="s">
        <v>1296</v>
      </c>
      <c r="T12" s="81" t="s">
        <v>1298</v>
      </c>
      <c r="U12" s="81" t="s">
        <v>1299</v>
      </c>
      <c r="V12" s="217" t="s">
        <v>816</v>
      </c>
      <c r="W12" s="220"/>
      <c r="Y12" s="119"/>
    </row>
    <row r="13" spans="1:27" ht="15" x14ac:dyDescent="0.25">
      <c r="A13" s="251" t="s">
        <v>29</v>
      </c>
      <c r="B13" s="252" t="s">
        <v>14</v>
      </c>
      <c r="C13" s="252" t="s">
        <v>298</v>
      </c>
      <c r="D13" s="253">
        <f t="array" ref="D13">COUNT(IF('15-16 DP'!$T$5:$T$184=A13,IF('15-16 DP'!$Q$5:$Q$184=B13,IF('15-16 DP'!$R$5:$R$184=C13,'15-16 DP'!$A$5:$A$184))))</f>
        <v>17</v>
      </c>
      <c r="I13" s="108"/>
      <c r="J13"/>
      <c r="K13" s="119"/>
      <c r="M13" s="216" t="s">
        <v>13</v>
      </c>
      <c r="N13" s="216"/>
      <c r="O13" s="216"/>
      <c r="P13" s="216"/>
      <c r="Q13" s="216"/>
      <c r="R13" s="216"/>
      <c r="S13" s="216"/>
      <c r="T13" s="216"/>
      <c r="U13" s="216"/>
      <c r="V13" s="216"/>
      <c r="W13" s="211"/>
      <c r="Y13" s="119"/>
    </row>
    <row r="14" spans="1:27" ht="15" x14ac:dyDescent="0.25">
      <c r="A14" s="251" t="s">
        <v>22</v>
      </c>
      <c r="B14" s="252" t="s">
        <v>14</v>
      </c>
      <c r="C14" s="252" t="s">
        <v>298</v>
      </c>
      <c r="D14" s="253">
        <f t="array" ref="D14">COUNT(IF('15-16 DP'!$T$5:$T$184=A14,IF('15-16 DP'!$Q$5:$Q$184=B14,IF('15-16 DP'!$R$5:$R$184=C14,'15-16 DP'!$A$5:$A$184))))</f>
        <v>30</v>
      </c>
      <c r="I14" s="108"/>
      <c r="J14" s="119"/>
      <c r="K14" s="119"/>
      <c r="M14" s="216" t="s">
        <v>17</v>
      </c>
      <c r="N14" s="214">
        <f t="array" ref="N14">AVERAGE(IF('Well Data-NK'!$G$109:$G$154={"MA"},IF('Well Data-NK'!$K$109:$K$154="NW",IF('Well Data-NK'!$Q$109:$Q$154&lt;=PERCENTILE(IF('Well Data-NK'!$G$109:$G$154={"MA"},IF('Well Data-NK'!$K$109:$K$154="NW",'Well Data-NK'!$Q$109:$Q$154)),0.25),'Well Data-NK'!$Q$109:$Q$154))))</f>
        <v>47.791666666664241</v>
      </c>
      <c r="O14" s="214">
        <f t="array" ref="O14">AVERAGE(IF('Well Data-NK'!G109:G154={"MA"},IF('Well Data-NK'!K109:K154="ST",IF('Well Data-NK'!Q109:Q154&lt;=PERCENTILE(IF('Well Data-NK'!G109:G154={"MA"},IF('Well Data-NK'!K109:K154="ST",'Well Data-NK'!Q109:Q154)),0.25),'Well Data-NK'!Q109:Q154))))</f>
        <v>27.321428476189777</v>
      </c>
      <c r="P14" s="214">
        <f t="array" ref="P14">AVERAGE(IF('Well Data-NK'!G109:G154={"MA"},IF('Well Data-NK'!K109:K154="NW",IF('Well Data-NK'!J109:J154="Prod",IF('Well Data-NK'!Q109:Q154&lt;=PERCENTILE(IF('Well Data-NK'!G109:G154={"MA"},IF('Well Data-NK'!K109:K154="NW",IF('Well Data-NK'!J109:J154="Prod",'Well Data-NK'!Q109:Q154))),0.25),'Well Data-NK'!Q109:Q154)))))</f>
        <v>47.791666666664241</v>
      </c>
      <c r="Q14" s="214">
        <f t="array" ref="Q14">AVERAGE(IF('Well Data-NK'!G109:G154={"MA"},IF('Well Data-NK'!K109:K154="ST",IF('Well Data-NK'!J109:J154="Prod",IF('Well Data-NK'!Q109:Q154&lt;=PERCENTILE(IF('Well Data-NK'!G109:G154={"MA"},IF('Well Data-NK'!K109:K154="ST",IF('Well Data-NK'!J109:J154="Prod",'Well Data-NK'!Q109:Q154))),0.25),'Well Data-NK'!Q109:Q154)))))</f>
        <v>41.770833333332121</v>
      </c>
      <c r="R14" s="214" t="e">
        <f t="array" ref="R14">AVERAGE(IF('Well Data-NK'!G109:G154={"MA"},IF('Well Data-NK'!K109:K154="NW",IF('Well Data-NK'!J109:J154="Inj",IF('Well Data-NK'!Q109:Q154&lt;=PERCENTILE(IF('Well Data-NK'!G109:G154={"MA"},IF('Well Data-NK'!K109:K154="NW",IF('Well Data-NK'!J109:J154="Inj",'Well Data-NK'!Q109:Q154))),0.25),'Well Data-NK'!Q109:Q154)))))</f>
        <v>#DIV/0!</v>
      </c>
      <c r="S14" s="214">
        <f t="array" ref="S14">AVERAGE(IF('Well Data-NK'!G109:G154={"MA"},IF('Well Data-NK'!K109:K154="ST",IF('Well Data-NK'!J109:J154="Inj",IF('Well Data-NK'!Q109:Q154&lt;=PERCENTILE(IF('Well Data-NK'!G109:G154={"MA"},IF('Well Data-NK'!K109:K154="ST",IF('Well Data-NK'!J109:J154="Inj",'Well Data-NK'!Q109:Q154))),0.25),'Well Data-NK'!Q109:Q154)))))</f>
        <v>26.054166533332847</v>
      </c>
      <c r="T14" s="216"/>
      <c r="U14" s="216"/>
      <c r="V14" s="216"/>
      <c r="W14" s="211"/>
      <c r="Y14" s="119"/>
    </row>
    <row r="15" spans="1:27" ht="15" x14ac:dyDescent="0.25">
      <c r="A15" s="251" t="s">
        <v>13</v>
      </c>
      <c r="B15" s="252" t="s">
        <v>14</v>
      </c>
      <c r="C15" s="252" t="s">
        <v>298</v>
      </c>
      <c r="D15" s="253">
        <f t="array" ref="D15">COUNT(IF('15-16 DP'!$T$5:$T$184=A15,IF('15-16 DP'!$Q$5:$Q$184=B15,IF('15-16 DP'!$R$5:$R$184=C15,'15-16 DP'!$A$5:$A$184))))</f>
        <v>1</v>
      </c>
      <c r="I15" s="108"/>
      <c r="J15" s="119"/>
      <c r="K15" s="119"/>
      <c r="M15" s="216" t="s">
        <v>29</v>
      </c>
      <c r="N15" s="214">
        <f t="array" ref="N15">AVERAGE(IF('Well Data-NK'!$G$109:$G$154={"UB"},IF('Well Data-NK'!$K$109:$K$154="NW",IF('Well Data-NK'!$Q$109:$Q$154&lt;=PERCENTILE(IF('Well Data-NK'!$G$109:$G$154={"UB"},IF('Well Data-NK'!$K$109:$K$154="NW",'Well Data-NK'!$Q$109:$Q$154)),0.25),'Well Data-NK'!$Q$109:$Q$154))))</f>
        <v>48</v>
      </c>
      <c r="O15" s="214">
        <f t="array" ref="O15">AVERAGE(IF('Well Data-NK'!G109:G154={"UB"},IF('Well Data-NK'!K109:K154="ST",IF('Well Data-NK'!Q109:Q154&lt;=PERCENTILE(IF('Well Data-NK'!G109:G154={"UB"},IF('Well Data-NK'!K109:K154="ST",'Well Data-NK'!Q109:Q154)),0.25),'Well Data-NK'!Q109:Q154))))</f>
        <v>40.770829999999997</v>
      </c>
      <c r="P15" s="214">
        <f t="array" ref="P15">AVERAGE(IF('Well Data-NK'!G109:G154={"UB"},IF('Well Data-NK'!K109:K154="NW",IF('Well Data-NK'!J109:J154="Prod",IF('Well Data-NK'!Q109:Q154&lt;=PERCENTILE(IF('Well Data-NK'!G109:G154={"UB"},IF('Well Data-NK'!K109:K154="NW",IF('Well Data-NK'!J109:J154="Prod",'Well Data-NK'!Q109:Q154))),0.25),'Well Data-NK'!Q109:Q154)))))</f>
        <v>48</v>
      </c>
      <c r="Q15" s="214">
        <f t="array" ref="Q15">AVERAGE(IF('Well Data-NK'!G109:G154={"UB"},IF('Well Data-NK'!K109:K154="ST",IF('Well Data-NK'!J109:J154="Prod",IF('Well Data-NK'!Q109:Q154&lt;=PERCENTILE(IF('Well Data-NK'!G109:G154={"UB"},IF('Well Data-NK'!K109:K154="ST",IF('Well Data-NK'!J109:J154="Prod",'Well Data-NK'!Q109:Q154))),0.25),'Well Data-NK'!Q109:Q154)))))</f>
        <v>40.770829999999997</v>
      </c>
      <c r="R15" s="214" t="e">
        <f t="array" ref="R15">AVERAGE(IF('Well Data-NK'!G109:G154={"UB"},IF('Well Data-NK'!K109:K154="NW",IF('Well Data-NK'!J109:J154="Inj",IF('Well Data-NK'!Q109:Q154&lt;=PERCENTILE(IF('Well Data-NK'!G109:G154={"UB"},IF('Well Data-NK'!K109:K154="NW",IF('Well Data-NK'!J109:J154="Inj",'Well Data-NK'!Q109:Q154))),0.25),'Well Data-NK'!Q109:Q154)))))</f>
        <v>#DIV/0!</v>
      </c>
      <c r="S15" s="214" t="e">
        <f t="array" ref="S15">AVERAGE(IF('Well Data-NK'!G109:G154={"UB"},IF('Well Data-NK'!K109:K154="ST",IF('Well Data-NK'!J109:J154="Inj",IF('Well Data-NK'!Q109:Q154&lt;=PERCENTILE(IF('Well Data-NK'!G109:G154={"UB"},IF('Well Data-NK'!K109:K154="ST",IF('Well Data-NK'!J109:J154="Inj",'Well Data-NK'!Q109:Q154))),0.25),'Well Data-NK'!Q109:Q154)))))</f>
        <v>#DIV/0!</v>
      </c>
      <c r="T15" s="216"/>
      <c r="U15" s="216"/>
      <c r="V15" s="216"/>
      <c r="W15" s="211"/>
      <c r="Y15" s="119"/>
    </row>
    <row r="16" spans="1:27" ht="15" x14ac:dyDescent="0.25">
      <c r="A16" s="251" t="s">
        <v>825</v>
      </c>
      <c r="B16" s="252" t="s">
        <v>14</v>
      </c>
      <c r="C16" s="252" t="s">
        <v>298</v>
      </c>
      <c r="D16" s="253">
        <f t="array" ref="D16">COUNT(IF('15-16 DP'!$T$5:$T$184=A16,IF('15-16 DP'!$Q$5:$Q$184=B16,IF('15-16 DP'!$R$5:$R$184=C16,'15-16 DP'!$A$5:$A$184))))</f>
        <v>14</v>
      </c>
      <c r="I16" s="108"/>
      <c r="J16" s="119"/>
      <c r="K16" s="119"/>
      <c r="M16" s="216" t="s">
        <v>22</v>
      </c>
      <c r="N16" s="214">
        <f t="array" ref="N16">AVERAGE(IF('Well Data-NK'!$G$109:$G$154={"LB"},IF('Well Data-NK'!$K$109:$K$154="NW",IF('Well Data-NK'!$Q$109:$Q$154&lt;=PERCENTILE(IF('Well Data-NK'!$G$109:$G$154={"LB"},IF('Well Data-NK'!$K$109:$K$154="NW",'Well Data-NK'!$Q$109:$Q$154)),0.25),'Well Data-NK'!$Q$109:$Q$154))))</f>
        <v>45.207999999999998</v>
      </c>
      <c r="O16" s="214" t="e">
        <f t="array" ref="O16">AVERAGE(IF('Well Data-NK'!G109:G154={"LB"},IF('Well Data-NK'!K109:K154="ST",IF('Well Data-NK'!Q109:Q154&lt;=PERCENTILE(IF('Well Data-NK'!G109:G154={"LB"},IF('Well Data-NK'!K109:K154="ST",'Well Data-NK'!Q109:Q154)),0.25),'Well Data-NK'!Q109:Q154,))))</f>
        <v>#DIV/0!</v>
      </c>
      <c r="P16" s="214">
        <f t="array" ref="P16">AVERAGE(IF('Well Data-NK'!G109:G154={"LB"},IF('Well Data-NK'!K109:K154="NW",IF('Well Data-NK'!J109:J154="Prod",IF('Well Data-NK'!Q109:Q154&lt;=PERCENTILE(IF('Well Data-NK'!G109:G154={"LB"},IF('Well Data-NK'!K109:K154="NW",IF('Well Data-NK'!J109:J154="Prod",'Well Data-NK'!Q109:Q154))),0.25),'Well Data-NK'!Q109:Q154)))))</f>
        <v>45.207999999999998</v>
      </c>
      <c r="Q16" s="214" t="e">
        <f t="array" ref="Q16">AVERAGE(IF('Well Data-NK'!G109:G154={"LB"},IF('Well Data-NK'!K109:K154="ST",IF('Well Data-NK'!J109:J154="Prod",IF('Well Data-NK'!Q109:Q154&lt;=PERCENTILE(IF('Well Data-NK'!G109:G154={"LB"},IF('Well Data-NK'!K109:K154="ST",IF('Well Data-NK'!J109:J154="Prod",'Well Data-NK'!Q109:Q154))),0.25),'Well Data-NK'!Q109:Q154)))))</f>
        <v>#DIV/0!</v>
      </c>
      <c r="R16" s="214" t="e">
        <f t="array" ref="R16">AVERAGE(IF('Well Data-NK'!G109:G154={"LB"},IF('Well Data-NK'!K109:K154="NW",IF('Well Data-NK'!J109:J154="Inj",IF('Well Data-NK'!Q109:Q154&lt;=PERCENTILE(IF('Well Data-NK'!G109:G154={"LB"},IF('Well Data-NK'!K109:K154="NW",IF('Well Data-NK'!J109:J154="Inj",'Well Data-NK'!Q109:Q154))),0.25),'Well Data-NK'!Q109:Q154)))))</f>
        <v>#DIV/0!</v>
      </c>
      <c r="S16" s="214" t="e">
        <f t="array" ref="S16">AVERAGE(IF('Well Data-NK'!G109:G154={"LB"},IF('Well Data-NK'!K109:K154="ST",IF('Well Data-NK'!J109:J154="Inj",IF('Well Data-NK'!Q109:Q154&lt;=PERCENTILE(IF('Well Data-NK'!G109:G154={"LB"},IF('Well Data-NK'!K109:K154="ST",IF('Well Data-NK'!J109:J154="Inj",'Well Data-NK'!Q109:Q154))),0.25),'Well Data-NK'!Q109:Q154)))))</f>
        <v>#DIV/0!</v>
      </c>
      <c r="T16" s="216"/>
      <c r="U16" s="216"/>
      <c r="V16" s="216"/>
      <c r="W16" s="211"/>
      <c r="Y16" s="119"/>
    </row>
    <row r="17" spans="1:25" ht="15" x14ac:dyDescent="0.25">
      <c r="A17" s="251" t="s">
        <v>17</v>
      </c>
      <c r="B17" s="252" t="s">
        <v>18</v>
      </c>
      <c r="C17" s="252" t="s">
        <v>298</v>
      </c>
      <c r="D17" s="253">
        <f t="array" ref="D17">COUNT(IF('15-16 DP'!$T$5:$T$184=A17,IF('15-16 DP'!$Q$5:$Q$184=B17,IF('15-16 DP'!$R$5:$R$184=C17,'15-16 DP'!$A$5:$A$184))))</f>
        <v>18</v>
      </c>
      <c r="I17" s="108"/>
      <c r="J17" s="119"/>
      <c r="K17" s="119"/>
      <c r="M17" s="216" t="s">
        <v>825</v>
      </c>
      <c r="N17" s="214">
        <f t="array" ref="N17">AVERAGE(IF('Well Data-NK'!$G$109:$G$154={"ZU","RT"},IF('Well Data-NK'!$K$109:$K$154="NW",IF('Well Data-NK'!$Q$109:$Q$154&lt;=PERCENTILE(IF('Well Data-NK'!$G$109:$G$154={"ZU","RT"},IF('Well Data-NK'!$K$109:$K$154="NW",'Well Data-NK'!$Q$109:$Q$154)),0.25),'Well Data-NK'!$Q$109:$Q$154))))</f>
        <v>53.375</v>
      </c>
      <c r="O17" s="214">
        <f t="array" ref="O17">AVERAGE(IF('Well Data-NK'!G109:G154={"ZU","RT"},IF('Well Data-NK'!K109:K154="ST",IF('Well Data-NK'!Q109:Q154&lt;=PERCENTILE(IF('Well Data-NK'!G109:G154={"ZU","RT"},IF('Well Data-NK'!K109:K154="ST",'Well Data-NK'!Q109:Q154)),0.25),'Well Data-NK'!Q109:Q154))))</f>
        <v>36</v>
      </c>
      <c r="P17" s="214">
        <f t="array" ref="P17">AVERAGE(IF('Well Data-NK'!G109:G154={"ZU","RT"},IF('Well Data-NK'!K109:K154="NW",IF('Well Data-NK'!J109:J154="Prod",IF('Well Data-NK'!Q109:Q154&lt;=PERCENTILE(IF('Well Data-NK'!G109:G154={"ZU","RT"},IF('Well Data-NK'!K109:K154="NW",IF('Well Data-NK'!J109:J154="Prod",'Well Data-NK'!Q109:Q154))),0.25),'Well Data-NK'!Q109:Q154)))))</f>
        <v>53.375</v>
      </c>
      <c r="Q17" s="214">
        <f t="array" ref="Q17">AVERAGE(IF('Well Data-NK'!G109:G154={"ZU","RT"},IF('Well Data-NK'!K109:K154="ST",IF('Well Data-NK'!J109:J154="Prod",IF('Well Data-NK'!Q109:Q154&lt;=PERCENTILE(IF('Well Data-NK'!G109:G154={"ZU","RT"},IF('Well Data-NK'!K109:K154="ST",IF('Well Data-NK'!J109:J154="Prod",'Well Data-NK'!Q109:Q154))),0.25),'Well Data-NK'!Q109:Q154)))))</f>
        <v>52</v>
      </c>
      <c r="R17" s="214" t="e">
        <f t="array" ref="R17">AVERAGE(IF('Well Data-NK'!G109:G154={"ZU","RT"},IF('Well Data-NK'!K109:K154="NW",IF('Well Data-NK'!J109:J154="Inj",IF('Well Data-NK'!Q109:Q154&lt;=PERCENTILE(IF('Well Data-NK'!G109:G154={"ZU","RT"},IF('Well Data-NK'!K109:K154="NW",IF('Well Data-NK'!J109:J154="Inj",'Well Data-NK'!Q109:Q154))),0.25),'Well Data-NK'!Q109:Q154)))))</f>
        <v>#DIV/0!</v>
      </c>
      <c r="S17" s="214">
        <f t="array" ref="S17">AVERAGE(IF('Well Data-NK'!G109:G154={"ZU","RT"},IF('Well Data-NK'!K109:K154="ST",IF('Well Data-NK'!J109:J154="Inj",IF('Well Data-NK'!Q109:Q154&lt;=PERCENTILE(IF('Well Data-NK'!G109:G154={"ZU","RT"},IF('Well Data-NK'!K109:K154="ST",IF('Well Data-NK'!J109:J154="Inj",'Well Data-NK'!Q109:Q154))),0.25),'Well Data-NK'!Q109:Q154)))))</f>
        <v>36</v>
      </c>
      <c r="T17" s="216"/>
      <c r="U17" s="216"/>
      <c r="V17" s="216"/>
      <c r="W17" s="211"/>
      <c r="Y17" s="119"/>
    </row>
    <row r="18" spans="1:25" ht="15" x14ac:dyDescent="0.25">
      <c r="A18" s="251" t="s">
        <v>29</v>
      </c>
      <c r="B18" s="252" t="s">
        <v>18</v>
      </c>
      <c r="C18" s="252" t="s">
        <v>298</v>
      </c>
      <c r="D18" s="253">
        <f t="array" ref="D18">COUNT(IF('15-16 DP'!$T$5:$T$184=A18,IF('15-16 DP'!$Q$5:$Q$184=B18,IF('15-16 DP'!$R$5:$R$184=C18,'15-16 DP'!$A$5:$A$184))))</f>
        <v>2</v>
      </c>
      <c r="I18" s="108"/>
      <c r="J18" s="119"/>
      <c r="K18" s="119"/>
      <c r="M18" s="216" t="s">
        <v>816</v>
      </c>
      <c r="N18" s="214">
        <f t="array" ref="N18">AVERAGE(IF('Well Data-NK'!$G$109:$G$154={"ZU","RT","LB","UB","MA"},IF('Well Data-NK'!$K$109:$K$154="NW",IF('Well Data-NK'!$Q$109:$Q$154&lt;=PERCENTILE(IF('Well Data-NK'!$G$109:$G$154={"ZU","RT","LB","UB","MA"},IF('Well Data-NK'!$K$109:$K$154="NW",'Well Data-NK'!$Q$109:$Q$154)),0.25),'Well Data-NK'!$Q$109:$Q$154))))</f>
        <v>46.55191666666606</v>
      </c>
      <c r="O18" s="214">
        <f t="array" ref="O18">AVERAGE(IF('Well Data-NK'!G109:G154={"ZU","RT","LB","UB","MA"},IF('Well Data-NK'!K109:K154="ST",IF('Well Data-NK'!Q109:Q154&lt;=PERCENTILE(IF('Well Data-NK'!G109:G154={"ZU","RT","LB","UB","MA"},IF('Well Data-NK'!K109:K154="ST",'Well Data-NK'!Q109:Q154)),0.25),'Well Data-NK'!Q109:Q154))))</f>
        <v>27.796874916666056</v>
      </c>
      <c r="P18" s="214">
        <f t="array" ref="P18">AVERAGE(IF('Well Data-NK'!G109:G154={"ZU","RT","LB","UB","MA"},IF('Well Data-NK'!K109:K154="NW",IF('Well Data-NK'!J109:J154="Prod",IF('Well Data-NK'!Q109:Q154&lt;=PERCENTILE(IF('Well Data-NK'!G109:G154={"ZU","RT","LB","UB","MA"},IF('Well Data-NK'!K109:K154="NW",IF('Well Data-NK'!J109:J154="Prod",'Well Data-NK'!Q109:Q154))),0.25),'Well Data-NK'!Q109:Q154)))))</f>
        <v>46.55191666666606</v>
      </c>
      <c r="Q18" s="214">
        <f t="array" ref="Q18">AVERAGE(IF('Well Data-NK'!G109:G154={"ZU","RT","LB","UB","MA"},IF('Well Data-NK'!K109:K154="ST",IF('Well Data-NK'!J109:J154="Prod",IF('Well Data-NK'!Q109:Q154&lt;=PERCENTILE(IF('Well Data-NK'!G109:G154={"ZU","RT","LB","UB","MA"},IF('Well Data-NK'!K109:K154="ST",IF('Well Data-NK'!J109:J154="Prod",'Well Data-NK'!Q109:Q154))),0.25),'Well Data-NK'!Q109:Q154)))))</f>
        <v>41.437498888888079</v>
      </c>
      <c r="R18" s="214" t="e">
        <f t="array" ref="R18">AVERAGE(IF('Well Data-NK'!G109:G154={"ZU","RT","LB","UB","MA"},IF('Well Data-NK'!K109:K154="NW",IF('Well Data-NK'!J109:J154="Inj",IF('Well Data-NK'!Q109:Q154&lt;=PERCENTILE(IF('Well Data-NK'!G109:G154={"ZU","RT","LB","UB","MA"},IF('Well Data-NK'!K109:K154="NW",IF('Well Data-NK'!J109:J154="Inj",'Well Data-NK'!Q109:Q154))),0.25),'Well Data-NK'!Q109:Q154)))))</f>
        <v>#DIV/0!</v>
      </c>
      <c r="S18" s="214">
        <f t="array" ref="S18">AVERAGE(IF('Well Data-NK'!G109:G154={"ZU","RT","LB","UB","MA"},IF('Well Data-NK'!K109:K154="ST",IF('Well Data-NK'!J109:J154="Inj",IF('Well Data-NK'!Q109:Q154&lt;=PERCENTILE(IF('Well Data-NK'!G109:G154={"ZU","RT","LB","UB","MA"},IF('Well Data-NK'!K109:K154="ST",IF('Well Data-NK'!J109:J154="Inj",'Well Data-NK'!Q109:Q154))),0.25),'Well Data-NK'!Q109:Q154)))))</f>
        <v>26.743055444444039</v>
      </c>
      <c r="T18" s="216"/>
      <c r="U18" s="216"/>
      <c r="V18" s="216"/>
      <c r="W18" s="211"/>
      <c r="Y18" s="119"/>
    </row>
    <row r="19" spans="1:25" ht="15" x14ac:dyDescent="0.25">
      <c r="A19" s="251" t="s">
        <v>22</v>
      </c>
      <c r="B19" s="252" t="s">
        <v>18</v>
      </c>
      <c r="C19" s="252" t="s">
        <v>298</v>
      </c>
      <c r="D19" s="253">
        <f t="array" ref="D19">COUNT(IF('15-16 DP'!$T$5:$T$184=A19,IF('15-16 DP'!$Q$5:$Q$184=B19,IF('15-16 DP'!$R$5:$R$184=C19,'15-16 DP'!$A$5:$A$184))))</f>
        <v>0</v>
      </c>
      <c r="I19" s="108"/>
      <c r="J19" s="119"/>
      <c r="K19" s="119"/>
      <c r="W19" s="211"/>
      <c r="Y19" s="119"/>
    </row>
    <row r="20" spans="1:25" ht="15" x14ac:dyDescent="0.25">
      <c r="A20" s="251" t="s">
        <v>13</v>
      </c>
      <c r="B20" s="252" t="s">
        <v>18</v>
      </c>
      <c r="C20" s="252" t="s">
        <v>298</v>
      </c>
      <c r="D20" s="253">
        <f t="array" ref="D20">COUNT(IF('15-16 DP'!$T$5:$T$184=A20,IF('15-16 DP'!$Q$5:$Q$184=B20,IF('15-16 DP'!$R$5:$R$184=C20,'15-16 DP'!$A$5:$A$184))))</f>
        <v>0</v>
      </c>
      <c r="I20" s="108"/>
      <c r="J20" s="119"/>
      <c r="K20" s="119"/>
      <c r="M20" s="34"/>
      <c r="W20" s="211"/>
      <c r="Y20" s="119"/>
    </row>
    <row r="21" spans="1:25" ht="15" x14ac:dyDescent="0.25">
      <c r="A21" s="251" t="s">
        <v>825</v>
      </c>
      <c r="B21" s="252" t="s">
        <v>18</v>
      </c>
      <c r="C21" s="252" t="s">
        <v>298</v>
      </c>
      <c r="D21" s="253">
        <f t="array" ref="D21">COUNT(IF('15-16 DP'!$T$5:$T$184=A21,IF('15-16 DP'!$Q$5:$Q$184=B21,IF('15-16 DP'!$R$5:$R$184=C21,'15-16 DP'!$A$5:$A$184))))</f>
        <v>1</v>
      </c>
      <c r="I21" s="108"/>
      <c r="J21"/>
      <c r="K21" s="119"/>
      <c r="M21" s="34"/>
      <c r="W21" s="211"/>
      <c r="Y21" s="119"/>
    </row>
    <row r="22" spans="1:25" ht="15" x14ac:dyDescent="0.25">
      <c r="A22" s="251" t="s">
        <v>17</v>
      </c>
      <c r="B22" s="252" t="s">
        <v>14</v>
      </c>
      <c r="C22" s="252" t="s">
        <v>34</v>
      </c>
      <c r="D22" s="253">
        <f t="array" ref="D22">COUNT(IF('15-16 DP'!$T$5:$T$184=A22,IF('15-16 DP'!$Q$5:$Q$184=B22,IF('15-16 DP'!$R$5:$R$184=C22,'15-16 DP'!$A$5:$A$184))))</f>
        <v>13</v>
      </c>
      <c r="I22" s="108"/>
      <c r="J22" s="119"/>
      <c r="K22" s="119"/>
      <c r="W22" s="211"/>
      <c r="Y22" s="119"/>
    </row>
    <row r="23" spans="1:25" ht="15" x14ac:dyDescent="0.25">
      <c r="A23" s="251" t="s">
        <v>29</v>
      </c>
      <c r="B23" s="252" t="s">
        <v>14</v>
      </c>
      <c r="C23" s="252" t="s">
        <v>34</v>
      </c>
      <c r="D23" s="253">
        <f t="array" ref="D23">COUNT(IF('15-16 DP'!$T$5:$T$184=A23,IF('15-16 DP'!$Q$5:$Q$184=B23,IF('15-16 DP'!$R$5:$R$184=C23,'15-16 DP'!$A$5:$A$184))))</f>
        <v>3</v>
      </c>
      <c r="I23" s="108"/>
      <c r="J23" s="119"/>
      <c r="K23" s="119"/>
      <c r="W23" s="211"/>
      <c r="Y23" s="119"/>
    </row>
    <row r="24" spans="1:25" ht="15" x14ac:dyDescent="0.25">
      <c r="A24" s="251" t="s">
        <v>22</v>
      </c>
      <c r="B24" s="252" t="s">
        <v>14</v>
      </c>
      <c r="C24" s="252" t="s">
        <v>34</v>
      </c>
      <c r="D24" s="253">
        <f t="array" ref="D24">COUNT(IF('15-16 DP'!$T$5:$T$184=A24,IF('15-16 DP'!$Q$5:$Q$184=B24,IF('15-16 DP'!$R$5:$R$184=C24,'15-16 DP'!$A$5:$A$184))))</f>
        <v>0</v>
      </c>
      <c r="I24" s="108"/>
      <c r="J24" s="119"/>
      <c r="K24" s="119"/>
      <c r="W24" s="211"/>
      <c r="Y24" s="119"/>
    </row>
    <row r="25" spans="1:25" ht="15" x14ac:dyDescent="0.25">
      <c r="A25" s="251" t="s">
        <v>13</v>
      </c>
      <c r="B25" s="252" t="s">
        <v>14</v>
      </c>
      <c r="C25" s="252" t="s">
        <v>34</v>
      </c>
      <c r="D25" s="253">
        <f t="array" ref="D25">COUNT(IF('15-16 DP'!$T$5:$T$184=A25,IF('15-16 DP'!$Q$5:$Q$184=B25,IF('15-16 DP'!$R$5:$R$184=C25,'15-16 DP'!$A$5:$A$184))))</f>
        <v>0</v>
      </c>
      <c r="I25" s="108"/>
      <c r="J25" s="119"/>
      <c r="K25" s="119"/>
      <c r="X25" s="119"/>
    </row>
    <row r="26" spans="1:25" ht="15" x14ac:dyDescent="0.25">
      <c r="A26" s="251" t="s">
        <v>825</v>
      </c>
      <c r="B26" s="252" t="s">
        <v>14</v>
      </c>
      <c r="C26" s="252" t="s">
        <v>34</v>
      </c>
      <c r="D26" s="253">
        <f t="array" ref="D26">COUNT(IF('15-16 DP'!$T$5:$T$184=A26,IF('15-16 DP'!$Q$5:$Q$184=B26,IF('15-16 DP'!$R$5:$R$184=C26,'15-16 DP'!$A$5:$A$184))))</f>
        <v>0</v>
      </c>
      <c r="I26" s="108"/>
      <c r="J26" s="119"/>
      <c r="K26" s="119"/>
      <c r="X26" s="119"/>
    </row>
    <row r="27" spans="1:25" ht="15" x14ac:dyDescent="0.25">
      <c r="A27" s="251" t="s">
        <v>17</v>
      </c>
      <c r="B27" s="252" t="s">
        <v>18</v>
      </c>
      <c r="C27" s="252" t="s">
        <v>34</v>
      </c>
      <c r="D27" s="253">
        <f t="array" ref="D27">COUNT(IF('15-16 DP'!$T$5:$T$184=A27,IF('15-16 DP'!$Q$5:$Q$184=B27,IF('15-16 DP'!$R$5:$R$184=C27,'15-16 DP'!$A$5:$A$184))))</f>
        <v>21</v>
      </c>
      <c r="I27" s="108"/>
      <c r="J27" s="119"/>
      <c r="K27" s="119"/>
      <c r="X27" s="119"/>
    </row>
    <row r="28" spans="1:25" ht="15" x14ac:dyDescent="0.25">
      <c r="A28" s="251" t="s">
        <v>29</v>
      </c>
      <c r="B28" s="252" t="s">
        <v>18</v>
      </c>
      <c r="C28" s="252" t="s">
        <v>34</v>
      </c>
      <c r="D28" s="253">
        <f t="array" ref="D28">COUNT(IF('15-16 DP'!$T$5:$T$184=A28,IF('15-16 DP'!$Q$5:$Q$184=B28,IF('15-16 DP'!$R$5:$R$184=C28,'15-16 DP'!$A$5:$A$184))))</f>
        <v>0</v>
      </c>
      <c r="I28" s="108"/>
      <c r="J28" s="119"/>
      <c r="K28" s="119"/>
      <c r="X28" s="119"/>
    </row>
    <row r="29" spans="1:25" ht="15" x14ac:dyDescent="0.25">
      <c r="A29" s="251" t="s">
        <v>22</v>
      </c>
      <c r="B29" s="252" t="s">
        <v>18</v>
      </c>
      <c r="C29" s="252" t="s">
        <v>34</v>
      </c>
      <c r="D29" s="253">
        <f t="array" ref="D29">COUNT(IF('15-16 DP'!$T$5:$T$184=A29,IF('15-16 DP'!$Q$5:$Q$184=B29,IF('15-16 DP'!$R$5:$R$184=C29,'15-16 DP'!$A$5:$A$184))))</f>
        <v>0</v>
      </c>
      <c r="I29" s="108"/>
      <c r="J29" s="119"/>
      <c r="K29" s="119"/>
      <c r="X29" s="119"/>
    </row>
    <row r="30" spans="1:25" ht="15" x14ac:dyDescent="0.25">
      <c r="A30" s="251" t="s">
        <v>13</v>
      </c>
      <c r="B30" s="252" t="s">
        <v>18</v>
      </c>
      <c r="C30" s="252" t="s">
        <v>34</v>
      </c>
      <c r="D30" s="253">
        <f t="array" ref="D30">COUNT(IF('15-16 DP'!$T$5:$T$184=A30,IF('15-16 DP'!$Q$5:$Q$184=B30,IF('15-16 DP'!$R$5:$R$184=C30,'15-16 DP'!$A$5:$A$184))))</f>
        <v>0</v>
      </c>
      <c r="I30" s="108"/>
      <c r="J30" s="119"/>
      <c r="K30" s="119"/>
      <c r="X30" s="119"/>
    </row>
    <row r="31" spans="1:25" ht="15" x14ac:dyDescent="0.25">
      <c r="A31" s="251" t="s">
        <v>825</v>
      </c>
      <c r="B31" s="252" t="s">
        <v>18</v>
      </c>
      <c r="C31" s="252" t="s">
        <v>34</v>
      </c>
      <c r="D31" s="253">
        <f t="array" ref="D31">COUNT(IF('15-16 DP'!$T$5:$T$184=A31,IF('15-16 DP'!$Q$5:$Q$184=B31,IF('15-16 DP'!$R$5:$R$184=C31,'15-16 DP'!$A$5:$A$184))))</f>
        <v>0</v>
      </c>
      <c r="I31" s="108"/>
      <c r="J31" s="119"/>
      <c r="K31" s="119"/>
      <c r="X31" s="119"/>
    </row>
    <row r="32" spans="1:25" ht="15" x14ac:dyDescent="0.25">
      <c r="A32" s="212"/>
      <c r="J32" s="108"/>
      <c r="K32" s="108"/>
      <c r="L32" s="119"/>
      <c r="W32" s="211"/>
      <c r="Y32" s="119"/>
    </row>
    <row r="33" spans="1:26" ht="15" x14ac:dyDescent="0.25">
      <c r="A33" s="212"/>
      <c r="J33" s="108"/>
      <c r="K33" s="108"/>
      <c r="L33" s="119"/>
      <c r="W33" s="211"/>
      <c r="Y33" s="119"/>
    </row>
    <row r="34" spans="1:26" ht="15" x14ac:dyDescent="0.25">
      <c r="A34" s="212"/>
      <c r="J34" s="108"/>
      <c r="K34" s="108"/>
      <c r="L34" s="119"/>
      <c r="X34" s="211"/>
      <c r="Z34" s="119"/>
    </row>
    <row r="35" spans="1:26" ht="15" x14ac:dyDescent="0.25">
      <c r="A35" s="212"/>
      <c r="J35" s="108"/>
      <c r="K35" s="108"/>
      <c r="L35" s="119"/>
      <c r="X35" s="211"/>
      <c r="Z35" s="119"/>
    </row>
    <row r="36" spans="1:26" ht="15" x14ac:dyDescent="0.25">
      <c r="A36" s="212"/>
      <c r="J36" s="108"/>
      <c r="K36" s="108"/>
      <c r="L36" s="119"/>
      <c r="X36" s="211"/>
      <c r="Z36" s="119"/>
    </row>
    <row r="37" spans="1:26" ht="15" x14ac:dyDescent="0.25">
      <c r="J37" s="108"/>
      <c r="K37" s="108"/>
      <c r="L37"/>
      <c r="X37" s="211"/>
      <c r="Z37" s="119"/>
    </row>
    <row r="38" spans="1:26" ht="15" x14ac:dyDescent="0.25">
      <c r="L38"/>
      <c r="X38" s="211"/>
      <c r="Z38" s="119"/>
    </row>
    <row r="39" spans="1:26" ht="15" x14ac:dyDescent="0.25">
      <c r="L39"/>
      <c r="X39" s="211"/>
      <c r="Y39" s="119"/>
    </row>
    <row r="40" spans="1:26" ht="15" customHeight="1" x14ac:dyDescent="0.25">
      <c r="L40"/>
      <c r="X40" s="211"/>
    </row>
    <row r="41" spans="1:26" ht="15" customHeight="1" x14ac:dyDescent="0.25">
      <c r="K41"/>
    </row>
    <row r="42" spans="1:26" ht="15" x14ac:dyDescent="0.25">
      <c r="K42"/>
    </row>
    <row r="43" spans="1:26" ht="15" x14ac:dyDescent="0.25">
      <c r="K43"/>
    </row>
    <row r="44" spans="1:26" ht="15" x14ac:dyDescent="0.25">
      <c r="K44"/>
    </row>
    <row r="45" spans="1:26" ht="15" x14ac:dyDescent="0.25">
      <c r="K45"/>
    </row>
    <row r="46" spans="1:26" ht="15" x14ac:dyDescent="0.25">
      <c r="K46"/>
    </row>
    <row r="47" spans="1:26" ht="15" x14ac:dyDescent="0.25">
      <c r="K47"/>
    </row>
    <row r="48" spans="1:26" ht="15" x14ac:dyDescent="0.25">
      <c r="K48"/>
    </row>
    <row r="49" spans="11:11" ht="15" x14ac:dyDescent="0.25">
      <c r="K49"/>
    </row>
    <row r="50" spans="11:11" ht="15" x14ac:dyDescent="0.25">
      <c r="K50"/>
    </row>
    <row r="51" spans="11:11" ht="15" x14ac:dyDescent="0.25">
      <c r="K51"/>
    </row>
    <row r="52" spans="11:11" ht="15" x14ac:dyDescent="0.25">
      <c r="K52"/>
    </row>
    <row r="53" spans="11:11" ht="15" x14ac:dyDescent="0.25">
      <c r="K53"/>
    </row>
    <row r="54" spans="11:11" ht="15" x14ac:dyDescent="0.25">
      <c r="K54"/>
    </row>
    <row r="55" spans="11:11" ht="15" x14ac:dyDescent="0.25">
      <c r="K55"/>
    </row>
    <row r="56" spans="11:11" ht="15" x14ac:dyDescent="0.25">
      <c r="K56"/>
    </row>
    <row r="57" spans="11:11" ht="15" x14ac:dyDescent="0.25">
      <c r="K57"/>
    </row>
    <row r="58" spans="11:11" ht="15" x14ac:dyDescent="0.25">
      <c r="K58"/>
    </row>
    <row r="59" spans="11:11" ht="15" x14ac:dyDescent="0.25">
      <c r="K59"/>
    </row>
    <row r="60" spans="11:11" ht="15" x14ac:dyDescent="0.25">
      <c r="K60"/>
    </row>
    <row r="61" spans="11:11" ht="15" x14ac:dyDescent="0.25">
      <c r="K61"/>
    </row>
    <row r="62" spans="11:11" ht="15" x14ac:dyDescent="0.25">
      <c r="K62"/>
    </row>
    <row r="63" spans="11:11" ht="15" x14ac:dyDescent="0.25">
      <c r="K63"/>
    </row>
    <row r="64" spans="11:11" ht="15" x14ac:dyDescent="0.25">
      <c r="K64"/>
    </row>
    <row r="65" spans="1:11" ht="15" x14ac:dyDescent="0.25">
      <c r="K65"/>
    </row>
    <row r="66" spans="1:11" ht="15" x14ac:dyDescent="0.25">
      <c r="K66"/>
    </row>
    <row r="67" spans="1:11" ht="15" x14ac:dyDescent="0.25">
      <c r="A67" s="638" t="s">
        <v>1320</v>
      </c>
      <c r="B67" s="638"/>
      <c r="C67" s="638"/>
      <c r="K67"/>
    </row>
    <row r="68" spans="1:11" ht="15" x14ac:dyDescent="0.25">
      <c r="B68" s="56" t="s">
        <v>1318</v>
      </c>
      <c r="C68" s="56" t="s">
        <v>1308</v>
      </c>
      <c r="K68"/>
    </row>
    <row r="69" spans="1:11" ht="15" x14ac:dyDescent="0.25">
      <c r="A69" s="56" t="s">
        <v>1052</v>
      </c>
      <c r="B69" s="56">
        <f ca="1">COUNTIF('15-16 DP PLANNED ONLY'!AH5:AH160,"&gt;0")</f>
        <v>34</v>
      </c>
      <c r="C69" s="56">
        <f ca="1">COUNTIF('15-16 DP PLANNED ONLY'!AG5:AG160,"&gt;0")</f>
        <v>66</v>
      </c>
      <c r="K69"/>
    </row>
    <row r="70" spans="1:11" ht="15" x14ac:dyDescent="0.25">
      <c r="A70" s="56" t="s">
        <v>1053</v>
      </c>
      <c r="B70" s="56">
        <f ca="1">COUNTIF('15-16 DP PLANNED ONLY'!AK5:AK160,"&gt;0")</f>
        <v>45</v>
      </c>
      <c r="C70" s="56">
        <f ca="1">COUNTIF('15-16 DP PLANNED ONLY'!AJ5:AJ160,"&gt;0")</f>
        <v>82</v>
      </c>
      <c r="K70"/>
    </row>
    <row r="71" spans="1:11" ht="12.75" customHeight="1" x14ac:dyDescent="0.25">
      <c r="A71" s="210"/>
      <c r="J71"/>
    </row>
    <row r="72" spans="1:11" ht="15" customHeight="1" x14ac:dyDescent="0.25">
      <c r="J72"/>
    </row>
    <row r="73" spans="1:11" ht="15" x14ac:dyDescent="0.25">
      <c r="K73"/>
    </row>
    <row r="74" spans="1:11" ht="15" x14ac:dyDescent="0.25">
      <c r="K74"/>
    </row>
    <row r="75" spans="1:11" ht="15" x14ac:dyDescent="0.25">
      <c r="K75"/>
    </row>
    <row r="76" spans="1:11" ht="15" x14ac:dyDescent="0.25">
      <c r="K76"/>
    </row>
    <row r="77" spans="1:11" ht="15" x14ac:dyDescent="0.25">
      <c r="K77"/>
    </row>
    <row r="78" spans="1:11" ht="15" x14ac:dyDescent="0.25">
      <c r="K78"/>
    </row>
    <row r="79" spans="1:11" ht="15" x14ac:dyDescent="0.25">
      <c r="K79"/>
    </row>
    <row r="80" spans="1:11" ht="15" x14ac:dyDescent="0.25">
      <c r="K80"/>
    </row>
    <row r="81" spans="1:11" ht="15" x14ac:dyDescent="0.25">
      <c r="K81"/>
    </row>
    <row r="82" spans="1:11" ht="15" x14ac:dyDescent="0.25">
      <c r="K82"/>
    </row>
    <row r="83" spans="1:11" ht="15" x14ac:dyDescent="0.25">
      <c r="K83"/>
    </row>
    <row r="84" spans="1:11" ht="15" x14ac:dyDescent="0.25">
      <c r="K84"/>
    </row>
    <row r="85" spans="1:11" ht="15" x14ac:dyDescent="0.25">
      <c r="K85"/>
    </row>
    <row r="86" spans="1:11" ht="15" x14ac:dyDescent="0.25">
      <c r="K86"/>
    </row>
    <row r="87" spans="1:11" ht="15" x14ac:dyDescent="0.25">
      <c r="K87"/>
    </row>
    <row r="88" spans="1:11" ht="15" x14ac:dyDescent="0.25">
      <c r="K88"/>
    </row>
    <row r="89" spans="1:11" ht="15" x14ac:dyDescent="0.25">
      <c r="K89" s="119"/>
    </row>
    <row r="90" spans="1:11" ht="15" x14ac:dyDescent="0.25">
      <c r="B90" s="638" t="s">
        <v>1330</v>
      </c>
      <c r="C90" s="638"/>
      <c r="D90" s="210"/>
      <c r="E90" s="210"/>
      <c r="K90"/>
    </row>
    <row r="91" spans="1:11" ht="15" x14ac:dyDescent="0.25">
      <c r="B91" s="56" t="s">
        <v>1339</v>
      </c>
      <c r="C91" s="89" t="s">
        <v>1340</v>
      </c>
      <c r="D91" s="89"/>
      <c r="E91" s="56"/>
      <c r="K91"/>
    </row>
    <row r="92" spans="1:11" ht="15" x14ac:dyDescent="0.25">
      <c r="A92" s="56" t="s">
        <v>1052</v>
      </c>
      <c r="B92" s="259">
        <f>SUM('15-16 Composit'!M2:M17)</f>
        <v>48.865111274637414</v>
      </c>
      <c r="C92" s="259">
        <f>SUM('15-16 Composit'!R2:R17)</f>
        <v>56.156309978986201</v>
      </c>
      <c r="K92"/>
    </row>
    <row r="93" spans="1:11" ht="15" x14ac:dyDescent="0.25">
      <c r="A93" s="56" t="s">
        <v>1053</v>
      </c>
      <c r="B93" s="259">
        <f>SUM('15-16 Composit'!M18:M33)</f>
        <v>36.707829507245876</v>
      </c>
      <c r="C93" s="260">
        <f>SUM('15-16 Composit'!R18:R33)</f>
        <v>44.385431146510513</v>
      </c>
      <c r="K93"/>
    </row>
    <row r="94" spans="1:11" ht="15" x14ac:dyDescent="0.25">
      <c r="K94"/>
    </row>
    <row r="95" spans="1:11" ht="15" x14ac:dyDescent="0.25">
      <c r="K95"/>
    </row>
    <row r="96" spans="1:11" ht="15" x14ac:dyDescent="0.25">
      <c r="K96"/>
    </row>
    <row r="97" spans="11:11" ht="15" x14ac:dyDescent="0.25">
      <c r="K97"/>
    </row>
    <row r="98" spans="11:11" ht="15" x14ac:dyDescent="0.25">
      <c r="K98"/>
    </row>
    <row r="99" spans="11:11" ht="15" x14ac:dyDescent="0.25">
      <c r="K99"/>
    </row>
    <row r="100" spans="11:11" ht="15" x14ac:dyDescent="0.25">
      <c r="K100"/>
    </row>
    <row r="101" spans="11:11" ht="15" x14ac:dyDescent="0.25">
      <c r="K101"/>
    </row>
    <row r="102" spans="11:11" ht="15" x14ac:dyDescent="0.25">
      <c r="K102"/>
    </row>
    <row r="103" spans="11:11" ht="15" x14ac:dyDescent="0.25">
      <c r="K103"/>
    </row>
    <row r="104" spans="11:11" ht="15" x14ac:dyDescent="0.25">
      <c r="K104"/>
    </row>
    <row r="105" spans="11:11" ht="15" x14ac:dyDescent="0.25">
      <c r="K105"/>
    </row>
    <row r="106" spans="11:11" ht="15" x14ac:dyDescent="0.25">
      <c r="K106"/>
    </row>
    <row r="107" spans="11:11" ht="15" x14ac:dyDescent="0.25">
      <c r="K107"/>
    </row>
    <row r="108" spans="11:11" ht="15" x14ac:dyDescent="0.25">
      <c r="K108"/>
    </row>
    <row r="109" spans="11:11" ht="15" x14ac:dyDescent="0.25">
      <c r="K109"/>
    </row>
    <row r="110" spans="11:11" ht="15" x14ac:dyDescent="0.25">
      <c r="K110"/>
    </row>
    <row r="111" spans="11:11" ht="15" x14ac:dyDescent="0.25">
      <c r="K111"/>
    </row>
    <row r="112" spans="11:11" ht="15" x14ac:dyDescent="0.25">
      <c r="K112"/>
    </row>
    <row r="113" spans="1:11" ht="15" x14ac:dyDescent="0.25">
      <c r="K113"/>
    </row>
    <row r="114" spans="1:11" ht="15" x14ac:dyDescent="0.25">
      <c r="K114"/>
    </row>
    <row r="115" spans="1:11" ht="15" x14ac:dyDescent="0.25">
      <c r="B115" s="56" t="s">
        <v>1336</v>
      </c>
      <c r="C115" s="56" t="s">
        <v>1337</v>
      </c>
      <c r="K115"/>
    </row>
    <row r="116" spans="1:11" ht="15" x14ac:dyDescent="0.25">
      <c r="A116" s="56" t="s">
        <v>454</v>
      </c>
      <c r="B116" s="56">
        <f>365/(C92+5)</f>
        <v>5.9683130019685118</v>
      </c>
      <c r="C116" s="56">
        <f>B116*21</f>
        <v>125.33457304133874</v>
      </c>
      <c r="K116"/>
    </row>
    <row r="117" spans="1:11" ht="15" x14ac:dyDescent="0.25">
      <c r="A117" s="56" t="s">
        <v>1338</v>
      </c>
      <c r="B117" s="56">
        <f>365/(C93+5)</f>
        <v>7.3908436461182996</v>
      </c>
      <c r="C117" s="56">
        <f>B117*21</f>
        <v>155.2077165684843</v>
      </c>
      <c r="K117"/>
    </row>
    <row r="118" spans="1:11" ht="15" x14ac:dyDescent="0.25">
      <c r="K118"/>
    </row>
    <row r="119" spans="1:11" ht="15" x14ac:dyDescent="0.25">
      <c r="K119"/>
    </row>
    <row r="120" spans="1:11" ht="15" x14ac:dyDescent="0.25">
      <c r="K120"/>
    </row>
    <row r="121" spans="1:11" ht="15" x14ac:dyDescent="0.25">
      <c r="K121"/>
    </row>
    <row r="122" spans="1:11" ht="15" x14ac:dyDescent="0.25">
      <c r="K122"/>
    </row>
    <row r="123" spans="1:11" ht="15" x14ac:dyDescent="0.25">
      <c r="K123"/>
    </row>
    <row r="124" spans="1:11" ht="15" x14ac:dyDescent="0.25">
      <c r="K124"/>
    </row>
    <row r="125" spans="1:11" ht="15" x14ac:dyDescent="0.25">
      <c r="K125"/>
    </row>
    <row r="126" spans="1:11" ht="15" x14ac:dyDescent="0.25">
      <c r="K126"/>
    </row>
    <row r="127" spans="1:11" ht="15" x14ac:dyDescent="0.25">
      <c r="K127"/>
    </row>
    <row r="128" spans="1:11" ht="15" x14ac:dyDescent="0.25">
      <c r="K128"/>
    </row>
    <row r="129" spans="11:11" ht="15" x14ac:dyDescent="0.25">
      <c r="K129"/>
    </row>
    <row r="130" spans="11:11" ht="15" x14ac:dyDescent="0.25">
      <c r="K130"/>
    </row>
    <row r="131" spans="11:11" ht="15" x14ac:dyDescent="0.25">
      <c r="K131"/>
    </row>
    <row r="132" spans="11:11" ht="15" x14ac:dyDescent="0.25">
      <c r="K132"/>
    </row>
    <row r="133" spans="11:11" ht="15" x14ac:dyDescent="0.25">
      <c r="K133"/>
    </row>
    <row r="134" spans="11:11" ht="15" x14ac:dyDescent="0.25">
      <c r="K134"/>
    </row>
    <row r="135" spans="11:11" ht="15" x14ac:dyDescent="0.25">
      <c r="K135"/>
    </row>
    <row r="136" spans="11:11" ht="15" x14ac:dyDescent="0.25">
      <c r="K136"/>
    </row>
    <row r="137" spans="11:11" ht="15" x14ac:dyDescent="0.25">
      <c r="K137"/>
    </row>
    <row r="138" spans="11:11" ht="15" x14ac:dyDescent="0.25">
      <c r="K138"/>
    </row>
    <row r="139" spans="11:11" ht="15" x14ac:dyDescent="0.25">
      <c r="K139"/>
    </row>
    <row r="140" spans="11:11" ht="15" x14ac:dyDescent="0.25">
      <c r="K140"/>
    </row>
    <row r="141" spans="11:11" ht="15" x14ac:dyDescent="0.25">
      <c r="K141"/>
    </row>
    <row r="142" spans="11:11" ht="15" x14ac:dyDescent="0.25">
      <c r="K142"/>
    </row>
    <row r="143" spans="11:11" ht="15" x14ac:dyDescent="0.25">
      <c r="K143"/>
    </row>
    <row r="144" spans="11:11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  <row r="157" spans="11:11" ht="15" x14ac:dyDescent="0.25">
      <c r="K157"/>
    </row>
    <row r="158" spans="11:11" ht="15" x14ac:dyDescent="0.25">
      <c r="K158"/>
    </row>
    <row r="159" spans="11:11" ht="15" x14ac:dyDescent="0.25">
      <c r="K159"/>
    </row>
    <row r="160" spans="11:11" ht="15" x14ac:dyDescent="0.25">
      <c r="K160"/>
    </row>
    <row r="161" spans="11:11" ht="15" x14ac:dyDescent="0.25">
      <c r="K161"/>
    </row>
    <row r="162" spans="11:11" ht="15" x14ac:dyDescent="0.25">
      <c r="K162"/>
    </row>
    <row r="163" spans="11:11" ht="15" x14ac:dyDescent="0.25">
      <c r="K163"/>
    </row>
    <row r="164" spans="11:11" ht="15" x14ac:dyDescent="0.25">
      <c r="K164"/>
    </row>
    <row r="165" spans="11:11" ht="15" x14ac:dyDescent="0.25">
      <c r="K165"/>
    </row>
    <row r="166" spans="11:11" ht="15" x14ac:dyDescent="0.25">
      <c r="K166"/>
    </row>
    <row r="167" spans="11:11" ht="15" x14ac:dyDescent="0.25">
      <c r="K167"/>
    </row>
    <row r="168" spans="11:11" ht="15" x14ac:dyDescent="0.25">
      <c r="K168"/>
    </row>
    <row r="169" spans="11:11" ht="15" x14ac:dyDescent="0.25">
      <c r="K169"/>
    </row>
    <row r="170" spans="11:11" ht="15" x14ac:dyDescent="0.25">
      <c r="K170"/>
    </row>
    <row r="171" spans="11:11" ht="15" x14ac:dyDescent="0.25">
      <c r="K171"/>
    </row>
    <row r="172" spans="11:11" ht="15" x14ac:dyDescent="0.25">
      <c r="K172"/>
    </row>
    <row r="173" spans="11:11" ht="15" x14ac:dyDescent="0.25">
      <c r="K173"/>
    </row>
    <row r="174" spans="11:11" ht="15" x14ac:dyDescent="0.25">
      <c r="K174"/>
    </row>
    <row r="175" spans="11:11" ht="15" x14ac:dyDescent="0.25">
      <c r="K175"/>
    </row>
    <row r="176" spans="11:11" ht="15" x14ac:dyDescent="0.25">
      <c r="K176"/>
    </row>
    <row r="177" spans="11:11" ht="15" x14ac:dyDescent="0.25">
      <c r="K177"/>
    </row>
    <row r="178" spans="11:11" ht="15" x14ac:dyDescent="0.25">
      <c r="K178"/>
    </row>
    <row r="179" spans="11:11" ht="15" x14ac:dyDescent="0.25">
      <c r="K179"/>
    </row>
    <row r="180" spans="11:11" ht="15" x14ac:dyDescent="0.25">
      <c r="K180"/>
    </row>
    <row r="181" spans="11:11" ht="15" x14ac:dyDescent="0.25">
      <c r="K181"/>
    </row>
    <row r="182" spans="11:11" ht="15" x14ac:dyDescent="0.25">
      <c r="K182"/>
    </row>
    <row r="183" spans="11:11" ht="15" x14ac:dyDescent="0.25">
      <c r="K183"/>
    </row>
    <row r="184" spans="11:11" ht="15" x14ac:dyDescent="0.25">
      <c r="K184"/>
    </row>
    <row r="185" spans="11:11" ht="15" x14ac:dyDescent="0.25">
      <c r="K185"/>
    </row>
    <row r="186" spans="11:11" ht="15" x14ac:dyDescent="0.25">
      <c r="K186"/>
    </row>
    <row r="187" spans="11:11" ht="15" x14ac:dyDescent="0.25">
      <c r="K187"/>
    </row>
    <row r="188" spans="11:11" ht="15" x14ac:dyDescent="0.25">
      <c r="K188"/>
    </row>
    <row r="189" spans="11:11" ht="15" x14ac:dyDescent="0.25">
      <c r="K189"/>
    </row>
    <row r="190" spans="11:11" ht="15" x14ac:dyDescent="0.25">
      <c r="K190"/>
    </row>
    <row r="191" spans="11:11" ht="15" x14ac:dyDescent="0.25">
      <c r="K191"/>
    </row>
    <row r="192" spans="11:11" ht="15" x14ac:dyDescent="0.25">
      <c r="K192"/>
    </row>
    <row r="193" spans="11:11" ht="15" x14ac:dyDescent="0.25">
      <c r="K193"/>
    </row>
    <row r="194" spans="11:11" ht="15" x14ac:dyDescent="0.25">
      <c r="K194"/>
    </row>
    <row r="195" spans="11:11" ht="15" x14ac:dyDescent="0.25">
      <c r="K195"/>
    </row>
    <row r="196" spans="11:11" ht="15" x14ac:dyDescent="0.25">
      <c r="K196"/>
    </row>
    <row r="197" spans="11:11" ht="15" x14ac:dyDescent="0.25">
      <c r="K197"/>
    </row>
    <row r="198" spans="11:11" ht="15" x14ac:dyDescent="0.25">
      <c r="K198"/>
    </row>
    <row r="199" spans="11:11" ht="15" x14ac:dyDescent="0.25">
      <c r="K199"/>
    </row>
    <row r="200" spans="11:11" ht="15" x14ac:dyDescent="0.25">
      <c r="K200"/>
    </row>
    <row r="201" spans="11:11" ht="15" x14ac:dyDescent="0.25">
      <c r="K201"/>
    </row>
    <row r="202" spans="11:11" ht="15" x14ac:dyDescent="0.25">
      <c r="K202"/>
    </row>
    <row r="203" spans="11:11" ht="15" x14ac:dyDescent="0.25">
      <c r="K203"/>
    </row>
    <row r="204" spans="11:11" ht="15" x14ac:dyDescent="0.25">
      <c r="K204"/>
    </row>
    <row r="205" spans="11:11" ht="15" x14ac:dyDescent="0.25">
      <c r="K205"/>
    </row>
    <row r="206" spans="11:11" ht="15" x14ac:dyDescent="0.25">
      <c r="K206"/>
    </row>
    <row r="207" spans="11:11" ht="15" x14ac:dyDescent="0.25">
      <c r="K207"/>
    </row>
    <row r="208" spans="11:11" ht="15" x14ac:dyDescent="0.25">
      <c r="K208"/>
    </row>
    <row r="209" spans="11:11" ht="15" x14ac:dyDescent="0.25">
      <c r="K209"/>
    </row>
    <row r="210" spans="11:11" ht="15" x14ac:dyDescent="0.25">
      <c r="K210"/>
    </row>
    <row r="211" spans="11:11" ht="15" x14ac:dyDescent="0.25">
      <c r="K211"/>
    </row>
    <row r="212" spans="11:11" ht="15" x14ac:dyDescent="0.25">
      <c r="K212"/>
    </row>
    <row r="213" spans="11:11" ht="15" x14ac:dyDescent="0.25">
      <c r="K213"/>
    </row>
    <row r="214" spans="11:11" ht="15" x14ac:dyDescent="0.25">
      <c r="K214"/>
    </row>
    <row r="215" spans="11:11" ht="15" x14ac:dyDescent="0.25">
      <c r="K215"/>
    </row>
    <row r="216" spans="11:11" ht="15" x14ac:dyDescent="0.25">
      <c r="K216"/>
    </row>
    <row r="217" spans="11:11" ht="15" x14ac:dyDescent="0.25">
      <c r="K217"/>
    </row>
    <row r="218" spans="11:11" ht="15" x14ac:dyDescent="0.25">
      <c r="K218"/>
    </row>
    <row r="219" spans="11:11" ht="15" x14ac:dyDescent="0.25">
      <c r="K219"/>
    </row>
    <row r="220" spans="11:11" ht="15" x14ac:dyDescent="0.25">
      <c r="K220"/>
    </row>
    <row r="221" spans="11:11" ht="15" x14ac:dyDescent="0.25">
      <c r="K221"/>
    </row>
    <row r="222" spans="11:11" ht="15" x14ac:dyDescent="0.25">
      <c r="K222"/>
    </row>
    <row r="223" spans="11:11" ht="15" x14ac:dyDescent="0.25">
      <c r="K223"/>
    </row>
    <row r="224" spans="11:11" ht="15" x14ac:dyDescent="0.25">
      <c r="K224"/>
    </row>
    <row r="225" spans="11:11" ht="15" x14ac:dyDescent="0.25">
      <c r="K225"/>
    </row>
    <row r="226" spans="11:11" ht="15" x14ac:dyDescent="0.25">
      <c r="K226"/>
    </row>
    <row r="227" spans="11:11" ht="15" x14ac:dyDescent="0.25">
      <c r="K227"/>
    </row>
    <row r="228" spans="11:11" ht="15" x14ac:dyDescent="0.25">
      <c r="K228"/>
    </row>
    <row r="229" spans="11:11" ht="15" x14ac:dyDescent="0.25">
      <c r="K229"/>
    </row>
    <row r="230" spans="11:11" ht="15" x14ac:dyDescent="0.25">
      <c r="K230"/>
    </row>
    <row r="231" spans="11:11" ht="15" x14ac:dyDescent="0.25">
      <c r="K231"/>
    </row>
    <row r="232" spans="11:11" ht="15" x14ac:dyDescent="0.25">
      <c r="K232"/>
    </row>
    <row r="233" spans="11:11" ht="15" x14ac:dyDescent="0.25">
      <c r="K233"/>
    </row>
    <row r="234" spans="11:11" ht="15" x14ac:dyDescent="0.25">
      <c r="K234"/>
    </row>
    <row r="235" spans="11:11" ht="15" x14ac:dyDescent="0.25">
      <c r="K235"/>
    </row>
    <row r="236" spans="11:11" ht="15" x14ac:dyDescent="0.25">
      <c r="K236"/>
    </row>
    <row r="237" spans="11:11" ht="15" x14ac:dyDescent="0.25">
      <c r="K237"/>
    </row>
    <row r="238" spans="11:11" ht="15" x14ac:dyDescent="0.25">
      <c r="K238"/>
    </row>
    <row r="239" spans="11:11" ht="15" x14ac:dyDescent="0.25">
      <c r="K239"/>
    </row>
    <row r="240" spans="11:11" ht="15" x14ac:dyDescent="0.25">
      <c r="K240"/>
    </row>
    <row r="241" spans="11:11" ht="15" x14ac:dyDescent="0.25">
      <c r="K241"/>
    </row>
    <row r="242" spans="11:11" ht="15" x14ac:dyDescent="0.25">
      <c r="K242"/>
    </row>
    <row r="243" spans="11:11" ht="15" x14ac:dyDescent="0.25">
      <c r="K243"/>
    </row>
    <row r="244" spans="11:11" ht="15" x14ac:dyDescent="0.25">
      <c r="K244"/>
    </row>
    <row r="245" spans="11:11" ht="15" x14ac:dyDescent="0.25">
      <c r="K245"/>
    </row>
    <row r="246" spans="11:11" ht="15" x14ac:dyDescent="0.25">
      <c r="K246"/>
    </row>
    <row r="247" spans="11:11" ht="15" x14ac:dyDescent="0.25">
      <c r="K247"/>
    </row>
    <row r="248" spans="11:11" ht="15" x14ac:dyDescent="0.25">
      <c r="K248"/>
    </row>
    <row r="249" spans="11:11" ht="15" x14ac:dyDescent="0.25">
      <c r="K249"/>
    </row>
    <row r="250" spans="11:11" ht="15" x14ac:dyDescent="0.25">
      <c r="K250"/>
    </row>
    <row r="251" spans="11:11" ht="15" x14ac:dyDescent="0.25">
      <c r="K251"/>
    </row>
    <row r="252" spans="11:11" ht="15" x14ac:dyDescent="0.25">
      <c r="K252"/>
    </row>
    <row r="253" spans="11:11" ht="15" x14ac:dyDescent="0.25">
      <c r="K253"/>
    </row>
    <row r="254" spans="11:11" ht="15" x14ac:dyDescent="0.25">
      <c r="K254"/>
    </row>
    <row r="255" spans="11:11" ht="15" x14ac:dyDescent="0.25">
      <c r="K255"/>
    </row>
    <row r="256" spans="11:11" ht="15" x14ac:dyDescent="0.25">
      <c r="K256"/>
    </row>
    <row r="257" spans="11:11" ht="15" x14ac:dyDescent="0.25">
      <c r="K257"/>
    </row>
    <row r="258" spans="11:11" ht="15" x14ac:dyDescent="0.25">
      <c r="K258"/>
    </row>
    <row r="259" spans="11:11" ht="15" x14ac:dyDescent="0.25">
      <c r="K259"/>
    </row>
    <row r="260" spans="11:11" ht="15" x14ac:dyDescent="0.25">
      <c r="K260"/>
    </row>
    <row r="261" spans="11:11" ht="15" x14ac:dyDescent="0.25">
      <c r="K261"/>
    </row>
    <row r="262" spans="11:11" ht="15" x14ac:dyDescent="0.25">
      <c r="K262"/>
    </row>
    <row r="263" spans="11:11" ht="15" x14ac:dyDescent="0.25">
      <c r="K263"/>
    </row>
    <row r="264" spans="11:11" ht="15" x14ac:dyDescent="0.25">
      <c r="K264"/>
    </row>
    <row r="265" spans="11:11" ht="15" x14ac:dyDescent="0.25">
      <c r="K265"/>
    </row>
    <row r="266" spans="11:11" ht="15" x14ac:dyDescent="0.25">
      <c r="K266"/>
    </row>
    <row r="267" spans="11:11" ht="15" x14ac:dyDescent="0.25">
      <c r="K267"/>
    </row>
    <row r="268" spans="11:11" ht="15" x14ac:dyDescent="0.25">
      <c r="K268"/>
    </row>
    <row r="269" spans="11:11" ht="15" x14ac:dyDescent="0.25">
      <c r="K269"/>
    </row>
    <row r="270" spans="11:11" ht="15" x14ac:dyDescent="0.25">
      <c r="K270"/>
    </row>
    <row r="271" spans="11:11" ht="15" x14ac:dyDescent="0.25">
      <c r="K271"/>
    </row>
    <row r="272" spans="11:11" ht="15" x14ac:dyDescent="0.25">
      <c r="K272"/>
    </row>
    <row r="273" spans="11:11" ht="15" x14ac:dyDescent="0.25">
      <c r="K273"/>
    </row>
    <row r="274" spans="11:11" ht="15" x14ac:dyDescent="0.25">
      <c r="K274"/>
    </row>
    <row r="275" spans="11:11" ht="15" x14ac:dyDescent="0.25">
      <c r="K275"/>
    </row>
    <row r="276" spans="11:11" ht="15" x14ac:dyDescent="0.25">
      <c r="K276"/>
    </row>
    <row r="277" spans="11:11" ht="15" x14ac:dyDescent="0.25">
      <c r="K277"/>
    </row>
    <row r="278" spans="11:11" ht="15" x14ac:dyDescent="0.25">
      <c r="K278"/>
    </row>
    <row r="279" spans="11:11" ht="15" x14ac:dyDescent="0.25">
      <c r="K279"/>
    </row>
    <row r="280" spans="11:11" ht="15" x14ac:dyDescent="0.25">
      <c r="K280"/>
    </row>
    <row r="281" spans="11:11" ht="15" x14ac:dyDescent="0.25">
      <c r="K281"/>
    </row>
    <row r="282" spans="11:11" ht="15" x14ac:dyDescent="0.25">
      <c r="K282"/>
    </row>
    <row r="283" spans="11:11" ht="15" x14ac:dyDescent="0.25">
      <c r="K283"/>
    </row>
    <row r="284" spans="11:11" ht="15" x14ac:dyDescent="0.25">
      <c r="K284"/>
    </row>
    <row r="285" spans="11:11" ht="15" x14ac:dyDescent="0.25">
      <c r="K285"/>
    </row>
    <row r="286" spans="11:11" ht="15" x14ac:dyDescent="0.25">
      <c r="K286"/>
    </row>
    <row r="287" spans="11:11" ht="15" x14ac:dyDescent="0.25">
      <c r="K287"/>
    </row>
    <row r="288" spans="11:11" ht="15" x14ac:dyDescent="0.25">
      <c r="K288"/>
    </row>
    <row r="289" spans="11:11" ht="15" x14ac:dyDescent="0.25">
      <c r="K289"/>
    </row>
    <row r="290" spans="11:11" ht="15" x14ac:dyDescent="0.25">
      <c r="K290"/>
    </row>
    <row r="291" spans="11:11" ht="15" x14ac:dyDescent="0.25">
      <c r="K291"/>
    </row>
    <row r="292" spans="11:11" ht="15" x14ac:dyDescent="0.25">
      <c r="K292"/>
    </row>
    <row r="293" spans="11:11" ht="15" x14ac:dyDescent="0.25">
      <c r="K293"/>
    </row>
    <row r="294" spans="11:11" ht="15" x14ac:dyDescent="0.25">
      <c r="K294"/>
    </row>
    <row r="295" spans="11:11" ht="15" x14ac:dyDescent="0.25">
      <c r="K295"/>
    </row>
    <row r="296" spans="11:11" ht="15" x14ac:dyDescent="0.25">
      <c r="K296"/>
    </row>
    <row r="297" spans="11:11" ht="15" x14ac:dyDescent="0.25">
      <c r="K297"/>
    </row>
    <row r="298" spans="11:11" ht="15" x14ac:dyDescent="0.25">
      <c r="K298"/>
    </row>
    <row r="299" spans="11:11" ht="15" x14ac:dyDescent="0.25">
      <c r="K299"/>
    </row>
    <row r="300" spans="11:11" ht="15" x14ac:dyDescent="0.25">
      <c r="K300"/>
    </row>
    <row r="301" spans="11:11" ht="15" x14ac:dyDescent="0.25">
      <c r="K301"/>
    </row>
    <row r="302" spans="11:11" ht="15" x14ac:dyDescent="0.25">
      <c r="K302"/>
    </row>
    <row r="303" spans="11:11" ht="15" x14ac:dyDescent="0.25">
      <c r="K303"/>
    </row>
    <row r="304" spans="11:11" ht="15" x14ac:dyDescent="0.25">
      <c r="K304"/>
    </row>
    <row r="305" spans="11:11" ht="15" x14ac:dyDescent="0.25">
      <c r="K305"/>
    </row>
    <row r="306" spans="11:11" ht="15" x14ac:dyDescent="0.25">
      <c r="K306"/>
    </row>
    <row r="307" spans="11:11" ht="15" x14ac:dyDescent="0.25">
      <c r="K307"/>
    </row>
    <row r="308" spans="11:11" ht="15" x14ac:dyDescent="0.25">
      <c r="K308"/>
    </row>
    <row r="309" spans="11:11" ht="15" x14ac:dyDescent="0.25">
      <c r="K309"/>
    </row>
    <row r="310" spans="11:11" ht="15" x14ac:dyDescent="0.25">
      <c r="K310"/>
    </row>
    <row r="311" spans="11:11" ht="15" x14ac:dyDescent="0.25">
      <c r="K311"/>
    </row>
    <row r="312" spans="11:11" ht="15" x14ac:dyDescent="0.25">
      <c r="K312"/>
    </row>
    <row r="313" spans="11:11" ht="15" x14ac:dyDescent="0.25">
      <c r="K313"/>
    </row>
    <row r="314" spans="11:11" ht="15" x14ac:dyDescent="0.25">
      <c r="K314"/>
    </row>
    <row r="315" spans="11:11" ht="15" x14ac:dyDescent="0.25">
      <c r="K315"/>
    </row>
    <row r="316" spans="11:11" ht="15" x14ac:dyDescent="0.25">
      <c r="K316"/>
    </row>
    <row r="317" spans="11:11" ht="15" x14ac:dyDescent="0.25">
      <c r="K317"/>
    </row>
    <row r="318" spans="11:11" ht="15" x14ac:dyDescent="0.25">
      <c r="K318"/>
    </row>
    <row r="319" spans="11:11" ht="15" x14ac:dyDescent="0.25">
      <c r="K319"/>
    </row>
    <row r="320" spans="11:11" ht="15" x14ac:dyDescent="0.25">
      <c r="K320"/>
    </row>
    <row r="321" spans="11:11" ht="15" x14ac:dyDescent="0.25">
      <c r="K321"/>
    </row>
    <row r="322" spans="11:11" ht="15" x14ac:dyDescent="0.25">
      <c r="K322"/>
    </row>
    <row r="323" spans="11:11" ht="15" x14ac:dyDescent="0.25">
      <c r="K323"/>
    </row>
    <row r="324" spans="11:11" ht="15" x14ac:dyDescent="0.25">
      <c r="K324"/>
    </row>
    <row r="325" spans="11:11" ht="15" x14ac:dyDescent="0.25">
      <c r="K325"/>
    </row>
    <row r="326" spans="11:11" ht="15" x14ac:dyDescent="0.25">
      <c r="K326"/>
    </row>
    <row r="327" spans="11:11" ht="15" x14ac:dyDescent="0.25">
      <c r="K327"/>
    </row>
    <row r="328" spans="11:11" ht="15" x14ac:dyDescent="0.25">
      <c r="K328"/>
    </row>
    <row r="329" spans="11:11" ht="15" x14ac:dyDescent="0.25">
      <c r="K329"/>
    </row>
    <row r="330" spans="11:11" ht="15" x14ac:dyDescent="0.25">
      <c r="K330"/>
    </row>
    <row r="331" spans="11:11" ht="15" x14ac:dyDescent="0.25">
      <c r="K331"/>
    </row>
    <row r="332" spans="11:11" ht="15" x14ac:dyDescent="0.25">
      <c r="K332"/>
    </row>
    <row r="333" spans="11:11" ht="15" x14ac:dyDescent="0.25">
      <c r="K333"/>
    </row>
    <row r="334" spans="11:11" ht="15" x14ac:dyDescent="0.25">
      <c r="K334"/>
    </row>
    <row r="335" spans="11:11" ht="15" x14ac:dyDescent="0.25">
      <c r="K335"/>
    </row>
    <row r="336" spans="11:11" ht="15" x14ac:dyDescent="0.25">
      <c r="K336"/>
    </row>
    <row r="337" spans="11:11" ht="15" x14ac:dyDescent="0.25">
      <c r="K337"/>
    </row>
    <row r="338" spans="11:11" ht="15" x14ac:dyDescent="0.25">
      <c r="K338"/>
    </row>
    <row r="339" spans="11:11" ht="15" x14ac:dyDescent="0.25">
      <c r="K339"/>
    </row>
    <row r="340" spans="11:11" ht="15" x14ac:dyDescent="0.25">
      <c r="K340"/>
    </row>
    <row r="341" spans="11:11" ht="15" x14ac:dyDescent="0.25">
      <c r="K341"/>
    </row>
    <row r="342" spans="11:11" ht="15" x14ac:dyDescent="0.25">
      <c r="K342"/>
    </row>
    <row r="343" spans="11:11" ht="15" x14ac:dyDescent="0.25">
      <c r="K343"/>
    </row>
    <row r="344" spans="11:11" ht="15" x14ac:dyDescent="0.25">
      <c r="K344"/>
    </row>
    <row r="345" spans="11:11" ht="15" x14ac:dyDescent="0.25">
      <c r="K345"/>
    </row>
    <row r="346" spans="11:11" ht="15" x14ac:dyDescent="0.25">
      <c r="K346"/>
    </row>
    <row r="347" spans="11:11" ht="15" x14ac:dyDescent="0.25">
      <c r="K347"/>
    </row>
    <row r="348" spans="11:11" ht="15" x14ac:dyDescent="0.25">
      <c r="K348"/>
    </row>
    <row r="349" spans="11:11" ht="15" x14ac:dyDescent="0.25">
      <c r="K349"/>
    </row>
    <row r="350" spans="11:11" ht="15" x14ac:dyDescent="0.25">
      <c r="K350"/>
    </row>
    <row r="351" spans="11:11" ht="15" x14ac:dyDescent="0.25">
      <c r="K351"/>
    </row>
    <row r="352" spans="11:11" ht="15" x14ac:dyDescent="0.25">
      <c r="K352"/>
    </row>
    <row r="353" spans="11:11" ht="15" x14ac:dyDescent="0.25">
      <c r="K353"/>
    </row>
    <row r="354" spans="11:11" ht="15" x14ac:dyDescent="0.25">
      <c r="K354"/>
    </row>
    <row r="355" spans="11:11" ht="15" x14ac:dyDescent="0.25">
      <c r="K355"/>
    </row>
    <row r="356" spans="11:11" ht="15" x14ac:dyDescent="0.25">
      <c r="K356"/>
    </row>
    <row r="357" spans="11:11" ht="15" x14ac:dyDescent="0.25">
      <c r="K357"/>
    </row>
    <row r="358" spans="11:11" ht="15" x14ac:dyDescent="0.25">
      <c r="K358"/>
    </row>
    <row r="359" spans="11:11" ht="15" x14ac:dyDescent="0.25">
      <c r="K359"/>
    </row>
    <row r="360" spans="11:11" ht="15" x14ac:dyDescent="0.25">
      <c r="K360"/>
    </row>
    <row r="361" spans="11:11" ht="15" x14ac:dyDescent="0.25">
      <c r="K361"/>
    </row>
    <row r="362" spans="11:11" ht="15" x14ac:dyDescent="0.25">
      <c r="K362"/>
    </row>
    <row r="363" spans="11:11" ht="15" x14ac:dyDescent="0.25">
      <c r="K363"/>
    </row>
    <row r="364" spans="11:11" ht="15" x14ac:dyDescent="0.25">
      <c r="K364"/>
    </row>
    <row r="365" spans="11:11" ht="15" x14ac:dyDescent="0.25">
      <c r="K365"/>
    </row>
    <row r="366" spans="11:11" ht="15" x14ac:dyDescent="0.25">
      <c r="K366"/>
    </row>
    <row r="367" spans="11:11" ht="15" x14ac:dyDescent="0.25">
      <c r="K367"/>
    </row>
    <row r="368" spans="11:11" ht="15" x14ac:dyDescent="0.25">
      <c r="K368"/>
    </row>
    <row r="369" spans="11:11" ht="15" x14ac:dyDescent="0.25">
      <c r="K369"/>
    </row>
    <row r="370" spans="11:11" ht="15" x14ac:dyDescent="0.25">
      <c r="K370"/>
    </row>
    <row r="371" spans="11:11" ht="15" x14ac:dyDescent="0.25">
      <c r="K371"/>
    </row>
    <row r="372" spans="11:11" ht="15" x14ac:dyDescent="0.25">
      <c r="K372"/>
    </row>
    <row r="373" spans="11:11" ht="15" x14ac:dyDescent="0.25">
      <c r="K373"/>
    </row>
    <row r="374" spans="11:11" ht="15" x14ac:dyDescent="0.25">
      <c r="K374"/>
    </row>
    <row r="375" spans="11:11" ht="15" x14ac:dyDescent="0.25">
      <c r="K375"/>
    </row>
    <row r="376" spans="11:11" ht="15" x14ac:dyDescent="0.25">
      <c r="K376"/>
    </row>
    <row r="377" spans="11:11" ht="15" x14ac:dyDescent="0.25">
      <c r="K377"/>
    </row>
    <row r="378" spans="11:11" ht="15" x14ac:dyDescent="0.25">
      <c r="K378"/>
    </row>
    <row r="379" spans="11:11" ht="15" x14ac:dyDescent="0.25">
      <c r="K379"/>
    </row>
    <row r="380" spans="11:11" ht="15" x14ac:dyDescent="0.25">
      <c r="K380"/>
    </row>
    <row r="381" spans="11:11" ht="15" x14ac:dyDescent="0.25">
      <c r="K381"/>
    </row>
    <row r="382" spans="11:11" ht="15" x14ac:dyDescent="0.25">
      <c r="K382"/>
    </row>
    <row r="383" spans="11:11" ht="15" x14ac:dyDescent="0.25">
      <c r="K383"/>
    </row>
    <row r="384" spans="11:11" ht="15" x14ac:dyDescent="0.25">
      <c r="K384"/>
    </row>
    <row r="385" spans="11:11" ht="15" x14ac:dyDescent="0.25">
      <c r="K385"/>
    </row>
    <row r="386" spans="11:11" ht="15" x14ac:dyDescent="0.25">
      <c r="K386"/>
    </row>
    <row r="387" spans="11:11" ht="15" x14ac:dyDescent="0.25">
      <c r="K387"/>
    </row>
    <row r="388" spans="11:11" ht="15" x14ac:dyDescent="0.25">
      <c r="K388"/>
    </row>
    <row r="389" spans="11:11" ht="15" x14ac:dyDescent="0.25">
      <c r="K389"/>
    </row>
    <row r="390" spans="11:11" ht="15" x14ac:dyDescent="0.25">
      <c r="K390"/>
    </row>
    <row r="391" spans="11:11" ht="15" x14ac:dyDescent="0.25">
      <c r="K391"/>
    </row>
    <row r="392" spans="11:11" ht="15" x14ac:dyDescent="0.25">
      <c r="K392"/>
    </row>
    <row r="393" spans="11:11" ht="15" x14ac:dyDescent="0.25">
      <c r="K393"/>
    </row>
    <row r="394" spans="11:11" ht="15" x14ac:dyDescent="0.25">
      <c r="K394"/>
    </row>
    <row r="395" spans="11:11" ht="15" x14ac:dyDescent="0.25">
      <c r="K395"/>
    </row>
    <row r="396" spans="11:11" ht="15" x14ac:dyDescent="0.25">
      <c r="K396"/>
    </row>
    <row r="397" spans="11:11" ht="15" x14ac:dyDescent="0.25">
      <c r="K397"/>
    </row>
    <row r="398" spans="11:11" ht="15" x14ac:dyDescent="0.25">
      <c r="K398"/>
    </row>
    <row r="399" spans="11:11" ht="15" x14ac:dyDescent="0.25">
      <c r="K399"/>
    </row>
    <row r="400" spans="11:11" ht="15" x14ac:dyDescent="0.25">
      <c r="K400"/>
    </row>
    <row r="401" spans="11:11" ht="15" x14ac:dyDescent="0.25">
      <c r="K401"/>
    </row>
    <row r="402" spans="11:11" ht="15" x14ac:dyDescent="0.25">
      <c r="K402"/>
    </row>
    <row r="403" spans="11:11" ht="15" x14ac:dyDescent="0.25">
      <c r="K403"/>
    </row>
    <row r="404" spans="11:11" ht="15" x14ac:dyDescent="0.25">
      <c r="K404"/>
    </row>
    <row r="405" spans="11:11" ht="15" x14ac:dyDescent="0.25">
      <c r="K405"/>
    </row>
    <row r="406" spans="11:11" ht="15" x14ac:dyDescent="0.25">
      <c r="K406"/>
    </row>
    <row r="407" spans="11:11" ht="15" x14ac:dyDescent="0.25">
      <c r="K407"/>
    </row>
    <row r="408" spans="11:11" ht="15" x14ac:dyDescent="0.25">
      <c r="K408"/>
    </row>
    <row r="409" spans="11:11" ht="15" x14ac:dyDescent="0.25">
      <c r="K409"/>
    </row>
    <row r="410" spans="11:11" ht="15" x14ac:dyDescent="0.25">
      <c r="K410"/>
    </row>
    <row r="411" spans="11:11" ht="15" x14ac:dyDescent="0.25">
      <c r="K411"/>
    </row>
    <row r="412" spans="11:11" ht="15" x14ac:dyDescent="0.25">
      <c r="K412"/>
    </row>
    <row r="413" spans="11:11" ht="15" x14ac:dyDescent="0.25">
      <c r="K413"/>
    </row>
    <row r="414" spans="11:11" ht="15" x14ac:dyDescent="0.25">
      <c r="K414"/>
    </row>
    <row r="415" spans="11:11" ht="15" x14ac:dyDescent="0.25">
      <c r="K415"/>
    </row>
    <row r="416" spans="11:11" ht="15" x14ac:dyDescent="0.25">
      <c r="K416"/>
    </row>
    <row r="417" spans="11:11" ht="15" x14ac:dyDescent="0.25">
      <c r="K417"/>
    </row>
    <row r="418" spans="11:11" ht="15" x14ac:dyDescent="0.25">
      <c r="K418"/>
    </row>
    <row r="419" spans="11:11" ht="15" x14ac:dyDescent="0.25">
      <c r="K419"/>
    </row>
    <row r="420" spans="11:11" ht="15" x14ac:dyDescent="0.25">
      <c r="K420"/>
    </row>
    <row r="421" spans="11:11" ht="15" x14ac:dyDescent="0.25">
      <c r="K421"/>
    </row>
    <row r="422" spans="11:11" ht="15" x14ac:dyDescent="0.25">
      <c r="K422"/>
    </row>
    <row r="423" spans="11:11" ht="15" x14ac:dyDescent="0.25">
      <c r="K423"/>
    </row>
    <row r="424" spans="11:11" ht="15" x14ac:dyDescent="0.25">
      <c r="K424"/>
    </row>
    <row r="425" spans="11:11" ht="15" x14ac:dyDescent="0.25">
      <c r="K425"/>
    </row>
    <row r="426" spans="11:11" ht="15" x14ac:dyDescent="0.25">
      <c r="K426"/>
    </row>
    <row r="427" spans="11:11" ht="15" x14ac:dyDescent="0.25">
      <c r="K427"/>
    </row>
    <row r="428" spans="11:11" ht="15" x14ac:dyDescent="0.25">
      <c r="K428"/>
    </row>
    <row r="429" spans="11:11" ht="15" x14ac:dyDescent="0.25">
      <c r="K429"/>
    </row>
    <row r="430" spans="11:11" ht="15" x14ac:dyDescent="0.25">
      <c r="K430"/>
    </row>
    <row r="431" spans="11:11" ht="15" x14ac:dyDescent="0.25">
      <c r="K431"/>
    </row>
    <row r="432" spans="11:11" ht="15" x14ac:dyDescent="0.25">
      <c r="K432"/>
    </row>
    <row r="433" spans="11:11" ht="15" x14ac:dyDescent="0.25">
      <c r="K433"/>
    </row>
    <row r="434" spans="11:11" ht="15" x14ac:dyDescent="0.25">
      <c r="K434"/>
    </row>
    <row r="435" spans="11:11" ht="15" x14ac:dyDescent="0.25">
      <c r="K435"/>
    </row>
    <row r="436" spans="11:11" ht="15" x14ac:dyDescent="0.25">
      <c r="K436"/>
    </row>
    <row r="437" spans="11:11" ht="15" x14ac:dyDescent="0.25">
      <c r="K437"/>
    </row>
    <row r="438" spans="11:11" ht="15" x14ac:dyDescent="0.25">
      <c r="K438"/>
    </row>
    <row r="439" spans="11:11" ht="15" x14ac:dyDescent="0.25">
      <c r="K439"/>
    </row>
    <row r="440" spans="11:11" ht="15" x14ac:dyDescent="0.25">
      <c r="K440"/>
    </row>
    <row r="441" spans="11:11" ht="15" x14ac:dyDescent="0.25">
      <c r="K441"/>
    </row>
    <row r="442" spans="11:11" ht="15" x14ac:dyDescent="0.25">
      <c r="K442"/>
    </row>
    <row r="443" spans="11:11" ht="15" x14ac:dyDescent="0.25">
      <c r="K443"/>
    </row>
    <row r="444" spans="11:11" ht="15" x14ac:dyDescent="0.25">
      <c r="K444"/>
    </row>
    <row r="445" spans="11:11" ht="15" x14ac:dyDescent="0.25">
      <c r="K445"/>
    </row>
    <row r="446" spans="11:11" ht="15" x14ac:dyDescent="0.25">
      <c r="K446"/>
    </row>
    <row r="447" spans="11:11" ht="15" x14ac:dyDescent="0.25">
      <c r="K447"/>
    </row>
    <row r="448" spans="11:11" ht="15" x14ac:dyDescent="0.25">
      <c r="K448"/>
    </row>
    <row r="449" spans="11:11" ht="15" x14ac:dyDescent="0.25">
      <c r="K449"/>
    </row>
    <row r="450" spans="11:11" ht="15" x14ac:dyDescent="0.25">
      <c r="K450"/>
    </row>
    <row r="451" spans="11:11" ht="15" x14ac:dyDescent="0.25">
      <c r="K451"/>
    </row>
    <row r="452" spans="11:11" ht="15" x14ac:dyDescent="0.25">
      <c r="K452"/>
    </row>
    <row r="453" spans="11:11" ht="15" x14ac:dyDescent="0.25">
      <c r="K453"/>
    </row>
    <row r="454" spans="11:11" ht="15" x14ac:dyDescent="0.25">
      <c r="K454"/>
    </row>
    <row r="455" spans="11:11" ht="15" x14ac:dyDescent="0.25">
      <c r="K455"/>
    </row>
    <row r="456" spans="11:11" ht="15" x14ac:dyDescent="0.25">
      <c r="K456"/>
    </row>
    <row r="457" spans="11:11" ht="15" x14ac:dyDescent="0.25">
      <c r="K457"/>
    </row>
    <row r="458" spans="11:11" ht="15" x14ac:dyDescent="0.25">
      <c r="K458"/>
    </row>
    <row r="459" spans="11:11" ht="15" x14ac:dyDescent="0.25">
      <c r="K459"/>
    </row>
    <row r="460" spans="11:11" ht="15" x14ac:dyDescent="0.25">
      <c r="K460"/>
    </row>
    <row r="461" spans="11:11" ht="15" x14ac:dyDescent="0.25">
      <c r="K461"/>
    </row>
    <row r="462" spans="11:11" ht="15" x14ac:dyDescent="0.25">
      <c r="K462"/>
    </row>
    <row r="463" spans="11:11" ht="15" x14ac:dyDescent="0.25">
      <c r="K463"/>
    </row>
    <row r="464" spans="11:11" ht="15" x14ac:dyDescent="0.25">
      <c r="K464"/>
    </row>
    <row r="465" spans="11:11" ht="15" x14ac:dyDescent="0.25">
      <c r="K465"/>
    </row>
    <row r="466" spans="11:11" ht="15" x14ac:dyDescent="0.25">
      <c r="K466"/>
    </row>
    <row r="467" spans="11:11" ht="15" x14ac:dyDescent="0.25">
      <c r="K467"/>
    </row>
    <row r="468" spans="11:11" ht="15" x14ac:dyDescent="0.25">
      <c r="K468"/>
    </row>
    <row r="469" spans="11:11" ht="15" x14ac:dyDescent="0.25">
      <c r="K469"/>
    </row>
    <row r="470" spans="11:11" ht="15" x14ac:dyDescent="0.25">
      <c r="K470"/>
    </row>
    <row r="471" spans="11:11" ht="15" x14ac:dyDescent="0.25">
      <c r="K471"/>
    </row>
    <row r="472" spans="11:11" ht="15" x14ac:dyDescent="0.25">
      <c r="K472"/>
    </row>
    <row r="473" spans="11:11" ht="15" x14ac:dyDescent="0.25">
      <c r="K473"/>
    </row>
    <row r="474" spans="11:11" ht="15" x14ac:dyDescent="0.25">
      <c r="K474"/>
    </row>
    <row r="475" spans="11:11" ht="15" x14ac:dyDescent="0.25">
      <c r="K475"/>
    </row>
    <row r="476" spans="11:11" ht="15" x14ac:dyDescent="0.25">
      <c r="K476"/>
    </row>
    <row r="477" spans="11:11" ht="15" x14ac:dyDescent="0.25">
      <c r="K477"/>
    </row>
    <row r="478" spans="11:11" ht="15" x14ac:dyDescent="0.25">
      <c r="K478"/>
    </row>
    <row r="479" spans="11:11" ht="15" x14ac:dyDescent="0.25">
      <c r="K479"/>
    </row>
    <row r="480" spans="11:11" ht="15" x14ac:dyDescent="0.25">
      <c r="K480"/>
    </row>
    <row r="481" spans="11:11" ht="15" x14ac:dyDescent="0.25">
      <c r="K481"/>
    </row>
    <row r="482" spans="11:11" ht="15" x14ac:dyDescent="0.25">
      <c r="K482"/>
    </row>
    <row r="483" spans="11:11" ht="15" x14ac:dyDescent="0.25">
      <c r="K483"/>
    </row>
    <row r="484" spans="11:11" ht="15" x14ac:dyDescent="0.25">
      <c r="K484"/>
    </row>
    <row r="485" spans="11:11" ht="15" x14ac:dyDescent="0.25">
      <c r="K485"/>
    </row>
    <row r="486" spans="11:11" ht="15" x14ac:dyDescent="0.25">
      <c r="K486"/>
    </row>
    <row r="487" spans="11:11" ht="15" x14ac:dyDescent="0.25">
      <c r="K487"/>
    </row>
    <row r="488" spans="11:11" ht="15" x14ac:dyDescent="0.25">
      <c r="K488"/>
    </row>
    <row r="489" spans="11:11" ht="15" x14ac:dyDescent="0.25">
      <c r="K489"/>
    </row>
    <row r="490" spans="11:11" ht="15" x14ac:dyDescent="0.25">
      <c r="K490"/>
    </row>
    <row r="491" spans="11:11" ht="15" x14ac:dyDescent="0.25">
      <c r="K491"/>
    </row>
    <row r="492" spans="11:11" ht="15" x14ac:dyDescent="0.25">
      <c r="K492"/>
    </row>
    <row r="493" spans="11:11" ht="15" x14ac:dyDescent="0.25">
      <c r="K493"/>
    </row>
    <row r="494" spans="11:11" ht="15" x14ac:dyDescent="0.25">
      <c r="K494"/>
    </row>
    <row r="495" spans="11:11" ht="15" x14ac:dyDescent="0.25">
      <c r="K495"/>
    </row>
    <row r="496" spans="11:11" ht="15" x14ac:dyDescent="0.25">
      <c r="K496"/>
    </row>
    <row r="497" spans="11:11" ht="15" x14ac:dyDescent="0.25">
      <c r="K497"/>
    </row>
    <row r="498" spans="11:11" ht="15" x14ac:dyDescent="0.25">
      <c r="K498"/>
    </row>
    <row r="499" spans="11:11" ht="15" x14ac:dyDescent="0.25">
      <c r="K499"/>
    </row>
    <row r="500" spans="11:11" ht="15" x14ac:dyDescent="0.25">
      <c r="K500"/>
    </row>
    <row r="501" spans="11:11" ht="15" x14ac:dyDescent="0.25">
      <c r="K501"/>
    </row>
    <row r="502" spans="11:11" ht="15" x14ac:dyDescent="0.25">
      <c r="K502"/>
    </row>
    <row r="503" spans="11:11" ht="15" x14ac:dyDescent="0.25">
      <c r="K503"/>
    </row>
    <row r="504" spans="11:11" ht="15" x14ac:dyDescent="0.25">
      <c r="K504"/>
    </row>
    <row r="505" spans="11:11" ht="15" x14ac:dyDescent="0.25">
      <c r="K505"/>
    </row>
    <row r="506" spans="11:11" ht="15" x14ac:dyDescent="0.25">
      <c r="K506"/>
    </row>
    <row r="507" spans="11:11" ht="15" x14ac:dyDescent="0.25">
      <c r="K507"/>
    </row>
    <row r="508" spans="11:11" ht="15" x14ac:dyDescent="0.25">
      <c r="K508"/>
    </row>
    <row r="509" spans="11:11" ht="15" x14ac:dyDescent="0.25">
      <c r="K509"/>
    </row>
    <row r="510" spans="11:11" ht="15" x14ac:dyDescent="0.25">
      <c r="K510"/>
    </row>
    <row r="511" spans="11:11" ht="15" x14ac:dyDescent="0.25">
      <c r="K511"/>
    </row>
    <row r="512" spans="11:11" ht="15" x14ac:dyDescent="0.25">
      <c r="K512"/>
    </row>
    <row r="513" spans="11:11" ht="15" x14ac:dyDescent="0.25">
      <c r="K513"/>
    </row>
    <row r="514" spans="11:11" ht="15" x14ac:dyDescent="0.25">
      <c r="K514"/>
    </row>
    <row r="515" spans="11:11" ht="15" x14ac:dyDescent="0.25">
      <c r="K515"/>
    </row>
    <row r="516" spans="11:11" ht="15" x14ac:dyDescent="0.25">
      <c r="K516"/>
    </row>
    <row r="517" spans="11:11" ht="15" x14ac:dyDescent="0.25">
      <c r="K517"/>
    </row>
    <row r="518" spans="11:11" ht="15" x14ac:dyDescent="0.25">
      <c r="K518"/>
    </row>
    <row r="519" spans="11:11" ht="15" x14ac:dyDescent="0.25">
      <c r="K519"/>
    </row>
    <row r="520" spans="11:11" ht="15" x14ac:dyDescent="0.25">
      <c r="K520"/>
    </row>
    <row r="521" spans="11:11" ht="15" x14ac:dyDescent="0.25">
      <c r="K521"/>
    </row>
    <row r="522" spans="11:11" ht="15" x14ac:dyDescent="0.25">
      <c r="K522"/>
    </row>
    <row r="523" spans="11:11" ht="15" x14ac:dyDescent="0.25">
      <c r="K523"/>
    </row>
    <row r="524" spans="11:11" ht="15" x14ac:dyDescent="0.25">
      <c r="K524"/>
    </row>
    <row r="525" spans="11:11" ht="15" x14ac:dyDescent="0.25">
      <c r="K525"/>
    </row>
    <row r="526" spans="11:11" ht="15" x14ac:dyDescent="0.25">
      <c r="K526"/>
    </row>
    <row r="527" spans="11:11" ht="15" x14ac:dyDescent="0.25">
      <c r="K527"/>
    </row>
    <row r="528" spans="11:11" ht="15" x14ac:dyDescent="0.25">
      <c r="K528"/>
    </row>
    <row r="529" spans="11:11" ht="15" x14ac:dyDescent="0.25">
      <c r="K529"/>
    </row>
    <row r="530" spans="11:11" ht="15" x14ac:dyDescent="0.25">
      <c r="K530"/>
    </row>
    <row r="531" spans="11:11" ht="15" x14ac:dyDescent="0.25">
      <c r="K531"/>
    </row>
    <row r="532" spans="11:11" ht="15" x14ac:dyDescent="0.25">
      <c r="K532"/>
    </row>
    <row r="533" spans="11:11" ht="15" x14ac:dyDescent="0.25">
      <c r="K533"/>
    </row>
    <row r="534" spans="11:11" ht="15" x14ac:dyDescent="0.25">
      <c r="K534"/>
    </row>
    <row r="535" spans="11:11" ht="15" x14ac:dyDescent="0.25">
      <c r="K535"/>
    </row>
    <row r="536" spans="11:11" ht="15" x14ac:dyDescent="0.25">
      <c r="K536"/>
    </row>
    <row r="537" spans="11:11" ht="15" x14ac:dyDescent="0.25">
      <c r="K537"/>
    </row>
    <row r="538" spans="11:11" ht="15" x14ac:dyDescent="0.25">
      <c r="K538"/>
    </row>
    <row r="539" spans="11:11" ht="15" x14ac:dyDescent="0.25">
      <c r="K539"/>
    </row>
    <row r="540" spans="11:11" ht="15" x14ac:dyDescent="0.25">
      <c r="K540"/>
    </row>
    <row r="541" spans="11:11" ht="15" x14ac:dyDescent="0.25">
      <c r="K541"/>
    </row>
    <row r="542" spans="11:11" ht="15" x14ac:dyDescent="0.25">
      <c r="K542"/>
    </row>
    <row r="543" spans="11:11" ht="15" x14ac:dyDescent="0.25">
      <c r="K543"/>
    </row>
    <row r="544" spans="11:11" ht="15" x14ac:dyDescent="0.25">
      <c r="K544"/>
    </row>
    <row r="545" spans="11:11" ht="15" x14ac:dyDescent="0.25">
      <c r="K545"/>
    </row>
    <row r="546" spans="11:11" ht="15" x14ac:dyDescent="0.25">
      <c r="K546"/>
    </row>
    <row r="547" spans="11:11" ht="15" x14ac:dyDescent="0.25">
      <c r="K547"/>
    </row>
    <row r="548" spans="11:11" ht="15" x14ac:dyDescent="0.25">
      <c r="K548"/>
    </row>
    <row r="549" spans="11:11" ht="15" x14ac:dyDescent="0.25">
      <c r="K549"/>
    </row>
    <row r="550" spans="11:11" ht="15" x14ac:dyDescent="0.25">
      <c r="K550"/>
    </row>
    <row r="551" spans="11:11" ht="15" x14ac:dyDescent="0.25">
      <c r="K551"/>
    </row>
    <row r="552" spans="11:11" ht="15" x14ac:dyDescent="0.25">
      <c r="K552"/>
    </row>
    <row r="553" spans="11:11" ht="15" x14ac:dyDescent="0.25">
      <c r="K553"/>
    </row>
    <row r="554" spans="11:11" ht="15" x14ac:dyDescent="0.25">
      <c r="K554"/>
    </row>
    <row r="555" spans="11:11" ht="15" x14ac:dyDescent="0.25">
      <c r="K555"/>
    </row>
    <row r="556" spans="11:11" ht="15" x14ac:dyDescent="0.25">
      <c r="K556"/>
    </row>
    <row r="557" spans="11:11" ht="15" x14ac:dyDescent="0.25">
      <c r="K557"/>
    </row>
    <row r="558" spans="11:11" ht="15" x14ac:dyDescent="0.25">
      <c r="K558"/>
    </row>
    <row r="559" spans="11:11" ht="15" x14ac:dyDescent="0.25">
      <c r="K559"/>
    </row>
    <row r="560" spans="11:11" ht="15" x14ac:dyDescent="0.25">
      <c r="K560"/>
    </row>
    <row r="561" spans="11:11" ht="15" x14ac:dyDescent="0.25">
      <c r="K561"/>
    </row>
    <row r="562" spans="11:11" ht="15" x14ac:dyDescent="0.25">
      <c r="K562"/>
    </row>
    <row r="563" spans="11:11" ht="15" x14ac:dyDescent="0.25">
      <c r="K563"/>
    </row>
    <row r="564" spans="11:11" ht="15" x14ac:dyDescent="0.25">
      <c r="K564"/>
    </row>
    <row r="565" spans="11:11" ht="15" x14ac:dyDescent="0.25">
      <c r="K565"/>
    </row>
    <row r="566" spans="11:11" ht="15" x14ac:dyDescent="0.25">
      <c r="K566"/>
    </row>
    <row r="567" spans="11:11" ht="15" x14ac:dyDescent="0.25">
      <c r="K567"/>
    </row>
    <row r="568" spans="11:11" ht="15" x14ac:dyDescent="0.25">
      <c r="K568"/>
    </row>
    <row r="569" spans="11:11" ht="15" x14ac:dyDescent="0.25">
      <c r="K569"/>
    </row>
    <row r="570" spans="11:11" ht="15" x14ac:dyDescent="0.25">
      <c r="K570"/>
    </row>
    <row r="571" spans="11:11" ht="15" x14ac:dyDescent="0.25">
      <c r="K571"/>
    </row>
    <row r="572" spans="11:11" ht="15" x14ac:dyDescent="0.25">
      <c r="K572"/>
    </row>
    <row r="573" spans="11:11" ht="15" x14ac:dyDescent="0.25">
      <c r="K573"/>
    </row>
    <row r="574" spans="11:11" ht="15" x14ac:dyDescent="0.25">
      <c r="K574"/>
    </row>
    <row r="575" spans="11:11" ht="15" x14ac:dyDescent="0.25">
      <c r="K575"/>
    </row>
    <row r="576" spans="11:11" ht="15" x14ac:dyDescent="0.25">
      <c r="K576"/>
    </row>
    <row r="577" spans="11:11" ht="15" x14ac:dyDescent="0.25">
      <c r="K577"/>
    </row>
    <row r="578" spans="11:11" ht="15" x14ac:dyDescent="0.25">
      <c r="K578"/>
    </row>
    <row r="579" spans="11:11" ht="15" x14ac:dyDescent="0.25">
      <c r="K579"/>
    </row>
    <row r="580" spans="11:11" ht="15" x14ac:dyDescent="0.25">
      <c r="K580"/>
    </row>
    <row r="581" spans="11:11" ht="15" x14ac:dyDescent="0.25">
      <c r="K581"/>
    </row>
    <row r="582" spans="11:11" ht="15" x14ac:dyDescent="0.25">
      <c r="K582"/>
    </row>
    <row r="583" spans="11:11" ht="15" x14ac:dyDescent="0.25">
      <c r="K583"/>
    </row>
    <row r="584" spans="11:11" ht="15" x14ac:dyDescent="0.25">
      <c r="K584"/>
    </row>
    <row r="585" spans="11:11" ht="15" x14ac:dyDescent="0.25">
      <c r="K585"/>
    </row>
    <row r="586" spans="11:11" ht="15" x14ac:dyDescent="0.25">
      <c r="K586"/>
    </row>
    <row r="587" spans="11:11" ht="15" x14ac:dyDescent="0.25">
      <c r="K587"/>
    </row>
    <row r="588" spans="11:11" ht="15" x14ac:dyDescent="0.25">
      <c r="K588"/>
    </row>
    <row r="589" spans="11:11" ht="15" x14ac:dyDescent="0.25">
      <c r="K589"/>
    </row>
    <row r="590" spans="11:11" ht="15" x14ac:dyDescent="0.25">
      <c r="K590"/>
    </row>
    <row r="591" spans="11:11" ht="15" x14ac:dyDescent="0.25">
      <c r="K591"/>
    </row>
    <row r="592" spans="11:11" ht="15" x14ac:dyDescent="0.25">
      <c r="K592"/>
    </row>
    <row r="593" spans="11:11" ht="15" x14ac:dyDescent="0.25">
      <c r="K593"/>
    </row>
    <row r="594" spans="11:11" ht="15" x14ac:dyDescent="0.25">
      <c r="K594"/>
    </row>
    <row r="595" spans="11:11" ht="15" x14ac:dyDescent="0.25">
      <c r="K595"/>
    </row>
    <row r="596" spans="11:11" ht="15" x14ac:dyDescent="0.25">
      <c r="K596"/>
    </row>
    <row r="597" spans="11:11" ht="15" x14ac:dyDescent="0.25">
      <c r="K597"/>
    </row>
    <row r="598" spans="11:11" ht="15" x14ac:dyDescent="0.25">
      <c r="K598"/>
    </row>
    <row r="599" spans="11:11" ht="15" x14ac:dyDescent="0.25">
      <c r="K599"/>
    </row>
    <row r="600" spans="11:11" ht="15" x14ac:dyDescent="0.25">
      <c r="K600"/>
    </row>
    <row r="601" spans="11:11" ht="15" x14ac:dyDescent="0.25">
      <c r="K601"/>
    </row>
    <row r="602" spans="11:11" ht="15" x14ac:dyDescent="0.25">
      <c r="K602"/>
    </row>
    <row r="603" spans="11:11" ht="15" x14ac:dyDescent="0.25">
      <c r="K603"/>
    </row>
    <row r="604" spans="11:11" ht="15" x14ac:dyDescent="0.25">
      <c r="K604"/>
    </row>
    <row r="605" spans="11:11" ht="15" x14ac:dyDescent="0.25">
      <c r="K605"/>
    </row>
    <row r="606" spans="11:11" ht="15" x14ac:dyDescent="0.25">
      <c r="K606"/>
    </row>
    <row r="607" spans="11:11" ht="15" x14ac:dyDescent="0.25">
      <c r="K607"/>
    </row>
    <row r="608" spans="11:11" ht="15" x14ac:dyDescent="0.25">
      <c r="K608"/>
    </row>
    <row r="609" spans="11:11" ht="15" x14ac:dyDescent="0.25">
      <c r="K609"/>
    </row>
    <row r="610" spans="11:11" ht="15" x14ac:dyDescent="0.25">
      <c r="K610"/>
    </row>
    <row r="611" spans="11:11" ht="15" x14ac:dyDescent="0.25">
      <c r="K611"/>
    </row>
    <row r="612" spans="11:11" ht="15" x14ac:dyDescent="0.25">
      <c r="K612"/>
    </row>
    <row r="613" spans="11:11" ht="15" x14ac:dyDescent="0.25">
      <c r="K613"/>
    </row>
    <row r="614" spans="11:11" ht="15" x14ac:dyDescent="0.25">
      <c r="K614"/>
    </row>
    <row r="615" spans="11:11" ht="15" x14ac:dyDescent="0.25">
      <c r="K615"/>
    </row>
    <row r="616" spans="11:11" ht="15" x14ac:dyDescent="0.25">
      <c r="K616"/>
    </row>
    <row r="617" spans="11:11" ht="15" x14ac:dyDescent="0.25">
      <c r="K617"/>
    </row>
    <row r="618" spans="11:11" ht="15" x14ac:dyDescent="0.25">
      <c r="K618"/>
    </row>
    <row r="619" spans="11:11" ht="15" x14ac:dyDescent="0.25">
      <c r="K619"/>
    </row>
    <row r="620" spans="11:11" ht="15" x14ac:dyDescent="0.25">
      <c r="K620"/>
    </row>
    <row r="621" spans="11:11" ht="15" x14ac:dyDescent="0.25">
      <c r="K621"/>
    </row>
    <row r="622" spans="11:11" ht="15" x14ac:dyDescent="0.25">
      <c r="K622"/>
    </row>
    <row r="623" spans="11:11" ht="15" x14ac:dyDescent="0.25">
      <c r="K623"/>
    </row>
    <row r="624" spans="11:11" ht="15" x14ac:dyDescent="0.25">
      <c r="K624"/>
    </row>
    <row r="625" spans="11:11" ht="15" x14ac:dyDescent="0.25">
      <c r="K625"/>
    </row>
    <row r="626" spans="11:11" ht="15" x14ac:dyDescent="0.25">
      <c r="K626"/>
    </row>
    <row r="627" spans="11:11" ht="15" x14ac:dyDescent="0.25">
      <c r="K627"/>
    </row>
    <row r="628" spans="11:11" ht="15" x14ac:dyDescent="0.25">
      <c r="K628"/>
    </row>
    <row r="629" spans="11:11" ht="15" x14ac:dyDescent="0.25">
      <c r="K629"/>
    </row>
    <row r="630" spans="11:11" ht="15" x14ac:dyDescent="0.25">
      <c r="K630"/>
    </row>
    <row r="631" spans="11:11" ht="15" x14ac:dyDescent="0.25">
      <c r="K631"/>
    </row>
    <row r="632" spans="11:11" ht="15" x14ac:dyDescent="0.25">
      <c r="K632"/>
    </row>
    <row r="633" spans="11:11" ht="15" x14ac:dyDescent="0.25">
      <c r="K633"/>
    </row>
    <row r="634" spans="11:11" ht="15" x14ac:dyDescent="0.25">
      <c r="K634"/>
    </row>
    <row r="635" spans="11:11" ht="15" x14ac:dyDescent="0.25">
      <c r="K635"/>
    </row>
    <row r="636" spans="11:11" ht="15" x14ac:dyDescent="0.25">
      <c r="K636"/>
    </row>
    <row r="637" spans="11:11" ht="15" x14ac:dyDescent="0.25">
      <c r="K637"/>
    </row>
    <row r="638" spans="11:11" ht="15" x14ac:dyDescent="0.25">
      <c r="K638"/>
    </row>
    <row r="639" spans="11:11" ht="15" x14ac:dyDescent="0.25">
      <c r="K639"/>
    </row>
    <row r="640" spans="11:11" ht="15" x14ac:dyDescent="0.25">
      <c r="K640"/>
    </row>
    <row r="641" spans="11:11" ht="15" x14ac:dyDescent="0.25">
      <c r="K641"/>
    </row>
    <row r="642" spans="11:11" ht="15" x14ac:dyDescent="0.25">
      <c r="K642"/>
    </row>
    <row r="643" spans="11:11" ht="15" x14ac:dyDescent="0.25">
      <c r="K643"/>
    </row>
    <row r="644" spans="11:11" ht="15" x14ac:dyDescent="0.25">
      <c r="K644"/>
    </row>
    <row r="645" spans="11:11" ht="15" x14ac:dyDescent="0.25">
      <c r="K645"/>
    </row>
    <row r="646" spans="11:11" ht="15" x14ac:dyDescent="0.25">
      <c r="K646"/>
    </row>
    <row r="647" spans="11:11" ht="15" x14ac:dyDescent="0.25">
      <c r="K647"/>
    </row>
    <row r="648" spans="11:11" ht="15" x14ac:dyDescent="0.25">
      <c r="K648"/>
    </row>
    <row r="649" spans="11:11" ht="15" x14ac:dyDescent="0.25">
      <c r="K649"/>
    </row>
    <row r="650" spans="11:11" ht="15" x14ac:dyDescent="0.25">
      <c r="K650"/>
    </row>
    <row r="651" spans="11:11" ht="15" x14ac:dyDescent="0.25">
      <c r="K651"/>
    </row>
    <row r="652" spans="11:11" ht="15" x14ac:dyDescent="0.25">
      <c r="K652"/>
    </row>
    <row r="653" spans="11:11" ht="15" x14ac:dyDescent="0.25">
      <c r="K653"/>
    </row>
    <row r="654" spans="11:11" ht="15" x14ac:dyDescent="0.25">
      <c r="K654"/>
    </row>
    <row r="655" spans="11:11" ht="15" x14ac:dyDescent="0.25">
      <c r="K655"/>
    </row>
    <row r="656" spans="11:11" ht="15" x14ac:dyDescent="0.25">
      <c r="K656"/>
    </row>
    <row r="657" spans="11:11" ht="15" x14ac:dyDescent="0.25">
      <c r="K657"/>
    </row>
    <row r="658" spans="11:11" ht="15" x14ac:dyDescent="0.25">
      <c r="K658"/>
    </row>
    <row r="659" spans="11:11" ht="15" x14ac:dyDescent="0.25">
      <c r="K659"/>
    </row>
    <row r="660" spans="11:11" ht="15" x14ac:dyDescent="0.25">
      <c r="K660"/>
    </row>
    <row r="661" spans="11:11" ht="15" x14ac:dyDescent="0.25">
      <c r="K661"/>
    </row>
    <row r="662" spans="11:11" ht="15" x14ac:dyDescent="0.25">
      <c r="K662"/>
    </row>
    <row r="663" spans="11:11" ht="15" x14ac:dyDescent="0.25">
      <c r="K663"/>
    </row>
    <row r="664" spans="11:11" ht="15" x14ac:dyDescent="0.25">
      <c r="K664"/>
    </row>
    <row r="665" spans="11:11" ht="15" x14ac:dyDescent="0.25">
      <c r="K665"/>
    </row>
    <row r="666" spans="11:11" ht="15" x14ac:dyDescent="0.25">
      <c r="K666"/>
    </row>
    <row r="667" spans="11:11" ht="15" x14ac:dyDescent="0.25">
      <c r="K667"/>
    </row>
    <row r="668" spans="11:11" ht="15" x14ac:dyDescent="0.25">
      <c r="K668"/>
    </row>
    <row r="669" spans="11:11" ht="15" x14ac:dyDescent="0.25">
      <c r="K669"/>
    </row>
    <row r="670" spans="11:11" ht="15" x14ac:dyDescent="0.25">
      <c r="K670"/>
    </row>
    <row r="671" spans="11:11" ht="15" x14ac:dyDescent="0.25">
      <c r="K671"/>
    </row>
    <row r="672" spans="11:11" ht="15" x14ac:dyDescent="0.25">
      <c r="K672"/>
    </row>
    <row r="673" spans="11:11" ht="15" x14ac:dyDescent="0.25">
      <c r="K673"/>
    </row>
    <row r="674" spans="11:11" ht="15" x14ac:dyDescent="0.25">
      <c r="K674"/>
    </row>
    <row r="675" spans="11:11" ht="15" x14ac:dyDescent="0.25">
      <c r="K675"/>
    </row>
    <row r="676" spans="11:11" ht="15" x14ac:dyDescent="0.25">
      <c r="K676"/>
    </row>
    <row r="677" spans="11:11" ht="15" x14ac:dyDescent="0.25">
      <c r="K677"/>
    </row>
    <row r="678" spans="11:11" ht="15" x14ac:dyDescent="0.25">
      <c r="K678"/>
    </row>
    <row r="679" spans="11:11" ht="15" x14ac:dyDescent="0.25">
      <c r="K679"/>
    </row>
    <row r="680" spans="11:11" ht="15" x14ac:dyDescent="0.25">
      <c r="K680"/>
    </row>
    <row r="681" spans="11:11" ht="15" x14ac:dyDescent="0.25">
      <c r="K681"/>
    </row>
    <row r="682" spans="11:11" ht="15" x14ac:dyDescent="0.25">
      <c r="K682"/>
    </row>
    <row r="683" spans="11:11" ht="15" x14ac:dyDescent="0.25">
      <c r="K683"/>
    </row>
    <row r="684" spans="11:11" ht="15" x14ac:dyDescent="0.25">
      <c r="K684"/>
    </row>
    <row r="685" spans="11:11" ht="15" x14ac:dyDescent="0.25">
      <c r="K685"/>
    </row>
    <row r="686" spans="11:11" ht="15" x14ac:dyDescent="0.25">
      <c r="K686"/>
    </row>
    <row r="687" spans="11:11" ht="15" x14ac:dyDescent="0.25">
      <c r="K687"/>
    </row>
    <row r="688" spans="11:11" ht="15" x14ac:dyDescent="0.25">
      <c r="K688"/>
    </row>
    <row r="689" spans="11:11" ht="15" x14ac:dyDescent="0.25">
      <c r="K689"/>
    </row>
    <row r="690" spans="11:11" ht="15" x14ac:dyDescent="0.25">
      <c r="K690"/>
    </row>
    <row r="691" spans="11:11" ht="15" x14ac:dyDescent="0.25">
      <c r="K691"/>
    </row>
    <row r="692" spans="11:11" ht="15" x14ac:dyDescent="0.25">
      <c r="K692"/>
    </row>
    <row r="693" spans="11:11" ht="15" x14ac:dyDescent="0.25">
      <c r="K693"/>
    </row>
    <row r="694" spans="11:11" ht="15" x14ac:dyDescent="0.25">
      <c r="K694"/>
    </row>
    <row r="695" spans="11:11" ht="15" x14ac:dyDescent="0.25">
      <c r="K695"/>
    </row>
    <row r="696" spans="11:11" ht="15" x14ac:dyDescent="0.25">
      <c r="K696"/>
    </row>
    <row r="697" spans="11:11" ht="15" x14ac:dyDescent="0.25">
      <c r="K697"/>
    </row>
    <row r="698" spans="11:11" ht="15" x14ac:dyDescent="0.25">
      <c r="K698"/>
    </row>
    <row r="699" spans="11:11" ht="15" x14ac:dyDescent="0.25">
      <c r="K699"/>
    </row>
    <row r="700" spans="11:11" ht="15" x14ac:dyDescent="0.25">
      <c r="K700"/>
    </row>
    <row r="701" spans="11:11" ht="15" x14ac:dyDescent="0.25">
      <c r="K701"/>
    </row>
    <row r="702" spans="11:11" ht="15" x14ac:dyDescent="0.25">
      <c r="K702"/>
    </row>
    <row r="703" spans="11:11" ht="15" x14ac:dyDescent="0.25">
      <c r="K703"/>
    </row>
    <row r="704" spans="11:11" ht="15" x14ac:dyDescent="0.25">
      <c r="K704"/>
    </row>
    <row r="705" spans="11:11" ht="15" x14ac:dyDescent="0.25">
      <c r="K705"/>
    </row>
    <row r="706" spans="11:11" ht="15" x14ac:dyDescent="0.25">
      <c r="K706"/>
    </row>
    <row r="707" spans="11:11" ht="15" x14ac:dyDescent="0.25">
      <c r="K707"/>
    </row>
    <row r="708" spans="11:11" ht="15" x14ac:dyDescent="0.25">
      <c r="K708"/>
    </row>
    <row r="709" spans="11:11" ht="15" x14ac:dyDescent="0.25">
      <c r="K709"/>
    </row>
    <row r="710" spans="11:11" ht="15" x14ac:dyDescent="0.25">
      <c r="K710"/>
    </row>
    <row r="711" spans="11:11" ht="15" x14ac:dyDescent="0.25">
      <c r="K711"/>
    </row>
    <row r="712" spans="11:11" ht="15" x14ac:dyDescent="0.25">
      <c r="K712"/>
    </row>
    <row r="713" spans="11:11" ht="15" x14ac:dyDescent="0.25">
      <c r="K713"/>
    </row>
    <row r="714" spans="11:11" ht="15" x14ac:dyDescent="0.25">
      <c r="K714"/>
    </row>
    <row r="715" spans="11:11" ht="15" x14ac:dyDescent="0.25">
      <c r="K715"/>
    </row>
    <row r="716" spans="11:11" ht="15" x14ac:dyDescent="0.25">
      <c r="K716"/>
    </row>
    <row r="717" spans="11:11" ht="15" x14ac:dyDescent="0.25">
      <c r="K717"/>
    </row>
    <row r="718" spans="11:11" ht="15" x14ac:dyDescent="0.25">
      <c r="K718"/>
    </row>
    <row r="719" spans="11:11" ht="15" x14ac:dyDescent="0.25">
      <c r="K719"/>
    </row>
    <row r="720" spans="11:11" ht="15" x14ac:dyDescent="0.25">
      <c r="K720"/>
    </row>
    <row r="721" spans="11:11" ht="15" x14ac:dyDescent="0.25">
      <c r="K721"/>
    </row>
    <row r="722" spans="11:11" ht="15" x14ac:dyDescent="0.25">
      <c r="K722"/>
    </row>
    <row r="723" spans="11:11" ht="15" x14ac:dyDescent="0.25">
      <c r="K723"/>
    </row>
    <row r="724" spans="11:11" ht="15" x14ac:dyDescent="0.25">
      <c r="K724"/>
    </row>
    <row r="725" spans="11:11" ht="15" x14ac:dyDescent="0.25">
      <c r="K725"/>
    </row>
    <row r="726" spans="11:11" ht="15" x14ac:dyDescent="0.25">
      <c r="K726"/>
    </row>
    <row r="727" spans="11:11" ht="15" x14ac:dyDescent="0.25">
      <c r="K727"/>
    </row>
    <row r="728" spans="11:11" ht="15" x14ac:dyDescent="0.25">
      <c r="K728"/>
    </row>
    <row r="729" spans="11:11" ht="15" x14ac:dyDescent="0.25">
      <c r="K729"/>
    </row>
    <row r="730" spans="11:11" ht="15" x14ac:dyDescent="0.25">
      <c r="K730"/>
    </row>
    <row r="731" spans="11:11" ht="15" x14ac:dyDescent="0.25">
      <c r="K731"/>
    </row>
    <row r="732" spans="11:11" ht="15" x14ac:dyDescent="0.25">
      <c r="K732"/>
    </row>
    <row r="733" spans="11:11" ht="15" x14ac:dyDescent="0.25">
      <c r="K733"/>
    </row>
    <row r="734" spans="11:11" ht="15" x14ac:dyDescent="0.25">
      <c r="K734"/>
    </row>
    <row r="735" spans="11:11" ht="15" x14ac:dyDescent="0.25">
      <c r="K735"/>
    </row>
    <row r="736" spans="11:11" ht="15" x14ac:dyDescent="0.25">
      <c r="K736"/>
    </row>
    <row r="737" spans="11:11" ht="15" x14ac:dyDescent="0.25">
      <c r="K737"/>
    </row>
    <row r="738" spans="11:11" ht="15" x14ac:dyDescent="0.25">
      <c r="K738"/>
    </row>
    <row r="739" spans="11:11" ht="15" x14ac:dyDescent="0.25">
      <c r="K739"/>
    </row>
    <row r="740" spans="11:11" ht="15" x14ac:dyDescent="0.25">
      <c r="K740"/>
    </row>
    <row r="741" spans="11:11" ht="15" x14ac:dyDescent="0.25">
      <c r="K741"/>
    </row>
    <row r="742" spans="11:11" ht="15" x14ac:dyDescent="0.25">
      <c r="K742"/>
    </row>
    <row r="743" spans="11:11" ht="15" x14ac:dyDescent="0.25">
      <c r="K743"/>
    </row>
    <row r="744" spans="11:11" ht="15" x14ac:dyDescent="0.25">
      <c r="K744"/>
    </row>
    <row r="745" spans="11:11" ht="15" x14ac:dyDescent="0.25">
      <c r="K745"/>
    </row>
    <row r="746" spans="11:11" ht="15" x14ac:dyDescent="0.25">
      <c r="K746"/>
    </row>
    <row r="747" spans="11:11" ht="15" x14ac:dyDescent="0.25">
      <c r="K747"/>
    </row>
    <row r="748" spans="11:11" ht="15" x14ac:dyDescent="0.25">
      <c r="K748"/>
    </row>
    <row r="749" spans="11:11" ht="15" x14ac:dyDescent="0.25">
      <c r="K749"/>
    </row>
    <row r="750" spans="11:11" ht="15" x14ac:dyDescent="0.25">
      <c r="K750"/>
    </row>
    <row r="751" spans="11:11" ht="15" x14ac:dyDescent="0.25">
      <c r="K751"/>
    </row>
    <row r="752" spans="11:11" ht="15" x14ac:dyDescent="0.25">
      <c r="K752"/>
    </row>
    <row r="753" spans="11:11" ht="15" x14ac:dyDescent="0.25">
      <c r="K753"/>
    </row>
    <row r="754" spans="11:11" ht="15" x14ac:dyDescent="0.25">
      <c r="K754"/>
    </row>
    <row r="755" spans="11:11" ht="15" x14ac:dyDescent="0.25">
      <c r="K755"/>
    </row>
    <row r="756" spans="11:11" ht="15" x14ac:dyDescent="0.25">
      <c r="K756"/>
    </row>
    <row r="757" spans="11:11" ht="15" x14ac:dyDescent="0.25">
      <c r="K757"/>
    </row>
    <row r="758" spans="11:11" ht="15" x14ac:dyDescent="0.25">
      <c r="K758"/>
    </row>
    <row r="759" spans="11:11" ht="15" x14ac:dyDescent="0.25">
      <c r="K759"/>
    </row>
    <row r="760" spans="11:11" ht="15" x14ac:dyDescent="0.25">
      <c r="K760"/>
    </row>
    <row r="761" spans="11:11" ht="15" x14ac:dyDescent="0.25">
      <c r="K761"/>
    </row>
    <row r="762" spans="11:11" ht="15" x14ac:dyDescent="0.25">
      <c r="K762"/>
    </row>
    <row r="763" spans="11:11" ht="15" x14ac:dyDescent="0.25">
      <c r="K763"/>
    </row>
    <row r="764" spans="11:11" ht="15" x14ac:dyDescent="0.25">
      <c r="K764"/>
    </row>
    <row r="765" spans="11:11" ht="15" x14ac:dyDescent="0.25">
      <c r="K765"/>
    </row>
    <row r="766" spans="11:11" ht="15" x14ac:dyDescent="0.25">
      <c r="K766"/>
    </row>
    <row r="767" spans="11:11" ht="15" x14ac:dyDescent="0.25">
      <c r="K767"/>
    </row>
    <row r="768" spans="11:11" ht="15" x14ac:dyDescent="0.25">
      <c r="K768"/>
    </row>
    <row r="769" spans="11:11" ht="15" x14ac:dyDescent="0.25">
      <c r="K769"/>
    </row>
    <row r="770" spans="11:11" ht="15" x14ac:dyDescent="0.25">
      <c r="K770"/>
    </row>
    <row r="771" spans="11:11" ht="15" x14ac:dyDescent="0.25">
      <c r="K771"/>
    </row>
    <row r="772" spans="11:11" ht="15" x14ac:dyDescent="0.25">
      <c r="K772"/>
    </row>
    <row r="773" spans="11:11" ht="15" x14ac:dyDescent="0.25">
      <c r="K773"/>
    </row>
    <row r="774" spans="11:11" ht="15" x14ac:dyDescent="0.25">
      <c r="K774"/>
    </row>
    <row r="775" spans="11:11" ht="15" x14ac:dyDescent="0.25">
      <c r="K775"/>
    </row>
    <row r="776" spans="11:11" ht="15" x14ac:dyDescent="0.25">
      <c r="K776"/>
    </row>
    <row r="777" spans="11:11" ht="15" x14ac:dyDescent="0.25">
      <c r="K777"/>
    </row>
    <row r="778" spans="11:11" ht="15" x14ac:dyDescent="0.25">
      <c r="K778"/>
    </row>
    <row r="779" spans="11:11" ht="15" x14ac:dyDescent="0.25">
      <c r="K779"/>
    </row>
    <row r="780" spans="11:11" ht="15" x14ac:dyDescent="0.25">
      <c r="K780"/>
    </row>
    <row r="781" spans="11:11" ht="15" x14ac:dyDescent="0.25">
      <c r="K781"/>
    </row>
    <row r="782" spans="11:11" ht="15" x14ac:dyDescent="0.25">
      <c r="K782"/>
    </row>
    <row r="783" spans="11:11" ht="15" x14ac:dyDescent="0.25">
      <c r="K783"/>
    </row>
    <row r="784" spans="11:11" ht="15" x14ac:dyDescent="0.25">
      <c r="K784"/>
    </row>
    <row r="785" spans="11:11" ht="15" x14ac:dyDescent="0.25">
      <c r="K785"/>
    </row>
    <row r="786" spans="11:11" ht="15" x14ac:dyDescent="0.25">
      <c r="K786"/>
    </row>
    <row r="787" spans="11:11" ht="15" x14ac:dyDescent="0.25">
      <c r="K787"/>
    </row>
    <row r="788" spans="11:11" ht="15" x14ac:dyDescent="0.25">
      <c r="K788"/>
    </row>
    <row r="789" spans="11:11" ht="15" x14ac:dyDescent="0.25">
      <c r="K789"/>
    </row>
    <row r="790" spans="11:11" ht="15" x14ac:dyDescent="0.25">
      <c r="K790"/>
    </row>
    <row r="791" spans="11:11" ht="15" x14ac:dyDescent="0.25">
      <c r="K791"/>
    </row>
    <row r="792" spans="11:11" ht="15" x14ac:dyDescent="0.25">
      <c r="K792"/>
    </row>
    <row r="793" spans="11:11" ht="15" x14ac:dyDescent="0.25">
      <c r="K793"/>
    </row>
    <row r="794" spans="11:11" ht="15" x14ac:dyDescent="0.25">
      <c r="K794"/>
    </row>
    <row r="795" spans="11:11" ht="15" x14ac:dyDescent="0.25">
      <c r="K795"/>
    </row>
    <row r="796" spans="11:11" ht="15" x14ac:dyDescent="0.25">
      <c r="K796"/>
    </row>
    <row r="797" spans="11:11" ht="15" x14ac:dyDescent="0.25">
      <c r="K797"/>
    </row>
    <row r="798" spans="11:11" ht="15" x14ac:dyDescent="0.25">
      <c r="K798"/>
    </row>
    <row r="799" spans="11:11" ht="15" x14ac:dyDescent="0.25">
      <c r="K799"/>
    </row>
    <row r="800" spans="11:11" ht="15" x14ac:dyDescent="0.25">
      <c r="K800"/>
    </row>
    <row r="801" spans="11:11" ht="15" x14ac:dyDescent="0.25">
      <c r="K801"/>
    </row>
    <row r="802" spans="11:11" ht="15" x14ac:dyDescent="0.25">
      <c r="K802"/>
    </row>
    <row r="803" spans="11:11" ht="15" x14ac:dyDescent="0.25">
      <c r="K803"/>
    </row>
    <row r="804" spans="11:11" ht="15" x14ac:dyDescent="0.25">
      <c r="K804"/>
    </row>
    <row r="805" spans="11:11" ht="15" x14ac:dyDescent="0.25">
      <c r="K805"/>
    </row>
    <row r="806" spans="11:11" ht="15" x14ac:dyDescent="0.25">
      <c r="K806"/>
    </row>
    <row r="807" spans="11:11" ht="15" x14ac:dyDescent="0.25">
      <c r="K807"/>
    </row>
    <row r="808" spans="11:11" ht="15" x14ac:dyDescent="0.25">
      <c r="K808"/>
    </row>
    <row r="809" spans="11:11" ht="15" x14ac:dyDescent="0.25">
      <c r="K809"/>
    </row>
    <row r="810" spans="11:11" ht="15" x14ac:dyDescent="0.25">
      <c r="K810"/>
    </row>
    <row r="811" spans="11:11" ht="15" x14ac:dyDescent="0.25">
      <c r="K811"/>
    </row>
    <row r="812" spans="11:11" ht="15" x14ac:dyDescent="0.25">
      <c r="K812"/>
    </row>
    <row r="813" spans="11:11" ht="15" x14ac:dyDescent="0.25">
      <c r="K813"/>
    </row>
    <row r="814" spans="11:11" ht="15" x14ac:dyDescent="0.25">
      <c r="K814"/>
    </row>
    <row r="815" spans="11:11" ht="15" x14ac:dyDescent="0.25">
      <c r="K815"/>
    </row>
    <row r="816" spans="11:11" ht="15" x14ac:dyDescent="0.25">
      <c r="K816"/>
    </row>
    <row r="817" spans="11:11" ht="15" x14ac:dyDescent="0.25">
      <c r="K817"/>
    </row>
    <row r="818" spans="11:11" ht="15" x14ac:dyDescent="0.25">
      <c r="K818"/>
    </row>
    <row r="819" spans="11:11" ht="15" x14ac:dyDescent="0.25">
      <c r="K819"/>
    </row>
    <row r="820" spans="11:11" ht="15" x14ac:dyDescent="0.25">
      <c r="K820"/>
    </row>
    <row r="821" spans="11:11" ht="15" x14ac:dyDescent="0.25">
      <c r="K821"/>
    </row>
    <row r="822" spans="11:11" ht="15" x14ac:dyDescent="0.25">
      <c r="K822"/>
    </row>
    <row r="823" spans="11:11" ht="15" x14ac:dyDescent="0.25">
      <c r="K823"/>
    </row>
    <row r="824" spans="11:11" ht="15" x14ac:dyDescent="0.25">
      <c r="K824"/>
    </row>
    <row r="825" spans="11:11" ht="15" x14ac:dyDescent="0.25">
      <c r="K825"/>
    </row>
    <row r="826" spans="11:11" ht="15" x14ac:dyDescent="0.25">
      <c r="K826"/>
    </row>
    <row r="827" spans="11:11" ht="15" x14ac:dyDescent="0.25">
      <c r="K827"/>
    </row>
    <row r="828" spans="11:11" ht="15" x14ac:dyDescent="0.25">
      <c r="K828"/>
    </row>
    <row r="829" spans="11:11" ht="15" x14ac:dyDescent="0.25">
      <c r="K829"/>
    </row>
    <row r="830" spans="11:11" ht="15" x14ac:dyDescent="0.25">
      <c r="K830"/>
    </row>
    <row r="831" spans="11:11" ht="15" x14ac:dyDescent="0.25">
      <c r="K831"/>
    </row>
    <row r="832" spans="11:11" ht="15" x14ac:dyDescent="0.25">
      <c r="K832"/>
    </row>
    <row r="833" spans="11:11" ht="15" x14ac:dyDescent="0.25">
      <c r="K833"/>
    </row>
    <row r="834" spans="11:11" ht="15" x14ac:dyDescent="0.25">
      <c r="K834"/>
    </row>
    <row r="835" spans="11:11" ht="15" x14ac:dyDescent="0.25">
      <c r="K835"/>
    </row>
    <row r="836" spans="11:11" ht="15" x14ac:dyDescent="0.25">
      <c r="K836"/>
    </row>
    <row r="837" spans="11:11" ht="15" x14ac:dyDescent="0.25">
      <c r="K837"/>
    </row>
    <row r="838" spans="11:11" ht="15" x14ac:dyDescent="0.25">
      <c r="K838"/>
    </row>
    <row r="839" spans="11:11" ht="15" x14ac:dyDescent="0.25">
      <c r="K839"/>
    </row>
    <row r="840" spans="11:11" ht="15" x14ac:dyDescent="0.25">
      <c r="K840"/>
    </row>
    <row r="841" spans="11:11" ht="15" x14ac:dyDescent="0.25">
      <c r="K841"/>
    </row>
    <row r="842" spans="11:11" ht="15" x14ac:dyDescent="0.25">
      <c r="K842"/>
    </row>
    <row r="843" spans="11:11" ht="15" x14ac:dyDescent="0.25">
      <c r="K843"/>
    </row>
    <row r="844" spans="11:11" ht="15" x14ac:dyDescent="0.25">
      <c r="K844"/>
    </row>
    <row r="845" spans="11:11" ht="15" x14ac:dyDescent="0.25">
      <c r="K845"/>
    </row>
    <row r="846" spans="11:11" ht="15" x14ac:dyDescent="0.25">
      <c r="K846"/>
    </row>
    <row r="847" spans="11:11" ht="15" x14ac:dyDescent="0.25">
      <c r="K847"/>
    </row>
    <row r="848" spans="11:11" ht="15" x14ac:dyDescent="0.25">
      <c r="K848"/>
    </row>
    <row r="849" spans="11:11" ht="15" x14ac:dyDescent="0.25">
      <c r="K849"/>
    </row>
    <row r="850" spans="11:11" ht="15" x14ac:dyDescent="0.25">
      <c r="K850"/>
    </row>
    <row r="851" spans="11:11" ht="15" x14ac:dyDescent="0.25">
      <c r="K851"/>
    </row>
    <row r="852" spans="11:11" ht="15" x14ac:dyDescent="0.25">
      <c r="K852"/>
    </row>
    <row r="853" spans="11:11" ht="15" x14ac:dyDescent="0.25">
      <c r="K853"/>
    </row>
    <row r="854" spans="11:11" ht="15" x14ac:dyDescent="0.25">
      <c r="K854"/>
    </row>
    <row r="855" spans="11:11" ht="15" x14ac:dyDescent="0.25">
      <c r="K855"/>
    </row>
    <row r="856" spans="11:11" ht="15" x14ac:dyDescent="0.25">
      <c r="K856"/>
    </row>
    <row r="857" spans="11:11" ht="15" x14ac:dyDescent="0.25">
      <c r="K857"/>
    </row>
    <row r="858" spans="11:11" ht="15" x14ac:dyDescent="0.25">
      <c r="K858"/>
    </row>
    <row r="859" spans="11:11" ht="15" x14ac:dyDescent="0.25">
      <c r="K859"/>
    </row>
    <row r="860" spans="11:11" ht="15" x14ac:dyDescent="0.25">
      <c r="K860"/>
    </row>
    <row r="861" spans="11:11" ht="15" x14ac:dyDescent="0.25">
      <c r="K861"/>
    </row>
    <row r="862" spans="11:11" ht="15" x14ac:dyDescent="0.25">
      <c r="K862"/>
    </row>
    <row r="863" spans="11:11" ht="15" x14ac:dyDescent="0.25">
      <c r="K863"/>
    </row>
    <row r="864" spans="11:11" ht="15" x14ac:dyDescent="0.25">
      <c r="K864"/>
    </row>
    <row r="865" spans="11:11" ht="15" x14ac:dyDescent="0.25">
      <c r="K865"/>
    </row>
    <row r="866" spans="11:11" ht="15" x14ac:dyDescent="0.25">
      <c r="K866"/>
    </row>
    <row r="867" spans="11:11" ht="15" x14ac:dyDescent="0.25">
      <c r="K867"/>
    </row>
    <row r="868" spans="11:11" ht="15" x14ac:dyDescent="0.25">
      <c r="K868"/>
    </row>
    <row r="869" spans="11:11" ht="15" x14ac:dyDescent="0.25">
      <c r="K869"/>
    </row>
    <row r="870" spans="11:11" ht="15" x14ac:dyDescent="0.25">
      <c r="K870"/>
    </row>
    <row r="871" spans="11:11" ht="15" x14ac:dyDescent="0.25">
      <c r="K871"/>
    </row>
    <row r="872" spans="11:11" ht="15" x14ac:dyDescent="0.25">
      <c r="K872"/>
    </row>
    <row r="873" spans="11:11" ht="15" x14ac:dyDescent="0.25">
      <c r="K873"/>
    </row>
    <row r="874" spans="11:11" ht="15" x14ac:dyDescent="0.25">
      <c r="K874"/>
    </row>
    <row r="875" spans="11:11" ht="15" x14ac:dyDescent="0.25">
      <c r="K875"/>
    </row>
    <row r="876" spans="11:11" ht="15" x14ac:dyDescent="0.25">
      <c r="K876"/>
    </row>
    <row r="877" spans="11:11" ht="15" x14ac:dyDescent="0.25">
      <c r="K877"/>
    </row>
    <row r="878" spans="11:11" ht="15" x14ac:dyDescent="0.25">
      <c r="K878"/>
    </row>
    <row r="879" spans="11:11" ht="15" x14ac:dyDescent="0.25">
      <c r="K879"/>
    </row>
    <row r="880" spans="11:11" ht="15" x14ac:dyDescent="0.25">
      <c r="K880"/>
    </row>
    <row r="881" spans="11:11" ht="15" x14ac:dyDescent="0.25">
      <c r="K881"/>
    </row>
    <row r="882" spans="11:11" ht="15" x14ac:dyDescent="0.25">
      <c r="K882"/>
    </row>
    <row r="883" spans="11:11" ht="15" x14ac:dyDescent="0.25">
      <c r="K883"/>
    </row>
    <row r="884" spans="11:11" ht="15" x14ac:dyDescent="0.25">
      <c r="K884"/>
    </row>
    <row r="885" spans="11:11" ht="15" x14ac:dyDescent="0.25">
      <c r="K885"/>
    </row>
    <row r="886" spans="11:11" ht="15" x14ac:dyDescent="0.25">
      <c r="K886"/>
    </row>
    <row r="887" spans="11:11" ht="15" x14ac:dyDescent="0.25">
      <c r="K887"/>
    </row>
    <row r="888" spans="11:11" ht="15" x14ac:dyDescent="0.25">
      <c r="K888"/>
    </row>
    <row r="889" spans="11:11" ht="15" x14ac:dyDescent="0.25">
      <c r="K889"/>
    </row>
    <row r="890" spans="11:11" ht="15" x14ac:dyDescent="0.25">
      <c r="K890"/>
    </row>
    <row r="891" spans="11:11" ht="15" x14ac:dyDescent="0.25">
      <c r="K891"/>
    </row>
    <row r="892" spans="11:11" ht="15" x14ac:dyDescent="0.25">
      <c r="K892"/>
    </row>
    <row r="893" spans="11:11" ht="15" x14ac:dyDescent="0.25">
      <c r="K893"/>
    </row>
    <row r="894" spans="11:11" ht="15" x14ac:dyDescent="0.25">
      <c r="K894"/>
    </row>
    <row r="895" spans="11:11" ht="15" x14ac:dyDescent="0.25">
      <c r="K895"/>
    </row>
    <row r="896" spans="11:11" ht="15" x14ac:dyDescent="0.25">
      <c r="K896"/>
    </row>
    <row r="897" spans="11:11" ht="15" x14ac:dyDescent="0.25">
      <c r="K897"/>
    </row>
    <row r="898" spans="11:11" ht="15" x14ac:dyDescent="0.25">
      <c r="K898"/>
    </row>
    <row r="899" spans="11:11" ht="15" x14ac:dyDescent="0.25">
      <c r="K899"/>
    </row>
    <row r="900" spans="11:11" ht="15" x14ac:dyDescent="0.25">
      <c r="K900"/>
    </row>
    <row r="901" spans="11:11" ht="15" x14ac:dyDescent="0.25">
      <c r="K901"/>
    </row>
    <row r="902" spans="11:11" ht="15" x14ac:dyDescent="0.25">
      <c r="K902"/>
    </row>
    <row r="903" spans="11:11" ht="15" x14ac:dyDescent="0.25">
      <c r="K903"/>
    </row>
    <row r="904" spans="11:11" ht="15" x14ac:dyDescent="0.25">
      <c r="K904"/>
    </row>
    <row r="905" spans="11:11" ht="15" x14ac:dyDescent="0.25">
      <c r="K905"/>
    </row>
    <row r="906" spans="11:11" ht="15" x14ac:dyDescent="0.25">
      <c r="K906"/>
    </row>
    <row r="907" spans="11:11" ht="15" x14ac:dyDescent="0.25">
      <c r="K907"/>
    </row>
    <row r="908" spans="11:11" ht="15" x14ac:dyDescent="0.25">
      <c r="K908"/>
    </row>
    <row r="909" spans="11:11" ht="15" x14ac:dyDescent="0.25">
      <c r="K909"/>
    </row>
    <row r="910" spans="11:11" ht="15" x14ac:dyDescent="0.25">
      <c r="K910"/>
    </row>
    <row r="911" spans="11:11" ht="15" x14ac:dyDescent="0.25">
      <c r="K911"/>
    </row>
    <row r="912" spans="11:11" ht="15" x14ac:dyDescent="0.25">
      <c r="K912"/>
    </row>
    <row r="913" spans="11:11" ht="15" x14ac:dyDescent="0.25">
      <c r="K913"/>
    </row>
    <row r="914" spans="11:11" ht="15" x14ac:dyDescent="0.25">
      <c r="K914"/>
    </row>
    <row r="915" spans="11:11" ht="15" x14ac:dyDescent="0.25">
      <c r="K915"/>
    </row>
    <row r="916" spans="11:11" ht="15" x14ac:dyDescent="0.25">
      <c r="K916"/>
    </row>
    <row r="917" spans="11:11" ht="15" x14ac:dyDescent="0.25">
      <c r="K917"/>
    </row>
    <row r="918" spans="11:11" ht="15" x14ac:dyDescent="0.25">
      <c r="K918"/>
    </row>
    <row r="919" spans="11:11" ht="15" x14ac:dyDescent="0.25">
      <c r="K919"/>
    </row>
    <row r="920" spans="11:11" ht="15" x14ac:dyDescent="0.25">
      <c r="K920"/>
    </row>
    <row r="921" spans="11:11" ht="15" x14ac:dyDescent="0.25">
      <c r="K921"/>
    </row>
    <row r="922" spans="11:11" ht="15" x14ac:dyDescent="0.25">
      <c r="K922"/>
    </row>
    <row r="923" spans="11:11" ht="15" x14ac:dyDescent="0.25">
      <c r="K923"/>
    </row>
    <row r="924" spans="11:11" ht="15" x14ac:dyDescent="0.25">
      <c r="K924"/>
    </row>
    <row r="925" spans="11:11" ht="15" x14ac:dyDescent="0.25">
      <c r="K925"/>
    </row>
    <row r="926" spans="11:11" ht="15" x14ac:dyDescent="0.25">
      <c r="K926"/>
    </row>
    <row r="927" spans="11:11" ht="15" x14ac:dyDescent="0.25">
      <c r="K927"/>
    </row>
    <row r="928" spans="11:11" ht="15" x14ac:dyDescent="0.25">
      <c r="K928"/>
    </row>
    <row r="929" spans="11:11" ht="15" x14ac:dyDescent="0.25">
      <c r="K929"/>
    </row>
    <row r="930" spans="11:11" ht="15" x14ac:dyDescent="0.25">
      <c r="K930"/>
    </row>
    <row r="931" spans="11:11" ht="15" x14ac:dyDescent="0.25">
      <c r="K931"/>
    </row>
    <row r="932" spans="11:11" ht="15" x14ac:dyDescent="0.25">
      <c r="K932"/>
    </row>
    <row r="933" spans="11:11" ht="15" x14ac:dyDescent="0.25">
      <c r="K933"/>
    </row>
    <row r="934" spans="11:11" ht="15" x14ac:dyDescent="0.25">
      <c r="K934"/>
    </row>
    <row r="935" spans="11:11" ht="15" x14ac:dyDescent="0.25">
      <c r="K935"/>
    </row>
    <row r="936" spans="11:11" ht="15" x14ac:dyDescent="0.25">
      <c r="K936"/>
    </row>
    <row r="937" spans="11:11" ht="15" x14ac:dyDescent="0.25">
      <c r="K937"/>
    </row>
    <row r="938" spans="11:11" ht="15" x14ac:dyDescent="0.25">
      <c r="K938"/>
    </row>
    <row r="939" spans="11:11" ht="15" x14ac:dyDescent="0.25">
      <c r="K939"/>
    </row>
    <row r="940" spans="11:11" ht="15" x14ac:dyDescent="0.25">
      <c r="K940"/>
    </row>
    <row r="941" spans="11:11" ht="15" x14ac:dyDescent="0.25">
      <c r="K941"/>
    </row>
    <row r="942" spans="11:11" ht="15" x14ac:dyDescent="0.25">
      <c r="K942"/>
    </row>
    <row r="943" spans="11:11" ht="15" x14ac:dyDescent="0.25">
      <c r="K943"/>
    </row>
    <row r="944" spans="11:11" ht="15" x14ac:dyDescent="0.25">
      <c r="K944"/>
    </row>
    <row r="945" spans="11:11" ht="15" x14ac:dyDescent="0.25">
      <c r="K945"/>
    </row>
    <row r="946" spans="11:11" ht="15" x14ac:dyDescent="0.25">
      <c r="K946"/>
    </row>
    <row r="947" spans="11:11" ht="15" x14ac:dyDescent="0.25">
      <c r="K947"/>
    </row>
    <row r="948" spans="11:11" ht="15" x14ac:dyDescent="0.25">
      <c r="K948"/>
    </row>
    <row r="949" spans="11:11" ht="15" x14ac:dyDescent="0.25">
      <c r="K949"/>
    </row>
    <row r="950" spans="11:11" ht="15" x14ac:dyDescent="0.25">
      <c r="K950"/>
    </row>
    <row r="951" spans="11:11" ht="15" x14ac:dyDescent="0.25">
      <c r="K951"/>
    </row>
    <row r="952" spans="11:11" ht="15" x14ac:dyDescent="0.25">
      <c r="K952"/>
    </row>
    <row r="953" spans="11:11" ht="15" x14ac:dyDescent="0.25">
      <c r="K953"/>
    </row>
    <row r="954" spans="11:11" ht="15" x14ac:dyDescent="0.25">
      <c r="K954"/>
    </row>
    <row r="955" spans="11:11" ht="15" x14ac:dyDescent="0.25">
      <c r="K955"/>
    </row>
    <row r="956" spans="11:11" ht="15" x14ac:dyDescent="0.25">
      <c r="K956"/>
    </row>
    <row r="957" spans="11:11" ht="15" x14ac:dyDescent="0.25">
      <c r="K957"/>
    </row>
    <row r="958" spans="11:11" ht="15" x14ac:dyDescent="0.25">
      <c r="K958"/>
    </row>
    <row r="959" spans="11:11" ht="15" x14ac:dyDescent="0.25">
      <c r="K959"/>
    </row>
    <row r="960" spans="11:11" ht="15" x14ac:dyDescent="0.25">
      <c r="K960"/>
    </row>
    <row r="961" spans="11:11" ht="15" x14ac:dyDescent="0.25">
      <c r="K961"/>
    </row>
    <row r="962" spans="11:11" ht="15" x14ac:dyDescent="0.25">
      <c r="K962"/>
    </row>
    <row r="963" spans="11:11" ht="15" x14ac:dyDescent="0.25">
      <c r="K963"/>
    </row>
    <row r="964" spans="11:11" ht="15" x14ac:dyDescent="0.25">
      <c r="K964"/>
    </row>
    <row r="965" spans="11:11" ht="15" x14ac:dyDescent="0.25">
      <c r="K965"/>
    </row>
    <row r="966" spans="11:11" ht="15" x14ac:dyDescent="0.25">
      <c r="K966"/>
    </row>
    <row r="967" spans="11:11" ht="15" x14ac:dyDescent="0.25">
      <c r="K967"/>
    </row>
    <row r="968" spans="11:11" ht="15" x14ac:dyDescent="0.25">
      <c r="K968"/>
    </row>
    <row r="969" spans="11:11" ht="15" x14ac:dyDescent="0.25">
      <c r="K969"/>
    </row>
    <row r="970" spans="11:11" ht="15" x14ac:dyDescent="0.25">
      <c r="K970"/>
    </row>
    <row r="971" spans="11:11" ht="15" x14ac:dyDescent="0.25">
      <c r="K971"/>
    </row>
    <row r="972" spans="11:11" ht="15" x14ac:dyDescent="0.25">
      <c r="K972"/>
    </row>
    <row r="973" spans="11:11" ht="15" x14ac:dyDescent="0.25">
      <c r="K973"/>
    </row>
    <row r="974" spans="11:11" ht="15" x14ac:dyDescent="0.25">
      <c r="K974"/>
    </row>
    <row r="975" spans="11:11" ht="15" x14ac:dyDescent="0.25">
      <c r="K975"/>
    </row>
    <row r="976" spans="11:11" ht="15" x14ac:dyDescent="0.25">
      <c r="K976"/>
    </row>
    <row r="977" spans="11:11" ht="15" x14ac:dyDescent="0.25">
      <c r="K977"/>
    </row>
    <row r="978" spans="11:11" ht="15" x14ac:dyDescent="0.25">
      <c r="K978"/>
    </row>
    <row r="979" spans="11:11" ht="15" x14ac:dyDescent="0.25">
      <c r="K979"/>
    </row>
    <row r="980" spans="11:11" ht="15" x14ac:dyDescent="0.25">
      <c r="K980"/>
    </row>
    <row r="981" spans="11:11" ht="15" x14ac:dyDescent="0.25">
      <c r="K981"/>
    </row>
    <row r="982" spans="11:11" ht="15" x14ac:dyDescent="0.25">
      <c r="K982"/>
    </row>
    <row r="983" spans="11:11" ht="15" x14ac:dyDescent="0.25">
      <c r="K983"/>
    </row>
    <row r="984" spans="11:11" ht="15" x14ac:dyDescent="0.25">
      <c r="K984"/>
    </row>
    <row r="985" spans="11:11" ht="15" x14ac:dyDescent="0.25">
      <c r="K985"/>
    </row>
    <row r="986" spans="11:11" ht="15" x14ac:dyDescent="0.25">
      <c r="K986"/>
    </row>
    <row r="987" spans="11:11" ht="15" x14ac:dyDescent="0.25">
      <c r="K987"/>
    </row>
    <row r="988" spans="11:11" ht="15" x14ac:dyDescent="0.25">
      <c r="K988"/>
    </row>
    <row r="989" spans="11:11" ht="15" x14ac:dyDescent="0.25">
      <c r="K989"/>
    </row>
    <row r="990" spans="11:11" ht="15" x14ac:dyDescent="0.25">
      <c r="K990"/>
    </row>
    <row r="991" spans="11:11" ht="15" x14ac:dyDescent="0.25">
      <c r="K991"/>
    </row>
    <row r="992" spans="11:11" ht="15" x14ac:dyDescent="0.25">
      <c r="K992"/>
    </row>
    <row r="993" spans="11:11" ht="15" x14ac:dyDescent="0.25">
      <c r="K993"/>
    </row>
    <row r="994" spans="11:11" ht="15" x14ac:dyDescent="0.25">
      <c r="K994"/>
    </row>
    <row r="995" spans="11:11" ht="15" x14ac:dyDescent="0.25">
      <c r="K995"/>
    </row>
    <row r="996" spans="11:11" ht="15" x14ac:dyDescent="0.25">
      <c r="K996"/>
    </row>
    <row r="997" spans="11:11" ht="15" x14ac:dyDescent="0.25">
      <c r="K997"/>
    </row>
    <row r="998" spans="11:11" ht="15" x14ac:dyDescent="0.25">
      <c r="K998"/>
    </row>
    <row r="999" spans="11:11" ht="15" x14ac:dyDescent="0.25">
      <c r="K999"/>
    </row>
    <row r="1000" spans="11:11" ht="15" x14ac:dyDescent="0.25">
      <c r="K1000"/>
    </row>
    <row r="1001" spans="11:11" ht="15" x14ac:dyDescent="0.25">
      <c r="K1001"/>
    </row>
    <row r="1002" spans="11:11" ht="15" x14ac:dyDescent="0.25">
      <c r="K1002"/>
    </row>
    <row r="1003" spans="11:11" ht="15" x14ac:dyDescent="0.25">
      <c r="K1003"/>
    </row>
    <row r="1004" spans="11:11" ht="15" x14ac:dyDescent="0.25">
      <c r="K1004"/>
    </row>
    <row r="1005" spans="11:11" ht="15" x14ac:dyDescent="0.25">
      <c r="K1005"/>
    </row>
    <row r="1006" spans="11:11" ht="15" x14ac:dyDescent="0.25">
      <c r="K1006"/>
    </row>
    <row r="1007" spans="11:11" ht="15" x14ac:dyDescent="0.25">
      <c r="K1007"/>
    </row>
    <row r="1008" spans="11:11" ht="15" x14ac:dyDescent="0.25">
      <c r="K1008"/>
    </row>
    <row r="1009" spans="11:11" ht="15" x14ac:dyDescent="0.25">
      <c r="K1009"/>
    </row>
    <row r="1010" spans="11:11" ht="15" x14ac:dyDescent="0.25">
      <c r="K1010"/>
    </row>
    <row r="1011" spans="11:11" ht="15" x14ac:dyDescent="0.25">
      <c r="K1011"/>
    </row>
    <row r="1012" spans="11:11" ht="15" x14ac:dyDescent="0.25">
      <c r="K1012"/>
    </row>
    <row r="1013" spans="11:11" ht="15" x14ac:dyDescent="0.25">
      <c r="K1013"/>
    </row>
    <row r="1014" spans="11:11" ht="15" x14ac:dyDescent="0.25">
      <c r="K1014"/>
    </row>
    <row r="1015" spans="11:11" ht="15" x14ac:dyDescent="0.25">
      <c r="K1015"/>
    </row>
    <row r="1016" spans="11:11" ht="15" x14ac:dyDescent="0.25">
      <c r="K1016"/>
    </row>
    <row r="1017" spans="11:11" ht="15" x14ac:dyDescent="0.25">
      <c r="K1017"/>
    </row>
    <row r="1018" spans="11:11" ht="15" x14ac:dyDescent="0.25">
      <c r="K1018"/>
    </row>
    <row r="1019" spans="11:11" ht="15" x14ac:dyDescent="0.25">
      <c r="K1019"/>
    </row>
    <row r="1020" spans="11:11" ht="15" x14ac:dyDescent="0.25">
      <c r="K1020"/>
    </row>
    <row r="1021" spans="11:11" ht="15" x14ac:dyDescent="0.25">
      <c r="K1021"/>
    </row>
    <row r="1022" spans="11:11" ht="15" x14ac:dyDescent="0.25">
      <c r="K1022"/>
    </row>
    <row r="1023" spans="11:11" ht="15" x14ac:dyDescent="0.25">
      <c r="K1023"/>
    </row>
    <row r="1024" spans="11:11" ht="15" x14ac:dyDescent="0.25">
      <c r="K1024"/>
    </row>
    <row r="1025" spans="11:11" ht="15" x14ac:dyDescent="0.25">
      <c r="K1025"/>
    </row>
    <row r="1026" spans="11:11" ht="15" x14ac:dyDescent="0.25">
      <c r="K1026"/>
    </row>
    <row r="1027" spans="11:11" ht="15" x14ac:dyDescent="0.25">
      <c r="K1027"/>
    </row>
    <row r="1028" spans="11:11" ht="15" x14ac:dyDescent="0.25">
      <c r="K1028"/>
    </row>
    <row r="1029" spans="11:11" ht="15" x14ac:dyDescent="0.25">
      <c r="K1029"/>
    </row>
    <row r="1030" spans="11:11" ht="15" x14ac:dyDescent="0.25">
      <c r="K1030"/>
    </row>
    <row r="1031" spans="11:11" ht="15" x14ac:dyDescent="0.25">
      <c r="K1031"/>
    </row>
    <row r="1032" spans="11:11" ht="15" x14ac:dyDescent="0.25">
      <c r="K1032"/>
    </row>
    <row r="1033" spans="11:11" ht="15" x14ac:dyDescent="0.25">
      <c r="K1033"/>
    </row>
    <row r="1034" spans="11:11" ht="15" x14ac:dyDescent="0.25">
      <c r="K1034"/>
    </row>
    <row r="1035" spans="11:11" ht="15" x14ac:dyDescent="0.25">
      <c r="K1035"/>
    </row>
    <row r="1036" spans="11:11" ht="15" x14ac:dyDescent="0.25">
      <c r="K1036"/>
    </row>
    <row r="1037" spans="11:11" ht="15" x14ac:dyDescent="0.25">
      <c r="K1037"/>
    </row>
    <row r="1038" spans="11:11" ht="15" x14ac:dyDescent="0.25">
      <c r="K1038"/>
    </row>
    <row r="1039" spans="11:11" ht="15" x14ac:dyDescent="0.25">
      <c r="K1039"/>
    </row>
    <row r="1040" spans="11:11" ht="15" x14ac:dyDescent="0.25">
      <c r="K1040"/>
    </row>
    <row r="1041" spans="11:11" ht="15" x14ac:dyDescent="0.25">
      <c r="K1041"/>
    </row>
    <row r="1042" spans="11:11" ht="15" x14ac:dyDescent="0.25">
      <c r="K1042"/>
    </row>
    <row r="1043" spans="11:11" ht="15" x14ac:dyDescent="0.25">
      <c r="K1043"/>
    </row>
    <row r="1044" spans="11:11" ht="15" x14ac:dyDescent="0.25">
      <c r="K1044"/>
    </row>
    <row r="1045" spans="11:11" ht="15" x14ac:dyDescent="0.25">
      <c r="K1045"/>
    </row>
    <row r="1046" spans="11:11" ht="15" x14ac:dyDescent="0.25">
      <c r="K1046"/>
    </row>
    <row r="1047" spans="11:11" ht="15" x14ac:dyDescent="0.25">
      <c r="K1047"/>
    </row>
    <row r="1048" spans="11:11" ht="15" x14ac:dyDescent="0.25">
      <c r="K1048"/>
    </row>
    <row r="1049" spans="11:11" ht="15" x14ac:dyDescent="0.25">
      <c r="K1049"/>
    </row>
    <row r="1050" spans="11:11" ht="15" x14ac:dyDescent="0.25">
      <c r="K1050"/>
    </row>
    <row r="1051" spans="11:11" ht="15" x14ac:dyDescent="0.25">
      <c r="K1051"/>
    </row>
    <row r="1052" spans="11:11" ht="15" x14ac:dyDescent="0.25">
      <c r="K1052"/>
    </row>
    <row r="1053" spans="11:11" ht="15" x14ac:dyDescent="0.25">
      <c r="K1053"/>
    </row>
    <row r="1054" spans="11:11" ht="15" x14ac:dyDescent="0.25">
      <c r="K1054"/>
    </row>
    <row r="1055" spans="11:11" ht="15" x14ac:dyDescent="0.25">
      <c r="K1055"/>
    </row>
    <row r="1056" spans="11:11" ht="15" x14ac:dyDescent="0.25">
      <c r="K1056"/>
    </row>
    <row r="1057" spans="11:11" ht="15" x14ac:dyDescent="0.25">
      <c r="K1057"/>
    </row>
    <row r="1058" spans="11:11" ht="15" x14ac:dyDescent="0.25">
      <c r="K1058"/>
    </row>
    <row r="1059" spans="11:11" ht="15" x14ac:dyDescent="0.25">
      <c r="K1059"/>
    </row>
    <row r="1060" spans="11:11" ht="15" x14ac:dyDescent="0.25">
      <c r="K1060"/>
    </row>
    <row r="1061" spans="11:11" ht="15" x14ac:dyDescent="0.25">
      <c r="K1061"/>
    </row>
    <row r="1062" spans="11:11" ht="15" x14ac:dyDescent="0.25">
      <c r="K1062"/>
    </row>
    <row r="1063" spans="11:11" ht="15" x14ac:dyDescent="0.25">
      <c r="K1063"/>
    </row>
    <row r="1064" spans="11:11" ht="15" x14ac:dyDescent="0.25">
      <c r="K1064"/>
    </row>
    <row r="1065" spans="11:11" ht="15" x14ac:dyDescent="0.25">
      <c r="K1065"/>
    </row>
    <row r="1066" spans="11:11" ht="15" x14ac:dyDescent="0.25">
      <c r="K1066"/>
    </row>
    <row r="1067" spans="11:11" ht="15" x14ac:dyDescent="0.25">
      <c r="K1067"/>
    </row>
    <row r="1068" spans="11:11" ht="15" x14ac:dyDescent="0.25">
      <c r="K1068"/>
    </row>
    <row r="1069" spans="11:11" ht="15" x14ac:dyDescent="0.25">
      <c r="K1069"/>
    </row>
    <row r="1070" spans="11:11" ht="15" x14ac:dyDescent="0.25">
      <c r="K1070"/>
    </row>
    <row r="1071" spans="11:11" ht="15" x14ac:dyDescent="0.25">
      <c r="K1071"/>
    </row>
    <row r="1072" spans="11:11" ht="15" x14ac:dyDescent="0.25">
      <c r="K1072"/>
    </row>
    <row r="1073" spans="11:11" ht="15" x14ac:dyDescent="0.25">
      <c r="K1073"/>
    </row>
    <row r="1074" spans="11:11" ht="15" x14ac:dyDescent="0.25">
      <c r="K1074"/>
    </row>
    <row r="1075" spans="11:11" ht="15" x14ac:dyDescent="0.25">
      <c r="K1075"/>
    </row>
    <row r="1076" spans="11:11" ht="15" x14ac:dyDescent="0.25">
      <c r="K1076"/>
    </row>
    <row r="1077" spans="11:11" ht="15" x14ac:dyDescent="0.25">
      <c r="K1077"/>
    </row>
    <row r="1078" spans="11:11" ht="15" x14ac:dyDescent="0.25">
      <c r="K1078"/>
    </row>
    <row r="1079" spans="11:11" ht="15" x14ac:dyDescent="0.25">
      <c r="K1079"/>
    </row>
    <row r="1080" spans="11:11" ht="15" x14ac:dyDescent="0.25">
      <c r="K1080"/>
    </row>
    <row r="1081" spans="11:11" ht="15" x14ac:dyDescent="0.25">
      <c r="K1081"/>
    </row>
    <row r="1082" spans="11:11" ht="15" x14ac:dyDescent="0.25">
      <c r="K1082"/>
    </row>
    <row r="1083" spans="11:11" ht="15" x14ac:dyDescent="0.25">
      <c r="K1083"/>
    </row>
    <row r="1084" spans="11:11" ht="15" x14ac:dyDescent="0.25">
      <c r="K1084"/>
    </row>
    <row r="1085" spans="11:11" ht="15" x14ac:dyDescent="0.25">
      <c r="K1085"/>
    </row>
    <row r="1086" spans="11:11" ht="15" x14ac:dyDescent="0.25">
      <c r="K1086"/>
    </row>
    <row r="1087" spans="11:11" ht="15" x14ac:dyDescent="0.25">
      <c r="K1087"/>
    </row>
    <row r="1088" spans="11:11" ht="15" x14ac:dyDescent="0.25">
      <c r="K1088"/>
    </row>
    <row r="1089" spans="11:11" ht="15" x14ac:dyDescent="0.25">
      <c r="K1089"/>
    </row>
    <row r="1090" spans="11:11" ht="15" x14ac:dyDescent="0.25">
      <c r="K1090"/>
    </row>
    <row r="1091" spans="11:11" ht="15" x14ac:dyDescent="0.25">
      <c r="K1091"/>
    </row>
    <row r="1092" spans="11:11" ht="15" x14ac:dyDescent="0.25">
      <c r="K1092"/>
    </row>
    <row r="1093" spans="11:11" ht="15" x14ac:dyDescent="0.25">
      <c r="K1093"/>
    </row>
    <row r="1094" spans="11:11" ht="15" x14ac:dyDescent="0.25">
      <c r="K1094"/>
    </row>
    <row r="1095" spans="11:11" ht="15" x14ac:dyDescent="0.25">
      <c r="K1095"/>
    </row>
    <row r="1096" spans="11:11" ht="15" x14ac:dyDescent="0.25">
      <c r="K1096"/>
    </row>
    <row r="1097" spans="11:11" ht="15" x14ac:dyDescent="0.25">
      <c r="K1097"/>
    </row>
    <row r="1098" spans="11:11" ht="15" x14ac:dyDescent="0.25">
      <c r="K1098"/>
    </row>
    <row r="1099" spans="11:11" ht="15" x14ac:dyDescent="0.25">
      <c r="K1099"/>
    </row>
    <row r="1100" spans="11:11" ht="15" x14ac:dyDescent="0.25">
      <c r="K1100"/>
    </row>
    <row r="1101" spans="11:11" ht="15" x14ac:dyDescent="0.25">
      <c r="K1101"/>
    </row>
    <row r="1102" spans="11:11" ht="15" x14ac:dyDescent="0.25">
      <c r="K1102"/>
    </row>
    <row r="1103" spans="11:11" ht="15" x14ac:dyDescent="0.25">
      <c r="K1103"/>
    </row>
    <row r="1104" spans="11:11" ht="15" x14ac:dyDescent="0.25">
      <c r="K1104"/>
    </row>
    <row r="1105" spans="11:11" ht="15" x14ac:dyDescent="0.25">
      <c r="K1105"/>
    </row>
    <row r="1106" spans="11:11" ht="15" x14ac:dyDescent="0.25">
      <c r="K1106"/>
    </row>
    <row r="1107" spans="11:11" ht="15" x14ac:dyDescent="0.25">
      <c r="K1107"/>
    </row>
    <row r="1108" spans="11:11" ht="15" x14ac:dyDescent="0.25">
      <c r="K1108"/>
    </row>
    <row r="1109" spans="11:11" ht="15" x14ac:dyDescent="0.25">
      <c r="K1109"/>
    </row>
    <row r="1110" spans="11:11" ht="15" x14ac:dyDescent="0.25">
      <c r="K1110"/>
    </row>
    <row r="1111" spans="11:11" ht="15" x14ac:dyDescent="0.25">
      <c r="K1111"/>
    </row>
    <row r="1112" spans="11:11" ht="15" x14ac:dyDescent="0.25">
      <c r="K1112"/>
    </row>
    <row r="1113" spans="11:11" ht="15" x14ac:dyDescent="0.25">
      <c r="K1113"/>
    </row>
    <row r="1114" spans="11:11" ht="15" x14ac:dyDescent="0.25">
      <c r="K1114"/>
    </row>
    <row r="1115" spans="11:11" ht="15" x14ac:dyDescent="0.25">
      <c r="K1115"/>
    </row>
    <row r="1116" spans="11:11" ht="15" x14ac:dyDescent="0.25">
      <c r="K1116"/>
    </row>
    <row r="1117" spans="11:11" ht="15" x14ac:dyDescent="0.25">
      <c r="K1117"/>
    </row>
    <row r="1118" spans="11:11" ht="15" x14ac:dyDescent="0.25">
      <c r="K1118"/>
    </row>
    <row r="1119" spans="11:11" ht="15" x14ac:dyDescent="0.25">
      <c r="K1119"/>
    </row>
    <row r="1120" spans="11:11" ht="15" x14ac:dyDescent="0.25">
      <c r="K1120"/>
    </row>
    <row r="1121" spans="11:11" ht="15" x14ac:dyDescent="0.25">
      <c r="K1121"/>
    </row>
    <row r="1122" spans="11:11" ht="15" x14ac:dyDescent="0.25">
      <c r="K1122"/>
    </row>
    <row r="1123" spans="11:11" ht="15" x14ac:dyDescent="0.25">
      <c r="K1123"/>
    </row>
    <row r="1124" spans="11:11" ht="15" x14ac:dyDescent="0.25">
      <c r="K1124"/>
    </row>
    <row r="1125" spans="11:11" ht="15" x14ac:dyDescent="0.25">
      <c r="K1125"/>
    </row>
    <row r="1126" spans="11:11" ht="15" x14ac:dyDescent="0.25">
      <c r="K1126"/>
    </row>
    <row r="1127" spans="11:11" ht="15" x14ac:dyDescent="0.25">
      <c r="K1127"/>
    </row>
    <row r="1128" spans="11:11" ht="15" x14ac:dyDescent="0.25">
      <c r="K1128"/>
    </row>
    <row r="1129" spans="11:11" ht="15" x14ac:dyDescent="0.25">
      <c r="K1129"/>
    </row>
    <row r="1130" spans="11:11" ht="15" x14ac:dyDescent="0.25">
      <c r="K1130"/>
    </row>
    <row r="1131" spans="11:11" ht="15" x14ac:dyDescent="0.25">
      <c r="K1131"/>
    </row>
    <row r="1132" spans="11:11" ht="15" x14ac:dyDescent="0.25">
      <c r="K1132"/>
    </row>
    <row r="1133" spans="11:11" ht="15" x14ac:dyDescent="0.25">
      <c r="K1133"/>
    </row>
    <row r="1134" spans="11:11" ht="15" x14ac:dyDescent="0.25">
      <c r="K1134"/>
    </row>
    <row r="1135" spans="11:11" ht="15" x14ac:dyDescent="0.25">
      <c r="K1135"/>
    </row>
    <row r="1136" spans="11:11" ht="15" x14ac:dyDescent="0.25">
      <c r="K1136"/>
    </row>
    <row r="1137" spans="11:11" ht="15" x14ac:dyDescent="0.25">
      <c r="K1137"/>
    </row>
    <row r="1138" spans="11:11" ht="15" x14ac:dyDescent="0.25">
      <c r="K1138"/>
    </row>
    <row r="1139" spans="11:11" ht="15" x14ac:dyDescent="0.25">
      <c r="K1139"/>
    </row>
    <row r="1140" spans="11:11" ht="15" x14ac:dyDescent="0.25">
      <c r="K1140"/>
    </row>
    <row r="1141" spans="11:11" ht="15" x14ac:dyDescent="0.25">
      <c r="K1141"/>
    </row>
    <row r="1142" spans="11:11" ht="15" x14ac:dyDescent="0.25">
      <c r="K1142"/>
    </row>
    <row r="1143" spans="11:11" ht="15" x14ac:dyDescent="0.25">
      <c r="K1143"/>
    </row>
    <row r="1144" spans="11:11" ht="15" x14ac:dyDescent="0.25">
      <c r="K1144"/>
    </row>
    <row r="1145" spans="11:11" ht="15" x14ac:dyDescent="0.25">
      <c r="K1145"/>
    </row>
    <row r="1146" spans="11:11" ht="15" x14ac:dyDescent="0.25">
      <c r="K1146"/>
    </row>
    <row r="1147" spans="11:11" ht="15" x14ac:dyDescent="0.25">
      <c r="K1147"/>
    </row>
    <row r="1148" spans="11:11" ht="15" x14ac:dyDescent="0.25">
      <c r="K1148"/>
    </row>
    <row r="1149" spans="11:11" ht="15" x14ac:dyDescent="0.25">
      <c r="K1149"/>
    </row>
    <row r="1150" spans="11:11" ht="15" x14ac:dyDescent="0.25">
      <c r="K1150"/>
    </row>
    <row r="1151" spans="11:11" ht="15" x14ac:dyDescent="0.25">
      <c r="K1151"/>
    </row>
    <row r="1152" spans="11:11" ht="15" x14ac:dyDescent="0.25">
      <c r="K1152"/>
    </row>
    <row r="1153" spans="11:11" ht="15" x14ac:dyDescent="0.25">
      <c r="K1153"/>
    </row>
    <row r="1154" spans="11:11" ht="15" x14ac:dyDescent="0.25">
      <c r="K1154"/>
    </row>
    <row r="1155" spans="11:11" ht="15" x14ac:dyDescent="0.25">
      <c r="K1155"/>
    </row>
    <row r="1156" spans="11:11" ht="15" x14ac:dyDescent="0.25">
      <c r="K1156"/>
    </row>
    <row r="1157" spans="11:11" ht="15" x14ac:dyDescent="0.25">
      <c r="K1157"/>
    </row>
    <row r="1158" spans="11:11" ht="15" x14ac:dyDescent="0.25">
      <c r="K1158"/>
    </row>
    <row r="1159" spans="11:11" ht="15" x14ac:dyDescent="0.25">
      <c r="K1159"/>
    </row>
    <row r="1160" spans="11:11" ht="15" x14ac:dyDescent="0.25">
      <c r="K1160"/>
    </row>
    <row r="1161" spans="11:11" ht="15" x14ac:dyDescent="0.25">
      <c r="K1161"/>
    </row>
    <row r="1162" spans="11:11" ht="15" x14ac:dyDescent="0.25">
      <c r="K1162"/>
    </row>
    <row r="1163" spans="11:11" ht="15" x14ac:dyDescent="0.25">
      <c r="K1163"/>
    </row>
    <row r="1164" spans="11:11" ht="15" x14ac:dyDescent="0.25">
      <c r="K1164"/>
    </row>
    <row r="1165" spans="11:11" ht="15" x14ac:dyDescent="0.25">
      <c r="K1165"/>
    </row>
    <row r="1166" spans="11:11" ht="15" x14ac:dyDescent="0.25">
      <c r="K1166"/>
    </row>
    <row r="1167" spans="11:11" ht="15" x14ac:dyDescent="0.25">
      <c r="K1167"/>
    </row>
    <row r="1168" spans="11:11" ht="15" x14ac:dyDescent="0.25">
      <c r="K1168"/>
    </row>
    <row r="1169" spans="11:11" ht="15" x14ac:dyDescent="0.25">
      <c r="K1169"/>
    </row>
    <row r="1170" spans="11:11" ht="15" x14ac:dyDescent="0.25">
      <c r="K1170"/>
    </row>
    <row r="1171" spans="11:11" ht="15" x14ac:dyDescent="0.25">
      <c r="K1171"/>
    </row>
    <row r="1172" spans="11:11" ht="15" x14ac:dyDescent="0.25">
      <c r="K1172"/>
    </row>
    <row r="1173" spans="11:11" ht="15" x14ac:dyDescent="0.25">
      <c r="K1173"/>
    </row>
    <row r="1174" spans="11:11" ht="15" x14ac:dyDescent="0.25">
      <c r="K1174"/>
    </row>
    <row r="1175" spans="11:11" ht="15" x14ac:dyDescent="0.25">
      <c r="K1175"/>
    </row>
    <row r="1176" spans="11:11" ht="15" x14ac:dyDescent="0.25">
      <c r="K1176"/>
    </row>
    <row r="1177" spans="11:11" ht="15" x14ac:dyDescent="0.25">
      <c r="K1177"/>
    </row>
    <row r="1178" spans="11:11" ht="15" x14ac:dyDescent="0.25">
      <c r="K1178"/>
    </row>
    <row r="1179" spans="11:11" ht="15" x14ac:dyDescent="0.25">
      <c r="K1179"/>
    </row>
    <row r="1180" spans="11:11" ht="15" x14ac:dyDescent="0.25">
      <c r="K1180"/>
    </row>
    <row r="1181" spans="11:11" ht="15" x14ac:dyDescent="0.25">
      <c r="K1181"/>
    </row>
    <row r="1182" spans="11:11" ht="15" x14ac:dyDescent="0.25">
      <c r="K1182"/>
    </row>
    <row r="1183" spans="11:11" ht="15" x14ac:dyDescent="0.25">
      <c r="K1183"/>
    </row>
    <row r="1184" spans="11:11" ht="15" x14ac:dyDescent="0.25">
      <c r="K1184"/>
    </row>
    <row r="1185" spans="11:11" ht="15" x14ac:dyDescent="0.25">
      <c r="K1185"/>
    </row>
    <row r="1186" spans="11:11" ht="15" x14ac:dyDescent="0.25">
      <c r="K1186"/>
    </row>
    <row r="1187" spans="11:11" ht="15" x14ac:dyDescent="0.25">
      <c r="K1187"/>
    </row>
    <row r="1188" spans="11:11" ht="15" x14ac:dyDescent="0.25">
      <c r="K1188"/>
    </row>
    <row r="1189" spans="11:11" ht="15" x14ac:dyDescent="0.25">
      <c r="K1189"/>
    </row>
    <row r="1190" spans="11:11" ht="15" x14ac:dyDescent="0.25">
      <c r="K1190"/>
    </row>
    <row r="1191" spans="11:11" ht="15" x14ac:dyDescent="0.25">
      <c r="K1191"/>
    </row>
    <row r="1192" spans="11:11" ht="15" x14ac:dyDescent="0.25">
      <c r="K1192"/>
    </row>
    <row r="1193" spans="11:11" ht="15" x14ac:dyDescent="0.25">
      <c r="K1193"/>
    </row>
    <row r="1194" spans="11:11" ht="15" x14ac:dyDescent="0.25">
      <c r="K1194"/>
    </row>
    <row r="1195" spans="11:11" ht="15" x14ac:dyDescent="0.25">
      <c r="K1195"/>
    </row>
    <row r="1196" spans="11:11" ht="15" x14ac:dyDescent="0.25">
      <c r="K1196"/>
    </row>
    <row r="1197" spans="11:11" ht="15" x14ac:dyDescent="0.25">
      <c r="K1197"/>
    </row>
    <row r="1198" spans="11:11" ht="15" x14ac:dyDescent="0.25">
      <c r="K1198"/>
    </row>
    <row r="1199" spans="11:11" ht="15" x14ac:dyDescent="0.25">
      <c r="K1199"/>
    </row>
    <row r="1200" spans="11:11" ht="15" x14ac:dyDescent="0.25">
      <c r="K1200"/>
    </row>
    <row r="1201" spans="11:11" ht="15" x14ac:dyDescent="0.25">
      <c r="K1201"/>
    </row>
    <row r="1202" spans="11:11" ht="15" x14ac:dyDescent="0.25">
      <c r="K1202"/>
    </row>
    <row r="1203" spans="11:11" ht="15" x14ac:dyDescent="0.25">
      <c r="K1203"/>
    </row>
    <row r="1204" spans="11:11" ht="15" x14ac:dyDescent="0.25">
      <c r="K1204"/>
    </row>
    <row r="1205" spans="11:11" ht="15" x14ac:dyDescent="0.25">
      <c r="K1205"/>
    </row>
    <row r="1206" spans="11:11" ht="15" x14ac:dyDescent="0.25">
      <c r="K1206"/>
    </row>
    <row r="1207" spans="11:11" ht="15" x14ac:dyDescent="0.25">
      <c r="K1207"/>
    </row>
    <row r="1208" spans="11:11" ht="15" x14ac:dyDescent="0.25">
      <c r="K1208"/>
    </row>
    <row r="1209" spans="11:11" ht="15" x14ac:dyDescent="0.25">
      <c r="K1209"/>
    </row>
    <row r="1210" spans="11:11" ht="15" x14ac:dyDescent="0.25">
      <c r="K1210"/>
    </row>
    <row r="1211" spans="11:11" ht="15" x14ac:dyDescent="0.25">
      <c r="K1211"/>
    </row>
    <row r="1212" spans="11:11" ht="15" x14ac:dyDescent="0.25">
      <c r="K1212"/>
    </row>
    <row r="1213" spans="11:11" ht="15" x14ac:dyDescent="0.25">
      <c r="K1213"/>
    </row>
    <row r="1214" spans="11:11" ht="15" x14ac:dyDescent="0.25">
      <c r="K1214"/>
    </row>
    <row r="1215" spans="11:11" ht="15" x14ac:dyDescent="0.25">
      <c r="K1215"/>
    </row>
    <row r="1216" spans="11:11" ht="15" x14ac:dyDescent="0.25">
      <c r="K1216"/>
    </row>
    <row r="1217" spans="11:11" ht="15" x14ac:dyDescent="0.25">
      <c r="K1217"/>
    </row>
    <row r="1218" spans="11:11" ht="15" x14ac:dyDescent="0.25">
      <c r="K1218"/>
    </row>
    <row r="1219" spans="11:11" ht="15" x14ac:dyDescent="0.25">
      <c r="K1219"/>
    </row>
    <row r="1220" spans="11:11" ht="15" x14ac:dyDescent="0.25">
      <c r="K1220"/>
    </row>
    <row r="1221" spans="11:11" ht="15" x14ac:dyDescent="0.25">
      <c r="K1221"/>
    </row>
    <row r="1222" spans="11:11" ht="15" x14ac:dyDescent="0.25">
      <c r="K1222"/>
    </row>
    <row r="1223" spans="11:11" ht="15" x14ac:dyDescent="0.25">
      <c r="K1223"/>
    </row>
    <row r="1224" spans="11:11" ht="15" x14ac:dyDescent="0.25">
      <c r="K1224"/>
    </row>
    <row r="1225" spans="11:11" ht="15" x14ac:dyDescent="0.25">
      <c r="K1225"/>
    </row>
    <row r="1226" spans="11:11" ht="15" x14ac:dyDescent="0.25">
      <c r="K1226"/>
    </row>
    <row r="1227" spans="11:11" ht="15" x14ac:dyDescent="0.25">
      <c r="K1227"/>
    </row>
    <row r="1228" spans="11:11" ht="15" x14ac:dyDescent="0.25">
      <c r="K1228"/>
    </row>
    <row r="1229" spans="11:11" ht="15" x14ac:dyDescent="0.25">
      <c r="K1229"/>
    </row>
    <row r="1230" spans="11:11" ht="15" x14ac:dyDescent="0.25">
      <c r="K1230"/>
    </row>
    <row r="1231" spans="11:11" ht="15" x14ac:dyDescent="0.25">
      <c r="K1231"/>
    </row>
    <row r="1232" spans="11:11" ht="15" x14ac:dyDescent="0.25">
      <c r="K1232"/>
    </row>
    <row r="1233" spans="11:11" ht="15" x14ac:dyDescent="0.25">
      <c r="K1233"/>
    </row>
    <row r="1234" spans="11:11" ht="15" x14ac:dyDescent="0.25">
      <c r="K1234"/>
    </row>
    <row r="1235" spans="11:11" ht="15" x14ac:dyDescent="0.25">
      <c r="K1235"/>
    </row>
    <row r="1236" spans="11:11" ht="15" x14ac:dyDescent="0.25">
      <c r="K1236"/>
    </row>
    <row r="1237" spans="11:11" ht="15" x14ac:dyDescent="0.25">
      <c r="K1237"/>
    </row>
    <row r="1238" spans="11:11" ht="15" x14ac:dyDescent="0.25">
      <c r="K1238"/>
    </row>
    <row r="1239" spans="11:11" ht="15" x14ac:dyDescent="0.25">
      <c r="K1239"/>
    </row>
    <row r="1240" spans="11:11" ht="15" x14ac:dyDescent="0.25">
      <c r="K1240"/>
    </row>
    <row r="1241" spans="11:11" ht="15" x14ac:dyDescent="0.25">
      <c r="K1241"/>
    </row>
    <row r="1242" spans="11:11" ht="15" x14ac:dyDescent="0.25">
      <c r="K1242"/>
    </row>
    <row r="1243" spans="11:11" ht="15" x14ac:dyDescent="0.25">
      <c r="K1243"/>
    </row>
    <row r="1244" spans="11:11" ht="15" x14ac:dyDescent="0.25">
      <c r="K1244"/>
    </row>
    <row r="1245" spans="11:11" ht="15" x14ac:dyDescent="0.25">
      <c r="K1245"/>
    </row>
    <row r="1246" spans="11:11" ht="15" x14ac:dyDescent="0.25">
      <c r="K1246"/>
    </row>
    <row r="1247" spans="11:11" ht="15" x14ac:dyDescent="0.25">
      <c r="K1247"/>
    </row>
    <row r="1248" spans="11:11" ht="15" x14ac:dyDescent="0.25">
      <c r="K1248"/>
    </row>
    <row r="1249" spans="11:11" ht="15" x14ac:dyDescent="0.25">
      <c r="K1249"/>
    </row>
    <row r="1250" spans="11:11" ht="15" x14ac:dyDescent="0.25">
      <c r="K1250"/>
    </row>
    <row r="1251" spans="11:11" ht="15" x14ac:dyDescent="0.25">
      <c r="K1251"/>
    </row>
    <row r="1252" spans="11:11" ht="15" x14ac:dyDescent="0.25">
      <c r="K1252"/>
    </row>
    <row r="1253" spans="11:11" ht="15" x14ac:dyDescent="0.25">
      <c r="K1253"/>
    </row>
    <row r="1254" spans="11:11" ht="15" x14ac:dyDescent="0.25">
      <c r="K1254"/>
    </row>
    <row r="1255" spans="11:11" ht="15" x14ac:dyDescent="0.25">
      <c r="K1255"/>
    </row>
    <row r="1256" spans="11:11" ht="15" x14ac:dyDescent="0.25">
      <c r="K1256"/>
    </row>
    <row r="1257" spans="11:11" ht="15" x14ac:dyDescent="0.25">
      <c r="K1257"/>
    </row>
    <row r="1258" spans="11:11" ht="15" x14ac:dyDescent="0.25">
      <c r="K1258"/>
    </row>
    <row r="1259" spans="11:11" ht="15" x14ac:dyDescent="0.25">
      <c r="K1259"/>
    </row>
    <row r="1260" spans="11:11" ht="15" x14ac:dyDescent="0.25">
      <c r="K1260"/>
    </row>
    <row r="1261" spans="11:11" ht="15" x14ac:dyDescent="0.25">
      <c r="K1261"/>
    </row>
    <row r="1262" spans="11:11" ht="15" x14ac:dyDescent="0.25">
      <c r="K1262"/>
    </row>
    <row r="1263" spans="11:11" ht="15" x14ac:dyDescent="0.25">
      <c r="K1263"/>
    </row>
    <row r="1264" spans="11:11" ht="15" x14ac:dyDescent="0.25">
      <c r="K1264"/>
    </row>
    <row r="1265" spans="11:11" ht="15" x14ac:dyDescent="0.25">
      <c r="K1265"/>
    </row>
    <row r="1266" spans="11:11" ht="15" x14ac:dyDescent="0.25">
      <c r="K1266"/>
    </row>
    <row r="1267" spans="11:11" ht="15" x14ac:dyDescent="0.25">
      <c r="K1267"/>
    </row>
    <row r="1268" spans="11:11" ht="15" x14ac:dyDescent="0.25">
      <c r="K1268"/>
    </row>
    <row r="1269" spans="11:11" ht="15" x14ac:dyDescent="0.25">
      <c r="K1269"/>
    </row>
    <row r="1270" spans="11:11" ht="15" x14ac:dyDescent="0.25">
      <c r="K1270"/>
    </row>
    <row r="1271" spans="11:11" ht="15" x14ac:dyDescent="0.25">
      <c r="K1271"/>
    </row>
    <row r="1272" spans="11:11" ht="15" x14ac:dyDescent="0.25">
      <c r="K1272"/>
    </row>
    <row r="1273" spans="11:11" ht="15" x14ac:dyDescent="0.25">
      <c r="K1273"/>
    </row>
    <row r="1274" spans="11:11" ht="15" x14ac:dyDescent="0.25">
      <c r="K1274"/>
    </row>
    <row r="1275" spans="11:11" ht="15" x14ac:dyDescent="0.25">
      <c r="K1275"/>
    </row>
    <row r="1276" spans="11:11" ht="15" x14ac:dyDescent="0.25">
      <c r="K1276"/>
    </row>
    <row r="1277" spans="11:11" ht="15" x14ac:dyDescent="0.25">
      <c r="K1277"/>
    </row>
    <row r="1278" spans="11:11" ht="15" x14ac:dyDescent="0.25">
      <c r="K1278"/>
    </row>
    <row r="1279" spans="11:11" ht="15" x14ac:dyDescent="0.25">
      <c r="K1279"/>
    </row>
    <row r="1280" spans="11:11" ht="15" x14ac:dyDescent="0.25">
      <c r="K1280"/>
    </row>
    <row r="1281" spans="11:11" ht="15" x14ac:dyDescent="0.25">
      <c r="K1281"/>
    </row>
    <row r="1282" spans="11:11" ht="15" x14ac:dyDescent="0.25">
      <c r="K1282"/>
    </row>
    <row r="1283" spans="11:11" ht="15" x14ac:dyDescent="0.25">
      <c r="K1283"/>
    </row>
    <row r="1284" spans="11:11" ht="15" x14ac:dyDescent="0.25">
      <c r="K1284"/>
    </row>
    <row r="1285" spans="11:11" ht="15" x14ac:dyDescent="0.25">
      <c r="K1285"/>
    </row>
    <row r="1286" spans="11:11" ht="15" x14ac:dyDescent="0.25">
      <c r="K1286"/>
    </row>
    <row r="1287" spans="11:11" ht="15" x14ac:dyDescent="0.25">
      <c r="K1287"/>
    </row>
    <row r="1288" spans="11:11" ht="15" x14ac:dyDescent="0.25">
      <c r="K1288"/>
    </row>
    <row r="1289" spans="11:11" ht="15" x14ac:dyDescent="0.25">
      <c r="K1289"/>
    </row>
    <row r="1290" spans="11:11" ht="15" x14ac:dyDescent="0.25">
      <c r="K1290"/>
    </row>
    <row r="1291" spans="11:11" ht="15" x14ac:dyDescent="0.25">
      <c r="K1291"/>
    </row>
    <row r="1292" spans="11:11" ht="15" x14ac:dyDescent="0.25">
      <c r="K1292"/>
    </row>
    <row r="1293" spans="11:11" ht="15" x14ac:dyDescent="0.25">
      <c r="K1293"/>
    </row>
    <row r="1294" spans="11:11" ht="15" x14ac:dyDescent="0.25">
      <c r="K1294"/>
    </row>
    <row r="1295" spans="11:11" ht="15" x14ac:dyDescent="0.25">
      <c r="K1295"/>
    </row>
    <row r="1296" spans="11:11" ht="15" x14ac:dyDescent="0.25">
      <c r="K1296"/>
    </row>
    <row r="1297" spans="11:11" ht="15" x14ac:dyDescent="0.25">
      <c r="K1297"/>
    </row>
    <row r="1298" spans="11:11" ht="15" x14ac:dyDescent="0.25">
      <c r="K1298"/>
    </row>
    <row r="1299" spans="11:11" ht="15" x14ac:dyDescent="0.25">
      <c r="K1299"/>
    </row>
    <row r="1300" spans="11:11" ht="15" x14ac:dyDescent="0.25">
      <c r="K1300"/>
    </row>
    <row r="1301" spans="11:11" ht="15" x14ac:dyDescent="0.25">
      <c r="K1301"/>
    </row>
    <row r="1302" spans="11:11" ht="15" x14ac:dyDescent="0.25">
      <c r="K1302"/>
    </row>
    <row r="1303" spans="11:11" ht="15" x14ac:dyDescent="0.25">
      <c r="K1303"/>
    </row>
    <row r="1304" spans="11:11" ht="15" x14ac:dyDescent="0.25">
      <c r="K1304"/>
    </row>
    <row r="1305" spans="11:11" ht="15" x14ac:dyDescent="0.25">
      <c r="K1305"/>
    </row>
    <row r="1306" spans="11:11" ht="15" x14ac:dyDescent="0.25">
      <c r="K1306"/>
    </row>
    <row r="1307" spans="11:11" ht="15" x14ac:dyDescent="0.25">
      <c r="K1307"/>
    </row>
    <row r="1308" spans="11:11" ht="15" x14ac:dyDescent="0.25">
      <c r="K1308"/>
    </row>
    <row r="1309" spans="11:11" ht="15" x14ac:dyDescent="0.25">
      <c r="K1309"/>
    </row>
    <row r="1310" spans="11:11" ht="15" x14ac:dyDescent="0.25">
      <c r="K1310"/>
    </row>
    <row r="1311" spans="11:11" ht="15" x14ac:dyDescent="0.25">
      <c r="K1311"/>
    </row>
    <row r="1312" spans="11:11" ht="15" x14ac:dyDescent="0.25">
      <c r="K1312"/>
    </row>
    <row r="1313" spans="11:11" ht="15" x14ac:dyDescent="0.25">
      <c r="K1313"/>
    </row>
    <row r="1314" spans="11:11" ht="15" x14ac:dyDescent="0.25">
      <c r="K1314"/>
    </row>
    <row r="1315" spans="11:11" ht="15" x14ac:dyDescent="0.25">
      <c r="K1315"/>
    </row>
    <row r="1316" spans="11:11" ht="15" x14ac:dyDescent="0.25">
      <c r="K1316"/>
    </row>
    <row r="1317" spans="11:11" ht="15" x14ac:dyDescent="0.25">
      <c r="K1317"/>
    </row>
    <row r="1318" spans="11:11" ht="15" x14ac:dyDescent="0.25">
      <c r="K1318"/>
    </row>
    <row r="1319" spans="11:11" ht="15" x14ac:dyDescent="0.25">
      <c r="K1319"/>
    </row>
    <row r="1320" spans="11:11" ht="15" x14ac:dyDescent="0.25">
      <c r="K1320"/>
    </row>
    <row r="1321" spans="11:11" ht="15" x14ac:dyDescent="0.25">
      <c r="K1321"/>
    </row>
    <row r="1322" spans="11:11" ht="15" x14ac:dyDescent="0.25">
      <c r="K1322"/>
    </row>
    <row r="1323" spans="11:11" ht="15" x14ac:dyDescent="0.25">
      <c r="K1323"/>
    </row>
    <row r="1324" spans="11:11" ht="15" x14ac:dyDescent="0.25">
      <c r="K1324"/>
    </row>
    <row r="1325" spans="11:11" ht="15" x14ac:dyDescent="0.25">
      <c r="K1325"/>
    </row>
    <row r="1326" spans="11:11" ht="15" x14ac:dyDescent="0.25">
      <c r="K1326"/>
    </row>
    <row r="1327" spans="11:11" ht="15" x14ac:dyDescent="0.25">
      <c r="K1327"/>
    </row>
    <row r="1328" spans="11:11" ht="15" x14ac:dyDescent="0.25">
      <c r="K1328"/>
    </row>
    <row r="1329" spans="11:11" ht="15" x14ac:dyDescent="0.25">
      <c r="K1329"/>
    </row>
    <row r="1330" spans="11:11" ht="15" x14ac:dyDescent="0.25">
      <c r="K1330"/>
    </row>
    <row r="1331" spans="11:11" ht="15" x14ac:dyDescent="0.25">
      <c r="K1331"/>
    </row>
    <row r="1332" spans="11:11" ht="15" x14ac:dyDescent="0.25">
      <c r="K1332"/>
    </row>
    <row r="1333" spans="11:11" ht="15" x14ac:dyDescent="0.25">
      <c r="K1333"/>
    </row>
    <row r="1334" spans="11:11" ht="15" x14ac:dyDescent="0.25">
      <c r="K1334"/>
    </row>
    <row r="1335" spans="11:11" ht="15" x14ac:dyDescent="0.25">
      <c r="K1335"/>
    </row>
    <row r="1336" spans="11:11" ht="15" x14ac:dyDescent="0.25">
      <c r="K1336"/>
    </row>
    <row r="1337" spans="11:11" ht="15" x14ac:dyDescent="0.25">
      <c r="K1337"/>
    </row>
    <row r="1338" spans="11:11" ht="15" x14ac:dyDescent="0.25">
      <c r="K1338"/>
    </row>
    <row r="1339" spans="11:11" ht="15" x14ac:dyDescent="0.25">
      <c r="K1339"/>
    </row>
    <row r="1340" spans="11:11" ht="15" x14ac:dyDescent="0.25">
      <c r="K1340"/>
    </row>
    <row r="1341" spans="11:11" ht="15" x14ac:dyDescent="0.25">
      <c r="K1341"/>
    </row>
    <row r="1342" spans="11:11" ht="15" x14ac:dyDescent="0.25">
      <c r="K1342"/>
    </row>
    <row r="1343" spans="11:11" ht="15" x14ac:dyDescent="0.25">
      <c r="K1343"/>
    </row>
    <row r="1344" spans="11:11" ht="15" x14ac:dyDescent="0.25">
      <c r="K1344"/>
    </row>
    <row r="1345" spans="11:11" ht="15" x14ac:dyDescent="0.25">
      <c r="K1345"/>
    </row>
    <row r="1346" spans="11:11" ht="15" x14ac:dyDescent="0.25">
      <c r="K1346"/>
    </row>
    <row r="1347" spans="11:11" ht="15" x14ac:dyDescent="0.25">
      <c r="K1347"/>
    </row>
    <row r="1348" spans="11:11" ht="15" x14ac:dyDescent="0.25">
      <c r="K1348"/>
    </row>
    <row r="1349" spans="11:11" ht="15" x14ac:dyDescent="0.25">
      <c r="K1349"/>
    </row>
    <row r="1350" spans="11:11" ht="15" x14ac:dyDescent="0.25">
      <c r="K1350"/>
    </row>
    <row r="1351" spans="11:11" ht="15" x14ac:dyDescent="0.25">
      <c r="K1351"/>
    </row>
    <row r="1352" spans="11:11" ht="15" x14ac:dyDescent="0.25">
      <c r="K1352"/>
    </row>
    <row r="1353" spans="11:11" ht="15" x14ac:dyDescent="0.25">
      <c r="K1353"/>
    </row>
    <row r="1354" spans="11:11" ht="15" x14ac:dyDescent="0.25">
      <c r="K1354"/>
    </row>
    <row r="1355" spans="11:11" ht="15" x14ac:dyDescent="0.25">
      <c r="K1355"/>
    </row>
    <row r="1356" spans="11:11" ht="15" x14ac:dyDescent="0.25">
      <c r="K1356"/>
    </row>
    <row r="1357" spans="11:11" ht="15" x14ac:dyDescent="0.25">
      <c r="K1357"/>
    </row>
    <row r="1358" spans="11:11" ht="15" x14ac:dyDescent="0.25">
      <c r="K1358"/>
    </row>
    <row r="1359" spans="11:11" ht="15" x14ac:dyDescent="0.25">
      <c r="K1359"/>
    </row>
    <row r="1360" spans="11:11" ht="15" x14ac:dyDescent="0.25">
      <c r="K1360"/>
    </row>
    <row r="1361" spans="11:11" ht="15" x14ac:dyDescent="0.25">
      <c r="K1361"/>
    </row>
    <row r="1362" spans="11:11" ht="15" x14ac:dyDescent="0.25">
      <c r="K1362"/>
    </row>
    <row r="1363" spans="11:11" ht="15" x14ac:dyDescent="0.25">
      <c r="K1363"/>
    </row>
    <row r="1364" spans="11:11" ht="15" x14ac:dyDescent="0.25">
      <c r="K1364"/>
    </row>
    <row r="1365" spans="11:11" ht="15" x14ac:dyDescent="0.25">
      <c r="K1365"/>
    </row>
    <row r="1366" spans="11:11" ht="15" x14ac:dyDescent="0.25">
      <c r="K1366"/>
    </row>
    <row r="1367" spans="11:11" ht="15" x14ac:dyDescent="0.25">
      <c r="K1367"/>
    </row>
    <row r="1368" spans="11:11" ht="15" x14ac:dyDescent="0.25">
      <c r="K1368"/>
    </row>
    <row r="1369" spans="11:11" ht="15" x14ac:dyDescent="0.25">
      <c r="K1369"/>
    </row>
    <row r="1370" spans="11:11" ht="15" x14ac:dyDescent="0.25">
      <c r="K1370"/>
    </row>
    <row r="1371" spans="11:11" ht="15" x14ac:dyDescent="0.25">
      <c r="K1371"/>
    </row>
    <row r="1372" spans="11:11" ht="15" x14ac:dyDescent="0.25">
      <c r="K1372"/>
    </row>
    <row r="1373" spans="11:11" ht="15" x14ac:dyDescent="0.25">
      <c r="K1373"/>
    </row>
    <row r="1374" spans="11:11" ht="15" x14ac:dyDescent="0.25">
      <c r="K1374"/>
    </row>
    <row r="1375" spans="11:11" ht="15" x14ac:dyDescent="0.25">
      <c r="K1375"/>
    </row>
    <row r="1376" spans="11:11" ht="15" x14ac:dyDescent="0.25">
      <c r="K1376"/>
    </row>
    <row r="1377" spans="11:11" ht="15" x14ac:dyDescent="0.25">
      <c r="K1377"/>
    </row>
    <row r="1378" spans="11:11" ht="15" x14ac:dyDescent="0.25">
      <c r="K1378"/>
    </row>
    <row r="1379" spans="11:11" ht="15" x14ac:dyDescent="0.25">
      <c r="K1379"/>
    </row>
    <row r="1380" spans="11:11" ht="15" x14ac:dyDescent="0.25">
      <c r="K1380"/>
    </row>
    <row r="1381" spans="11:11" ht="15" x14ac:dyDescent="0.25">
      <c r="K1381"/>
    </row>
    <row r="1382" spans="11:11" ht="15" x14ac:dyDescent="0.25">
      <c r="K1382"/>
    </row>
    <row r="1383" spans="11:11" ht="15" x14ac:dyDescent="0.25">
      <c r="K1383"/>
    </row>
    <row r="1384" spans="11:11" ht="15" x14ac:dyDescent="0.25">
      <c r="K1384"/>
    </row>
    <row r="1385" spans="11:11" ht="15" x14ac:dyDescent="0.25">
      <c r="K1385"/>
    </row>
    <row r="1386" spans="11:11" ht="15" x14ac:dyDescent="0.25">
      <c r="K1386"/>
    </row>
    <row r="1387" spans="11:11" ht="15" x14ac:dyDescent="0.25">
      <c r="K1387"/>
    </row>
    <row r="1388" spans="11:11" ht="15" x14ac:dyDescent="0.25">
      <c r="K1388"/>
    </row>
    <row r="1389" spans="11:11" ht="15" x14ac:dyDescent="0.25">
      <c r="K1389"/>
    </row>
    <row r="1390" spans="11:11" ht="15" x14ac:dyDescent="0.25">
      <c r="K1390"/>
    </row>
    <row r="1391" spans="11:11" ht="15" x14ac:dyDescent="0.25">
      <c r="K1391"/>
    </row>
    <row r="1392" spans="11:11" ht="15" x14ac:dyDescent="0.25">
      <c r="K1392"/>
    </row>
    <row r="1393" spans="11:11" ht="15" x14ac:dyDescent="0.25">
      <c r="K1393"/>
    </row>
    <row r="1394" spans="11:11" ht="15" x14ac:dyDescent="0.25">
      <c r="K1394"/>
    </row>
    <row r="1395" spans="11:11" ht="15" x14ac:dyDescent="0.25">
      <c r="K1395"/>
    </row>
    <row r="1396" spans="11:11" ht="15" x14ac:dyDescent="0.25">
      <c r="K1396"/>
    </row>
    <row r="1397" spans="11:11" ht="15" x14ac:dyDescent="0.25">
      <c r="K1397"/>
    </row>
    <row r="1398" spans="11:11" ht="15" x14ac:dyDescent="0.25">
      <c r="K1398"/>
    </row>
    <row r="1399" spans="11:11" ht="15" x14ac:dyDescent="0.25">
      <c r="K1399"/>
    </row>
    <row r="1400" spans="11:11" ht="15" x14ac:dyDescent="0.25">
      <c r="K1400"/>
    </row>
    <row r="1401" spans="11:11" ht="15" x14ac:dyDescent="0.25">
      <c r="K1401"/>
    </row>
    <row r="1402" spans="11:11" ht="15" x14ac:dyDescent="0.25">
      <c r="K1402"/>
    </row>
    <row r="1403" spans="11:11" ht="15" x14ac:dyDescent="0.25">
      <c r="K1403"/>
    </row>
    <row r="1404" spans="11:11" ht="15" x14ac:dyDescent="0.25">
      <c r="K1404"/>
    </row>
    <row r="1405" spans="11:11" ht="15" x14ac:dyDescent="0.25">
      <c r="K1405"/>
    </row>
    <row r="1406" spans="11:11" ht="15" x14ac:dyDescent="0.25">
      <c r="K1406"/>
    </row>
    <row r="1407" spans="11:11" ht="15" x14ac:dyDescent="0.25">
      <c r="K1407"/>
    </row>
    <row r="1408" spans="11:11" ht="15" x14ac:dyDescent="0.25">
      <c r="K1408"/>
    </row>
    <row r="1409" spans="11:11" ht="15" x14ac:dyDescent="0.25">
      <c r="K1409"/>
    </row>
    <row r="1410" spans="11:11" ht="15" x14ac:dyDescent="0.25">
      <c r="K1410"/>
    </row>
    <row r="1411" spans="11:11" ht="15" x14ac:dyDescent="0.25">
      <c r="K1411"/>
    </row>
    <row r="1412" spans="11:11" ht="15" x14ac:dyDescent="0.25">
      <c r="K1412"/>
    </row>
    <row r="1413" spans="11:11" ht="15" x14ac:dyDescent="0.25">
      <c r="K1413"/>
    </row>
    <row r="1414" spans="11:11" ht="15" x14ac:dyDescent="0.25">
      <c r="K1414"/>
    </row>
    <row r="1415" spans="11:11" ht="15" x14ac:dyDescent="0.25">
      <c r="K1415"/>
    </row>
    <row r="1416" spans="11:11" ht="15" x14ac:dyDescent="0.25">
      <c r="K1416"/>
    </row>
    <row r="1417" spans="11:11" ht="15" x14ac:dyDescent="0.25">
      <c r="K1417"/>
    </row>
    <row r="1418" spans="11:11" ht="15" x14ac:dyDescent="0.25">
      <c r="K1418"/>
    </row>
    <row r="1419" spans="11:11" ht="15" x14ac:dyDescent="0.25">
      <c r="K1419"/>
    </row>
    <row r="1420" spans="11:11" ht="15" x14ac:dyDescent="0.25">
      <c r="K1420"/>
    </row>
    <row r="1421" spans="11:11" ht="15" x14ac:dyDescent="0.25">
      <c r="K1421"/>
    </row>
    <row r="1422" spans="11:11" ht="15" x14ac:dyDescent="0.25">
      <c r="K1422"/>
    </row>
    <row r="1423" spans="11:11" ht="15" x14ac:dyDescent="0.25">
      <c r="K1423"/>
    </row>
    <row r="1424" spans="11:11" ht="15" x14ac:dyDescent="0.25">
      <c r="K1424"/>
    </row>
    <row r="1425" spans="11:11" ht="15" x14ac:dyDescent="0.25">
      <c r="K1425"/>
    </row>
    <row r="1426" spans="11:11" ht="15" x14ac:dyDescent="0.25">
      <c r="K1426"/>
    </row>
    <row r="1427" spans="11:11" ht="15" x14ac:dyDescent="0.25">
      <c r="K1427"/>
    </row>
    <row r="1428" spans="11:11" ht="15" x14ac:dyDescent="0.25">
      <c r="K1428"/>
    </row>
    <row r="1429" spans="11:11" ht="15" x14ac:dyDescent="0.25">
      <c r="K1429"/>
    </row>
    <row r="1430" spans="11:11" ht="15" x14ac:dyDescent="0.25">
      <c r="K1430"/>
    </row>
    <row r="1431" spans="11:11" ht="15" x14ac:dyDescent="0.25">
      <c r="K1431"/>
    </row>
    <row r="1432" spans="11:11" ht="15" x14ac:dyDescent="0.25">
      <c r="K1432"/>
    </row>
    <row r="1433" spans="11:11" ht="15" x14ac:dyDescent="0.25">
      <c r="K1433"/>
    </row>
    <row r="1434" spans="11:11" ht="15" x14ac:dyDescent="0.25">
      <c r="K1434"/>
    </row>
    <row r="1435" spans="11:11" ht="15" x14ac:dyDescent="0.25">
      <c r="K1435"/>
    </row>
    <row r="1436" spans="11:11" ht="15" x14ac:dyDescent="0.25">
      <c r="K1436"/>
    </row>
    <row r="1437" spans="11:11" ht="15" x14ac:dyDescent="0.25">
      <c r="K1437"/>
    </row>
    <row r="1438" spans="11:11" ht="15" x14ac:dyDescent="0.25">
      <c r="K1438"/>
    </row>
    <row r="1439" spans="11:11" ht="15" x14ac:dyDescent="0.25">
      <c r="K1439"/>
    </row>
    <row r="1440" spans="11:11" ht="15" x14ac:dyDescent="0.25">
      <c r="K1440"/>
    </row>
    <row r="1441" spans="11:11" ht="15" x14ac:dyDescent="0.25">
      <c r="K1441"/>
    </row>
    <row r="1442" spans="11:11" ht="15" x14ac:dyDescent="0.25">
      <c r="K1442"/>
    </row>
    <row r="1443" spans="11:11" ht="15" x14ac:dyDescent="0.25">
      <c r="K1443"/>
    </row>
    <row r="1444" spans="11:11" ht="15" x14ac:dyDescent="0.25">
      <c r="K1444"/>
    </row>
    <row r="1445" spans="11:11" ht="15" x14ac:dyDescent="0.25">
      <c r="K1445"/>
    </row>
    <row r="1446" spans="11:11" ht="15" x14ac:dyDescent="0.25">
      <c r="K1446"/>
    </row>
    <row r="1447" spans="11:11" ht="15" x14ac:dyDescent="0.25">
      <c r="K1447"/>
    </row>
    <row r="1448" spans="11:11" ht="15" x14ac:dyDescent="0.25">
      <c r="K1448"/>
    </row>
    <row r="1449" spans="11:11" ht="15" x14ac:dyDescent="0.25">
      <c r="K1449"/>
    </row>
    <row r="1450" spans="11:11" ht="15" x14ac:dyDescent="0.25">
      <c r="K1450"/>
    </row>
    <row r="1451" spans="11:11" ht="15" x14ac:dyDescent="0.25">
      <c r="K1451"/>
    </row>
    <row r="1452" spans="11:11" ht="15" x14ac:dyDescent="0.25">
      <c r="K1452"/>
    </row>
    <row r="1453" spans="11:11" ht="15" x14ac:dyDescent="0.25">
      <c r="K1453"/>
    </row>
    <row r="1454" spans="11:11" ht="15" x14ac:dyDescent="0.25">
      <c r="K1454"/>
    </row>
    <row r="1455" spans="11:11" ht="15" x14ac:dyDescent="0.25">
      <c r="K1455"/>
    </row>
    <row r="1456" spans="11:11" ht="15" x14ac:dyDescent="0.25">
      <c r="K1456"/>
    </row>
    <row r="1457" spans="11:11" ht="15" x14ac:dyDescent="0.25">
      <c r="K1457"/>
    </row>
    <row r="1458" spans="11:11" ht="15" x14ac:dyDescent="0.25">
      <c r="K1458"/>
    </row>
    <row r="1459" spans="11:11" ht="15" x14ac:dyDescent="0.25">
      <c r="K1459"/>
    </row>
    <row r="1460" spans="11:11" ht="15" x14ac:dyDescent="0.25">
      <c r="K1460"/>
    </row>
    <row r="1461" spans="11:11" ht="15" x14ac:dyDescent="0.25">
      <c r="K1461"/>
    </row>
    <row r="1462" spans="11:11" ht="15" x14ac:dyDescent="0.25">
      <c r="K1462"/>
    </row>
    <row r="1463" spans="11:11" ht="15" x14ac:dyDescent="0.25">
      <c r="K1463"/>
    </row>
    <row r="1464" spans="11:11" ht="15" x14ac:dyDescent="0.25">
      <c r="K1464"/>
    </row>
    <row r="1465" spans="11:11" ht="15" x14ac:dyDescent="0.25">
      <c r="K1465"/>
    </row>
    <row r="1466" spans="11:11" ht="15" x14ac:dyDescent="0.25">
      <c r="K1466"/>
    </row>
    <row r="1467" spans="11:11" ht="15" x14ac:dyDescent="0.25">
      <c r="K1467"/>
    </row>
    <row r="1468" spans="11:11" ht="15" x14ac:dyDescent="0.25">
      <c r="K1468"/>
    </row>
    <row r="1469" spans="11:11" ht="15" x14ac:dyDescent="0.25">
      <c r="K1469"/>
    </row>
    <row r="1470" spans="11:11" ht="15" x14ac:dyDescent="0.25">
      <c r="K1470"/>
    </row>
    <row r="1471" spans="11:11" ht="15" x14ac:dyDescent="0.25">
      <c r="K1471"/>
    </row>
    <row r="1472" spans="11:11" ht="15" x14ac:dyDescent="0.25">
      <c r="K1472"/>
    </row>
    <row r="1473" spans="11:11" ht="15" x14ac:dyDescent="0.25">
      <c r="K1473"/>
    </row>
    <row r="1474" spans="11:11" ht="15" x14ac:dyDescent="0.25">
      <c r="K1474"/>
    </row>
    <row r="1475" spans="11:11" ht="15" x14ac:dyDescent="0.25">
      <c r="K1475"/>
    </row>
    <row r="1476" spans="11:11" ht="15" x14ac:dyDescent="0.25">
      <c r="K1476"/>
    </row>
    <row r="1477" spans="11:11" ht="15" x14ac:dyDescent="0.25">
      <c r="K1477"/>
    </row>
    <row r="1478" spans="11:11" ht="15" x14ac:dyDescent="0.25">
      <c r="K1478"/>
    </row>
    <row r="1479" spans="11:11" ht="15" x14ac:dyDescent="0.25">
      <c r="K1479"/>
    </row>
    <row r="1480" spans="11:11" ht="15" x14ac:dyDescent="0.25">
      <c r="K1480"/>
    </row>
    <row r="1481" spans="11:11" ht="15" x14ac:dyDescent="0.25">
      <c r="K1481"/>
    </row>
    <row r="1482" spans="11:11" ht="15" x14ac:dyDescent="0.25">
      <c r="K1482"/>
    </row>
    <row r="1483" spans="11:11" ht="15" x14ac:dyDescent="0.25">
      <c r="K1483"/>
    </row>
    <row r="1484" spans="11:11" ht="15" x14ac:dyDescent="0.25">
      <c r="K1484"/>
    </row>
    <row r="1485" spans="11:11" ht="15" x14ac:dyDescent="0.25">
      <c r="K1485"/>
    </row>
    <row r="1486" spans="11:11" ht="15" x14ac:dyDescent="0.25">
      <c r="K1486"/>
    </row>
    <row r="1487" spans="11:11" ht="15" x14ac:dyDescent="0.25">
      <c r="K1487"/>
    </row>
    <row r="1488" spans="11:11" ht="15" x14ac:dyDescent="0.25">
      <c r="K1488"/>
    </row>
    <row r="1489" spans="11:11" ht="15" x14ac:dyDescent="0.25">
      <c r="K1489"/>
    </row>
    <row r="1490" spans="11:11" ht="15" x14ac:dyDescent="0.25">
      <c r="K1490"/>
    </row>
    <row r="1491" spans="11:11" ht="15" x14ac:dyDescent="0.25">
      <c r="K1491"/>
    </row>
    <row r="1492" spans="11:11" ht="15" x14ac:dyDescent="0.25">
      <c r="K1492"/>
    </row>
    <row r="1493" spans="11:11" ht="15" x14ac:dyDescent="0.25">
      <c r="K1493"/>
    </row>
    <row r="1494" spans="11:11" ht="15" x14ac:dyDescent="0.25">
      <c r="K1494"/>
    </row>
    <row r="1495" spans="11:11" ht="15" x14ac:dyDescent="0.25">
      <c r="K1495"/>
    </row>
    <row r="1496" spans="11:11" ht="15" x14ac:dyDescent="0.25">
      <c r="K1496"/>
    </row>
    <row r="1497" spans="11:11" ht="15" x14ac:dyDescent="0.25">
      <c r="K1497"/>
    </row>
    <row r="1498" spans="11:11" ht="15" x14ac:dyDescent="0.25">
      <c r="K1498"/>
    </row>
    <row r="1499" spans="11:11" ht="15" x14ac:dyDescent="0.25">
      <c r="K1499"/>
    </row>
    <row r="1500" spans="11:11" ht="15" x14ac:dyDescent="0.25">
      <c r="K1500"/>
    </row>
    <row r="1501" spans="11:11" ht="15" x14ac:dyDescent="0.25">
      <c r="K1501"/>
    </row>
    <row r="1502" spans="11:11" ht="15" x14ac:dyDescent="0.25">
      <c r="K1502"/>
    </row>
    <row r="1503" spans="11:11" ht="15" x14ac:dyDescent="0.25">
      <c r="K1503"/>
    </row>
    <row r="1504" spans="11:11" ht="15" x14ac:dyDescent="0.25">
      <c r="K1504"/>
    </row>
    <row r="1505" spans="11:11" ht="15" x14ac:dyDescent="0.25">
      <c r="K1505"/>
    </row>
    <row r="1506" spans="11:11" ht="15" x14ac:dyDescent="0.25">
      <c r="K1506"/>
    </row>
    <row r="1507" spans="11:11" ht="15" x14ac:dyDescent="0.25">
      <c r="K1507"/>
    </row>
    <row r="1508" spans="11:11" ht="15" x14ac:dyDescent="0.25">
      <c r="K1508"/>
    </row>
    <row r="1509" spans="11:11" ht="15" x14ac:dyDescent="0.25">
      <c r="K1509"/>
    </row>
    <row r="1510" spans="11:11" ht="15" x14ac:dyDescent="0.25">
      <c r="K1510"/>
    </row>
    <row r="1511" spans="11:11" ht="15" x14ac:dyDescent="0.25">
      <c r="K1511"/>
    </row>
    <row r="1512" spans="11:11" ht="15" x14ac:dyDescent="0.25">
      <c r="K1512"/>
    </row>
    <row r="1513" spans="11:11" ht="15" x14ac:dyDescent="0.25">
      <c r="K1513"/>
    </row>
    <row r="1514" spans="11:11" ht="15" x14ac:dyDescent="0.25">
      <c r="K1514"/>
    </row>
    <row r="1515" spans="11:11" ht="15" x14ac:dyDescent="0.25">
      <c r="K1515"/>
    </row>
    <row r="1516" spans="11:11" ht="15" x14ac:dyDescent="0.25">
      <c r="K1516"/>
    </row>
    <row r="1517" spans="11:11" ht="15" x14ac:dyDescent="0.25">
      <c r="K1517"/>
    </row>
    <row r="1518" spans="11:11" ht="15" x14ac:dyDescent="0.25">
      <c r="K1518"/>
    </row>
    <row r="1519" spans="11:11" ht="15" x14ac:dyDescent="0.25">
      <c r="K1519"/>
    </row>
    <row r="1520" spans="11:11" ht="15" x14ac:dyDescent="0.25">
      <c r="K1520"/>
    </row>
    <row r="1521" spans="11:11" ht="15" x14ac:dyDescent="0.25">
      <c r="K1521"/>
    </row>
    <row r="1522" spans="11:11" ht="15" x14ac:dyDescent="0.25">
      <c r="K1522"/>
    </row>
    <row r="1523" spans="11:11" ht="15" x14ac:dyDescent="0.25">
      <c r="K1523"/>
    </row>
    <row r="1524" spans="11:11" ht="15" x14ac:dyDescent="0.25">
      <c r="K1524"/>
    </row>
    <row r="1525" spans="11:11" ht="15" x14ac:dyDescent="0.25">
      <c r="K1525"/>
    </row>
    <row r="1526" spans="11:11" ht="15" x14ac:dyDescent="0.25">
      <c r="K1526"/>
    </row>
    <row r="1527" spans="11:11" ht="15" x14ac:dyDescent="0.25">
      <c r="K1527"/>
    </row>
    <row r="1528" spans="11:11" ht="15" x14ac:dyDescent="0.25">
      <c r="K1528"/>
    </row>
    <row r="1529" spans="11:11" ht="15" x14ac:dyDescent="0.25">
      <c r="K1529"/>
    </row>
    <row r="1530" spans="11:11" ht="15" x14ac:dyDescent="0.25">
      <c r="K1530"/>
    </row>
    <row r="1531" spans="11:11" ht="15" x14ac:dyDescent="0.25">
      <c r="K1531"/>
    </row>
    <row r="1532" spans="11:11" ht="15" x14ac:dyDescent="0.25">
      <c r="K1532"/>
    </row>
    <row r="1533" spans="11:11" ht="15" x14ac:dyDescent="0.25">
      <c r="K1533"/>
    </row>
    <row r="1534" spans="11:11" ht="15" x14ac:dyDescent="0.25">
      <c r="K1534"/>
    </row>
    <row r="1535" spans="11:11" ht="15" x14ac:dyDescent="0.25">
      <c r="K1535"/>
    </row>
    <row r="1536" spans="11:11" ht="15" x14ac:dyDescent="0.25">
      <c r="K1536"/>
    </row>
    <row r="1537" spans="11:11" ht="15" x14ac:dyDescent="0.25">
      <c r="K1537"/>
    </row>
    <row r="1538" spans="11:11" ht="15" x14ac:dyDescent="0.25">
      <c r="K1538"/>
    </row>
    <row r="1539" spans="11:11" ht="15" x14ac:dyDescent="0.25">
      <c r="K1539"/>
    </row>
    <row r="1540" spans="11:11" ht="15" x14ac:dyDescent="0.25">
      <c r="K1540"/>
    </row>
    <row r="1541" spans="11:11" ht="15" x14ac:dyDescent="0.25">
      <c r="K1541"/>
    </row>
    <row r="1542" spans="11:11" ht="15" x14ac:dyDescent="0.25">
      <c r="K1542"/>
    </row>
    <row r="1543" spans="11:11" ht="15" x14ac:dyDescent="0.25">
      <c r="K1543"/>
    </row>
    <row r="1544" spans="11:11" ht="15" x14ac:dyDescent="0.25">
      <c r="K1544"/>
    </row>
    <row r="1545" spans="11:11" ht="15" x14ac:dyDescent="0.25">
      <c r="K1545"/>
    </row>
    <row r="1546" spans="11:11" ht="15" x14ac:dyDescent="0.25">
      <c r="K1546"/>
    </row>
    <row r="1547" spans="11:11" ht="15" x14ac:dyDescent="0.25">
      <c r="K1547"/>
    </row>
    <row r="1548" spans="11:11" ht="15" x14ac:dyDescent="0.25">
      <c r="K1548"/>
    </row>
    <row r="1549" spans="11:11" ht="15" x14ac:dyDescent="0.25">
      <c r="K1549"/>
    </row>
    <row r="1550" spans="11:11" ht="15" x14ac:dyDescent="0.25">
      <c r="K1550"/>
    </row>
    <row r="1551" spans="11:11" ht="15" x14ac:dyDescent="0.25">
      <c r="K1551"/>
    </row>
    <row r="1552" spans="11:11" ht="15" x14ac:dyDescent="0.25">
      <c r="K1552"/>
    </row>
    <row r="1553" spans="11:11" ht="15" x14ac:dyDescent="0.25">
      <c r="K1553"/>
    </row>
    <row r="1554" spans="11:11" ht="15" x14ac:dyDescent="0.25">
      <c r="K1554"/>
    </row>
    <row r="1555" spans="11:11" ht="15" x14ac:dyDescent="0.25">
      <c r="K1555"/>
    </row>
    <row r="1556" spans="11:11" ht="15" x14ac:dyDescent="0.25">
      <c r="K1556"/>
    </row>
    <row r="1557" spans="11:11" ht="15" x14ac:dyDescent="0.25">
      <c r="K1557"/>
    </row>
    <row r="1558" spans="11:11" ht="15" x14ac:dyDescent="0.25">
      <c r="K1558"/>
    </row>
    <row r="1559" spans="11:11" ht="15" x14ac:dyDescent="0.25">
      <c r="K1559"/>
    </row>
    <row r="1560" spans="11:11" ht="15" x14ac:dyDescent="0.25">
      <c r="K1560"/>
    </row>
    <row r="1561" spans="11:11" ht="15" x14ac:dyDescent="0.25">
      <c r="K1561"/>
    </row>
    <row r="1562" spans="11:11" ht="15" x14ac:dyDescent="0.25">
      <c r="K1562"/>
    </row>
    <row r="1563" spans="11:11" ht="15" x14ac:dyDescent="0.25">
      <c r="K1563"/>
    </row>
    <row r="1564" spans="11:11" ht="15" x14ac:dyDescent="0.25">
      <c r="K1564"/>
    </row>
    <row r="1565" spans="11:11" ht="15" x14ac:dyDescent="0.25">
      <c r="K1565"/>
    </row>
    <row r="1566" spans="11:11" ht="15" x14ac:dyDescent="0.25">
      <c r="K1566"/>
    </row>
    <row r="1567" spans="11:11" ht="15" x14ac:dyDescent="0.25">
      <c r="K1567"/>
    </row>
    <row r="1568" spans="11:11" ht="15" x14ac:dyDescent="0.25">
      <c r="K1568"/>
    </row>
    <row r="1569" spans="11:11" ht="15" x14ac:dyDescent="0.25">
      <c r="K1569"/>
    </row>
    <row r="1570" spans="11:11" ht="15" x14ac:dyDescent="0.25">
      <c r="K1570"/>
    </row>
    <row r="1571" spans="11:11" ht="15" x14ac:dyDescent="0.25">
      <c r="K1571"/>
    </row>
    <row r="1572" spans="11:11" ht="15" x14ac:dyDescent="0.25">
      <c r="K1572"/>
    </row>
    <row r="1573" spans="11:11" ht="15" x14ac:dyDescent="0.25">
      <c r="K1573"/>
    </row>
    <row r="1574" spans="11:11" ht="15" x14ac:dyDescent="0.25">
      <c r="K1574"/>
    </row>
    <row r="1575" spans="11:11" ht="15" x14ac:dyDescent="0.25">
      <c r="K1575"/>
    </row>
    <row r="1576" spans="11:11" ht="15" x14ac:dyDescent="0.25">
      <c r="K1576"/>
    </row>
    <row r="1577" spans="11:11" ht="15" x14ac:dyDescent="0.25">
      <c r="K1577"/>
    </row>
    <row r="1578" spans="11:11" ht="15" x14ac:dyDescent="0.25">
      <c r="K1578"/>
    </row>
    <row r="1579" spans="11:11" ht="15" x14ac:dyDescent="0.25">
      <c r="K1579"/>
    </row>
    <row r="1580" spans="11:11" ht="15" x14ac:dyDescent="0.25">
      <c r="K1580"/>
    </row>
    <row r="1581" spans="11:11" ht="15" x14ac:dyDescent="0.25">
      <c r="K1581"/>
    </row>
    <row r="1582" spans="11:11" ht="15" x14ac:dyDescent="0.25">
      <c r="K1582"/>
    </row>
    <row r="1583" spans="11:11" ht="15" x14ac:dyDescent="0.25">
      <c r="K1583"/>
    </row>
    <row r="1584" spans="11:11" ht="15" x14ac:dyDescent="0.25">
      <c r="K1584"/>
    </row>
    <row r="1585" spans="11:11" ht="15" x14ac:dyDescent="0.25">
      <c r="K1585"/>
    </row>
    <row r="1586" spans="11:11" ht="15" x14ac:dyDescent="0.25">
      <c r="K1586"/>
    </row>
    <row r="1587" spans="11:11" ht="15" x14ac:dyDescent="0.25">
      <c r="K1587"/>
    </row>
    <row r="1588" spans="11:11" ht="15" x14ac:dyDescent="0.25">
      <c r="K1588"/>
    </row>
    <row r="1589" spans="11:11" ht="15" x14ac:dyDescent="0.25">
      <c r="K1589"/>
    </row>
    <row r="1590" spans="11:11" ht="15" x14ac:dyDescent="0.25">
      <c r="K1590"/>
    </row>
    <row r="1591" spans="11:11" ht="15" x14ac:dyDescent="0.25">
      <c r="K1591"/>
    </row>
    <row r="1592" spans="11:11" ht="15" x14ac:dyDescent="0.25">
      <c r="K1592"/>
    </row>
    <row r="1593" spans="11:11" ht="15" x14ac:dyDescent="0.25">
      <c r="K1593"/>
    </row>
    <row r="1594" spans="11:11" ht="15" x14ac:dyDescent="0.25">
      <c r="K1594"/>
    </row>
    <row r="1595" spans="11:11" ht="15" x14ac:dyDescent="0.25">
      <c r="K1595"/>
    </row>
    <row r="1596" spans="11:11" ht="15" x14ac:dyDescent="0.25">
      <c r="K1596"/>
    </row>
    <row r="1597" spans="11:11" ht="15" x14ac:dyDescent="0.25">
      <c r="K1597"/>
    </row>
    <row r="1598" spans="11:11" ht="15" x14ac:dyDescent="0.25">
      <c r="K1598"/>
    </row>
    <row r="1599" spans="11:11" ht="15" x14ac:dyDescent="0.25">
      <c r="K1599"/>
    </row>
    <row r="1600" spans="11:11" ht="15" x14ac:dyDescent="0.25">
      <c r="K1600"/>
    </row>
    <row r="1601" spans="11:11" ht="15" x14ac:dyDescent="0.25">
      <c r="K1601"/>
    </row>
    <row r="1602" spans="11:11" ht="15" x14ac:dyDescent="0.25">
      <c r="K1602"/>
    </row>
    <row r="1603" spans="11:11" ht="15" x14ac:dyDescent="0.25">
      <c r="K1603"/>
    </row>
    <row r="1604" spans="11:11" ht="15" x14ac:dyDescent="0.25">
      <c r="K1604"/>
    </row>
    <row r="1605" spans="11:11" ht="15" x14ac:dyDescent="0.25">
      <c r="K1605"/>
    </row>
    <row r="1606" spans="11:11" ht="15" x14ac:dyDescent="0.25">
      <c r="K1606"/>
    </row>
    <row r="1607" spans="11:11" ht="15" x14ac:dyDescent="0.25">
      <c r="K1607"/>
    </row>
    <row r="1608" spans="11:11" ht="15" x14ac:dyDescent="0.25">
      <c r="K1608"/>
    </row>
    <row r="1609" spans="11:11" ht="15" x14ac:dyDescent="0.25">
      <c r="K1609"/>
    </row>
    <row r="1610" spans="11:11" ht="15" x14ac:dyDescent="0.25">
      <c r="K1610"/>
    </row>
    <row r="1611" spans="11:11" ht="15" x14ac:dyDescent="0.25">
      <c r="K1611"/>
    </row>
    <row r="1612" spans="11:11" ht="15" x14ac:dyDescent="0.25">
      <c r="K1612"/>
    </row>
    <row r="1613" spans="11:11" ht="15" x14ac:dyDescent="0.25">
      <c r="K1613"/>
    </row>
    <row r="1614" spans="11:11" ht="15" x14ac:dyDescent="0.25">
      <c r="K1614"/>
    </row>
    <row r="1615" spans="11:11" ht="15" x14ac:dyDescent="0.25">
      <c r="K1615"/>
    </row>
    <row r="1616" spans="11:11" ht="15" x14ac:dyDescent="0.25">
      <c r="K1616"/>
    </row>
    <row r="1617" spans="11:11" ht="15" x14ac:dyDescent="0.25">
      <c r="K1617"/>
    </row>
    <row r="1618" spans="11:11" ht="15" x14ac:dyDescent="0.25">
      <c r="K1618"/>
    </row>
    <row r="1619" spans="11:11" ht="15" x14ac:dyDescent="0.25">
      <c r="K1619"/>
    </row>
    <row r="1620" spans="11:11" ht="15" x14ac:dyDescent="0.25">
      <c r="K1620"/>
    </row>
    <row r="1621" spans="11:11" ht="15" x14ac:dyDescent="0.25">
      <c r="K1621"/>
    </row>
    <row r="1622" spans="11:11" ht="15" x14ac:dyDescent="0.25">
      <c r="K1622"/>
    </row>
    <row r="1623" spans="11:11" ht="15" x14ac:dyDescent="0.25">
      <c r="K1623"/>
    </row>
    <row r="1624" spans="11:11" ht="15" x14ac:dyDescent="0.25">
      <c r="K1624"/>
    </row>
    <row r="1625" spans="11:11" ht="15" x14ac:dyDescent="0.25">
      <c r="K1625"/>
    </row>
    <row r="1626" spans="11:11" ht="15" x14ac:dyDescent="0.25">
      <c r="K1626"/>
    </row>
    <row r="1627" spans="11:11" ht="15" x14ac:dyDescent="0.25">
      <c r="K1627"/>
    </row>
    <row r="1628" spans="11:11" ht="15" x14ac:dyDescent="0.25">
      <c r="K1628"/>
    </row>
    <row r="1629" spans="11:11" ht="15" x14ac:dyDescent="0.25">
      <c r="K1629"/>
    </row>
    <row r="1630" spans="11:11" ht="15" x14ac:dyDescent="0.25">
      <c r="K1630"/>
    </row>
    <row r="1631" spans="11:11" ht="15" x14ac:dyDescent="0.25">
      <c r="K1631"/>
    </row>
    <row r="1632" spans="11:11" ht="15" x14ac:dyDescent="0.25">
      <c r="K1632"/>
    </row>
    <row r="1633" spans="11:11" ht="15" x14ac:dyDescent="0.25">
      <c r="K1633"/>
    </row>
    <row r="1634" spans="11:11" ht="15" x14ac:dyDescent="0.25">
      <c r="K1634"/>
    </row>
    <row r="1635" spans="11:11" ht="15" x14ac:dyDescent="0.25">
      <c r="K1635"/>
    </row>
    <row r="1636" spans="11:11" ht="15" x14ac:dyDescent="0.25">
      <c r="K1636"/>
    </row>
    <row r="1637" spans="11:11" ht="15" x14ac:dyDescent="0.25">
      <c r="K1637"/>
    </row>
    <row r="1638" spans="11:11" ht="15" x14ac:dyDescent="0.25">
      <c r="K1638"/>
    </row>
    <row r="1639" spans="11:11" ht="15" x14ac:dyDescent="0.25">
      <c r="K1639"/>
    </row>
    <row r="1640" spans="11:11" ht="15" x14ac:dyDescent="0.25">
      <c r="K1640"/>
    </row>
    <row r="1641" spans="11:11" ht="15" x14ac:dyDescent="0.25">
      <c r="K1641"/>
    </row>
    <row r="1642" spans="11:11" ht="15" x14ac:dyDescent="0.25">
      <c r="K1642"/>
    </row>
    <row r="1643" spans="11:11" ht="15" x14ac:dyDescent="0.25">
      <c r="K1643"/>
    </row>
    <row r="1644" spans="11:11" ht="15" x14ac:dyDescent="0.25">
      <c r="K1644"/>
    </row>
    <row r="1645" spans="11:11" ht="15" x14ac:dyDescent="0.25">
      <c r="K1645"/>
    </row>
    <row r="1646" spans="11:11" ht="15" x14ac:dyDescent="0.25">
      <c r="K1646"/>
    </row>
    <row r="1647" spans="11:11" ht="15" x14ac:dyDescent="0.25">
      <c r="K1647"/>
    </row>
    <row r="1648" spans="11:11" ht="15" x14ac:dyDescent="0.25">
      <c r="K1648"/>
    </row>
    <row r="1649" spans="11:11" ht="15" x14ac:dyDescent="0.25">
      <c r="K1649"/>
    </row>
    <row r="1650" spans="11:11" ht="15" x14ac:dyDescent="0.25">
      <c r="K1650"/>
    </row>
    <row r="1651" spans="11:11" ht="15" x14ac:dyDescent="0.25">
      <c r="K1651"/>
    </row>
    <row r="1652" spans="11:11" ht="15" x14ac:dyDescent="0.25">
      <c r="K1652"/>
    </row>
    <row r="1653" spans="11:11" ht="15" x14ac:dyDescent="0.25">
      <c r="K1653"/>
    </row>
    <row r="1654" spans="11:11" ht="15" x14ac:dyDescent="0.25">
      <c r="K1654"/>
    </row>
    <row r="1655" spans="11:11" ht="15" x14ac:dyDescent="0.25">
      <c r="K1655"/>
    </row>
    <row r="1656" spans="11:11" ht="15" x14ac:dyDescent="0.25">
      <c r="K1656"/>
    </row>
    <row r="1657" spans="11:11" ht="15" x14ac:dyDescent="0.25">
      <c r="K1657"/>
    </row>
    <row r="1658" spans="11:11" ht="15" x14ac:dyDescent="0.25">
      <c r="K1658"/>
    </row>
    <row r="1659" spans="11:11" ht="15" x14ac:dyDescent="0.25">
      <c r="K1659"/>
    </row>
    <row r="1660" spans="11:11" ht="15" x14ac:dyDescent="0.25">
      <c r="K1660"/>
    </row>
    <row r="1661" spans="11:11" ht="15" x14ac:dyDescent="0.25">
      <c r="K1661"/>
    </row>
    <row r="1662" spans="11:11" ht="15" x14ac:dyDescent="0.25">
      <c r="K1662"/>
    </row>
    <row r="1663" spans="11:11" ht="15" x14ac:dyDescent="0.25">
      <c r="K1663"/>
    </row>
    <row r="1664" spans="11:11" ht="15" x14ac:dyDescent="0.25">
      <c r="K1664"/>
    </row>
    <row r="1665" spans="11:11" ht="15" x14ac:dyDescent="0.25">
      <c r="K1665"/>
    </row>
    <row r="1666" spans="11:11" ht="15" x14ac:dyDescent="0.25">
      <c r="K1666"/>
    </row>
    <row r="1667" spans="11:11" ht="15" x14ac:dyDescent="0.25">
      <c r="K1667"/>
    </row>
    <row r="1668" spans="11:11" ht="15" x14ac:dyDescent="0.25">
      <c r="K1668"/>
    </row>
    <row r="1669" spans="11:11" ht="15" x14ac:dyDescent="0.25">
      <c r="K1669"/>
    </row>
    <row r="1670" spans="11:11" ht="15" x14ac:dyDescent="0.25">
      <c r="K1670"/>
    </row>
    <row r="1671" spans="11:11" ht="15" x14ac:dyDescent="0.25">
      <c r="K1671"/>
    </row>
    <row r="1672" spans="11:11" ht="15" x14ac:dyDescent="0.25">
      <c r="K1672"/>
    </row>
    <row r="1673" spans="11:11" ht="15" x14ac:dyDescent="0.25">
      <c r="K1673"/>
    </row>
    <row r="1674" spans="11:11" ht="15" x14ac:dyDescent="0.25">
      <c r="K1674"/>
    </row>
    <row r="1675" spans="11:11" ht="15" x14ac:dyDescent="0.25">
      <c r="K1675"/>
    </row>
    <row r="1676" spans="11:11" ht="15" x14ac:dyDescent="0.25">
      <c r="K1676"/>
    </row>
    <row r="1677" spans="11:11" ht="15" x14ac:dyDescent="0.25">
      <c r="K1677"/>
    </row>
    <row r="1678" spans="11:11" ht="15" x14ac:dyDescent="0.25">
      <c r="K1678"/>
    </row>
    <row r="1679" spans="11:11" ht="15" x14ac:dyDescent="0.25">
      <c r="K1679"/>
    </row>
    <row r="1680" spans="11:11" ht="15" x14ac:dyDescent="0.25">
      <c r="K1680"/>
    </row>
    <row r="1681" spans="11:11" ht="15" x14ac:dyDescent="0.25">
      <c r="K1681"/>
    </row>
    <row r="1682" spans="11:11" ht="15" x14ac:dyDescent="0.25">
      <c r="K1682"/>
    </row>
    <row r="1683" spans="11:11" ht="15" x14ac:dyDescent="0.25">
      <c r="K1683"/>
    </row>
    <row r="1684" spans="11:11" ht="15" x14ac:dyDescent="0.25">
      <c r="K1684"/>
    </row>
    <row r="1685" spans="11:11" ht="15" x14ac:dyDescent="0.25">
      <c r="K1685"/>
    </row>
    <row r="1686" spans="11:11" ht="15" x14ac:dyDescent="0.25">
      <c r="K1686"/>
    </row>
    <row r="1687" spans="11:11" ht="15" x14ac:dyDescent="0.25">
      <c r="K1687"/>
    </row>
    <row r="1688" spans="11:11" ht="15" x14ac:dyDescent="0.25">
      <c r="K1688"/>
    </row>
    <row r="1689" spans="11:11" ht="15" x14ac:dyDescent="0.25">
      <c r="K1689"/>
    </row>
    <row r="1690" spans="11:11" ht="15" x14ac:dyDescent="0.25">
      <c r="K1690"/>
    </row>
    <row r="1691" spans="11:11" ht="15" x14ac:dyDescent="0.25">
      <c r="K1691"/>
    </row>
    <row r="1692" spans="11:11" ht="15" x14ac:dyDescent="0.25">
      <c r="K1692"/>
    </row>
    <row r="1693" spans="11:11" ht="15" x14ac:dyDescent="0.25">
      <c r="K1693"/>
    </row>
    <row r="1694" spans="11:11" ht="15" x14ac:dyDescent="0.25">
      <c r="K1694"/>
    </row>
    <row r="1695" spans="11:11" ht="15" x14ac:dyDescent="0.25">
      <c r="K1695"/>
    </row>
    <row r="1696" spans="11:11" ht="15" x14ac:dyDescent="0.25">
      <c r="K1696"/>
    </row>
    <row r="1697" spans="11:11" ht="15" x14ac:dyDescent="0.25">
      <c r="K1697"/>
    </row>
    <row r="1698" spans="11:11" ht="15" x14ac:dyDescent="0.25">
      <c r="K1698"/>
    </row>
    <row r="1699" spans="11:11" ht="15" x14ac:dyDescent="0.25">
      <c r="K1699"/>
    </row>
    <row r="1700" spans="11:11" ht="15" x14ac:dyDescent="0.25">
      <c r="K1700"/>
    </row>
    <row r="1701" spans="11:11" ht="15" x14ac:dyDescent="0.25">
      <c r="K1701"/>
    </row>
    <row r="1702" spans="11:11" ht="15" x14ac:dyDescent="0.25">
      <c r="K1702"/>
    </row>
    <row r="1703" spans="11:11" ht="15" x14ac:dyDescent="0.25">
      <c r="K1703"/>
    </row>
    <row r="1704" spans="11:11" ht="15" x14ac:dyDescent="0.25">
      <c r="K1704"/>
    </row>
    <row r="1705" spans="11:11" ht="15" x14ac:dyDescent="0.25">
      <c r="K1705"/>
    </row>
    <row r="1706" spans="11:11" ht="15" x14ac:dyDescent="0.25">
      <c r="K1706"/>
    </row>
    <row r="1707" spans="11:11" ht="15" x14ac:dyDescent="0.25">
      <c r="K1707"/>
    </row>
    <row r="1708" spans="11:11" ht="15" x14ac:dyDescent="0.25">
      <c r="K1708"/>
    </row>
    <row r="1709" spans="11:11" ht="15" x14ac:dyDescent="0.25">
      <c r="K1709"/>
    </row>
    <row r="1710" spans="11:11" ht="15" x14ac:dyDescent="0.25">
      <c r="K1710"/>
    </row>
    <row r="1711" spans="11:11" ht="15" x14ac:dyDescent="0.25">
      <c r="K1711"/>
    </row>
    <row r="1712" spans="11:11" ht="15" x14ac:dyDescent="0.25">
      <c r="K1712"/>
    </row>
    <row r="1713" spans="11:11" ht="15" x14ac:dyDescent="0.25">
      <c r="K1713"/>
    </row>
    <row r="1714" spans="11:11" ht="15" x14ac:dyDescent="0.25">
      <c r="K1714"/>
    </row>
    <row r="1715" spans="11:11" ht="15" x14ac:dyDescent="0.25">
      <c r="K1715"/>
    </row>
    <row r="1716" spans="11:11" ht="15" x14ac:dyDescent="0.25">
      <c r="K1716"/>
    </row>
    <row r="1717" spans="11:11" ht="15" x14ac:dyDescent="0.25">
      <c r="K1717"/>
    </row>
    <row r="1718" spans="11:11" ht="15" x14ac:dyDescent="0.25">
      <c r="K1718"/>
    </row>
    <row r="1719" spans="11:11" ht="15" x14ac:dyDescent="0.25">
      <c r="K1719"/>
    </row>
    <row r="1720" spans="11:11" ht="15" x14ac:dyDescent="0.25">
      <c r="K1720"/>
    </row>
    <row r="1721" spans="11:11" ht="15" x14ac:dyDescent="0.25">
      <c r="K1721"/>
    </row>
    <row r="1722" spans="11:11" ht="15" x14ac:dyDescent="0.25">
      <c r="K1722"/>
    </row>
    <row r="1723" spans="11:11" ht="15" x14ac:dyDescent="0.25">
      <c r="K1723"/>
    </row>
    <row r="1724" spans="11:11" ht="15" x14ac:dyDescent="0.25">
      <c r="K1724"/>
    </row>
    <row r="1725" spans="11:11" ht="15" x14ac:dyDescent="0.25">
      <c r="K1725"/>
    </row>
    <row r="1726" spans="11:11" ht="15" x14ac:dyDescent="0.25">
      <c r="K1726"/>
    </row>
    <row r="1727" spans="11:11" ht="15" x14ac:dyDescent="0.25">
      <c r="K1727"/>
    </row>
    <row r="1728" spans="11:11" ht="15" x14ac:dyDescent="0.25">
      <c r="K1728"/>
    </row>
    <row r="1729" spans="11:11" ht="15" x14ac:dyDescent="0.25">
      <c r="K1729"/>
    </row>
    <row r="1730" spans="11:11" ht="15" x14ac:dyDescent="0.25">
      <c r="K1730"/>
    </row>
    <row r="1731" spans="11:11" ht="15" x14ac:dyDescent="0.25">
      <c r="K1731"/>
    </row>
    <row r="1732" spans="11:11" ht="15" x14ac:dyDescent="0.25">
      <c r="K1732"/>
    </row>
    <row r="1733" spans="11:11" ht="15" x14ac:dyDescent="0.25">
      <c r="K1733"/>
    </row>
    <row r="1734" spans="11:11" ht="15" x14ac:dyDescent="0.25">
      <c r="K1734"/>
    </row>
    <row r="1735" spans="11:11" ht="15" x14ac:dyDescent="0.25">
      <c r="K1735"/>
    </row>
    <row r="1736" spans="11:11" ht="15" x14ac:dyDescent="0.25">
      <c r="K1736"/>
    </row>
    <row r="1737" spans="11:11" ht="15" x14ac:dyDescent="0.25">
      <c r="K1737"/>
    </row>
    <row r="1738" spans="11:11" ht="15" x14ac:dyDescent="0.25">
      <c r="K1738"/>
    </row>
    <row r="1739" spans="11:11" ht="15" x14ac:dyDescent="0.25">
      <c r="K1739"/>
    </row>
    <row r="1740" spans="11:11" ht="15" x14ac:dyDescent="0.25">
      <c r="K1740"/>
    </row>
    <row r="1741" spans="11:11" ht="15" x14ac:dyDescent="0.25">
      <c r="K1741"/>
    </row>
    <row r="1742" spans="11:11" ht="15" x14ac:dyDescent="0.25">
      <c r="K1742"/>
    </row>
    <row r="1743" spans="11:11" ht="15" x14ac:dyDescent="0.25">
      <c r="K1743"/>
    </row>
    <row r="1744" spans="11:11" ht="15" x14ac:dyDescent="0.25">
      <c r="K1744"/>
    </row>
    <row r="1745" spans="11:11" ht="15" x14ac:dyDescent="0.25">
      <c r="K1745"/>
    </row>
    <row r="1746" spans="11:11" ht="15" x14ac:dyDescent="0.25">
      <c r="K1746"/>
    </row>
    <row r="1747" spans="11:11" ht="15" x14ac:dyDescent="0.25">
      <c r="K1747"/>
    </row>
    <row r="1748" spans="11:11" ht="15" x14ac:dyDescent="0.25">
      <c r="K1748"/>
    </row>
    <row r="1749" spans="11:11" ht="15" x14ac:dyDescent="0.25">
      <c r="K1749"/>
    </row>
    <row r="1750" spans="11:11" ht="15" x14ac:dyDescent="0.25">
      <c r="K1750"/>
    </row>
    <row r="1751" spans="11:11" ht="15" x14ac:dyDescent="0.25">
      <c r="K1751"/>
    </row>
    <row r="1752" spans="11:11" ht="15" x14ac:dyDescent="0.25">
      <c r="K1752"/>
    </row>
    <row r="1753" spans="11:11" ht="15" x14ac:dyDescent="0.25">
      <c r="K1753"/>
    </row>
    <row r="1754" spans="11:11" ht="15" x14ac:dyDescent="0.25">
      <c r="K1754"/>
    </row>
    <row r="1755" spans="11:11" ht="15" x14ac:dyDescent="0.25">
      <c r="K1755"/>
    </row>
    <row r="1756" spans="11:11" ht="15" x14ac:dyDescent="0.25">
      <c r="K1756"/>
    </row>
    <row r="1757" spans="11:11" ht="15" x14ac:dyDescent="0.25">
      <c r="K1757"/>
    </row>
    <row r="1758" spans="11:11" ht="15" x14ac:dyDescent="0.25">
      <c r="K1758"/>
    </row>
    <row r="1759" spans="11:11" ht="15" x14ac:dyDescent="0.25">
      <c r="K1759"/>
    </row>
    <row r="1760" spans="11:11" ht="15" x14ac:dyDescent="0.25">
      <c r="K1760"/>
    </row>
    <row r="1761" spans="11:11" ht="15" x14ac:dyDescent="0.25">
      <c r="K1761"/>
    </row>
    <row r="1762" spans="11:11" ht="15" x14ac:dyDescent="0.25">
      <c r="K1762"/>
    </row>
    <row r="1763" spans="11:11" ht="15" x14ac:dyDescent="0.25">
      <c r="K1763"/>
    </row>
    <row r="1764" spans="11:11" ht="15" x14ac:dyDescent="0.25">
      <c r="K1764"/>
    </row>
    <row r="1765" spans="11:11" ht="15" x14ac:dyDescent="0.25">
      <c r="K1765"/>
    </row>
    <row r="1766" spans="11:11" ht="15" x14ac:dyDescent="0.25">
      <c r="K1766"/>
    </row>
    <row r="1767" spans="11:11" ht="15" x14ac:dyDescent="0.25">
      <c r="K1767"/>
    </row>
    <row r="1768" spans="11:11" ht="15" x14ac:dyDescent="0.25">
      <c r="K1768"/>
    </row>
    <row r="1769" spans="11:11" ht="15" x14ac:dyDescent="0.25">
      <c r="K1769"/>
    </row>
    <row r="1770" spans="11:11" ht="15" x14ac:dyDescent="0.25">
      <c r="K1770"/>
    </row>
    <row r="1771" spans="11:11" ht="15" x14ac:dyDescent="0.25">
      <c r="K1771"/>
    </row>
    <row r="1772" spans="11:11" ht="15" x14ac:dyDescent="0.25">
      <c r="K1772"/>
    </row>
    <row r="1773" spans="11:11" ht="15" x14ac:dyDescent="0.25">
      <c r="K1773"/>
    </row>
    <row r="1774" spans="11:11" ht="15" x14ac:dyDescent="0.25">
      <c r="K1774"/>
    </row>
    <row r="1775" spans="11:11" ht="15" x14ac:dyDescent="0.25">
      <c r="K1775"/>
    </row>
    <row r="1776" spans="11:11" ht="15" x14ac:dyDescent="0.25">
      <c r="K1776"/>
    </row>
    <row r="1777" spans="11:11" ht="15" x14ac:dyDescent="0.25">
      <c r="K1777"/>
    </row>
    <row r="1778" spans="11:11" ht="15" x14ac:dyDescent="0.25">
      <c r="K1778"/>
    </row>
    <row r="1779" spans="11:11" ht="15" x14ac:dyDescent="0.25">
      <c r="K1779"/>
    </row>
    <row r="1780" spans="11:11" ht="15" x14ac:dyDescent="0.25">
      <c r="K1780"/>
    </row>
    <row r="1781" spans="11:11" ht="15" x14ac:dyDescent="0.25">
      <c r="K1781"/>
    </row>
    <row r="1782" spans="11:11" ht="15" x14ac:dyDescent="0.25">
      <c r="K1782"/>
    </row>
    <row r="1783" spans="11:11" ht="15" x14ac:dyDescent="0.25">
      <c r="K1783"/>
    </row>
    <row r="1784" spans="11:11" ht="15" x14ac:dyDescent="0.25">
      <c r="K1784"/>
    </row>
    <row r="1785" spans="11:11" ht="15" x14ac:dyDescent="0.25">
      <c r="K1785"/>
    </row>
    <row r="1786" spans="11:11" ht="15" x14ac:dyDescent="0.25">
      <c r="K1786"/>
    </row>
    <row r="1787" spans="11:11" ht="15" x14ac:dyDescent="0.25">
      <c r="K1787"/>
    </row>
    <row r="1788" spans="11:11" ht="15" x14ac:dyDescent="0.25">
      <c r="K1788"/>
    </row>
    <row r="1789" spans="11:11" ht="15" x14ac:dyDescent="0.25">
      <c r="K1789"/>
    </row>
    <row r="1790" spans="11:11" ht="15" x14ac:dyDescent="0.25">
      <c r="K1790"/>
    </row>
    <row r="1791" spans="11:11" ht="15" x14ac:dyDescent="0.25">
      <c r="K1791"/>
    </row>
    <row r="1792" spans="11:11" ht="15" x14ac:dyDescent="0.25">
      <c r="K1792"/>
    </row>
    <row r="1793" spans="11:11" ht="15" x14ac:dyDescent="0.25">
      <c r="K1793"/>
    </row>
    <row r="1794" spans="11:11" ht="15" x14ac:dyDescent="0.25">
      <c r="K1794"/>
    </row>
    <row r="1795" spans="11:11" ht="15" x14ac:dyDescent="0.25">
      <c r="K1795"/>
    </row>
    <row r="1796" spans="11:11" ht="15" x14ac:dyDescent="0.25">
      <c r="K1796"/>
    </row>
    <row r="1797" spans="11:11" ht="15" x14ac:dyDescent="0.25">
      <c r="K1797"/>
    </row>
    <row r="1798" spans="11:11" ht="15" x14ac:dyDescent="0.25">
      <c r="K1798"/>
    </row>
    <row r="1799" spans="11:11" ht="15" x14ac:dyDescent="0.25">
      <c r="K1799"/>
    </row>
    <row r="1800" spans="11:11" ht="15" x14ac:dyDescent="0.25">
      <c r="K1800"/>
    </row>
    <row r="1801" spans="11:11" ht="15" x14ac:dyDescent="0.25">
      <c r="K1801"/>
    </row>
    <row r="1802" spans="11:11" ht="15" x14ac:dyDescent="0.25">
      <c r="K1802"/>
    </row>
    <row r="1803" spans="11:11" ht="15" x14ac:dyDescent="0.25">
      <c r="K1803"/>
    </row>
    <row r="1804" spans="11:11" ht="15" x14ac:dyDescent="0.25">
      <c r="K1804"/>
    </row>
    <row r="1805" spans="11:11" ht="15" x14ac:dyDescent="0.25">
      <c r="K1805"/>
    </row>
    <row r="1806" spans="11:11" ht="15" x14ac:dyDescent="0.25">
      <c r="K1806"/>
    </row>
    <row r="1807" spans="11:11" ht="15" x14ac:dyDescent="0.25">
      <c r="K1807"/>
    </row>
    <row r="1808" spans="11:11" ht="15" x14ac:dyDescent="0.25">
      <c r="K1808"/>
    </row>
    <row r="1809" spans="11:11" ht="15" x14ac:dyDescent="0.25">
      <c r="K1809"/>
    </row>
    <row r="1810" spans="11:11" ht="15" x14ac:dyDescent="0.25">
      <c r="K1810"/>
    </row>
    <row r="1811" spans="11:11" ht="15" x14ac:dyDescent="0.25">
      <c r="K1811"/>
    </row>
    <row r="1812" spans="11:11" ht="15" x14ac:dyDescent="0.25">
      <c r="K1812"/>
    </row>
    <row r="1813" spans="11:11" ht="15" x14ac:dyDescent="0.25">
      <c r="K1813"/>
    </row>
    <row r="1814" spans="11:11" ht="15" x14ac:dyDescent="0.25">
      <c r="K1814"/>
    </row>
    <row r="1815" spans="11:11" ht="15" x14ac:dyDescent="0.25">
      <c r="K1815"/>
    </row>
    <row r="1816" spans="11:11" ht="15" x14ac:dyDescent="0.25">
      <c r="K1816"/>
    </row>
    <row r="1817" spans="11:11" ht="15" x14ac:dyDescent="0.25">
      <c r="K1817"/>
    </row>
    <row r="1818" spans="11:11" ht="15" x14ac:dyDescent="0.25">
      <c r="K1818"/>
    </row>
    <row r="1819" spans="11:11" ht="15" x14ac:dyDescent="0.25">
      <c r="K1819"/>
    </row>
    <row r="1820" spans="11:11" ht="15" x14ac:dyDescent="0.25">
      <c r="K1820"/>
    </row>
    <row r="1821" spans="11:11" ht="15" x14ac:dyDescent="0.25">
      <c r="K1821"/>
    </row>
    <row r="1822" spans="11:11" ht="15" x14ac:dyDescent="0.25">
      <c r="K1822"/>
    </row>
    <row r="1823" spans="11:11" ht="15" x14ac:dyDescent="0.25">
      <c r="K1823"/>
    </row>
    <row r="1824" spans="11:11" ht="15" x14ac:dyDescent="0.25">
      <c r="K1824"/>
    </row>
    <row r="1825" spans="11:11" ht="15" x14ac:dyDescent="0.25">
      <c r="K1825"/>
    </row>
    <row r="1826" spans="11:11" ht="15" x14ac:dyDescent="0.25">
      <c r="K1826"/>
    </row>
    <row r="1827" spans="11:11" ht="15" x14ac:dyDescent="0.25">
      <c r="K1827"/>
    </row>
    <row r="1828" spans="11:11" ht="15" x14ac:dyDescent="0.25">
      <c r="K1828"/>
    </row>
    <row r="1829" spans="11:11" ht="15" x14ac:dyDescent="0.25">
      <c r="K1829"/>
    </row>
    <row r="1830" spans="11:11" ht="15" x14ac:dyDescent="0.25">
      <c r="K1830"/>
    </row>
    <row r="1831" spans="11:11" ht="15" x14ac:dyDescent="0.25">
      <c r="K1831"/>
    </row>
    <row r="1832" spans="11:11" ht="15" x14ac:dyDescent="0.25">
      <c r="K1832"/>
    </row>
    <row r="1833" spans="11:11" ht="15" x14ac:dyDescent="0.25">
      <c r="K1833"/>
    </row>
    <row r="1834" spans="11:11" ht="15" x14ac:dyDescent="0.25">
      <c r="K1834"/>
    </row>
    <row r="1835" spans="11:11" ht="15" x14ac:dyDescent="0.25">
      <c r="K1835"/>
    </row>
    <row r="1836" spans="11:11" ht="15" x14ac:dyDescent="0.25">
      <c r="K1836"/>
    </row>
    <row r="1837" spans="11:11" ht="15" x14ac:dyDescent="0.25">
      <c r="K1837"/>
    </row>
    <row r="1838" spans="11:11" ht="15" x14ac:dyDescent="0.25">
      <c r="K1838"/>
    </row>
    <row r="1839" spans="11:11" ht="15" x14ac:dyDescent="0.25">
      <c r="K1839"/>
    </row>
    <row r="1840" spans="11:11" ht="15" x14ac:dyDescent="0.25">
      <c r="K1840"/>
    </row>
    <row r="1841" spans="11:11" ht="15" x14ac:dyDescent="0.25">
      <c r="K1841"/>
    </row>
    <row r="1842" spans="11:11" ht="15" x14ac:dyDescent="0.25">
      <c r="K1842"/>
    </row>
    <row r="1843" spans="11:11" ht="15" x14ac:dyDescent="0.25">
      <c r="K1843"/>
    </row>
    <row r="1844" spans="11:11" ht="15" x14ac:dyDescent="0.25">
      <c r="K1844"/>
    </row>
    <row r="1845" spans="11:11" ht="15" x14ac:dyDescent="0.25">
      <c r="K1845"/>
    </row>
    <row r="1846" spans="11:11" ht="15" x14ac:dyDescent="0.25">
      <c r="K1846"/>
    </row>
    <row r="1847" spans="11:11" ht="15" x14ac:dyDescent="0.25">
      <c r="K1847"/>
    </row>
    <row r="1848" spans="11:11" ht="15" x14ac:dyDescent="0.25">
      <c r="K1848"/>
    </row>
    <row r="1849" spans="11:11" ht="15" x14ac:dyDescent="0.25">
      <c r="K1849"/>
    </row>
    <row r="1850" spans="11:11" ht="15" x14ac:dyDescent="0.25">
      <c r="K1850"/>
    </row>
    <row r="1851" spans="11:11" ht="15" x14ac:dyDescent="0.25">
      <c r="K1851"/>
    </row>
    <row r="1852" spans="11:11" ht="15" x14ac:dyDescent="0.25">
      <c r="K1852"/>
    </row>
    <row r="1853" spans="11:11" ht="15" x14ac:dyDescent="0.25">
      <c r="K1853"/>
    </row>
    <row r="1854" spans="11:11" ht="15" x14ac:dyDescent="0.25">
      <c r="K1854"/>
    </row>
    <row r="1855" spans="11:11" ht="15" x14ac:dyDescent="0.25">
      <c r="K1855"/>
    </row>
    <row r="1856" spans="11:11" ht="15" x14ac:dyDescent="0.25">
      <c r="K1856"/>
    </row>
    <row r="1857" spans="11:11" ht="15" x14ac:dyDescent="0.25">
      <c r="K1857"/>
    </row>
    <row r="1858" spans="11:11" ht="15" x14ac:dyDescent="0.25">
      <c r="K1858"/>
    </row>
    <row r="1859" spans="11:11" ht="15" x14ac:dyDescent="0.25">
      <c r="K1859"/>
    </row>
    <row r="1860" spans="11:11" ht="15" x14ac:dyDescent="0.25">
      <c r="K1860"/>
    </row>
    <row r="1861" spans="11:11" ht="15" x14ac:dyDescent="0.25">
      <c r="K1861"/>
    </row>
    <row r="1862" spans="11:11" ht="15" x14ac:dyDescent="0.25">
      <c r="K1862"/>
    </row>
    <row r="1863" spans="11:11" ht="15" x14ac:dyDescent="0.25">
      <c r="K1863"/>
    </row>
    <row r="1864" spans="11:11" ht="15" x14ac:dyDescent="0.25">
      <c r="K1864"/>
    </row>
    <row r="1865" spans="11:11" ht="15" x14ac:dyDescent="0.25">
      <c r="K1865"/>
    </row>
    <row r="1866" spans="11:11" ht="15" x14ac:dyDescent="0.25">
      <c r="K1866"/>
    </row>
    <row r="1867" spans="11:11" ht="15" x14ac:dyDescent="0.25">
      <c r="K1867"/>
    </row>
    <row r="1868" spans="11:11" ht="15" x14ac:dyDescent="0.25">
      <c r="K1868"/>
    </row>
    <row r="1869" spans="11:11" ht="15" x14ac:dyDescent="0.25">
      <c r="K1869"/>
    </row>
    <row r="1870" spans="11:11" ht="15" x14ac:dyDescent="0.25">
      <c r="K1870"/>
    </row>
    <row r="1871" spans="11:11" ht="15" x14ac:dyDescent="0.25">
      <c r="K1871"/>
    </row>
    <row r="1872" spans="11:11" ht="15" x14ac:dyDescent="0.25">
      <c r="K1872"/>
    </row>
    <row r="1873" spans="11:11" ht="15" x14ac:dyDescent="0.25">
      <c r="K1873"/>
    </row>
    <row r="1874" spans="11:11" ht="15" x14ac:dyDescent="0.25">
      <c r="K1874"/>
    </row>
    <row r="1875" spans="11:11" ht="15" x14ac:dyDescent="0.25">
      <c r="K1875"/>
    </row>
    <row r="1876" spans="11:11" ht="15" x14ac:dyDescent="0.25">
      <c r="K1876"/>
    </row>
    <row r="1877" spans="11:11" ht="15" x14ac:dyDescent="0.25">
      <c r="K1877"/>
    </row>
    <row r="1878" spans="11:11" ht="15" x14ac:dyDescent="0.25">
      <c r="K1878"/>
    </row>
    <row r="1879" spans="11:11" ht="15" x14ac:dyDescent="0.25">
      <c r="K1879"/>
    </row>
    <row r="1880" spans="11:11" ht="15" x14ac:dyDescent="0.25">
      <c r="K1880"/>
    </row>
    <row r="1881" spans="11:11" ht="15" x14ac:dyDescent="0.25">
      <c r="K1881"/>
    </row>
    <row r="1882" spans="11:11" ht="15" x14ac:dyDescent="0.25">
      <c r="K1882"/>
    </row>
    <row r="1883" spans="11:11" ht="15" x14ac:dyDescent="0.25">
      <c r="K1883"/>
    </row>
    <row r="1884" spans="11:11" ht="15" x14ac:dyDescent="0.25">
      <c r="K1884"/>
    </row>
    <row r="1885" spans="11:11" ht="15" x14ac:dyDescent="0.25">
      <c r="K1885"/>
    </row>
    <row r="1886" spans="11:11" ht="15" x14ac:dyDescent="0.25">
      <c r="K1886"/>
    </row>
    <row r="1887" spans="11:11" ht="15" x14ac:dyDescent="0.25">
      <c r="K1887"/>
    </row>
    <row r="1888" spans="11:11" ht="15" x14ac:dyDescent="0.25">
      <c r="K1888"/>
    </row>
    <row r="1889" spans="11:11" ht="15" x14ac:dyDescent="0.25">
      <c r="K1889"/>
    </row>
    <row r="1890" spans="11:11" ht="15" x14ac:dyDescent="0.25">
      <c r="K1890"/>
    </row>
    <row r="1891" spans="11:11" ht="15" x14ac:dyDescent="0.25">
      <c r="K1891"/>
    </row>
    <row r="1892" spans="11:11" ht="15" x14ac:dyDescent="0.25">
      <c r="K1892"/>
    </row>
    <row r="1893" spans="11:11" ht="15" x14ac:dyDescent="0.25">
      <c r="K1893"/>
    </row>
    <row r="1894" spans="11:11" ht="15" x14ac:dyDescent="0.25">
      <c r="K1894"/>
    </row>
    <row r="1895" spans="11:11" ht="15" x14ac:dyDescent="0.25">
      <c r="K1895"/>
    </row>
    <row r="1896" spans="11:11" ht="15" x14ac:dyDescent="0.25">
      <c r="K1896"/>
    </row>
    <row r="1897" spans="11:11" ht="15" x14ac:dyDescent="0.25">
      <c r="K1897"/>
    </row>
    <row r="1898" spans="11:11" ht="15" x14ac:dyDescent="0.25">
      <c r="K1898"/>
    </row>
    <row r="1899" spans="11:11" ht="15" x14ac:dyDescent="0.25">
      <c r="K1899"/>
    </row>
    <row r="1900" spans="11:11" ht="15" x14ac:dyDescent="0.25">
      <c r="K1900"/>
    </row>
    <row r="1901" spans="11:11" ht="15" x14ac:dyDescent="0.25">
      <c r="K1901"/>
    </row>
    <row r="1902" spans="11:11" ht="15" x14ac:dyDescent="0.25">
      <c r="K1902"/>
    </row>
    <row r="1903" spans="11:11" ht="15" x14ac:dyDescent="0.25">
      <c r="K1903"/>
    </row>
    <row r="1904" spans="11:11" ht="15" x14ac:dyDescent="0.25">
      <c r="K1904"/>
    </row>
    <row r="1905" spans="11:11" ht="15" x14ac:dyDescent="0.25">
      <c r="K1905"/>
    </row>
    <row r="1906" spans="11:11" ht="15" x14ac:dyDescent="0.25">
      <c r="K1906"/>
    </row>
    <row r="1907" spans="11:11" ht="15" x14ac:dyDescent="0.25">
      <c r="K1907"/>
    </row>
    <row r="1908" spans="11:11" ht="15" x14ac:dyDescent="0.25">
      <c r="K1908"/>
    </row>
    <row r="1909" spans="11:11" ht="15" x14ac:dyDescent="0.25">
      <c r="K1909"/>
    </row>
    <row r="1910" spans="11:11" ht="15" x14ac:dyDescent="0.25">
      <c r="K1910"/>
    </row>
    <row r="1911" spans="11:11" ht="15" x14ac:dyDescent="0.25">
      <c r="K1911"/>
    </row>
    <row r="1912" spans="11:11" ht="15" x14ac:dyDescent="0.25">
      <c r="K1912"/>
    </row>
    <row r="1913" spans="11:11" ht="15" x14ac:dyDescent="0.25">
      <c r="K1913"/>
    </row>
    <row r="1914" spans="11:11" ht="15" x14ac:dyDescent="0.25">
      <c r="K1914"/>
    </row>
    <row r="1915" spans="11:11" ht="15" x14ac:dyDescent="0.25">
      <c r="K1915"/>
    </row>
    <row r="1916" spans="11:11" ht="15" x14ac:dyDescent="0.25">
      <c r="K1916"/>
    </row>
    <row r="1917" spans="11:11" ht="15" x14ac:dyDescent="0.25">
      <c r="K1917"/>
    </row>
    <row r="1918" spans="11:11" ht="15" x14ac:dyDescent="0.25">
      <c r="K1918"/>
    </row>
    <row r="1919" spans="11:11" ht="15" x14ac:dyDescent="0.25">
      <c r="K1919"/>
    </row>
    <row r="1920" spans="11:11" ht="15" x14ac:dyDescent="0.25">
      <c r="K1920"/>
    </row>
    <row r="1921" spans="11:11" ht="15" x14ac:dyDescent="0.25">
      <c r="K1921"/>
    </row>
    <row r="1922" spans="11:11" ht="15" x14ac:dyDescent="0.25">
      <c r="K1922"/>
    </row>
    <row r="1923" spans="11:11" ht="15" x14ac:dyDescent="0.25">
      <c r="K1923"/>
    </row>
    <row r="1924" spans="11:11" ht="15" x14ac:dyDescent="0.25">
      <c r="K1924"/>
    </row>
    <row r="1925" spans="11:11" ht="15" x14ac:dyDescent="0.25">
      <c r="K1925"/>
    </row>
    <row r="1926" spans="11:11" ht="15" x14ac:dyDescent="0.25">
      <c r="K1926"/>
    </row>
    <row r="1927" spans="11:11" ht="15" x14ac:dyDescent="0.25">
      <c r="K1927"/>
    </row>
    <row r="1928" spans="11:11" ht="15" x14ac:dyDescent="0.25">
      <c r="K1928"/>
    </row>
    <row r="1929" spans="11:11" ht="15" x14ac:dyDescent="0.25">
      <c r="K1929"/>
    </row>
    <row r="1930" spans="11:11" ht="15" x14ac:dyDescent="0.25">
      <c r="K1930"/>
    </row>
    <row r="1931" spans="11:11" ht="15" x14ac:dyDescent="0.25">
      <c r="K1931"/>
    </row>
    <row r="1932" spans="11:11" ht="15" x14ac:dyDescent="0.25">
      <c r="K1932"/>
    </row>
    <row r="1933" spans="11:11" ht="15" x14ac:dyDescent="0.25">
      <c r="K1933"/>
    </row>
    <row r="1934" spans="11:11" ht="15" x14ac:dyDescent="0.25">
      <c r="K1934"/>
    </row>
    <row r="1935" spans="11:11" ht="15" x14ac:dyDescent="0.25">
      <c r="K1935"/>
    </row>
    <row r="1936" spans="11:11" ht="15" x14ac:dyDescent="0.25">
      <c r="K1936"/>
    </row>
    <row r="1937" spans="11:11" ht="15" x14ac:dyDescent="0.25">
      <c r="K1937"/>
    </row>
    <row r="1938" spans="11:11" ht="15" x14ac:dyDescent="0.25">
      <c r="K1938"/>
    </row>
    <row r="1939" spans="11:11" ht="15" x14ac:dyDescent="0.25">
      <c r="K1939"/>
    </row>
    <row r="1940" spans="11:11" ht="15" x14ac:dyDescent="0.25">
      <c r="K1940"/>
    </row>
    <row r="1941" spans="11:11" ht="15" x14ac:dyDescent="0.25">
      <c r="K1941"/>
    </row>
    <row r="1942" spans="11:11" ht="15" x14ac:dyDescent="0.25">
      <c r="K1942"/>
    </row>
    <row r="1943" spans="11:11" ht="15" x14ac:dyDescent="0.25">
      <c r="K1943"/>
    </row>
    <row r="1944" spans="11:11" ht="15" x14ac:dyDescent="0.25">
      <c r="K1944"/>
    </row>
    <row r="1945" spans="11:11" ht="15" x14ac:dyDescent="0.25">
      <c r="K1945"/>
    </row>
    <row r="1946" spans="11:11" ht="15" x14ac:dyDescent="0.25">
      <c r="K1946"/>
    </row>
    <row r="1947" spans="11:11" ht="15" x14ac:dyDescent="0.25">
      <c r="K1947"/>
    </row>
    <row r="1948" spans="11:11" ht="15" x14ac:dyDescent="0.25">
      <c r="K1948"/>
    </row>
    <row r="1949" spans="11:11" ht="15" x14ac:dyDescent="0.25">
      <c r="K1949"/>
    </row>
    <row r="1950" spans="11:11" ht="15" x14ac:dyDescent="0.25">
      <c r="K1950"/>
    </row>
    <row r="1951" spans="11:11" ht="15" x14ac:dyDescent="0.25">
      <c r="K1951"/>
    </row>
    <row r="1952" spans="11:11" ht="15" x14ac:dyDescent="0.25">
      <c r="K1952"/>
    </row>
    <row r="1953" spans="11:11" ht="15" x14ac:dyDescent="0.25">
      <c r="K1953"/>
    </row>
    <row r="1954" spans="11:11" ht="15" x14ac:dyDescent="0.25">
      <c r="K1954"/>
    </row>
    <row r="1955" spans="11:11" ht="15" x14ac:dyDescent="0.25">
      <c r="K1955"/>
    </row>
    <row r="1956" spans="11:11" ht="15" x14ac:dyDescent="0.25">
      <c r="K1956"/>
    </row>
    <row r="1957" spans="11:11" ht="15" x14ac:dyDescent="0.25">
      <c r="K1957"/>
    </row>
    <row r="1958" spans="11:11" ht="15" x14ac:dyDescent="0.25">
      <c r="K1958"/>
    </row>
    <row r="1959" spans="11:11" ht="15" x14ac:dyDescent="0.25">
      <c r="K1959"/>
    </row>
    <row r="1960" spans="11:11" ht="15" x14ac:dyDescent="0.25">
      <c r="K1960"/>
    </row>
    <row r="1961" spans="11:11" ht="15" x14ac:dyDescent="0.25">
      <c r="K1961"/>
    </row>
    <row r="1962" spans="11:11" ht="15" x14ac:dyDescent="0.25">
      <c r="K1962"/>
    </row>
    <row r="1963" spans="11:11" ht="15" x14ac:dyDescent="0.25">
      <c r="K1963"/>
    </row>
    <row r="1964" spans="11:11" ht="15" x14ac:dyDescent="0.25">
      <c r="K1964"/>
    </row>
    <row r="1965" spans="11:11" ht="15" x14ac:dyDescent="0.25">
      <c r="K1965"/>
    </row>
    <row r="1966" spans="11:11" ht="15" x14ac:dyDescent="0.25">
      <c r="K1966"/>
    </row>
    <row r="1967" spans="11:11" ht="15" x14ac:dyDescent="0.25">
      <c r="K1967"/>
    </row>
    <row r="1968" spans="11:11" ht="15" x14ac:dyDescent="0.25">
      <c r="K1968"/>
    </row>
    <row r="1969" spans="11:11" ht="15" x14ac:dyDescent="0.25">
      <c r="K1969"/>
    </row>
    <row r="1970" spans="11:11" ht="15" x14ac:dyDescent="0.25">
      <c r="K1970"/>
    </row>
    <row r="1971" spans="11:11" ht="15" x14ac:dyDescent="0.25">
      <c r="K1971"/>
    </row>
    <row r="1972" spans="11:11" ht="15" x14ac:dyDescent="0.25">
      <c r="K1972"/>
    </row>
    <row r="1973" spans="11:11" ht="15" x14ac:dyDescent="0.25">
      <c r="K1973"/>
    </row>
    <row r="1974" spans="11:11" ht="15" x14ac:dyDescent="0.25">
      <c r="K1974"/>
    </row>
    <row r="1975" spans="11:11" ht="15" x14ac:dyDescent="0.25">
      <c r="K1975"/>
    </row>
    <row r="1976" spans="11:11" ht="15" x14ac:dyDescent="0.25">
      <c r="K1976"/>
    </row>
    <row r="1977" spans="11:11" ht="15" x14ac:dyDescent="0.25">
      <c r="K1977"/>
    </row>
    <row r="1978" spans="11:11" ht="15" x14ac:dyDescent="0.25">
      <c r="K1978"/>
    </row>
    <row r="1979" spans="11:11" ht="15" x14ac:dyDescent="0.25">
      <c r="K1979"/>
    </row>
    <row r="1980" spans="11:11" ht="15" x14ac:dyDescent="0.25">
      <c r="K1980"/>
    </row>
    <row r="1981" spans="11:11" ht="15" x14ac:dyDescent="0.25">
      <c r="K1981"/>
    </row>
    <row r="1982" spans="11:11" ht="15" x14ac:dyDescent="0.25">
      <c r="K1982"/>
    </row>
    <row r="1983" spans="11:11" ht="15" x14ac:dyDescent="0.25">
      <c r="K1983"/>
    </row>
    <row r="1984" spans="11:11" ht="15" x14ac:dyDescent="0.25">
      <c r="K1984"/>
    </row>
    <row r="1985" spans="11:11" ht="15" x14ac:dyDescent="0.25">
      <c r="K1985"/>
    </row>
    <row r="1986" spans="11:11" ht="15" x14ac:dyDescent="0.25">
      <c r="K1986"/>
    </row>
    <row r="1987" spans="11:11" ht="15" x14ac:dyDescent="0.25">
      <c r="K1987"/>
    </row>
    <row r="1988" spans="11:11" ht="15" x14ac:dyDescent="0.25">
      <c r="K1988"/>
    </row>
    <row r="1989" spans="11:11" ht="15" x14ac:dyDescent="0.25">
      <c r="K1989"/>
    </row>
    <row r="1990" spans="11:11" ht="15" x14ac:dyDescent="0.25">
      <c r="K1990"/>
    </row>
    <row r="1991" spans="11:11" ht="15" x14ac:dyDescent="0.25">
      <c r="K1991"/>
    </row>
    <row r="1992" spans="11:11" ht="15" x14ac:dyDescent="0.25">
      <c r="K1992"/>
    </row>
    <row r="1993" spans="11:11" ht="15" x14ac:dyDescent="0.25">
      <c r="K1993"/>
    </row>
    <row r="1994" spans="11:11" ht="15" x14ac:dyDescent="0.25">
      <c r="K1994"/>
    </row>
    <row r="1995" spans="11:11" ht="15" x14ac:dyDescent="0.25">
      <c r="K1995"/>
    </row>
    <row r="1996" spans="11:11" ht="15" x14ac:dyDescent="0.25">
      <c r="K1996"/>
    </row>
    <row r="1997" spans="11:11" ht="15" x14ac:dyDescent="0.25">
      <c r="K1997"/>
    </row>
    <row r="1998" spans="11:11" ht="15" x14ac:dyDescent="0.25">
      <c r="K1998"/>
    </row>
    <row r="1999" spans="11:11" ht="15" x14ac:dyDescent="0.25">
      <c r="K1999"/>
    </row>
    <row r="2000" spans="11:11" ht="15" x14ac:dyDescent="0.25">
      <c r="K2000"/>
    </row>
    <row r="2001" spans="11:11" ht="15" x14ac:dyDescent="0.25">
      <c r="K2001"/>
    </row>
    <row r="2002" spans="11:11" ht="15" x14ac:dyDescent="0.25">
      <c r="K2002"/>
    </row>
    <row r="2003" spans="11:11" ht="15" x14ac:dyDescent="0.25">
      <c r="K2003"/>
    </row>
    <row r="2004" spans="11:11" ht="15" x14ac:dyDescent="0.25">
      <c r="K2004"/>
    </row>
    <row r="2005" spans="11:11" ht="15" x14ac:dyDescent="0.25">
      <c r="K2005"/>
    </row>
    <row r="2006" spans="11:11" ht="15" x14ac:dyDescent="0.25">
      <c r="K2006"/>
    </row>
    <row r="2007" spans="11:11" ht="15" x14ac:dyDescent="0.25">
      <c r="K2007"/>
    </row>
    <row r="2008" spans="11:11" ht="15" x14ac:dyDescent="0.25">
      <c r="K2008"/>
    </row>
    <row r="2009" spans="11:11" ht="15" x14ac:dyDescent="0.25">
      <c r="K2009"/>
    </row>
    <row r="2010" spans="11:11" ht="15" x14ac:dyDescent="0.25">
      <c r="K2010"/>
    </row>
    <row r="2011" spans="11:11" ht="15" x14ac:dyDescent="0.25">
      <c r="K2011"/>
    </row>
    <row r="2012" spans="11:11" ht="15" x14ac:dyDescent="0.25">
      <c r="K2012"/>
    </row>
    <row r="2013" spans="11:11" ht="15" x14ac:dyDescent="0.25">
      <c r="K2013"/>
    </row>
    <row r="2014" spans="11:11" ht="15" x14ac:dyDescent="0.25">
      <c r="K2014"/>
    </row>
    <row r="2015" spans="11:11" ht="15" x14ac:dyDescent="0.25">
      <c r="K2015"/>
    </row>
    <row r="2016" spans="11:11" ht="15" x14ac:dyDescent="0.25">
      <c r="K2016"/>
    </row>
    <row r="2017" spans="11:11" ht="15" x14ac:dyDescent="0.25">
      <c r="K2017"/>
    </row>
    <row r="2018" spans="11:11" ht="15" x14ac:dyDescent="0.25">
      <c r="K2018"/>
    </row>
    <row r="2019" spans="11:11" ht="15" x14ac:dyDescent="0.25">
      <c r="K2019"/>
    </row>
    <row r="2020" spans="11:11" ht="15" x14ac:dyDescent="0.25">
      <c r="K2020"/>
    </row>
    <row r="2021" spans="11:11" ht="15" x14ac:dyDescent="0.25">
      <c r="K2021"/>
    </row>
    <row r="2022" spans="11:11" ht="15" x14ac:dyDescent="0.25">
      <c r="K2022"/>
    </row>
    <row r="2023" spans="11:11" ht="15" x14ac:dyDescent="0.25">
      <c r="K2023"/>
    </row>
    <row r="2024" spans="11:11" ht="15" x14ac:dyDescent="0.25">
      <c r="K2024"/>
    </row>
    <row r="2025" spans="11:11" ht="15" x14ac:dyDescent="0.25">
      <c r="K2025"/>
    </row>
    <row r="2026" spans="11:11" ht="15" x14ac:dyDescent="0.25">
      <c r="K2026"/>
    </row>
    <row r="2027" spans="11:11" ht="15" x14ac:dyDescent="0.25">
      <c r="K2027"/>
    </row>
    <row r="2028" spans="11:11" ht="15" x14ac:dyDescent="0.25">
      <c r="K2028"/>
    </row>
    <row r="2029" spans="11:11" ht="15" x14ac:dyDescent="0.25">
      <c r="K2029"/>
    </row>
    <row r="2030" spans="11:11" ht="15" x14ac:dyDescent="0.25">
      <c r="K2030"/>
    </row>
    <row r="2031" spans="11:11" ht="15" x14ac:dyDescent="0.25">
      <c r="K2031"/>
    </row>
    <row r="2032" spans="11:11" ht="15" x14ac:dyDescent="0.25">
      <c r="K2032"/>
    </row>
    <row r="2033" spans="11:11" ht="15" x14ac:dyDescent="0.25">
      <c r="K2033"/>
    </row>
    <row r="2034" spans="11:11" ht="15" x14ac:dyDescent="0.25">
      <c r="K2034"/>
    </row>
    <row r="2035" spans="11:11" ht="15" x14ac:dyDescent="0.25">
      <c r="K2035"/>
    </row>
    <row r="2036" spans="11:11" ht="15" x14ac:dyDescent="0.25">
      <c r="K2036"/>
    </row>
    <row r="2037" spans="11:11" ht="15" x14ac:dyDescent="0.25">
      <c r="K2037"/>
    </row>
    <row r="2038" spans="11:11" ht="15" x14ac:dyDescent="0.25">
      <c r="K2038"/>
    </row>
    <row r="2039" spans="11:11" ht="15" x14ac:dyDescent="0.25">
      <c r="K2039"/>
    </row>
    <row r="2040" spans="11:11" ht="15" x14ac:dyDescent="0.25">
      <c r="K2040"/>
    </row>
    <row r="2041" spans="11:11" ht="15" x14ac:dyDescent="0.25">
      <c r="K2041"/>
    </row>
    <row r="2042" spans="11:11" ht="15" x14ac:dyDescent="0.25">
      <c r="K2042"/>
    </row>
    <row r="2043" spans="11:11" ht="15" x14ac:dyDescent="0.25">
      <c r="K2043"/>
    </row>
    <row r="2044" spans="11:11" ht="15" x14ac:dyDescent="0.25">
      <c r="K2044"/>
    </row>
    <row r="2045" spans="11:11" ht="15" x14ac:dyDescent="0.25">
      <c r="K2045"/>
    </row>
    <row r="2046" spans="11:11" ht="15" x14ac:dyDescent="0.25">
      <c r="K2046"/>
    </row>
    <row r="2047" spans="11:11" ht="15" x14ac:dyDescent="0.25">
      <c r="K2047"/>
    </row>
    <row r="2048" spans="11:11" ht="15" x14ac:dyDescent="0.25">
      <c r="K2048"/>
    </row>
    <row r="2049" spans="11:11" ht="15" x14ac:dyDescent="0.25">
      <c r="K2049"/>
    </row>
    <row r="2050" spans="11:11" ht="15" x14ac:dyDescent="0.25">
      <c r="K2050"/>
    </row>
    <row r="2051" spans="11:11" ht="15" x14ac:dyDescent="0.25">
      <c r="K2051"/>
    </row>
    <row r="2052" spans="11:11" ht="15" x14ac:dyDescent="0.25">
      <c r="K2052"/>
    </row>
    <row r="2053" spans="11:11" ht="15" x14ac:dyDescent="0.25">
      <c r="K2053"/>
    </row>
    <row r="2054" spans="11:11" ht="15" x14ac:dyDescent="0.25">
      <c r="K2054"/>
    </row>
    <row r="2055" spans="11:11" ht="15" x14ac:dyDescent="0.25">
      <c r="K2055"/>
    </row>
    <row r="2056" spans="11:11" ht="15" x14ac:dyDescent="0.25">
      <c r="K2056"/>
    </row>
    <row r="2057" spans="11:11" ht="15" x14ac:dyDescent="0.25">
      <c r="K2057"/>
    </row>
    <row r="2058" spans="11:11" ht="15" x14ac:dyDescent="0.25">
      <c r="K2058"/>
    </row>
    <row r="2059" spans="11:11" ht="15" x14ac:dyDescent="0.25">
      <c r="K2059"/>
    </row>
    <row r="2060" spans="11:11" ht="15" x14ac:dyDescent="0.25">
      <c r="K2060"/>
    </row>
    <row r="2061" spans="11:11" ht="15" x14ac:dyDescent="0.25">
      <c r="K2061"/>
    </row>
    <row r="2062" spans="11:11" ht="15" x14ac:dyDescent="0.25">
      <c r="K2062"/>
    </row>
    <row r="2063" spans="11:11" ht="15" x14ac:dyDescent="0.25">
      <c r="K2063"/>
    </row>
    <row r="2064" spans="11:11" ht="15" x14ac:dyDescent="0.25">
      <c r="K2064"/>
    </row>
    <row r="2065" spans="11:11" ht="15" x14ac:dyDescent="0.25">
      <c r="K2065"/>
    </row>
    <row r="2066" spans="11:11" ht="15" x14ac:dyDescent="0.25">
      <c r="K2066"/>
    </row>
    <row r="2067" spans="11:11" ht="15" x14ac:dyDescent="0.25">
      <c r="K2067"/>
    </row>
    <row r="2068" spans="11:11" ht="15" x14ac:dyDescent="0.25">
      <c r="K2068"/>
    </row>
    <row r="2069" spans="11:11" ht="15" x14ac:dyDescent="0.25">
      <c r="K2069"/>
    </row>
    <row r="2070" spans="11:11" ht="15" x14ac:dyDescent="0.25">
      <c r="K2070"/>
    </row>
    <row r="2071" spans="11:11" ht="15" x14ac:dyDescent="0.25">
      <c r="K2071"/>
    </row>
    <row r="2072" spans="11:11" ht="15" x14ac:dyDescent="0.25">
      <c r="K2072"/>
    </row>
    <row r="2073" spans="11:11" ht="15" x14ac:dyDescent="0.25">
      <c r="K2073"/>
    </row>
    <row r="2074" spans="11:11" ht="15" x14ac:dyDescent="0.25">
      <c r="K2074"/>
    </row>
    <row r="2075" spans="11:11" ht="15" x14ac:dyDescent="0.25">
      <c r="K2075"/>
    </row>
    <row r="2076" spans="11:11" ht="15" x14ac:dyDescent="0.25">
      <c r="K2076"/>
    </row>
    <row r="2077" spans="11:11" ht="15" x14ac:dyDescent="0.25">
      <c r="K2077"/>
    </row>
    <row r="2078" spans="11:11" ht="15" x14ac:dyDescent="0.25">
      <c r="K2078"/>
    </row>
    <row r="2079" spans="11:11" ht="15" x14ac:dyDescent="0.25">
      <c r="K2079"/>
    </row>
    <row r="2080" spans="11:11" ht="15" x14ac:dyDescent="0.25">
      <c r="K2080"/>
    </row>
    <row r="2081" spans="11:11" ht="15" x14ac:dyDescent="0.25">
      <c r="K2081"/>
    </row>
    <row r="2082" spans="11:11" ht="15" x14ac:dyDescent="0.25">
      <c r="K2082"/>
    </row>
    <row r="2083" spans="11:11" ht="15" x14ac:dyDescent="0.25">
      <c r="K2083"/>
    </row>
    <row r="2084" spans="11:11" ht="15" x14ac:dyDescent="0.25">
      <c r="K2084"/>
    </row>
    <row r="2085" spans="11:11" ht="15" x14ac:dyDescent="0.25">
      <c r="K2085"/>
    </row>
    <row r="2086" spans="11:11" ht="15" x14ac:dyDescent="0.25">
      <c r="K2086"/>
    </row>
    <row r="2087" spans="11:11" ht="15" x14ac:dyDescent="0.25">
      <c r="K2087"/>
    </row>
    <row r="2088" spans="11:11" ht="15" x14ac:dyDescent="0.25">
      <c r="K2088"/>
    </row>
    <row r="2089" spans="11:11" ht="15" x14ac:dyDescent="0.25">
      <c r="K2089"/>
    </row>
    <row r="2090" spans="11:11" ht="15" x14ac:dyDescent="0.25">
      <c r="K2090"/>
    </row>
    <row r="2091" spans="11:11" ht="15" x14ac:dyDescent="0.25">
      <c r="K2091"/>
    </row>
    <row r="2092" spans="11:11" ht="15" x14ac:dyDescent="0.25">
      <c r="K2092"/>
    </row>
    <row r="2093" spans="11:11" ht="15" x14ac:dyDescent="0.25">
      <c r="K2093"/>
    </row>
    <row r="2094" spans="11:11" ht="15" x14ac:dyDescent="0.25">
      <c r="K2094"/>
    </row>
    <row r="2095" spans="11:11" ht="15" x14ac:dyDescent="0.25">
      <c r="K2095"/>
    </row>
    <row r="2096" spans="11:11" ht="15" x14ac:dyDescent="0.25">
      <c r="K2096"/>
    </row>
    <row r="2097" spans="11:11" ht="15" x14ac:dyDescent="0.25">
      <c r="K2097"/>
    </row>
    <row r="2098" spans="11:11" ht="15" x14ac:dyDescent="0.25">
      <c r="K2098"/>
    </row>
    <row r="2099" spans="11:11" ht="15" x14ac:dyDescent="0.25">
      <c r="K2099"/>
    </row>
    <row r="2100" spans="11:11" ht="15" x14ac:dyDescent="0.25">
      <c r="K2100"/>
    </row>
    <row r="2101" spans="11:11" ht="15" x14ac:dyDescent="0.25">
      <c r="K2101"/>
    </row>
    <row r="2102" spans="11:11" ht="15" x14ac:dyDescent="0.25">
      <c r="K2102"/>
    </row>
    <row r="2103" spans="11:11" ht="15" x14ac:dyDescent="0.25">
      <c r="K2103"/>
    </row>
    <row r="2104" spans="11:11" ht="15" x14ac:dyDescent="0.25">
      <c r="K2104"/>
    </row>
    <row r="2105" spans="11:11" ht="15" x14ac:dyDescent="0.25">
      <c r="K2105"/>
    </row>
    <row r="2106" spans="11:11" ht="15" x14ac:dyDescent="0.25">
      <c r="K2106"/>
    </row>
    <row r="2107" spans="11:11" ht="15" x14ac:dyDescent="0.25">
      <c r="K2107"/>
    </row>
    <row r="2108" spans="11:11" ht="15" x14ac:dyDescent="0.25">
      <c r="K2108"/>
    </row>
    <row r="2109" spans="11:11" ht="15" x14ac:dyDescent="0.25">
      <c r="K2109"/>
    </row>
    <row r="2110" spans="11:11" ht="15" x14ac:dyDescent="0.25">
      <c r="K2110"/>
    </row>
    <row r="2111" spans="11:11" ht="15" x14ac:dyDescent="0.25">
      <c r="K2111"/>
    </row>
    <row r="2112" spans="11:11" ht="15" x14ac:dyDescent="0.25">
      <c r="K2112"/>
    </row>
    <row r="2113" spans="11:11" ht="15" x14ac:dyDescent="0.25">
      <c r="K2113"/>
    </row>
    <row r="2114" spans="11:11" ht="15" x14ac:dyDescent="0.25">
      <c r="K2114"/>
    </row>
    <row r="2115" spans="11:11" ht="15" x14ac:dyDescent="0.25">
      <c r="K2115"/>
    </row>
    <row r="2116" spans="11:11" ht="15" x14ac:dyDescent="0.25">
      <c r="K2116"/>
    </row>
    <row r="2117" spans="11:11" ht="15" x14ac:dyDescent="0.25">
      <c r="K2117"/>
    </row>
    <row r="2118" spans="11:11" ht="15" x14ac:dyDescent="0.25">
      <c r="K2118"/>
    </row>
    <row r="2119" spans="11:11" ht="15" x14ac:dyDescent="0.25">
      <c r="K2119"/>
    </row>
    <row r="2120" spans="11:11" ht="15" x14ac:dyDescent="0.25">
      <c r="K2120"/>
    </row>
    <row r="2121" spans="11:11" ht="15" x14ac:dyDescent="0.25">
      <c r="K2121"/>
    </row>
    <row r="2122" spans="11:11" ht="15" x14ac:dyDescent="0.25">
      <c r="K2122"/>
    </row>
    <row r="2123" spans="11:11" ht="15" x14ac:dyDescent="0.25">
      <c r="K2123"/>
    </row>
    <row r="2124" spans="11:11" ht="15" x14ac:dyDescent="0.25">
      <c r="K2124"/>
    </row>
    <row r="2125" spans="11:11" ht="15" x14ac:dyDescent="0.25">
      <c r="K2125"/>
    </row>
    <row r="2126" spans="11:11" ht="15" x14ac:dyDescent="0.25">
      <c r="K2126"/>
    </row>
    <row r="2127" spans="11:11" ht="15" x14ac:dyDescent="0.25">
      <c r="K2127"/>
    </row>
    <row r="2128" spans="11:11" ht="15" x14ac:dyDescent="0.25">
      <c r="K2128"/>
    </row>
    <row r="2129" spans="11:11" ht="15" x14ac:dyDescent="0.25">
      <c r="K2129"/>
    </row>
    <row r="2130" spans="11:11" ht="15" x14ac:dyDescent="0.25">
      <c r="K2130"/>
    </row>
    <row r="2131" spans="11:11" ht="15" x14ac:dyDescent="0.25">
      <c r="K2131"/>
    </row>
    <row r="2132" spans="11:11" ht="15" x14ac:dyDescent="0.25">
      <c r="K2132"/>
    </row>
    <row r="2133" spans="11:11" ht="15" x14ac:dyDescent="0.25">
      <c r="K2133"/>
    </row>
    <row r="2134" spans="11:11" ht="15" x14ac:dyDescent="0.25">
      <c r="K2134"/>
    </row>
    <row r="2135" spans="11:11" ht="15" x14ac:dyDescent="0.25">
      <c r="K2135"/>
    </row>
    <row r="2136" spans="11:11" ht="15" x14ac:dyDescent="0.25">
      <c r="K2136"/>
    </row>
    <row r="2137" spans="11:11" ht="15" x14ac:dyDescent="0.25">
      <c r="K2137"/>
    </row>
    <row r="2138" spans="11:11" ht="15" x14ac:dyDescent="0.25">
      <c r="K2138"/>
    </row>
    <row r="2139" spans="11:11" ht="15" x14ac:dyDescent="0.25">
      <c r="K2139"/>
    </row>
    <row r="2140" spans="11:11" ht="15" x14ac:dyDescent="0.25">
      <c r="K2140"/>
    </row>
    <row r="2141" spans="11:11" ht="15" x14ac:dyDescent="0.25">
      <c r="K2141"/>
    </row>
    <row r="2142" spans="11:11" ht="15" x14ac:dyDescent="0.25">
      <c r="K2142"/>
    </row>
    <row r="2143" spans="11:11" ht="15" x14ac:dyDescent="0.25">
      <c r="K2143"/>
    </row>
    <row r="2144" spans="11:11" ht="15" x14ac:dyDescent="0.25">
      <c r="K2144"/>
    </row>
    <row r="2145" spans="11:11" ht="15" x14ac:dyDescent="0.25">
      <c r="K2145"/>
    </row>
    <row r="2146" spans="11:11" ht="15" x14ac:dyDescent="0.25">
      <c r="K2146"/>
    </row>
    <row r="2147" spans="11:11" ht="15" x14ac:dyDescent="0.25">
      <c r="K2147"/>
    </row>
    <row r="2148" spans="11:11" ht="15" x14ac:dyDescent="0.25">
      <c r="K2148"/>
    </row>
    <row r="2149" spans="11:11" ht="15" x14ac:dyDescent="0.25">
      <c r="K2149"/>
    </row>
    <row r="2150" spans="11:11" ht="15" x14ac:dyDescent="0.25">
      <c r="K2150"/>
    </row>
    <row r="2151" spans="11:11" ht="15" x14ac:dyDescent="0.25">
      <c r="K2151"/>
    </row>
    <row r="2152" spans="11:11" ht="15" x14ac:dyDescent="0.25">
      <c r="K2152"/>
    </row>
    <row r="2153" spans="11:11" ht="15" x14ac:dyDescent="0.25">
      <c r="K2153"/>
    </row>
    <row r="2154" spans="11:11" ht="15" x14ac:dyDescent="0.25">
      <c r="K2154"/>
    </row>
    <row r="2155" spans="11:11" ht="15" x14ac:dyDescent="0.25">
      <c r="K2155"/>
    </row>
    <row r="2156" spans="11:11" ht="15" x14ac:dyDescent="0.25">
      <c r="K2156"/>
    </row>
    <row r="2157" spans="11:11" ht="15" x14ac:dyDescent="0.25">
      <c r="K2157"/>
    </row>
    <row r="2158" spans="11:11" ht="15" x14ac:dyDescent="0.25">
      <c r="K2158"/>
    </row>
    <row r="2159" spans="11:11" ht="15" x14ac:dyDescent="0.25">
      <c r="K2159"/>
    </row>
    <row r="2160" spans="11:11" ht="15" x14ac:dyDescent="0.25">
      <c r="K2160"/>
    </row>
    <row r="2161" spans="11:11" ht="15" x14ac:dyDescent="0.25">
      <c r="K2161"/>
    </row>
    <row r="2162" spans="11:11" ht="15" x14ac:dyDescent="0.25">
      <c r="K2162"/>
    </row>
    <row r="2163" spans="11:11" ht="15" x14ac:dyDescent="0.25">
      <c r="K2163"/>
    </row>
    <row r="2164" spans="11:11" ht="15" x14ac:dyDescent="0.25">
      <c r="K2164"/>
    </row>
    <row r="2165" spans="11:11" ht="15" x14ac:dyDescent="0.25">
      <c r="K2165"/>
    </row>
    <row r="2166" spans="11:11" ht="15" x14ac:dyDescent="0.25">
      <c r="K2166"/>
    </row>
    <row r="2167" spans="11:11" ht="15" x14ac:dyDescent="0.25">
      <c r="K2167"/>
    </row>
    <row r="2168" spans="11:11" ht="15" x14ac:dyDescent="0.25">
      <c r="K2168"/>
    </row>
    <row r="2169" spans="11:11" ht="15" x14ac:dyDescent="0.25">
      <c r="K2169"/>
    </row>
    <row r="2170" spans="11:11" ht="15" x14ac:dyDescent="0.25">
      <c r="K2170"/>
    </row>
    <row r="2171" spans="11:11" ht="15" x14ac:dyDescent="0.25">
      <c r="K2171"/>
    </row>
    <row r="2172" spans="11:11" ht="15" x14ac:dyDescent="0.25">
      <c r="K2172"/>
    </row>
    <row r="2173" spans="11:11" ht="15" x14ac:dyDescent="0.25">
      <c r="K2173"/>
    </row>
    <row r="2174" spans="11:11" ht="15" x14ac:dyDescent="0.25">
      <c r="K2174"/>
    </row>
    <row r="2175" spans="11:11" ht="15" x14ac:dyDescent="0.25">
      <c r="K2175"/>
    </row>
    <row r="2176" spans="11:11" ht="15" x14ac:dyDescent="0.25">
      <c r="K2176"/>
    </row>
    <row r="2177" spans="11:11" ht="15" x14ac:dyDescent="0.25">
      <c r="K2177"/>
    </row>
    <row r="2178" spans="11:11" ht="15" x14ac:dyDescent="0.25">
      <c r="K2178"/>
    </row>
    <row r="2179" spans="11:11" ht="15" x14ac:dyDescent="0.25">
      <c r="K2179"/>
    </row>
    <row r="2180" spans="11:11" ht="15" x14ac:dyDescent="0.25">
      <c r="K2180"/>
    </row>
    <row r="2181" spans="11:11" ht="15" x14ac:dyDescent="0.25">
      <c r="K2181"/>
    </row>
    <row r="2182" spans="11:11" ht="15" x14ac:dyDescent="0.25">
      <c r="K2182"/>
    </row>
    <row r="2183" spans="11:11" ht="15" x14ac:dyDescent="0.25">
      <c r="K2183"/>
    </row>
    <row r="2184" spans="11:11" ht="15" x14ac:dyDescent="0.25">
      <c r="K2184"/>
    </row>
    <row r="2185" spans="11:11" ht="15" x14ac:dyDescent="0.25">
      <c r="K2185"/>
    </row>
    <row r="2186" spans="11:11" ht="15" x14ac:dyDescent="0.25">
      <c r="K2186"/>
    </row>
    <row r="2187" spans="11:11" ht="15" x14ac:dyDescent="0.25">
      <c r="K2187"/>
    </row>
    <row r="2188" spans="11:11" ht="15" x14ac:dyDescent="0.25">
      <c r="K2188"/>
    </row>
    <row r="2189" spans="11:11" ht="15" x14ac:dyDescent="0.25">
      <c r="K2189"/>
    </row>
    <row r="2190" spans="11:11" ht="15" x14ac:dyDescent="0.25">
      <c r="K2190"/>
    </row>
    <row r="2191" spans="11:11" ht="15" x14ac:dyDescent="0.25">
      <c r="K2191"/>
    </row>
    <row r="2192" spans="11:11" ht="15" x14ac:dyDescent="0.25">
      <c r="K2192"/>
    </row>
    <row r="2193" spans="11:11" ht="15" x14ac:dyDescent="0.25">
      <c r="K2193"/>
    </row>
    <row r="2194" spans="11:11" ht="15" x14ac:dyDescent="0.25">
      <c r="K2194"/>
    </row>
    <row r="2195" spans="11:11" ht="15" x14ac:dyDescent="0.25">
      <c r="K2195"/>
    </row>
    <row r="2196" spans="11:11" ht="15" x14ac:dyDescent="0.25">
      <c r="K2196"/>
    </row>
    <row r="2197" spans="11:11" ht="15" x14ac:dyDescent="0.25">
      <c r="K2197"/>
    </row>
    <row r="2198" spans="11:11" ht="15" x14ac:dyDescent="0.25">
      <c r="K2198"/>
    </row>
    <row r="2199" spans="11:11" ht="15" x14ac:dyDescent="0.25">
      <c r="K2199"/>
    </row>
    <row r="2200" spans="11:11" ht="15" x14ac:dyDescent="0.25">
      <c r="K2200"/>
    </row>
    <row r="2201" spans="11:11" ht="15" x14ac:dyDescent="0.25">
      <c r="K2201"/>
    </row>
    <row r="2202" spans="11:11" ht="15" x14ac:dyDescent="0.25">
      <c r="K2202"/>
    </row>
    <row r="2203" spans="11:11" ht="15" x14ac:dyDescent="0.25">
      <c r="K2203"/>
    </row>
    <row r="2204" spans="11:11" ht="15" x14ac:dyDescent="0.25">
      <c r="K2204"/>
    </row>
    <row r="2205" spans="11:11" ht="15" x14ac:dyDescent="0.25">
      <c r="K2205"/>
    </row>
    <row r="2206" spans="11:11" ht="15" x14ac:dyDescent="0.25">
      <c r="K2206"/>
    </row>
    <row r="2207" spans="11:11" ht="15" x14ac:dyDescent="0.25">
      <c r="K2207"/>
    </row>
    <row r="2208" spans="11:11" ht="15" x14ac:dyDescent="0.25">
      <c r="K2208"/>
    </row>
    <row r="2209" spans="11:11" ht="15" x14ac:dyDescent="0.25">
      <c r="K2209"/>
    </row>
    <row r="2210" spans="11:11" ht="15" x14ac:dyDescent="0.25">
      <c r="K2210"/>
    </row>
    <row r="2211" spans="11:11" ht="15" x14ac:dyDescent="0.25">
      <c r="K2211"/>
    </row>
    <row r="2212" spans="11:11" ht="15" x14ac:dyDescent="0.25">
      <c r="K2212"/>
    </row>
    <row r="2213" spans="11:11" ht="15" x14ac:dyDescent="0.25">
      <c r="K2213"/>
    </row>
    <row r="2214" spans="11:11" ht="15" x14ac:dyDescent="0.25">
      <c r="K2214"/>
    </row>
    <row r="2215" spans="11:11" ht="15" x14ac:dyDescent="0.25">
      <c r="K2215"/>
    </row>
    <row r="2216" spans="11:11" ht="15" x14ac:dyDescent="0.25">
      <c r="K2216"/>
    </row>
    <row r="2217" spans="11:11" ht="15" x14ac:dyDescent="0.25">
      <c r="K2217"/>
    </row>
    <row r="2218" spans="11:11" ht="15" x14ac:dyDescent="0.25">
      <c r="K2218"/>
    </row>
    <row r="2219" spans="11:11" ht="15" x14ac:dyDescent="0.25">
      <c r="K2219"/>
    </row>
    <row r="2220" spans="11:11" ht="15" x14ac:dyDescent="0.25">
      <c r="K2220"/>
    </row>
    <row r="2221" spans="11:11" ht="15" x14ac:dyDescent="0.25">
      <c r="K2221"/>
    </row>
    <row r="2222" spans="11:11" ht="15" x14ac:dyDescent="0.25">
      <c r="K2222"/>
    </row>
    <row r="2223" spans="11:11" ht="15" x14ac:dyDescent="0.25">
      <c r="K2223"/>
    </row>
    <row r="2224" spans="11:11" ht="15" x14ac:dyDescent="0.25">
      <c r="K2224"/>
    </row>
    <row r="2225" spans="11:11" ht="15" x14ac:dyDescent="0.25">
      <c r="K2225"/>
    </row>
    <row r="2226" spans="11:11" ht="15" x14ac:dyDescent="0.25">
      <c r="K2226"/>
    </row>
    <row r="2227" spans="11:11" ht="15" x14ac:dyDescent="0.25">
      <c r="K2227"/>
    </row>
    <row r="2228" spans="11:11" ht="15" x14ac:dyDescent="0.25">
      <c r="K2228"/>
    </row>
    <row r="2229" spans="11:11" ht="15" x14ac:dyDescent="0.25">
      <c r="K2229"/>
    </row>
    <row r="2230" spans="11:11" ht="15" x14ac:dyDescent="0.25">
      <c r="K2230"/>
    </row>
    <row r="2231" spans="11:11" ht="15" x14ac:dyDescent="0.25">
      <c r="K2231"/>
    </row>
    <row r="2232" spans="11:11" ht="15" x14ac:dyDescent="0.25">
      <c r="K2232"/>
    </row>
    <row r="2233" spans="11:11" ht="15" x14ac:dyDescent="0.25">
      <c r="K2233"/>
    </row>
    <row r="2234" spans="11:11" ht="15" x14ac:dyDescent="0.25">
      <c r="K2234"/>
    </row>
    <row r="2235" spans="11:11" ht="15" x14ac:dyDescent="0.25">
      <c r="K2235"/>
    </row>
    <row r="2236" spans="11:11" ht="15" x14ac:dyDescent="0.25">
      <c r="K2236"/>
    </row>
    <row r="2237" spans="11:11" ht="15" x14ac:dyDescent="0.25">
      <c r="K2237"/>
    </row>
    <row r="2238" spans="11:11" ht="15" x14ac:dyDescent="0.25">
      <c r="K2238"/>
    </row>
    <row r="2239" spans="11:11" ht="15" x14ac:dyDescent="0.25">
      <c r="K2239"/>
    </row>
    <row r="2240" spans="11:11" ht="15" x14ac:dyDescent="0.25">
      <c r="K2240"/>
    </row>
    <row r="2241" spans="11:11" ht="15" x14ac:dyDescent="0.25">
      <c r="K2241"/>
    </row>
    <row r="2242" spans="11:11" ht="15" x14ac:dyDescent="0.25">
      <c r="K2242"/>
    </row>
    <row r="2243" spans="11:11" ht="15" x14ac:dyDescent="0.25">
      <c r="K2243"/>
    </row>
    <row r="2244" spans="11:11" ht="15" x14ac:dyDescent="0.25">
      <c r="K2244"/>
    </row>
    <row r="2245" spans="11:11" ht="15" x14ac:dyDescent="0.25">
      <c r="K2245"/>
    </row>
    <row r="2246" spans="11:11" ht="15" x14ac:dyDescent="0.25">
      <c r="K2246"/>
    </row>
    <row r="2247" spans="11:11" ht="15" x14ac:dyDescent="0.25">
      <c r="K2247"/>
    </row>
    <row r="2248" spans="11:11" ht="15" x14ac:dyDescent="0.25">
      <c r="K2248"/>
    </row>
    <row r="2249" spans="11:11" ht="15" x14ac:dyDescent="0.25">
      <c r="K2249"/>
    </row>
    <row r="2250" spans="11:11" ht="15" x14ac:dyDescent="0.25">
      <c r="K2250"/>
    </row>
    <row r="2251" spans="11:11" ht="15" x14ac:dyDescent="0.25">
      <c r="K2251"/>
    </row>
    <row r="2252" spans="11:11" ht="15" x14ac:dyDescent="0.25">
      <c r="K2252"/>
    </row>
    <row r="2253" spans="11:11" ht="15" x14ac:dyDescent="0.25">
      <c r="K2253"/>
    </row>
    <row r="2254" spans="11:11" ht="15" x14ac:dyDescent="0.25">
      <c r="K2254"/>
    </row>
    <row r="2255" spans="11:11" ht="15" x14ac:dyDescent="0.25">
      <c r="K2255"/>
    </row>
    <row r="2256" spans="11:11" ht="15" x14ac:dyDescent="0.25">
      <c r="K2256"/>
    </row>
    <row r="2257" spans="11:11" ht="15" x14ac:dyDescent="0.25">
      <c r="K2257"/>
    </row>
    <row r="2258" spans="11:11" ht="15" x14ac:dyDescent="0.25">
      <c r="K2258"/>
    </row>
    <row r="2259" spans="11:11" ht="15" x14ac:dyDescent="0.25">
      <c r="K2259"/>
    </row>
    <row r="2260" spans="11:11" ht="15" x14ac:dyDescent="0.25">
      <c r="K2260"/>
    </row>
    <row r="2261" spans="11:11" ht="15" x14ac:dyDescent="0.25">
      <c r="K2261"/>
    </row>
    <row r="2262" spans="11:11" ht="15" x14ac:dyDescent="0.25">
      <c r="K2262"/>
    </row>
    <row r="2263" spans="11:11" ht="15" x14ac:dyDescent="0.25">
      <c r="K2263"/>
    </row>
    <row r="2264" spans="11:11" ht="15" x14ac:dyDescent="0.25">
      <c r="K2264"/>
    </row>
    <row r="2265" spans="11:11" ht="15" x14ac:dyDescent="0.25">
      <c r="K2265"/>
    </row>
    <row r="2266" spans="11:11" ht="15" x14ac:dyDescent="0.25">
      <c r="K2266"/>
    </row>
    <row r="2267" spans="11:11" ht="15" x14ac:dyDescent="0.25">
      <c r="K2267"/>
    </row>
    <row r="2268" spans="11:11" ht="15" x14ac:dyDescent="0.25">
      <c r="K2268"/>
    </row>
    <row r="2269" spans="11:11" ht="15" x14ac:dyDescent="0.25">
      <c r="K2269"/>
    </row>
    <row r="2270" spans="11:11" ht="15" x14ac:dyDescent="0.25">
      <c r="K2270"/>
    </row>
    <row r="2271" spans="11:11" ht="15" x14ac:dyDescent="0.25">
      <c r="K2271"/>
    </row>
    <row r="2272" spans="11:11" ht="15" x14ac:dyDescent="0.25">
      <c r="K2272"/>
    </row>
    <row r="2273" spans="11:11" ht="15" x14ac:dyDescent="0.25">
      <c r="K2273"/>
    </row>
    <row r="2274" spans="11:11" ht="15" x14ac:dyDescent="0.25">
      <c r="K2274"/>
    </row>
    <row r="2275" spans="11:11" ht="15" x14ac:dyDescent="0.25">
      <c r="K2275"/>
    </row>
    <row r="2276" spans="11:11" ht="15" x14ac:dyDescent="0.25">
      <c r="K2276"/>
    </row>
    <row r="2277" spans="11:11" ht="15" x14ac:dyDescent="0.25">
      <c r="K2277"/>
    </row>
    <row r="2278" spans="11:11" ht="15" x14ac:dyDescent="0.25">
      <c r="K2278"/>
    </row>
    <row r="2279" spans="11:11" ht="15" x14ac:dyDescent="0.25">
      <c r="K2279"/>
    </row>
    <row r="2280" spans="11:11" ht="15" x14ac:dyDescent="0.25">
      <c r="K2280"/>
    </row>
    <row r="2281" spans="11:11" ht="15" x14ac:dyDescent="0.25">
      <c r="K2281"/>
    </row>
    <row r="2282" spans="11:11" ht="15" x14ac:dyDescent="0.25">
      <c r="K2282"/>
    </row>
    <row r="2283" spans="11:11" ht="15" x14ac:dyDescent="0.25">
      <c r="K2283"/>
    </row>
    <row r="2284" spans="11:11" ht="15" x14ac:dyDescent="0.25">
      <c r="K2284"/>
    </row>
    <row r="2285" spans="11:11" ht="15" x14ac:dyDescent="0.25">
      <c r="K2285"/>
    </row>
    <row r="2286" spans="11:11" ht="15" x14ac:dyDescent="0.25">
      <c r="K2286"/>
    </row>
    <row r="2287" spans="11:11" ht="15" x14ac:dyDescent="0.25">
      <c r="K2287"/>
    </row>
    <row r="2288" spans="11:11" ht="15" x14ac:dyDescent="0.25">
      <c r="K2288"/>
    </row>
    <row r="2289" spans="11:11" ht="15" x14ac:dyDescent="0.25">
      <c r="K2289"/>
    </row>
    <row r="2290" spans="11:11" ht="15" x14ac:dyDescent="0.25">
      <c r="K2290"/>
    </row>
    <row r="2291" spans="11:11" ht="15" x14ac:dyDescent="0.25">
      <c r="K2291"/>
    </row>
    <row r="2292" spans="11:11" ht="15" x14ac:dyDescent="0.25">
      <c r="K2292"/>
    </row>
    <row r="2293" spans="11:11" ht="15" x14ac:dyDescent="0.25">
      <c r="K2293"/>
    </row>
    <row r="2294" spans="11:11" ht="15" x14ac:dyDescent="0.25">
      <c r="K2294"/>
    </row>
    <row r="2295" spans="11:11" ht="15" x14ac:dyDescent="0.25">
      <c r="K2295"/>
    </row>
    <row r="2296" spans="11:11" ht="15" x14ac:dyDescent="0.25">
      <c r="K2296"/>
    </row>
    <row r="2297" spans="11:11" ht="15" x14ac:dyDescent="0.25">
      <c r="K2297"/>
    </row>
    <row r="2298" spans="11:11" ht="15" x14ac:dyDescent="0.25">
      <c r="K2298"/>
    </row>
    <row r="2299" spans="11:11" ht="15" x14ac:dyDescent="0.25">
      <c r="K2299"/>
    </row>
    <row r="2300" spans="11:11" ht="15" x14ac:dyDescent="0.25">
      <c r="K2300"/>
    </row>
    <row r="2301" spans="11:11" ht="15" x14ac:dyDescent="0.25">
      <c r="K2301"/>
    </row>
    <row r="2302" spans="11:11" ht="15" x14ac:dyDescent="0.25">
      <c r="K2302"/>
    </row>
    <row r="2303" spans="11:11" ht="15" x14ac:dyDescent="0.25">
      <c r="K2303"/>
    </row>
    <row r="2304" spans="11:11" ht="15" x14ac:dyDescent="0.25">
      <c r="K2304"/>
    </row>
    <row r="2305" spans="11:11" ht="15" x14ac:dyDescent="0.25">
      <c r="K2305"/>
    </row>
    <row r="2306" spans="11:11" ht="15" x14ac:dyDescent="0.25">
      <c r="K2306"/>
    </row>
    <row r="2307" spans="11:11" ht="15" x14ac:dyDescent="0.25">
      <c r="K2307"/>
    </row>
    <row r="2308" spans="11:11" ht="15" x14ac:dyDescent="0.25">
      <c r="K2308"/>
    </row>
    <row r="2309" spans="11:11" ht="15" x14ac:dyDescent="0.25">
      <c r="K2309"/>
    </row>
    <row r="2310" spans="11:11" ht="15" x14ac:dyDescent="0.25">
      <c r="K2310"/>
    </row>
    <row r="2311" spans="11:11" ht="15" x14ac:dyDescent="0.25">
      <c r="K2311"/>
    </row>
    <row r="2312" spans="11:11" ht="15" x14ac:dyDescent="0.25">
      <c r="K2312"/>
    </row>
    <row r="2313" spans="11:11" ht="15" x14ac:dyDescent="0.25">
      <c r="K2313"/>
    </row>
    <row r="2314" spans="11:11" ht="15" x14ac:dyDescent="0.25">
      <c r="K2314"/>
    </row>
    <row r="2315" spans="11:11" ht="15" x14ac:dyDescent="0.25">
      <c r="K2315"/>
    </row>
    <row r="2316" spans="11:11" ht="15" x14ac:dyDescent="0.25">
      <c r="K2316"/>
    </row>
    <row r="2317" spans="11:11" ht="15" x14ac:dyDescent="0.25">
      <c r="K2317"/>
    </row>
    <row r="2318" spans="11:11" ht="15" x14ac:dyDescent="0.25">
      <c r="K2318"/>
    </row>
    <row r="2319" spans="11:11" ht="15" x14ac:dyDescent="0.25">
      <c r="K2319"/>
    </row>
    <row r="2320" spans="11:11" ht="15" x14ac:dyDescent="0.25">
      <c r="K2320"/>
    </row>
    <row r="2321" spans="11:11" ht="15" x14ac:dyDescent="0.25">
      <c r="K2321"/>
    </row>
    <row r="2322" spans="11:11" ht="15" x14ac:dyDescent="0.25">
      <c r="K2322"/>
    </row>
    <row r="2323" spans="11:11" ht="15" x14ac:dyDescent="0.25">
      <c r="K2323"/>
    </row>
    <row r="2324" spans="11:11" ht="15" x14ac:dyDescent="0.25">
      <c r="K2324"/>
    </row>
    <row r="2325" spans="11:11" ht="15" x14ac:dyDescent="0.25">
      <c r="K2325"/>
    </row>
    <row r="2326" spans="11:11" ht="15" x14ac:dyDescent="0.25">
      <c r="K2326"/>
    </row>
    <row r="2327" spans="11:11" ht="15" x14ac:dyDescent="0.25">
      <c r="K2327"/>
    </row>
    <row r="2328" spans="11:11" ht="15" x14ac:dyDescent="0.25">
      <c r="K2328"/>
    </row>
    <row r="2329" spans="11:11" ht="15" x14ac:dyDescent="0.25">
      <c r="K2329"/>
    </row>
    <row r="2330" spans="11:11" ht="15" x14ac:dyDescent="0.25">
      <c r="K2330"/>
    </row>
    <row r="2331" spans="11:11" ht="15" x14ac:dyDescent="0.25">
      <c r="K2331"/>
    </row>
    <row r="2332" spans="11:11" ht="15" x14ac:dyDescent="0.25">
      <c r="K2332"/>
    </row>
    <row r="2333" spans="11:11" ht="15" x14ac:dyDescent="0.25">
      <c r="K2333"/>
    </row>
    <row r="2334" spans="11:11" ht="15" x14ac:dyDescent="0.25">
      <c r="K2334"/>
    </row>
    <row r="2335" spans="11:11" ht="15" x14ac:dyDescent="0.25">
      <c r="K2335"/>
    </row>
    <row r="2336" spans="11:11" ht="15" x14ac:dyDescent="0.25">
      <c r="K2336"/>
    </row>
    <row r="2337" spans="11:11" ht="15" x14ac:dyDescent="0.25">
      <c r="K2337"/>
    </row>
    <row r="2338" spans="11:11" ht="15" x14ac:dyDescent="0.25">
      <c r="K2338"/>
    </row>
    <row r="2339" spans="11:11" ht="15" x14ac:dyDescent="0.25">
      <c r="K2339"/>
    </row>
    <row r="2340" spans="11:11" ht="15" x14ac:dyDescent="0.25">
      <c r="K2340"/>
    </row>
    <row r="2341" spans="11:11" ht="15" x14ac:dyDescent="0.25">
      <c r="K2341"/>
    </row>
    <row r="2342" spans="11:11" ht="15" x14ac:dyDescent="0.25">
      <c r="K2342"/>
    </row>
    <row r="2343" spans="11:11" ht="15" x14ac:dyDescent="0.25">
      <c r="K2343"/>
    </row>
    <row r="2344" spans="11:11" ht="15" x14ac:dyDescent="0.25">
      <c r="K2344"/>
    </row>
    <row r="2345" spans="11:11" ht="15" x14ac:dyDescent="0.25">
      <c r="K2345"/>
    </row>
    <row r="2346" spans="11:11" ht="15" x14ac:dyDescent="0.25">
      <c r="K2346"/>
    </row>
    <row r="2347" spans="11:11" ht="15" x14ac:dyDescent="0.25">
      <c r="K2347"/>
    </row>
    <row r="2348" spans="11:11" ht="15" x14ac:dyDescent="0.25">
      <c r="K2348"/>
    </row>
    <row r="2349" spans="11:11" ht="15" x14ac:dyDescent="0.25">
      <c r="K2349"/>
    </row>
    <row r="2350" spans="11:11" ht="15" x14ac:dyDescent="0.25">
      <c r="K2350"/>
    </row>
    <row r="2351" spans="11:11" ht="15" x14ac:dyDescent="0.25">
      <c r="K2351"/>
    </row>
    <row r="2352" spans="11:11" ht="15" x14ac:dyDescent="0.25">
      <c r="K2352"/>
    </row>
    <row r="2353" spans="11:11" ht="15" x14ac:dyDescent="0.25">
      <c r="K2353"/>
    </row>
    <row r="2354" spans="11:11" ht="15" x14ac:dyDescent="0.25">
      <c r="K2354"/>
    </row>
    <row r="2355" spans="11:11" ht="15" x14ac:dyDescent="0.25">
      <c r="K2355"/>
    </row>
    <row r="2356" spans="11:11" ht="15" x14ac:dyDescent="0.25">
      <c r="K2356"/>
    </row>
    <row r="2357" spans="11:11" ht="15" x14ac:dyDescent="0.25">
      <c r="K2357"/>
    </row>
    <row r="2358" spans="11:11" ht="15" x14ac:dyDescent="0.25">
      <c r="K2358"/>
    </row>
    <row r="2359" spans="11:11" ht="15" x14ac:dyDescent="0.25">
      <c r="K2359"/>
    </row>
    <row r="2360" spans="11:11" ht="15" x14ac:dyDescent="0.25">
      <c r="K2360"/>
    </row>
    <row r="2361" spans="11:11" ht="15" x14ac:dyDescent="0.25">
      <c r="K2361"/>
    </row>
    <row r="2362" spans="11:11" ht="15" x14ac:dyDescent="0.25">
      <c r="K2362"/>
    </row>
    <row r="2363" spans="11:11" ht="15" x14ac:dyDescent="0.25">
      <c r="K2363"/>
    </row>
    <row r="2364" spans="11:11" ht="15" x14ac:dyDescent="0.25">
      <c r="K2364"/>
    </row>
    <row r="2365" spans="11:11" ht="15" x14ac:dyDescent="0.25">
      <c r="K2365"/>
    </row>
    <row r="2366" spans="11:11" ht="15" x14ac:dyDescent="0.25">
      <c r="K2366"/>
    </row>
    <row r="2367" spans="11:11" ht="15" x14ac:dyDescent="0.25">
      <c r="K2367"/>
    </row>
    <row r="2368" spans="11:11" ht="15" x14ac:dyDescent="0.25">
      <c r="K2368"/>
    </row>
    <row r="2369" spans="11:11" ht="15" x14ac:dyDescent="0.25">
      <c r="K2369"/>
    </row>
    <row r="2370" spans="11:11" ht="15" x14ac:dyDescent="0.25">
      <c r="K2370"/>
    </row>
    <row r="2371" spans="11:11" ht="15" x14ac:dyDescent="0.25">
      <c r="K2371"/>
    </row>
    <row r="2372" spans="11:11" ht="15" x14ac:dyDescent="0.25">
      <c r="K2372"/>
    </row>
    <row r="2373" spans="11:11" ht="15" x14ac:dyDescent="0.25">
      <c r="K2373"/>
    </row>
    <row r="2374" spans="11:11" ht="15" x14ac:dyDescent="0.25">
      <c r="K2374"/>
    </row>
    <row r="2375" spans="11:11" ht="15" x14ac:dyDescent="0.25">
      <c r="K2375"/>
    </row>
    <row r="2376" spans="11:11" ht="15" x14ac:dyDescent="0.25">
      <c r="K2376"/>
    </row>
    <row r="2377" spans="11:11" ht="15" x14ac:dyDescent="0.25">
      <c r="K2377"/>
    </row>
    <row r="2378" spans="11:11" ht="15" x14ac:dyDescent="0.25">
      <c r="K2378"/>
    </row>
    <row r="2379" spans="11:11" ht="15" x14ac:dyDescent="0.25">
      <c r="K2379"/>
    </row>
    <row r="2380" spans="11:11" ht="15" x14ac:dyDescent="0.25">
      <c r="K2380"/>
    </row>
    <row r="2381" spans="11:11" ht="15" x14ac:dyDescent="0.25">
      <c r="K2381"/>
    </row>
    <row r="2382" spans="11:11" ht="15" x14ac:dyDescent="0.25">
      <c r="K2382"/>
    </row>
    <row r="2383" spans="11:11" ht="15" x14ac:dyDescent="0.25">
      <c r="K2383"/>
    </row>
    <row r="2384" spans="11:11" ht="15" x14ac:dyDescent="0.25">
      <c r="K2384"/>
    </row>
    <row r="2385" spans="11:11" ht="15" x14ac:dyDescent="0.25">
      <c r="K2385"/>
    </row>
    <row r="2386" spans="11:11" ht="15" x14ac:dyDescent="0.25">
      <c r="K2386"/>
    </row>
    <row r="2387" spans="11:11" ht="15" x14ac:dyDescent="0.25">
      <c r="K2387"/>
    </row>
    <row r="2388" spans="11:11" ht="15" x14ac:dyDescent="0.25">
      <c r="K2388"/>
    </row>
    <row r="2389" spans="11:11" ht="15" x14ac:dyDescent="0.25">
      <c r="K2389"/>
    </row>
    <row r="2390" spans="11:11" ht="15" x14ac:dyDescent="0.25">
      <c r="K2390"/>
    </row>
    <row r="2391" spans="11:11" ht="15" x14ac:dyDescent="0.25">
      <c r="K2391"/>
    </row>
    <row r="2392" spans="11:11" ht="15" x14ac:dyDescent="0.25">
      <c r="K2392"/>
    </row>
    <row r="2393" spans="11:11" ht="15" x14ac:dyDescent="0.25">
      <c r="K2393"/>
    </row>
    <row r="2394" spans="11:11" ht="15" x14ac:dyDescent="0.25">
      <c r="K2394"/>
    </row>
    <row r="2395" spans="11:11" ht="15" x14ac:dyDescent="0.25">
      <c r="K2395"/>
    </row>
    <row r="2396" spans="11:11" ht="15" x14ac:dyDescent="0.25">
      <c r="K2396"/>
    </row>
    <row r="2397" spans="11:11" ht="15" x14ac:dyDescent="0.25">
      <c r="K2397"/>
    </row>
    <row r="2398" spans="11:11" ht="15" x14ac:dyDescent="0.25">
      <c r="K2398"/>
    </row>
    <row r="2399" spans="11:11" ht="15" x14ac:dyDescent="0.25">
      <c r="K2399"/>
    </row>
    <row r="2400" spans="11:11" ht="15" x14ac:dyDescent="0.25">
      <c r="K2400"/>
    </row>
    <row r="2401" spans="11:11" ht="15" x14ac:dyDescent="0.25">
      <c r="K2401"/>
    </row>
    <row r="2402" spans="11:11" ht="15" x14ac:dyDescent="0.25">
      <c r="K2402"/>
    </row>
    <row r="2403" spans="11:11" ht="15" x14ac:dyDescent="0.25">
      <c r="K2403"/>
    </row>
    <row r="2404" spans="11:11" ht="15" x14ac:dyDescent="0.25">
      <c r="K2404"/>
    </row>
    <row r="2405" spans="11:11" ht="15" x14ac:dyDescent="0.25">
      <c r="K2405"/>
    </row>
    <row r="2406" spans="11:11" ht="15" x14ac:dyDescent="0.25">
      <c r="K2406"/>
    </row>
    <row r="2407" spans="11:11" ht="15" x14ac:dyDescent="0.25">
      <c r="K2407"/>
    </row>
    <row r="2408" spans="11:11" ht="15" x14ac:dyDescent="0.25">
      <c r="K2408"/>
    </row>
    <row r="2409" spans="11:11" ht="15" x14ac:dyDescent="0.25">
      <c r="K2409"/>
    </row>
    <row r="2410" spans="11:11" ht="15" x14ac:dyDescent="0.25">
      <c r="K2410"/>
    </row>
    <row r="2411" spans="11:11" ht="15" x14ac:dyDescent="0.25">
      <c r="K2411"/>
    </row>
    <row r="2412" spans="11:11" ht="15" x14ac:dyDescent="0.25">
      <c r="K2412"/>
    </row>
    <row r="2413" spans="11:11" ht="15" x14ac:dyDescent="0.25">
      <c r="K2413"/>
    </row>
    <row r="2414" spans="11:11" ht="15" x14ac:dyDescent="0.25">
      <c r="K2414"/>
    </row>
    <row r="2415" spans="11:11" ht="15" x14ac:dyDescent="0.25">
      <c r="K2415"/>
    </row>
    <row r="2416" spans="11:11" ht="15" x14ac:dyDescent="0.25">
      <c r="K2416"/>
    </row>
    <row r="2417" spans="11:11" ht="15" x14ac:dyDescent="0.25">
      <c r="K2417"/>
    </row>
    <row r="2418" spans="11:11" ht="15" x14ac:dyDescent="0.25">
      <c r="K2418"/>
    </row>
    <row r="2419" spans="11:11" ht="15" x14ac:dyDescent="0.25">
      <c r="K2419"/>
    </row>
    <row r="2420" spans="11:11" ht="15" x14ac:dyDescent="0.25">
      <c r="K2420"/>
    </row>
    <row r="2421" spans="11:11" ht="15" x14ac:dyDescent="0.25">
      <c r="K2421"/>
    </row>
    <row r="2422" spans="11:11" ht="15" x14ac:dyDescent="0.25">
      <c r="K2422"/>
    </row>
    <row r="2423" spans="11:11" ht="15" x14ac:dyDescent="0.25">
      <c r="K2423"/>
    </row>
    <row r="2424" spans="11:11" ht="15" x14ac:dyDescent="0.25">
      <c r="K2424"/>
    </row>
    <row r="2425" spans="11:11" ht="15" x14ac:dyDescent="0.25">
      <c r="K2425"/>
    </row>
    <row r="2426" spans="11:11" ht="15" x14ac:dyDescent="0.25">
      <c r="K2426"/>
    </row>
    <row r="2427" spans="11:11" ht="15" x14ac:dyDescent="0.25">
      <c r="K2427"/>
    </row>
    <row r="2428" spans="11:11" ht="15" x14ac:dyDescent="0.25">
      <c r="K2428"/>
    </row>
    <row r="2429" spans="11:11" ht="15" x14ac:dyDescent="0.25">
      <c r="K2429"/>
    </row>
    <row r="2430" spans="11:11" ht="15" x14ac:dyDescent="0.25">
      <c r="K2430"/>
    </row>
    <row r="2431" spans="11:11" ht="15" x14ac:dyDescent="0.25">
      <c r="K2431"/>
    </row>
    <row r="2432" spans="11:11" ht="15" x14ac:dyDescent="0.25">
      <c r="K2432"/>
    </row>
    <row r="2433" spans="11:11" ht="15" x14ac:dyDescent="0.25">
      <c r="K2433"/>
    </row>
    <row r="2434" spans="11:11" ht="15" x14ac:dyDescent="0.25">
      <c r="K2434"/>
    </row>
    <row r="2435" spans="11:11" ht="15" x14ac:dyDescent="0.25">
      <c r="K2435"/>
    </row>
    <row r="2436" spans="11:11" ht="15" x14ac:dyDescent="0.25">
      <c r="K2436"/>
    </row>
    <row r="2437" spans="11:11" ht="15" x14ac:dyDescent="0.25">
      <c r="K2437"/>
    </row>
    <row r="2438" spans="11:11" ht="15" x14ac:dyDescent="0.25">
      <c r="K2438"/>
    </row>
    <row r="2439" spans="11:11" ht="15" x14ac:dyDescent="0.25">
      <c r="K2439"/>
    </row>
    <row r="2440" spans="11:11" ht="15" x14ac:dyDescent="0.25">
      <c r="K2440"/>
    </row>
    <row r="2441" spans="11:11" ht="15" x14ac:dyDescent="0.25">
      <c r="K2441"/>
    </row>
    <row r="2442" spans="11:11" ht="15" x14ac:dyDescent="0.25">
      <c r="K2442"/>
    </row>
    <row r="2443" spans="11:11" ht="15" x14ac:dyDescent="0.25">
      <c r="K2443"/>
    </row>
    <row r="2444" spans="11:11" ht="15" x14ac:dyDescent="0.25">
      <c r="K2444"/>
    </row>
    <row r="2445" spans="11:11" ht="15" x14ac:dyDescent="0.25">
      <c r="K2445"/>
    </row>
    <row r="2446" spans="11:11" ht="15" x14ac:dyDescent="0.25">
      <c r="K2446"/>
    </row>
    <row r="2447" spans="11:11" ht="15" x14ac:dyDescent="0.25">
      <c r="K2447"/>
    </row>
    <row r="2448" spans="11:11" ht="15" x14ac:dyDescent="0.25">
      <c r="K2448"/>
    </row>
    <row r="2449" spans="11:11" ht="15" x14ac:dyDescent="0.25">
      <c r="K2449"/>
    </row>
    <row r="2450" spans="11:11" ht="15" x14ac:dyDescent="0.25">
      <c r="K2450"/>
    </row>
    <row r="2451" spans="11:11" ht="15" x14ac:dyDescent="0.25">
      <c r="K2451"/>
    </row>
    <row r="2452" spans="11:11" ht="15" x14ac:dyDescent="0.25">
      <c r="K2452"/>
    </row>
    <row r="2453" spans="11:11" ht="15" x14ac:dyDescent="0.25">
      <c r="K2453"/>
    </row>
    <row r="2454" spans="11:11" ht="15" x14ac:dyDescent="0.25">
      <c r="K2454"/>
    </row>
    <row r="2455" spans="11:11" ht="15" x14ac:dyDescent="0.25">
      <c r="K2455"/>
    </row>
    <row r="2456" spans="11:11" ht="15" x14ac:dyDescent="0.25">
      <c r="K2456"/>
    </row>
    <row r="2457" spans="11:11" ht="15" x14ac:dyDescent="0.25">
      <c r="K2457"/>
    </row>
    <row r="2458" spans="11:11" ht="15" x14ac:dyDescent="0.25">
      <c r="K2458"/>
    </row>
    <row r="2459" spans="11:11" ht="15" x14ac:dyDescent="0.25">
      <c r="K2459"/>
    </row>
    <row r="2460" spans="11:11" ht="15" x14ac:dyDescent="0.25">
      <c r="K2460"/>
    </row>
    <row r="2461" spans="11:11" ht="15" x14ac:dyDescent="0.25">
      <c r="K2461"/>
    </row>
    <row r="2462" spans="11:11" ht="15" x14ac:dyDescent="0.25">
      <c r="K2462"/>
    </row>
    <row r="2463" spans="11:11" ht="15" x14ac:dyDescent="0.25">
      <c r="K2463"/>
    </row>
    <row r="2464" spans="11:11" ht="15" x14ac:dyDescent="0.25">
      <c r="K2464"/>
    </row>
    <row r="2465" spans="11:11" ht="15" x14ac:dyDescent="0.25">
      <c r="K2465"/>
    </row>
    <row r="2466" spans="11:11" ht="15" x14ac:dyDescent="0.25">
      <c r="K2466"/>
    </row>
    <row r="2467" spans="11:11" ht="15" x14ac:dyDescent="0.25">
      <c r="K2467"/>
    </row>
    <row r="2468" spans="11:11" ht="15" x14ac:dyDescent="0.25">
      <c r="K2468"/>
    </row>
    <row r="2469" spans="11:11" ht="15" x14ac:dyDescent="0.25">
      <c r="K2469"/>
    </row>
    <row r="2470" spans="11:11" ht="15" x14ac:dyDescent="0.25">
      <c r="K2470"/>
    </row>
    <row r="2471" spans="11:11" ht="15" x14ac:dyDescent="0.25">
      <c r="K2471"/>
    </row>
    <row r="2472" spans="11:11" ht="15" x14ac:dyDescent="0.25">
      <c r="K2472"/>
    </row>
    <row r="2473" spans="11:11" ht="15" x14ac:dyDescent="0.25">
      <c r="K2473"/>
    </row>
    <row r="2474" spans="11:11" ht="15" x14ac:dyDescent="0.25">
      <c r="K2474"/>
    </row>
    <row r="2475" spans="11:11" ht="15" x14ac:dyDescent="0.25">
      <c r="K2475"/>
    </row>
    <row r="2476" spans="11:11" ht="15" x14ac:dyDescent="0.25">
      <c r="K2476"/>
    </row>
    <row r="2477" spans="11:11" ht="15" x14ac:dyDescent="0.25">
      <c r="K2477"/>
    </row>
    <row r="2478" spans="11:11" ht="15" x14ac:dyDescent="0.25">
      <c r="K2478"/>
    </row>
    <row r="2479" spans="11:11" ht="15" x14ac:dyDescent="0.25">
      <c r="K2479"/>
    </row>
    <row r="2480" spans="11:11" ht="15" x14ac:dyDescent="0.25">
      <c r="K2480"/>
    </row>
    <row r="2481" spans="11:11" ht="15" x14ac:dyDescent="0.25">
      <c r="K2481"/>
    </row>
    <row r="2482" spans="11:11" ht="15" x14ac:dyDescent="0.25">
      <c r="K2482"/>
    </row>
    <row r="2483" spans="11:11" ht="15" x14ac:dyDescent="0.25">
      <c r="K2483"/>
    </row>
    <row r="2484" spans="11:11" ht="15" x14ac:dyDescent="0.25">
      <c r="K2484"/>
    </row>
    <row r="2485" spans="11:11" ht="15" x14ac:dyDescent="0.25">
      <c r="K2485"/>
    </row>
    <row r="2486" spans="11:11" ht="15" x14ac:dyDescent="0.25">
      <c r="K2486"/>
    </row>
    <row r="2487" spans="11:11" ht="15" x14ac:dyDescent="0.25">
      <c r="K2487"/>
    </row>
    <row r="2488" spans="11:11" ht="15" x14ac:dyDescent="0.25">
      <c r="K2488"/>
    </row>
    <row r="2489" spans="11:11" ht="15" x14ac:dyDescent="0.25">
      <c r="K2489"/>
    </row>
    <row r="2490" spans="11:11" ht="15" x14ac:dyDescent="0.25">
      <c r="K2490"/>
    </row>
    <row r="2491" spans="11:11" ht="15" x14ac:dyDescent="0.25">
      <c r="K2491"/>
    </row>
    <row r="2492" spans="11:11" ht="15" x14ac:dyDescent="0.25">
      <c r="K2492"/>
    </row>
    <row r="2493" spans="11:11" ht="15" x14ac:dyDescent="0.25">
      <c r="K2493"/>
    </row>
    <row r="2494" spans="11:11" ht="15" x14ac:dyDescent="0.25">
      <c r="K2494"/>
    </row>
    <row r="2495" spans="11:11" ht="15" x14ac:dyDescent="0.25">
      <c r="K2495"/>
    </row>
    <row r="2496" spans="11:11" ht="15" x14ac:dyDescent="0.25">
      <c r="K2496"/>
    </row>
    <row r="2497" spans="11:11" ht="15" x14ac:dyDescent="0.25">
      <c r="K2497"/>
    </row>
    <row r="2498" spans="11:11" ht="15" x14ac:dyDescent="0.25">
      <c r="K2498"/>
    </row>
    <row r="2499" spans="11:11" ht="15" x14ac:dyDescent="0.25">
      <c r="K2499"/>
    </row>
    <row r="2500" spans="11:11" ht="15" x14ac:dyDescent="0.25">
      <c r="K2500"/>
    </row>
    <row r="2501" spans="11:11" ht="15" x14ac:dyDescent="0.25">
      <c r="K2501"/>
    </row>
    <row r="2502" spans="11:11" ht="15" x14ac:dyDescent="0.25">
      <c r="K2502"/>
    </row>
    <row r="2503" spans="11:11" ht="15" x14ac:dyDescent="0.25">
      <c r="K2503"/>
    </row>
    <row r="2504" spans="11:11" ht="15" x14ac:dyDescent="0.25">
      <c r="K2504"/>
    </row>
    <row r="2505" spans="11:11" ht="15" x14ac:dyDescent="0.25">
      <c r="K2505"/>
    </row>
    <row r="2506" spans="11:11" ht="15" x14ac:dyDescent="0.25">
      <c r="K2506"/>
    </row>
    <row r="2507" spans="11:11" ht="15" x14ac:dyDescent="0.25">
      <c r="K2507"/>
    </row>
    <row r="2508" spans="11:11" ht="15" x14ac:dyDescent="0.25">
      <c r="K2508"/>
    </row>
    <row r="2509" spans="11:11" ht="15" x14ac:dyDescent="0.25">
      <c r="K2509"/>
    </row>
    <row r="2510" spans="11:11" ht="15" x14ac:dyDescent="0.25">
      <c r="K2510"/>
    </row>
    <row r="2511" spans="11:11" ht="15" x14ac:dyDescent="0.25">
      <c r="K2511"/>
    </row>
    <row r="2512" spans="11:11" ht="15" x14ac:dyDescent="0.25">
      <c r="K2512"/>
    </row>
    <row r="2513" spans="11:11" ht="15" x14ac:dyDescent="0.25">
      <c r="K2513"/>
    </row>
    <row r="2514" spans="11:11" ht="15" x14ac:dyDescent="0.25">
      <c r="K2514"/>
    </row>
    <row r="2515" spans="11:11" ht="15" x14ac:dyDescent="0.25">
      <c r="K2515"/>
    </row>
    <row r="2516" spans="11:11" ht="15" x14ac:dyDescent="0.25">
      <c r="K2516"/>
    </row>
    <row r="2517" spans="11:11" ht="15" x14ac:dyDescent="0.25">
      <c r="K2517"/>
    </row>
    <row r="2518" spans="11:11" ht="15" x14ac:dyDescent="0.25">
      <c r="K2518"/>
    </row>
    <row r="2519" spans="11:11" ht="15" x14ac:dyDescent="0.25">
      <c r="K2519"/>
    </row>
    <row r="2520" spans="11:11" ht="15" x14ac:dyDescent="0.25">
      <c r="K2520"/>
    </row>
    <row r="2521" spans="11:11" ht="15" x14ac:dyDescent="0.25">
      <c r="K2521"/>
    </row>
    <row r="2522" spans="11:11" ht="15" x14ac:dyDescent="0.25">
      <c r="K2522"/>
    </row>
    <row r="2523" spans="11:11" ht="15" x14ac:dyDescent="0.25">
      <c r="K2523"/>
    </row>
    <row r="2524" spans="11:11" ht="15" x14ac:dyDescent="0.25">
      <c r="K2524"/>
    </row>
    <row r="2525" spans="11:11" ht="15" x14ac:dyDescent="0.25">
      <c r="K2525"/>
    </row>
    <row r="2526" spans="11:11" ht="15" x14ac:dyDescent="0.25">
      <c r="K2526"/>
    </row>
    <row r="2527" spans="11:11" ht="15" x14ac:dyDescent="0.25">
      <c r="K2527"/>
    </row>
    <row r="2528" spans="11:11" ht="15" x14ac:dyDescent="0.25">
      <c r="K2528"/>
    </row>
    <row r="2529" spans="11:11" ht="15" x14ac:dyDescent="0.25">
      <c r="K2529"/>
    </row>
    <row r="2530" spans="11:11" ht="15" x14ac:dyDescent="0.25">
      <c r="K2530"/>
    </row>
    <row r="2531" spans="11:11" ht="15" x14ac:dyDescent="0.25">
      <c r="K2531"/>
    </row>
    <row r="2532" spans="11:11" ht="15" x14ac:dyDescent="0.25">
      <c r="K2532"/>
    </row>
    <row r="2533" spans="11:11" ht="15" x14ac:dyDescent="0.25">
      <c r="K2533"/>
    </row>
    <row r="2534" spans="11:11" ht="15" x14ac:dyDescent="0.25">
      <c r="K2534"/>
    </row>
    <row r="2535" spans="11:11" ht="15" x14ac:dyDescent="0.25">
      <c r="K2535"/>
    </row>
    <row r="2536" spans="11:11" ht="15" x14ac:dyDescent="0.25">
      <c r="K2536"/>
    </row>
    <row r="2537" spans="11:11" ht="15" x14ac:dyDescent="0.25">
      <c r="K2537"/>
    </row>
    <row r="2538" spans="11:11" ht="15" x14ac:dyDescent="0.25">
      <c r="K2538"/>
    </row>
    <row r="2539" spans="11:11" ht="15" x14ac:dyDescent="0.25">
      <c r="K2539"/>
    </row>
    <row r="2540" spans="11:11" ht="15" x14ac:dyDescent="0.25">
      <c r="K2540"/>
    </row>
    <row r="2541" spans="11:11" ht="15" x14ac:dyDescent="0.25">
      <c r="K2541"/>
    </row>
    <row r="2542" spans="11:11" ht="15" x14ac:dyDescent="0.25">
      <c r="K2542"/>
    </row>
    <row r="2543" spans="11:11" ht="15" x14ac:dyDescent="0.25">
      <c r="K2543"/>
    </row>
    <row r="2544" spans="11:11" ht="15" x14ac:dyDescent="0.25">
      <c r="K2544"/>
    </row>
    <row r="2545" spans="11:11" ht="15" x14ac:dyDescent="0.25">
      <c r="K2545"/>
    </row>
    <row r="2546" spans="11:11" ht="15" x14ac:dyDescent="0.25">
      <c r="K2546"/>
    </row>
    <row r="2547" spans="11:11" ht="15" x14ac:dyDescent="0.25">
      <c r="K2547"/>
    </row>
    <row r="2548" spans="11:11" ht="15" x14ac:dyDescent="0.25">
      <c r="K2548"/>
    </row>
    <row r="2549" spans="11:11" ht="15" x14ac:dyDescent="0.25">
      <c r="K2549"/>
    </row>
    <row r="2550" spans="11:11" ht="15" x14ac:dyDescent="0.25">
      <c r="K2550"/>
    </row>
    <row r="2551" spans="11:11" ht="15" x14ac:dyDescent="0.25">
      <c r="K2551"/>
    </row>
    <row r="2552" spans="11:11" ht="15" x14ac:dyDescent="0.25">
      <c r="K2552"/>
    </row>
    <row r="2553" spans="11:11" ht="15" x14ac:dyDescent="0.25">
      <c r="K2553"/>
    </row>
    <row r="2554" spans="11:11" ht="15" x14ac:dyDescent="0.25">
      <c r="K2554"/>
    </row>
    <row r="2555" spans="11:11" ht="15" x14ac:dyDescent="0.25">
      <c r="K2555"/>
    </row>
    <row r="2556" spans="11:11" ht="15" x14ac:dyDescent="0.25">
      <c r="K2556"/>
    </row>
    <row r="2557" spans="11:11" ht="15" x14ac:dyDescent="0.25">
      <c r="K2557"/>
    </row>
    <row r="2558" spans="11:11" ht="15" x14ac:dyDescent="0.25">
      <c r="K2558"/>
    </row>
    <row r="2559" spans="11:11" ht="15" x14ac:dyDescent="0.25">
      <c r="K2559"/>
    </row>
    <row r="2560" spans="11:11" ht="15" x14ac:dyDescent="0.25">
      <c r="K2560"/>
    </row>
    <row r="2561" spans="11:11" ht="15" x14ac:dyDescent="0.25">
      <c r="K2561"/>
    </row>
    <row r="2562" spans="11:11" ht="15" x14ac:dyDescent="0.25">
      <c r="K2562"/>
    </row>
    <row r="2563" spans="11:11" ht="15" x14ac:dyDescent="0.25">
      <c r="K2563"/>
    </row>
    <row r="2564" spans="11:11" ht="15" x14ac:dyDescent="0.25">
      <c r="K2564"/>
    </row>
    <row r="2565" spans="11:11" ht="15" x14ac:dyDescent="0.25">
      <c r="K2565"/>
    </row>
    <row r="2566" spans="11:11" ht="15" x14ac:dyDescent="0.25">
      <c r="K2566"/>
    </row>
    <row r="2567" spans="11:11" ht="15" x14ac:dyDescent="0.25">
      <c r="K2567"/>
    </row>
    <row r="2568" spans="11:11" ht="15" x14ac:dyDescent="0.25">
      <c r="K2568"/>
    </row>
    <row r="2569" spans="11:11" ht="15" x14ac:dyDescent="0.25">
      <c r="K2569"/>
    </row>
    <row r="2570" spans="11:11" ht="15" x14ac:dyDescent="0.25">
      <c r="K2570"/>
    </row>
    <row r="2571" spans="11:11" ht="15" x14ac:dyDescent="0.25">
      <c r="K2571"/>
    </row>
    <row r="2572" spans="11:11" ht="15" x14ac:dyDescent="0.25">
      <c r="K2572"/>
    </row>
    <row r="2573" spans="11:11" ht="15" x14ac:dyDescent="0.25">
      <c r="K2573"/>
    </row>
    <row r="2574" spans="11:11" ht="15" x14ac:dyDescent="0.25">
      <c r="K2574"/>
    </row>
    <row r="2575" spans="11:11" ht="15" x14ac:dyDescent="0.25">
      <c r="K2575"/>
    </row>
    <row r="2576" spans="11:11" ht="15" x14ac:dyDescent="0.25">
      <c r="K2576"/>
    </row>
    <row r="2577" spans="11:11" ht="15" x14ac:dyDescent="0.25">
      <c r="K2577"/>
    </row>
    <row r="2578" spans="11:11" ht="15" x14ac:dyDescent="0.25">
      <c r="K2578"/>
    </row>
    <row r="2579" spans="11:11" ht="15" x14ac:dyDescent="0.25">
      <c r="K2579"/>
    </row>
    <row r="2580" spans="11:11" ht="15" x14ac:dyDescent="0.25">
      <c r="K2580"/>
    </row>
    <row r="2581" spans="11:11" ht="15" x14ac:dyDescent="0.25">
      <c r="K2581"/>
    </row>
    <row r="2582" spans="11:11" ht="15" x14ac:dyDescent="0.25">
      <c r="K2582"/>
    </row>
    <row r="2583" spans="11:11" ht="15" x14ac:dyDescent="0.25">
      <c r="K2583"/>
    </row>
    <row r="2584" spans="11:11" ht="15" x14ac:dyDescent="0.25">
      <c r="K2584"/>
    </row>
    <row r="2585" spans="11:11" ht="15" x14ac:dyDescent="0.25">
      <c r="K2585"/>
    </row>
    <row r="2586" spans="11:11" ht="15" x14ac:dyDescent="0.25">
      <c r="K2586"/>
    </row>
    <row r="2587" spans="11:11" ht="15" x14ac:dyDescent="0.25">
      <c r="K2587"/>
    </row>
    <row r="2588" spans="11:11" ht="15" x14ac:dyDescent="0.25">
      <c r="K2588"/>
    </row>
    <row r="2589" spans="11:11" ht="15" x14ac:dyDescent="0.25">
      <c r="K2589"/>
    </row>
    <row r="2590" spans="11:11" ht="15" x14ac:dyDescent="0.25">
      <c r="K2590"/>
    </row>
    <row r="2591" spans="11:11" ht="15" x14ac:dyDescent="0.25">
      <c r="K2591"/>
    </row>
    <row r="2592" spans="11:11" ht="15" x14ac:dyDescent="0.25">
      <c r="K2592"/>
    </row>
    <row r="2593" spans="11:11" ht="15" x14ac:dyDescent="0.25">
      <c r="K2593"/>
    </row>
    <row r="2594" spans="11:11" ht="15" x14ac:dyDescent="0.25">
      <c r="K2594"/>
    </row>
    <row r="2595" spans="11:11" ht="15" x14ac:dyDescent="0.25">
      <c r="K2595"/>
    </row>
    <row r="2596" spans="11:11" ht="15" x14ac:dyDescent="0.25">
      <c r="K2596"/>
    </row>
    <row r="2597" spans="11:11" ht="15" x14ac:dyDescent="0.25">
      <c r="K2597"/>
    </row>
    <row r="2598" spans="11:11" ht="15" x14ac:dyDescent="0.25">
      <c r="K2598"/>
    </row>
    <row r="2599" spans="11:11" ht="15" x14ac:dyDescent="0.25">
      <c r="K2599"/>
    </row>
    <row r="2600" spans="11:11" ht="15" x14ac:dyDescent="0.25">
      <c r="K2600"/>
    </row>
    <row r="2601" spans="11:11" ht="15" x14ac:dyDescent="0.25">
      <c r="K2601"/>
    </row>
    <row r="2602" spans="11:11" ht="15" x14ac:dyDescent="0.25">
      <c r="K2602"/>
    </row>
    <row r="2603" spans="11:11" ht="15" x14ac:dyDescent="0.25">
      <c r="K2603"/>
    </row>
    <row r="2604" spans="11:11" ht="15" x14ac:dyDescent="0.25">
      <c r="K2604"/>
    </row>
    <row r="2605" spans="11:11" ht="15" x14ac:dyDescent="0.25">
      <c r="K2605"/>
    </row>
    <row r="2606" spans="11:11" ht="15" x14ac:dyDescent="0.25">
      <c r="K2606"/>
    </row>
    <row r="2607" spans="11:11" ht="15" x14ac:dyDescent="0.25">
      <c r="K2607"/>
    </row>
    <row r="2608" spans="11:11" ht="15" x14ac:dyDescent="0.25">
      <c r="K2608"/>
    </row>
    <row r="2609" spans="11:11" ht="15" x14ac:dyDescent="0.25">
      <c r="K2609"/>
    </row>
    <row r="2610" spans="11:11" ht="15" x14ac:dyDescent="0.25">
      <c r="K2610"/>
    </row>
    <row r="2611" spans="11:11" ht="15" x14ac:dyDescent="0.25">
      <c r="K2611"/>
    </row>
    <row r="2612" spans="11:11" ht="15" x14ac:dyDescent="0.25">
      <c r="K2612"/>
    </row>
    <row r="2613" spans="11:11" ht="15" x14ac:dyDescent="0.25">
      <c r="K2613"/>
    </row>
    <row r="2614" spans="11:11" ht="15" x14ac:dyDescent="0.25">
      <c r="K2614"/>
    </row>
    <row r="2615" spans="11:11" ht="15" x14ac:dyDescent="0.25">
      <c r="K2615"/>
    </row>
    <row r="2616" spans="11:11" ht="15" x14ac:dyDescent="0.25">
      <c r="K2616"/>
    </row>
    <row r="2617" spans="11:11" ht="15" x14ac:dyDescent="0.25">
      <c r="K2617"/>
    </row>
    <row r="2618" spans="11:11" ht="15" x14ac:dyDescent="0.25">
      <c r="K2618"/>
    </row>
    <row r="2619" spans="11:11" ht="15" x14ac:dyDescent="0.25">
      <c r="K2619"/>
    </row>
    <row r="2620" spans="11:11" ht="15" x14ac:dyDescent="0.25">
      <c r="K2620"/>
    </row>
    <row r="2621" spans="11:11" ht="15" x14ac:dyDescent="0.25">
      <c r="K2621"/>
    </row>
    <row r="2622" spans="11:11" ht="15" x14ac:dyDescent="0.25">
      <c r="K2622"/>
    </row>
    <row r="2623" spans="11:11" ht="15" x14ac:dyDescent="0.25">
      <c r="K2623"/>
    </row>
    <row r="2624" spans="11:11" ht="15" x14ac:dyDescent="0.25">
      <c r="K2624"/>
    </row>
    <row r="2625" spans="11:11" ht="15" x14ac:dyDescent="0.25">
      <c r="K2625"/>
    </row>
    <row r="2626" spans="11:11" ht="15" x14ac:dyDescent="0.25">
      <c r="K2626"/>
    </row>
    <row r="2627" spans="11:11" ht="15" x14ac:dyDescent="0.25">
      <c r="K2627"/>
    </row>
    <row r="2628" spans="11:11" ht="15" x14ac:dyDescent="0.25">
      <c r="K2628"/>
    </row>
    <row r="2629" spans="11:11" ht="15" x14ac:dyDescent="0.25">
      <c r="K2629"/>
    </row>
    <row r="2630" spans="11:11" ht="15" x14ac:dyDescent="0.25">
      <c r="K2630"/>
    </row>
    <row r="2631" spans="11:11" ht="15" x14ac:dyDescent="0.25">
      <c r="K2631"/>
    </row>
    <row r="2632" spans="11:11" ht="15" x14ac:dyDescent="0.25">
      <c r="K2632"/>
    </row>
    <row r="2633" spans="11:11" ht="15" x14ac:dyDescent="0.25">
      <c r="K2633"/>
    </row>
    <row r="2634" spans="11:11" ht="15" x14ac:dyDescent="0.25">
      <c r="K2634"/>
    </row>
    <row r="2635" spans="11:11" ht="15" x14ac:dyDescent="0.25">
      <c r="K2635"/>
    </row>
    <row r="2636" spans="11:11" ht="15" x14ac:dyDescent="0.25">
      <c r="K2636"/>
    </row>
    <row r="2637" spans="11:11" ht="15" x14ac:dyDescent="0.25">
      <c r="K2637"/>
    </row>
    <row r="2638" spans="11:11" ht="15" x14ac:dyDescent="0.25">
      <c r="K2638"/>
    </row>
    <row r="2639" spans="11:11" ht="15" x14ac:dyDescent="0.25">
      <c r="K2639"/>
    </row>
    <row r="2640" spans="11:11" ht="15" x14ac:dyDescent="0.25">
      <c r="K2640"/>
    </row>
    <row r="2641" spans="11:11" ht="15" x14ac:dyDescent="0.25">
      <c r="K2641"/>
    </row>
    <row r="2642" spans="11:11" ht="15" x14ac:dyDescent="0.25">
      <c r="K2642"/>
    </row>
    <row r="2643" spans="11:11" ht="15" x14ac:dyDescent="0.25">
      <c r="K2643"/>
    </row>
    <row r="2644" spans="11:11" ht="15" x14ac:dyDescent="0.25">
      <c r="K2644"/>
    </row>
    <row r="2645" spans="11:11" ht="15" x14ac:dyDescent="0.25">
      <c r="K2645"/>
    </row>
    <row r="2646" spans="11:11" ht="15" x14ac:dyDescent="0.25">
      <c r="K2646"/>
    </row>
    <row r="2647" spans="11:11" ht="15" x14ac:dyDescent="0.25">
      <c r="K2647"/>
    </row>
    <row r="2648" spans="11:11" ht="15" x14ac:dyDescent="0.25">
      <c r="K2648"/>
    </row>
    <row r="2649" spans="11:11" ht="15" x14ac:dyDescent="0.25">
      <c r="K2649"/>
    </row>
    <row r="2650" spans="11:11" ht="15" x14ac:dyDescent="0.25">
      <c r="K2650"/>
    </row>
    <row r="2651" spans="11:11" ht="15" x14ac:dyDescent="0.25">
      <c r="K2651"/>
    </row>
    <row r="2652" spans="11:11" ht="15" x14ac:dyDescent="0.25">
      <c r="K2652"/>
    </row>
    <row r="2653" spans="11:11" ht="15" x14ac:dyDescent="0.25">
      <c r="K2653"/>
    </row>
    <row r="2654" spans="11:11" ht="15" x14ac:dyDescent="0.25">
      <c r="K2654"/>
    </row>
    <row r="2655" spans="11:11" ht="15" x14ac:dyDescent="0.25">
      <c r="K2655"/>
    </row>
    <row r="2656" spans="11:11" ht="15" x14ac:dyDescent="0.25">
      <c r="K2656"/>
    </row>
    <row r="2657" spans="11:11" ht="15" x14ac:dyDescent="0.25">
      <c r="K2657"/>
    </row>
    <row r="2658" spans="11:11" ht="15" x14ac:dyDescent="0.25">
      <c r="K2658"/>
    </row>
    <row r="2659" spans="11:11" ht="15" x14ac:dyDescent="0.25">
      <c r="K2659"/>
    </row>
    <row r="2660" spans="11:11" ht="15" x14ac:dyDescent="0.25">
      <c r="K2660"/>
    </row>
    <row r="2661" spans="11:11" ht="15" x14ac:dyDescent="0.25">
      <c r="K2661"/>
    </row>
    <row r="2662" spans="11:11" ht="15" x14ac:dyDescent="0.25">
      <c r="K2662"/>
    </row>
    <row r="2663" spans="11:11" ht="15" x14ac:dyDescent="0.25">
      <c r="K2663"/>
    </row>
    <row r="2664" spans="11:11" ht="15" x14ac:dyDescent="0.25">
      <c r="K2664"/>
    </row>
    <row r="2665" spans="11:11" ht="15" x14ac:dyDescent="0.25">
      <c r="K2665"/>
    </row>
    <row r="2666" spans="11:11" ht="15" x14ac:dyDescent="0.25">
      <c r="K2666"/>
    </row>
    <row r="2667" spans="11:11" ht="15" x14ac:dyDescent="0.25">
      <c r="K2667"/>
    </row>
    <row r="2668" spans="11:11" ht="15" x14ac:dyDescent="0.25">
      <c r="K2668"/>
    </row>
    <row r="2669" spans="11:11" ht="15" x14ac:dyDescent="0.25">
      <c r="K2669"/>
    </row>
    <row r="2670" spans="11:11" ht="15" x14ac:dyDescent="0.25">
      <c r="K2670"/>
    </row>
    <row r="2671" spans="11:11" ht="15" x14ac:dyDescent="0.25">
      <c r="K2671"/>
    </row>
    <row r="2672" spans="11:11" ht="15" x14ac:dyDescent="0.25">
      <c r="K2672"/>
    </row>
    <row r="2673" spans="11:11" ht="15" x14ac:dyDescent="0.25">
      <c r="K2673"/>
    </row>
    <row r="2674" spans="11:11" ht="15" x14ac:dyDescent="0.25">
      <c r="K2674"/>
    </row>
    <row r="2675" spans="11:11" ht="15" x14ac:dyDescent="0.25">
      <c r="K2675"/>
    </row>
    <row r="2676" spans="11:11" ht="15" x14ac:dyDescent="0.25">
      <c r="K2676"/>
    </row>
    <row r="2677" spans="11:11" ht="15" x14ac:dyDescent="0.25">
      <c r="K2677"/>
    </row>
    <row r="2678" spans="11:11" ht="15" x14ac:dyDescent="0.25">
      <c r="K2678"/>
    </row>
    <row r="2679" spans="11:11" ht="15" x14ac:dyDescent="0.25">
      <c r="K2679"/>
    </row>
    <row r="2680" spans="11:11" ht="15" x14ac:dyDescent="0.25">
      <c r="K2680"/>
    </row>
    <row r="2681" spans="11:11" ht="15" x14ac:dyDescent="0.25">
      <c r="K2681"/>
    </row>
    <row r="2682" spans="11:11" ht="15" x14ac:dyDescent="0.25">
      <c r="K2682"/>
    </row>
    <row r="2683" spans="11:11" ht="15" x14ac:dyDescent="0.25">
      <c r="K2683"/>
    </row>
    <row r="2684" spans="11:11" ht="15" x14ac:dyDescent="0.25">
      <c r="K2684"/>
    </row>
    <row r="2685" spans="11:11" ht="15" x14ac:dyDescent="0.25">
      <c r="K2685"/>
    </row>
    <row r="2686" spans="11:11" ht="15" x14ac:dyDescent="0.25">
      <c r="K2686"/>
    </row>
    <row r="2687" spans="11:11" ht="15" x14ac:dyDescent="0.25">
      <c r="K2687"/>
    </row>
    <row r="2688" spans="11:11" ht="15" x14ac:dyDescent="0.25">
      <c r="K2688"/>
    </row>
    <row r="2689" spans="11:11" ht="15" x14ac:dyDescent="0.25">
      <c r="K2689"/>
    </row>
    <row r="2690" spans="11:11" ht="15" x14ac:dyDescent="0.25">
      <c r="K2690"/>
    </row>
    <row r="2691" spans="11:11" ht="15" x14ac:dyDescent="0.25">
      <c r="K2691"/>
    </row>
    <row r="2692" spans="11:11" ht="15" x14ac:dyDescent="0.25">
      <c r="K2692"/>
    </row>
    <row r="2693" spans="11:11" ht="15" x14ac:dyDescent="0.25">
      <c r="K2693"/>
    </row>
    <row r="2694" spans="11:11" ht="15" x14ac:dyDescent="0.25">
      <c r="K2694"/>
    </row>
    <row r="2695" spans="11:11" ht="15" x14ac:dyDescent="0.25">
      <c r="K2695"/>
    </row>
    <row r="2696" spans="11:11" ht="15" x14ac:dyDescent="0.25">
      <c r="K2696"/>
    </row>
    <row r="2697" spans="11:11" ht="15" x14ac:dyDescent="0.25">
      <c r="K2697"/>
    </row>
    <row r="2698" spans="11:11" ht="15" x14ac:dyDescent="0.25">
      <c r="K2698"/>
    </row>
    <row r="2699" spans="11:11" ht="15" x14ac:dyDescent="0.25">
      <c r="K2699"/>
    </row>
    <row r="2700" spans="11:11" ht="15" x14ac:dyDescent="0.25">
      <c r="K2700"/>
    </row>
    <row r="2701" spans="11:11" ht="15" x14ac:dyDescent="0.25">
      <c r="K2701"/>
    </row>
    <row r="2702" spans="11:11" ht="15" x14ac:dyDescent="0.25">
      <c r="K2702"/>
    </row>
    <row r="2703" spans="11:11" ht="15" x14ac:dyDescent="0.25">
      <c r="K2703"/>
    </row>
    <row r="2704" spans="11:11" ht="15" x14ac:dyDescent="0.25">
      <c r="K2704"/>
    </row>
    <row r="2705" spans="11:11" ht="15" x14ac:dyDescent="0.25">
      <c r="K2705"/>
    </row>
    <row r="2706" spans="11:11" ht="15" x14ac:dyDescent="0.25">
      <c r="K2706"/>
    </row>
    <row r="2707" spans="11:11" ht="15" x14ac:dyDescent="0.25">
      <c r="K2707"/>
    </row>
    <row r="2708" spans="11:11" ht="15" x14ac:dyDescent="0.25">
      <c r="K2708"/>
    </row>
    <row r="2709" spans="11:11" ht="15" x14ac:dyDescent="0.25">
      <c r="K2709"/>
    </row>
    <row r="2710" spans="11:11" ht="15" x14ac:dyDescent="0.25">
      <c r="K2710"/>
    </row>
    <row r="2711" spans="11:11" ht="15" x14ac:dyDescent="0.25">
      <c r="K2711"/>
    </row>
    <row r="2712" spans="11:11" ht="15" x14ac:dyDescent="0.25">
      <c r="K2712"/>
    </row>
    <row r="2713" spans="11:11" ht="15" x14ac:dyDescent="0.25">
      <c r="K2713"/>
    </row>
    <row r="2714" spans="11:11" ht="15" x14ac:dyDescent="0.25">
      <c r="K2714"/>
    </row>
    <row r="2715" spans="11:11" ht="15" x14ac:dyDescent="0.25">
      <c r="K2715"/>
    </row>
    <row r="2716" spans="11:11" ht="15" x14ac:dyDescent="0.25">
      <c r="K2716"/>
    </row>
    <row r="2717" spans="11:11" ht="15" x14ac:dyDescent="0.25">
      <c r="K2717"/>
    </row>
    <row r="2718" spans="11:11" ht="15" x14ac:dyDescent="0.25">
      <c r="K2718"/>
    </row>
    <row r="2719" spans="11:11" ht="15" x14ac:dyDescent="0.25">
      <c r="K2719"/>
    </row>
    <row r="2720" spans="11:11" ht="15" x14ac:dyDescent="0.25">
      <c r="K2720"/>
    </row>
    <row r="2721" spans="11:11" ht="15" x14ac:dyDescent="0.25">
      <c r="K2721"/>
    </row>
    <row r="2722" spans="11:11" ht="15" x14ac:dyDescent="0.25">
      <c r="K2722"/>
    </row>
    <row r="2723" spans="11:11" ht="15" x14ac:dyDescent="0.25">
      <c r="K2723"/>
    </row>
    <row r="2724" spans="11:11" ht="15" x14ac:dyDescent="0.25">
      <c r="K2724"/>
    </row>
    <row r="2725" spans="11:11" ht="15" x14ac:dyDescent="0.25">
      <c r="K2725"/>
    </row>
    <row r="2726" spans="11:11" ht="15" x14ac:dyDescent="0.25">
      <c r="K2726"/>
    </row>
    <row r="2727" spans="11:11" ht="15" x14ac:dyDescent="0.25">
      <c r="K2727"/>
    </row>
    <row r="2728" spans="11:11" ht="15" x14ac:dyDescent="0.25">
      <c r="K2728"/>
    </row>
    <row r="2729" spans="11:11" ht="15" x14ac:dyDescent="0.25">
      <c r="K2729"/>
    </row>
    <row r="2730" spans="11:11" ht="15" x14ac:dyDescent="0.25">
      <c r="K2730"/>
    </row>
    <row r="2731" spans="11:11" ht="15" x14ac:dyDescent="0.25">
      <c r="K2731"/>
    </row>
    <row r="2732" spans="11:11" ht="15" x14ac:dyDescent="0.25">
      <c r="K2732"/>
    </row>
    <row r="2733" spans="11:11" ht="15" x14ac:dyDescent="0.25">
      <c r="K2733"/>
    </row>
    <row r="2734" spans="11:11" ht="15" x14ac:dyDescent="0.25">
      <c r="K2734"/>
    </row>
    <row r="2735" spans="11:11" ht="15" x14ac:dyDescent="0.25">
      <c r="K2735"/>
    </row>
    <row r="2736" spans="11:11" ht="15" x14ac:dyDescent="0.25">
      <c r="K2736"/>
    </row>
    <row r="2737" spans="11:11" ht="15" x14ac:dyDescent="0.25">
      <c r="K2737"/>
    </row>
    <row r="2738" spans="11:11" ht="15" x14ac:dyDescent="0.25">
      <c r="K2738"/>
    </row>
    <row r="2739" spans="11:11" ht="15" x14ac:dyDescent="0.25">
      <c r="K2739"/>
    </row>
    <row r="2740" spans="11:11" ht="15" x14ac:dyDescent="0.25">
      <c r="K2740"/>
    </row>
    <row r="2741" spans="11:11" ht="15" x14ac:dyDescent="0.25">
      <c r="K2741"/>
    </row>
    <row r="2742" spans="11:11" ht="15" x14ac:dyDescent="0.25">
      <c r="K2742"/>
    </row>
    <row r="2743" spans="11:11" ht="15" x14ac:dyDescent="0.25">
      <c r="K2743"/>
    </row>
    <row r="2744" spans="11:11" ht="15" x14ac:dyDescent="0.25">
      <c r="K2744"/>
    </row>
    <row r="2745" spans="11:11" ht="15" x14ac:dyDescent="0.25">
      <c r="K2745"/>
    </row>
    <row r="2746" spans="11:11" ht="15" x14ac:dyDescent="0.25">
      <c r="K2746"/>
    </row>
    <row r="2747" spans="11:11" ht="15" x14ac:dyDescent="0.25">
      <c r="K2747"/>
    </row>
    <row r="2748" spans="11:11" ht="15" x14ac:dyDescent="0.25">
      <c r="K2748"/>
    </row>
    <row r="2749" spans="11:11" ht="15" x14ac:dyDescent="0.25">
      <c r="K2749"/>
    </row>
    <row r="2750" spans="11:11" ht="15" x14ac:dyDescent="0.25">
      <c r="K2750"/>
    </row>
    <row r="2751" spans="11:11" ht="15" x14ac:dyDescent="0.25">
      <c r="K2751"/>
    </row>
    <row r="2752" spans="11:11" ht="15" x14ac:dyDescent="0.25">
      <c r="K2752"/>
    </row>
    <row r="2753" spans="11:11" ht="15" x14ac:dyDescent="0.25">
      <c r="K2753"/>
    </row>
    <row r="2754" spans="11:11" ht="15" x14ac:dyDescent="0.25">
      <c r="K2754"/>
    </row>
    <row r="2755" spans="11:11" ht="15" x14ac:dyDescent="0.25">
      <c r="K2755"/>
    </row>
    <row r="2756" spans="11:11" ht="15" x14ac:dyDescent="0.25">
      <c r="K2756"/>
    </row>
    <row r="2757" spans="11:11" ht="15" x14ac:dyDescent="0.25">
      <c r="K2757"/>
    </row>
    <row r="2758" spans="11:11" ht="15" x14ac:dyDescent="0.25">
      <c r="K2758"/>
    </row>
    <row r="2759" spans="11:11" ht="15" x14ac:dyDescent="0.25">
      <c r="K2759"/>
    </row>
    <row r="2760" spans="11:11" ht="15" x14ac:dyDescent="0.25">
      <c r="K2760"/>
    </row>
    <row r="2761" spans="11:11" ht="15" x14ac:dyDescent="0.25">
      <c r="K2761"/>
    </row>
    <row r="2762" spans="11:11" ht="15" x14ac:dyDescent="0.25">
      <c r="K2762"/>
    </row>
    <row r="2763" spans="11:11" ht="15" x14ac:dyDescent="0.25">
      <c r="K2763"/>
    </row>
    <row r="2764" spans="11:11" ht="15" x14ac:dyDescent="0.25">
      <c r="K2764"/>
    </row>
    <row r="2765" spans="11:11" ht="15" x14ac:dyDescent="0.25">
      <c r="K2765"/>
    </row>
    <row r="2766" spans="11:11" ht="15" x14ac:dyDescent="0.25">
      <c r="K2766"/>
    </row>
    <row r="2767" spans="11:11" ht="15" x14ac:dyDescent="0.25">
      <c r="K2767"/>
    </row>
    <row r="2768" spans="11:11" ht="15" x14ac:dyDescent="0.25">
      <c r="K2768"/>
    </row>
    <row r="2769" spans="11:11" ht="15" x14ac:dyDescent="0.25">
      <c r="K2769"/>
    </row>
    <row r="2770" spans="11:11" ht="15" x14ac:dyDescent="0.25">
      <c r="K2770"/>
    </row>
    <row r="2771" spans="11:11" ht="15" x14ac:dyDescent="0.25">
      <c r="K2771"/>
    </row>
    <row r="2772" spans="11:11" ht="15" x14ac:dyDescent="0.25">
      <c r="K2772"/>
    </row>
    <row r="2773" spans="11:11" ht="15" x14ac:dyDescent="0.25">
      <c r="K2773"/>
    </row>
    <row r="2774" spans="11:11" ht="15" x14ac:dyDescent="0.25">
      <c r="K2774"/>
    </row>
    <row r="2775" spans="11:11" ht="15" x14ac:dyDescent="0.25">
      <c r="K2775"/>
    </row>
    <row r="2776" spans="11:11" ht="15" x14ac:dyDescent="0.25">
      <c r="K2776"/>
    </row>
    <row r="2777" spans="11:11" ht="15" x14ac:dyDescent="0.25">
      <c r="K2777"/>
    </row>
    <row r="2778" spans="11:11" ht="15" x14ac:dyDescent="0.25">
      <c r="K2778"/>
    </row>
    <row r="2779" spans="11:11" ht="15" x14ac:dyDescent="0.25">
      <c r="K2779"/>
    </row>
    <row r="2780" spans="11:11" ht="15" x14ac:dyDescent="0.25">
      <c r="K2780"/>
    </row>
    <row r="2781" spans="11:11" ht="15" x14ac:dyDescent="0.25">
      <c r="K2781"/>
    </row>
    <row r="2782" spans="11:11" ht="15" x14ac:dyDescent="0.25">
      <c r="K2782"/>
    </row>
    <row r="2783" spans="11:11" ht="15" x14ac:dyDescent="0.25">
      <c r="K2783"/>
    </row>
    <row r="2784" spans="11:11" ht="15" x14ac:dyDescent="0.25">
      <c r="K2784"/>
    </row>
    <row r="2785" spans="11:11" ht="15" x14ac:dyDescent="0.25">
      <c r="K2785"/>
    </row>
    <row r="2786" spans="11:11" ht="15" x14ac:dyDescent="0.25">
      <c r="K2786"/>
    </row>
    <row r="2787" spans="11:11" ht="15" x14ac:dyDescent="0.25">
      <c r="K2787"/>
    </row>
    <row r="2788" spans="11:11" ht="15" x14ac:dyDescent="0.25">
      <c r="K2788"/>
    </row>
    <row r="2789" spans="11:11" ht="15" x14ac:dyDescent="0.25">
      <c r="K2789"/>
    </row>
    <row r="2790" spans="11:11" ht="15" x14ac:dyDescent="0.25">
      <c r="K2790"/>
    </row>
    <row r="2791" spans="11:11" ht="15" x14ac:dyDescent="0.25">
      <c r="K2791"/>
    </row>
    <row r="2792" spans="11:11" ht="15" x14ac:dyDescent="0.25">
      <c r="K2792"/>
    </row>
    <row r="2793" spans="11:11" ht="15" x14ac:dyDescent="0.25">
      <c r="K2793"/>
    </row>
    <row r="2794" spans="11:11" ht="15" x14ac:dyDescent="0.25">
      <c r="K2794"/>
    </row>
    <row r="2795" spans="11:11" ht="15" x14ac:dyDescent="0.25">
      <c r="K2795"/>
    </row>
    <row r="2796" spans="11:11" ht="15" x14ac:dyDescent="0.25">
      <c r="K2796"/>
    </row>
    <row r="2797" spans="11:11" ht="15" x14ac:dyDescent="0.25">
      <c r="K2797"/>
    </row>
    <row r="2798" spans="11:11" ht="15" x14ac:dyDescent="0.25">
      <c r="K2798"/>
    </row>
    <row r="2799" spans="11:11" ht="15" x14ac:dyDescent="0.25">
      <c r="K2799"/>
    </row>
    <row r="2800" spans="11:11" ht="15" x14ac:dyDescent="0.25">
      <c r="K2800"/>
    </row>
    <row r="2801" spans="11:11" ht="15" x14ac:dyDescent="0.25">
      <c r="K2801"/>
    </row>
    <row r="2802" spans="11:11" ht="15" x14ac:dyDescent="0.25">
      <c r="K2802"/>
    </row>
    <row r="2803" spans="11:11" ht="15" x14ac:dyDescent="0.25">
      <c r="K2803"/>
    </row>
    <row r="2804" spans="11:11" ht="15" x14ac:dyDescent="0.25">
      <c r="K2804"/>
    </row>
    <row r="2805" spans="11:11" ht="15" x14ac:dyDescent="0.25">
      <c r="K2805"/>
    </row>
    <row r="2806" spans="11:11" ht="15" x14ac:dyDescent="0.25">
      <c r="K2806"/>
    </row>
    <row r="2807" spans="11:11" ht="15" x14ac:dyDescent="0.25">
      <c r="K2807"/>
    </row>
    <row r="2808" spans="11:11" ht="15" x14ac:dyDescent="0.25">
      <c r="K2808"/>
    </row>
    <row r="2809" spans="11:11" ht="15" x14ac:dyDescent="0.25">
      <c r="K2809"/>
    </row>
    <row r="2810" spans="11:11" ht="15" x14ac:dyDescent="0.25">
      <c r="K2810"/>
    </row>
    <row r="2811" spans="11:11" ht="15" x14ac:dyDescent="0.25">
      <c r="K2811"/>
    </row>
    <row r="2812" spans="11:11" ht="15" x14ac:dyDescent="0.25">
      <c r="K2812"/>
    </row>
    <row r="2813" spans="11:11" ht="15" x14ac:dyDescent="0.25">
      <c r="K2813"/>
    </row>
    <row r="2814" spans="11:11" ht="15" x14ac:dyDescent="0.25">
      <c r="K2814"/>
    </row>
    <row r="2815" spans="11:11" ht="15" x14ac:dyDescent="0.25">
      <c r="K2815"/>
    </row>
    <row r="2816" spans="11:11" ht="15" x14ac:dyDescent="0.25">
      <c r="K2816"/>
    </row>
    <row r="2817" spans="11:11" ht="15" x14ac:dyDescent="0.25">
      <c r="K2817"/>
    </row>
    <row r="2818" spans="11:11" ht="15" x14ac:dyDescent="0.25">
      <c r="K2818"/>
    </row>
    <row r="2819" spans="11:11" ht="15" x14ac:dyDescent="0.25">
      <c r="K2819"/>
    </row>
    <row r="2820" spans="11:11" ht="15" x14ac:dyDescent="0.25">
      <c r="K2820"/>
    </row>
    <row r="2821" spans="11:11" ht="15" x14ac:dyDescent="0.25">
      <c r="K2821"/>
    </row>
    <row r="2822" spans="11:11" ht="15" x14ac:dyDescent="0.25">
      <c r="K2822"/>
    </row>
    <row r="2823" spans="11:11" ht="15" x14ac:dyDescent="0.25">
      <c r="K2823"/>
    </row>
    <row r="2824" spans="11:11" ht="15" x14ac:dyDescent="0.25">
      <c r="K2824"/>
    </row>
    <row r="2825" spans="11:11" ht="15" x14ac:dyDescent="0.25">
      <c r="K2825"/>
    </row>
    <row r="2826" spans="11:11" ht="15" x14ac:dyDescent="0.25">
      <c r="K2826"/>
    </row>
    <row r="2827" spans="11:11" ht="15" x14ac:dyDescent="0.25">
      <c r="K2827"/>
    </row>
    <row r="2828" spans="11:11" ht="15" x14ac:dyDescent="0.25">
      <c r="K2828"/>
    </row>
    <row r="2829" spans="11:11" ht="15" x14ac:dyDescent="0.25">
      <c r="K2829"/>
    </row>
    <row r="2830" spans="11:11" ht="15" x14ac:dyDescent="0.25">
      <c r="K2830"/>
    </row>
    <row r="2831" spans="11:11" ht="15" x14ac:dyDescent="0.25">
      <c r="K2831"/>
    </row>
    <row r="2832" spans="11:11" ht="15" x14ac:dyDescent="0.25">
      <c r="K2832"/>
    </row>
    <row r="2833" spans="11:11" ht="15" x14ac:dyDescent="0.25">
      <c r="K2833"/>
    </row>
    <row r="2834" spans="11:11" ht="15" x14ac:dyDescent="0.25">
      <c r="K2834"/>
    </row>
    <row r="2835" spans="11:11" ht="15" x14ac:dyDescent="0.25">
      <c r="K2835"/>
    </row>
    <row r="2836" spans="11:11" ht="15" x14ac:dyDescent="0.25">
      <c r="K2836"/>
    </row>
    <row r="2837" spans="11:11" ht="15" x14ac:dyDescent="0.25">
      <c r="K2837"/>
    </row>
    <row r="2838" spans="11:11" ht="15" x14ac:dyDescent="0.25">
      <c r="K2838"/>
    </row>
    <row r="2839" spans="11:11" ht="15" x14ac:dyDescent="0.25">
      <c r="K2839"/>
    </row>
    <row r="2840" spans="11:11" ht="15" x14ac:dyDescent="0.25">
      <c r="K2840"/>
    </row>
    <row r="2841" spans="11:11" ht="15" x14ac:dyDescent="0.25">
      <c r="K2841"/>
    </row>
    <row r="2842" spans="11:11" ht="15" x14ac:dyDescent="0.25">
      <c r="K2842"/>
    </row>
    <row r="2843" spans="11:11" ht="15" x14ac:dyDescent="0.25">
      <c r="K2843"/>
    </row>
    <row r="2844" spans="11:11" ht="15" x14ac:dyDescent="0.25">
      <c r="K2844"/>
    </row>
    <row r="2845" spans="11:11" ht="15" x14ac:dyDescent="0.25">
      <c r="K2845"/>
    </row>
    <row r="2846" spans="11:11" ht="15" x14ac:dyDescent="0.25">
      <c r="K2846"/>
    </row>
    <row r="2847" spans="11:11" ht="15" x14ac:dyDescent="0.25">
      <c r="K2847"/>
    </row>
    <row r="2848" spans="11:11" ht="15" x14ac:dyDescent="0.25">
      <c r="K2848"/>
    </row>
    <row r="2849" spans="11:11" ht="15" x14ac:dyDescent="0.25">
      <c r="K2849"/>
    </row>
    <row r="2850" spans="11:11" ht="15" x14ac:dyDescent="0.25">
      <c r="K2850"/>
    </row>
    <row r="2851" spans="11:11" ht="15" x14ac:dyDescent="0.25">
      <c r="K2851"/>
    </row>
    <row r="2852" spans="11:11" ht="15" x14ac:dyDescent="0.25">
      <c r="K2852"/>
    </row>
    <row r="2853" spans="11:11" ht="15" x14ac:dyDescent="0.25">
      <c r="K2853"/>
    </row>
    <row r="2854" spans="11:11" ht="15" x14ac:dyDescent="0.25">
      <c r="K2854"/>
    </row>
    <row r="2855" spans="11:11" ht="15" x14ac:dyDescent="0.25">
      <c r="K2855"/>
    </row>
    <row r="2856" spans="11:11" ht="15" x14ac:dyDescent="0.25">
      <c r="K2856"/>
    </row>
    <row r="2857" spans="11:11" ht="15" x14ac:dyDescent="0.25">
      <c r="K2857"/>
    </row>
    <row r="2858" spans="11:11" ht="15" x14ac:dyDescent="0.25">
      <c r="K2858"/>
    </row>
    <row r="2859" spans="11:11" ht="15" x14ac:dyDescent="0.25">
      <c r="K2859"/>
    </row>
    <row r="2860" spans="11:11" ht="15" x14ac:dyDescent="0.25">
      <c r="K2860"/>
    </row>
    <row r="2861" spans="11:11" ht="15" x14ac:dyDescent="0.25">
      <c r="K2861"/>
    </row>
    <row r="2862" spans="11:11" ht="15" x14ac:dyDescent="0.25">
      <c r="K2862"/>
    </row>
    <row r="2863" spans="11:11" ht="15" x14ac:dyDescent="0.25">
      <c r="K2863"/>
    </row>
    <row r="2864" spans="11:11" ht="15" x14ac:dyDescent="0.25">
      <c r="K2864"/>
    </row>
    <row r="2865" spans="11:11" ht="15" x14ac:dyDescent="0.25">
      <c r="K2865"/>
    </row>
    <row r="2866" spans="11:11" ht="15" x14ac:dyDescent="0.25">
      <c r="K2866"/>
    </row>
    <row r="2867" spans="11:11" ht="15" x14ac:dyDescent="0.25">
      <c r="K2867"/>
    </row>
    <row r="2868" spans="11:11" ht="15" x14ac:dyDescent="0.25">
      <c r="K2868"/>
    </row>
    <row r="2869" spans="11:11" ht="15" x14ac:dyDescent="0.25">
      <c r="K2869"/>
    </row>
    <row r="2870" spans="11:11" ht="15" x14ac:dyDescent="0.25">
      <c r="K2870"/>
    </row>
    <row r="2871" spans="11:11" ht="15" x14ac:dyDescent="0.25">
      <c r="K2871"/>
    </row>
    <row r="2872" spans="11:11" ht="15" x14ac:dyDescent="0.25">
      <c r="K2872"/>
    </row>
    <row r="2873" spans="11:11" ht="15" x14ac:dyDescent="0.25">
      <c r="K2873"/>
    </row>
    <row r="2874" spans="11:11" ht="15" x14ac:dyDescent="0.25">
      <c r="K2874"/>
    </row>
    <row r="2875" spans="11:11" ht="15" x14ac:dyDescent="0.25">
      <c r="K2875"/>
    </row>
    <row r="2876" spans="11:11" ht="15" x14ac:dyDescent="0.25">
      <c r="K2876"/>
    </row>
    <row r="2877" spans="11:11" ht="15" x14ac:dyDescent="0.25">
      <c r="K2877"/>
    </row>
    <row r="2878" spans="11:11" ht="15" x14ac:dyDescent="0.25">
      <c r="K2878"/>
    </row>
    <row r="2879" spans="11:11" ht="15" x14ac:dyDescent="0.25">
      <c r="K2879"/>
    </row>
    <row r="2880" spans="11:11" ht="15" x14ac:dyDescent="0.25">
      <c r="K2880"/>
    </row>
    <row r="2881" spans="11:11" ht="15" x14ac:dyDescent="0.25">
      <c r="K2881"/>
    </row>
    <row r="2882" spans="11:11" ht="15" x14ac:dyDescent="0.25">
      <c r="K2882"/>
    </row>
    <row r="2883" spans="11:11" ht="15" x14ac:dyDescent="0.25">
      <c r="K2883"/>
    </row>
    <row r="2884" spans="11:11" ht="15" x14ac:dyDescent="0.25">
      <c r="K2884"/>
    </row>
    <row r="2885" spans="11:11" ht="15" x14ac:dyDescent="0.25">
      <c r="K2885"/>
    </row>
    <row r="2886" spans="11:11" ht="15" x14ac:dyDescent="0.25">
      <c r="K2886"/>
    </row>
    <row r="2887" spans="11:11" ht="15" x14ac:dyDescent="0.25">
      <c r="K2887"/>
    </row>
    <row r="2888" spans="11:11" ht="15" x14ac:dyDescent="0.25">
      <c r="K2888"/>
    </row>
    <row r="2889" spans="11:11" ht="15" x14ac:dyDescent="0.25">
      <c r="K2889"/>
    </row>
    <row r="2890" spans="11:11" ht="15" x14ac:dyDescent="0.25">
      <c r="K2890"/>
    </row>
    <row r="2891" spans="11:11" ht="15" x14ac:dyDescent="0.25">
      <c r="K2891"/>
    </row>
    <row r="2892" spans="11:11" ht="15" x14ac:dyDescent="0.25">
      <c r="K2892"/>
    </row>
    <row r="2893" spans="11:11" ht="15" x14ac:dyDescent="0.25">
      <c r="K2893"/>
    </row>
    <row r="2894" spans="11:11" ht="15" x14ac:dyDescent="0.25">
      <c r="K2894"/>
    </row>
    <row r="2895" spans="11:11" ht="15" x14ac:dyDescent="0.25">
      <c r="K2895"/>
    </row>
    <row r="2896" spans="11:11" ht="15" x14ac:dyDescent="0.25">
      <c r="K2896"/>
    </row>
    <row r="2897" spans="11:11" ht="15" x14ac:dyDescent="0.25">
      <c r="K2897"/>
    </row>
    <row r="2898" spans="11:11" ht="15" x14ac:dyDescent="0.25">
      <c r="K2898"/>
    </row>
    <row r="2899" spans="11:11" ht="15" x14ac:dyDescent="0.25">
      <c r="K2899"/>
    </row>
    <row r="2900" spans="11:11" ht="15" x14ac:dyDescent="0.25">
      <c r="K2900"/>
    </row>
    <row r="2901" spans="11:11" ht="15" x14ac:dyDescent="0.25">
      <c r="K2901"/>
    </row>
    <row r="2902" spans="11:11" ht="15" x14ac:dyDescent="0.25">
      <c r="K2902"/>
    </row>
    <row r="2903" spans="11:11" ht="15" x14ac:dyDescent="0.25">
      <c r="K2903"/>
    </row>
    <row r="2904" spans="11:11" ht="15" x14ac:dyDescent="0.25">
      <c r="K2904"/>
    </row>
    <row r="2905" spans="11:11" ht="15" x14ac:dyDescent="0.25">
      <c r="K2905"/>
    </row>
    <row r="2906" spans="11:11" ht="15" x14ac:dyDescent="0.25">
      <c r="K2906"/>
    </row>
    <row r="2907" spans="11:11" ht="15" x14ac:dyDescent="0.25">
      <c r="K2907"/>
    </row>
    <row r="2908" spans="11:11" ht="15" x14ac:dyDescent="0.25">
      <c r="K2908"/>
    </row>
    <row r="2909" spans="11:11" ht="15" x14ac:dyDescent="0.25">
      <c r="K2909"/>
    </row>
    <row r="2910" spans="11:11" ht="15" x14ac:dyDescent="0.25">
      <c r="K2910"/>
    </row>
    <row r="2911" spans="11:11" ht="15" x14ac:dyDescent="0.25">
      <c r="K2911"/>
    </row>
    <row r="2912" spans="11:11" ht="15" x14ac:dyDescent="0.25">
      <c r="K2912"/>
    </row>
    <row r="2913" spans="11:11" ht="15" x14ac:dyDescent="0.25">
      <c r="K2913"/>
    </row>
    <row r="2914" spans="11:11" ht="15" x14ac:dyDescent="0.25">
      <c r="K2914"/>
    </row>
    <row r="2915" spans="11:11" ht="15" x14ac:dyDescent="0.25">
      <c r="K2915"/>
    </row>
    <row r="2916" spans="11:11" ht="15" x14ac:dyDescent="0.25">
      <c r="K2916"/>
    </row>
    <row r="2917" spans="11:11" ht="15" x14ac:dyDescent="0.25">
      <c r="K2917"/>
    </row>
    <row r="2918" spans="11:11" ht="15" x14ac:dyDescent="0.25">
      <c r="K2918"/>
    </row>
    <row r="2919" spans="11:11" ht="15" x14ac:dyDescent="0.25">
      <c r="K2919"/>
    </row>
    <row r="2920" spans="11:11" ht="15" x14ac:dyDescent="0.25">
      <c r="K2920"/>
    </row>
    <row r="2921" spans="11:11" ht="15" x14ac:dyDescent="0.25">
      <c r="K2921"/>
    </row>
    <row r="2922" spans="11:11" ht="15" x14ac:dyDescent="0.25">
      <c r="K2922"/>
    </row>
    <row r="2923" spans="11:11" ht="15" x14ac:dyDescent="0.25">
      <c r="K2923"/>
    </row>
    <row r="2924" spans="11:11" ht="15" x14ac:dyDescent="0.25">
      <c r="K2924"/>
    </row>
    <row r="2925" spans="11:11" ht="15" x14ac:dyDescent="0.25">
      <c r="K2925"/>
    </row>
    <row r="2926" spans="11:11" ht="15" x14ac:dyDescent="0.25">
      <c r="K2926"/>
    </row>
    <row r="2927" spans="11:11" ht="15" x14ac:dyDescent="0.25">
      <c r="K2927"/>
    </row>
    <row r="2928" spans="11:11" ht="15" x14ac:dyDescent="0.25">
      <c r="K2928"/>
    </row>
    <row r="2929" spans="11:11" ht="15" x14ac:dyDescent="0.25">
      <c r="K2929"/>
    </row>
    <row r="2930" spans="11:11" ht="15" x14ac:dyDescent="0.25">
      <c r="K2930"/>
    </row>
    <row r="2931" spans="11:11" ht="15" x14ac:dyDescent="0.25">
      <c r="K2931"/>
    </row>
    <row r="2932" spans="11:11" ht="15" x14ac:dyDescent="0.25">
      <c r="K2932"/>
    </row>
    <row r="2933" spans="11:11" ht="15" x14ac:dyDescent="0.25">
      <c r="K2933"/>
    </row>
    <row r="2934" spans="11:11" ht="15" x14ac:dyDescent="0.25">
      <c r="K2934"/>
    </row>
    <row r="2935" spans="11:11" ht="15" x14ac:dyDescent="0.25">
      <c r="K2935"/>
    </row>
    <row r="2936" spans="11:11" ht="15" x14ac:dyDescent="0.25">
      <c r="K2936"/>
    </row>
    <row r="2937" spans="11:11" ht="15" x14ac:dyDescent="0.25">
      <c r="K2937"/>
    </row>
    <row r="2938" spans="11:11" ht="15" x14ac:dyDescent="0.25">
      <c r="K2938"/>
    </row>
    <row r="2939" spans="11:11" ht="15" x14ac:dyDescent="0.25">
      <c r="K2939"/>
    </row>
    <row r="2940" spans="11:11" ht="15" x14ac:dyDescent="0.25">
      <c r="K2940"/>
    </row>
    <row r="2941" spans="11:11" ht="15" x14ac:dyDescent="0.25">
      <c r="K2941"/>
    </row>
    <row r="2942" spans="11:11" ht="15" x14ac:dyDescent="0.25">
      <c r="K2942"/>
    </row>
    <row r="2943" spans="11:11" ht="15" x14ac:dyDescent="0.25">
      <c r="K2943"/>
    </row>
    <row r="2944" spans="11:11" ht="15" x14ac:dyDescent="0.25">
      <c r="K2944"/>
    </row>
    <row r="2945" spans="11:11" ht="15" x14ac:dyDescent="0.25">
      <c r="K2945"/>
    </row>
    <row r="2946" spans="11:11" ht="15" x14ac:dyDescent="0.25">
      <c r="K2946"/>
    </row>
    <row r="2947" spans="11:11" ht="15" x14ac:dyDescent="0.25">
      <c r="K2947"/>
    </row>
    <row r="2948" spans="11:11" ht="15" x14ac:dyDescent="0.25">
      <c r="K2948"/>
    </row>
    <row r="2949" spans="11:11" ht="15" x14ac:dyDescent="0.25">
      <c r="K2949"/>
    </row>
    <row r="2950" spans="11:11" ht="15" x14ac:dyDescent="0.25">
      <c r="K2950"/>
    </row>
    <row r="2951" spans="11:11" ht="15" x14ac:dyDescent="0.25">
      <c r="K2951"/>
    </row>
    <row r="2952" spans="11:11" ht="15" x14ac:dyDescent="0.25">
      <c r="K2952"/>
    </row>
    <row r="2953" spans="11:11" ht="15" x14ac:dyDescent="0.25">
      <c r="K2953"/>
    </row>
    <row r="2954" spans="11:11" ht="15" x14ac:dyDescent="0.25">
      <c r="K2954"/>
    </row>
    <row r="2955" spans="11:11" ht="15" x14ac:dyDescent="0.25">
      <c r="K2955"/>
    </row>
    <row r="2956" spans="11:11" ht="15" x14ac:dyDescent="0.25">
      <c r="K2956"/>
    </row>
    <row r="2957" spans="11:11" ht="15" x14ac:dyDescent="0.25">
      <c r="K2957"/>
    </row>
    <row r="2958" spans="11:11" ht="15" x14ac:dyDescent="0.25">
      <c r="K2958"/>
    </row>
    <row r="2959" spans="11:11" ht="15" x14ac:dyDescent="0.25">
      <c r="K2959"/>
    </row>
    <row r="2960" spans="11:11" ht="15" x14ac:dyDescent="0.25">
      <c r="K2960"/>
    </row>
    <row r="2961" spans="11:11" ht="15" x14ac:dyDescent="0.25">
      <c r="K2961"/>
    </row>
    <row r="2962" spans="11:11" ht="15" x14ac:dyDescent="0.25">
      <c r="K2962"/>
    </row>
    <row r="2963" spans="11:11" ht="15" x14ac:dyDescent="0.25">
      <c r="K2963"/>
    </row>
    <row r="2964" spans="11:11" ht="15" x14ac:dyDescent="0.25">
      <c r="K2964"/>
    </row>
    <row r="2965" spans="11:11" ht="15" x14ac:dyDescent="0.25">
      <c r="K2965"/>
    </row>
    <row r="2966" spans="11:11" ht="15" x14ac:dyDescent="0.25">
      <c r="K2966"/>
    </row>
    <row r="2967" spans="11:11" ht="15" x14ac:dyDescent="0.25">
      <c r="K2967"/>
    </row>
    <row r="2968" spans="11:11" ht="15" x14ac:dyDescent="0.25">
      <c r="K2968"/>
    </row>
    <row r="2969" spans="11:11" ht="15" x14ac:dyDescent="0.25">
      <c r="K2969"/>
    </row>
    <row r="2970" spans="11:11" ht="15" x14ac:dyDescent="0.25">
      <c r="K2970"/>
    </row>
    <row r="2971" spans="11:11" ht="15" x14ac:dyDescent="0.25">
      <c r="K2971"/>
    </row>
    <row r="2972" spans="11:11" ht="15" x14ac:dyDescent="0.25">
      <c r="K2972"/>
    </row>
    <row r="2973" spans="11:11" ht="15" x14ac:dyDescent="0.25">
      <c r="K2973"/>
    </row>
    <row r="2974" spans="11:11" ht="15" x14ac:dyDescent="0.25">
      <c r="K2974"/>
    </row>
    <row r="2975" spans="11:11" ht="15" x14ac:dyDescent="0.25">
      <c r="K2975"/>
    </row>
    <row r="2976" spans="11:11" ht="15" x14ac:dyDescent="0.25">
      <c r="K2976"/>
    </row>
    <row r="2977" spans="11:11" ht="15" x14ac:dyDescent="0.25">
      <c r="K2977"/>
    </row>
    <row r="2978" spans="11:11" ht="15" x14ac:dyDescent="0.25">
      <c r="K2978"/>
    </row>
    <row r="2979" spans="11:11" ht="15" x14ac:dyDescent="0.25">
      <c r="K2979"/>
    </row>
    <row r="2980" spans="11:11" ht="15" x14ac:dyDescent="0.25">
      <c r="K2980"/>
    </row>
    <row r="2981" spans="11:11" ht="15" x14ac:dyDescent="0.25">
      <c r="K2981"/>
    </row>
    <row r="2982" spans="11:11" ht="15" x14ac:dyDescent="0.25">
      <c r="K2982"/>
    </row>
    <row r="2983" spans="11:11" ht="15" x14ac:dyDescent="0.25">
      <c r="K2983"/>
    </row>
    <row r="2984" spans="11:11" ht="15" x14ac:dyDescent="0.25">
      <c r="K2984"/>
    </row>
    <row r="2985" spans="11:11" ht="15" x14ac:dyDescent="0.25">
      <c r="K2985"/>
    </row>
    <row r="2986" spans="11:11" ht="15" x14ac:dyDescent="0.25">
      <c r="K2986"/>
    </row>
    <row r="2987" spans="11:11" ht="15" x14ac:dyDescent="0.25">
      <c r="K2987"/>
    </row>
    <row r="2988" spans="11:11" ht="15" x14ac:dyDescent="0.25">
      <c r="K2988"/>
    </row>
    <row r="2989" spans="11:11" ht="15" x14ac:dyDescent="0.25">
      <c r="K2989"/>
    </row>
    <row r="2990" spans="11:11" ht="15" x14ac:dyDescent="0.25">
      <c r="K2990"/>
    </row>
    <row r="2991" spans="11:11" ht="15" x14ac:dyDescent="0.25">
      <c r="K2991"/>
    </row>
    <row r="2992" spans="11:11" ht="15" x14ac:dyDescent="0.25">
      <c r="K2992"/>
    </row>
    <row r="2993" spans="11:11" ht="15" x14ac:dyDescent="0.25">
      <c r="K2993"/>
    </row>
    <row r="2994" spans="11:11" ht="15" x14ac:dyDescent="0.25">
      <c r="K2994"/>
    </row>
    <row r="2995" spans="11:11" ht="15" x14ac:dyDescent="0.25">
      <c r="K2995"/>
    </row>
    <row r="2996" spans="11:11" ht="15" x14ac:dyDescent="0.25">
      <c r="K2996"/>
    </row>
    <row r="2997" spans="11:11" ht="15" x14ac:dyDescent="0.25">
      <c r="K2997"/>
    </row>
    <row r="2998" spans="11:11" ht="15" x14ac:dyDescent="0.25">
      <c r="K2998"/>
    </row>
    <row r="2999" spans="11:11" ht="15" x14ac:dyDescent="0.25">
      <c r="K2999"/>
    </row>
    <row r="3000" spans="11:11" ht="15" x14ac:dyDescent="0.25">
      <c r="K3000"/>
    </row>
    <row r="3001" spans="11:11" ht="15" x14ac:dyDescent="0.25">
      <c r="K3001"/>
    </row>
    <row r="3002" spans="11:11" ht="15" x14ac:dyDescent="0.25">
      <c r="K3002"/>
    </row>
    <row r="3003" spans="11:11" ht="15" x14ac:dyDescent="0.25">
      <c r="K3003"/>
    </row>
    <row r="3004" spans="11:11" ht="15" x14ac:dyDescent="0.25">
      <c r="K3004"/>
    </row>
    <row r="3005" spans="11:11" ht="15" x14ac:dyDescent="0.25">
      <c r="K3005"/>
    </row>
    <row r="3006" spans="11:11" ht="15" x14ac:dyDescent="0.25">
      <c r="K3006"/>
    </row>
    <row r="3007" spans="11:11" ht="15" x14ac:dyDescent="0.25">
      <c r="K3007"/>
    </row>
    <row r="3008" spans="11:11" ht="15" x14ac:dyDescent="0.25">
      <c r="K3008"/>
    </row>
    <row r="3009" spans="11:11" ht="15" x14ac:dyDescent="0.25">
      <c r="K3009"/>
    </row>
    <row r="3010" spans="11:11" ht="15" x14ac:dyDescent="0.25">
      <c r="K3010"/>
    </row>
    <row r="3011" spans="11:11" ht="15" x14ac:dyDescent="0.25">
      <c r="K3011"/>
    </row>
    <row r="3012" spans="11:11" ht="15" x14ac:dyDescent="0.25">
      <c r="K3012"/>
    </row>
    <row r="3013" spans="11:11" ht="15" x14ac:dyDescent="0.25">
      <c r="K3013"/>
    </row>
    <row r="3014" spans="11:11" ht="15" x14ac:dyDescent="0.25">
      <c r="K3014"/>
    </row>
    <row r="3015" spans="11:11" ht="15" x14ac:dyDescent="0.25">
      <c r="K3015"/>
    </row>
    <row r="3016" spans="11:11" ht="15" x14ac:dyDescent="0.25">
      <c r="K3016"/>
    </row>
    <row r="3017" spans="11:11" ht="15" x14ac:dyDescent="0.25">
      <c r="K3017"/>
    </row>
    <row r="3018" spans="11:11" ht="15" x14ac:dyDescent="0.25">
      <c r="K3018"/>
    </row>
    <row r="3019" spans="11:11" ht="15" x14ac:dyDescent="0.25">
      <c r="K3019"/>
    </row>
    <row r="3020" spans="11:11" ht="15" x14ac:dyDescent="0.25">
      <c r="K3020"/>
    </row>
    <row r="3021" spans="11:11" ht="15" x14ac:dyDescent="0.25">
      <c r="K3021"/>
    </row>
    <row r="3022" spans="11:11" ht="15" x14ac:dyDescent="0.25">
      <c r="K3022"/>
    </row>
    <row r="3023" spans="11:11" ht="15" x14ac:dyDescent="0.25">
      <c r="K3023"/>
    </row>
    <row r="3024" spans="11:11" ht="15" x14ac:dyDescent="0.25">
      <c r="K3024"/>
    </row>
    <row r="3025" spans="11:11" ht="15" x14ac:dyDescent="0.25">
      <c r="K3025"/>
    </row>
    <row r="3026" spans="11:11" ht="15" x14ac:dyDescent="0.25">
      <c r="K3026"/>
    </row>
    <row r="3027" spans="11:11" ht="15" x14ac:dyDescent="0.25">
      <c r="K3027"/>
    </row>
    <row r="3028" spans="11:11" ht="15" x14ac:dyDescent="0.25">
      <c r="K3028"/>
    </row>
    <row r="3029" spans="11:11" ht="15" x14ac:dyDescent="0.25">
      <c r="K3029"/>
    </row>
    <row r="3030" spans="11:11" ht="15" x14ac:dyDescent="0.25">
      <c r="K3030"/>
    </row>
    <row r="3031" spans="11:11" ht="15" x14ac:dyDescent="0.25">
      <c r="K3031"/>
    </row>
    <row r="3032" spans="11:11" ht="15" x14ac:dyDescent="0.25">
      <c r="K3032"/>
    </row>
    <row r="3033" spans="11:11" ht="15" x14ac:dyDescent="0.25">
      <c r="K3033"/>
    </row>
    <row r="3034" spans="11:11" ht="15" x14ac:dyDescent="0.25">
      <c r="K3034"/>
    </row>
    <row r="3035" spans="11:11" ht="15" x14ac:dyDescent="0.25">
      <c r="K3035"/>
    </row>
    <row r="3036" spans="11:11" ht="15" x14ac:dyDescent="0.25">
      <c r="K3036"/>
    </row>
    <row r="3037" spans="11:11" ht="15" x14ac:dyDescent="0.25">
      <c r="K3037"/>
    </row>
    <row r="3038" spans="11:11" ht="15" x14ac:dyDescent="0.25">
      <c r="K3038"/>
    </row>
    <row r="3039" spans="11:11" ht="15" x14ac:dyDescent="0.25">
      <c r="K3039"/>
    </row>
    <row r="3040" spans="11:11" ht="15" x14ac:dyDescent="0.25">
      <c r="K3040"/>
    </row>
    <row r="3041" spans="11:11" ht="15" x14ac:dyDescent="0.25">
      <c r="K3041"/>
    </row>
    <row r="3042" spans="11:11" ht="15" x14ac:dyDescent="0.25">
      <c r="K3042"/>
    </row>
    <row r="3043" spans="11:11" ht="15" x14ac:dyDescent="0.25">
      <c r="K3043"/>
    </row>
    <row r="3044" spans="11:11" ht="15" x14ac:dyDescent="0.25">
      <c r="K3044"/>
    </row>
    <row r="3045" spans="11:11" ht="15" x14ac:dyDescent="0.25">
      <c r="K3045"/>
    </row>
    <row r="3046" spans="11:11" ht="15" x14ac:dyDescent="0.25">
      <c r="K3046"/>
    </row>
    <row r="3047" spans="11:11" ht="15" x14ac:dyDescent="0.25">
      <c r="K3047"/>
    </row>
    <row r="3048" spans="11:11" ht="15" x14ac:dyDescent="0.25">
      <c r="K3048"/>
    </row>
    <row r="3049" spans="11:11" ht="15" x14ac:dyDescent="0.25">
      <c r="K3049"/>
    </row>
    <row r="3050" spans="11:11" ht="15" x14ac:dyDescent="0.25">
      <c r="K3050"/>
    </row>
    <row r="3051" spans="11:11" ht="15" x14ac:dyDescent="0.25">
      <c r="K3051"/>
    </row>
    <row r="3052" spans="11:11" ht="15" x14ac:dyDescent="0.25">
      <c r="K3052"/>
    </row>
    <row r="3053" spans="11:11" ht="15" x14ac:dyDescent="0.25">
      <c r="K3053"/>
    </row>
    <row r="3054" spans="11:11" ht="15" x14ac:dyDescent="0.25">
      <c r="K3054"/>
    </row>
    <row r="3055" spans="11:11" ht="15" x14ac:dyDescent="0.25">
      <c r="K3055"/>
    </row>
    <row r="3056" spans="11:11" ht="15" x14ac:dyDescent="0.25">
      <c r="K3056"/>
    </row>
    <row r="3057" spans="11:11" ht="15" x14ac:dyDescent="0.25">
      <c r="K3057"/>
    </row>
    <row r="3058" spans="11:11" ht="15" x14ac:dyDescent="0.25">
      <c r="K3058"/>
    </row>
    <row r="3059" spans="11:11" ht="15" x14ac:dyDescent="0.25">
      <c r="K3059"/>
    </row>
    <row r="3060" spans="11:11" ht="15" x14ac:dyDescent="0.25">
      <c r="K3060"/>
    </row>
    <row r="3061" spans="11:11" ht="15" x14ac:dyDescent="0.25">
      <c r="K3061"/>
    </row>
    <row r="3062" spans="11:11" ht="15" x14ac:dyDescent="0.25">
      <c r="K3062"/>
    </row>
    <row r="3063" spans="11:11" ht="15" x14ac:dyDescent="0.25">
      <c r="K3063"/>
    </row>
    <row r="3064" spans="11:11" ht="15" x14ac:dyDescent="0.25">
      <c r="K3064"/>
    </row>
    <row r="3065" spans="11:11" ht="15" x14ac:dyDescent="0.25">
      <c r="K3065"/>
    </row>
    <row r="3066" spans="11:11" ht="15" x14ac:dyDescent="0.25">
      <c r="K3066"/>
    </row>
    <row r="3067" spans="11:11" ht="15" x14ac:dyDescent="0.25">
      <c r="K3067"/>
    </row>
    <row r="3068" spans="11:11" ht="15" x14ac:dyDescent="0.25">
      <c r="K3068"/>
    </row>
    <row r="3069" spans="11:11" ht="15" x14ac:dyDescent="0.25">
      <c r="K3069"/>
    </row>
    <row r="3070" spans="11:11" ht="15" x14ac:dyDescent="0.25">
      <c r="K3070"/>
    </row>
    <row r="3071" spans="11:11" ht="15" x14ac:dyDescent="0.25">
      <c r="K3071"/>
    </row>
    <row r="3072" spans="11:11" ht="15" x14ac:dyDescent="0.25">
      <c r="K3072"/>
    </row>
    <row r="3073" spans="11:11" ht="15" x14ac:dyDescent="0.25">
      <c r="K3073"/>
    </row>
    <row r="3074" spans="11:11" ht="15" x14ac:dyDescent="0.25">
      <c r="K3074"/>
    </row>
    <row r="3075" spans="11:11" ht="15" x14ac:dyDescent="0.25">
      <c r="K3075"/>
    </row>
    <row r="3076" spans="11:11" ht="15" x14ac:dyDescent="0.25">
      <c r="K3076"/>
    </row>
    <row r="3077" spans="11:11" ht="15" x14ac:dyDescent="0.25">
      <c r="K3077"/>
    </row>
    <row r="3078" spans="11:11" ht="15" x14ac:dyDescent="0.25">
      <c r="K3078"/>
    </row>
    <row r="3079" spans="11:11" ht="15" x14ac:dyDescent="0.25">
      <c r="K3079"/>
    </row>
    <row r="3080" spans="11:11" ht="15" x14ac:dyDescent="0.25">
      <c r="K3080"/>
    </row>
    <row r="3081" spans="11:11" ht="15" x14ac:dyDescent="0.25">
      <c r="K3081"/>
    </row>
    <row r="3082" spans="11:11" ht="15" x14ac:dyDescent="0.25">
      <c r="K3082"/>
    </row>
    <row r="3083" spans="11:11" ht="15" x14ac:dyDescent="0.25">
      <c r="K3083"/>
    </row>
    <row r="3084" spans="11:11" ht="15" x14ac:dyDescent="0.25">
      <c r="K3084"/>
    </row>
    <row r="3085" spans="11:11" ht="15" x14ac:dyDescent="0.25">
      <c r="K3085"/>
    </row>
    <row r="3086" spans="11:11" ht="15" x14ac:dyDescent="0.25">
      <c r="K3086"/>
    </row>
    <row r="3087" spans="11:11" ht="15" x14ac:dyDescent="0.25">
      <c r="K3087"/>
    </row>
    <row r="3088" spans="11:11" ht="15" x14ac:dyDescent="0.25">
      <c r="K3088"/>
    </row>
    <row r="3089" spans="11:11" ht="15" x14ac:dyDescent="0.25">
      <c r="K3089"/>
    </row>
    <row r="3090" spans="11:11" ht="15" x14ac:dyDescent="0.25">
      <c r="K3090"/>
    </row>
    <row r="3091" spans="11:11" ht="15" x14ac:dyDescent="0.25">
      <c r="K3091"/>
    </row>
    <row r="3092" spans="11:11" ht="15" x14ac:dyDescent="0.25">
      <c r="K3092"/>
    </row>
    <row r="3093" spans="11:11" ht="15" x14ac:dyDescent="0.25">
      <c r="K3093"/>
    </row>
    <row r="3094" spans="11:11" ht="15" x14ac:dyDescent="0.25">
      <c r="K3094"/>
    </row>
    <row r="3095" spans="11:11" ht="15" x14ac:dyDescent="0.25">
      <c r="K3095"/>
    </row>
    <row r="3096" spans="11:11" ht="15" x14ac:dyDescent="0.25">
      <c r="K3096"/>
    </row>
    <row r="3097" spans="11:11" ht="15" x14ac:dyDescent="0.25">
      <c r="K3097"/>
    </row>
    <row r="3098" spans="11:11" ht="15" x14ac:dyDescent="0.25">
      <c r="K3098"/>
    </row>
    <row r="3099" spans="11:11" ht="15" x14ac:dyDescent="0.25">
      <c r="K3099"/>
    </row>
    <row r="3100" spans="11:11" ht="15" x14ac:dyDescent="0.25">
      <c r="K3100"/>
    </row>
    <row r="3101" spans="11:11" ht="15" x14ac:dyDescent="0.25">
      <c r="K3101"/>
    </row>
    <row r="3102" spans="11:11" ht="15" x14ac:dyDescent="0.25">
      <c r="K3102"/>
    </row>
    <row r="3103" spans="11:11" ht="15" x14ac:dyDescent="0.25">
      <c r="K3103"/>
    </row>
    <row r="3104" spans="11:11" ht="15" x14ac:dyDescent="0.25">
      <c r="K3104"/>
    </row>
    <row r="3105" spans="11:11" ht="15" x14ac:dyDescent="0.25">
      <c r="K3105"/>
    </row>
    <row r="3106" spans="11:11" ht="15" x14ac:dyDescent="0.25">
      <c r="K3106"/>
    </row>
    <row r="3107" spans="11:11" ht="15" x14ac:dyDescent="0.25">
      <c r="K3107"/>
    </row>
    <row r="3108" spans="11:11" ht="15" x14ac:dyDescent="0.25">
      <c r="K3108"/>
    </row>
    <row r="3109" spans="11:11" ht="15" x14ac:dyDescent="0.25">
      <c r="K3109"/>
    </row>
    <row r="3110" spans="11:11" ht="15" x14ac:dyDescent="0.25">
      <c r="K3110"/>
    </row>
    <row r="3111" spans="11:11" ht="15" x14ac:dyDescent="0.25">
      <c r="K3111"/>
    </row>
    <row r="3112" spans="11:11" ht="15" x14ac:dyDescent="0.25">
      <c r="K3112"/>
    </row>
    <row r="3113" spans="11:11" ht="15" x14ac:dyDescent="0.25">
      <c r="K3113"/>
    </row>
    <row r="3114" spans="11:11" ht="15" x14ac:dyDescent="0.25">
      <c r="K3114"/>
    </row>
    <row r="3115" spans="11:11" ht="15" x14ac:dyDescent="0.25">
      <c r="K3115"/>
    </row>
    <row r="3116" spans="11:11" ht="15" x14ac:dyDescent="0.25">
      <c r="K3116"/>
    </row>
    <row r="3117" spans="11:11" ht="15" x14ac:dyDescent="0.25">
      <c r="K3117"/>
    </row>
    <row r="3118" spans="11:11" ht="15" x14ac:dyDescent="0.25">
      <c r="K3118"/>
    </row>
    <row r="3119" spans="11:11" ht="15" x14ac:dyDescent="0.25">
      <c r="K3119"/>
    </row>
    <row r="3120" spans="11:11" ht="15" x14ac:dyDescent="0.25">
      <c r="K3120"/>
    </row>
    <row r="3121" spans="11:11" ht="15" x14ac:dyDescent="0.25">
      <c r="K3121"/>
    </row>
    <row r="3122" spans="11:11" ht="15" x14ac:dyDescent="0.25">
      <c r="K3122"/>
    </row>
    <row r="3123" spans="11:11" ht="15" x14ac:dyDescent="0.25">
      <c r="K3123"/>
    </row>
    <row r="3124" spans="11:11" ht="15" x14ac:dyDescent="0.25">
      <c r="K3124"/>
    </row>
    <row r="3125" spans="11:11" ht="15" x14ac:dyDescent="0.25">
      <c r="K3125"/>
    </row>
    <row r="3126" spans="11:11" ht="15" x14ac:dyDescent="0.25">
      <c r="K3126"/>
    </row>
    <row r="3127" spans="11:11" ht="15" x14ac:dyDescent="0.25">
      <c r="K3127"/>
    </row>
    <row r="3128" spans="11:11" ht="15" x14ac:dyDescent="0.25">
      <c r="K3128"/>
    </row>
    <row r="3129" spans="11:11" ht="15" x14ac:dyDescent="0.25">
      <c r="K3129"/>
    </row>
    <row r="3130" spans="11:11" ht="15" x14ac:dyDescent="0.25">
      <c r="K3130"/>
    </row>
    <row r="3131" spans="11:11" ht="15" x14ac:dyDescent="0.25">
      <c r="K3131"/>
    </row>
    <row r="3132" spans="11:11" ht="15" x14ac:dyDescent="0.25">
      <c r="K3132"/>
    </row>
    <row r="3133" spans="11:11" ht="15" x14ac:dyDescent="0.25">
      <c r="K3133"/>
    </row>
    <row r="3134" spans="11:11" ht="15" x14ac:dyDescent="0.25">
      <c r="K3134"/>
    </row>
    <row r="3135" spans="11:11" ht="15" x14ac:dyDescent="0.25">
      <c r="K3135"/>
    </row>
    <row r="3136" spans="11:11" ht="15" x14ac:dyDescent="0.25">
      <c r="K3136"/>
    </row>
    <row r="3137" spans="11:11" ht="15" x14ac:dyDescent="0.25">
      <c r="K3137"/>
    </row>
    <row r="3138" spans="11:11" ht="15" x14ac:dyDescent="0.25">
      <c r="K3138"/>
    </row>
    <row r="3139" spans="11:11" ht="15" x14ac:dyDescent="0.25">
      <c r="K3139"/>
    </row>
    <row r="3140" spans="11:11" ht="15" x14ac:dyDescent="0.25">
      <c r="K3140"/>
    </row>
    <row r="3141" spans="11:11" ht="15" x14ac:dyDescent="0.25">
      <c r="K3141"/>
    </row>
    <row r="3142" spans="11:11" ht="15" x14ac:dyDescent="0.25">
      <c r="K3142"/>
    </row>
    <row r="3143" spans="11:11" ht="15" x14ac:dyDescent="0.25">
      <c r="K3143"/>
    </row>
    <row r="3144" spans="11:11" ht="15" x14ac:dyDescent="0.25">
      <c r="K3144"/>
    </row>
    <row r="3145" spans="11:11" ht="15" x14ac:dyDescent="0.25">
      <c r="K3145"/>
    </row>
    <row r="3146" spans="11:11" ht="15" x14ac:dyDescent="0.25">
      <c r="K3146"/>
    </row>
    <row r="3147" spans="11:11" ht="15" x14ac:dyDescent="0.25">
      <c r="K3147"/>
    </row>
    <row r="3148" spans="11:11" ht="15" x14ac:dyDescent="0.25">
      <c r="K3148"/>
    </row>
    <row r="3149" spans="11:11" ht="15" x14ac:dyDescent="0.25">
      <c r="K3149"/>
    </row>
    <row r="3150" spans="11:11" ht="15" x14ac:dyDescent="0.25">
      <c r="K3150"/>
    </row>
    <row r="3151" spans="11:11" ht="15" x14ac:dyDescent="0.25">
      <c r="K3151"/>
    </row>
    <row r="3152" spans="11:11" ht="15" x14ac:dyDescent="0.25">
      <c r="K3152"/>
    </row>
    <row r="3153" spans="11:11" ht="15" x14ac:dyDescent="0.25">
      <c r="K3153"/>
    </row>
    <row r="3154" spans="11:11" ht="15" x14ac:dyDescent="0.25">
      <c r="K3154"/>
    </row>
    <row r="3155" spans="11:11" ht="15" x14ac:dyDescent="0.25">
      <c r="K3155"/>
    </row>
    <row r="3156" spans="11:11" ht="15" x14ac:dyDescent="0.25">
      <c r="K3156"/>
    </row>
    <row r="3157" spans="11:11" ht="15" x14ac:dyDescent="0.25">
      <c r="K3157"/>
    </row>
    <row r="3158" spans="11:11" ht="15" x14ac:dyDescent="0.25">
      <c r="K3158"/>
    </row>
    <row r="3159" spans="11:11" ht="15" x14ac:dyDescent="0.25">
      <c r="K3159"/>
    </row>
    <row r="3160" spans="11:11" ht="15" x14ac:dyDescent="0.25">
      <c r="K3160"/>
    </row>
    <row r="3161" spans="11:11" ht="15" x14ac:dyDescent="0.25">
      <c r="K3161"/>
    </row>
    <row r="3162" spans="11:11" ht="15" x14ac:dyDescent="0.25">
      <c r="K3162"/>
    </row>
    <row r="3163" spans="11:11" ht="15" x14ac:dyDescent="0.25">
      <c r="K3163"/>
    </row>
    <row r="3164" spans="11:11" ht="15" x14ac:dyDescent="0.25">
      <c r="K3164"/>
    </row>
    <row r="3165" spans="11:11" ht="15" x14ac:dyDescent="0.25">
      <c r="K3165"/>
    </row>
    <row r="3166" spans="11:11" ht="15" x14ac:dyDescent="0.25">
      <c r="K3166"/>
    </row>
    <row r="3167" spans="11:11" ht="15" x14ac:dyDescent="0.25">
      <c r="K3167"/>
    </row>
    <row r="3168" spans="11:11" ht="15" x14ac:dyDescent="0.25">
      <c r="K3168"/>
    </row>
    <row r="3169" spans="11:11" ht="15" x14ac:dyDescent="0.25">
      <c r="K3169"/>
    </row>
    <row r="3170" spans="11:11" ht="15" x14ac:dyDescent="0.25">
      <c r="K3170"/>
    </row>
    <row r="3171" spans="11:11" ht="15" x14ac:dyDescent="0.25">
      <c r="K3171"/>
    </row>
    <row r="3172" spans="11:11" ht="15" x14ac:dyDescent="0.25">
      <c r="K3172"/>
    </row>
    <row r="3173" spans="11:11" ht="15" x14ac:dyDescent="0.25">
      <c r="K3173"/>
    </row>
    <row r="3174" spans="11:11" ht="15" x14ac:dyDescent="0.25">
      <c r="K3174"/>
    </row>
    <row r="3175" spans="11:11" ht="15" x14ac:dyDescent="0.25">
      <c r="K3175"/>
    </row>
    <row r="3176" spans="11:11" ht="15" x14ac:dyDescent="0.25">
      <c r="K3176"/>
    </row>
    <row r="3177" spans="11:11" ht="15" x14ac:dyDescent="0.25">
      <c r="K3177"/>
    </row>
    <row r="3178" spans="11:11" ht="15" x14ac:dyDescent="0.25">
      <c r="K3178"/>
    </row>
    <row r="3179" spans="11:11" ht="15" x14ac:dyDescent="0.25">
      <c r="K3179"/>
    </row>
    <row r="3180" spans="11:11" ht="15" x14ac:dyDescent="0.25">
      <c r="K3180"/>
    </row>
    <row r="3181" spans="11:11" ht="15" x14ac:dyDescent="0.25">
      <c r="K3181"/>
    </row>
    <row r="3182" spans="11:11" ht="15" x14ac:dyDescent="0.25">
      <c r="K3182"/>
    </row>
    <row r="3183" spans="11:11" ht="15" x14ac:dyDescent="0.25">
      <c r="K3183"/>
    </row>
    <row r="3184" spans="11:11" ht="15" x14ac:dyDescent="0.25">
      <c r="K3184"/>
    </row>
    <row r="3185" spans="11:11" ht="15" x14ac:dyDescent="0.25">
      <c r="K3185"/>
    </row>
    <row r="3186" spans="11:11" ht="15" x14ac:dyDescent="0.25">
      <c r="K3186"/>
    </row>
    <row r="3187" spans="11:11" ht="15" x14ac:dyDescent="0.25">
      <c r="K3187"/>
    </row>
    <row r="3188" spans="11:11" ht="15" x14ac:dyDescent="0.25">
      <c r="K3188"/>
    </row>
    <row r="3189" spans="11:11" ht="15" x14ac:dyDescent="0.25">
      <c r="K3189"/>
    </row>
    <row r="3190" spans="11:11" ht="15" x14ac:dyDescent="0.25">
      <c r="K3190"/>
    </row>
    <row r="3191" spans="11:11" ht="15" x14ac:dyDescent="0.25">
      <c r="K3191"/>
    </row>
    <row r="3192" spans="11:11" ht="15" x14ac:dyDescent="0.25">
      <c r="K3192"/>
    </row>
    <row r="3193" spans="11:11" ht="15" x14ac:dyDescent="0.25">
      <c r="K3193"/>
    </row>
    <row r="3194" spans="11:11" ht="15" x14ac:dyDescent="0.25">
      <c r="K3194"/>
    </row>
    <row r="3195" spans="11:11" ht="15" x14ac:dyDescent="0.25">
      <c r="K3195"/>
    </row>
    <row r="3196" spans="11:11" ht="15" x14ac:dyDescent="0.25">
      <c r="K3196"/>
    </row>
    <row r="3197" spans="11:11" ht="15" x14ac:dyDescent="0.25">
      <c r="K3197"/>
    </row>
    <row r="3198" spans="11:11" ht="15" x14ac:dyDescent="0.25">
      <c r="K3198"/>
    </row>
    <row r="3199" spans="11:11" ht="15" x14ac:dyDescent="0.25">
      <c r="K3199"/>
    </row>
    <row r="3200" spans="11:11" ht="15" x14ac:dyDescent="0.25">
      <c r="K3200"/>
    </row>
    <row r="3201" spans="11:11" ht="15" x14ac:dyDescent="0.25">
      <c r="K3201"/>
    </row>
    <row r="3202" spans="11:11" ht="15" x14ac:dyDescent="0.25">
      <c r="K3202"/>
    </row>
    <row r="3203" spans="11:11" ht="15" x14ac:dyDescent="0.25">
      <c r="K3203"/>
    </row>
    <row r="3204" spans="11:11" ht="15" x14ac:dyDescent="0.25">
      <c r="K3204"/>
    </row>
    <row r="3205" spans="11:11" ht="15" x14ac:dyDescent="0.25">
      <c r="K3205"/>
    </row>
    <row r="3206" spans="11:11" ht="15" x14ac:dyDescent="0.25">
      <c r="K3206"/>
    </row>
    <row r="3207" spans="11:11" ht="15" x14ac:dyDescent="0.25">
      <c r="K3207"/>
    </row>
    <row r="3208" spans="11:11" ht="15" x14ac:dyDescent="0.25">
      <c r="K3208"/>
    </row>
    <row r="3209" spans="11:11" ht="15" x14ac:dyDescent="0.25">
      <c r="K3209"/>
    </row>
    <row r="3210" spans="11:11" ht="15" x14ac:dyDescent="0.25">
      <c r="K3210"/>
    </row>
    <row r="3211" spans="11:11" ht="15" x14ac:dyDescent="0.25">
      <c r="K3211"/>
    </row>
    <row r="3212" spans="11:11" ht="15" x14ac:dyDescent="0.25">
      <c r="K3212"/>
    </row>
    <row r="3213" spans="11:11" ht="15" x14ac:dyDescent="0.25">
      <c r="K3213"/>
    </row>
    <row r="3214" spans="11:11" ht="15" x14ac:dyDescent="0.25">
      <c r="K3214"/>
    </row>
    <row r="3215" spans="11:11" ht="15" x14ac:dyDescent="0.25">
      <c r="K3215"/>
    </row>
    <row r="3216" spans="11:11" ht="15" x14ac:dyDescent="0.25">
      <c r="K3216"/>
    </row>
    <row r="3217" spans="11:11" ht="15" x14ac:dyDescent="0.25">
      <c r="K3217"/>
    </row>
    <row r="3218" spans="11:11" ht="15" x14ac:dyDescent="0.25">
      <c r="K3218"/>
    </row>
    <row r="3219" spans="11:11" ht="15" x14ac:dyDescent="0.25">
      <c r="K3219"/>
    </row>
    <row r="3220" spans="11:11" ht="15" x14ac:dyDescent="0.25">
      <c r="K3220"/>
    </row>
    <row r="3221" spans="11:11" ht="15" x14ac:dyDescent="0.25">
      <c r="K3221"/>
    </row>
    <row r="3222" spans="11:11" ht="15" x14ac:dyDescent="0.25">
      <c r="K3222"/>
    </row>
    <row r="3223" spans="11:11" ht="15" x14ac:dyDescent="0.25">
      <c r="K3223"/>
    </row>
    <row r="3224" spans="11:11" ht="15" x14ac:dyDescent="0.25">
      <c r="K3224"/>
    </row>
    <row r="3225" spans="11:11" ht="15" x14ac:dyDescent="0.25">
      <c r="K3225"/>
    </row>
    <row r="3226" spans="11:11" ht="15" x14ac:dyDescent="0.25">
      <c r="K3226"/>
    </row>
    <row r="3227" spans="11:11" ht="15" x14ac:dyDescent="0.25">
      <c r="K3227"/>
    </row>
    <row r="3228" spans="11:11" ht="15" x14ac:dyDescent="0.25">
      <c r="K3228"/>
    </row>
    <row r="3229" spans="11:11" ht="15" x14ac:dyDescent="0.25">
      <c r="K3229"/>
    </row>
    <row r="3230" spans="11:11" ht="15" x14ac:dyDescent="0.25">
      <c r="K3230"/>
    </row>
    <row r="3231" spans="11:11" ht="15" x14ac:dyDescent="0.25">
      <c r="K3231"/>
    </row>
    <row r="3232" spans="11:11" ht="15" x14ac:dyDescent="0.25">
      <c r="K3232"/>
    </row>
    <row r="3233" spans="11:11" ht="15" x14ac:dyDescent="0.25">
      <c r="K3233"/>
    </row>
    <row r="3234" spans="11:11" ht="15" x14ac:dyDescent="0.25">
      <c r="K3234"/>
    </row>
    <row r="3235" spans="11:11" ht="15" x14ac:dyDescent="0.25">
      <c r="K3235"/>
    </row>
    <row r="3236" spans="11:11" ht="15" x14ac:dyDescent="0.25">
      <c r="K3236"/>
    </row>
    <row r="3237" spans="11:11" ht="15" x14ac:dyDescent="0.25">
      <c r="K3237"/>
    </row>
    <row r="3238" spans="11:11" ht="15" x14ac:dyDescent="0.25">
      <c r="K3238"/>
    </row>
    <row r="3239" spans="11:11" ht="15" x14ac:dyDescent="0.25">
      <c r="K3239"/>
    </row>
    <row r="3240" spans="11:11" ht="15" x14ac:dyDescent="0.25">
      <c r="K3240"/>
    </row>
    <row r="3241" spans="11:11" ht="15" x14ac:dyDescent="0.25">
      <c r="K3241"/>
    </row>
    <row r="3242" spans="11:11" ht="15" x14ac:dyDescent="0.25">
      <c r="K3242"/>
    </row>
    <row r="3243" spans="11:11" ht="15" x14ac:dyDescent="0.25">
      <c r="K3243"/>
    </row>
    <row r="3244" spans="11:11" ht="15" x14ac:dyDescent="0.25">
      <c r="K3244"/>
    </row>
    <row r="3245" spans="11:11" ht="15" x14ac:dyDescent="0.25">
      <c r="K3245"/>
    </row>
    <row r="3246" spans="11:11" ht="15" x14ac:dyDescent="0.25">
      <c r="K3246"/>
    </row>
    <row r="3247" spans="11:11" ht="15" x14ac:dyDescent="0.25">
      <c r="K3247"/>
    </row>
    <row r="3248" spans="11:11" ht="15" x14ac:dyDescent="0.25">
      <c r="K3248"/>
    </row>
    <row r="3249" spans="11:11" ht="15" x14ac:dyDescent="0.25">
      <c r="K3249"/>
    </row>
    <row r="3250" spans="11:11" ht="15" x14ac:dyDescent="0.25">
      <c r="K3250"/>
    </row>
    <row r="3251" spans="11:11" ht="15" x14ac:dyDescent="0.25">
      <c r="K3251"/>
    </row>
    <row r="3252" spans="11:11" ht="15" x14ac:dyDescent="0.25">
      <c r="K3252"/>
    </row>
    <row r="3253" spans="11:11" ht="15" x14ac:dyDescent="0.25">
      <c r="K3253"/>
    </row>
    <row r="3254" spans="11:11" ht="15" x14ac:dyDescent="0.25">
      <c r="K3254"/>
    </row>
    <row r="3255" spans="11:11" ht="15" x14ac:dyDescent="0.25">
      <c r="K3255"/>
    </row>
    <row r="3256" spans="11:11" ht="15" x14ac:dyDescent="0.25">
      <c r="K3256"/>
    </row>
    <row r="3257" spans="11:11" ht="15" x14ac:dyDescent="0.25">
      <c r="K3257"/>
    </row>
    <row r="3258" spans="11:11" ht="15" x14ac:dyDescent="0.25">
      <c r="K3258"/>
    </row>
    <row r="3259" spans="11:11" ht="15" x14ac:dyDescent="0.25">
      <c r="K3259"/>
    </row>
    <row r="3260" spans="11:11" ht="15" x14ac:dyDescent="0.25">
      <c r="K3260"/>
    </row>
    <row r="3261" spans="11:11" ht="15" x14ac:dyDescent="0.25">
      <c r="K3261"/>
    </row>
    <row r="3262" spans="11:11" ht="15" x14ac:dyDescent="0.25">
      <c r="K3262"/>
    </row>
    <row r="3263" spans="11:11" ht="15" x14ac:dyDescent="0.25">
      <c r="K3263"/>
    </row>
    <row r="3264" spans="11:11" ht="15" x14ac:dyDescent="0.25">
      <c r="K3264"/>
    </row>
    <row r="3265" spans="11:11" ht="15" x14ac:dyDescent="0.25">
      <c r="K3265"/>
    </row>
    <row r="3266" spans="11:11" ht="15" x14ac:dyDescent="0.25">
      <c r="K3266"/>
    </row>
    <row r="3267" spans="11:11" ht="15" x14ac:dyDescent="0.25">
      <c r="K3267"/>
    </row>
    <row r="3268" spans="11:11" ht="15" x14ac:dyDescent="0.25">
      <c r="K3268"/>
    </row>
    <row r="3269" spans="11:11" ht="15" x14ac:dyDescent="0.25">
      <c r="K3269"/>
    </row>
    <row r="3270" spans="11:11" ht="15" x14ac:dyDescent="0.25">
      <c r="K3270"/>
    </row>
    <row r="3271" spans="11:11" ht="15" x14ac:dyDescent="0.25">
      <c r="K3271"/>
    </row>
    <row r="3272" spans="11:11" ht="15" x14ac:dyDescent="0.25">
      <c r="K3272"/>
    </row>
    <row r="3273" spans="11:11" ht="15" x14ac:dyDescent="0.25">
      <c r="K3273"/>
    </row>
    <row r="3274" spans="11:11" ht="15" x14ac:dyDescent="0.25">
      <c r="K3274"/>
    </row>
    <row r="3275" spans="11:11" ht="15" x14ac:dyDescent="0.25">
      <c r="K3275"/>
    </row>
    <row r="3276" spans="11:11" ht="15" x14ac:dyDescent="0.25">
      <c r="K3276"/>
    </row>
    <row r="3277" spans="11:11" ht="15" x14ac:dyDescent="0.25">
      <c r="K3277"/>
    </row>
    <row r="3278" spans="11:11" ht="15" x14ac:dyDescent="0.25">
      <c r="K3278"/>
    </row>
    <row r="3279" spans="11:11" ht="15" x14ac:dyDescent="0.25">
      <c r="K3279"/>
    </row>
    <row r="3280" spans="11:11" ht="15" x14ac:dyDescent="0.25">
      <c r="K3280"/>
    </row>
    <row r="3281" spans="11:11" ht="15" x14ac:dyDescent="0.25">
      <c r="K3281"/>
    </row>
    <row r="3282" spans="11:11" ht="15" x14ac:dyDescent="0.25">
      <c r="K3282"/>
    </row>
    <row r="3283" spans="11:11" ht="15" x14ac:dyDescent="0.25">
      <c r="K3283"/>
    </row>
    <row r="3284" spans="11:11" ht="15" x14ac:dyDescent="0.25">
      <c r="K3284"/>
    </row>
    <row r="3285" spans="11:11" ht="15" x14ac:dyDescent="0.25">
      <c r="K3285"/>
    </row>
    <row r="3286" spans="11:11" ht="15" x14ac:dyDescent="0.25">
      <c r="K3286"/>
    </row>
    <row r="3287" spans="11:11" ht="15" x14ac:dyDescent="0.25">
      <c r="K3287"/>
    </row>
    <row r="3288" spans="11:11" ht="15" x14ac:dyDescent="0.25">
      <c r="K3288"/>
    </row>
    <row r="3289" spans="11:11" ht="15" x14ac:dyDescent="0.25">
      <c r="K3289"/>
    </row>
    <row r="3290" spans="11:11" ht="15" x14ac:dyDescent="0.25">
      <c r="K3290"/>
    </row>
    <row r="3291" spans="11:11" ht="15" x14ac:dyDescent="0.25">
      <c r="K3291"/>
    </row>
    <row r="3292" spans="11:11" ht="15" x14ac:dyDescent="0.25">
      <c r="K3292"/>
    </row>
    <row r="3293" spans="11:11" ht="15" x14ac:dyDescent="0.25">
      <c r="K3293"/>
    </row>
    <row r="3294" spans="11:11" ht="15" x14ac:dyDescent="0.25">
      <c r="K3294"/>
    </row>
    <row r="3295" spans="11:11" ht="15" x14ac:dyDescent="0.25">
      <c r="K3295"/>
    </row>
    <row r="3296" spans="11:11" ht="15" x14ac:dyDescent="0.25">
      <c r="K3296"/>
    </row>
    <row r="3297" spans="11:11" ht="15" x14ac:dyDescent="0.25">
      <c r="K3297"/>
    </row>
    <row r="3298" spans="11:11" ht="15" x14ac:dyDescent="0.25">
      <c r="K3298"/>
    </row>
    <row r="3299" spans="11:11" ht="15" x14ac:dyDescent="0.25">
      <c r="K3299"/>
    </row>
    <row r="3300" spans="11:11" ht="15" x14ac:dyDescent="0.25">
      <c r="K3300"/>
    </row>
    <row r="3301" spans="11:11" ht="15" x14ac:dyDescent="0.25">
      <c r="K3301"/>
    </row>
    <row r="3302" spans="11:11" ht="15" x14ac:dyDescent="0.25">
      <c r="K3302"/>
    </row>
    <row r="3303" spans="11:11" ht="15" x14ac:dyDescent="0.25">
      <c r="K3303"/>
    </row>
    <row r="3304" spans="11:11" ht="15" x14ac:dyDescent="0.25">
      <c r="K3304"/>
    </row>
    <row r="3305" spans="11:11" ht="15" x14ac:dyDescent="0.25">
      <c r="K3305"/>
    </row>
    <row r="3306" spans="11:11" ht="15" x14ac:dyDescent="0.25">
      <c r="K3306"/>
    </row>
    <row r="3307" spans="11:11" ht="15" x14ac:dyDescent="0.25">
      <c r="K3307"/>
    </row>
    <row r="3308" spans="11:11" ht="15" x14ac:dyDescent="0.25">
      <c r="K3308"/>
    </row>
    <row r="3309" spans="11:11" ht="15" x14ac:dyDescent="0.25">
      <c r="K3309"/>
    </row>
    <row r="3310" spans="11:11" ht="15" x14ac:dyDescent="0.25">
      <c r="K3310"/>
    </row>
    <row r="3311" spans="11:11" ht="15" x14ac:dyDescent="0.25">
      <c r="K3311"/>
    </row>
    <row r="3312" spans="11:11" ht="15" x14ac:dyDescent="0.25">
      <c r="K3312"/>
    </row>
    <row r="3313" spans="11:11" ht="15" x14ac:dyDescent="0.25">
      <c r="K3313"/>
    </row>
    <row r="3314" spans="11:11" ht="15" x14ac:dyDescent="0.25">
      <c r="K3314"/>
    </row>
    <row r="3315" spans="11:11" ht="15" x14ac:dyDescent="0.25">
      <c r="K3315"/>
    </row>
    <row r="3316" spans="11:11" ht="15" x14ac:dyDescent="0.25">
      <c r="K3316"/>
    </row>
    <row r="3317" spans="11:11" ht="15" x14ac:dyDescent="0.25">
      <c r="K3317"/>
    </row>
    <row r="3318" spans="11:11" ht="15" x14ac:dyDescent="0.25">
      <c r="K3318"/>
    </row>
    <row r="3319" spans="11:11" ht="15" x14ac:dyDescent="0.25">
      <c r="K3319"/>
    </row>
    <row r="3320" spans="11:11" ht="15" x14ac:dyDescent="0.25">
      <c r="K3320"/>
    </row>
    <row r="3321" spans="11:11" ht="15" x14ac:dyDescent="0.25">
      <c r="K3321"/>
    </row>
    <row r="3322" spans="11:11" ht="15" x14ac:dyDescent="0.25">
      <c r="K3322"/>
    </row>
    <row r="3323" spans="11:11" ht="15" x14ac:dyDescent="0.25">
      <c r="K3323"/>
    </row>
    <row r="3324" spans="11:11" ht="15" x14ac:dyDescent="0.25">
      <c r="K3324"/>
    </row>
    <row r="3325" spans="11:11" ht="15" x14ac:dyDescent="0.25">
      <c r="K3325"/>
    </row>
    <row r="3326" spans="11:11" ht="15" x14ac:dyDescent="0.25">
      <c r="K3326"/>
    </row>
    <row r="3327" spans="11:11" ht="15" x14ac:dyDescent="0.25">
      <c r="K3327"/>
    </row>
    <row r="3328" spans="11:11" ht="15" x14ac:dyDescent="0.25">
      <c r="K3328"/>
    </row>
    <row r="3329" spans="11:11" ht="15" x14ac:dyDescent="0.25">
      <c r="K3329"/>
    </row>
    <row r="3330" spans="11:11" ht="15" x14ac:dyDescent="0.25">
      <c r="K3330"/>
    </row>
    <row r="3331" spans="11:11" ht="15" x14ac:dyDescent="0.25">
      <c r="K3331"/>
    </row>
    <row r="3332" spans="11:11" ht="15" x14ac:dyDescent="0.25">
      <c r="K3332"/>
    </row>
    <row r="3333" spans="11:11" ht="15" x14ac:dyDescent="0.25">
      <c r="K3333"/>
    </row>
    <row r="3334" spans="11:11" ht="15" x14ac:dyDescent="0.25">
      <c r="K3334"/>
    </row>
    <row r="3335" spans="11:11" ht="15" x14ac:dyDescent="0.25">
      <c r="K3335"/>
    </row>
    <row r="3336" spans="11:11" ht="15" x14ac:dyDescent="0.25">
      <c r="K3336"/>
    </row>
    <row r="3337" spans="11:11" ht="15" x14ac:dyDescent="0.25">
      <c r="K3337"/>
    </row>
    <row r="3338" spans="11:11" ht="15" x14ac:dyDescent="0.25">
      <c r="K3338"/>
    </row>
    <row r="3339" spans="11:11" ht="15" x14ac:dyDescent="0.25">
      <c r="K3339"/>
    </row>
    <row r="3340" spans="11:11" ht="15" x14ac:dyDescent="0.25">
      <c r="K3340"/>
    </row>
    <row r="3341" spans="11:11" ht="15" x14ac:dyDescent="0.25">
      <c r="K3341"/>
    </row>
    <row r="3342" spans="11:11" ht="15" x14ac:dyDescent="0.25">
      <c r="K3342"/>
    </row>
    <row r="3343" spans="11:11" ht="15" x14ac:dyDescent="0.25">
      <c r="K3343"/>
    </row>
    <row r="3344" spans="11:11" ht="15" x14ac:dyDescent="0.25">
      <c r="K3344"/>
    </row>
    <row r="3345" spans="11:11" ht="15" x14ac:dyDescent="0.25">
      <c r="K3345"/>
    </row>
    <row r="3346" spans="11:11" ht="15" x14ac:dyDescent="0.25">
      <c r="K3346"/>
    </row>
    <row r="3347" spans="11:11" ht="15" x14ac:dyDescent="0.25">
      <c r="K3347"/>
    </row>
    <row r="3348" spans="11:11" ht="15" x14ac:dyDescent="0.25">
      <c r="K3348"/>
    </row>
    <row r="3349" spans="11:11" ht="15" x14ac:dyDescent="0.25">
      <c r="K3349"/>
    </row>
    <row r="3350" spans="11:11" ht="15" x14ac:dyDescent="0.25">
      <c r="K3350"/>
    </row>
    <row r="3351" spans="11:11" ht="15" x14ac:dyDescent="0.25">
      <c r="K3351"/>
    </row>
    <row r="3352" spans="11:11" ht="15" x14ac:dyDescent="0.25">
      <c r="K3352"/>
    </row>
    <row r="3353" spans="11:11" ht="15" x14ac:dyDescent="0.25">
      <c r="K3353"/>
    </row>
    <row r="3354" spans="11:11" ht="15" x14ac:dyDescent="0.25">
      <c r="K3354"/>
    </row>
    <row r="3355" spans="11:11" ht="15" x14ac:dyDescent="0.25">
      <c r="K3355"/>
    </row>
    <row r="3356" spans="11:11" ht="15" x14ac:dyDescent="0.25">
      <c r="K3356"/>
    </row>
    <row r="3357" spans="11:11" ht="15" x14ac:dyDescent="0.25">
      <c r="K3357"/>
    </row>
    <row r="3358" spans="11:11" ht="15" x14ac:dyDescent="0.25">
      <c r="K3358"/>
    </row>
    <row r="3359" spans="11:11" ht="15" x14ac:dyDescent="0.25">
      <c r="K3359"/>
    </row>
    <row r="3360" spans="11:11" ht="15" x14ac:dyDescent="0.25">
      <c r="K3360"/>
    </row>
    <row r="3361" spans="11:11" ht="15" x14ac:dyDescent="0.25">
      <c r="K3361"/>
    </row>
    <row r="3362" spans="11:11" ht="15" x14ac:dyDescent="0.25">
      <c r="K3362"/>
    </row>
    <row r="3363" spans="11:11" ht="15" x14ac:dyDescent="0.25">
      <c r="K3363"/>
    </row>
    <row r="3364" spans="11:11" ht="15" x14ac:dyDescent="0.25">
      <c r="K3364"/>
    </row>
    <row r="3365" spans="11:11" ht="15" x14ac:dyDescent="0.25">
      <c r="K3365"/>
    </row>
    <row r="3366" spans="11:11" ht="15" x14ac:dyDescent="0.25">
      <c r="K3366"/>
    </row>
    <row r="3367" spans="11:11" ht="15" x14ac:dyDescent="0.25">
      <c r="K3367"/>
    </row>
    <row r="3368" spans="11:11" ht="15" x14ac:dyDescent="0.25">
      <c r="K3368"/>
    </row>
    <row r="3369" spans="11:11" ht="15" x14ac:dyDescent="0.25">
      <c r="K3369"/>
    </row>
    <row r="3370" spans="11:11" ht="15" x14ac:dyDescent="0.25">
      <c r="K3370"/>
    </row>
    <row r="3371" spans="11:11" ht="15" x14ac:dyDescent="0.25">
      <c r="K3371"/>
    </row>
    <row r="3372" spans="11:11" ht="15" x14ac:dyDescent="0.25">
      <c r="K3372"/>
    </row>
    <row r="3373" spans="11:11" ht="15" x14ac:dyDescent="0.25">
      <c r="K3373"/>
    </row>
    <row r="3374" spans="11:11" ht="15" x14ac:dyDescent="0.25">
      <c r="K3374"/>
    </row>
    <row r="3375" spans="11:11" ht="15" x14ac:dyDescent="0.25">
      <c r="K3375"/>
    </row>
    <row r="3376" spans="11:11" ht="15" x14ac:dyDescent="0.25">
      <c r="K3376"/>
    </row>
    <row r="3377" spans="11:11" ht="15" x14ac:dyDescent="0.25">
      <c r="K3377"/>
    </row>
    <row r="3378" spans="11:11" ht="15" x14ac:dyDescent="0.25">
      <c r="K3378"/>
    </row>
    <row r="3379" spans="11:11" ht="15" x14ac:dyDescent="0.25">
      <c r="K3379"/>
    </row>
    <row r="3380" spans="11:11" ht="15" x14ac:dyDescent="0.25">
      <c r="K3380"/>
    </row>
    <row r="3381" spans="11:11" ht="15" x14ac:dyDescent="0.25">
      <c r="K3381"/>
    </row>
    <row r="3382" spans="11:11" ht="15" x14ac:dyDescent="0.25">
      <c r="K3382"/>
    </row>
    <row r="3383" spans="11:11" ht="15" x14ac:dyDescent="0.25">
      <c r="K3383"/>
    </row>
    <row r="3384" spans="11:11" ht="15" x14ac:dyDescent="0.25">
      <c r="K3384"/>
    </row>
    <row r="3385" spans="11:11" ht="15" x14ac:dyDescent="0.25">
      <c r="K3385"/>
    </row>
    <row r="3386" spans="11:11" ht="15" x14ac:dyDescent="0.25">
      <c r="K3386"/>
    </row>
    <row r="3387" spans="11:11" ht="15" x14ac:dyDescent="0.25">
      <c r="K3387"/>
    </row>
    <row r="3388" spans="11:11" ht="15" x14ac:dyDescent="0.25">
      <c r="K3388"/>
    </row>
    <row r="3389" spans="11:11" ht="15" x14ac:dyDescent="0.25">
      <c r="K3389"/>
    </row>
    <row r="3390" spans="11:11" ht="15" x14ac:dyDescent="0.25">
      <c r="K3390"/>
    </row>
    <row r="3391" spans="11:11" ht="15" x14ac:dyDescent="0.25">
      <c r="K3391"/>
    </row>
    <row r="3392" spans="11:11" ht="15" x14ac:dyDescent="0.25">
      <c r="K3392"/>
    </row>
    <row r="3393" spans="11:11" ht="15" x14ac:dyDescent="0.25">
      <c r="K3393"/>
    </row>
    <row r="3394" spans="11:11" ht="15" x14ac:dyDescent="0.25">
      <c r="K3394"/>
    </row>
    <row r="3395" spans="11:11" ht="15" x14ac:dyDescent="0.25">
      <c r="K3395"/>
    </row>
    <row r="3396" spans="11:11" ht="15" x14ac:dyDescent="0.25">
      <c r="K3396"/>
    </row>
    <row r="3397" spans="11:11" ht="15" x14ac:dyDescent="0.25">
      <c r="K3397"/>
    </row>
    <row r="3398" spans="11:11" ht="15" x14ac:dyDescent="0.25">
      <c r="K3398"/>
    </row>
    <row r="3399" spans="11:11" ht="15" x14ac:dyDescent="0.25">
      <c r="K3399"/>
    </row>
    <row r="3400" spans="11:11" ht="15" x14ac:dyDescent="0.25">
      <c r="K3400"/>
    </row>
    <row r="3401" spans="11:11" ht="15" x14ac:dyDescent="0.25">
      <c r="K3401"/>
    </row>
    <row r="3402" spans="11:11" ht="15" x14ac:dyDescent="0.25">
      <c r="K3402"/>
    </row>
    <row r="3403" spans="11:11" ht="15" x14ac:dyDescent="0.25">
      <c r="K3403"/>
    </row>
    <row r="3404" spans="11:11" ht="15" x14ac:dyDescent="0.25">
      <c r="K3404"/>
    </row>
    <row r="3405" spans="11:11" ht="15" x14ac:dyDescent="0.25">
      <c r="K3405"/>
    </row>
    <row r="3406" spans="11:11" ht="15" x14ac:dyDescent="0.25">
      <c r="K3406"/>
    </row>
    <row r="3407" spans="11:11" ht="15" x14ac:dyDescent="0.25">
      <c r="K3407"/>
    </row>
    <row r="3408" spans="11:11" ht="15" x14ac:dyDescent="0.25">
      <c r="K3408"/>
    </row>
    <row r="3409" spans="11:11" ht="15" x14ac:dyDescent="0.25">
      <c r="K3409"/>
    </row>
    <row r="3410" spans="11:11" ht="15" x14ac:dyDescent="0.25">
      <c r="K3410"/>
    </row>
    <row r="3411" spans="11:11" ht="15" x14ac:dyDescent="0.25">
      <c r="K3411"/>
    </row>
    <row r="3412" spans="11:11" ht="15" x14ac:dyDescent="0.25">
      <c r="K3412"/>
    </row>
    <row r="3413" spans="11:11" ht="15" x14ac:dyDescent="0.25">
      <c r="K3413"/>
    </row>
    <row r="3414" spans="11:11" ht="15" x14ac:dyDescent="0.25">
      <c r="K3414"/>
    </row>
    <row r="3415" spans="11:11" ht="15" x14ac:dyDescent="0.25">
      <c r="K3415"/>
    </row>
    <row r="3416" spans="11:11" ht="15" x14ac:dyDescent="0.25">
      <c r="K3416"/>
    </row>
    <row r="3417" spans="11:11" ht="15" x14ac:dyDescent="0.25">
      <c r="K3417"/>
    </row>
    <row r="3418" spans="11:11" ht="15" x14ac:dyDescent="0.25">
      <c r="K3418"/>
    </row>
    <row r="3419" spans="11:11" ht="15" x14ac:dyDescent="0.25">
      <c r="K3419"/>
    </row>
    <row r="3420" spans="11:11" ht="15" x14ac:dyDescent="0.25">
      <c r="K3420"/>
    </row>
    <row r="3421" spans="11:11" ht="15" x14ac:dyDescent="0.25">
      <c r="K3421"/>
    </row>
    <row r="3422" spans="11:11" ht="15" x14ac:dyDescent="0.25">
      <c r="K3422"/>
    </row>
    <row r="3423" spans="11:11" ht="15" x14ac:dyDescent="0.25">
      <c r="K3423"/>
    </row>
    <row r="3424" spans="11:11" ht="15" x14ac:dyDescent="0.25">
      <c r="K3424"/>
    </row>
    <row r="3425" spans="11:11" ht="15" x14ac:dyDescent="0.25">
      <c r="K3425"/>
    </row>
    <row r="3426" spans="11:11" ht="15" x14ac:dyDescent="0.25">
      <c r="K3426"/>
    </row>
    <row r="3427" spans="11:11" ht="15" x14ac:dyDescent="0.25">
      <c r="K3427"/>
    </row>
    <row r="3428" spans="11:11" ht="15" x14ac:dyDescent="0.25">
      <c r="K3428"/>
    </row>
    <row r="3429" spans="11:11" ht="15" x14ac:dyDescent="0.25">
      <c r="K3429"/>
    </row>
    <row r="3430" spans="11:11" ht="15" x14ac:dyDescent="0.25">
      <c r="K3430"/>
    </row>
    <row r="3431" spans="11:11" ht="15" x14ac:dyDescent="0.25">
      <c r="K3431"/>
    </row>
    <row r="3432" spans="11:11" ht="15" x14ac:dyDescent="0.25">
      <c r="K3432"/>
    </row>
    <row r="3433" spans="11:11" ht="15" x14ac:dyDescent="0.25">
      <c r="K3433"/>
    </row>
    <row r="3434" spans="11:11" ht="15" x14ac:dyDescent="0.25">
      <c r="K3434"/>
    </row>
    <row r="3435" spans="11:11" ht="15" x14ac:dyDescent="0.25">
      <c r="K3435"/>
    </row>
    <row r="3436" spans="11:11" ht="15" x14ac:dyDescent="0.25">
      <c r="K3436"/>
    </row>
    <row r="3437" spans="11:11" ht="15" x14ac:dyDescent="0.25">
      <c r="K3437"/>
    </row>
    <row r="3438" spans="11:11" ht="15" x14ac:dyDescent="0.25">
      <c r="K3438"/>
    </row>
    <row r="3439" spans="11:11" ht="15" x14ac:dyDescent="0.25">
      <c r="K3439"/>
    </row>
    <row r="3440" spans="11:11" ht="15" x14ac:dyDescent="0.25">
      <c r="K3440"/>
    </row>
    <row r="3441" spans="11:11" ht="15" x14ac:dyDescent="0.25">
      <c r="K3441"/>
    </row>
    <row r="3442" spans="11:11" ht="15" x14ac:dyDescent="0.25">
      <c r="K3442"/>
    </row>
    <row r="3443" spans="11:11" ht="15" x14ac:dyDescent="0.25">
      <c r="K3443"/>
    </row>
    <row r="3444" spans="11:11" ht="15" x14ac:dyDescent="0.25">
      <c r="K3444"/>
    </row>
    <row r="3445" spans="11:11" ht="15" x14ac:dyDescent="0.25">
      <c r="K3445"/>
    </row>
    <row r="3446" spans="11:11" ht="15" x14ac:dyDescent="0.25">
      <c r="K3446"/>
    </row>
    <row r="3447" spans="11:11" ht="15" x14ac:dyDescent="0.25">
      <c r="K3447"/>
    </row>
    <row r="3448" spans="11:11" ht="15" x14ac:dyDescent="0.25">
      <c r="K3448"/>
    </row>
    <row r="3449" spans="11:11" ht="15" x14ac:dyDescent="0.25">
      <c r="K3449"/>
    </row>
    <row r="3450" spans="11:11" ht="15" x14ac:dyDescent="0.25">
      <c r="K3450"/>
    </row>
    <row r="3451" spans="11:11" ht="15" x14ac:dyDescent="0.25">
      <c r="K3451"/>
    </row>
    <row r="3452" spans="11:11" ht="15" x14ac:dyDescent="0.25">
      <c r="K3452"/>
    </row>
    <row r="3453" spans="11:11" ht="15" x14ac:dyDescent="0.25">
      <c r="K3453"/>
    </row>
    <row r="3454" spans="11:11" ht="15" x14ac:dyDescent="0.25">
      <c r="K3454"/>
    </row>
    <row r="3455" spans="11:11" ht="15" x14ac:dyDescent="0.25">
      <c r="K3455"/>
    </row>
    <row r="3456" spans="11:11" ht="15" x14ac:dyDescent="0.25">
      <c r="K3456"/>
    </row>
    <row r="3457" spans="11:11" ht="15" x14ac:dyDescent="0.25">
      <c r="K3457"/>
    </row>
    <row r="3458" spans="11:11" ht="15" x14ac:dyDescent="0.25">
      <c r="K3458"/>
    </row>
    <row r="3459" spans="11:11" ht="15" x14ac:dyDescent="0.25">
      <c r="K3459"/>
    </row>
    <row r="3460" spans="11:11" ht="15" x14ac:dyDescent="0.25">
      <c r="K3460"/>
    </row>
    <row r="3461" spans="11:11" ht="15" x14ac:dyDescent="0.25">
      <c r="K3461"/>
    </row>
    <row r="3462" spans="11:11" ht="15" x14ac:dyDescent="0.25">
      <c r="K3462"/>
    </row>
    <row r="3463" spans="11:11" ht="15" x14ac:dyDescent="0.25">
      <c r="K3463"/>
    </row>
    <row r="3464" spans="11:11" ht="15" x14ac:dyDescent="0.25">
      <c r="K3464"/>
    </row>
    <row r="3465" spans="11:11" ht="15" x14ac:dyDescent="0.25">
      <c r="K3465"/>
    </row>
    <row r="3466" spans="11:11" ht="15" x14ac:dyDescent="0.25">
      <c r="K3466"/>
    </row>
    <row r="3467" spans="11:11" ht="15" x14ac:dyDescent="0.25">
      <c r="K3467"/>
    </row>
    <row r="3468" spans="11:11" ht="15" x14ac:dyDescent="0.25">
      <c r="K3468"/>
    </row>
    <row r="3469" spans="11:11" ht="15" x14ac:dyDescent="0.25">
      <c r="K3469"/>
    </row>
    <row r="3470" spans="11:11" ht="15" x14ac:dyDescent="0.25">
      <c r="K3470"/>
    </row>
    <row r="3471" spans="11:11" ht="15" x14ac:dyDescent="0.25">
      <c r="K3471"/>
    </row>
    <row r="3472" spans="11:11" ht="15" x14ac:dyDescent="0.25">
      <c r="K3472"/>
    </row>
    <row r="3473" spans="11:11" ht="15" x14ac:dyDescent="0.25">
      <c r="K3473"/>
    </row>
    <row r="3474" spans="11:11" ht="15" x14ac:dyDescent="0.25">
      <c r="K3474"/>
    </row>
    <row r="3475" spans="11:11" ht="15" x14ac:dyDescent="0.25">
      <c r="K3475"/>
    </row>
    <row r="3476" spans="11:11" ht="15" x14ac:dyDescent="0.25">
      <c r="K3476"/>
    </row>
    <row r="3477" spans="11:11" ht="15" x14ac:dyDescent="0.25">
      <c r="K3477"/>
    </row>
    <row r="3478" spans="11:11" ht="15" x14ac:dyDescent="0.25">
      <c r="K3478"/>
    </row>
    <row r="3479" spans="11:11" ht="15" x14ac:dyDescent="0.25">
      <c r="K3479"/>
    </row>
    <row r="3480" spans="11:11" ht="15" x14ac:dyDescent="0.25">
      <c r="K3480"/>
    </row>
    <row r="3481" spans="11:11" ht="15" x14ac:dyDescent="0.25">
      <c r="K3481"/>
    </row>
    <row r="3482" spans="11:11" ht="15" x14ac:dyDescent="0.25">
      <c r="K3482"/>
    </row>
    <row r="3483" spans="11:11" ht="15" x14ac:dyDescent="0.25">
      <c r="K3483"/>
    </row>
    <row r="3484" spans="11:11" ht="15" x14ac:dyDescent="0.25">
      <c r="K3484"/>
    </row>
    <row r="3485" spans="11:11" ht="15" x14ac:dyDescent="0.25">
      <c r="K3485"/>
    </row>
    <row r="3486" spans="11:11" ht="15" x14ac:dyDescent="0.25">
      <c r="K3486"/>
    </row>
    <row r="3487" spans="11:11" ht="15" x14ac:dyDescent="0.25">
      <c r="K3487"/>
    </row>
    <row r="3488" spans="11:11" ht="15" x14ac:dyDescent="0.25">
      <c r="K3488"/>
    </row>
    <row r="3489" spans="11:11" ht="15" x14ac:dyDescent="0.25">
      <c r="K3489"/>
    </row>
    <row r="3490" spans="11:11" ht="15" x14ac:dyDescent="0.25">
      <c r="K3490"/>
    </row>
    <row r="3491" spans="11:11" ht="15" x14ac:dyDescent="0.25">
      <c r="K3491"/>
    </row>
    <row r="3492" spans="11:11" ht="15" x14ac:dyDescent="0.25">
      <c r="K3492"/>
    </row>
    <row r="3493" spans="11:11" ht="15" x14ac:dyDescent="0.25">
      <c r="K3493"/>
    </row>
    <row r="3494" spans="11:11" ht="15" x14ac:dyDescent="0.25">
      <c r="K3494"/>
    </row>
    <row r="3495" spans="11:11" ht="15" x14ac:dyDescent="0.25">
      <c r="K3495"/>
    </row>
    <row r="3496" spans="11:11" ht="15" x14ac:dyDescent="0.25">
      <c r="K3496"/>
    </row>
    <row r="3497" spans="11:11" ht="15" x14ac:dyDescent="0.25">
      <c r="K3497"/>
    </row>
    <row r="3498" spans="11:11" ht="15" x14ac:dyDescent="0.25">
      <c r="K3498"/>
    </row>
    <row r="3499" spans="11:11" ht="15" x14ac:dyDescent="0.25">
      <c r="K3499"/>
    </row>
    <row r="3500" spans="11:11" ht="15" x14ac:dyDescent="0.25">
      <c r="K3500"/>
    </row>
    <row r="3501" spans="11:11" ht="15" x14ac:dyDescent="0.25">
      <c r="K3501"/>
    </row>
    <row r="3502" spans="11:11" ht="15" x14ac:dyDescent="0.25">
      <c r="K3502"/>
    </row>
    <row r="3503" spans="11:11" ht="15" x14ac:dyDescent="0.25">
      <c r="K3503"/>
    </row>
    <row r="3504" spans="11:11" ht="15" x14ac:dyDescent="0.25">
      <c r="K3504"/>
    </row>
    <row r="3505" spans="11:11" ht="15" x14ac:dyDescent="0.25">
      <c r="K3505"/>
    </row>
    <row r="3506" spans="11:11" ht="15" x14ac:dyDescent="0.25">
      <c r="K3506"/>
    </row>
    <row r="3507" spans="11:11" ht="15" x14ac:dyDescent="0.25">
      <c r="K3507"/>
    </row>
    <row r="3508" spans="11:11" ht="15" x14ac:dyDescent="0.25">
      <c r="K3508"/>
    </row>
    <row r="3509" spans="11:11" ht="15" x14ac:dyDescent="0.25">
      <c r="K3509"/>
    </row>
    <row r="3510" spans="11:11" ht="15" x14ac:dyDescent="0.25">
      <c r="K3510"/>
    </row>
    <row r="3511" spans="11:11" ht="15" x14ac:dyDescent="0.25">
      <c r="K3511"/>
    </row>
    <row r="3512" spans="11:11" ht="15" x14ac:dyDescent="0.25">
      <c r="K3512"/>
    </row>
    <row r="3513" spans="11:11" ht="15" x14ac:dyDescent="0.25">
      <c r="K3513"/>
    </row>
    <row r="3514" spans="11:11" ht="15" x14ac:dyDescent="0.25">
      <c r="K3514"/>
    </row>
    <row r="3515" spans="11:11" ht="15" x14ac:dyDescent="0.25">
      <c r="K3515"/>
    </row>
    <row r="3516" spans="11:11" ht="15" x14ac:dyDescent="0.25">
      <c r="K3516"/>
    </row>
    <row r="3517" spans="11:11" ht="15" x14ac:dyDescent="0.25">
      <c r="K3517"/>
    </row>
    <row r="3518" spans="11:11" ht="15" x14ac:dyDescent="0.25">
      <c r="K3518"/>
    </row>
    <row r="3519" spans="11:11" ht="15" x14ac:dyDescent="0.25">
      <c r="K3519"/>
    </row>
    <row r="3520" spans="11:11" ht="15" x14ac:dyDescent="0.25">
      <c r="K3520"/>
    </row>
    <row r="3521" spans="11:11" ht="15" x14ac:dyDescent="0.25">
      <c r="K3521"/>
    </row>
    <row r="3522" spans="11:11" ht="15" x14ac:dyDescent="0.25">
      <c r="K3522"/>
    </row>
    <row r="3523" spans="11:11" ht="15" x14ac:dyDescent="0.25">
      <c r="K3523"/>
    </row>
    <row r="3524" spans="11:11" ht="15" x14ac:dyDescent="0.25">
      <c r="K3524"/>
    </row>
    <row r="3525" spans="11:11" ht="15" x14ac:dyDescent="0.25">
      <c r="K3525"/>
    </row>
    <row r="3526" spans="11:11" ht="15" x14ac:dyDescent="0.25">
      <c r="K3526"/>
    </row>
    <row r="3527" spans="11:11" ht="15" x14ac:dyDescent="0.25">
      <c r="K3527"/>
    </row>
    <row r="3528" spans="11:11" ht="15" x14ac:dyDescent="0.25">
      <c r="K3528"/>
    </row>
    <row r="3529" spans="11:11" ht="15" x14ac:dyDescent="0.25">
      <c r="K3529"/>
    </row>
    <row r="3530" spans="11:11" ht="15" x14ac:dyDescent="0.25">
      <c r="K3530"/>
    </row>
    <row r="3531" spans="11:11" ht="15" x14ac:dyDescent="0.25">
      <c r="K3531"/>
    </row>
    <row r="3532" spans="11:11" ht="15" x14ac:dyDescent="0.25">
      <c r="K3532"/>
    </row>
    <row r="3533" spans="11:11" ht="15" x14ac:dyDescent="0.25">
      <c r="K3533"/>
    </row>
    <row r="3534" spans="11:11" ht="15" x14ac:dyDescent="0.25">
      <c r="K3534"/>
    </row>
    <row r="3535" spans="11:11" ht="15" x14ac:dyDescent="0.25">
      <c r="K3535"/>
    </row>
    <row r="3536" spans="11:11" ht="15" x14ac:dyDescent="0.25">
      <c r="K3536"/>
    </row>
    <row r="3537" spans="11:11" ht="15" x14ac:dyDescent="0.25">
      <c r="K3537"/>
    </row>
    <row r="3538" spans="11:11" ht="15" x14ac:dyDescent="0.25">
      <c r="K3538"/>
    </row>
    <row r="3539" spans="11:11" ht="15" x14ac:dyDescent="0.25">
      <c r="K3539"/>
    </row>
    <row r="3540" spans="11:11" ht="15" x14ac:dyDescent="0.25">
      <c r="K3540"/>
    </row>
    <row r="3541" spans="11:11" ht="15" x14ac:dyDescent="0.25">
      <c r="K3541"/>
    </row>
    <row r="3542" spans="11:11" ht="15" x14ac:dyDescent="0.25">
      <c r="K3542"/>
    </row>
    <row r="3543" spans="11:11" ht="15" x14ac:dyDescent="0.25">
      <c r="K3543"/>
    </row>
    <row r="3544" spans="11:11" ht="15" x14ac:dyDescent="0.25">
      <c r="K3544"/>
    </row>
    <row r="3545" spans="11:11" ht="15" x14ac:dyDescent="0.25">
      <c r="K3545"/>
    </row>
    <row r="3546" spans="11:11" ht="15" x14ac:dyDescent="0.25">
      <c r="K3546"/>
    </row>
    <row r="3547" spans="11:11" ht="15" x14ac:dyDescent="0.25">
      <c r="K3547"/>
    </row>
    <row r="3548" spans="11:11" ht="15" x14ac:dyDescent="0.25">
      <c r="K3548"/>
    </row>
    <row r="3549" spans="11:11" ht="15" x14ac:dyDescent="0.25">
      <c r="K3549"/>
    </row>
    <row r="3550" spans="11:11" ht="15" x14ac:dyDescent="0.25">
      <c r="K3550"/>
    </row>
    <row r="3551" spans="11:11" ht="15" x14ac:dyDescent="0.25">
      <c r="K3551"/>
    </row>
    <row r="3552" spans="11:11" ht="15" x14ac:dyDescent="0.25">
      <c r="K3552"/>
    </row>
    <row r="3553" spans="11:11" ht="15" x14ac:dyDescent="0.25">
      <c r="K3553"/>
    </row>
    <row r="3554" spans="11:11" ht="15" x14ac:dyDescent="0.25">
      <c r="K3554"/>
    </row>
    <row r="3555" spans="11:11" ht="15" x14ac:dyDescent="0.25">
      <c r="K3555"/>
    </row>
    <row r="3556" spans="11:11" ht="15" x14ac:dyDescent="0.25">
      <c r="K3556"/>
    </row>
    <row r="3557" spans="11:11" ht="15" x14ac:dyDescent="0.25">
      <c r="K3557"/>
    </row>
    <row r="3558" spans="11:11" ht="15" x14ac:dyDescent="0.25">
      <c r="K3558"/>
    </row>
    <row r="3559" spans="11:11" ht="15" x14ac:dyDescent="0.25">
      <c r="K3559"/>
    </row>
    <row r="3560" spans="11:11" ht="15" x14ac:dyDescent="0.25">
      <c r="K3560"/>
    </row>
    <row r="3561" spans="11:11" ht="15" x14ac:dyDescent="0.25">
      <c r="K3561"/>
    </row>
    <row r="3562" spans="11:11" ht="15" x14ac:dyDescent="0.25">
      <c r="K3562"/>
    </row>
    <row r="3563" spans="11:11" ht="15" x14ac:dyDescent="0.25">
      <c r="K3563"/>
    </row>
    <row r="3564" spans="11:11" ht="15" x14ac:dyDescent="0.25">
      <c r="K3564"/>
    </row>
    <row r="3565" spans="11:11" ht="15" x14ac:dyDescent="0.25">
      <c r="K3565"/>
    </row>
    <row r="3566" spans="11:11" ht="15" x14ac:dyDescent="0.25">
      <c r="K3566"/>
    </row>
    <row r="3567" spans="11:11" ht="15" x14ac:dyDescent="0.25">
      <c r="K3567"/>
    </row>
    <row r="3568" spans="11:11" ht="15" x14ac:dyDescent="0.25">
      <c r="K3568"/>
    </row>
    <row r="3569" spans="11:11" ht="15" x14ac:dyDescent="0.25">
      <c r="K3569"/>
    </row>
    <row r="3570" spans="11:11" ht="15" x14ac:dyDescent="0.25">
      <c r="K3570"/>
    </row>
    <row r="3571" spans="11:11" ht="15" x14ac:dyDescent="0.25">
      <c r="K3571"/>
    </row>
    <row r="3572" spans="11:11" ht="15" x14ac:dyDescent="0.25">
      <c r="K3572"/>
    </row>
    <row r="3573" spans="11:11" ht="15" x14ac:dyDescent="0.25">
      <c r="K3573"/>
    </row>
    <row r="3574" spans="11:11" ht="15" x14ac:dyDescent="0.25">
      <c r="K3574"/>
    </row>
    <row r="3575" spans="11:11" ht="15" x14ac:dyDescent="0.25">
      <c r="K3575"/>
    </row>
    <row r="3576" spans="11:11" ht="15" x14ac:dyDescent="0.25">
      <c r="K3576"/>
    </row>
    <row r="3577" spans="11:11" ht="15" x14ac:dyDescent="0.25">
      <c r="K3577"/>
    </row>
    <row r="3578" spans="11:11" ht="15" x14ac:dyDescent="0.25">
      <c r="K3578"/>
    </row>
    <row r="3579" spans="11:11" ht="15" x14ac:dyDescent="0.25">
      <c r="K3579"/>
    </row>
    <row r="3580" spans="11:11" ht="15" x14ac:dyDescent="0.25">
      <c r="K3580"/>
    </row>
    <row r="3581" spans="11:11" ht="15" x14ac:dyDescent="0.25">
      <c r="K3581"/>
    </row>
    <row r="3582" spans="11:11" ht="15" x14ac:dyDescent="0.25">
      <c r="K3582"/>
    </row>
    <row r="3583" spans="11:11" ht="15" x14ac:dyDescent="0.25">
      <c r="K3583"/>
    </row>
    <row r="3584" spans="11:11" ht="15" x14ac:dyDescent="0.25">
      <c r="K3584"/>
    </row>
    <row r="3585" spans="11:11" ht="15" x14ac:dyDescent="0.25">
      <c r="K3585"/>
    </row>
    <row r="3586" spans="11:11" ht="15" x14ac:dyDescent="0.25">
      <c r="K3586"/>
    </row>
    <row r="3587" spans="11:11" ht="15" x14ac:dyDescent="0.25">
      <c r="K3587"/>
    </row>
    <row r="3588" spans="11:11" ht="15" x14ac:dyDescent="0.25">
      <c r="K3588"/>
    </row>
    <row r="3589" spans="11:11" ht="15" x14ac:dyDescent="0.25">
      <c r="K3589"/>
    </row>
    <row r="3590" spans="11:11" ht="15" x14ac:dyDescent="0.25">
      <c r="K3590"/>
    </row>
    <row r="3591" spans="11:11" ht="15" x14ac:dyDescent="0.25">
      <c r="K3591"/>
    </row>
    <row r="3592" spans="11:11" ht="15" x14ac:dyDescent="0.25">
      <c r="K3592"/>
    </row>
    <row r="3593" spans="11:11" ht="15" x14ac:dyDescent="0.25">
      <c r="K3593"/>
    </row>
    <row r="3594" spans="11:11" ht="15" x14ac:dyDescent="0.25">
      <c r="K3594"/>
    </row>
    <row r="3595" spans="11:11" ht="15" x14ac:dyDescent="0.25">
      <c r="K3595"/>
    </row>
    <row r="3596" spans="11:11" ht="15" x14ac:dyDescent="0.25">
      <c r="K3596"/>
    </row>
    <row r="3597" spans="11:11" ht="15" x14ac:dyDescent="0.25">
      <c r="K3597"/>
    </row>
    <row r="3598" spans="11:11" ht="15" x14ac:dyDescent="0.25">
      <c r="K3598"/>
    </row>
    <row r="3599" spans="11:11" ht="15" x14ac:dyDescent="0.25">
      <c r="K3599"/>
    </row>
    <row r="3600" spans="11:11" ht="15" x14ac:dyDescent="0.25">
      <c r="K3600"/>
    </row>
    <row r="3601" spans="11:11" ht="15" x14ac:dyDescent="0.25">
      <c r="K3601"/>
    </row>
    <row r="3602" spans="11:11" ht="15" x14ac:dyDescent="0.25">
      <c r="K3602"/>
    </row>
    <row r="3603" spans="11:11" ht="15" x14ac:dyDescent="0.25">
      <c r="K3603"/>
    </row>
    <row r="3604" spans="11:11" ht="15" x14ac:dyDescent="0.25">
      <c r="K3604"/>
    </row>
    <row r="3605" spans="11:11" ht="15" x14ac:dyDescent="0.25">
      <c r="K3605"/>
    </row>
    <row r="3606" spans="11:11" ht="15" x14ac:dyDescent="0.25">
      <c r="K3606"/>
    </row>
    <row r="3607" spans="11:11" ht="15" x14ac:dyDescent="0.25">
      <c r="K3607"/>
    </row>
    <row r="3608" spans="11:11" ht="15" x14ac:dyDescent="0.25">
      <c r="K3608"/>
    </row>
    <row r="3609" spans="11:11" ht="15" x14ac:dyDescent="0.25">
      <c r="K3609"/>
    </row>
    <row r="3610" spans="11:11" ht="15" x14ac:dyDescent="0.25">
      <c r="K3610"/>
    </row>
    <row r="3611" spans="11:11" ht="15" x14ac:dyDescent="0.25">
      <c r="K3611"/>
    </row>
    <row r="3612" spans="11:11" ht="15" x14ac:dyDescent="0.25">
      <c r="K3612"/>
    </row>
    <row r="3613" spans="11:11" ht="15" x14ac:dyDescent="0.25">
      <c r="K3613"/>
    </row>
    <row r="3614" spans="11:11" ht="15" x14ac:dyDescent="0.25">
      <c r="K3614"/>
    </row>
    <row r="3615" spans="11:11" ht="15" x14ac:dyDescent="0.25">
      <c r="K3615"/>
    </row>
    <row r="3616" spans="11:11" ht="15" x14ac:dyDescent="0.25">
      <c r="K3616"/>
    </row>
    <row r="3617" spans="11:11" ht="15" x14ac:dyDescent="0.25">
      <c r="K3617"/>
    </row>
    <row r="3618" spans="11:11" ht="15" x14ac:dyDescent="0.25">
      <c r="K3618"/>
    </row>
    <row r="3619" spans="11:11" ht="15" x14ac:dyDescent="0.25">
      <c r="K3619"/>
    </row>
    <row r="3620" spans="11:11" ht="15" x14ac:dyDescent="0.25">
      <c r="K3620"/>
    </row>
    <row r="3621" spans="11:11" ht="15" x14ac:dyDescent="0.25">
      <c r="K3621"/>
    </row>
    <row r="3622" spans="11:11" ht="15" x14ac:dyDescent="0.25">
      <c r="K3622"/>
    </row>
    <row r="3623" spans="11:11" ht="15" x14ac:dyDescent="0.25">
      <c r="K3623"/>
    </row>
    <row r="3624" spans="11:11" ht="15" x14ac:dyDescent="0.25">
      <c r="K3624"/>
    </row>
    <row r="3625" spans="11:11" ht="15" x14ac:dyDescent="0.25">
      <c r="K3625"/>
    </row>
    <row r="3626" spans="11:11" ht="15" x14ac:dyDescent="0.25">
      <c r="K3626"/>
    </row>
    <row r="3627" spans="11:11" ht="15" x14ac:dyDescent="0.25">
      <c r="K3627"/>
    </row>
    <row r="3628" spans="11:11" ht="15" x14ac:dyDescent="0.25">
      <c r="K3628"/>
    </row>
    <row r="3629" spans="11:11" ht="15" x14ac:dyDescent="0.25">
      <c r="K3629"/>
    </row>
    <row r="3630" spans="11:11" ht="15" x14ac:dyDescent="0.25">
      <c r="K3630"/>
    </row>
    <row r="3631" spans="11:11" ht="15" x14ac:dyDescent="0.25">
      <c r="K3631"/>
    </row>
    <row r="3632" spans="11:11" ht="15" x14ac:dyDescent="0.25">
      <c r="K3632"/>
    </row>
    <row r="3633" spans="11:11" ht="15" x14ac:dyDescent="0.25">
      <c r="K3633"/>
    </row>
    <row r="3634" spans="11:11" ht="15" x14ac:dyDescent="0.25">
      <c r="K3634"/>
    </row>
    <row r="3635" spans="11:11" ht="15" x14ac:dyDescent="0.25">
      <c r="K3635"/>
    </row>
    <row r="3636" spans="11:11" ht="15" x14ac:dyDescent="0.25">
      <c r="K3636"/>
    </row>
    <row r="3637" spans="11:11" ht="15" x14ac:dyDescent="0.25">
      <c r="K3637"/>
    </row>
    <row r="3638" spans="11:11" ht="15" x14ac:dyDescent="0.25">
      <c r="K3638"/>
    </row>
    <row r="3639" spans="11:11" ht="15" x14ac:dyDescent="0.25">
      <c r="K3639"/>
    </row>
    <row r="3640" spans="11:11" ht="15" x14ac:dyDescent="0.25">
      <c r="K3640"/>
    </row>
    <row r="3641" spans="11:11" ht="15" x14ac:dyDescent="0.25">
      <c r="K3641"/>
    </row>
    <row r="3642" spans="11:11" ht="15" x14ac:dyDescent="0.25">
      <c r="K3642"/>
    </row>
    <row r="3643" spans="11:11" ht="15" x14ac:dyDescent="0.25">
      <c r="K3643"/>
    </row>
    <row r="3644" spans="11:11" ht="15" x14ac:dyDescent="0.25">
      <c r="K3644"/>
    </row>
    <row r="3645" spans="11:11" ht="15" x14ac:dyDescent="0.25">
      <c r="K3645"/>
    </row>
    <row r="3646" spans="11:11" ht="15" x14ac:dyDescent="0.25">
      <c r="K3646"/>
    </row>
    <row r="3647" spans="11:11" ht="15" x14ac:dyDescent="0.25">
      <c r="K3647"/>
    </row>
    <row r="3648" spans="11:11" ht="15" x14ac:dyDescent="0.25">
      <c r="K3648"/>
    </row>
    <row r="3649" spans="11:11" ht="15" x14ac:dyDescent="0.25">
      <c r="K3649"/>
    </row>
    <row r="3650" spans="11:11" ht="15" x14ac:dyDescent="0.25">
      <c r="K3650"/>
    </row>
    <row r="3651" spans="11:11" ht="15" x14ac:dyDescent="0.25">
      <c r="K3651"/>
    </row>
    <row r="3652" spans="11:11" ht="15" x14ac:dyDescent="0.25">
      <c r="K3652"/>
    </row>
    <row r="3653" spans="11:11" ht="15" x14ac:dyDescent="0.25">
      <c r="K3653"/>
    </row>
    <row r="3654" spans="11:11" ht="15" x14ac:dyDescent="0.25">
      <c r="K3654"/>
    </row>
    <row r="3655" spans="11:11" ht="15" x14ac:dyDescent="0.25">
      <c r="K3655"/>
    </row>
    <row r="3656" spans="11:11" ht="15" x14ac:dyDescent="0.25">
      <c r="K3656"/>
    </row>
    <row r="3657" spans="11:11" ht="15" x14ac:dyDescent="0.25">
      <c r="K3657"/>
    </row>
    <row r="3658" spans="11:11" ht="15" x14ac:dyDescent="0.25">
      <c r="K3658"/>
    </row>
    <row r="3659" spans="11:11" ht="15" x14ac:dyDescent="0.25">
      <c r="K3659"/>
    </row>
    <row r="3660" spans="11:11" ht="15" x14ac:dyDescent="0.25">
      <c r="K3660"/>
    </row>
    <row r="3661" spans="11:11" ht="15" x14ac:dyDescent="0.25">
      <c r="K3661"/>
    </row>
    <row r="3662" spans="11:11" ht="15" x14ac:dyDescent="0.25">
      <c r="K3662"/>
    </row>
    <row r="3663" spans="11:11" ht="15" x14ac:dyDescent="0.25">
      <c r="K3663"/>
    </row>
    <row r="3664" spans="11:11" ht="15" x14ac:dyDescent="0.25">
      <c r="K3664"/>
    </row>
    <row r="3665" spans="11:11" ht="15" x14ac:dyDescent="0.25">
      <c r="K3665"/>
    </row>
    <row r="3666" spans="11:11" ht="15" x14ac:dyDescent="0.25">
      <c r="K3666"/>
    </row>
    <row r="3667" spans="11:11" ht="15" x14ac:dyDescent="0.25">
      <c r="K3667"/>
    </row>
    <row r="3668" spans="11:11" ht="15" x14ac:dyDescent="0.25">
      <c r="K3668"/>
    </row>
    <row r="3669" spans="11:11" ht="15" x14ac:dyDescent="0.25">
      <c r="K3669"/>
    </row>
    <row r="3670" spans="11:11" ht="15" x14ac:dyDescent="0.25">
      <c r="K3670"/>
    </row>
    <row r="3671" spans="11:11" ht="15" x14ac:dyDescent="0.25">
      <c r="K3671"/>
    </row>
    <row r="3672" spans="11:11" ht="15" x14ac:dyDescent="0.25">
      <c r="K3672"/>
    </row>
    <row r="3673" spans="11:11" ht="15" x14ac:dyDescent="0.25">
      <c r="K3673"/>
    </row>
    <row r="3674" spans="11:11" ht="15" x14ac:dyDescent="0.25">
      <c r="K3674"/>
    </row>
    <row r="3675" spans="11:11" ht="15" x14ac:dyDescent="0.25">
      <c r="K3675"/>
    </row>
    <row r="3676" spans="11:11" ht="15" x14ac:dyDescent="0.25">
      <c r="K3676"/>
    </row>
    <row r="3677" spans="11:11" ht="15" x14ac:dyDescent="0.25">
      <c r="K3677"/>
    </row>
    <row r="3678" spans="11:11" ht="15" x14ac:dyDescent="0.25">
      <c r="K3678"/>
    </row>
    <row r="3679" spans="11:11" ht="15" x14ac:dyDescent="0.25">
      <c r="K3679"/>
    </row>
    <row r="3680" spans="11:11" ht="15" x14ac:dyDescent="0.25">
      <c r="K3680"/>
    </row>
    <row r="3681" spans="11:11" ht="15" x14ac:dyDescent="0.25">
      <c r="K3681"/>
    </row>
    <row r="3682" spans="11:11" ht="15" x14ac:dyDescent="0.25">
      <c r="K3682"/>
    </row>
    <row r="3683" spans="11:11" ht="15" x14ac:dyDescent="0.25">
      <c r="K3683"/>
    </row>
    <row r="3684" spans="11:11" ht="15" x14ac:dyDescent="0.25">
      <c r="K3684"/>
    </row>
    <row r="3685" spans="11:11" ht="15" x14ac:dyDescent="0.25">
      <c r="K3685"/>
    </row>
    <row r="3686" spans="11:11" ht="15" x14ac:dyDescent="0.25">
      <c r="K3686"/>
    </row>
    <row r="3687" spans="11:11" ht="15" x14ac:dyDescent="0.25">
      <c r="K3687"/>
    </row>
    <row r="3688" spans="11:11" ht="15" x14ac:dyDescent="0.25">
      <c r="K3688"/>
    </row>
    <row r="3689" spans="11:11" ht="15" x14ac:dyDescent="0.25">
      <c r="K3689"/>
    </row>
    <row r="3690" spans="11:11" ht="15" x14ac:dyDescent="0.25">
      <c r="K3690"/>
    </row>
    <row r="3691" spans="11:11" ht="15" x14ac:dyDescent="0.25">
      <c r="K3691"/>
    </row>
    <row r="3692" spans="11:11" ht="15" x14ac:dyDescent="0.25">
      <c r="K3692"/>
    </row>
    <row r="3693" spans="11:11" ht="15" x14ac:dyDescent="0.25">
      <c r="K3693"/>
    </row>
    <row r="3694" spans="11:11" ht="15" x14ac:dyDescent="0.25">
      <c r="K3694"/>
    </row>
    <row r="3695" spans="11:11" ht="15" x14ac:dyDescent="0.25">
      <c r="K3695"/>
    </row>
    <row r="3696" spans="11:11" ht="15" x14ac:dyDescent="0.25">
      <c r="K3696"/>
    </row>
    <row r="3697" spans="11:11" ht="15" x14ac:dyDescent="0.25">
      <c r="K3697"/>
    </row>
    <row r="3698" spans="11:11" ht="15" x14ac:dyDescent="0.25">
      <c r="K3698"/>
    </row>
    <row r="3699" spans="11:11" ht="15" x14ac:dyDescent="0.25">
      <c r="K3699"/>
    </row>
    <row r="3700" spans="11:11" ht="15" x14ac:dyDescent="0.25">
      <c r="K3700"/>
    </row>
    <row r="3701" spans="11:11" ht="15" x14ac:dyDescent="0.25">
      <c r="K3701"/>
    </row>
    <row r="3702" spans="11:11" ht="15" x14ac:dyDescent="0.25">
      <c r="K3702"/>
    </row>
    <row r="3703" spans="11:11" ht="15" x14ac:dyDescent="0.25">
      <c r="K3703"/>
    </row>
    <row r="3704" spans="11:11" ht="15" x14ac:dyDescent="0.25">
      <c r="K3704"/>
    </row>
    <row r="3705" spans="11:11" ht="15" x14ac:dyDescent="0.25">
      <c r="K3705"/>
    </row>
    <row r="3706" spans="11:11" ht="15" x14ac:dyDescent="0.25">
      <c r="K3706"/>
    </row>
    <row r="3707" spans="11:11" ht="15" x14ac:dyDescent="0.25">
      <c r="K3707"/>
    </row>
    <row r="3708" spans="11:11" ht="15" x14ac:dyDescent="0.25">
      <c r="K3708"/>
    </row>
    <row r="3709" spans="11:11" ht="15" x14ac:dyDescent="0.25">
      <c r="K3709"/>
    </row>
    <row r="3710" spans="11:11" ht="15" x14ac:dyDescent="0.25">
      <c r="K3710"/>
    </row>
    <row r="3711" spans="11:11" ht="15" x14ac:dyDescent="0.25">
      <c r="K3711"/>
    </row>
    <row r="3712" spans="11:11" ht="15" x14ac:dyDescent="0.25">
      <c r="K3712"/>
    </row>
    <row r="3713" spans="11:11" ht="15" x14ac:dyDescent="0.25">
      <c r="K3713"/>
    </row>
    <row r="3714" spans="11:11" ht="15" x14ac:dyDescent="0.25">
      <c r="K3714"/>
    </row>
    <row r="3715" spans="11:11" ht="15" x14ac:dyDescent="0.25">
      <c r="K3715"/>
    </row>
    <row r="3716" spans="11:11" ht="15" x14ac:dyDescent="0.25">
      <c r="K3716"/>
    </row>
    <row r="3717" spans="11:11" ht="15" x14ac:dyDescent="0.25">
      <c r="K3717"/>
    </row>
    <row r="3718" spans="11:11" ht="15" x14ac:dyDescent="0.25">
      <c r="K3718"/>
    </row>
    <row r="3719" spans="11:11" ht="15" x14ac:dyDescent="0.25">
      <c r="K3719"/>
    </row>
    <row r="3720" spans="11:11" ht="15" x14ac:dyDescent="0.25">
      <c r="K3720"/>
    </row>
    <row r="3721" spans="11:11" ht="15" x14ac:dyDescent="0.25">
      <c r="K3721"/>
    </row>
    <row r="3722" spans="11:11" ht="15" x14ac:dyDescent="0.25">
      <c r="K3722"/>
    </row>
    <row r="3723" spans="11:11" ht="15" x14ac:dyDescent="0.25">
      <c r="K3723"/>
    </row>
    <row r="3724" spans="11:11" ht="15" x14ac:dyDescent="0.25">
      <c r="K3724"/>
    </row>
    <row r="3725" spans="11:11" ht="15" x14ac:dyDescent="0.25">
      <c r="K3725"/>
    </row>
    <row r="3726" spans="11:11" ht="15" x14ac:dyDescent="0.25">
      <c r="K3726"/>
    </row>
    <row r="3727" spans="11:11" ht="15" x14ac:dyDescent="0.25">
      <c r="K3727"/>
    </row>
    <row r="3728" spans="11:11" ht="15" x14ac:dyDescent="0.25">
      <c r="K3728"/>
    </row>
    <row r="3729" spans="11:11" ht="15" x14ac:dyDescent="0.25">
      <c r="K3729"/>
    </row>
    <row r="3730" spans="11:11" ht="15" x14ac:dyDescent="0.25">
      <c r="K3730"/>
    </row>
    <row r="3731" spans="11:11" ht="15" x14ac:dyDescent="0.25">
      <c r="K3731"/>
    </row>
    <row r="3732" spans="11:11" ht="15" x14ac:dyDescent="0.25">
      <c r="K3732"/>
    </row>
    <row r="3733" spans="11:11" ht="15" x14ac:dyDescent="0.25">
      <c r="K3733"/>
    </row>
    <row r="3734" spans="11:11" ht="15" x14ac:dyDescent="0.25">
      <c r="K3734"/>
    </row>
    <row r="3735" spans="11:11" ht="15" x14ac:dyDescent="0.25">
      <c r="K3735"/>
    </row>
    <row r="3736" spans="11:11" ht="15" x14ac:dyDescent="0.25">
      <c r="K3736"/>
    </row>
    <row r="3737" spans="11:11" ht="15" x14ac:dyDescent="0.25">
      <c r="K3737"/>
    </row>
    <row r="3738" spans="11:11" ht="15" x14ac:dyDescent="0.25">
      <c r="K3738"/>
    </row>
    <row r="3739" spans="11:11" ht="15" x14ac:dyDescent="0.25">
      <c r="K3739"/>
    </row>
    <row r="3740" spans="11:11" ht="15" x14ac:dyDescent="0.25">
      <c r="K3740"/>
    </row>
    <row r="3741" spans="11:11" ht="15" x14ac:dyDescent="0.25">
      <c r="K3741"/>
    </row>
    <row r="3742" spans="11:11" ht="15" x14ac:dyDescent="0.25">
      <c r="K3742"/>
    </row>
    <row r="3743" spans="11:11" ht="15" x14ac:dyDescent="0.25">
      <c r="K3743"/>
    </row>
    <row r="3744" spans="11:11" ht="15" x14ac:dyDescent="0.25">
      <c r="K3744"/>
    </row>
    <row r="3745" spans="11:11" ht="15" x14ac:dyDescent="0.25">
      <c r="K3745"/>
    </row>
    <row r="3746" spans="11:11" ht="15" x14ac:dyDescent="0.25">
      <c r="K3746"/>
    </row>
    <row r="3747" spans="11:11" ht="15" x14ac:dyDescent="0.25">
      <c r="K3747"/>
    </row>
    <row r="3748" spans="11:11" ht="15" x14ac:dyDescent="0.25">
      <c r="K3748"/>
    </row>
    <row r="3749" spans="11:11" ht="15" x14ac:dyDescent="0.25">
      <c r="K3749"/>
    </row>
    <row r="3750" spans="11:11" ht="15" x14ac:dyDescent="0.25">
      <c r="K3750"/>
    </row>
    <row r="3751" spans="11:11" ht="15" x14ac:dyDescent="0.25">
      <c r="K3751"/>
    </row>
    <row r="3752" spans="11:11" ht="15" x14ac:dyDescent="0.25">
      <c r="K3752"/>
    </row>
    <row r="3753" spans="11:11" ht="15" x14ac:dyDescent="0.25">
      <c r="K3753"/>
    </row>
    <row r="3754" spans="11:11" ht="15" x14ac:dyDescent="0.25">
      <c r="K3754"/>
    </row>
    <row r="3755" spans="11:11" ht="15" x14ac:dyDescent="0.25">
      <c r="K3755"/>
    </row>
    <row r="3756" spans="11:11" ht="15" x14ac:dyDescent="0.25">
      <c r="K3756"/>
    </row>
    <row r="3757" spans="11:11" ht="15" x14ac:dyDescent="0.25">
      <c r="K3757"/>
    </row>
    <row r="3758" spans="11:11" ht="15" x14ac:dyDescent="0.25">
      <c r="K3758"/>
    </row>
    <row r="3759" spans="11:11" ht="15" x14ac:dyDescent="0.25">
      <c r="K3759"/>
    </row>
    <row r="3760" spans="11:11" ht="15" x14ac:dyDescent="0.25">
      <c r="K3760"/>
    </row>
    <row r="3761" spans="11:11" ht="15" x14ac:dyDescent="0.25">
      <c r="K3761"/>
    </row>
    <row r="3762" spans="11:11" ht="15" x14ac:dyDescent="0.25">
      <c r="K3762"/>
    </row>
    <row r="3763" spans="11:11" ht="15" x14ac:dyDescent="0.25">
      <c r="K3763"/>
    </row>
    <row r="3764" spans="11:11" ht="15" x14ac:dyDescent="0.25">
      <c r="K3764"/>
    </row>
    <row r="3765" spans="11:11" ht="15" x14ac:dyDescent="0.25">
      <c r="K3765"/>
    </row>
    <row r="3766" spans="11:11" ht="15" x14ac:dyDescent="0.25">
      <c r="K3766"/>
    </row>
    <row r="3767" spans="11:11" ht="15" x14ac:dyDescent="0.25">
      <c r="K3767"/>
    </row>
    <row r="3768" spans="11:11" ht="15" x14ac:dyDescent="0.25">
      <c r="K3768"/>
    </row>
    <row r="3769" spans="11:11" ht="15" x14ac:dyDescent="0.25">
      <c r="K3769"/>
    </row>
    <row r="3770" spans="11:11" ht="15" x14ac:dyDescent="0.25">
      <c r="K3770"/>
    </row>
    <row r="3771" spans="11:11" ht="15" x14ac:dyDescent="0.25">
      <c r="K3771"/>
    </row>
    <row r="3772" spans="11:11" ht="15" x14ac:dyDescent="0.25">
      <c r="K3772"/>
    </row>
    <row r="3773" spans="11:11" ht="15" x14ac:dyDescent="0.25">
      <c r="K3773"/>
    </row>
    <row r="3774" spans="11:11" ht="15" x14ac:dyDescent="0.25">
      <c r="K3774"/>
    </row>
    <row r="3775" spans="11:11" ht="15" x14ac:dyDescent="0.25">
      <c r="K3775"/>
    </row>
    <row r="3776" spans="11:11" ht="15" x14ac:dyDescent="0.25">
      <c r="K3776"/>
    </row>
    <row r="3777" spans="11:11" ht="15" x14ac:dyDescent="0.25">
      <c r="K3777"/>
    </row>
    <row r="3778" spans="11:11" ht="15" x14ac:dyDescent="0.25">
      <c r="K3778"/>
    </row>
    <row r="3779" spans="11:11" ht="15" x14ac:dyDescent="0.25">
      <c r="K3779"/>
    </row>
    <row r="3780" spans="11:11" ht="15" x14ac:dyDescent="0.25">
      <c r="K3780"/>
    </row>
    <row r="3781" spans="11:11" ht="15" x14ac:dyDescent="0.25">
      <c r="K3781"/>
    </row>
    <row r="3782" spans="11:11" ht="15" x14ac:dyDescent="0.25">
      <c r="K3782"/>
    </row>
    <row r="3783" spans="11:11" ht="15" x14ac:dyDescent="0.25">
      <c r="K3783"/>
    </row>
    <row r="3784" spans="11:11" ht="15" x14ac:dyDescent="0.25">
      <c r="K3784"/>
    </row>
    <row r="3785" spans="11:11" ht="15" x14ac:dyDescent="0.25">
      <c r="K3785"/>
    </row>
    <row r="3786" spans="11:11" ht="15" x14ac:dyDescent="0.25">
      <c r="K3786"/>
    </row>
    <row r="3787" spans="11:11" ht="15" x14ac:dyDescent="0.25">
      <c r="K3787"/>
    </row>
    <row r="3788" spans="11:11" ht="15" x14ac:dyDescent="0.25">
      <c r="K3788"/>
    </row>
    <row r="3789" spans="11:11" ht="15" x14ac:dyDescent="0.25">
      <c r="K3789"/>
    </row>
    <row r="3790" spans="11:11" ht="15" x14ac:dyDescent="0.25">
      <c r="K3790"/>
    </row>
    <row r="3791" spans="11:11" ht="15" x14ac:dyDescent="0.25">
      <c r="K3791"/>
    </row>
    <row r="3792" spans="11:11" ht="15" x14ac:dyDescent="0.25">
      <c r="K3792"/>
    </row>
    <row r="3793" spans="11:11" ht="15" x14ac:dyDescent="0.25">
      <c r="K3793"/>
    </row>
    <row r="3794" spans="11:11" ht="15" x14ac:dyDescent="0.25">
      <c r="K3794"/>
    </row>
    <row r="3795" spans="11:11" ht="15" x14ac:dyDescent="0.25">
      <c r="K3795"/>
    </row>
    <row r="3796" spans="11:11" ht="15" x14ac:dyDescent="0.25">
      <c r="K3796"/>
    </row>
    <row r="3797" spans="11:11" ht="15" x14ac:dyDescent="0.25">
      <c r="K3797"/>
    </row>
    <row r="3798" spans="11:11" ht="15" x14ac:dyDescent="0.25">
      <c r="K3798"/>
    </row>
    <row r="3799" spans="11:11" ht="15" x14ac:dyDescent="0.25">
      <c r="K3799"/>
    </row>
    <row r="3800" spans="11:11" ht="15" x14ac:dyDescent="0.25">
      <c r="K3800"/>
    </row>
    <row r="3801" spans="11:11" ht="15" x14ac:dyDescent="0.25">
      <c r="K3801"/>
    </row>
    <row r="3802" spans="11:11" ht="15" x14ac:dyDescent="0.25">
      <c r="K3802"/>
    </row>
    <row r="3803" spans="11:11" ht="15" x14ac:dyDescent="0.25">
      <c r="K3803"/>
    </row>
    <row r="3804" spans="11:11" ht="15" x14ac:dyDescent="0.25">
      <c r="K3804"/>
    </row>
    <row r="3805" spans="11:11" ht="15" x14ac:dyDescent="0.25">
      <c r="K3805"/>
    </row>
    <row r="3806" spans="11:11" ht="15" x14ac:dyDescent="0.25">
      <c r="K3806"/>
    </row>
    <row r="3807" spans="11:11" ht="15" x14ac:dyDescent="0.25">
      <c r="K3807"/>
    </row>
    <row r="3808" spans="11:11" ht="15" x14ac:dyDescent="0.25">
      <c r="K3808"/>
    </row>
    <row r="3809" spans="11:11" ht="15" x14ac:dyDescent="0.25">
      <c r="K3809"/>
    </row>
    <row r="3810" spans="11:11" ht="15" x14ac:dyDescent="0.25">
      <c r="K3810"/>
    </row>
    <row r="3811" spans="11:11" ht="15" x14ac:dyDescent="0.25">
      <c r="K3811"/>
    </row>
    <row r="3812" spans="11:11" ht="15" x14ac:dyDescent="0.25">
      <c r="K3812"/>
    </row>
    <row r="3813" spans="11:11" ht="15" x14ac:dyDescent="0.25">
      <c r="K3813"/>
    </row>
    <row r="3814" spans="11:11" ht="15" x14ac:dyDescent="0.25">
      <c r="K3814"/>
    </row>
    <row r="3815" spans="11:11" ht="15" x14ac:dyDescent="0.25">
      <c r="K3815"/>
    </row>
    <row r="3816" spans="11:11" ht="15" x14ac:dyDescent="0.25">
      <c r="K3816"/>
    </row>
    <row r="3817" spans="11:11" ht="15" x14ac:dyDescent="0.25">
      <c r="K3817"/>
    </row>
    <row r="3818" spans="11:11" ht="15" x14ac:dyDescent="0.25">
      <c r="K3818"/>
    </row>
    <row r="3819" spans="11:11" ht="15" x14ac:dyDescent="0.25">
      <c r="K3819"/>
    </row>
    <row r="3820" spans="11:11" ht="15" x14ac:dyDescent="0.25">
      <c r="K3820"/>
    </row>
    <row r="3821" spans="11:11" ht="15" x14ac:dyDescent="0.25">
      <c r="K3821"/>
    </row>
    <row r="3822" spans="11:11" ht="15" x14ac:dyDescent="0.25">
      <c r="K3822"/>
    </row>
    <row r="3823" spans="11:11" ht="15" x14ac:dyDescent="0.25">
      <c r="K3823"/>
    </row>
    <row r="3824" spans="11:11" ht="15" x14ac:dyDescent="0.25">
      <c r="K3824"/>
    </row>
    <row r="3825" spans="11:11" ht="15" x14ac:dyDescent="0.25">
      <c r="K3825"/>
    </row>
    <row r="3826" spans="11:11" ht="15" x14ac:dyDescent="0.25">
      <c r="K3826"/>
    </row>
    <row r="3827" spans="11:11" ht="15" x14ac:dyDescent="0.25">
      <c r="K3827"/>
    </row>
    <row r="3828" spans="11:11" ht="15" x14ac:dyDescent="0.25">
      <c r="K3828"/>
    </row>
    <row r="3829" spans="11:11" ht="15" x14ac:dyDescent="0.25">
      <c r="K3829"/>
    </row>
    <row r="3830" spans="11:11" ht="15" x14ac:dyDescent="0.25">
      <c r="K3830"/>
    </row>
    <row r="3831" spans="11:11" ht="15" x14ac:dyDescent="0.25">
      <c r="K3831"/>
    </row>
    <row r="3832" spans="11:11" ht="15" x14ac:dyDescent="0.25">
      <c r="K3832"/>
    </row>
    <row r="3833" spans="11:11" ht="15" x14ac:dyDescent="0.25">
      <c r="K3833"/>
    </row>
    <row r="3834" spans="11:11" ht="15" x14ac:dyDescent="0.25">
      <c r="K3834"/>
    </row>
    <row r="3835" spans="11:11" ht="15" x14ac:dyDescent="0.25">
      <c r="K3835"/>
    </row>
    <row r="3836" spans="11:11" ht="15" x14ac:dyDescent="0.25">
      <c r="K3836"/>
    </row>
    <row r="3837" spans="11:11" ht="15" x14ac:dyDescent="0.25">
      <c r="K3837"/>
    </row>
    <row r="3838" spans="11:11" ht="15" x14ac:dyDescent="0.25">
      <c r="K3838"/>
    </row>
    <row r="3839" spans="11:11" ht="15" x14ac:dyDescent="0.25">
      <c r="K3839"/>
    </row>
    <row r="3840" spans="11:11" ht="15" x14ac:dyDescent="0.25">
      <c r="K3840"/>
    </row>
    <row r="3841" spans="11:11" ht="15" x14ac:dyDescent="0.25">
      <c r="K3841"/>
    </row>
    <row r="3842" spans="11:11" ht="15" x14ac:dyDescent="0.25">
      <c r="K3842"/>
    </row>
    <row r="3843" spans="11:11" ht="15" x14ac:dyDescent="0.25">
      <c r="K3843"/>
    </row>
    <row r="3844" spans="11:11" ht="15" x14ac:dyDescent="0.25">
      <c r="K3844"/>
    </row>
    <row r="3845" spans="11:11" ht="15" x14ac:dyDescent="0.25">
      <c r="K3845"/>
    </row>
    <row r="3846" spans="11:11" ht="15" x14ac:dyDescent="0.25">
      <c r="K3846"/>
    </row>
    <row r="3847" spans="11:11" ht="15" x14ac:dyDescent="0.25">
      <c r="K3847"/>
    </row>
    <row r="3848" spans="11:11" ht="15" x14ac:dyDescent="0.25">
      <c r="K3848"/>
    </row>
    <row r="3849" spans="11:11" ht="15" x14ac:dyDescent="0.25">
      <c r="K3849"/>
    </row>
    <row r="3850" spans="11:11" ht="15" x14ac:dyDescent="0.25">
      <c r="K3850"/>
    </row>
    <row r="3851" spans="11:11" ht="15" x14ac:dyDescent="0.25">
      <c r="K3851"/>
    </row>
    <row r="3852" spans="11:11" ht="15" x14ac:dyDescent="0.25">
      <c r="K3852"/>
    </row>
    <row r="3853" spans="11:11" ht="15" x14ac:dyDescent="0.25">
      <c r="K3853"/>
    </row>
    <row r="3854" spans="11:11" ht="15" x14ac:dyDescent="0.25">
      <c r="K3854"/>
    </row>
    <row r="3855" spans="11:11" ht="15" x14ac:dyDescent="0.25">
      <c r="K3855"/>
    </row>
    <row r="3856" spans="11:11" ht="15" x14ac:dyDescent="0.25">
      <c r="K3856"/>
    </row>
    <row r="3857" spans="11:11" ht="15" x14ac:dyDescent="0.25">
      <c r="K3857"/>
    </row>
    <row r="3858" spans="11:11" ht="15" x14ac:dyDescent="0.25">
      <c r="K3858"/>
    </row>
    <row r="3859" spans="11:11" ht="15" x14ac:dyDescent="0.25">
      <c r="K3859"/>
    </row>
    <row r="3860" spans="11:11" ht="15" x14ac:dyDescent="0.25">
      <c r="K3860"/>
    </row>
    <row r="3861" spans="11:11" ht="15" x14ac:dyDescent="0.25">
      <c r="K3861"/>
    </row>
    <row r="3862" spans="11:11" ht="15" x14ac:dyDescent="0.25">
      <c r="K3862"/>
    </row>
    <row r="3863" spans="11:11" ht="15" x14ac:dyDescent="0.25">
      <c r="K3863"/>
    </row>
    <row r="3864" spans="11:11" ht="15" x14ac:dyDescent="0.25">
      <c r="K3864"/>
    </row>
    <row r="3865" spans="11:11" ht="15" x14ac:dyDescent="0.25">
      <c r="K3865"/>
    </row>
    <row r="3866" spans="11:11" ht="15" x14ac:dyDescent="0.25">
      <c r="K3866"/>
    </row>
    <row r="3867" spans="11:11" ht="15" x14ac:dyDescent="0.25">
      <c r="K3867"/>
    </row>
    <row r="3868" spans="11:11" ht="15" x14ac:dyDescent="0.25">
      <c r="K3868"/>
    </row>
    <row r="3869" spans="11:11" ht="15" x14ac:dyDescent="0.25">
      <c r="K3869"/>
    </row>
    <row r="3870" spans="11:11" ht="15" x14ac:dyDescent="0.25">
      <c r="K3870"/>
    </row>
    <row r="3871" spans="11:11" ht="15" x14ac:dyDescent="0.25">
      <c r="K3871"/>
    </row>
    <row r="3872" spans="11:11" ht="15" x14ac:dyDescent="0.25">
      <c r="K3872"/>
    </row>
    <row r="3873" spans="11:11" ht="15" x14ac:dyDescent="0.25">
      <c r="K3873"/>
    </row>
    <row r="3874" spans="11:11" ht="15" x14ac:dyDescent="0.25">
      <c r="K3874"/>
    </row>
    <row r="3875" spans="11:11" ht="15" x14ac:dyDescent="0.25">
      <c r="K3875"/>
    </row>
    <row r="3876" spans="11:11" ht="15" x14ac:dyDescent="0.25">
      <c r="K3876"/>
    </row>
    <row r="3877" spans="11:11" ht="15" x14ac:dyDescent="0.25">
      <c r="K3877"/>
    </row>
    <row r="3878" spans="11:11" ht="15" x14ac:dyDescent="0.25">
      <c r="K3878"/>
    </row>
    <row r="3879" spans="11:11" ht="15" x14ac:dyDescent="0.25">
      <c r="K3879"/>
    </row>
    <row r="3880" spans="11:11" ht="15" x14ac:dyDescent="0.25">
      <c r="K3880"/>
    </row>
    <row r="3881" spans="11:11" ht="15" x14ac:dyDescent="0.25">
      <c r="K3881"/>
    </row>
    <row r="3882" spans="11:11" ht="15" x14ac:dyDescent="0.25">
      <c r="K3882"/>
    </row>
    <row r="3883" spans="11:11" ht="15" x14ac:dyDescent="0.25">
      <c r="K3883"/>
    </row>
    <row r="3884" spans="11:11" ht="15" x14ac:dyDescent="0.25">
      <c r="K3884"/>
    </row>
    <row r="3885" spans="11:11" ht="15" x14ac:dyDescent="0.25">
      <c r="K3885"/>
    </row>
    <row r="3886" spans="11:11" ht="15" x14ac:dyDescent="0.25">
      <c r="K3886"/>
    </row>
    <row r="3887" spans="11:11" ht="15" x14ac:dyDescent="0.25">
      <c r="K3887"/>
    </row>
    <row r="3888" spans="11:11" ht="15" x14ac:dyDescent="0.25">
      <c r="K3888"/>
    </row>
    <row r="3889" spans="11:11" ht="15" x14ac:dyDescent="0.25">
      <c r="K3889"/>
    </row>
    <row r="3890" spans="11:11" ht="15" x14ac:dyDescent="0.25">
      <c r="K3890"/>
    </row>
    <row r="3891" spans="11:11" ht="15" x14ac:dyDescent="0.25">
      <c r="K3891"/>
    </row>
    <row r="3892" spans="11:11" ht="15" x14ac:dyDescent="0.25">
      <c r="K3892"/>
    </row>
    <row r="3893" spans="11:11" ht="15" x14ac:dyDescent="0.25">
      <c r="K3893"/>
    </row>
    <row r="3894" spans="11:11" ht="15" x14ac:dyDescent="0.25">
      <c r="K3894"/>
    </row>
    <row r="3895" spans="11:11" ht="15" x14ac:dyDescent="0.25">
      <c r="K3895"/>
    </row>
    <row r="3896" spans="11:11" ht="15" x14ac:dyDescent="0.25">
      <c r="K3896"/>
    </row>
    <row r="3897" spans="11:11" ht="15" x14ac:dyDescent="0.25">
      <c r="K3897"/>
    </row>
    <row r="3898" spans="11:11" ht="15" x14ac:dyDescent="0.25">
      <c r="K3898"/>
    </row>
    <row r="3899" spans="11:11" ht="15" x14ac:dyDescent="0.25">
      <c r="K3899"/>
    </row>
    <row r="3900" spans="11:11" ht="15" x14ac:dyDescent="0.25">
      <c r="K3900"/>
    </row>
    <row r="3901" spans="11:11" ht="15" x14ac:dyDescent="0.25">
      <c r="K3901"/>
    </row>
    <row r="3902" spans="11:11" ht="15" x14ac:dyDescent="0.25">
      <c r="K3902"/>
    </row>
    <row r="3903" spans="11:11" ht="15" x14ac:dyDescent="0.25">
      <c r="K3903"/>
    </row>
    <row r="3904" spans="11:11" ht="15" x14ac:dyDescent="0.25">
      <c r="K3904"/>
    </row>
    <row r="3905" spans="11:11" ht="15" x14ac:dyDescent="0.25">
      <c r="K3905"/>
    </row>
    <row r="3906" spans="11:11" ht="15" x14ac:dyDescent="0.25">
      <c r="K3906"/>
    </row>
    <row r="3907" spans="11:11" ht="15" x14ac:dyDescent="0.25">
      <c r="K3907"/>
    </row>
    <row r="3908" spans="11:11" ht="15" x14ac:dyDescent="0.25">
      <c r="K3908"/>
    </row>
    <row r="3909" spans="11:11" ht="15" x14ac:dyDescent="0.25">
      <c r="K3909"/>
    </row>
    <row r="3910" spans="11:11" ht="15" x14ac:dyDescent="0.25">
      <c r="K3910"/>
    </row>
    <row r="3911" spans="11:11" ht="15" x14ac:dyDescent="0.25">
      <c r="K3911"/>
    </row>
    <row r="3912" spans="11:11" ht="15" x14ac:dyDescent="0.25">
      <c r="K3912"/>
    </row>
    <row r="3913" spans="11:11" ht="15" x14ac:dyDescent="0.25">
      <c r="K3913"/>
    </row>
    <row r="3914" spans="11:11" ht="15" x14ac:dyDescent="0.25">
      <c r="K3914"/>
    </row>
    <row r="3915" spans="11:11" ht="15" x14ac:dyDescent="0.25">
      <c r="K3915"/>
    </row>
    <row r="3916" spans="11:11" ht="15" x14ac:dyDescent="0.25">
      <c r="K3916"/>
    </row>
    <row r="3917" spans="11:11" ht="15" x14ac:dyDescent="0.25">
      <c r="K3917"/>
    </row>
    <row r="3918" spans="11:11" ht="15" x14ac:dyDescent="0.25">
      <c r="K3918"/>
    </row>
    <row r="3919" spans="11:11" ht="15" x14ac:dyDescent="0.25">
      <c r="K3919"/>
    </row>
    <row r="3920" spans="11:11" ht="15" x14ac:dyDescent="0.25">
      <c r="K3920"/>
    </row>
    <row r="3921" spans="11:11" ht="15" x14ac:dyDescent="0.25">
      <c r="K3921"/>
    </row>
    <row r="3922" spans="11:11" ht="15" x14ac:dyDescent="0.25">
      <c r="K3922"/>
    </row>
    <row r="3923" spans="11:11" ht="15" x14ac:dyDescent="0.25">
      <c r="K3923"/>
    </row>
    <row r="3924" spans="11:11" ht="15" x14ac:dyDescent="0.25">
      <c r="K3924"/>
    </row>
    <row r="3925" spans="11:11" ht="15" x14ac:dyDescent="0.25">
      <c r="K3925"/>
    </row>
    <row r="3926" spans="11:11" ht="15" x14ac:dyDescent="0.25">
      <c r="K3926"/>
    </row>
    <row r="3927" spans="11:11" ht="15" x14ac:dyDescent="0.25">
      <c r="K3927"/>
    </row>
    <row r="3928" spans="11:11" ht="15" x14ac:dyDescent="0.25">
      <c r="K3928"/>
    </row>
    <row r="3929" spans="11:11" ht="15" x14ac:dyDescent="0.25">
      <c r="K3929"/>
    </row>
    <row r="3930" spans="11:11" ht="15" x14ac:dyDescent="0.25">
      <c r="K3930"/>
    </row>
    <row r="3931" spans="11:11" ht="15" x14ac:dyDescent="0.25">
      <c r="K3931"/>
    </row>
    <row r="3932" spans="11:11" ht="15" x14ac:dyDescent="0.25">
      <c r="K3932"/>
    </row>
    <row r="3933" spans="11:11" ht="15" x14ac:dyDescent="0.25">
      <c r="K3933"/>
    </row>
    <row r="3934" spans="11:11" ht="15" x14ac:dyDescent="0.25">
      <c r="K3934"/>
    </row>
    <row r="3935" spans="11:11" ht="15" x14ac:dyDescent="0.25">
      <c r="K3935"/>
    </row>
    <row r="3936" spans="11:11" ht="15" x14ac:dyDescent="0.25">
      <c r="K3936"/>
    </row>
    <row r="3937" spans="11:11" ht="15" x14ac:dyDescent="0.25">
      <c r="K3937"/>
    </row>
    <row r="3938" spans="11:11" ht="15" x14ac:dyDescent="0.25">
      <c r="K3938"/>
    </row>
    <row r="3939" spans="11:11" ht="15" x14ac:dyDescent="0.25">
      <c r="K3939"/>
    </row>
    <row r="3940" spans="11:11" ht="15" x14ac:dyDescent="0.25">
      <c r="K3940"/>
    </row>
    <row r="3941" spans="11:11" ht="15" x14ac:dyDescent="0.25">
      <c r="K3941"/>
    </row>
    <row r="3942" spans="11:11" ht="15" x14ac:dyDescent="0.25">
      <c r="K3942"/>
    </row>
    <row r="3943" spans="11:11" ht="15" x14ac:dyDescent="0.25">
      <c r="K3943"/>
    </row>
    <row r="3944" spans="11:11" ht="15" x14ac:dyDescent="0.25">
      <c r="K3944"/>
    </row>
    <row r="3945" spans="11:11" ht="15" x14ac:dyDescent="0.25">
      <c r="K3945"/>
    </row>
    <row r="3946" spans="11:11" ht="15" x14ac:dyDescent="0.25">
      <c r="K3946"/>
    </row>
    <row r="3947" spans="11:11" ht="15" x14ac:dyDescent="0.25">
      <c r="K3947"/>
    </row>
    <row r="3948" spans="11:11" ht="15" x14ac:dyDescent="0.25">
      <c r="K3948"/>
    </row>
    <row r="3949" spans="11:11" ht="15" x14ac:dyDescent="0.25">
      <c r="K3949"/>
    </row>
    <row r="3950" spans="11:11" ht="15" x14ac:dyDescent="0.25">
      <c r="K3950"/>
    </row>
    <row r="3951" spans="11:11" ht="15" x14ac:dyDescent="0.25">
      <c r="K3951"/>
    </row>
    <row r="3952" spans="11:11" ht="15" x14ac:dyDescent="0.25">
      <c r="K3952"/>
    </row>
    <row r="3953" spans="11:11" ht="15" x14ac:dyDescent="0.25">
      <c r="K3953"/>
    </row>
    <row r="3954" spans="11:11" ht="15" x14ac:dyDescent="0.25">
      <c r="K3954"/>
    </row>
    <row r="3955" spans="11:11" ht="15" x14ac:dyDescent="0.25">
      <c r="K3955"/>
    </row>
    <row r="3956" spans="11:11" ht="15" x14ac:dyDescent="0.25">
      <c r="K3956"/>
    </row>
    <row r="3957" spans="11:11" ht="15" x14ac:dyDescent="0.25">
      <c r="K3957"/>
    </row>
    <row r="3958" spans="11:11" ht="15" x14ac:dyDescent="0.25">
      <c r="K3958"/>
    </row>
    <row r="3959" spans="11:11" ht="15" x14ac:dyDescent="0.25">
      <c r="K3959"/>
    </row>
    <row r="3960" spans="11:11" ht="15" x14ac:dyDescent="0.25">
      <c r="K3960"/>
    </row>
    <row r="3961" spans="11:11" ht="15" x14ac:dyDescent="0.25">
      <c r="K3961"/>
    </row>
    <row r="3962" spans="11:11" ht="15" x14ac:dyDescent="0.25">
      <c r="K3962"/>
    </row>
    <row r="3963" spans="11:11" ht="15" x14ac:dyDescent="0.25">
      <c r="K3963"/>
    </row>
    <row r="3964" spans="11:11" ht="15" x14ac:dyDescent="0.25">
      <c r="K3964"/>
    </row>
    <row r="3965" spans="11:11" ht="15" x14ac:dyDescent="0.25">
      <c r="K3965"/>
    </row>
    <row r="3966" spans="11:11" ht="15" x14ac:dyDescent="0.25">
      <c r="K3966"/>
    </row>
    <row r="3967" spans="11:11" ht="15" x14ac:dyDescent="0.25">
      <c r="K3967"/>
    </row>
    <row r="3968" spans="11:11" ht="15" x14ac:dyDescent="0.25">
      <c r="K3968"/>
    </row>
    <row r="3969" spans="11:11" ht="15" x14ac:dyDescent="0.25">
      <c r="K3969"/>
    </row>
    <row r="3970" spans="11:11" ht="15" x14ac:dyDescent="0.25">
      <c r="K3970"/>
    </row>
    <row r="3971" spans="11:11" ht="15" x14ac:dyDescent="0.25">
      <c r="K3971"/>
    </row>
    <row r="3972" spans="11:11" ht="15" x14ac:dyDescent="0.25">
      <c r="K3972"/>
    </row>
    <row r="3973" spans="11:11" ht="15" x14ac:dyDescent="0.25">
      <c r="K3973"/>
    </row>
    <row r="3974" spans="11:11" ht="15" x14ac:dyDescent="0.25">
      <c r="K3974"/>
    </row>
    <row r="3975" spans="11:11" ht="15" x14ac:dyDescent="0.25">
      <c r="K3975"/>
    </row>
    <row r="3976" spans="11:11" ht="15" x14ac:dyDescent="0.25">
      <c r="K3976"/>
    </row>
    <row r="3977" spans="11:11" ht="15" x14ac:dyDescent="0.25">
      <c r="K3977"/>
    </row>
    <row r="3978" spans="11:11" ht="15" x14ac:dyDescent="0.25">
      <c r="K3978"/>
    </row>
    <row r="3979" spans="11:11" ht="15" x14ac:dyDescent="0.25">
      <c r="K3979"/>
    </row>
    <row r="3980" spans="11:11" ht="15" x14ac:dyDescent="0.25">
      <c r="K3980"/>
    </row>
    <row r="3981" spans="11:11" ht="15" x14ac:dyDescent="0.25">
      <c r="K3981"/>
    </row>
    <row r="3982" spans="11:11" ht="15" x14ac:dyDescent="0.25">
      <c r="K3982"/>
    </row>
    <row r="3983" spans="11:11" ht="15" x14ac:dyDescent="0.25">
      <c r="K3983"/>
    </row>
    <row r="3984" spans="11:11" ht="15" x14ac:dyDescent="0.25">
      <c r="K3984"/>
    </row>
    <row r="3985" spans="11:11" ht="15" x14ac:dyDescent="0.25">
      <c r="K3985"/>
    </row>
    <row r="3986" spans="11:11" ht="15" x14ac:dyDescent="0.25">
      <c r="K3986"/>
    </row>
    <row r="3987" spans="11:11" ht="15" x14ac:dyDescent="0.25">
      <c r="K3987"/>
    </row>
    <row r="3988" spans="11:11" ht="15" x14ac:dyDescent="0.25">
      <c r="K3988"/>
    </row>
    <row r="3989" spans="11:11" ht="15" x14ac:dyDescent="0.25">
      <c r="K3989"/>
    </row>
    <row r="3990" spans="11:11" ht="15" x14ac:dyDescent="0.25">
      <c r="K3990"/>
    </row>
    <row r="3991" spans="11:11" ht="15" x14ac:dyDescent="0.25">
      <c r="K3991"/>
    </row>
    <row r="3992" spans="11:11" ht="15" x14ac:dyDescent="0.25">
      <c r="K3992"/>
    </row>
    <row r="3993" spans="11:11" ht="15" x14ac:dyDescent="0.25">
      <c r="K3993"/>
    </row>
    <row r="3994" spans="11:11" ht="15" x14ac:dyDescent="0.25">
      <c r="K3994"/>
    </row>
    <row r="3995" spans="11:11" ht="15" x14ac:dyDescent="0.25">
      <c r="K3995"/>
    </row>
    <row r="3996" spans="11:11" ht="15" x14ac:dyDescent="0.25">
      <c r="K3996"/>
    </row>
    <row r="3997" spans="11:11" ht="15" x14ac:dyDescent="0.25">
      <c r="K3997"/>
    </row>
    <row r="3998" spans="11:11" ht="15" x14ac:dyDescent="0.25">
      <c r="K3998"/>
    </row>
    <row r="3999" spans="11:11" ht="15" x14ac:dyDescent="0.25">
      <c r="K3999"/>
    </row>
    <row r="4000" spans="11:11" ht="15" x14ac:dyDescent="0.25">
      <c r="K4000"/>
    </row>
    <row r="4001" spans="11:11" ht="15" x14ac:dyDescent="0.25">
      <c r="K4001"/>
    </row>
    <row r="4002" spans="11:11" ht="15" x14ac:dyDescent="0.25">
      <c r="K4002"/>
    </row>
    <row r="4003" spans="11:11" ht="15" x14ac:dyDescent="0.25">
      <c r="K4003"/>
    </row>
    <row r="4004" spans="11:11" ht="15" x14ac:dyDescent="0.25">
      <c r="K4004"/>
    </row>
    <row r="4005" spans="11:11" ht="15" x14ac:dyDescent="0.25">
      <c r="K4005"/>
    </row>
    <row r="4006" spans="11:11" ht="15" x14ac:dyDescent="0.25">
      <c r="K4006"/>
    </row>
    <row r="4007" spans="11:11" ht="15" x14ac:dyDescent="0.25">
      <c r="K4007"/>
    </row>
    <row r="4008" spans="11:11" ht="15" x14ac:dyDescent="0.25">
      <c r="K4008"/>
    </row>
    <row r="4009" spans="11:11" ht="15" x14ac:dyDescent="0.25">
      <c r="K4009"/>
    </row>
    <row r="4010" spans="11:11" ht="15" x14ac:dyDescent="0.25">
      <c r="K4010"/>
    </row>
    <row r="4011" spans="11:11" ht="15" x14ac:dyDescent="0.25">
      <c r="K4011"/>
    </row>
    <row r="4012" spans="11:11" ht="15" x14ac:dyDescent="0.25">
      <c r="K4012"/>
    </row>
    <row r="4013" spans="11:11" ht="15" x14ac:dyDescent="0.25">
      <c r="K4013"/>
    </row>
    <row r="4014" spans="11:11" ht="15" x14ac:dyDescent="0.25">
      <c r="K4014"/>
    </row>
    <row r="4015" spans="11:11" ht="15" x14ac:dyDescent="0.25">
      <c r="K4015"/>
    </row>
    <row r="4016" spans="11:11" ht="15" x14ac:dyDescent="0.25">
      <c r="K4016"/>
    </row>
    <row r="4017" spans="11:11" ht="15" x14ac:dyDescent="0.25">
      <c r="K4017"/>
    </row>
    <row r="4018" spans="11:11" ht="15" x14ac:dyDescent="0.25">
      <c r="K4018"/>
    </row>
    <row r="4019" spans="11:11" ht="15" x14ac:dyDescent="0.25">
      <c r="K4019"/>
    </row>
    <row r="4020" spans="11:11" ht="15" x14ac:dyDescent="0.25">
      <c r="K4020"/>
    </row>
    <row r="4021" spans="11:11" ht="15" x14ac:dyDescent="0.25">
      <c r="K4021"/>
    </row>
    <row r="4022" spans="11:11" ht="15" x14ac:dyDescent="0.25">
      <c r="K4022"/>
    </row>
    <row r="4023" spans="11:11" ht="15" x14ac:dyDescent="0.25">
      <c r="K4023"/>
    </row>
    <row r="4024" spans="11:11" ht="15" x14ac:dyDescent="0.25">
      <c r="K4024"/>
    </row>
    <row r="4025" spans="11:11" ht="15" x14ac:dyDescent="0.25">
      <c r="K4025"/>
    </row>
    <row r="4026" spans="11:11" ht="15" x14ac:dyDescent="0.25">
      <c r="K4026"/>
    </row>
    <row r="4027" spans="11:11" ht="15" x14ac:dyDescent="0.25">
      <c r="K4027"/>
    </row>
    <row r="4028" spans="11:11" ht="15" x14ac:dyDescent="0.25">
      <c r="K4028"/>
    </row>
    <row r="4029" spans="11:11" ht="15" x14ac:dyDescent="0.25">
      <c r="K4029"/>
    </row>
    <row r="4030" spans="11:11" ht="15" x14ac:dyDescent="0.25">
      <c r="K4030"/>
    </row>
    <row r="4031" spans="11:11" ht="15" x14ac:dyDescent="0.25">
      <c r="K4031"/>
    </row>
    <row r="4032" spans="11:11" ht="15" x14ac:dyDescent="0.25">
      <c r="K4032"/>
    </row>
    <row r="4033" spans="11:11" ht="15" x14ac:dyDescent="0.25">
      <c r="K4033"/>
    </row>
    <row r="4034" spans="11:11" ht="15" x14ac:dyDescent="0.25">
      <c r="K4034"/>
    </row>
    <row r="4035" spans="11:11" ht="15" x14ac:dyDescent="0.25">
      <c r="K4035"/>
    </row>
    <row r="4036" spans="11:11" ht="15" x14ac:dyDescent="0.25">
      <c r="K4036"/>
    </row>
    <row r="4037" spans="11:11" ht="15" x14ac:dyDescent="0.25">
      <c r="K4037"/>
    </row>
    <row r="4038" spans="11:11" ht="15" x14ac:dyDescent="0.25">
      <c r="K4038"/>
    </row>
    <row r="4039" spans="11:11" ht="15" x14ac:dyDescent="0.25">
      <c r="K4039"/>
    </row>
    <row r="4040" spans="11:11" ht="15" x14ac:dyDescent="0.25">
      <c r="K4040"/>
    </row>
    <row r="4041" spans="11:11" ht="15" x14ac:dyDescent="0.25">
      <c r="K4041"/>
    </row>
    <row r="4042" spans="11:11" ht="15" x14ac:dyDescent="0.25">
      <c r="K4042"/>
    </row>
    <row r="4043" spans="11:11" ht="15" x14ac:dyDescent="0.25">
      <c r="K4043"/>
    </row>
    <row r="4044" spans="11:11" ht="15" x14ac:dyDescent="0.25">
      <c r="K4044"/>
    </row>
    <row r="4045" spans="11:11" ht="15" x14ac:dyDescent="0.25">
      <c r="K4045"/>
    </row>
    <row r="4046" spans="11:11" ht="15" x14ac:dyDescent="0.25">
      <c r="K4046"/>
    </row>
    <row r="4047" spans="11:11" ht="15" x14ac:dyDescent="0.25">
      <c r="K4047"/>
    </row>
    <row r="4048" spans="11:11" ht="15" x14ac:dyDescent="0.25">
      <c r="K4048"/>
    </row>
    <row r="4049" spans="11:11" ht="15" x14ac:dyDescent="0.25">
      <c r="K4049"/>
    </row>
    <row r="4050" spans="11:11" ht="15" x14ac:dyDescent="0.25">
      <c r="K4050"/>
    </row>
    <row r="4051" spans="11:11" ht="15" x14ac:dyDescent="0.25">
      <c r="K4051"/>
    </row>
    <row r="4052" spans="11:11" ht="15" x14ac:dyDescent="0.25">
      <c r="K4052"/>
    </row>
    <row r="4053" spans="11:11" ht="15" x14ac:dyDescent="0.25">
      <c r="K4053"/>
    </row>
    <row r="4054" spans="11:11" ht="15" x14ac:dyDescent="0.25">
      <c r="K4054"/>
    </row>
    <row r="4055" spans="11:11" ht="15" x14ac:dyDescent="0.25">
      <c r="K4055"/>
    </row>
    <row r="4056" spans="11:11" ht="15" x14ac:dyDescent="0.25">
      <c r="K4056"/>
    </row>
    <row r="4057" spans="11:11" ht="15" x14ac:dyDescent="0.25">
      <c r="K4057"/>
    </row>
    <row r="4058" spans="11:11" ht="15" x14ac:dyDescent="0.25">
      <c r="K4058"/>
    </row>
    <row r="4059" spans="11:11" ht="15" x14ac:dyDescent="0.25">
      <c r="K4059"/>
    </row>
    <row r="4060" spans="11:11" ht="15" x14ac:dyDescent="0.25">
      <c r="K4060"/>
    </row>
    <row r="4061" spans="11:11" ht="15" x14ac:dyDescent="0.25">
      <c r="K4061"/>
    </row>
    <row r="4062" spans="11:11" ht="15" x14ac:dyDescent="0.25">
      <c r="K4062"/>
    </row>
    <row r="4063" spans="11:11" ht="15" x14ac:dyDescent="0.25">
      <c r="K4063"/>
    </row>
    <row r="4064" spans="11:11" ht="15" x14ac:dyDescent="0.25">
      <c r="K4064"/>
    </row>
    <row r="4065" spans="11:11" ht="15" x14ac:dyDescent="0.25">
      <c r="K4065"/>
    </row>
    <row r="4066" spans="11:11" ht="15" x14ac:dyDescent="0.25">
      <c r="K4066"/>
    </row>
    <row r="4067" spans="11:11" ht="15" x14ac:dyDescent="0.25">
      <c r="K4067"/>
    </row>
    <row r="4068" spans="11:11" ht="15" x14ac:dyDescent="0.25">
      <c r="K4068"/>
    </row>
    <row r="4069" spans="11:11" ht="15" x14ac:dyDescent="0.25">
      <c r="K4069"/>
    </row>
    <row r="4070" spans="11:11" ht="15" x14ac:dyDescent="0.25">
      <c r="K4070"/>
    </row>
    <row r="4071" spans="11:11" ht="15" x14ac:dyDescent="0.25">
      <c r="K4071"/>
    </row>
    <row r="4072" spans="11:11" ht="15" x14ac:dyDescent="0.25">
      <c r="K4072"/>
    </row>
    <row r="4073" spans="11:11" ht="15" x14ac:dyDescent="0.25">
      <c r="K4073"/>
    </row>
    <row r="4074" spans="11:11" ht="15" x14ac:dyDescent="0.25">
      <c r="K4074"/>
    </row>
    <row r="4075" spans="11:11" ht="15" x14ac:dyDescent="0.25">
      <c r="K4075"/>
    </row>
    <row r="4076" spans="11:11" ht="15" x14ac:dyDescent="0.25">
      <c r="K4076"/>
    </row>
    <row r="4077" spans="11:11" ht="15" x14ac:dyDescent="0.25">
      <c r="K4077"/>
    </row>
    <row r="4078" spans="11:11" ht="15" x14ac:dyDescent="0.25">
      <c r="K4078"/>
    </row>
    <row r="4079" spans="11:11" ht="15" x14ac:dyDescent="0.25">
      <c r="K4079"/>
    </row>
    <row r="4080" spans="11:11" ht="15" x14ac:dyDescent="0.25">
      <c r="K4080"/>
    </row>
    <row r="4081" spans="11:11" ht="15" x14ac:dyDescent="0.25">
      <c r="K4081"/>
    </row>
    <row r="4082" spans="11:11" ht="15" x14ac:dyDescent="0.25">
      <c r="K4082"/>
    </row>
    <row r="4083" spans="11:11" ht="15" x14ac:dyDescent="0.25">
      <c r="K4083"/>
    </row>
    <row r="4084" spans="11:11" ht="15" x14ac:dyDescent="0.25">
      <c r="K4084"/>
    </row>
    <row r="4085" spans="11:11" ht="15" x14ac:dyDescent="0.25">
      <c r="K4085"/>
    </row>
    <row r="4086" spans="11:11" ht="15" x14ac:dyDescent="0.25">
      <c r="K4086"/>
    </row>
    <row r="4087" spans="11:11" ht="15" x14ac:dyDescent="0.25">
      <c r="K4087"/>
    </row>
    <row r="4088" spans="11:11" ht="15" x14ac:dyDescent="0.25">
      <c r="K4088"/>
    </row>
    <row r="4089" spans="11:11" ht="15" x14ac:dyDescent="0.25">
      <c r="K4089"/>
    </row>
    <row r="4090" spans="11:11" ht="15" x14ac:dyDescent="0.25">
      <c r="K4090"/>
    </row>
    <row r="4091" spans="11:11" ht="15" x14ac:dyDescent="0.25">
      <c r="K4091"/>
    </row>
    <row r="4092" spans="11:11" ht="15" x14ac:dyDescent="0.25">
      <c r="K4092"/>
    </row>
    <row r="4093" spans="11:11" ht="15" x14ac:dyDescent="0.25">
      <c r="K4093"/>
    </row>
    <row r="4094" spans="11:11" ht="15" x14ac:dyDescent="0.25">
      <c r="K4094"/>
    </row>
    <row r="4095" spans="11:11" ht="15" x14ac:dyDescent="0.25">
      <c r="K4095"/>
    </row>
    <row r="4096" spans="11:11" ht="15" x14ac:dyDescent="0.25">
      <c r="K4096"/>
    </row>
    <row r="4097" spans="11:11" ht="15" x14ac:dyDescent="0.25">
      <c r="K4097"/>
    </row>
    <row r="4098" spans="11:11" ht="15" x14ac:dyDescent="0.25">
      <c r="K4098"/>
    </row>
    <row r="4099" spans="11:11" ht="15" x14ac:dyDescent="0.25">
      <c r="K4099"/>
    </row>
    <row r="4100" spans="11:11" ht="15" x14ac:dyDescent="0.25">
      <c r="K4100"/>
    </row>
    <row r="4101" spans="11:11" ht="15" x14ac:dyDescent="0.25">
      <c r="K4101"/>
    </row>
    <row r="4102" spans="11:11" ht="15" x14ac:dyDescent="0.25">
      <c r="K4102"/>
    </row>
    <row r="4103" spans="11:11" ht="15" x14ac:dyDescent="0.25">
      <c r="K4103"/>
    </row>
    <row r="4104" spans="11:11" ht="15" x14ac:dyDescent="0.25">
      <c r="K4104"/>
    </row>
    <row r="4105" spans="11:11" ht="15" x14ac:dyDescent="0.25">
      <c r="K4105"/>
    </row>
    <row r="4106" spans="11:11" ht="15" x14ac:dyDescent="0.25">
      <c r="K4106"/>
    </row>
    <row r="4107" spans="11:11" ht="15" x14ac:dyDescent="0.25">
      <c r="K4107"/>
    </row>
    <row r="4108" spans="11:11" ht="15" x14ac:dyDescent="0.25">
      <c r="K4108"/>
    </row>
    <row r="4109" spans="11:11" ht="15" x14ac:dyDescent="0.25">
      <c r="K4109"/>
    </row>
    <row r="4110" spans="11:11" ht="15" x14ac:dyDescent="0.25">
      <c r="K4110"/>
    </row>
    <row r="4111" spans="11:11" ht="15" x14ac:dyDescent="0.25">
      <c r="K4111"/>
    </row>
    <row r="4112" spans="11:11" ht="15" x14ac:dyDescent="0.25">
      <c r="K4112"/>
    </row>
    <row r="4113" spans="11:11" ht="15" x14ac:dyDescent="0.25">
      <c r="K4113"/>
    </row>
    <row r="4114" spans="11:11" ht="15" x14ac:dyDescent="0.25">
      <c r="K4114"/>
    </row>
    <row r="4115" spans="11:11" ht="15" x14ac:dyDescent="0.25">
      <c r="K4115"/>
    </row>
    <row r="4116" spans="11:11" ht="15" x14ac:dyDescent="0.25">
      <c r="K4116"/>
    </row>
    <row r="4117" spans="11:11" ht="15" x14ac:dyDescent="0.25">
      <c r="K4117"/>
    </row>
    <row r="4118" spans="11:11" ht="15" x14ac:dyDescent="0.25">
      <c r="K4118"/>
    </row>
    <row r="4119" spans="11:11" ht="15" x14ac:dyDescent="0.25">
      <c r="K4119"/>
    </row>
    <row r="4120" spans="11:11" ht="15" x14ac:dyDescent="0.25">
      <c r="K4120"/>
    </row>
    <row r="4121" spans="11:11" ht="15" x14ac:dyDescent="0.25">
      <c r="K4121"/>
    </row>
    <row r="4122" spans="11:11" ht="15" x14ac:dyDescent="0.25">
      <c r="K4122"/>
    </row>
    <row r="4123" spans="11:11" ht="15" x14ac:dyDescent="0.25">
      <c r="K4123"/>
    </row>
    <row r="4124" spans="11:11" ht="15" x14ac:dyDescent="0.25">
      <c r="K4124"/>
    </row>
    <row r="4125" spans="11:11" ht="15" x14ac:dyDescent="0.25">
      <c r="K4125"/>
    </row>
    <row r="4126" spans="11:11" ht="15" x14ac:dyDescent="0.25">
      <c r="K4126"/>
    </row>
    <row r="4127" spans="11:11" ht="15" x14ac:dyDescent="0.25">
      <c r="K4127"/>
    </row>
    <row r="4128" spans="11:11" ht="15" x14ac:dyDescent="0.25">
      <c r="K4128"/>
    </row>
    <row r="4129" spans="11:11" ht="15" x14ac:dyDescent="0.25">
      <c r="K4129"/>
    </row>
    <row r="4130" spans="11:11" ht="15" x14ac:dyDescent="0.25">
      <c r="K4130"/>
    </row>
    <row r="4131" spans="11:11" ht="15" x14ac:dyDescent="0.25">
      <c r="K4131"/>
    </row>
    <row r="4132" spans="11:11" ht="15" x14ac:dyDescent="0.25">
      <c r="K4132"/>
    </row>
    <row r="4133" spans="11:11" ht="15" x14ac:dyDescent="0.25">
      <c r="K4133"/>
    </row>
    <row r="4134" spans="11:11" ht="15" x14ac:dyDescent="0.25">
      <c r="K4134"/>
    </row>
    <row r="4135" spans="11:11" ht="15" x14ac:dyDescent="0.25">
      <c r="K4135"/>
    </row>
    <row r="4136" spans="11:11" ht="15" x14ac:dyDescent="0.25">
      <c r="K4136"/>
    </row>
    <row r="4137" spans="11:11" ht="15" x14ac:dyDescent="0.25">
      <c r="K4137"/>
    </row>
    <row r="4138" spans="11:11" ht="15" x14ac:dyDescent="0.25">
      <c r="K4138"/>
    </row>
    <row r="4139" spans="11:11" ht="15" x14ac:dyDescent="0.25">
      <c r="K4139"/>
    </row>
    <row r="4140" spans="11:11" ht="15" x14ac:dyDescent="0.25">
      <c r="K4140"/>
    </row>
    <row r="4141" spans="11:11" ht="15" x14ac:dyDescent="0.25">
      <c r="K4141"/>
    </row>
    <row r="4142" spans="11:11" ht="15" x14ac:dyDescent="0.25">
      <c r="K4142"/>
    </row>
    <row r="4143" spans="11:11" ht="15" x14ac:dyDescent="0.25">
      <c r="K4143"/>
    </row>
    <row r="4144" spans="11:11" ht="15" x14ac:dyDescent="0.25">
      <c r="K4144"/>
    </row>
    <row r="4145" spans="11:11" ht="15" x14ac:dyDescent="0.25">
      <c r="K4145"/>
    </row>
    <row r="4146" spans="11:11" ht="15" x14ac:dyDescent="0.25">
      <c r="K4146"/>
    </row>
    <row r="4147" spans="11:11" ht="15" x14ac:dyDescent="0.25">
      <c r="K4147"/>
    </row>
    <row r="4148" spans="11:11" ht="15" x14ac:dyDescent="0.25">
      <c r="K4148"/>
    </row>
    <row r="4149" spans="11:11" ht="15" x14ac:dyDescent="0.25">
      <c r="K4149"/>
    </row>
    <row r="4150" spans="11:11" ht="15" x14ac:dyDescent="0.25">
      <c r="K4150"/>
    </row>
    <row r="4151" spans="11:11" ht="15" x14ac:dyDescent="0.25">
      <c r="K4151"/>
    </row>
    <row r="4152" spans="11:11" ht="15" x14ac:dyDescent="0.25">
      <c r="K4152"/>
    </row>
    <row r="4153" spans="11:11" ht="15" x14ac:dyDescent="0.25">
      <c r="K4153"/>
    </row>
    <row r="4154" spans="11:11" ht="15" x14ac:dyDescent="0.25">
      <c r="K4154"/>
    </row>
    <row r="4155" spans="11:11" ht="15" x14ac:dyDescent="0.25">
      <c r="K4155"/>
    </row>
    <row r="4156" spans="11:11" ht="15" x14ac:dyDescent="0.25">
      <c r="K4156"/>
    </row>
    <row r="4157" spans="11:11" ht="15" x14ac:dyDescent="0.25">
      <c r="K4157"/>
    </row>
    <row r="4158" spans="11:11" ht="15" x14ac:dyDescent="0.25">
      <c r="K4158"/>
    </row>
    <row r="4159" spans="11:11" ht="15" x14ac:dyDescent="0.25">
      <c r="K4159"/>
    </row>
    <row r="4160" spans="11:11" ht="15" x14ac:dyDescent="0.25">
      <c r="K4160"/>
    </row>
    <row r="4161" spans="11:11" ht="15" x14ac:dyDescent="0.25">
      <c r="K4161"/>
    </row>
    <row r="4162" spans="11:11" ht="15" x14ac:dyDescent="0.25">
      <c r="K4162"/>
    </row>
    <row r="4163" spans="11:11" ht="15" x14ac:dyDescent="0.25">
      <c r="K4163"/>
    </row>
    <row r="4164" spans="11:11" ht="15" x14ac:dyDescent="0.25">
      <c r="K4164"/>
    </row>
    <row r="4165" spans="11:11" ht="15" x14ac:dyDescent="0.25">
      <c r="K4165"/>
    </row>
    <row r="4166" spans="11:11" ht="15" x14ac:dyDescent="0.25">
      <c r="K4166"/>
    </row>
    <row r="4167" spans="11:11" ht="15" x14ac:dyDescent="0.25">
      <c r="K4167"/>
    </row>
    <row r="4168" spans="11:11" ht="15" x14ac:dyDescent="0.25">
      <c r="K4168"/>
    </row>
    <row r="4169" spans="11:11" ht="15" x14ac:dyDescent="0.25">
      <c r="K4169"/>
    </row>
    <row r="4170" spans="11:11" ht="15" x14ac:dyDescent="0.25">
      <c r="K4170"/>
    </row>
    <row r="4171" spans="11:11" ht="15" x14ac:dyDescent="0.25">
      <c r="K4171"/>
    </row>
    <row r="4172" spans="11:11" ht="15" x14ac:dyDescent="0.25">
      <c r="K4172"/>
    </row>
    <row r="4173" spans="11:11" ht="15" x14ac:dyDescent="0.25">
      <c r="K4173"/>
    </row>
    <row r="4174" spans="11:11" ht="15" x14ac:dyDescent="0.25">
      <c r="K4174"/>
    </row>
    <row r="4175" spans="11:11" ht="15" x14ac:dyDescent="0.25">
      <c r="K4175"/>
    </row>
    <row r="4176" spans="11:11" ht="15" x14ac:dyDescent="0.25">
      <c r="K4176"/>
    </row>
    <row r="4177" spans="11:11" ht="15" x14ac:dyDescent="0.25">
      <c r="K4177"/>
    </row>
    <row r="4178" spans="11:11" ht="15" x14ac:dyDescent="0.25">
      <c r="K4178"/>
    </row>
    <row r="4179" spans="11:11" ht="15" x14ac:dyDescent="0.25">
      <c r="K4179"/>
    </row>
    <row r="4180" spans="11:11" ht="15" x14ac:dyDescent="0.25">
      <c r="K4180"/>
    </row>
    <row r="4181" spans="11:11" ht="15" x14ac:dyDescent="0.25">
      <c r="K4181"/>
    </row>
    <row r="4182" spans="11:11" ht="15" x14ac:dyDescent="0.25">
      <c r="K4182"/>
    </row>
    <row r="4183" spans="11:11" ht="15" x14ac:dyDescent="0.25">
      <c r="K4183"/>
    </row>
    <row r="4184" spans="11:11" ht="15" x14ac:dyDescent="0.25">
      <c r="K4184"/>
    </row>
    <row r="4185" spans="11:11" ht="15" x14ac:dyDescent="0.25">
      <c r="K4185"/>
    </row>
    <row r="4186" spans="11:11" ht="15" x14ac:dyDescent="0.25">
      <c r="K4186"/>
    </row>
    <row r="4187" spans="11:11" ht="15" x14ac:dyDescent="0.25">
      <c r="K4187"/>
    </row>
    <row r="4188" spans="11:11" ht="15" x14ac:dyDescent="0.25">
      <c r="K4188"/>
    </row>
    <row r="4189" spans="11:11" ht="15" x14ac:dyDescent="0.25">
      <c r="K4189"/>
    </row>
    <row r="4190" spans="11:11" ht="15" x14ac:dyDescent="0.25">
      <c r="K4190"/>
    </row>
    <row r="4191" spans="11:11" ht="15" x14ac:dyDescent="0.25">
      <c r="K4191"/>
    </row>
    <row r="4192" spans="11:11" ht="15" x14ac:dyDescent="0.25">
      <c r="K4192"/>
    </row>
    <row r="4193" spans="11:11" ht="15" x14ac:dyDescent="0.25">
      <c r="K4193"/>
    </row>
    <row r="4194" spans="11:11" ht="15" x14ac:dyDescent="0.25">
      <c r="K4194"/>
    </row>
    <row r="4195" spans="11:11" ht="15" x14ac:dyDescent="0.25">
      <c r="K4195"/>
    </row>
    <row r="4196" spans="11:11" ht="15" x14ac:dyDescent="0.25">
      <c r="K4196"/>
    </row>
    <row r="4197" spans="11:11" ht="15" x14ac:dyDescent="0.25">
      <c r="K4197"/>
    </row>
    <row r="4198" spans="11:11" ht="15" x14ac:dyDescent="0.25">
      <c r="K4198"/>
    </row>
    <row r="4199" spans="11:11" ht="15" x14ac:dyDescent="0.25">
      <c r="K4199"/>
    </row>
    <row r="4200" spans="11:11" ht="15" x14ac:dyDescent="0.25">
      <c r="K4200"/>
    </row>
    <row r="4201" spans="11:11" ht="15" x14ac:dyDescent="0.25">
      <c r="K4201"/>
    </row>
    <row r="4202" spans="11:11" ht="15" x14ac:dyDescent="0.25">
      <c r="K4202"/>
    </row>
    <row r="4203" spans="11:11" ht="15" x14ac:dyDescent="0.25">
      <c r="K4203"/>
    </row>
    <row r="4204" spans="11:11" ht="15" x14ac:dyDescent="0.25">
      <c r="K4204"/>
    </row>
    <row r="4205" spans="11:11" ht="15" x14ac:dyDescent="0.25">
      <c r="K4205"/>
    </row>
    <row r="4206" spans="11:11" ht="15" x14ac:dyDescent="0.25">
      <c r="K4206"/>
    </row>
    <row r="4207" spans="11:11" ht="15" x14ac:dyDescent="0.25">
      <c r="K4207"/>
    </row>
    <row r="4208" spans="11:11" ht="15" x14ac:dyDescent="0.25">
      <c r="K4208"/>
    </row>
    <row r="4209" spans="11:11" ht="15" x14ac:dyDescent="0.25">
      <c r="K4209"/>
    </row>
    <row r="4210" spans="11:11" ht="15" x14ac:dyDescent="0.25">
      <c r="K4210"/>
    </row>
    <row r="4211" spans="11:11" ht="15" x14ac:dyDescent="0.25">
      <c r="K4211"/>
    </row>
    <row r="4212" spans="11:11" ht="15" x14ac:dyDescent="0.25">
      <c r="K4212"/>
    </row>
    <row r="4213" spans="11:11" ht="15" x14ac:dyDescent="0.25">
      <c r="K4213"/>
    </row>
    <row r="4214" spans="11:11" ht="15" x14ac:dyDescent="0.25">
      <c r="K4214"/>
    </row>
    <row r="4215" spans="11:11" ht="15" x14ac:dyDescent="0.25">
      <c r="K4215"/>
    </row>
    <row r="4216" spans="11:11" ht="15" x14ac:dyDescent="0.25">
      <c r="K4216"/>
    </row>
    <row r="4217" spans="11:11" ht="15" x14ac:dyDescent="0.25">
      <c r="K4217"/>
    </row>
    <row r="4218" spans="11:11" ht="15" x14ac:dyDescent="0.25">
      <c r="K4218"/>
    </row>
    <row r="4219" spans="11:11" ht="15" x14ac:dyDescent="0.25">
      <c r="K4219"/>
    </row>
    <row r="4220" spans="11:11" ht="15" x14ac:dyDescent="0.25">
      <c r="K4220"/>
    </row>
    <row r="4221" spans="11:11" ht="15" x14ac:dyDescent="0.25">
      <c r="K4221"/>
    </row>
    <row r="4222" spans="11:11" ht="15" x14ac:dyDescent="0.25">
      <c r="K4222"/>
    </row>
    <row r="4223" spans="11:11" ht="15" x14ac:dyDescent="0.25">
      <c r="K4223"/>
    </row>
    <row r="4224" spans="11:11" ht="15" x14ac:dyDescent="0.25">
      <c r="K4224"/>
    </row>
    <row r="4225" spans="11:11" ht="15" x14ac:dyDescent="0.25">
      <c r="K4225"/>
    </row>
    <row r="4226" spans="11:11" ht="15" x14ac:dyDescent="0.25">
      <c r="K4226"/>
    </row>
    <row r="4227" spans="11:11" ht="15" x14ac:dyDescent="0.25">
      <c r="K4227"/>
    </row>
    <row r="4228" spans="11:11" ht="15" x14ac:dyDescent="0.25">
      <c r="K4228"/>
    </row>
    <row r="4229" spans="11:11" ht="15" x14ac:dyDescent="0.25">
      <c r="K4229"/>
    </row>
    <row r="4230" spans="11:11" ht="15" x14ac:dyDescent="0.25">
      <c r="K4230"/>
    </row>
    <row r="4231" spans="11:11" ht="15" x14ac:dyDescent="0.25">
      <c r="K4231"/>
    </row>
    <row r="4232" spans="11:11" ht="15" x14ac:dyDescent="0.25">
      <c r="K4232"/>
    </row>
    <row r="4233" spans="11:11" ht="15" x14ac:dyDescent="0.25">
      <c r="K4233"/>
    </row>
    <row r="4234" spans="11:11" ht="15" x14ac:dyDescent="0.25">
      <c r="K4234"/>
    </row>
    <row r="4235" spans="11:11" ht="15" x14ac:dyDescent="0.25">
      <c r="K4235"/>
    </row>
    <row r="4236" spans="11:11" ht="15" x14ac:dyDescent="0.25">
      <c r="K4236"/>
    </row>
    <row r="4237" spans="11:11" ht="15" x14ac:dyDescent="0.25">
      <c r="K4237"/>
    </row>
    <row r="4238" spans="11:11" ht="15" x14ac:dyDescent="0.25">
      <c r="K4238"/>
    </row>
    <row r="4239" spans="11:11" ht="15" x14ac:dyDescent="0.25">
      <c r="K4239"/>
    </row>
    <row r="4240" spans="11:11" ht="15" x14ac:dyDescent="0.25">
      <c r="K4240"/>
    </row>
    <row r="4241" spans="11:11" ht="15" x14ac:dyDescent="0.25">
      <c r="K4241"/>
    </row>
    <row r="4242" spans="11:11" ht="15" x14ac:dyDescent="0.25">
      <c r="K4242"/>
    </row>
    <row r="4243" spans="11:11" ht="15" x14ac:dyDescent="0.25">
      <c r="K4243"/>
    </row>
    <row r="4244" spans="11:11" ht="15" x14ac:dyDescent="0.25">
      <c r="K4244"/>
    </row>
    <row r="4245" spans="11:11" ht="15" x14ac:dyDescent="0.25">
      <c r="K4245"/>
    </row>
    <row r="4246" spans="11:11" ht="15" x14ac:dyDescent="0.25">
      <c r="K4246"/>
    </row>
    <row r="4247" spans="11:11" ht="15" x14ac:dyDescent="0.25">
      <c r="K4247"/>
    </row>
    <row r="4248" spans="11:11" ht="15" x14ac:dyDescent="0.25">
      <c r="K4248"/>
    </row>
    <row r="4249" spans="11:11" ht="15" x14ac:dyDescent="0.25">
      <c r="K4249"/>
    </row>
    <row r="4250" spans="11:11" ht="15" x14ac:dyDescent="0.25">
      <c r="K4250"/>
    </row>
    <row r="4251" spans="11:11" ht="15" x14ac:dyDescent="0.25">
      <c r="K4251"/>
    </row>
    <row r="4252" spans="11:11" ht="15" x14ac:dyDescent="0.25">
      <c r="K4252"/>
    </row>
    <row r="4253" spans="11:11" ht="15" x14ac:dyDescent="0.25">
      <c r="K4253"/>
    </row>
    <row r="4254" spans="11:11" ht="15" x14ac:dyDescent="0.25">
      <c r="K4254"/>
    </row>
    <row r="4255" spans="11:11" ht="15" x14ac:dyDescent="0.25">
      <c r="K4255"/>
    </row>
    <row r="4256" spans="11:11" ht="15" x14ac:dyDescent="0.25">
      <c r="K4256"/>
    </row>
    <row r="4257" spans="11:11" ht="15" x14ac:dyDescent="0.25">
      <c r="K4257"/>
    </row>
    <row r="4258" spans="11:11" ht="15" x14ac:dyDescent="0.25">
      <c r="K4258"/>
    </row>
    <row r="4259" spans="11:11" ht="15" x14ac:dyDescent="0.25">
      <c r="K4259"/>
    </row>
    <row r="4260" spans="11:11" ht="15" x14ac:dyDescent="0.25">
      <c r="K4260"/>
    </row>
    <row r="4261" spans="11:11" ht="15" x14ac:dyDescent="0.25">
      <c r="K4261"/>
    </row>
    <row r="4262" spans="11:11" ht="15" x14ac:dyDescent="0.25">
      <c r="K4262"/>
    </row>
    <row r="4263" spans="11:11" ht="15" x14ac:dyDescent="0.25">
      <c r="K4263"/>
    </row>
    <row r="4264" spans="11:11" ht="15" x14ac:dyDescent="0.25">
      <c r="K4264"/>
    </row>
    <row r="4265" spans="11:11" ht="15" x14ac:dyDescent="0.25">
      <c r="K4265"/>
    </row>
    <row r="4266" spans="11:11" ht="15" x14ac:dyDescent="0.25">
      <c r="K4266"/>
    </row>
    <row r="4267" spans="11:11" ht="15" x14ac:dyDescent="0.25">
      <c r="K4267"/>
    </row>
    <row r="4268" spans="11:11" ht="15" x14ac:dyDescent="0.25">
      <c r="K4268"/>
    </row>
    <row r="4269" spans="11:11" ht="15" x14ac:dyDescent="0.25">
      <c r="K4269"/>
    </row>
    <row r="4270" spans="11:11" ht="15" x14ac:dyDescent="0.25">
      <c r="K4270"/>
    </row>
    <row r="4271" spans="11:11" ht="15" x14ac:dyDescent="0.25">
      <c r="K4271"/>
    </row>
    <row r="4272" spans="11:11" ht="15" x14ac:dyDescent="0.25">
      <c r="K4272"/>
    </row>
    <row r="4273" spans="11:11" ht="15" x14ac:dyDescent="0.25">
      <c r="K4273"/>
    </row>
    <row r="4274" spans="11:11" ht="15" x14ac:dyDescent="0.25">
      <c r="K4274"/>
    </row>
    <row r="4275" spans="11:11" ht="15" x14ac:dyDescent="0.25">
      <c r="K4275"/>
    </row>
    <row r="4276" spans="11:11" ht="15" x14ac:dyDescent="0.25">
      <c r="K4276"/>
    </row>
    <row r="4277" spans="11:11" ht="15" x14ac:dyDescent="0.25">
      <c r="K4277"/>
    </row>
    <row r="4278" spans="11:11" ht="15" x14ac:dyDescent="0.25">
      <c r="K4278"/>
    </row>
    <row r="4279" spans="11:11" ht="15" x14ac:dyDescent="0.25">
      <c r="K4279"/>
    </row>
    <row r="4280" spans="11:11" ht="15" x14ac:dyDescent="0.25">
      <c r="K4280"/>
    </row>
    <row r="4281" spans="11:11" ht="15" x14ac:dyDescent="0.25">
      <c r="K4281"/>
    </row>
    <row r="4282" spans="11:11" ht="15" x14ac:dyDescent="0.25">
      <c r="K4282"/>
    </row>
    <row r="4283" spans="11:11" ht="15" x14ac:dyDescent="0.25">
      <c r="K4283"/>
    </row>
    <row r="4284" spans="11:11" ht="15" x14ac:dyDescent="0.25">
      <c r="K4284"/>
    </row>
    <row r="4285" spans="11:11" ht="15" x14ac:dyDescent="0.25">
      <c r="K4285"/>
    </row>
    <row r="4286" spans="11:11" ht="15" x14ac:dyDescent="0.25">
      <c r="K4286"/>
    </row>
    <row r="4287" spans="11:11" ht="15" x14ac:dyDescent="0.25">
      <c r="K4287"/>
    </row>
    <row r="4288" spans="11:11" ht="15" x14ac:dyDescent="0.25">
      <c r="K4288"/>
    </row>
    <row r="4289" spans="11:11" ht="15" x14ac:dyDescent="0.25">
      <c r="K4289"/>
    </row>
    <row r="4290" spans="11:11" ht="15" x14ac:dyDescent="0.25">
      <c r="K4290"/>
    </row>
    <row r="4291" spans="11:11" ht="15" x14ac:dyDescent="0.25">
      <c r="K4291"/>
    </row>
    <row r="4292" spans="11:11" ht="15" x14ac:dyDescent="0.25">
      <c r="K4292"/>
    </row>
    <row r="4293" spans="11:11" ht="15" x14ac:dyDescent="0.25">
      <c r="K4293"/>
    </row>
    <row r="4294" spans="11:11" ht="15" x14ac:dyDescent="0.25">
      <c r="K4294"/>
    </row>
    <row r="4295" spans="11:11" ht="15" x14ac:dyDescent="0.25">
      <c r="K4295"/>
    </row>
    <row r="4296" spans="11:11" ht="15" x14ac:dyDescent="0.25">
      <c r="K4296"/>
    </row>
    <row r="4297" spans="11:11" ht="15" x14ac:dyDescent="0.25">
      <c r="K4297"/>
    </row>
    <row r="4298" spans="11:11" ht="15" x14ac:dyDescent="0.25">
      <c r="K4298"/>
    </row>
    <row r="4299" spans="11:11" ht="15" x14ac:dyDescent="0.25">
      <c r="K4299"/>
    </row>
    <row r="4300" spans="11:11" ht="15" x14ac:dyDescent="0.25">
      <c r="K4300"/>
    </row>
    <row r="4301" spans="11:11" ht="15" x14ac:dyDescent="0.25">
      <c r="K4301"/>
    </row>
    <row r="4302" spans="11:11" ht="15" x14ac:dyDescent="0.25">
      <c r="K4302"/>
    </row>
    <row r="4303" spans="11:11" ht="15" x14ac:dyDescent="0.25">
      <c r="K4303"/>
    </row>
    <row r="4304" spans="11:11" ht="15" x14ac:dyDescent="0.25">
      <c r="K4304"/>
    </row>
    <row r="4305" spans="11:11" ht="15" x14ac:dyDescent="0.25">
      <c r="K4305"/>
    </row>
    <row r="4306" spans="11:11" ht="15" x14ac:dyDescent="0.25">
      <c r="K4306"/>
    </row>
    <row r="4307" spans="11:11" ht="15" x14ac:dyDescent="0.25">
      <c r="K4307"/>
    </row>
    <row r="4308" spans="11:11" ht="15" x14ac:dyDescent="0.25">
      <c r="K4308"/>
    </row>
    <row r="4309" spans="11:11" ht="15" x14ac:dyDescent="0.25">
      <c r="K4309"/>
    </row>
    <row r="4310" spans="11:11" ht="15" x14ac:dyDescent="0.25">
      <c r="K4310"/>
    </row>
    <row r="4311" spans="11:11" ht="15" x14ac:dyDescent="0.25">
      <c r="K4311"/>
    </row>
    <row r="4312" spans="11:11" ht="15" x14ac:dyDescent="0.25">
      <c r="K4312"/>
    </row>
    <row r="4313" spans="11:11" ht="15" x14ac:dyDescent="0.25">
      <c r="K4313"/>
    </row>
    <row r="4314" spans="11:11" ht="15" x14ac:dyDescent="0.25">
      <c r="K4314"/>
    </row>
    <row r="4315" spans="11:11" ht="15" x14ac:dyDescent="0.25">
      <c r="K4315"/>
    </row>
    <row r="4316" spans="11:11" ht="15" x14ac:dyDescent="0.25">
      <c r="K4316"/>
    </row>
    <row r="4317" spans="11:11" ht="15" x14ac:dyDescent="0.25">
      <c r="K4317"/>
    </row>
    <row r="4318" spans="11:11" ht="15" x14ac:dyDescent="0.25">
      <c r="K4318"/>
    </row>
    <row r="4319" spans="11:11" ht="15" x14ac:dyDescent="0.25">
      <c r="K4319"/>
    </row>
    <row r="4320" spans="11:11" ht="15" x14ac:dyDescent="0.25">
      <c r="K4320"/>
    </row>
    <row r="4321" spans="11:11" ht="15" x14ac:dyDescent="0.25">
      <c r="K4321"/>
    </row>
    <row r="4322" spans="11:11" ht="15" x14ac:dyDescent="0.25">
      <c r="K4322"/>
    </row>
    <row r="4323" spans="11:11" ht="15" x14ac:dyDescent="0.25">
      <c r="K4323"/>
    </row>
    <row r="4324" spans="11:11" ht="15" x14ac:dyDescent="0.25">
      <c r="K4324"/>
    </row>
    <row r="4325" spans="11:11" ht="15" x14ac:dyDescent="0.25">
      <c r="K4325"/>
    </row>
    <row r="4326" spans="11:11" ht="15" x14ac:dyDescent="0.25">
      <c r="K4326"/>
    </row>
    <row r="4327" spans="11:11" ht="15" x14ac:dyDescent="0.25">
      <c r="K4327"/>
    </row>
    <row r="4328" spans="11:11" ht="15" x14ac:dyDescent="0.25">
      <c r="K4328"/>
    </row>
    <row r="4329" spans="11:11" ht="15" x14ac:dyDescent="0.25">
      <c r="K4329"/>
    </row>
    <row r="4330" spans="11:11" ht="15" x14ac:dyDescent="0.25">
      <c r="K4330"/>
    </row>
    <row r="4331" spans="11:11" ht="15" x14ac:dyDescent="0.25">
      <c r="K4331"/>
    </row>
    <row r="4332" spans="11:11" ht="15" x14ac:dyDescent="0.25">
      <c r="K4332"/>
    </row>
    <row r="4333" spans="11:11" ht="15" x14ac:dyDescent="0.25">
      <c r="K4333"/>
    </row>
    <row r="4334" spans="11:11" ht="15" x14ac:dyDescent="0.25">
      <c r="K4334"/>
    </row>
    <row r="4335" spans="11:11" ht="15" x14ac:dyDescent="0.25">
      <c r="K4335"/>
    </row>
    <row r="4336" spans="11:11" ht="15" x14ac:dyDescent="0.25">
      <c r="K4336"/>
    </row>
    <row r="4337" spans="11:11" ht="15" x14ac:dyDescent="0.25">
      <c r="K4337"/>
    </row>
    <row r="4338" spans="11:11" ht="15" x14ac:dyDescent="0.25">
      <c r="K4338"/>
    </row>
    <row r="4339" spans="11:11" ht="15" x14ac:dyDescent="0.25">
      <c r="K4339"/>
    </row>
    <row r="4340" spans="11:11" ht="15" x14ac:dyDescent="0.25">
      <c r="K4340"/>
    </row>
    <row r="4341" spans="11:11" ht="15" x14ac:dyDescent="0.25">
      <c r="K4341"/>
    </row>
    <row r="4342" spans="11:11" ht="15" x14ac:dyDescent="0.25">
      <c r="K4342"/>
    </row>
    <row r="4343" spans="11:11" ht="15" x14ac:dyDescent="0.25">
      <c r="K4343"/>
    </row>
    <row r="4344" spans="11:11" ht="15" x14ac:dyDescent="0.25">
      <c r="K4344"/>
    </row>
    <row r="4345" spans="11:11" ht="15" x14ac:dyDescent="0.25">
      <c r="K4345"/>
    </row>
    <row r="4346" spans="11:11" ht="15" x14ac:dyDescent="0.25">
      <c r="K4346"/>
    </row>
    <row r="4347" spans="11:11" ht="15" x14ac:dyDescent="0.25">
      <c r="K4347"/>
    </row>
    <row r="4348" spans="11:11" ht="15" x14ac:dyDescent="0.25">
      <c r="K4348"/>
    </row>
    <row r="4349" spans="11:11" ht="15" x14ac:dyDescent="0.25">
      <c r="K4349"/>
    </row>
    <row r="4350" spans="11:11" ht="15" x14ac:dyDescent="0.25">
      <c r="K4350"/>
    </row>
    <row r="4351" spans="11:11" ht="15" x14ac:dyDescent="0.25">
      <c r="K4351"/>
    </row>
    <row r="4352" spans="11:11" ht="15" x14ac:dyDescent="0.25">
      <c r="K4352"/>
    </row>
    <row r="4353" spans="11:11" ht="15" x14ac:dyDescent="0.25">
      <c r="K4353"/>
    </row>
    <row r="4354" spans="11:11" ht="15" x14ac:dyDescent="0.25">
      <c r="K4354"/>
    </row>
    <row r="4355" spans="11:11" ht="15" x14ac:dyDescent="0.25">
      <c r="K4355"/>
    </row>
    <row r="4356" spans="11:11" ht="15" x14ac:dyDescent="0.25">
      <c r="K4356"/>
    </row>
    <row r="4357" spans="11:11" ht="15" x14ac:dyDescent="0.25">
      <c r="K4357"/>
    </row>
    <row r="4358" spans="11:11" ht="15" x14ac:dyDescent="0.25">
      <c r="K4358"/>
    </row>
    <row r="4359" spans="11:11" ht="15" x14ac:dyDescent="0.25">
      <c r="K4359"/>
    </row>
    <row r="4360" spans="11:11" ht="15" x14ac:dyDescent="0.25">
      <c r="K4360"/>
    </row>
    <row r="4361" spans="11:11" ht="15" x14ac:dyDescent="0.25">
      <c r="K4361"/>
    </row>
    <row r="4362" spans="11:11" ht="15" x14ac:dyDescent="0.25">
      <c r="K4362"/>
    </row>
    <row r="4363" spans="11:11" ht="15" x14ac:dyDescent="0.25">
      <c r="K4363"/>
    </row>
    <row r="4364" spans="11:11" ht="15" x14ac:dyDescent="0.25">
      <c r="K4364"/>
    </row>
    <row r="4365" spans="11:11" ht="15" x14ac:dyDescent="0.25">
      <c r="K4365"/>
    </row>
    <row r="4366" spans="11:11" ht="15" x14ac:dyDescent="0.25">
      <c r="K4366"/>
    </row>
    <row r="4367" spans="11:11" ht="15" x14ac:dyDescent="0.25">
      <c r="K4367"/>
    </row>
    <row r="4368" spans="11:11" ht="15" x14ac:dyDescent="0.25">
      <c r="K4368"/>
    </row>
    <row r="4369" spans="11:11" ht="15" x14ac:dyDescent="0.25">
      <c r="K4369"/>
    </row>
    <row r="4370" spans="11:11" ht="15" x14ac:dyDescent="0.25">
      <c r="K4370"/>
    </row>
    <row r="4371" spans="11:11" ht="15" x14ac:dyDescent="0.25">
      <c r="K4371"/>
    </row>
    <row r="4372" spans="11:11" ht="15" x14ac:dyDescent="0.25">
      <c r="K4372"/>
    </row>
    <row r="4373" spans="11:11" ht="15" x14ac:dyDescent="0.25">
      <c r="K4373"/>
    </row>
    <row r="4374" spans="11:11" ht="15" x14ac:dyDescent="0.25">
      <c r="K4374"/>
    </row>
    <row r="4375" spans="11:11" ht="15" x14ac:dyDescent="0.25">
      <c r="K4375"/>
    </row>
    <row r="4376" spans="11:11" ht="15" x14ac:dyDescent="0.25">
      <c r="K4376"/>
    </row>
    <row r="4377" spans="11:11" ht="15" x14ac:dyDescent="0.25">
      <c r="K4377"/>
    </row>
    <row r="4378" spans="11:11" ht="15" x14ac:dyDescent="0.25">
      <c r="K4378"/>
    </row>
    <row r="4379" spans="11:11" ht="15" x14ac:dyDescent="0.25">
      <c r="K4379"/>
    </row>
    <row r="4380" spans="11:11" ht="15" x14ac:dyDescent="0.25">
      <c r="K4380"/>
    </row>
    <row r="4381" spans="11:11" ht="15" x14ac:dyDescent="0.25">
      <c r="K4381"/>
    </row>
    <row r="4382" spans="11:11" ht="15" x14ac:dyDescent="0.25">
      <c r="K4382"/>
    </row>
    <row r="4383" spans="11:11" ht="15" x14ac:dyDescent="0.25">
      <c r="K4383"/>
    </row>
    <row r="4384" spans="11:11" ht="15" x14ac:dyDescent="0.25">
      <c r="K4384"/>
    </row>
    <row r="4385" spans="11:11" ht="15" x14ac:dyDescent="0.25">
      <c r="K4385"/>
    </row>
    <row r="4386" spans="11:11" ht="15" x14ac:dyDescent="0.25">
      <c r="K4386"/>
    </row>
    <row r="4387" spans="11:11" ht="15" x14ac:dyDescent="0.25">
      <c r="K4387"/>
    </row>
    <row r="4388" spans="11:11" ht="15" x14ac:dyDescent="0.25">
      <c r="K4388"/>
    </row>
    <row r="4389" spans="11:11" ht="15" x14ac:dyDescent="0.25">
      <c r="K4389"/>
    </row>
    <row r="4390" spans="11:11" ht="15" x14ac:dyDescent="0.25">
      <c r="K4390"/>
    </row>
    <row r="4391" spans="11:11" ht="15" x14ac:dyDescent="0.25">
      <c r="K4391"/>
    </row>
    <row r="4392" spans="11:11" ht="15" x14ac:dyDescent="0.25">
      <c r="K4392"/>
    </row>
    <row r="4393" spans="11:11" ht="15" x14ac:dyDescent="0.25">
      <c r="K4393"/>
    </row>
    <row r="4394" spans="11:11" ht="15" x14ac:dyDescent="0.25">
      <c r="K4394"/>
    </row>
    <row r="4395" spans="11:11" ht="15" x14ac:dyDescent="0.25">
      <c r="K4395"/>
    </row>
    <row r="4396" spans="11:11" ht="15" x14ac:dyDescent="0.25">
      <c r="K4396"/>
    </row>
    <row r="4397" spans="11:11" ht="15" x14ac:dyDescent="0.25">
      <c r="K4397"/>
    </row>
    <row r="4398" spans="11:11" ht="15" x14ac:dyDescent="0.25">
      <c r="K4398"/>
    </row>
    <row r="4399" spans="11:11" ht="15" x14ac:dyDescent="0.25">
      <c r="K4399"/>
    </row>
    <row r="4400" spans="11:11" ht="15" x14ac:dyDescent="0.25">
      <c r="K4400"/>
    </row>
    <row r="4401" spans="11:11" ht="15" x14ac:dyDescent="0.25">
      <c r="K4401"/>
    </row>
    <row r="4402" spans="11:11" ht="15" x14ac:dyDescent="0.25">
      <c r="K4402"/>
    </row>
    <row r="4403" spans="11:11" ht="15" x14ac:dyDescent="0.25">
      <c r="K4403"/>
    </row>
    <row r="4404" spans="11:11" ht="15" x14ac:dyDescent="0.25">
      <c r="K4404"/>
    </row>
    <row r="4405" spans="11:11" ht="15" x14ac:dyDescent="0.25">
      <c r="K4405"/>
    </row>
    <row r="4406" spans="11:11" ht="15" x14ac:dyDescent="0.25">
      <c r="K4406"/>
    </row>
    <row r="4407" spans="11:11" ht="15" x14ac:dyDescent="0.25">
      <c r="K4407"/>
    </row>
    <row r="4408" spans="11:11" ht="15" x14ac:dyDescent="0.25">
      <c r="K4408"/>
    </row>
    <row r="4409" spans="11:11" ht="15" x14ac:dyDescent="0.25">
      <c r="K4409"/>
    </row>
    <row r="4410" spans="11:11" ht="15" x14ac:dyDescent="0.25">
      <c r="K4410"/>
    </row>
    <row r="4411" spans="11:11" ht="15" x14ac:dyDescent="0.25">
      <c r="K4411"/>
    </row>
    <row r="4412" spans="11:11" ht="15" x14ac:dyDescent="0.25">
      <c r="K4412"/>
    </row>
    <row r="4413" spans="11:11" ht="15" x14ac:dyDescent="0.25">
      <c r="K4413"/>
    </row>
    <row r="4414" spans="11:11" ht="15" x14ac:dyDescent="0.25">
      <c r="K4414"/>
    </row>
    <row r="4415" spans="11:11" ht="15" x14ac:dyDescent="0.25">
      <c r="K4415"/>
    </row>
    <row r="4416" spans="11:11" ht="15" x14ac:dyDescent="0.25">
      <c r="K4416"/>
    </row>
    <row r="4417" spans="11:11" ht="15" x14ac:dyDescent="0.25">
      <c r="K4417"/>
    </row>
    <row r="4418" spans="11:11" ht="15" x14ac:dyDescent="0.25">
      <c r="K4418"/>
    </row>
    <row r="4419" spans="11:11" ht="15" x14ac:dyDescent="0.25">
      <c r="K4419"/>
    </row>
    <row r="4420" spans="11:11" ht="15" x14ac:dyDescent="0.25">
      <c r="K4420"/>
    </row>
    <row r="4421" spans="11:11" ht="15" x14ac:dyDescent="0.25">
      <c r="K4421"/>
    </row>
    <row r="4422" spans="11:11" ht="15" x14ac:dyDescent="0.25">
      <c r="K4422"/>
    </row>
    <row r="4423" spans="11:11" ht="15" x14ac:dyDescent="0.25">
      <c r="K4423"/>
    </row>
    <row r="4424" spans="11:11" ht="15" x14ac:dyDescent="0.25">
      <c r="K4424"/>
    </row>
    <row r="4425" spans="11:11" ht="15" x14ac:dyDescent="0.25">
      <c r="K4425"/>
    </row>
    <row r="4426" spans="11:11" ht="15" x14ac:dyDescent="0.25">
      <c r="K4426"/>
    </row>
    <row r="4427" spans="11:11" ht="15" x14ac:dyDescent="0.25">
      <c r="K4427"/>
    </row>
    <row r="4428" spans="11:11" ht="15" x14ac:dyDescent="0.25">
      <c r="K4428"/>
    </row>
    <row r="4429" spans="11:11" ht="15" x14ac:dyDescent="0.25">
      <c r="K4429"/>
    </row>
    <row r="4430" spans="11:11" ht="15" x14ac:dyDescent="0.25">
      <c r="K4430"/>
    </row>
    <row r="4431" spans="11:11" ht="15" x14ac:dyDescent="0.25">
      <c r="K4431"/>
    </row>
    <row r="4432" spans="11:11" ht="15" x14ac:dyDescent="0.25">
      <c r="K4432"/>
    </row>
    <row r="4433" spans="11:11" ht="15" x14ac:dyDescent="0.25">
      <c r="K4433"/>
    </row>
    <row r="4434" spans="11:11" ht="15" x14ac:dyDescent="0.25">
      <c r="K4434"/>
    </row>
    <row r="4435" spans="11:11" ht="15" x14ac:dyDescent="0.25">
      <c r="K4435"/>
    </row>
    <row r="4436" spans="11:11" ht="15" x14ac:dyDescent="0.25">
      <c r="K4436"/>
    </row>
    <row r="4437" spans="11:11" ht="15" x14ac:dyDescent="0.25">
      <c r="K4437"/>
    </row>
    <row r="4438" spans="11:11" ht="15" x14ac:dyDescent="0.25">
      <c r="K4438"/>
    </row>
    <row r="4439" spans="11:11" ht="15" x14ac:dyDescent="0.25">
      <c r="K4439"/>
    </row>
    <row r="4440" spans="11:11" ht="15" x14ac:dyDescent="0.25">
      <c r="K4440"/>
    </row>
    <row r="4441" spans="11:11" ht="15" x14ac:dyDescent="0.25">
      <c r="K4441"/>
    </row>
    <row r="4442" spans="11:11" ht="15" x14ac:dyDescent="0.25">
      <c r="K4442"/>
    </row>
    <row r="4443" spans="11:11" ht="15" x14ac:dyDescent="0.25">
      <c r="K4443"/>
    </row>
    <row r="4444" spans="11:11" ht="15" x14ac:dyDescent="0.25">
      <c r="K4444"/>
    </row>
    <row r="4445" spans="11:11" ht="15" x14ac:dyDescent="0.25">
      <c r="K4445"/>
    </row>
    <row r="4446" spans="11:11" ht="15" x14ac:dyDescent="0.25">
      <c r="K4446"/>
    </row>
    <row r="4447" spans="11:11" ht="15" x14ac:dyDescent="0.25">
      <c r="K4447"/>
    </row>
    <row r="4448" spans="11:11" ht="15" x14ac:dyDescent="0.25">
      <c r="K4448"/>
    </row>
    <row r="4449" spans="11:11" ht="15" x14ac:dyDescent="0.25">
      <c r="K4449"/>
    </row>
    <row r="4450" spans="11:11" ht="15" x14ac:dyDescent="0.25">
      <c r="K4450"/>
    </row>
    <row r="4451" spans="11:11" ht="15" x14ac:dyDescent="0.25">
      <c r="K4451"/>
    </row>
    <row r="4452" spans="11:11" ht="15" x14ac:dyDescent="0.25">
      <c r="K4452"/>
    </row>
    <row r="4453" spans="11:11" ht="15" x14ac:dyDescent="0.25">
      <c r="K4453"/>
    </row>
    <row r="4454" spans="11:11" ht="15" x14ac:dyDescent="0.25">
      <c r="K4454"/>
    </row>
    <row r="4455" spans="11:11" ht="15" x14ac:dyDescent="0.25">
      <c r="K4455"/>
    </row>
    <row r="4456" spans="11:11" ht="15" x14ac:dyDescent="0.25">
      <c r="K4456"/>
    </row>
    <row r="4457" spans="11:11" ht="15" x14ac:dyDescent="0.25">
      <c r="K4457"/>
    </row>
    <row r="4458" spans="11:11" ht="15" x14ac:dyDescent="0.25">
      <c r="K4458"/>
    </row>
    <row r="4459" spans="11:11" ht="15" x14ac:dyDescent="0.25">
      <c r="K4459"/>
    </row>
    <row r="4460" spans="11:11" ht="15" x14ac:dyDescent="0.25">
      <c r="K4460"/>
    </row>
    <row r="4461" spans="11:11" ht="15" x14ac:dyDescent="0.25">
      <c r="K4461"/>
    </row>
    <row r="4462" spans="11:11" ht="15" x14ac:dyDescent="0.25">
      <c r="K4462"/>
    </row>
    <row r="4463" spans="11:11" ht="15" x14ac:dyDescent="0.25">
      <c r="K4463"/>
    </row>
    <row r="4464" spans="11:11" ht="15" x14ac:dyDescent="0.25">
      <c r="K4464"/>
    </row>
    <row r="4465" spans="11:11" ht="15" x14ac:dyDescent="0.25">
      <c r="K4465"/>
    </row>
    <row r="4466" spans="11:11" ht="15" x14ac:dyDescent="0.25">
      <c r="K4466"/>
    </row>
    <row r="4467" spans="11:11" ht="15" x14ac:dyDescent="0.25">
      <c r="K4467"/>
    </row>
    <row r="4468" spans="11:11" ht="15" x14ac:dyDescent="0.25">
      <c r="K4468"/>
    </row>
    <row r="4469" spans="11:11" ht="15" x14ac:dyDescent="0.25">
      <c r="K4469"/>
    </row>
    <row r="4470" spans="11:11" ht="15" x14ac:dyDescent="0.25">
      <c r="K4470"/>
    </row>
    <row r="4471" spans="11:11" ht="15" x14ac:dyDescent="0.25">
      <c r="K4471"/>
    </row>
    <row r="4472" spans="11:11" ht="15" x14ac:dyDescent="0.25">
      <c r="K4472"/>
    </row>
    <row r="4473" spans="11:11" ht="15" x14ac:dyDescent="0.25">
      <c r="K4473"/>
    </row>
    <row r="4474" spans="11:11" ht="15" x14ac:dyDescent="0.25">
      <c r="K4474"/>
    </row>
    <row r="4475" spans="11:11" ht="15" x14ac:dyDescent="0.25">
      <c r="K4475"/>
    </row>
    <row r="4476" spans="11:11" ht="15" x14ac:dyDescent="0.25">
      <c r="K4476"/>
    </row>
    <row r="4477" spans="11:11" ht="15" x14ac:dyDescent="0.25">
      <c r="K4477"/>
    </row>
    <row r="4478" spans="11:11" ht="15" x14ac:dyDescent="0.25">
      <c r="K4478"/>
    </row>
    <row r="4479" spans="11:11" ht="15" x14ac:dyDescent="0.25">
      <c r="K4479"/>
    </row>
    <row r="4480" spans="11:11" ht="15" x14ac:dyDescent="0.25">
      <c r="K4480"/>
    </row>
    <row r="4481" spans="11:11" ht="15" x14ac:dyDescent="0.25">
      <c r="K4481"/>
    </row>
    <row r="4482" spans="11:11" ht="15" x14ac:dyDescent="0.25">
      <c r="K4482"/>
    </row>
    <row r="4483" spans="11:11" ht="15" x14ac:dyDescent="0.25">
      <c r="K4483"/>
    </row>
    <row r="4484" spans="11:11" ht="15" x14ac:dyDescent="0.25">
      <c r="K4484"/>
    </row>
    <row r="4485" spans="11:11" ht="15" x14ac:dyDescent="0.25">
      <c r="K4485"/>
    </row>
    <row r="4486" spans="11:11" ht="15" x14ac:dyDescent="0.25">
      <c r="K4486"/>
    </row>
    <row r="4487" spans="11:11" ht="15" x14ac:dyDescent="0.25">
      <c r="K4487"/>
    </row>
    <row r="4488" spans="11:11" ht="15" x14ac:dyDescent="0.25">
      <c r="K4488"/>
    </row>
    <row r="4489" spans="11:11" ht="15" x14ac:dyDescent="0.25">
      <c r="K4489"/>
    </row>
    <row r="4490" spans="11:11" ht="15" x14ac:dyDescent="0.25">
      <c r="K4490"/>
    </row>
    <row r="4491" spans="11:11" ht="15" x14ac:dyDescent="0.25">
      <c r="K4491"/>
    </row>
    <row r="4492" spans="11:11" ht="15" x14ac:dyDescent="0.25">
      <c r="K4492"/>
    </row>
    <row r="4493" spans="11:11" ht="15" x14ac:dyDescent="0.25">
      <c r="K4493"/>
    </row>
    <row r="4494" spans="11:11" ht="15" x14ac:dyDescent="0.25">
      <c r="K4494"/>
    </row>
    <row r="4495" spans="11:11" ht="15" x14ac:dyDescent="0.25">
      <c r="K4495"/>
    </row>
    <row r="4496" spans="11:11" ht="15" x14ac:dyDescent="0.25">
      <c r="K4496"/>
    </row>
    <row r="4497" spans="11:11" ht="15" x14ac:dyDescent="0.25">
      <c r="K4497"/>
    </row>
    <row r="4498" spans="11:11" ht="15" x14ac:dyDescent="0.25">
      <c r="K4498"/>
    </row>
    <row r="4499" spans="11:11" ht="15" x14ac:dyDescent="0.25">
      <c r="K4499"/>
    </row>
    <row r="4500" spans="11:11" ht="15" x14ac:dyDescent="0.25">
      <c r="K4500"/>
    </row>
    <row r="4501" spans="11:11" ht="15" x14ac:dyDescent="0.25">
      <c r="K4501"/>
    </row>
    <row r="4502" spans="11:11" ht="15" x14ac:dyDescent="0.25">
      <c r="K4502"/>
    </row>
    <row r="4503" spans="11:11" ht="15" x14ac:dyDescent="0.25">
      <c r="K4503"/>
    </row>
    <row r="4504" spans="11:11" ht="15" x14ac:dyDescent="0.25">
      <c r="K4504"/>
    </row>
    <row r="4505" spans="11:11" ht="15" x14ac:dyDescent="0.25">
      <c r="K4505"/>
    </row>
    <row r="4506" spans="11:11" ht="15" x14ac:dyDescent="0.25">
      <c r="K4506"/>
    </row>
    <row r="4507" spans="11:11" ht="15" x14ac:dyDescent="0.25">
      <c r="K4507"/>
    </row>
    <row r="4508" spans="11:11" ht="15" x14ac:dyDescent="0.25">
      <c r="K4508"/>
    </row>
    <row r="4509" spans="11:11" ht="15" x14ac:dyDescent="0.25">
      <c r="K4509"/>
    </row>
    <row r="4510" spans="11:11" ht="15" x14ac:dyDescent="0.25">
      <c r="K4510"/>
    </row>
    <row r="4511" spans="11:11" ht="15" x14ac:dyDescent="0.25">
      <c r="K4511"/>
    </row>
    <row r="4512" spans="11:11" ht="15" x14ac:dyDescent="0.25">
      <c r="K4512"/>
    </row>
    <row r="4513" spans="11:11" ht="15" x14ac:dyDescent="0.25">
      <c r="K4513"/>
    </row>
    <row r="4514" spans="11:11" ht="15" x14ac:dyDescent="0.25">
      <c r="K4514"/>
    </row>
    <row r="4515" spans="11:11" ht="15" x14ac:dyDescent="0.25">
      <c r="K4515"/>
    </row>
    <row r="4516" spans="11:11" ht="15" x14ac:dyDescent="0.25">
      <c r="K4516"/>
    </row>
    <row r="4517" spans="11:11" ht="15" x14ac:dyDescent="0.25">
      <c r="K4517"/>
    </row>
    <row r="4518" spans="11:11" ht="15" x14ac:dyDescent="0.25">
      <c r="K4518"/>
    </row>
    <row r="4519" spans="11:11" ht="15" x14ac:dyDescent="0.25">
      <c r="K4519"/>
    </row>
    <row r="4520" spans="11:11" ht="15" x14ac:dyDescent="0.25">
      <c r="K4520"/>
    </row>
    <row r="4521" spans="11:11" ht="15" x14ac:dyDescent="0.25">
      <c r="K4521"/>
    </row>
    <row r="4522" spans="11:11" ht="15" x14ac:dyDescent="0.25">
      <c r="K4522"/>
    </row>
    <row r="4523" spans="11:11" ht="15" x14ac:dyDescent="0.25">
      <c r="K4523"/>
    </row>
    <row r="4524" spans="11:11" ht="15" x14ac:dyDescent="0.25">
      <c r="K4524"/>
    </row>
    <row r="4525" spans="11:11" ht="15" x14ac:dyDescent="0.25">
      <c r="K4525"/>
    </row>
    <row r="4526" spans="11:11" ht="15" x14ac:dyDescent="0.25">
      <c r="K4526"/>
    </row>
    <row r="4527" spans="11:11" ht="15" x14ac:dyDescent="0.25">
      <c r="K4527"/>
    </row>
    <row r="4528" spans="11:11" ht="15" x14ac:dyDescent="0.25">
      <c r="K4528"/>
    </row>
    <row r="4529" spans="11:11" ht="15" x14ac:dyDescent="0.25">
      <c r="K4529"/>
    </row>
    <row r="4530" spans="11:11" ht="15" x14ac:dyDescent="0.25">
      <c r="K4530"/>
    </row>
    <row r="4531" spans="11:11" ht="15" x14ac:dyDescent="0.25">
      <c r="K4531"/>
    </row>
    <row r="4532" spans="11:11" ht="15" x14ac:dyDescent="0.25">
      <c r="K4532"/>
    </row>
    <row r="4533" spans="11:11" ht="15" x14ac:dyDescent="0.25">
      <c r="K4533"/>
    </row>
    <row r="4534" spans="11:11" ht="15" x14ac:dyDescent="0.25">
      <c r="K4534"/>
    </row>
    <row r="4535" spans="11:11" ht="15" x14ac:dyDescent="0.25">
      <c r="K4535"/>
    </row>
    <row r="4536" spans="11:11" ht="15" x14ac:dyDescent="0.25">
      <c r="K4536"/>
    </row>
    <row r="4537" spans="11:11" ht="15" x14ac:dyDescent="0.25">
      <c r="K4537"/>
    </row>
    <row r="4538" spans="11:11" ht="15" x14ac:dyDescent="0.25">
      <c r="K4538"/>
    </row>
    <row r="4539" spans="11:11" ht="15" x14ac:dyDescent="0.25">
      <c r="K4539"/>
    </row>
    <row r="4540" spans="11:11" ht="15" x14ac:dyDescent="0.25">
      <c r="K4540"/>
    </row>
    <row r="4541" spans="11:11" ht="15" x14ac:dyDescent="0.25">
      <c r="K4541"/>
    </row>
    <row r="4542" spans="11:11" ht="15" x14ac:dyDescent="0.25">
      <c r="K4542"/>
    </row>
    <row r="4543" spans="11:11" ht="15" x14ac:dyDescent="0.25">
      <c r="K4543"/>
    </row>
    <row r="4544" spans="11:11" ht="15" x14ac:dyDescent="0.25">
      <c r="K4544"/>
    </row>
    <row r="4545" spans="11:11" ht="15" x14ac:dyDescent="0.25">
      <c r="K4545"/>
    </row>
    <row r="4546" spans="11:11" ht="15" x14ac:dyDescent="0.25">
      <c r="K4546"/>
    </row>
    <row r="4547" spans="11:11" ht="15" x14ac:dyDescent="0.25">
      <c r="K4547"/>
    </row>
    <row r="4548" spans="11:11" ht="15" x14ac:dyDescent="0.25">
      <c r="K4548"/>
    </row>
    <row r="4549" spans="11:11" ht="15" x14ac:dyDescent="0.25">
      <c r="K4549"/>
    </row>
    <row r="4550" spans="11:11" ht="15" x14ac:dyDescent="0.25">
      <c r="K4550"/>
    </row>
    <row r="4551" spans="11:11" ht="15" x14ac:dyDescent="0.25">
      <c r="K4551"/>
    </row>
    <row r="4552" spans="11:11" ht="15" x14ac:dyDescent="0.25">
      <c r="K4552"/>
    </row>
    <row r="4553" spans="11:11" ht="15" x14ac:dyDescent="0.25">
      <c r="K4553"/>
    </row>
    <row r="4554" spans="11:11" ht="15" x14ac:dyDescent="0.25">
      <c r="K4554"/>
    </row>
    <row r="4555" spans="11:11" ht="15" x14ac:dyDescent="0.25">
      <c r="K4555"/>
    </row>
    <row r="4556" spans="11:11" ht="15" x14ac:dyDescent="0.25">
      <c r="K4556"/>
    </row>
    <row r="4557" spans="11:11" ht="15" x14ac:dyDescent="0.25">
      <c r="K4557"/>
    </row>
    <row r="4558" spans="11:11" ht="15" x14ac:dyDescent="0.25">
      <c r="K4558"/>
    </row>
    <row r="4559" spans="11:11" ht="15" x14ac:dyDescent="0.25">
      <c r="K4559"/>
    </row>
    <row r="4560" spans="11:11" ht="15" x14ac:dyDescent="0.25">
      <c r="K4560"/>
    </row>
    <row r="4561" spans="11:11" ht="15" x14ac:dyDescent="0.25">
      <c r="K4561"/>
    </row>
    <row r="4562" spans="11:11" ht="15" x14ac:dyDescent="0.25">
      <c r="K4562"/>
    </row>
    <row r="4563" spans="11:11" ht="15" x14ac:dyDescent="0.25">
      <c r="K4563"/>
    </row>
    <row r="4564" spans="11:11" ht="15" x14ac:dyDescent="0.25">
      <c r="K4564"/>
    </row>
    <row r="4565" spans="11:11" ht="15" x14ac:dyDescent="0.25">
      <c r="K4565"/>
    </row>
    <row r="4566" spans="11:11" ht="15" x14ac:dyDescent="0.25">
      <c r="K4566"/>
    </row>
    <row r="4567" spans="11:11" ht="15" x14ac:dyDescent="0.25">
      <c r="K4567"/>
    </row>
    <row r="4568" spans="11:11" ht="15" x14ac:dyDescent="0.25">
      <c r="K4568"/>
    </row>
    <row r="4569" spans="11:11" ht="15" x14ac:dyDescent="0.25">
      <c r="K4569"/>
    </row>
    <row r="4570" spans="11:11" ht="15" x14ac:dyDescent="0.25">
      <c r="K4570"/>
    </row>
    <row r="4571" spans="11:11" ht="15" x14ac:dyDescent="0.25">
      <c r="K4571"/>
    </row>
    <row r="4572" spans="11:11" ht="15" x14ac:dyDescent="0.25">
      <c r="K4572"/>
    </row>
    <row r="4573" spans="11:11" ht="15" x14ac:dyDescent="0.25">
      <c r="K4573"/>
    </row>
    <row r="4574" spans="11:11" ht="15" x14ac:dyDescent="0.25">
      <c r="K4574"/>
    </row>
    <row r="4575" spans="11:11" ht="15" x14ac:dyDescent="0.25">
      <c r="K4575"/>
    </row>
    <row r="4576" spans="11:11" ht="15" x14ac:dyDescent="0.25">
      <c r="K4576"/>
    </row>
    <row r="4577" spans="11:11" ht="15" x14ac:dyDescent="0.25">
      <c r="K4577"/>
    </row>
    <row r="4578" spans="11:11" ht="15" x14ac:dyDescent="0.25">
      <c r="K4578"/>
    </row>
    <row r="4579" spans="11:11" ht="15" x14ac:dyDescent="0.25">
      <c r="K4579"/>
    </row>
    <row r="4580" spans="11:11" ht="15" x14ac:dyDescent="0.25">
      <c r="K4580"/>
    </row>
    <row r="4581" spans="11:11" ht="15" x14ac:dyDescent="0.25">
      <c r="K4581"/>
    </row>
    <row r="4582" spans="11:11" ht="15" x14ac:dyDescent="0.25">
      <c r="K4582"/>
    </row>
    <row r="4583" spans="11:11" ht="15" x14ac:dyDescent="0.25">
      <c r="K4583"/>
    </row>
    <row r="4584" spans="11:11" ht="15" x14ac:dyDescent="0.25">
      <c r="K4584"/>
    </row>
    <row r="4585" spans="11:11" ht="15" x14ac:dyDescent="0.25">
      <c r="K4585"/>
    </row>
    <row r="4586" spans="11:11" ht="15" x14ac:dyDescent="0.25">
      <c r="K4586"/>
    </row>
    <row r="4587" spans="11:11" ht="15" x14ac:dyDescent="0.25">
      <c r="K4587"/>
    </row>
    <row r="4588" spans="11:11" ht="15" x14ac:dyDescent="0.25">
      <c r="K4588"/>
    </row>
    <row r="4589" spans="11:11" ht="15" x14ac:dyDescent="0.25">
      <c r="K4589"/>
    </row>
    <row r="4590" spans="11:11" ht="15" x14ac:dyDescent="0.25">
      <c r="K4590"/>
    </row>
    <row r="4591" spans="11:11" ht="15" x14ac:dyDescent="0.25">
      <c r="K4591"/>
    </row>
    <row r="4592" spans="11:11" ht="15" x14ac:dyDescent="0.25">
      <c r="K4592"/>
    </row>
    <row r="4593" spans="11:11" ht="15" x14ac:dyDescent="0.25">
      <c r="K4593"/>
    </row>
    <row r="4594" spans="11:11" ht="15" x14ac:dyDescent="0.25">
      <c r="K4594"/>
    </row>
    <row r="4595" spans="11:11" ht="15" x14ac:dyDescent="0.25">
      <c r="K4595"/>
    </row>
    <row r="4596" spans="11:11" ht="15" x14ac:dyDescent="0.25">
      <c r="K4596"/>
    </row>
    <row r="4597" spans="11:11" ht="15" x14ac:dyDescent="0.25">
      <c r="K4597"/>
    </row>
    <row r="4598" spans="11:11" ht="15" x14ac:dyDescent="0.25">
      <c r="K4598"/>
    </row>
    <row r="4599" spans="11:11" ht="15" x14ac:dyDescent="0.25">
      <c r="K4599"/>
    </row>
    <row r="4600" spans="11:11" ht="15" x14ac:dyDescent="0.25">
      <c r="K4600"/>
    </row>
    <row r="4601" spans="11:11" ht="15" x14ac:dyDescent="0.25">
      <c r="K4601"/>
    </row>
    <row r="4602" spans="11:11" ht="15" x14ac:dyDescent="0.25">
      <c r="K4602"/>
    </row>
    <row r="4603" spans="11:11" ht="15" x14ac:dyDescent="0.25">
      <c r="K4603"/>
    </row>
    <row r="4604" spans="11:11" ht="15" x14ac:dyDescent="0.25">
      <c r="K4604"/>
    </row>
    <row r="4605" spans="11:11" ht="15" x14ac:dyDescent="0.25">
      <c r="K4605"/>
    </row>
    <row r="4606" spans="11:11" ht="15" x14ac:dyDescent="0.25">
      <c r="K4606"/>
    </row>
    <row r="4607" spans="11:11" ht="15" x14ac:dyDescent="0.25">
      <c r="K4607"/>
    </row>
    <row r="4608" spans="11:11" ht="15" x14ac:dyDescent="0.25">
      <c r="K4608"/>
    </row>
    <row r="4609" spans="11:11" ht="15" x14ac:dyDescent="0.25">
      <c r="K4609"/>
    </row>
    <row r="4610" spans="11:11" ht="15" x14ac:dyDescent="0.25">
      <c r="K4610"/>
    </row>
    <row r="4611" spans="11:11" ht="15" x14ac:dyDescent="0.25">
      <c r="K4611"/>
    </row>
    <row r="4612" spans="11:11" ht="15" x14ac:dyDescent="0.25">
      <c r="K4612"/>
    </row>
    <row r="4613" spans="11:11" ht="15" x14ac:dyDescent="0.25">
      <c r="K4613"/>
    </row>
    <row r="4614" spans="11:11" ht="15" x14ac:dyDescent="0.25">
      <c r="K4614"/>
    </row>
    <row r="4615" spans="11:11" ht="15" x14ac:dyDescent="0.25">
      <c r="K4615"/>
    </row>
    <row r="4616" spans="11:11" ht="15" x14ac:dyDescent="0.25">
      <c r="K4616"/>
    </row>
    <row r="4617" spans="11:11" ht="15" x14ac:dyDescent="0.25">
      <c r="K4617"/>
    </row>
    <row r="4618" spans="11:11" ht="15" x14ac:dyDescent="0.25">
      <c r="K4618"/>
    </row>
    <row r="4619" spans="11:11" ht="15" x14ac:dyDescent="0.25">
      <c r="K4619"/>
    </row>
    <row r="4620" spans="11:11" ht="15" x14ac:dyDescent="0.25">
      <c r="K4620"/>
    </row>
    <row r="4621" spans="11:11" ht="15" x14ac:dyDescent="0.25">
      <c r="K4621"/>
    </row>
    <row r="4622" spans="11:11" ht="15" x14ac:dyDescent="0.25">
      <c r="K4622"/>
    </row>
    <row r="4623" spans="11:11" ht="15" x14ac:dyDescent="0.25">
      <c r="K4623"/>
    </row>
    <row r="4624" spans="11:11" ht="15" x14ac:dyDescent="0.25">
      <c r="K4624"/>
    </row>
    <row r="4625" spans="11:11" ht="15" x14ac:dyDescent="0.25">
      <c r="K4625"/>
    </row>
    <row r="4626" spans="11:11" ht="15" x14ac:dyDescent="0.25">
      <c r="K4626"/>
    </row>
    <row r="4627" spans="11:11" ht="15" x14ac:dyDescent="0.25">
      <c r="K4627"/>
    </row>
    <row r="4628" spans="11:11" ht="15" x14ac:dyDescent="0.25">
      <c r="K4628"/>
    </row>
    <row r="4629" spans="11:11" ht="15" x14ac:dyDescent="0.25">
      <c r="K4629"/>
    </row>
    <row r="4630" spans="11:11" ht="15" x14ac:dyDescent="0.25">
      <c r="K4630"/>
    </row>
    <row r="4631" spans="11:11" ht="15" x14ac:dyDescent="0.25">
      <c r="K4631"/>
    </row>
    <row r="4632" spans="11:11" ht="15" x14ac:dyDescent="0.25">
      <c r="K4632"/>
    </row>
    <row r="4633" spans="11:11" ht="15" x14ac:dyDescent="0.25">
      <c r="K4633"/>
    </row>
    <row r="4634" spans="11:11" ht="15" x14ac:dyDescent="0.25">
      <c r="K4634"/>
    </row>
    <row r="4635" spans="11:11" ht="15" x14ac:dyDescent="0.25">
      <c r="K4635"/>
    </row>
    <row r="4636" spans="11:11" ht="15" x14ac:dyDescent="0.25">
      <c r="K4636"/>
    </row>
    <row r="4637" spans="11:11" ht="15" x14ac:dyDescent="0.25">
      <c r="K4637"/>
    </row>
    <row r="4638" spans="11:11" ht="15" x14ac:dyDescent="0.25">
      <c r="K4638"/>
    </row>
    <row r="4639" spans="11:11" ht="15" x14ac:dyDescent="0.25">
      <c r="K4639"/>
    </row>
    <row r="4640" spans="11:11" ht="15" x14ac:dyDescent="0.25">
      <c r="K4640"/>
    </row>
    <row r="4641" spans="11:11" ht="15" x14ac:dyDescent="0.25">
      <c r="K4641"/>
    </row>
    <row r="4642" spans="11:11" ht="15" x14ac:dyDescent="0.25">
      <c r="K4642"/>
    </row>
    <row r="4643" spans="11:11" ht="15" x14ac:dyDescent="0.25">
      <c r="K4643"/>
    </row>
    <row r="4644" spans="11:11" ht="15" x14ac:dyDescent="0.25">
      <c r="K4644"/>
    </row>
    <row r="4645" spans="11:11" ht="15" x14ac:dyDescent="0.25">
      <c r="K4645"/>
    </row>
    <row r="4646" spans="11:11" ht="15" x14ac:dyDescent="0.25">
      <c r="K4646"/>
    </row>
    <row r="4647" spans="11:11" ht="15" x14ac:dyDescent="0.25">
      <c r="K4647"/>
    </row>
    <row r="4648" spans="11:11" ht="15" x14ac:dyDescent="0.25">
      <c r="K4648"/>
    </row>
    <row r="4649" spans="11:11" ht="15" x14ac:dyDescent="0.25">
      <c r="K4649"/>
    </row>
    <row r="4650" spans="11:11" ht="15" x14ac:dyDescent="0.25">
      <c r="K4650"/>
    </row>
    <row r="4651" spans="11:11" ht="15" x14ac:dyDescent="0.25">
      <c r="K4651"/>
    </row>
    <row r="4652" spans="11:11" ht="15" x14ac:dyDescent="0.25">
      <c r="K4652"/>
    </row>
    <row r="4653" spans="11:11" ht="15" x14ac:dyDescent="0.25">
      <c r="K4653"/>
    </row>
    <row r="4654" spans="11:11" ht="15" x14ac:dyDescent="0.25">
      <c r="K4654"/>
    </row>
    <row r="4655" spans="11:11" ht="15" x14ac:dyDescent="0.25">
      <c r="K4655"/>
    </row>
    <row r="4656" spans="11:11" ht="15" x14ac:dyDescent="0.25">
      <c r="K4656"/>
    </row>
    <row r="4657" spans="11:11" ht="15" x14ac:dyDescent="0.25">
      <c r="K4657"/>
    </row>
    <row r="4658" spans="11:11" ht="15" x14ac:dyDescent="0.25">
      <c r="K4658"/>
    </row>
    <row r="4659" spans="11:11" ht="15" x14ac:dyDescent="0.25">
      <c r="K4659"/>
    </row>
    <row r="4660" spans="11:11" ht="15" x14ac:dyDescent="0.25">
      <c r="K4660"/>
    </row>
    <row r="4661" spans="11:11" ht="15" x14ac:dyDescent="0.25">
      <c r="K4661"/>
    </row>
    <row r="4662" spans="11:11" ht="15" x14ac:dyDescent="0.25">
      <c r="K4662"/>
    </row>
    <row r="4663" spans="11:11" ht="15" x14ac:dyDescent="0.25">
      <c r="K4663"/>
    </row>
    <row r="4664" spans="11:11" ht="15" x14ac:dyDescent="0.25">
      <c r="K4664"/>
    </row>
    <row r="4665" spans="11:11" ht="15" x14ac:dyDescent="0.25">
      <c r="K4665"/>
    </row>
    <row r="4666" spans="11:11" ht="15" x14ac:dyDescent="0.25">
      <c r="K4666"/>
    </row>
    <row r="4667" spans="11:11" ht="15" x14ac:dyDescent="0.25">
      <c r="K4667"/>
    </row>
    <row r="4668" spans="11:11" ht="15" x14ac:dyDescent="0.25">
      <c r="K4668"/>
    </row>
    <row r="4669" spans="11:11" ht="15" x14ac:dyDescent="0.25">
      <c r="K4669"/>
    </row>
    <row r="4670" spans="11:11" ht="15" x14ac:dyDescent="0.25">
      <c r="K4670"/>
    </row>
    <row r="4671" spans="11:11" ht="15" x14ac:dyDescent="0.25">
      <c r="K4671"/>
    </row>
    <row r="4672" spans="11:11" ht="15" x14ac:dyDescent="0.25">
      <c r="K4672"/>
    </row>
    <row r="4673" spans="11:11" ht="15" x14ac:dyDescent="0.25">
      <c r="K4673"/>
    </row>
    <row r="4674" spans="11:11" ht="15" x14ac:dyDescent="0.25">
      <c r="K4674"/>
    </row>
    <row r="4675" spans="11:11" ht="15" x14ac:dyDescent="0.25">
      <c r="K4675"/>
    </row>
    <row r="4676" spans="11:11" ht="15" x14ac:dyDescent="0.25">
      <c r="K4676"/>
    </row>
    <row r="4677" spans="11:11" ht="15" x14ac:dyDescent="0.25">
      <c r="K4677"/>
    </row>
    <row r="4678" spans="11:11" ht="15" x14ac:dyDescent="0.25">
      <c r="K4678"/>
    </row>
    <row r="4679" spans="11:11" ht="15" x14ac:dyDescent="0.25">
      <c r="K4679"/>
    </row>
    <row r="4680" spans="11:11" ht="15" x14ac:dyDescent="0.25">
      <c r="K4680"/>
    </row>
    <row r="4681" spans="11:11" ht="15" x14ac:dyDescent="0.25">
      <c r="K4681"/>
    </row>
    <row r="4682" spans="11:11" ht="15" x14ac:dyDescent="0.25">
      <c r="K4682"/>
    </row>
    <row r="4683" spans="11:11" ht="15" x14ac:dyDescent="0.25">
      <c r="K4683"/>
    </row>
    <row r="4684" spans="11:11" ht="15" x14ac:dyDescent="0.25">
      <c r="K4684"/>
    </row>
    <row r="4685" spans="11:11" ht="15" x14ac:dyDescent="0.25">
      <c r="K4685"/>
    </row>
    <row r="4686" spans="11:11" ht="15" x14ac:dyDescent="0.25">
      <c r="K4686"/>
    </row>
    <row r="4687" spans="11:11" ht="15" x14ac:dyDescent="0.25">
      <c r="K4687"/>
    </row>
    <row r="4688" spans="11:11" ht="15" x14ac:dyDescent="0.25">
      <c r="K4688"/>
    </row>
    <row r="4689" spans="11:11" ht="15" x14ac:dyDescent="0.25">
      <c r="K4689"/>
    </row>
    <row r="4690" spans="11:11" ht="15" x14ac:dyDescent="0.25">
      <c r="K4690"/>
    </row>
    <row r="4691" spans="11:11" ht="15" x14ac:dyDescent="0.25">
      <c r="K4691"/>
    </row>
    <row r="4692" spans="11:11" ht="15" x14ac:dyDescent="0.25">
      <c r="K4692"/>
    </row>
    <row r="4693" spans="11:11" ht="15" x14ac:dyDescent="0.25">
      <c r="K4693"/>
    </row>
    <row r="4694" spans="11:11" ht="15" x14ac:dyDescent="0.25">
      <c r="K4694"/>
    </row>
    <row r="4695" spans="11:11" ht="15" x14ac:dyDescent="0.25">
      <c r="K4695"/>
    </row>
    <row r="4696" spans="11:11" ht="15" x14ac:dyDescent="0.25">
      <c r="K4696"/>
    </row>
    <row r="4697" spans="11:11" ht="15" x14ac:dyDescent="0.25">
      <c r="K4697"/>
    </row>
    <row r="4698" spans="11:11" ht="15" x14ac:dyDescent="0.25">
      <c r="K4698"/>
    </row>
    <row r="4699" spans="11:11" ht="15" x14ac:dyDescent="0.25">
      <c r="K4699"/>
    </row>
    <row r="4700" spans="11:11" ht="15" x14ac:dyDescent="0.25">
      <c r="K4700"/>
    </row>
    <row r="4701" spans="11:11" ht="15" x14ac:dyDescent="0.25">
      <c r="K4701"/>
    </row>
    <row r="4702" spans="11:11" ht="15" x14ac:dyDescent="0.25">
      <c r="K4702"/>
    </row>
    <row r="4703" spans="11:11" ht="15" x14ac:dyDescent="0.25">
      <c r="K4703"/>
    </row>
    <row r="4704" spans="11:11" ht="15" x14ac:dyDescent="0.25">
      <c r="K4704"/>
    </row>
    <row r="4705" spans="11:11" ht="15" x14ac:dyDescent="0.25">
      <c r="K4705"/>
    </row>
    <row r="4706" spans="11:11" ht="15" x14ac:dyDescent="0.25">
      <c r="K4706"/>
    </row>
    <row r="4707" spans="11:11" ht="15" x14ac:dyDescent="0.25">
      <c r="K4707"/>
    </row>
    <row r="4708" spans="11:11" ht="15" x14ac:dyDescent="0.25">
      <c r="K4708"/>
    </row>
    <row r="4709" spans="11:11" ht="15" x14ac:dyDescent="0.25">
      <c r="K4709"/>
    </row>
    <row r="4710" spans="11:11" ht="15" x14ac:dyDescent="0.25">
      <c r="K4710"/>
    </row>
    <row r="4711" spans="11:11" ht="15" x14ac:dyDescent="0.25">
      <c r="K4711"/>
    </row>
    <row r="4712" spans="11:11" ht="15" x14ac:dyDescent="0.25">
      <c r="K4712"/>
    </row>
    <row r="4713" spans="11:11" ht="15" x14ac:dyDescent="0.25">
      <c r="K4713"/>
    </row>
    <row r="4714" spans="11:11" ht="15" x14ac:dyDescent="0.25">
      <c r="K4714"/>
    </row>
    <row r="4715" spans="11:11" ht="15" x14ac:dyDescent="0.25">
      <c r="K4715"/>
    </row>
    <row r="4716" spans="11:11" ht="15" x14ac:dyDescent="0.25">
      <c r="K4716"/>
    </row>
    <row r="4717" spans="11:11" ht="15" x14ac:dyDescent="0.25">
      <c r="K4717"/>
    </row>
    <row r="4718" spans="11:11" ht="15" x14ac:dyDescent="0.25">
      <c r="K4718"/>
    </row>
    <row r="4719" spans="11:11" ht="15" x14ac:dyDescent="0.25">
      <c r="K4719"/>
    </row>
    <row r="4720" spans="11:11" ht="15" x14ac:dyDescent="0.25">
      <c r="K4720"/>
    </row>
    <row r="4721" spans="11:11" ht="15" x14ac:dyDescent="0.25">
      <c r="K4721"/>
    </row>
    <row r="4722" spans="11:11" ht="15" x14ac:dyDescent="0.25">
      <c r="K4722"/>
    </row>
    <row r="4723" spans="11:11" ht="15" x14ac:dyDescent="0.25">
      <c r="K4723"/>
    </row>
    <row r="4724" spans="11:11" ht="15" x14ac:dyDescent="0.25">
      <c r="K4724"/>
    </row>
    <row r="4725" spans="11:11" ht="15" x14ac:dyDescent="0.25">
      <c r="K4725"/>
    </row>
    <row r="4726" spans="11:11" ht="15" x14ac:dyDescent="0.25">
      <c r="K4726"/>
    </row>
    <row r="4727" spans="11:11" ht="15" x14ac:dyDescent="0.25">
      <c r="K4727"/>
    </row>
    <row r="4728" spans="11:11" ht="15" x14ac:dyDescent="0.25">
      <c r="K4728"/>
    </row>
    <row r="4729" spans="11:11" ht="15" x14ac:dyDescent="0.25">
      <c r="K4729"/>
    </row>
    <row r="4730" spans="11:11" ht="15" x14ac:dyDescent="0.25">
      <c r="K4730"/>
    </row>
    <row r="4731" spans="11:11" ht="15" x14ac:dyDescent="0.25">
      <c r="K4731"/>
    </row>
    <row r="4732" spans="11:11" ht="15" x14ac:dyDescent="0.25">
      <c r="K4732"/>
    </row>
    <row r="4733" spans="11:11" ht="15" x14ac:dyDescent="0.25">
      <c r="K4733"/>
    </row>
    <row r="4734" spans="11:11" ht="15" x14ac:dyDescent="0.25">
      <c r="K4734"/>
    </row>
    <row r="4735" spans="11:11" ht="15" x14ac:dyDescent="0.25">
      <c r="K4735"/>
    </row>
    <row r="4736" spans="11:11" ht="15" x14ac:dyDescent="0.25">
      <c r="K4736"/>
    </row>
    <row r="4737" spans="11:11" ht="15" x14ac:dyDescent="0.25">
      <c r="K4737"/>
    </row>
    <row r="4738" spans="11:11" ht="15" x14ac:dyDescent="0.25">
      <c r="K4738"/>
    </row>
    <row r="4739" spans="11:11" ht="15" x14ac:dyDescent="0.25">
      <c r="K4739"/>
    </row>
    <row r="4740" spans="11:11" ht="15" x14ac:dyDescent="0.25">
      <c r="K4740"/>
    </row>
    <row r="4741" spans="11:11" ht="15" x14ac:dyDescent="0.25">
      <c r="K4741"/>
    </row>
    <row r="4742" spans="11:11" ht="15" x14ac:dyDescent="0.25">
      <c r="K4742"/>
    </row>
    <row r="4743" spans="11:11" ht="15" x14ac:dyDescent="0.25">
      <c r="K4743"/>
    </row>
    <row r="4744" spans="11:11" ht="15" x14ac:dyDescent="0.25">
      <c r="K4744"/>
    </row>
    <row r="4745" spans="11:11" ht="15" x14ac:dyDescent="0.25">
      <c r="K4745"/>
    </row>
    <row r="4746" spans="11:11" ht="15" x14ac:dyDescent="0.25">
      <c r="K4746"/>
    </row>
    <row r="4747" spans="11:11" ht="15" x14ac:dyDescent="0.25">
      <c r="K4747"/>
    </row>
    <row r="4748" spans="11:11" ht="15" x14ac:dyDescent="0.25">
      <c r="K4748"/>
    </row>
    <row r="4749" spans="11:11" ht="15" x14ac:dyDescent="0.25">
      <c r="K4749"/>
    </row>
    <row r="4750" spans="11:11" ht="15" x14ac:dyDescent="0.25">
      <c r="K4750"/>
    </row>
    <row r="4751" spans="11:11" ht="15" x14ac:dyDescent="0.25">
      <c r="K4751"/>
    </row>
    <row r="4752" spans="11:11" ht="15" x14ac:dyDescent="0.25">
      <c r="K4752"/>
    </row>
    <row r="4753" spans="11:11" ht="15" x14ac:dyDescent="0.25">
      <c r="K4753"/>
    </row>
    <row r="4754" spans="11:11" ht="15" x14ac:dyDescent="0.25">
      <c r="K4754"/>
    </row>
    <row r="4755" spans="11:11" ht="15" x14ac:dyDescent="0.25">
      <c r="K4755"/>
    </row>
    <row r="4756" spans="11:11" ht="15" x14ac:dyDescent="0.25">
      <c r="K4756"/>
    </row>
    <row r="4757" spans="11:11" ht="15" x14ac:dyDescent="0.25">
      <c r="K4757"/>
    </row>
    <row r="4758" spans="11:11" ht="15" x14ac:dyDescent="0.25">
      <c r="K4758"/>
    </row>
    <row r="4759" spans="11:11" ht="15" x14ac:dyDescent="0.25">
      <c r="K4759"/>
    </row>
    <row r="4760" spans="11:11" ht="15" x14ac:dyDescent="0.25">
      <c r="K4760"/>
    </row>
    <row r="4761" spans="11:11" ht="15" x14ac:dyDescent="0.25">
      <c r="K4761"/>
    </row>
    <row r="4762" spans="11:11" ht="15" x14ac:dyDescent="0.25">
      <c r="K4762"/>
    </row>
    <row r="4763" spans="11:11" ht="15" x14ac:dyDescent="0.25">
      <c r="K4763"/>
    </row>
    <row r="4764" spans="11:11" ht="15" x14ac:dyDescent="0.25">
      <c r="K4764"/>
    </row>
    <row r="4765" spans="11:11" ht="15" x14ac:dyDescent="0.25">
      <c r="K4765"/>
    </row>
    <row r="4766" spans="11:11" ht="15" x14ac:dyDescent="0.25">
      <c r="K4766"/>
    </row>
    <row r="4767" spans="11:11" ht="15" x14ac:dyDescent="0.25">
      <c r="K4767"/>
    </row>
    <row r="4768" spans="11:11" ht="15" x14ac:dyDescent="0.25">
      <c r="K4768"/>
    </row>
    <row r="4769" spans="11:11" ht="15" x14ac:dyDescent="0.25">
      <c r="K4769"/>
    </row>
    <row r="4770" spans="11:11" ht="15" x14ac:dyDescent="0.25">
      <c r="K4770"/>
    </row>
    <row r="4771" spans="11:11" ht="15" x14ac:dyDescent="0.25">
      <c r="K4771"/>
    </row>
    <row r="4772" spans="11:11" ht="15" x14ac:dyDescent="0.25">
      <c r="K4772"/>
    </row>
    <row r="4773" spans="11:11" ht="15" x14ac:dyDescent="0.25">
      <c r="K4773"/>
    </row>
    <row r="4774" spans="11:11" ht="15" x14ac:dyDescent="0.25">
      <c r="K4774"/>
    </row>
    <row r="4775" spans="11:11" ht="15" x14ac:dyDescent="0.25">
      <c r="K4775"/>
    </row>
    <row r="4776" spans="11:11" ht="15" x14ac:dyDescent="0.25">
      <c r="K4776"/>
    </row>
    <row r="4777" spans="11:11" ht="15" x14ac:dyDescent="0.25">
      <c r="K4777"/>
    </row>
    <row r="4778" spans="11:11" ht="15" x14ac:dyDescent="0.25">
      <c r="K4778"/>
    </row>
    <row r="4779" spans="11:11" ht="15" x14ac:dyDescent="0.25">
      <c r="K4779"/>
    </row>
    <row r="4780" spans="11:11" ht="15" x14ac:dyDescent="0.25">
      <c r="K4780"/>
    </row>
    <row r="4781" spans="11:11" ht="15" x14ac:dyDescent="0.25">
      <c r="K4781"/>
    </row>
    <row r="4782" spans="11:11" ht="15" x14ac:dyDescent="0.25">
      <c r="K4782"/>
    </row>
    <row r="4783" spans="11:11" ht="15" x14ac:dyDescent="0.25">
      <c r="K4783"/>
    </row>
    <row r="4784" spans="11:11" ht="15" x14ac:dyDescent="0.25">
      <c r="K4784"/>
    </row>
    <row r="4785" spans="11:11" ht="15" x14ac:dyDescent="0.25">
      <c r="K4785"/>
    </row>
    <row r="4786" spans="11:11" ht="15" x14ac:dyDescent="0.25">
      <c r="K4786"/>
    </row>
    <row r="4787" spans="11:11" ht="15" x14ac:dyDescent="0.25">
      <c r="K4787"/>
    </row>
    <row r="4788" spans="11:11" ht="15" x14ac:dyDescent="0.25">
      <c r="K4788"/>
    </row>
    <row r="4789" spans="11:11" ht="15" x14ac:dyDescent="0.25">
      <c r="K4789"/>
    </row>
    <row r="4790" spans="11:11" ht="15" x14ac:dyDescent="0.25">
      <c r="K4790"/>
    </row>
    <row r="4791" spans="11:11" ht="15" x14ac:dyDescent="0.25">
      <c r="K4791"/>
    </row>
    <row r="4792" spans="11:11" ht="15" x14ac:dyDescent="0.25">
      <c r="K4792"/>
    </row>
    <row r="4793" spans="11:11" ht="15" x14ac:dyDescent="0.25">
      <c r="K4793"/>
    </row>
    <row r="4794" spans="11:11" ht="15" x14ac:dyDescent="0.25">
      <c r="K4794"/>
    </row>
    <row r="4795" spans="11:11" ht="15" x14ac:dyDescent="0.25">
      <c r="K4795"/>
    </row>
    <row r="4796" spans="11:11" ht="15" x14ac:dyDescent="0.25">
      <c r="K4796"/>
    </row>
    <row r="4797" spans="11:11" ht="15" x14ac:dyDescent="0.25">
      <c r="K4797"/>
    </row>
    <row r="4798" spans="11:11" ht="15" x14ac:dyDescent="0.25">
      <c r="K4798"/>
    </row>
    <row r="4799" spans="11:11" ht="15" x14ac:dyDescent="0.25">
      <c r="K4799"/>
    </row>
    <row r="4800" spans="11:11" ht="15" x14ac:dyDescent="0.25">
      <c r="K4800"/>
    </row>
    <row r="4801" spans="11:11" ht="15" x14ac:dyDescent="0.25">
      <c r="K4801"/>
    </row>
    <row r="4802" spans="11:11" ht="15" x14ac:dyDescent="0.25">
      <c r="K4802"/>
    </row>
    <row r="4803" spans="11:11" ht="15" x14ac:dyDescent="0.25">
      <c r="K4803"/>
    </row>
    <row r="4804" spans="11:11" ht="15" x14ac:dyDescent="0.25">
      <c r="K4804"/>
    </row>
    <row r="4805" spans="11:11" ht="15" x14ac:dyDescent="0.25">
      <c r="K4805"/>
    </row>
    <row r="4806" spans="11:11" ht="15" x14ac:dyDescent="0.25">
      <c r="K4806"/>
    </row>
    <row r="4807" spans="11:11" ht="15" x14ac:dyDescent="0.25">
      <c r="K4807"/>
    </row>
    <row r="4808" spans="11:11" ht="15" x14ac:dyDescent="0.25">
      <c r="K4808"/>
    </row>
    <row r="4809" spans="11:11" ht="15" x14ac:dyDescent="0.25">
      <c r="K4809"/>
    </row>
    <row r="4810" spans="11:11" ht="15" x14ac:dyDescent="0.25">
      <c r="K4810"/>
    </row>
    <row r="4811" spans="11:11" ht="15" x14ac:dyDescent="0.25">
      <c r="K4811"/>
    </row>
    <row r="4812" spans="11:11" ht="15" x14ac:dyDescent="0.25">
      <c r="K4812"/>
    </row>
    <row r="4813" spans="11:11" ht="15" x14ac:dyDescent="0.25">
      <c r="K4813"/>
    </row>
    <row r="4814" spans="11:11" ht="15" x14ac:dyDescent="0.25">
      <c r="K4814"/>
    </row>
    <row r="4815" spans="11:11" ht="15" x14ac:dyDescent="0.25">
      <c r="K4815"/>
    </row>
    <row r="4816" spans="11:11" ht="15" x14ac:dyDescent="0.25">
      <c r="K4816"/>
    </row>
    <row r="4817" spans="11:11" ht="15" x14ac:dyDescent="0.25">
      <c r="K4817"/>
    </row>
    <row r="4818" spans="11:11" ht="15" x14ac:dyDescent="0.25">
      <c r="K4818"/>
    </row>
    <row r="4819" spans="11:11" ht="15" x14ac:dyDescent="0.25">
      <c r="K4819"/>
    </row>
    <row r="4820" spans="11:11" ht="15" x14ac:dyDescent="0.25">
      <c r="K4820"/>
    </row>
    <row r="4821" spans="11:11" ht="15" x14ac:dyDescent="0.25">
      <c r="K4821"/>
    </row>
    <row r="4822" spans="11:11" ht="15" x14ac:dyDescent="0.25">
      <c r="K4822"/>
    </row>
    <row r="4823" spans="11:11" ht="15" x14ac:dyDescent="0.25">
      <c r="K4823"/>
    </row>
    <row r="4824" spans="11:11" ht="15" x14ac:dyDescent="0.25">
      <c r="K4824"/>
    </row>
    <row r="4825" spans="11:11" ht="15" x14ac:dyDescent="0.25">
      <c r="K4825"/>
    </row>
    <row r="4826" spans="11:11" ht="15" x14ac:dyDescent="0.25">
      <c r="K4826"/>
    </row>
    <row r="4827" spans="11:11" ht="15" x14ac:dyDescent="0.25">
      <c r="K4827"/>
    </row>
    <row r="4828" spans="11:11" ht="15" x14ac:dyDescent="0.25">
      <c r="K4828"/>
    </row>
    <row r="4829" spans="11:11" ht="15" x14ac:dyDescent="0.25">
      <c r="K4829"/>
    </row>
    <row r="4830" spans="11:11" ht="15" x14ac:dyDescent="0.25">
      <c r="K4830"/>
    </row>
    <row r="4831" spans="11:11" ht="15" x14ac:dyDescent="0.25">
      <c r="K4831"/>
    </row>
    <row r="4832" spans="11:11" ht="15" x14ac:dyDescent="0.25">
      <c r="K4832"/>
    </row>
    <row r="4833" spans="11:11" ht="15" x14ac:dyDescent="0.25">
      <c r="K4833"/>
    </row>
    <row r="4834" spans="11:11" ht="15" x14ac:dyDescent="0.25">
      <c r="K4834"/>
    </row>
    <row r="4835" spans="11:11" ht="15" x14ac:dyDescent="0.25">
      <c r="K4835"/>
    </row>
    <row r="4836" spans="11:11" ht="15" x14ac:dyDescent="0.25">
      <c r="K4836"/>
    </row>
    <row r="4837" spans="11:11" ht="15" x14ac:dyDescent="0.25">
      <c r="K4837"/>
    </row>
    <row r="4838" spans="11:11" ht="15" x14ac:dyDescent="0.25">
      <c r="K4838"/>
    </row>
    <row r="4839" spans="11:11" ht="15" x14ac:dyDescent="0.25">
      <c r="K4839"/>
    </row>
    <row r="4840" spans="11:11" ht="15" x14ac:dyDescent="0.25">
      <c r="K4840"/>
    </row>
    <row r="4841" spans="11:11" ht="15" x14ac:dyDescent="0.25">
      <c r="K4841"/>
    </row>
    <row r="4842" spans="11:11" ht="15" x14ac:dyDescent="0.25">
      <c r="K4842"/>
    </row>
    <row r="4843" spans="11:11" ht="15" x14ac:dyDescent="0.25">
      <c r="K4843"/>
    </row>
    <row r="4844" spans="11:11" ht="15" x14ac:dyDescent="0.25">
      <c r="K4844"/>
    </row>
    <row r="4845" spans="11:11" ht="15" x14ac:dyDescent="0.25">
      <c r="K4845"/>
    </row>
    <row r="4846" spans="11:11" ht="15" x14ac:dyDescent="0.25">
      <c r="K4846"/>
    </row>
    <row r="4847" spans="11:11" ht="15" x14ac:dyDescent="0.25">
      <c r="K4847"/>
    </row>
    <row r="4848" spans="11:11" ht="15" x14ac:dyDescent="0.25">
      <c r="K4848"/>
    </row>
    <row r="4849" spans="11:11" ht="15" x14ac:dyDescent="0.25">
      <c r="K4849"/>
    </row>
    <row r="4850" spans="11:11" ht="15" x14ac:dyDescent="0.25">
      <c r="K4850"/>
    </row>
    <row r="4851" spans="11:11" ht="15" x14ac:dyDescent="0.25">
      <c r="K4851"/>
    </row>
    <row r="4852" spans="11:11" ht="15" x14ac:dyDescent="0.25">
      <c r="K4852"/>
    </row>
    <row r="4853" spans="11:11" ht="15" x14ac:dyDescent="0.25">
      <c r="K4853"/>
    </row>
    <row r="4854" spans="11:11" ht="15" x14ac:dyDescent="0.25">
      <c r="K4854"/>
    </row>
    <row r="4855" spans="11:11" ht="15" x14ac:dyDescent="0.25">
      <c r="K4855"/>
    </row>
    <row r="4856" spans="11:11" ht="15" x14ac:dyDescent="0.25">
      <c r="K4856"/>
    </row>
    <row r="4857" spans="11:11" ht="15" x14ac:dyDescent="0.25">
      <c r="K4857"/>
    </row>
    <row r="4858" spans="11:11" ht="15" x14ac:dyDescent="0.25">
      <c r="K4858"/>
    </row>
    <row r="4859" spans="11:11" ht="15" x14ac:dyDescent="0.25">
      <c r="K4859"/>
    </row>
    <row r="4860" spans="11:11" ht="15" x14ac:dyDescent="0.25">
      <c r="K4860"/>
    </row>
    <row r="4861" spans="11:11" ht="15" x14ac:dyDescent="0.25">
      <c r="K4861"/>
    </row>
    <row r="4862" spans="11:11" ht="15" x14ac:dyDescent="0.25">
      <c r="K4862"/>
    </row>
    <row r="4863" spans="11:11" ht="15" x14ac:dyDescent="0.25">
      <c r="K4863"/>
    </row>
    <row r="4864" spans="11:11" ht="15" x14ac:dyDescent="0.25">
      <c r="K4864"/>
    </row>
    <row r="4865" spans="11:11" ht="15" x14ac:dyDescent="0.25">
      <c r="K4865"/>
    </row>
    <row r="4866" spans="11:11" ht="15" x14ac:dyDescent="0.25">
      <c r="K4866"/>
    </row>
    <row r="4867" spans="11:11" ht="15" x14ac:dyDescent="0.25">
      <c r="K4867"/>
    </row>
    <row r="4868" spans="11:11" ht="15" x14ac:dyDescent="0.25">
      <c r="K4868"/>
    </row>
    <row r="4869" spans="11:11" ht="15" x14ac:dyDescent="0.25">
      <c r="K4869"/>
    </row>
    <row r="4870" spans="11:11" ht="15" x14ac:dyDescent="0.25">
      <c r="K4870"/>
    </row>
    <row r="4871" spans="11:11" ht="15" x14ac:dyDescent="0.25">
      <c r="K4871"/>
    </row>
    <row r="4872" spans="11:11" ht="15" x14ac:dyDescent="0.25">
      <c r="K4872"/>
    </row>
    <row r="4873" spans="11:11" ht="15" x14ac:dyDescent="0.25">
      <c r="K4873"/>
    </row>
    <row r="4874" spans="11:11" ht="15" x14ac:dyDescent="0.25">
      <c r="K4874"/>
    </row>
    <row r="4875" spans="11:11" ht="15" x14ac:dyDescent="0.25">
      <c r="K4875"/>
    </row>
    <row r="4876" spans="11:11" ht="15" x14ac:dyDescent="0.25">
      <c r="K4876"/>
    </row>
    <row r="4877" spans="11:11" ht="15" x14ac:dyDescent="0.25">
      <c r="K4877"/>
    </row>
    <row r="4878" spans="11:11" ht="15" x14ac:dyDescent="0.25">
      <c r="K4878"/>
    </row>
    <row r="4879" spans="11:11" ht="15" x14ac:dyDescent="0.25">
      <c r="K4879"/>
    </row>
    <row r="4880" spans="11:11" ht="15" x14ac:dyDescent="0.25">
      <c r="K4880"/>
    </row>
    <row r="4881" spans="11:11" ht="15" x14ac:dyDescent="0.25">
      <c r="K4881"/>
    </row>
    <row r="4882" spans="11:11" ht="15" x14ac:dyDescent="0.25">
      <c r="K4882"/>
    </row>
    <row r="4883" spans="11:11" ht="15" x14ac:dyDescent="0.25">
      <c r="K4883"/>
    </row>
    <row r="4884" spans="11:11" ht="15" x14ac:dyDescent="0.25">
      <c r="K4884"/>
    </row>
    <row r="4885" spans="11:11" ht="15" x14ac:dyDescent="0.25">
      <c r="K4885"/>
    </row>
    <row r="4886" spans="11:11" ht="15" x14ac:dyDescent="0.25">
      <c r="K4886"/>
    </row>
    <row r="4887" spans="11:11" ht="15" x14ac:dyDescent="0.25">
      <c r="K4887"/>
    </row>
    <row r="4888" spans="11:11" ht="15" x14ac:dyDescent="0.25">
      <c r="K4888"/>
    </row>
    <row r="4889" spans="11:11" ht="15" x14ac:dyDescent="0.25">
      <c r="K4889"/>
    </row>
    <row r="4890" spans="11:11" ht="15" x14ac:dyDescent="0.25">
      <c r="K4890"/>
    </row>
    <row r="4891" spans="11:11" ht="15" x14ac:dyDescent="0.25">
      <c r="K4891"/>
    </row>
    <row r="4892" spans="11:11" ht="15" x14ac:dyDescent="0.25">
      <c r="K4892"/>
    </row>
    <row r="4893" spans="11:11" ht="15" x14ac:dyDescent="0.25">
      <c r="K4893"/>
    </row>
    <row r="4894" spans="11:11" ht="15" x14ac:dyDescent="0.25">
      <c r="K4894"/>
    </row>
    <row r="4895" spans="11:11" ht="15" x14ac:dyDescent="0.25">
      <c r="K4895"/>
    </row>
    <row r="4896" spans="11:11" ht="15" x14ac:dyDescent="0.25">
      <c r="K4896"/>
    </row>
    <row r="4897" spans="11:11" ht="15" x14ac:dyDescent="0.25">
      <c r="K4897"/>
    </row>
    <row r="4898" spans="11:11" ht="15" x14ac:dyDescent="0.25">
      <c r="K4898"/>
    </row>
    <row r="4899" spans="11:11" ht="15" x14ac:dyDescent="0.25">
      <c r="K4899"/>
    </row>
    <row r="4900" spans="11:11" ht="15" x14ac:dyDescent="0.25">
      <c r="K4900"/>
    </row>
    <row r="4901" spans="11:11" ht="15" x14ac:dyDescent="0.25">
      <c r="K4901"/>
    </row>
    <row r="4902" spans="11:11" ht="15" x14ac:dyDescent="0.25">
      <c r="K4902"/>
    </row>
    <row r="4903" spans="11:11" ht="15" x14ac:dyDescent="0.25">
      <c r="K4903"/>
    </row>
    <row r="4904" spans="11:11" ht="15" x14ac:dyDescent="0.25">
      <c r="K4904"/>
    </row>
    <row r="4905" spans="11:11" ht="15" x14ac:dyDescent="0.25">
      <c r="K4905"/>
    </row>
    <row r="4906" spans="11:11" ht="15" x14ac:dyDescent="0.25">
      <c r="K4906"/>
    </row>
    <row r="4907" spans="11:11" ht="15" x14ac:dyDescent="0.25">
      <c r="K4907"/>
    </row>
    <row r="4908" spans="11:11" ht="15" x14ac:dyDescent="0.25">
      <c r="K4908"/>
    </row>
    <row r="4909" spans="11:11" ht="15" x14ac:dyDescent="0.25">
      <c r="K4909"/>
    </row>
    <row r="4910" spans="11:11" ht="15" x14ac:dyDescent="0.25">
      <c r="K4910"/>
    </row>
    <row r="4911" spans="11:11" ht="15" x14ac:dyDescent="0.25">
      <c r="K4911"/>
    </row>
    <row r="4912" spans="11:11" ht="15" x14ac:dyDescent="0.25">
      <c r="K4912"/>
    </row>
    <row r="4913" spans="11:11" ht="15" x14ac:dyDescent="0.25">
      <c r="K4913"/>
    </row>
    <row r="4914" spans="11:11" ht="15" x14ac:dyDescent="0.25">
      <c r="K4914"/>
    </row>
    <row r="4915" spans="11:11" ht="15" x14ac:dyDescent="0.25">
      <c r="K4915"/>
    </row>
    <row r="4916" spans="11:11" ht="15" x14ac:dyDescent="0.25">
      <c r="K4916"/>
    </row>
    <row r="4917" spans="11:11" ht="15" x14ac:dyDescent="0.25">
      <c r="K4917"/>
    </row>
    <row r="4918" spans="11:11" ht="15" x14ac:dyDescent="0.25">
      <c r="K4918"/>
    </row>
    <row r="4919" spans="11:11" ht="15" x14ac:dyDescent="0.25">
      <c r="K4919"/>
    </row>
    <row r="4920" spans="11:11" ht="15" x14ac:dyDescent="0.25">
      <c r="K4920"/>
    </row>
    <row r="4921" spans="11:11" ht="15" x14ac:dyDescent="0.25">
      <c r="K4921"/>
    </row>
    <row r="4922" spans="11:11" ht="15" x14ac:dyDescent="0.25">
      <c r="K4922"/>
    </row>
    <row r="4923" spans="11:11" ht="15" x14ac:dyDescent="0.25">
      <c r="K4923"/>
    </row>
    <row r="4924" spans="11:11" ht="15" x14ac:dyDescent="0.25">
      <c r="K4924"/>
    </row>
    <row r="4925" spans="11:11" ht="15" x14ac:dyDescent="0.25">
      <c r="K4925"/>
    </row>
    <row r="4926" spans="11:11" ht="15" x14ac:dyDescent="0.25">
      <c r="K4926"/>
    </row>
    <row r="4927" spans="11:11" ht="15" x14ac:dyDescent="0.25">
      <c r="K4927"/>
    </row>
    <row r="4928" spans="11:11" ht="15" x14ac:dyDescent="0.25">
      <c r="K4928"/>
    </row>
    <row r="4929" spans="11:11" ht="15" x14ac:dyDescent="0.25">
      <c r="K4929"/>
    </row>
    <row r="4930" spans="11:11" ht="15" x14ac:dyDescent="0.25">
      <c r="K4930"/>
    </row>
    <row r="4931" spans="11:11" ht="15" x14ac:dyDescent="0.25">
      <c r="K4931"/>
    </row>
    <row r="4932" spans="11:11" ht="15" x14ac:dyDescent="0.25">
      <c r="K4932"/>
    </row>
    <row r="4933" spans="11:11" ht="15" x14ac:dyDescent="0.25">
      <c r="K4933"/>
    </row>
    <row r="4934" spans="11:11" ht="15" x14ac:dyDescent="0.25">
      <c r="K4934"/>
    </row>
    <row r="4935" spans="11:11" ht="15" x14ac:dyDescent="0.25">
      <c r="K4935"/>
    </row>
    <row r="4936" spans="11:11" ht="15" x14ac:dyDescent="0.25">
      <c r="K4936"/>
    </row>
    <row r="4937" spans="11:11" ht="15" x14ac:dyDescent="0.25">
      <c r="K4937"/>
    </row>
    <row r="4938" spans="11:11" ht="15" x14ac:dyDescent="0.25">
      <c r="K4938"/>
    </row>
    <row r="4939" spans="11:11" ht="15" x14ac:dyDescent="0.25">
      <c r="K4939"/>
    </row>
    <row r="4940" spans="11:11" ht="15" x14ac:dyDescent="0.25">
      <c r="K4940"/>
    </row>
    <row r="4941" spans="11:11" ht="15" x14ac:dyDescent="0.25">
      <c r="K4941"/>
    </row>
    <row r="4942" spans="11:11" ht="15" x14ac:dyDescent="0.25">
      <c r="K4942"/>
    </row>
    <row r="4943" spans="11:11" ht="15" x14ac:dyDescent="0.25">
      <c r="K4943"/>
    </row>
    <row r="4944" spans="11:11" ht="15" x14ac:dyDescent="0.25">
      <c r="K4944"/>
    </row>
    <row r="4945" spans="11:11" ht="15" x14ac:dyDescent="0.25">
      <c r="K4945"/>
    </row>
    <row r="4946" spans="11:11" ht="15" x14ac:dyDescent="0.25">
      <c r="K4946"/>
    </row>
    <row r="4947" spans="11:11" ht="15" x14ac:dyDescent="0.25">
      <c r="K4947"/>
    </row>
    <row r="4948" spans="11:11" ht="15" x14ac:dyDescent="0.25">
      <c r="K4948"/>
    </row>
    <row r="4949" spans="11:11" ht="15" x14ac:dyDescent="0.25">
      <c r="K4949"/>
    </row>
    <row r="4950" spans="11:11" ht="15" x14ac:dyDescent="0.25">
      <c r="K4950"/>
    </row>
    <row r="4951" spans="11:11" ht="15" x14ac:dyDescent="0.25">
      <c r="K4951"/>
    </row>
    <row r="4952" spans="11:11" ht="15" x14ac:dyDescent="0.25">
      <c r="K4952"/>
    </row>
    <row r="4953" spans="11:11" ht="15" x14ac:dyDescent="0.25">
      <c r="K4953"/>
    </row>
    <row r="4954" spans="11:11" ht="15" x14ac:dyDescent="0.25">
      <c r="K4954"/>
    </row>
    <row r="4955" spans="11:11" ht="15" x14ac:dyDescent="0.25">
      <c r="K4955"/>
    </row>
    <row r="4956" spans="11:11" ht="15" x14ac:dyDescent="0.25">
      <c r="K4956"/>
    </row>
    <row r="4957" spans="11:11" ht="15" x14ac:dyDescent="0.25">
      <c r="K4957"/>
    </row>
    <row r="4958" spans="11:11" ht="15" x14ac:dyDescent="0.25">
      <c r="K4958"/>
    </row>
    <row r="4959" spans="11:11" ht="15" x14ac:dyDescent="0.25">
      <c r="K4959"/>
    </row>
    <row r="4960" spans="11:11" ht="15" x14ac:dyDescent="0.25">
      <c r="K4960"/>
    </row>
    <row r="4961" spans="11:11" ht="15" x14ac:dyDescent="0.25">
      <c r="K4961"/>
    </row>
    <row r="4962" spans="11:11" ht="15" x14ac:dyDescent="0.25">
      <c r="K4962"/>
    </row>
    <row r="4963" spans="11:11" ht="15" x14ac:dyDescent="0.25">
      <c r="K4963"/>
    </row>
    <row r="4964" spans="11:11" ht="15" x14ac:dyDescent="0.25">
      <c r="K4964"/>
    </row>
    <row r="4965" spans="11:11" ht="15" x14ac:dyDescent="0.25">
      <c r="K4965"/>
    </row>
    <row r="4966" spans="11:11" ht="15" x14ac:dyDescent="0.25">
      <c r="K4966"/>
    </row>
    <row r="4967" spans="11:11" ht="15" x14ac:dyDescent="0.25">
      <c r="K4967"/>
    </row>
    <row r="4968" spans="11:11" ht="15" x14ac:dyDescent="0.25">
      <c r="K4968"/>
    </row>
    <row r="4969" spans="11:11" ht="15" x14ac:dyDescent="0.25">
      <c r="K4969"/>
    </row>
    <row r="4970" spans="11:11" ht="15" x14ac:dyDescent="0.25">
      <c r="K4970"/>
    </row>
    <row r="4971" spans="11:11" ht="15" x14ac:dyDescent="0.25">
      <c r="K4971"/>
    </row>
    <row r="4972" spans="11:11" ht="15" x14ac:dyDescent="0.25">
      <c r="K4972"/>
    </row>
    <row r="4973" spans="11:11" ht="15" x14ac:dyDescent="0.25">
      <c r="K4973"/>
    </row>
    <row r="4974" spans="11:11" ht="15" x14ac:dyDescent="0.25">
      <c r="K4974"/>
    </row>
    <row r="4975" spans="11:11" ht="15" x14ac:dyDescent="0.25">
      <c r="K4975"/>
    </row>
    <row r="4976" spans="11:11" ht="15" x14ac:dyDescent="0.25">
      <c r="K4976"/>
    </row>
    <row r="4977" spans="11:11" ht="15" x14ac:dyDescent="0.25">
      <c r="K4977"/>
    </row>
    <row r="4978" spans="11:11" ht="15" x14ac:dyDescent="0.25">
      <c r="K4978"/>
    </row>
    <row r="4979" spans="11:11" ht="15" x14ac:dyDescent="0.25">
      <c r="K4979"/>
    </row>
    <row r="4980" spans="11:11" ht="15" x14ac:dyDescent="0.25">
      <c r="K4980"/>
    </row>
    <row r="4981" spans="11:11" ht="15" x14ac:dyDescent="0.25">
      <c r="K4981"/>
    </row>
    <row r="4982" spans="11:11" ht="15" x14ac:dyDescent="0.25">
      <c r="K4982"/>
    </row>
    <row r="4983" spans="11:11" ht="15" x14ac:dyDescent="0.25">
      <c r="K4983"/>
    </row>
    <row r="4984" spans="11:11" ht="15" x14ac:dyDescent="0.25">
      <c r="K4984"/>
    </row>
    <row r="4985" spans="11:11" ht="15" x14ac:dyDescent="0.25">
      <c r="K4985"/>
    </row>
    <row r="4986" spans="11:11" ht="15" x14ac:dyDescent="0.25">
      <c r="K4986"/>
    </row>
    <row r="4987" spans="11:11" ht="15" x14ac:dyDescent="0.25">
      <c r="K4987"/>
    </row>
    <row r="4988" spans="11:11" ht="15" x14ac:dyDescent="0.25">
      <c r="K4988"/>
    </row>
    <row r="4989" spans="11:11" ht="15" x14ac:dyDescent="0.25">
      <c r="K4989"/>
    </row>
    <row r="4990" spans="11:11" ht="15" x14ac:dyDescent="0.25">
      <c r="K4990"/>
    </row>
    <row r="4991" spans="11:11" ht="15" x14ac:dyDescent="0.25">
      <c r="K4991"/>
    </row>
    <row r="4992" spans="11:11" ht="15" x14ac:dyDescent="0.25">
      <c r="K4992"/>
    </row>
    <row r="4993" spans="11:11" ht="15" x14ac:dyDescent="0.25">
      <c r="K4993"/>
    </row>
    <row r="4994" spans="11:11" ht="15" x14ac:dyDescent="0.25">
      <c r="K4994"/>
    </row>
    <row r="4995" spans="11:11" ht="15" x14ac:dyDescent="0.25">
      <c r="K4995"/>
    </row>
    <row r="4996" spans="11:11" ht="15" x14ac:dyDescent="0.25">
      <c r="K4996"/>
    </row>
    <row r="4997" spans="11:11" ht="15" x14ac:dyDescent="0.25">
      <c r="K4997"/>
    </row>
    <row r="4998" spans="11:11" ht="15" x14ac:dyDescent="0.25">
      <c r="K4998"/>
    </row>
    <row r="4999" spans="11:11" ht="15" x14ac:dyDescent="0.25">
      <c r="K4999"/>
    </row>
    <row r="5000" spans="11:11" ht="15" x14ac:dyDescent="0.25">
      <c r="K5000"/>
    </row>
    <row r="5001" spans="11:11" ht="15" x14ac:dyDescent="0.25">
      <c r="K5001"/>
    </row>
    <row r="5002" spans="11:11" ht="15" x14ac:dyDescent="0.25">
      <c r="K5002"/>
    </row>
    <row r="5003" spans="11:11" ht="15" x14ac:dyDescent="0.25">
      <c r="K5003"/>
    </row>
    <row r="5004" spans="11:11" ht="15" x14ac:dyDescent="0.25">
      <c r="K5004"/>
    </row>
    <row r="5005" spans="11:11" ht="15" x14ac:dyDescent="0.25">
      <c r="K5005"/>
    </row>
    <row r="5006" spans="11:11" ht="15" x14ac:dyDescent="0.25">
      <c r="K5006"/>
    </row>
    <row r="5007" spans="11:11" ht="15" x14ac:dyDescent="0.25">
      <c r="K5007"/>
    </row>
    <row r="5008" spans="11:11" ht="15" x14ac:dyDescent="0.25">
      <c r="K5008"/>
    </row>
    <row r="5009" spans="11:11" ht="15" x14ac:dyDescent="0.25">
      <c r="K5009"/>
    </row>
    <row r="5010" spans="11:11" ht="15" x14ac:dyDescent="0.25">
      <c r="K5010"/>
    </row>
    <row r="5011" spans="11:11" ht="15" x14ac:dyDescent="0.25">
      <c r="K5011"/>
    </row>
    <row r="5012" spans="11:11" ht="15" x14ac:dyDescent="0.25">
      <c r="K5012"/>
    </row>
    <row r="5013" spans="11:11" ht="15" x14ac:dyDescent="0.25">
      <c r="K5013"/>
    </row>
    <row r="5014" spans="11:11" ht="15" x14ac:dyDescent="0.25">
      <c r="K5014"/>
    </row>
    <row r="5015" spans="11:11" ht="15" x14ac:dyDescent="0.25">
      <c r="K5015"/>
    </row>
    <row r="5016" spans="11:11" ht="15" x14ac:dyDescent="0.25">
      <c r="K5016"/>
    </row>
    <row r="5017" spans="11:11" ht="15" x14ac:dyDescent="0.25">
      <c r="K5017"/>
    </row>
    <row r="5018" spans="11:11" ht="15" x14ac:dyDescent="0.25">
      <c r="K5018"/>
    </row>
    <row r="5019" spans="11:11" ht="15" x14ac:dyDescent="0.25">
      <c r="K5019"/>
    </row>
    <row r="5020" spans="11:11" ht="15" x14ac:dyDescent="0.25">
      <c r="K5020"/>
    </row>
    <row r="5021" spans="11:11" ht="15" x14ac:dyDescent="0.25">
      <c r="K5021"/>
    </row>
    <row r="5022" spans="11:11" ht="15" x14ac:dyDescent="0.25">
      <c r="K5022"/>
    </row>
    <row r="5023" spans="11:11" ht="15" x14ac:dyDescent="0.25">
      <c r="K5023"/>
    </row>
    <row r="5024" spans="11:11" ht="15" x14ac:dyDescent="0.25">
      <c r="K5024"/>
    </row>
    <row r="5025" spans="11:11" ht="15" x14ac:dyDescent="0.25">
      <c r="K5025"/>
    </row>
    <row r="5026" spans="11:11" ht="15" x14ac:dyDescent="0.25">
      <c r="K5026"/>
    </row>
    <row r="5027" spans="11:11" ht="15" x14ac:dyDescent="0.25">
      <c r="K5027"/>
    </row>
    <row r="5028" spans="11:11" ht="15" x14ac:dyDescent="0.25">
      <c r="K5028"/>
    </row>
    <row r="5029" spans="11:11" ht="15" x14ac:dyDescent="0.25">
      <c r="K5029"/>
    </row>
    <row r="5030" spans="11:11" ht="15" x14ac:dyDescent="0.25">
      <c r="K5030"/>
    </row>
    <row r="5031" spans="11:11" ht="15" x14ac:dyDescent="0.25">
      <c r="K5031"/>
    </row>
    <row r="5032" spans="11:11" ht="15" x14ac:dyDescent="0.25">
      <c r="K5032"/>
    </row>
    <row r="5033" spans="11:11" ht="15" x14ac:dyDescent="0.25">
      <c r="K5033"/>
    </row>
    <row r="5034" spans="11:11" ht="15" x14ac:dyDescent="0.25">
      <c r="K5034"/>
    </row>
    <row r="5035" spans="11:11" ht="15" x14ac:dyDescent="0.25">
      <c r="K5035"/>
    </row>
    <row r="5036" spans="11:11" ht="15" x14ac:dyDescent="0.25">
      <c r="K5036"/>
    </row>
    <row r="5037" spans="11:11" ht="15" x14ac:dyDescent="0.25">
      <c r="K5037"/>
    </row>
    <row r="5038" spans="11:11" ht="15" x14ac:dyDescent="0.25">
      <c r="K5038"/>
    </row>
    <row r="5039" spans="11:11" ht="15" x14ac:dyDescent="0.25">
      <c r="K5039"/>
    </row>
    <row r="5040" spans="11:11" ht="15" x14ac:dyDescent="0.25">
      <c r="K5040"/>
    </row>
    <row r="5041" spans="11:11" ht="15" x14ac:dyDescent="0.25">
      <c r="K5041"/>
    </row>
    <row r="5042" spans="11:11" ht="15" x14ac:dyDescent="0.25">
      <c r="K5042"/>
    </row>
    <row r="5043" spans="11:11" ht="15" x14ac:dyDescent="0.25">
      <c r="K5043"/>
    </row>
    <row r="5044" spans="11:11" ht="15" x14ac:dyDescent="0.25">
      <c r="K5044"/>
    </row>
    <row r="5045" spans="11:11" ht="15" x14ac:dyDescent="0.25">
      <c r="K5045"/>
    </row>
    <row r="5046" spans="11:11" ht="15" x14ac:dyDescent="0.25">
      <c r="K5046"/>
    </row>
    <row r="5047" spans="11:11" ht="15" x14ac:dyDescent="0.25">
      <c r="K5047"/>
    </row>
    <row r="5048" spans="11:11" ht="15" x14ac:dyDescent="0.25">
      <c r="K5048"/>
    </row>
    <row r="5049" spans="11:11" ht="15" x14ac:dyDescent="0.25">
      <c r="K5049"/>
    </row>
    <row r="5050" spans="11:11" ht="15" x14ac:dyDescent="0.25">
      <c r="K5050"/>
    </row>
    <row r="5051" spans="11:11" ht="15" x14ac:dyDescent="0.25">
      <c r="K5051"/>
    </row>
    <row r="5052" spans="11:11" ht="15" x14ac:dyDescent="0.25">
      <c r="K5052"/>
    </row>
    <row r="5053" spans="11:11" ht="15" x14ac:dyDescent="0.25">
      <c r="K5053"/>
    </row>
    <row r="5054" spans="11:11" ht="15" x14ac:dyDescent="0.25">
      <c r="K5054"/>
    </row>
    <row r="5055" spans="11:11" ht="15" x14ac:dyDescent="0.25">
      <c r="K5055"/>
    </row>
    <row r="5056" spans="11:11" ht="15" x14ac:dyDescent="0.25">
      <c r="K5056"/>
    </row>
    <row r="5057" spans="11:11" ht="15" x14ac:dyDescent="0.25">
      <c r="K5057"/>
    </row>
    <row r="5058" spans="11:11" ht="15" x14ac:dyDescent="0.25">
      <c r="K5058"/>
    </row>
    <row r="5059" spans="11:11" ht="15" x14ac:dyDescent="0.25">
      <c r="K5059"/>
    </row>
    <row r="5060" spans="11:11" ht="15" x14ac:dyDescent="0.25">
      <c r="K5060"/>
    </row>
    <row r="5061" spans="11:11" ht="15" x14ac:dyDescent="0.25">
      <c r="K5061"/>
    </row>
    <row r="5062" spans="11:11" ht="15" x14ac:dyDescent="0.25">
      <c r="K5062"/>
    </row>
    <row r="5063" spans="11:11" ht="15" x14ac:dyDescent="0.25">
      <c r="K5063"/>
    </row>
    <row r="5064" spans="11:11" ht="15" x14ac:dyDescent="0.25">
      <c r="K5064"/>
    </row>
    <row r="5065" spans="11:11" ht="15" x14ac:dyDescent="0.25">
      <c r="K5065"/>
    </row>
    <row r="5066" spans="11:11" ht="15" x14ac:dyDescent="0.25">
      <c r="K5066"/>
    </row>
    <row r="5067" spans="11:11" ht="15" x14ac:dyDescent="0.25">
      <c r="K5067"/>
    </row>
    <row r="5068" spans="11:11" ht="15" x14ac:dyDescent="0.25">
      <c r="K5068"/>
    </row>
    <row r="5069" spans="11:11" ht="15" x14ac:dyDescent="0.25">
      <c r="K5069"/>
    </row>
    <row r="5070" spans="11:11" ht="15" x14ac:dyDescent="0.25">
      <c r="K5070"/>
    </row>
    <row r="5071" spans="11:11" ht="15" x14ac:dyDescent="0.25">
      <c r="K5071"/>
    </row>
    <row r="5072" spans="11:11" ht="15" x14ac:dyDescent="0.25">
      <c r="K5072"/>
    </row>
    <row r="5073" spans="11:11" ht="15" x14ac:dyDescent="0.25">
      <c r="K5073"/>
    </row>
    <row r="5074" spans="11:11" ht="15" x14ac:dyDescent="0.25">
      <c r="K5074"/>
    </row>
    <row r="5075" spans="11:11" ht="15" x14ac:dyDescent="0.25">
      <c r="K5075"/>
    </row>
    <row r="5076" spans="11:11" ht="15" x14ac:dyDescent="0.25">
      <c r="K5076"/>
    </row>
    <row r="5077" spans="11:11" ht="15" x14ac:dyDescent="0.25">
      <c r="K5077"/>
    </row>
    <row r="5078" spans="11:11" ht="15" x14ac:dyDescent="0.25">
      <c r="K5078"/>
    </row>
    <row r="5079" spans="11:11" ht="15" x14ac:dyDescent="0.25">
      <c r="K5079"/>
    </row>
    <row r="5080" spans="11:11" ht="15" x14ac:dyDescent="0.25">
      <c r="K5080"/>
    </row>
    <row r="5081" spans="11:11" ht="15" x14ac:dyDescent="0.25">
      <c r="K5081"/>
    </row>
    <row r="5082" spans="11:11" ht="15" x14ac:dyDescent="0.25">
      <c r="K5082"/>
    </row>
    <row r="5083" spans="11:11" ht="15" x14ac:dyDescent="0.25">
      <c r="K5083"/>
    </row>
    <row r="5084" spans="11:11" ht="15" x14ac:dyDescent="0.25">
      <c r="K5084"/>
    </row>
    <row r="5085" spans="11:11" ht="15" x14ac:dyDescent="0.25">
      <c r="K5085"/>
    </row>
    <row r="5086" spans="11:11" ht="15" x14ac:dyDescent="0.25">
      <c r="K5086"/>
    </row>
    <row r="5087" spans="11:11" ht="15" x14ac:dyDescent="0.25">
      <c r="K5087"/>
    </row>
    <row r="5088" spans="11:11" ht="15" x14ac:dyDescent="0.25">
      <c r="K5088"/>
    </row>
    <row r="5089" spans="11:11" ht="15" x14ac:dyDescent="0.25">
      <c r="K5089"/>
    </row>
    <row r="5090" spans="11:11" ht="15" x14ac:dyDescent="0.25">
      <c r="K5090"/>
    </row>
    <row r="5091" spans="11:11" ht="15" x14ac:dyDescent="0.25">
      <c r="K5091"/>
    </row>
    <row r="5092" spans="11:11" ht="15" x14ac:dyDescent="0.25">
      <c r="K5092"/>
    </row>
    <row r="5093" spans="11:11" ht="15" x14ac:dyDescent="0.25">
      <c r="K5093"/>
    </row>
    <row r="5094" spans="11:11" ht="15" x14ac:dyDescent="0.25">
      <c r="K5094"/>
    </row>
    <row r="5095" spans="11:11" ht="15" x14ac:dyDescent="0.25">
      <c r="K5095"/>
    </row>
    <row r="5096" spans="11:11" ht="15" x14ac:dyDescent="0.25">
      <c r="K5096"/>
    </row>
    <row r="5097" spans="11:11" ht="15" x14ac:dyDescent="0.25">
      <c r="K5097"/>
    </row>
    <row r="5098" spans="11:11" ht="15" x14ac:dyDescent="0.25">
      <c r="K5098"/>
    </row>
    <row r="5099" spans="11:11" ht="15" x14ac:dyDescent="0.25">
      <c r="K5099"/>
    </row>
    <row r="5100" spans="11:11" ht="15" x14ac:dyDescent="0.25">
      <c r="K5100"/>
    </row>
    <row r="5101" spans="11:11" ht="15" x14ac:dyDescent="0.25">
      <c r="K5101"/>
    </row>
    <row r="5102" spans="11:11" ht="15" x14ac:dyDescent="0.25">
      <c r="K5102"/>
    </row>
    <row r="5103" spans="11:11" ht="15" x14ac:dyDescent="0.25">
      <c r="K5103"/>
    </row>
    <row r="5104" spans="11:11" ht="15" x14ac:dyDescent="0.25">
      <c r="K5104"/>
    </row>
    <row r="5105" spans="11:11" ht="15" x14ac:dyDescent="0.25">
      <c r="K5105"/>
    </row>
    <row r="5106" spans="11:11" ht="15" x14ac:dyDescent="0.25">
      <c r="K5106"/>
    </row>
    <row r="5107" spans="11:11" ht="15" x14ac:dyDescent="0.25">
      <c r="K5107"/>
    </row>
    <row r="5108" spans="11:11" ht="15" x14ac:dyDescent="0.25">
      <c r="K5108"/>
    </row>
    <row r="5109" spans="11:11" ht="15" x14ac:dyDescent="0.25">
      <c r="K5109"/>
    </row>
    <row r="5110" spans="11:11" ht="15" x14ac:dyDescent="0.25">
      <c r="K5110"/>
    </row>
    <row r="5111" spans="11:11" ht="15" x14ac:dyDescent="0.25">
      <c r="K5111"/>
    </row>
    <row r="5112" spans="11:11" ht="15" x14ac:dyDescent="0.25">
      <c r="K5112"/>
    </row>
    <row r="5113" spans="11:11" ht="15" x14ac:dyDescent="0.25">
      <c r="K5113"/>
    </row>
    <row r="5114" spans="11:11" ht="15" x14ac:dyDescent="0.25">
      <c r="K5114"/>
    </row>
    <row r="5115" spans="11:11" ht="15" x14ac:dyDescent="0.25">
      <c r="K5115"/>
    </row>
    <row r="5116" spans="11:11" ht="15" x14ac:dyDescent="0.25">
      <c r="K5116"/>
    </row>
    <row r="5117" spans="11:11" ht="15" x14ac:dyDescent="0.25">
      <c r="K5117"/>
    </row>
    <row r="5118" spans="11:11" ht="15" x14ac:dyDescent="0.25">
      <c r="K5118"/>
    </row>
    <row r="5119" spans="11:11" ht="15" x14ac:dyDescent="0.25">
      <c r="K5119"/>
    </row>
    <row r="5120" spans="11:11" ht="15" x14ac:dyDescent="0.25">
      <c r="K5120"/>
    </row>
    <row r="5121" spans="11:11" ht="15" x14ac:dyDescent="0.25">
      <c r="K5121"/>
    </row>
    <row r="5122" spans="11:11" ht="15" x14ac:dyDescent="0.25">
      <c r="K5122"/>
    </row>
    <row r="5123" spans="11:11" ht="15" x14ac:dyDescent="0.25">
      <c r="K5123"/>
    </row>
    <row r="5124" spans="11:11" ht="15" x14ac:dyDescent="0.25">
      <c r="K5124"/>
    </row>
    <row r="5125" spans="11:11" ht="15" x14ac:dyDescent="0.25">
      <c r="K5125"/>
    </row>
    <row r="5126" spans="11:11" ht="15" x14ac:dyDescent="0.25">
      <c r="K5126"/>
    </row>
    <row r="5127" spans="11:11" ht="15" x14ac:dyDescent="0.25">
      <c r="K5127"/>
    </row>
    <row r="5128" spans="11:11" ht="15" x14ac:dyDescent="0.25">
      <c r="K5128"/>
    </row>
    <row r="5129" spans="11:11" ht="15" x14ac:dyDescent="0.25">
      <c r="K5129"/>
    </row>
    <row r="5130" spans="11:11" ht="15" x14ac:dyDescent="0.25">
      <c r="K5130"/>
    </row>
    <row r="5131" spans="11:11" ht="15" x14ac:dyDescent="0.25">
      <c r="K5131"/>
    </row>
    <row r="5132" spans="11:11" ht="15" x14ac:dyDescent="0.25">
      <c r="K5132"/>
    </row>
    <row r="5133" spans="11:11" ht="15" x14ac:dyDescent="0.25">
      <c r="K5133"/>
    </row>
    <row r="5134" spans="11:11" ht="15" x14ac:dyDescent="0.25">
      <c r="K5134"/>
    </row>
    <row r="5135" spans="11:11" ht="15" x14ac:dyDescent="0.25">
      <c r="K5135"/>
    </row>
    <row r="5136" spans="11:11" ht="15" x14ac:dyDescent="0.25">
      <c r="K5136"/>
    </row>
    <row r="5137" spans="11:11" ht="15" x14ac:dyDescent="0.25">
      <c r="K5137"/>
    </row>
    <row r="5138" spans="11:11" ht="15" x14ac:dyDescent="0.25">
      <c r="K5138"/>
    </row>
    <row r="5139" spans="11:11" ht="15" x14ac:dyDescent="0.25">
      <c r="K5139"/>
    </row>
    <row r="5140" spans="11:11" ht="15" x14ac:dyDescent="0.25">
      <c r="K5140"/>
    </row>
    <row r="5141" spans="11:11" ht="15" x14ac:dyDescent="0.25">
      <c r="K5141"/>
    </row>
    <row r="5142" spans="11:11" ht="15" x14ac:dyDescent="0.25">
      <c r="K5142"/>
    </row>
    <row r="5143" spans="11:11" ht="15" x14ac:dyDescent="0.25">
      <c r="K5143"/>
    </row>
    <row r="5144" spans="11:11" ht="15" x14ac:dyDescent="0.25">
      <c r="K5144"/>
    </row>
    <row r="5145" spans="11:11" ht="15" x14ac:dyDescent="0.25">
      <c r="K5145"/>
    </row>
    <row r="5146" spans="11:11" ht="15" x14ac:dyDescent="0.25">
      <c r="K5146"/>
    </row>
    <row r="5147" spans="11:11" ht="15" x14ac:dyDescent="0.25">
      <c r="K5147"/>
    </row>
    <row r="5148" spans="11:11" ht="15" x14ac:dyDescent="0.25">
      <c r="K5148"/>
    </row>
    <row r="5149" spans="11:11" ht="15" x14ac:dyDescent="0.25">
      <c r="K5149"/>
    </row>
    <row r="5150" spans="11:11" ht="15" x14ac:dyDescent="0.25">
      <c r="K5150"/>
    </row>
    <row r="5151" spans="11:11" ht="15" x14ac:dyDescent="0.25">
      <c r="K5151"/>
    </row>
    <row r="5152" spans="11:11" ht="15" x14ac:dyDescent="0.25">
      <c r="K5152"/>
    </row>
    <row r="5153" spans="11:11" ht="15" x14ac:dyDescent="0.25">
      <c r="K5153"/>
    </row>
    <row r="5154" spans="11:11" ht="15" x14ac:dyDescent="0.25">
      <c r="K5154"/>
    </row>
    <row r="5155" spans="11:11" ht="15" x14ac:dyDescent="0.25">
      <c r="K5155"/>
    </row>
    <row r="5156" spans="11:11" ht="15" x14ac:dyDescent="0.25">
      <c r="K5156"/>
    </row>
    <row r="5157" spans="11:11" ht="15" x14ac:dyDescent="0.25">
      <c r="K5157"/>
    </row>
    <row r="5158" spans="11:11" ht="15" x14ac:dyDescent="0.25">
      <c r="K5158"/>
    </row>
    <row r="5159" spans="11:11" ht="15" x14ac:dyDescent="0.25">
      <c r="K5159"/>
    </row>
    <row r="5160" spans="11:11" ht="15" x14ac:dyDescent="0.25">
      <c r="K5160"/>
    </row>
    <row r="5161" spans="11:11" ht="15" x14ac:dyDescent="0.25">
      <c r="K5161"/>
    </row>
    <row r="5162" spans="11:11" ht="15" x14ac:dyDescent="0.25">
      <c r="K5162"/>
    </row>
    <row r="5163" spans="11:11" ht="15" x14ac:dyDescent="0.25">
      <c r="K5163"/>
    </row>
    <row r="5164" spans="11:11" ht="15" x14ac:dyDescent="0.25">
      <c r="K5164"/>
    </row>
    <row r="5165" spans="11:11" ht="15" x14ac:dyDescent="0.25">
      <c r="K5165"/>
    </row>
    <row r="5166" spans="11:11" ht="15" x14ac:dyDescent="0.25">
      <c r="K5166"/>
    </row>
    <row r="5167" spans="11:11" ht="15" x14ac:dyDescent="0.25">
      <c r="K5167"/>
    </row>
    <row r="5168" spans="11:11" ht="15" x14ac:dyDescent="0.25">
      <c r="K5168"/>
    </row>
    <row r="5169" spans="11:11" ht="15" x14ac:dyDescent="0.25">
      <c r="K5169"/>
    </row>
    <row r="5170" spans="11:11" ht="15" x14ac:dyDescent="0.25">
      <c r="K5170"/>
    </row>
    <row r="5171" spans="11:11" ht="15" x14ac:dyDescent="0.25">
      <c r="K5171"/>
    </row>
    <row r="5172" spans="11:11" ht="15" x14ac:dyDescent="0.25">
      <c r="K5172"/>
    </row>
    <row r="5173" spans="11:11" ht="15" x14ac:dyDescent="0.25">
      <c r="K5173"/>
    </row>
    <row r="5174" spans="11:11" ht="15" x14ac:dyDescent="0.25">
      <c r="K5174"/>
    </row>
    <row r="5175" spans="11:11" ht="15" x14ac:dyDescent="0.25">
      <c r="K5175"/>
    </row>
    <row r="5176" spans="11:11" ht="15" x14ac:dyDescent="0.25">
      <c r="K5176"/>
    </row>
    <row r="5177" spans="11:11" ht="15" x14ac:dyDescent="0.25">
      <c r="K5177"/>
    </row>
    <row r="5178" spans="11:11" ht="15" x14ac:dyDescent="0.25">
      <c r="K5178"/>
    </row>
    <row r="5179" spans="11:11" ht="15" x14ac:dyDescent="0.25">
      <c r="K5179"/>
    </row>
    <row r="5180" spans="11:11" ht="15" x14ac:dyDescent="0.25">
      <c r="K5180"/>
    </row>
    <row r="5181" spans="11:11" ht="15" x14ac:dyDescent="0.25">
      <c r="K5181"/>
    </row>
    <row r="5182" spans="11:11" ht="15" x14ac:dyDescent="0.25">
      <c r="K5182"/>
    </row>
    <row r="5183" spans="11:11" ht="15" x14ac:dyDescent="0.25">
      <c r="K5183"/>
    </row>
    <row r="5184" spans="11:11" ht="15" x14ac:dyDescent="0.25">
      <c r="K5184"/>
    </row>
    <row r="5185" spans="11:11" ht="15" x14ac:dyDescent="0.25">
      <c r="K5185"/>
    </row>
    <row r="5186" spans="11:11" ht="15" x14ac:dyDescent="0.25">
      <c r="K5186"/>
    </row>
    <row r="5187" spans="11:11" ht="15" x14ac:dyDescent="0.25">
      <c r="K5187"/>
    </row>
    <row r="5188" spans="11:11" ht="15" x14ac:dyDescent="0.25">
      <c r="K5188"/>
    </row>
    <row r="5189" spans="11:11" ht="15" x14ac:dyDescent="0.25">
      <c r="K5189"/>
    </row>
    <row r="5190" spans="11:11" ht="15" x14ac:dyDescent="0.25">
      <c r="K5190"/>
    </row>
    <row r="5191" spans="11:11" ht="15" x14ac:dyDescent="0.25">
      <c r="K5191"/>
    </row>
    <row r="5192" spans="11:11" ht="15" x14ac:dyDescent="0.25">
      <c r="K5192"/>
    </row>
    <row r="5193" spans="11:11" ht="15" x14ac:dyDescent="0.25">
      <c r="K5193"/>
    </row>
    <row r="5194" spans="11:11" ht="15" x14ac:dyDescent="0.25">
      <c r="K5194"/>
    </row>
    <row r="5195" spans="11:11" ht="15" x14ac:dyDescent="0.25">
      <c r="K5195"/>
    </row>
    <row r="5196" spans="11:11" ht="15" x14ac:dyDescent="0.25">
      <c r="K5196"/>
    </row>
    <row r="5197" spans="11:11" ht="15" x14ac:dyDescent="0.25">
      <c r="K5197"/>
    </row>
    <row r="5198" spans="11:11" ht="15" x14ac:dyDescent="0.25">
      <c r="K5198"/>
    </row>
    <row r="5199" spans="11:11" ht="15" x14ac:dyDescent="0.25">
      <c r="K5199"/>
    </row>
    <row r="5200" spans="11:11" ht="15" x14ac:dyDescent="0.25">
      <c r="K5200"/>
    </row>
    <row r="5201" spans="11:11" ht="15" x14ac:dyDescent="0.25">
      <c r="K5201"/>
    </row>
    <row r="5202" spans="11:11" ht="15" x14ac:dyDescent="0.25">
      <c r="K5202"/>
    </row>
    <row r="5203" spans="11:11" ht="15" x14ac:dyDescent="0.25">
      <c r="K5203"/>
    </row>
    <row r="5204" spans="11:11" ht="15" x14ac:dyDescent="0.25">
      <c r="K5204"/>
    </row>
    <row r="5205" spans="11:11" ht="15" x14ac:dyDescent="0.25">
      <c r="K5205"/>
    </row>
    <row r="5206" spans="11:11" ht="15" x14ac:dyDescent="0.25">
      <c r="K5206"/>
    </row>
    <row r="5207" spans="11:11" ht="15" x14ac:dyDescent="0.25">
      <c r="K5207"/>
    </row>
    <row r="5208" spans="11:11" ht="15" x14ac:dyDescent="0.25">
      <c r="K5208"/>
    </row>
    <row r="5209" spans="11:11" ht="15" x14ac:dyDescent="0.25">
      <c r="K5209"/>
    </row>
    <row r="5210" spans="11:11" ht="15" x14ac:dyDescent="0.25">
      <c r="K5210"/>
    </row>
    <row r="5211" spans="11:11" ht="15" x14ac:dyDescent="0.25">
      <c r="K5211"/>
    </row>
    <row r="5212" spans="11:11" ht="15" x14ac:dyDescent="0.25">
      <c r="K5212"/>
    </row>
    <row r="5213" spans="11:11" ht="15" x14ac:dyDescent="0.25">
      <c r="K5213"/>
    </row>
    <row r="5214" spans="11:11" ht="15" x14ac:dyDescent="0.25">
      <c r="K5214"/>
    </row>
    <row r="5215" spans="11:11" ht="15" x14ac:dyDescent="0.25">
      <c r="K5215"/>
    </row>
    <row r="5216" spans="11:11" ht="15" x14ac:dyDescent="0.25">
      <c r="K5216"/>
    </row>
    <row r="5217" spans="11:11" ht="15" x14ac:dyDescent="0.25">
      <c r="K5217"/>
    </row>
    <row r="5218" spans="11:11" ht="15" x14ac:dyDescent="0.25">
      <c r="K5218"/>
    </row>
    <row r="5219" spans="11:11" ht="15" x14ac:dyDescent="0.25">
      <c r="K5219"/>
    </row>
    <row r="5220" spans="11:11" ht="15" x14ac:dyDescent="0.25">
      <c r="K5220"/>
    </row>
    <row r="5221" spans="11:11" ht="15" x14ac:dyDescent="0.25">
      <c r="K5221"/>
    </row>
    <row r="5222" spans="11:11" ht="15" x14ac:dyDescent="0.25">
      <c r="K5222"/>
    </row>
    <row r="5223" spans="11:11" ht="15" x14ac:dyDescent="0.25">
      <c r="K5223"/>
    </row>
    <row r="5224" spans="11:11" ht="15" x14ac:dyDescent="0.25">
      <c r="K5224"/>
    </row>
    <row r="5225" spans="11:11" ht="15" x14ac:dyDescent="0.25">
      <c r="K5225"/>
    </row>
    <row r="5226" spans="11:11" ht="15" x14ac:dyDescent="0.25">
      <c r="K5226"/>
    </row>
    <row r="5227" spans="11:11" ht="15" x14ac:dyDescent="0.25">
      <c r="K5227"/>
    </row>
    <row r="5228" spans="11:11" ht="15" x14ac:dyDescent="0.25">
      <c r="K5228"/>
    </row>
    <row r="5229" spans="11:11" ht="15" x14ac:dyDescent="0.25">
      <c r="K5229"/>
    </row>
    <row r="5230" spans="11:11" ht="15" x14ac:dyDescent="0.25">
      <c r="K5230"/>
    </row>
    <row r="5231" spans="11:11" ht="15" x14ac:dyDescent="0.25">
      <c r="K5231"/>
    </row>
    <row r="5232" spans="11:11" ht="15" x14ac:dyDescent="0.25">
      <c r="K5232"/>
    </row>
    <row r="5233" spans="11:11" ht="15" x14ac:dyDescent="0.25">
      <c r="K5233"/>
    </row>
    <row r="5234" spans="11:11" ht="15" x14ac:dyDescent="0.25">
      <c r="K5234"/>
    </row>
    <row r="5235" spans="11:11" ht="15" x14ac:dyDescent="0.25">
      <c r="K5235"/>
    </row>
    <row r="5236" spans="11:11" ht="15" x14ac:dyDescent="0.25">
      <c r="K5236"/>
    </row>
    <row r="5237" spans="11:11" ht="15" x14ac:dyDescent="0.25">
      <c r="K5237"/>
    </row>
    <row r="5238" spans="11:11" ht="15" x14ac:dyDescent="0.25">
      <c r="K5238"/>
    </row>
    <row r="5239" spans="11:11" ht="15" x14ac:dyDescent="0.25">
      <c r="K5239"/>
    </row>
    <row r="5240" spans="11:11" ht="15" x14ac:dyDescent="0.25">
      <c r="K5240"/>
    </row>
    <row r="5241" spans="11:11" ht="15" x14ac:dyDescent="0.25">
      <c r="K5241"/>
    </row>
    <row r="5242" spans="11:11" ht="15" x14ac:dyDescent="0.25">
      <c r="K5242"/>
    </row>
    <row r="5243" spans="11:11" ht="15" x14ac:dyDescent="0.25">
      <c r="K5243"/>
    </row>
    <row r="5244" spans="11:11" ht="15" x14ac:dyDescent="0.25">
      <c r="K5244"/>
    </row>
    <row r="5245" spans="11:11" ht="15" x14ac:dyDescent="0.25">
      <c r="K5245"/>
    </row>
    <row r="5246" spans="11:11" ht="15" x14ac:dyDescent="0.25">
      <c r="K5246"/>
    </row>
    <row r="5247" spans="11:11" ht="15" x14ac:dyDescent="0.25">
      <c r="K5247"/>
    </row>
    <row r="5248" spans="11:11" ht="15" x14ac:dyDescent="0.25">
      <c r="K5248"/>
    </row>
    <row r="5249" spans="11:11" ht="15" x14ac:dyDescent="0.25">
      <c r="K5249"/>
    </row>
    <row r="5250" spans="11:11" ht="15" x14ac:dyDescent="0.25">
      <c r="K5250"/>
    </row>
    <row r="5251" spans="11:11" ht="15" x14ac:dyDescent="0.25">
      <c r="K5251"/>
    </row>
    <row r="5252" spans="11:11" ht="15" x14ac:dyDescent="0.25">
      <c r="K5252"/>
    </row>
    <row r="5253" spans="11:11" ht="15" x14ac:dyDescent="0.25">
      <c r="K5253"/>
    </row>
    <row r="5254" spans="11:11" ht="15" x14ac:dyDescent="0.25">
      <c r="K5254"/>
    </row>
    <row r="5255" spans="11:11" ht="15" x14ac:dyDescent="0.25">
      <c r="K5255"/>
    </row>
    <row r="5256" spans="11:11" ht="15" x14ac:dyDescent="0.25">
      <c r="K5256"/>
    </row>
    <row r="5257" spans="11:11" ht="15" x14ac:dyDescent="0.25">
      <c r="K5257"/>
    </row>
    <row r="5258" spans="11:11" ht="15" x14ac:dyDescent="0.25">
      <c r="K5258"/>
    </row>
    <row r="5259" spans="11:11" ht="15" x14ac:dyDescent="0.25">
      <c r="K5259"/>
    </row>
    <row r="5260" spans="11:11" ht="15" x14ac:dyDescent="0.25">
      <c r="K5260"/>
    </row>
    <row r="5261" spans="11:11" ht="15" x14ac:dyDescent="0.25">
      <c r="K5261"/>
    </row>
    <row r="5262" spans="11:11" ht="15" x14ac:dyDescent="0.25">
      <c r="K5262"/>
    </row>
    <row r="5263" spans="11:11" ht="15" x14ac:dyDescent="0.25">
      <c r="K5263"/>
    </row>
    <row r="5264" spans="11:11" ht="15" x14ac:dyDescent="0.25">
      <c r="K5264"/>
    </row>
    <row r="5265" spans="11:11" ht="15" x14ac:dyDescent="0.25">
      <c r="K5265"/>
    </row>
    <row r="5266" spans="11:11" ht="15" x14ac:dyDescent="0.25">
      <c r="K5266"/>
    </row>
    <row r="5267" spans="11:11" ht="15" x14ac:dyDescent="0.25">
      <c r="K5267"/>
    </row>
    <row r="5268" spans="11:11" ht="15" x14ac:dyDescent="0.25">
      <c r="K5268"/>
    </row>
    <row r="5269" spans="11:11" ht="15" x14ac:dyDescent="0.25">
      <c r="K5269"/>
    </row>
    <row r="5270" spans="11:11" ht="15" x14ac:dyDescent="0.25">
      <c r="K5270"/>
    </row>
    <row r="5271" spans="11:11" ht="15" x14ac:dyDescent="0.25">
      <c r="K5271"/>
    </row>
    <row r="5272" spans="11:11" ht="15" x14ac:dyDescent="0.25">
      <c r="K5272"/>
    </row>
    <row r="5273" spans="11:11" ht="15" x14ac:dyDescent="0.25">
      <c r="K5273"/>
    </row>
    <row r="5274" spans="11:11" ht="15" x14ac:dyDescent="0.25">
      <c r="K5274"/>
    </row>
    <row r="5275" spans="11:11" ht="15" x14ac:dyDescent="0.25">
      <c r="K5275"/>
    </row>
    <row r="5276" spans="11:11" ht="15" x14ac:dyDescent="0.25">
      <c r="K5276"/>
    </row>
    <row r="5277" spans="11:11" ht="15" x14ac:dyDescent="0.25">
      <c r="K5277"/>
    </row>
    <row r="5278" spans="11:11" ht="15" x14ac:dyDescent="0.25">
      <c r="K5278"/>
    </row>
    <row r="5279" spans="11:11" ht="15" x14ac:dyDescent="0.25">
      <c r="K5279"/>
    </row>
    <row r="5280" spans="11:11" ht="15" x14ac:dyDescent="0.25">
      <c r="K5280"/>
    </row>
    <row r="5281" spans="11:11" ht="15" x14ac:dyDescent="0.25">
      <c r="K5281"/>
    </row>
    <row r="5282" spans="11:11" ht="15" x14ac:dyDescent="0.25">
      <c r="K5282"/>
    </row>
    <row r="5283" spans="11:11" ht="15" x14ac:dyDescent="0.25">
      <c r="K5283"/>
    </row>
    <row r="5284" spans="11:11" ht="15" x14ac:dyDescent="0.25">
      <c r="K5284"/>
    </row>
    <row r="5285" spans="11:11" ht="15" x14ac:dyDescent="0.25">
      <c r="K5285"/>
    </row>
    <row r="5286" spans="11:11" ht="15" x14ac:dyDescent="0.25">
      <c r="K5286"/>
    </row>
    <row r="5287" spans="11:11" ht="15" x14ac:dyDescent="0.25">
      <c r="K5287"/>
    </row>
    <row r="5288" spans="11:11" ht="15" x14ac:dyDescent="0.25">
      <c r="K5288"/>
    </row>
    <row r="5289" spans="11:11" ht="15" x14ac:dyDescent="0.25">
      <c r="K5289"/>
    </row>
    <row r="5290" spans="11:11" ht="15" x14ac:dyDescent="0.25">
      <c r="K5290"/>
    </row>
    <row r="5291" spans="11:11" ht="15" x14ac:dyDescent="0.25">
      <c r="K5291"/>
    </row>
    <row r="5292" spans="11:11" ht="15" x14ac:dyDescent="0.25">
      <c r="K5292"/>
    </row>
    <row r="5293" spans="11:11" ht="15" x14ac:dyDescent="0.25">
      <c r="K5293"/>
    </row>
    <row r="5294" spans="11:11" ht="15" x14ac:dyDescent="0.25">
      <c r="K5294"/>
    </row>
    <row r="5295" spans="11:11" ht="15" x14ac:dyDescent="0.25">
      <c r="K5295"/>
    </row>
    <row r="5296" spans="11:11" ht="15" x14ac:dyDescent="0.25">
      <c r="K5296"/>
    </row>
    <row r="5297" spans="11:11" ht="15" x14ac:dyDescent="0.25">
      <c r="K5297"/>
    </row>
    <row r="5298" spans="11:11" ht="15" x14ac:dyDescent="0.25">
      <c r="K5298"/>
    </row>
    <row r="5299" spans="11:11" ht="15" x14ac:dyDescent="0.25">
      <c r="K5299"/>
    </row>
    <row r="5300" spans="11:11" ht="15" x14ac:dyDescent="0.25">
      <c r="K5300"/>
    </row>
    <row r="5301" spans="11:11" ht="15" x14ac:dyDescent="0.25">
      <c r="K5301"/>
    </row>
    <row r="5302" spans="11:11" ht="15" x14ac:dyDescent="0.25">
      <c r="K5302"/>
    </row>
    <row r="5303" spans="11:11" ht="15" x14ac:dyDescent="0.25">
      <c r="K5303"/>
    </row>
    <row r="5304" spans="11:11" ht="15" x14ac:dyDescent="0.25">
      <c r="K5304"/>
    </row>
    <row r="5305" spans="11:11" ht="15" x14ac:dyDescent="0.25">
      <c r="K5305"/>
    </row>
    <row r="5306" spans="11:11" ht="15" x14ac:dyDescent="0.25">
      <c r="K5306"/>
    </row>
    <row r="5307" spans="11:11" ht="15" x14ac:dyDescent="0.25">
      <c r="K5307"/>
    </row>
    <row r="5308" spans="11:11" ht="15" x14ac:dyDescent="0.25">
      <c r="K5308"/>
    </row>
    <row r="5309" spans="11:11" ht="15" x14ac:dyDescent="0.25">
      <c r="K5309"/>
    </row>
    <row r="5310" spans="11:11" ht="15" x14ac:dyDescent="0.25">
      <c r="K5310"/>
    </row>
    <row r="5311" spans="11:11" ht="15" x14ac:dyDescent="0.25">
      <c r="K5311"/>
    </row>
    <row r="5312" spans="11:11" ht="15" x14ac:dyDescent="0.25">
      <c r="K5312"/>
    </row>
    <row r="5313" spans="11:11" ht="15" x14ac:dyDescent="0.25">
      <c r="K5313"/>
    </row>
    <row r="5314" spans="11:11" ht="15" x14ac:dyDescent="0.25">
      <c r="K5314"/>
    </row>
    <row r="5315" spans="11:11" ht="15" x14ac:dyDescent="0.25">
      <c r="K5315"/>
    </row>
    <row r="5316" spans="11:11" ht="15" x14ac:dyDescent="0.25">
      <c r="K5316"/>
    </row>
    <row r="5317" spans="11:11" ht="15" x14ac:dyDescent="0.25">
      <c r="K5317"/>
    </row>
    <row r="5318" spans="11:11" ht="15" x14ac:dyDescent="0.25">
      <c r="K5318"/>
    </row>
    <row r="5319" spans="11:11" ht="15" x14ac:dyDescent="0.25">
      <c r="K5319"/>
    </row>
    <row r="5320" spans="11:11" ht="15" x14ac:dyDescent="0.25">
      <c r="K5320"/>
    </row>
    <row r="5321" spans="11:11" ht="15" x14ac:dyDescent="0.25">
      <c r="K5321"/>
    </row>
    <row r="5322" spans="11:11" ht="15" x14ac:dyDescent="0.25">
      <c r="K5322"/>
    </row>
    <row r="5323" spans="11:11" ht="15" x14ac:dyDescent="0.25">
      <c r="K5323"/>
    </row>
    <row r="5324" spans="11:11" ht="15" x14ac:dyDescent="0.25">
      <c r="K5324"/>
    </row>
    <row r="5325" spans="11:11" ht="15" x14ac:dyDescent="0.25">
      <c r="K5325"/>
    </row>
    <row r="5326" spans="11:11" ht="15" x14ac:dyDescent="0.25">
      <c r="K5326"/>
    </row>
    <row r="5327" spans="11:11" ht="15" x14ac:dyDescent="0.25">
      <c r="K5327"/>
    </row>
    <row r="5328" spans="11:11" ht="15" x14ac:dyDescent="0.25">
      <c r="K5328"/>
    </row>
    <row r="5329" spans="11:11" ht="15" x14ac:dyDescent="0.25">
      <c r="K5329"/>
    </row>
    <row r="5330" spans="11:11" ht="15" x14ac:dyDescent="0.25">
      <c r="K5330"/>
    </row>
    <row r="5331" spans="11:11" ht="15" x14ac:dyDescent="0.25">
      <c r="K5331"/>
    </row>
    <row r="5332" spans="11:11" ht="15" x14ac:dyDescent="0.25">
      <c r="K5332"/>
    </row>
    <row r="5333" spans="11:11" ht="15" x14ac:dyDescent="0.25">
      <c r="K5333"/>
    </row>
    <row r="5334" spans="11:11" ht="15" x14ac:dyDescent="0.25">
      <c r="K5334"/>
    </row>
    <row r="5335" spans="11:11" ht="15" x14ac:dyDescent="0.25">
      <c r="K5335"/>
    </row>
    <row r="5336" spans="11:11" ht="15" x14ac:dyDescent="0.25">
      <c r="K5336"/>
    </row>
    <row r="5337" spans="11:11" ht="15" x14ac:dyDescent="0.25">
      <c r="K5337"/>
    </row>
    <row r="5338" spans="11:11" ht="15" x14ac:dyDescent="0.25">
      <c r="K5338"/>
    </row>
    <row r="5339" spans="11:11" ht="15" x14ac:dyDescent="0.25">
      <c r="K5339"/>
    </row>
    <row r="5340" spans="11:11" ht="15" x14ac:dyDescent="0.25">
      <c r="K5340"/>
    </row>
    <row r="5341" spans="11:11" ht="15" x14ac:dyDescent="0.25">
      <c r="K5341"/>
    </row>
    <row r="5342" spans="11:11" ht="15" x14ac:dyDescent="0.25">
      <c r="K5342"/>
    </row>
    <row r="5343" spans="11:11" ht="15" x14ac:dyDescent="0.25">
      <c r="K5343"/>
    </row>
    <row r="5344" spans="11:11" ht="15" x14ac:dyDescent="0.25">
      <c r="K5344"/>
    </row>
    <row r="5345" spans="11:11" ht="15" x14ac:dyDescent="0.25">
      <c r="K5345"/>
    </row>
    <row r="5346" spans="11:11" ht="15" x14ac:dyDescent="0.25">
      <c r="K5346"/>
    </row>
    <row r="5347" spans="11:11" ht="15" x14ac:dyDescent="0.25">
      <c r="K5347"/>
    </row>
    <row r="5348" spans="11:11" ht="15" x14ac:dyDescent="0.25">
      <c r="K5348"/>
    </row>
    <row r="5349" spans="11:11" ht="15" x14ac:dyDescent="0.25">
      <c r="K5349"/>
    </row>
    <row r="5350" spans="11:11" ht="15" x14ac:dyDescent="0.25">
      <c r="K5350"/>
    </row>
    <row r="5351" spans="11:11" ht="15" x14ac:dyDescent="0.25">
      <c r="K5351"/>
    </row>
    <row r="5352" spans="11:11" ht="15" x14ac:dyDescent="0.25">
      <c r="K5352"/>
    </row>
    <row r="5353" spans="11:11" ht="15" x14ac:dyDescent="0.25">
      <c r="K5353"/>
    </row>
    <row r="5354" spans="11:11" ht="15" x14ac:dyDescent="0.25">
      <c r="K5354"/>
    </row>
    <row r="5355" spans="11:11" ht="15" x14ac:dyDescent="0.25">
      <c r="K5355"/>
    </row>
    <row r="5356" spans="11:11" ht="15" x14ac:dyDescent="0.25">
      <c r="K5356"/>
    </row>
    <row r="5357" spans="11:11" ht="15" x14ac:dyDescent="0.25">
      <c r="K5357"/>
    </row>
    <row r="5358" spans="11:11" ht="15" x14ac:dyDescent="0.25">
      <c r="K5358"/>
    </row>
    <row r="5359" spans="11:11" ht="15" x14ac:dyDescent="0.25">
      <c r="K5359"/>
    </row>
    <row r="5360" spans="11:11" ht="15" x14ac:dyDescent="0.25">
      <c r="K5360"/>
    </row>
    <row r="5361" spans="11:11" ht="15" x14ac:dyDescent="0.25">
      <c r="K5361"/>
    </row>
    <row r="5362" spans="11:11" ht="15" x14ac:dyDescent="0.25">
      <c r="K5362"/>
    </row>
    <row r="5363" spans="11:11" ht="15" x14ac:dyDescent="0.25">
      <c r="K5363"/>
    </row>
    <row r="5364" spans="11:11" ht="15" x14ac:dyDescent="0.25">
      <c r="K5364"/>
    </row>
    <row r="5365" spans="11:11" ht="15" x14ac:dyDescent="0.25">
      <c r="K5365"/>
    </row>
    <row r="5366" spans="11:11" ht="15" x14ac:dyDescent="0.25">
      <c r="K5366"/>
    </row>
    <row r="5367" spans="11:11" ht="15" x14ac:dyDescent="0.25">
      <c r="K5367"/>
    </row>
    <row r="5368" spans="11:11" ht="15" x14ac:dyDescent="0.25">
      <c r="K5368"/>
    </row>
    <row r="5369" spans="11:11" ht="15" x14ac:dyDescent="0.25">
      <c r="K5369"/>
    </row>
    <row r="5370" spans="11:11" ht="15" x14ac:dyDescent="0.25">
      <c r="K5370"/>
    </row>
    <row r="5371" spans="11:11" ht="15" x14ac:dyDescent="0.25">
      <c r="K5371"/>
    </row>
    <row r="5372" spans="11:11" ht="15" x14ac:dyDescent="0.25">
      <c r="K5372"/>
    </row>
    <row r="5373" spans="11:11" ht="15" x14ac:dyDescent="0.25">
      <c r="K5373"/>
    </row>
    <row r="5374" spans="11:11" ht="15" x14ac:dyDescent="0.25">
      <c r="K5374"/>
    </row>
    <row r="5375" spans="11:11" ht="15" x14ac:dyDescent="0.25">
      <c r="K5375"/>
    </row>
    <row r="5376" spans="11:11" ht="15" x14ac:dyDescent="0.25">
      <c r="K5376"/>
    </row>
    <row r="5377" spans="11:11" ht="15" x14ac:dyDescent="0.25">
      <c r="K5377"/>
    </row>
    <row r="5378" spans="11:11" ht="15" x14ac:dyDescent="0.25">
      <c r="K5378"/>
    </row>
    <row r="5379" spans="11:11" ht="15" x14ac:dyDescent="0.25">
      <c r="K5379"/>
    </row>
    <row r="5380" spans="11:11" ht="15" x14ac:dyDescent="0.25">
      <c r="K5380"/>
    </row>
    <row r="5381" spans="11:11" ht="15" x14ac:dyDescent="0.25">
      <c r="K5381"/>
    </row>
    <row r="5382" spans="11:11" ht="15" x14ac:dyDescent="0.25">
      <c r="K5382"/>
    </row>
    <row r="5383" spans="11:11" ht="15" x14ac:dyDescent="0.25">
      <c r="K5383"/>
    </row>
    <row r="5384" spans="11:11" ht="15" x14ac:dyDescent="0.25">
      <c r="K5384"/>
    </row>
    <row r="5385" spans="11:11" ht="15" x14ac:dyDescent="0.25">
      <c r="K5385"/>
    </row>
    <row r="5386" spans="11:11" ht="15" x14ac:dyDescent="0.25">
      <c r="K5386"/>
    </row>
    <row r="5387" spans="11:11" ht="15" x14ac:dyDescent="0.25">
      <c r="K5387"/>
    </row>
    <row r="5388" spans="11:11" ht="15" x14ac:dyDescent="0.25">
      <c r="K5388"/>
    </row>
    <row r="5389" spans="11:11" ht="15" x14ac:dyDescent="0.25">
      <c r="K5389"/>
    </row>
    <row r="5390" spans="11:11" ht="15" x14ac:dyDescent="0.25">
      <c r="K5390"/>
    </row>
    <row r="5391" spans="11:11" ht="15" x14ac:dyDescent="0.25">
      <c r="K5391"/>
    </row>
    <row r="5392" spans="11:11" ht="15" x14ac:dyDescent="0.25">
      <c r="K5392"/>
    </row>
    <row r="5393" spans="11:11" ht="15" x14ac:dyDescent="0.25">
      <c r="K5393"/>
    </row>
    <row r="5394" spans="11:11" ht="15" x14ac:dyDescent="0.25">
      <c r="K5394"/>
    </row>
    <row r="5395" spans="11:11" ht="15" x14ac:dyDescent="0.25">
      <c r="K5395"/>
    </row>
    <row r="5396" spans="11:11" ht="15" x14ac:dyDescent="0.25">
      <c r="K5396"/>
    </row>
    <row r="5397" spans="11:11" ht="15" x14ac:dyDescent="0.25">
      <c r="K5397"/>
    </row>
    <row r="5398" spans="11:11" ht="15" x14ac:dyDescent="0.25">
      <c r="K5398"/>
    </row>
    <row r="5399" spans="11:11" ht="15" x14ac:dyDescent="0.25">
      <c r="K5399"/>
    </row>
    <row r="5400" spans="11:11" ht="15" x14ac:dyDescent="0.25">
      <c r="K5400"/>
    </row>
    <row r="5401" spans="11:11" ht="15" x14ac:dyDescent="0.25">
      <c r="K5401"/>
    </row>
    <row r="5402" spans="11:11" ht="15" x14ac:dyDescent="0.25">
      <c r="K5402"/>
    </row>
    <row r="5403" spans="11:11" ht="15" x14ac:dyDescent="0.25">
      <c r="K5403"/>
    </row>
    <row r="5404" spans="11:11" ht="15" x14ac:dyDescent="0.25">
      <c r="K5404"/>
    </row>
    <row r="5405" spans="11:11" ht="15" x14ac:dyDescent="0.25">
      <c r="K5405"/>
    </row>
    <row r="5406" spans="11:11" ht="15" x14ac:dyDescent="0.25">
      <c r="K5406"/>
    </row>
    <row r="5407" spans="11:11" ht="15" x14ac:dyDescent="0.25">
      <c r="K5407"/>
    </row>
    <row r="5408" spans="11:11" ht="15" x14ac:dyDescent="0.25">
      <c r="K5408"/>
    </row>
    <row r="5409" spans="11:11" ht="15" x14ac:dyDescent="0.25">
      <c r="K5409"/>
    </row>
    <row r="5410" spans="11:11" ht="15" x14ac:dyDescent="0.25">
      <c r="K5410"/>
    </row>
    <row r="5411" spans="11:11" ht="15" x14ac:dyDescent="0.25">
      <c r="K5411"/>
    </row>
    <row r="5412" spans="11:11" ht="15" x14ac:dyDescent="0.25">
      <c r="K5412"/>
    </row>
    <row r="5413" spans="11:11" ht="15" x14ac:dyDescent="0.25">
      <c r="K5413"/>
    </row>
    <row r="5414" spans="11:11" ht="15" x14ac:dyDescent="0.25">
      <c r="K5414"/>
    </row>
    <row r="5415" spans="11:11" ht="15" x14ac:dyDescent="0.25">
      <c r="K5415"/>
    </row>
    <row r="5416" spans="11:11" ht="15" x14ac:dyDescent="0.25">
      <c r="K5416"/>
    </row>
    <row r="5417" spans="11:11" ht="15" x14ac:dyDescent="0.25">
      <c r="K5417"/>
    </row>
    <row r="5418" spans="11:11" ht="15" x14ac:dyDescent="0.25">
      <c r="K5418"/>
    </row>
    <row r="5419" spans="11:11" ht="15" x14ac:dyDescent="0.25">
      <c r="K5419"/>
    </row>
    <row r="5420" spans="11:11" ht="15" x14ac:dyDescent="0.25">
      <c r="K5420"/>
    </row>
    <row r="5421" spans="11:11" ht="15" x14ac:dyDescent="0.25">
      <c r="K5421"/>
    </row>
    <row r="5422" spans="11:11" ht="15" x14ac:dyDescent="0.25">
      <c r="K5422"/>
    </row>
    <row r="5423" spans="11:11" ht="15" x14ac:dyDescent="0.25">
      <c r="K5423"/>
    </row>
    <row r="5424" spans="11:11" ht="15" x14ac:dyDescent="0.25">
      <c r="K5424"/>
    </row>
    <row r="5425" spans="11:11" ht="15" x14ac:dyDescent="0.25">
      <c r="K5425"/>
    </row>
    <row r="5426" spans="11:11" ht="15" x14ac:dyDescent="0.25">
      <c r="K5426"/>
    </row>
    <row r="5427" spans="11:11" ht="15" x14ac:dyDescent="0.25">
      <c r="K5427"/>
    </row>
    <row r="5428" spans="11:11" ht="15" x14ac:dyDescent="0.25">
      <c r="K5428"/>
    </row>
    <row r="5429" spans="11:11" ht="15" x14ac:dyDescent="0.25">
      <c r="K5429"/>
    </row>
    <row r="5430" spans="11:11" ht="15" x14ac:dyDescent="0.25">
      <c r="K5430"/>
    </row>
    <row r="5431" spans="11:11" ht="15" x14ac:dyDescent="0.25">
      <c r="K5431"/>
    </row>
    <row r="5432" spans="11:11" ht="15" x14ac:dyDescent="0.25">
      <c r="K5432"/>
    </row>
    <row r="5433" spans="11:11" ht="15" x14ac:dyDescent="0.25">
      <c r="K5433"/>
    </row>
    <row r="5434" spans="11:11" ht="15" x14ac:dyDescent="0.25">
      <c r="K5434"/>
    </row>
    <row r="5435" spans="11:11" ht="15" x14ac:dyDescent="0.25">
      <c r="K5435"/>
    </row>
    <row r="5436" spans="11:11" ht="15" x14ac:dyDescent="0.25">
      <c r="K5436"/>
    </row>
    <row r="5437" spans="11:11" ht="15" x14ac:dyDescent="0.25">
      <c r="K5437"/>
    </row>
    <row r="5438" spans="11:11" ht="15" x14ac:dyDescent="0.25">
      <c r="K5438"/>
    </row>
    <row r="5439" spans="11:11" ht="15" x14ac:dyDescent="0.25">
      <c r="K5439"/>
    </row>
    <row r="5440" spans="11:11" ht="15" x14ac:dyDescent="0.25">
      <c r="K5440"/>
    </row>
    <row r="5441" spans="11:11" ht="15" x14ac:dyDescent="0.25">
      <c r="K5441"/>
    </row>
    <row r="5442" spans="11:11" ht="15" x14ac:dyDescent="0.25">
      <c r="K5442"/>
    </row>
    <row r="5443" spans="11:11" ht="15" x14ac:dyDescent="0.25">
      <c r="K5443"/>
    </row>
    <row r="5444" spans="11:11" ht="15" x14ac:dyDescent="0.25">
      <c r="K5444"/>
    </row>
    <row r="5445" spans="11:11" ht="15" x14ac:dyDescent="0.25">
      <c r="K5445"/>
    </row>
    <row r="5446" spans="11:11" ht="15" x14ac:dyDescent="0.25">
      <c r="K5446"/>
    </row>
    <row r="5447" spans="11:11" ht="15" x14ac:dyDescent="0.25">
      <c r="K5447"/>
    </row>
    <row r="5448" spans="11:11" ht="15" x14ac:dyDescent="0.25">
      <c r="K5448"/>
    </row>
    <row r="5449" spans="11:11" ht="15" x14ac:dyDescent="0.25">
      <c r="K5449"/>
    </row>
    <row r="5450" spans="11:11" ht="15" x14ac:dyDescent="0.25">
      <c r="K5450"/>
    </row>
    <row r="5451" spans="11:11" ht="15" x14ac:dyDescent="0.25">
      <c r="K5451"/>
    </row>
    <row r="5452" spans="11:11" ht="15" x14ac:dyDescent="0.25">
      <c r="K5452"/>
    </row>
    <row r="5453" spans="11:11" ht="15" x14ac:dyDescent="0.25">
      <c r="K5453"/>
    </row>
    <row r="5454" spans="11:11" ht="15" x14ac:dyDescent="0.25">
      <c r="K5454"/>
    </row>
    <row r="5455" spans="11:11" ht="15" x14ac:dyDescent="0.25">
      <c r="K5455"/>
    </row>
    <row r="5456" spans="11:11" ht="15" x14ac:dyDescent="0.25">
      <c r="K5456"/>
    </row>
    <row r="5457" spans="11:11" ht="15" x14ac:dyDescent="0.25">
      <c r="K5457"/>
    </row>
    <row r="5458" spans="11:11" ht="15" x14ac:dyDescent="0.25">
      <c r="K5458"/>
    </row>
    <row r="5459" spans="11:11" ht="15" x14ac:dyDescent="0.25">
      <c r="K5459"/>
    </row>
    <row r="5460" spans="11:11" ht="15" x14ac:dyDescent="0.25">
      <c r="K5460"/>
    </row>
    <row r="5461" spans="11:11" ht="15" x14ac:dyDescent="0.25">
      <c r="K5461"/>
    </row>
    <row r="5462" spans="11:11" ht="15" x14ac:dyDescent="0.25">
      <c r="K5462"/>
    </row>
    <row r="5463" spans="11:11" ht="15" x14ac:dyDescent="0.25">
      <c r="K5463"/>
    </row>
    <row r="5464" spans="11:11" ht="15" x14ac:dyDescent="0.25">
      <c r="K5464"/>
    </row>
    <row r="5465" spans="11:11" ht="15" x14ac:dyDescent="0.25">
      <c r="K5465"/>
    </row>
    <row r="5466" spans="11:11" ht="15" x14ac:dyDescent="0.25">
      <c r="K5466"/>
    </row>
    <row r="5467" spans="11:11" ht="15" x14ac:dyDescent="0.25">
      <c r="K5467"/>
    </row>
    <row r="5468" spans="11:11" ht="15" x14ac:dyDescent="0.25">
      <c r="K5468"/>
    </row>
    <row r="5469" spans="11:11" ht="15" x14ac:dyDescent="0.25">
      <c r="K5469"/>
    </row>
    <row r="5470" spans="11:11" ht="15" x14ac:dyDescent="0.25">
      <c r="K5470"/>
    </row>
    <row r="5471" spans="11:11" ht="15" x14ac:dyDescent="0.25">
      <c r="K5471"/>
    </row>
    <row r="5472" spans="11:11" ht="15" x14ac:dyDescent="0.25">
      <c r="K5472"/>
    </row>
    <row r="5473" spans="11:11" ht="15" x14ac:dyDescent="0.25">
      <c r="K5473"/>
    </row>
    <row r="5474" spans="11:11" ht="15" x14ac:dyDescent="0.25">
      <c r="K5474"/>
    </row>
    <row r="5475" spans="11:11" ht="15" x14ac:dyDescent="0.25">
      <c r="K5475"/>
    </row>
    <row r="5476" spans="11:11" ht="15" x14ac:dyDescent="0.25">
      <c r="K5476"/>
    </row>
    <row r="5477" spans="11:11" ht="15" x14ac:dyDescent="0.25">
      <c r="K5477"/>
    </row>
    <row r="5478" spans="11:11" ht="15" x14ac:dyDescent="0.25">
      <c r="K5478"/>
    </row>
    <row r="5479" spans="11:11" ht="15" x14ac:dyDescent="0.25">
      <c r="K5479"/>
    </row>
    <row r="5480" spans="11:11" ht="15" x14ac:dyDescent="0.25">
      <c r="K5480"/>
    </row>
    <row r="5481" spans="11:11" ht="15" x14ac:dyDescent="0.25">
      <c r="K5481"/>
    </row>
    <row r="5482" spans="11:11" ht="15" x14ac:dyDescent="0.25">
      <c r="K5482"/>
    </row>
    <row r="5483" spans="11:11" ht="15" x14ac:dyDescent="0.25">
      <c r="K5483"/>
    </row>
    <row r="5484" spans="11:11" ht="15" x14ac:dyDescent="0.25">
      <c r="K5484"/>
    </row>
    <row r="5485" spans="11:11" ht="15" x14ac:dyDescent="0.25">
      <c r="K5485"/>
    </row>
    <row r="5486" spans="11:11" ht="15" x14ac:dyDescent="0.25">
      <c r="K5486"/>
    </row>
    <row r="5487" spans="11:11" ht="15" x14ac:dyDescent="0.25">
      <c r="K5487"/>
    </row>
    <row r="5488" spans="11:11" ht="15" x14ac:dyDescent="0.25">
      <c r="K5488"/>
    </row>
    <row r="5489" spans="11:11" ht="15" x14ac:dyDescent="0.25">
      <c r="K5489"/>
    </row>
    <row r="5490" spans="11:11" ht="15" x14ac:dyDescent="0.25">
      <c r="K5490"/>
    </row>
    <row r="5491" spans="11:11" ht="15" x14ac:dyDescent="0.25">
      <c r="K5491"/>
    </row>
    <row r="5492" spans="11:11" ht="15" x14ac:dyDescent="0.25">
      <c r="K5492"/>
    </row>
    <row r="5493" spans="11:11" ht="15" x14ac:dyDescent="0.25">
      <c r="K5493"/>
    </row>
    <row r="5494" spans="11:11" ht="15" x14ac:dyDescent="0.25">
      <c r="K5494"/>
    </row>
    <row r="5495" spans="11:11" ht="15" x14ac:dyDescent="0.25">
      <c r="K5495"/>
    </row>
    <row r="5496" spans="11:11" ht="15" x14ac:dyDescent="0.25">
      <c r="K5496"/>
    </row>
    <row r="5497" spans="11:11" ht="15" x14ac:dyDescent="0.25">
      <c r="K5497"/>
    </row>
    <row r="5498" spans="11:11" ht="15" x14ac:dyDescent="0.25">
      <c r="K5498"/>
    </row>
    <row r="5499" spans="11:11" ht="15" x14ac:dyDescent="0.25">
      <c r="K5499"/>
    </row>
    <row r="5500" spans="11:11" ht="15" x14ac:dyDescent="0.25">
      <c r="K5500"/>
    </row>
    <row r="5501" spans="11:11" ht="15" x14ac:dyDescent="0.25">
      <c r="K5501"/>
    </row>
    <row r="5502" spans="11:11" ht="15" x14ac:dyDescent="0.25">
      <c r="K5502"/>
    </row>
    <row r="5503" spans="11:11" ht="15" x14ac:dyDescent="0.25">
      <c r="K5503"/>
    </row>
    <row r="5504" spans="11:11" ht="15" x14ac:dyDescent="0.25">
      <c r="K5504"/>
    </row>
    <row r="5505" spans="11:11" ht="15" x14ac:dyDescent="0.25">
      <c r="K5505"/>
    </row>
    <row r="5506" spans="11:11" ht="15" x14ac:dyDescent="0.25">
      <c r="K5506"/>
    </row>
    <row r="5507" spans="11:11" ht="15" x14ac:dyDescent="0.25">
      <c r="K5507"/>
    </row>
    <row r="5508" spans="11:11" ht="15" x14ac:dyDescent="0.25">
      <c r="K5508"/>
    </row>
    <row r="5509" spans="11:11" ht="15" x14ac:dyDescent="0.25">
      <c r="K5509"/>
    </row>
    <row r="5510" spans="11:11" ht="15" x14ac:dyDescent="0.25">
      <c r="K5510"/>
    </row>
    <row r="5511" spans="11:11" ht="15" x14ac:dyDescent="0.25">
      <c r="K5511"/>
    </row>
    <row r="5512" spans="11:11" ht="15" x14ac:dyDescent="0.25">
      <c r="K5512"/>
    </row>
    <row r="5513" spans="11:11" ht="15" x14ac:dyDescent="0.25">
      <c r="K5513"/>
    </row>
    <row r="5514" spans="11:11" ht="15" x14ac:dyDescent="0.25">
      <c r="K5514"/>
    </row>
    <row r="5515" spans="11:11" ht="15" x14ac:dyDescent="0.25">
      <c r="K5515"/>
    </row>
    <row r="5516" spans="11:11" ht="15" x14ac:dyDescent="0.25">
      <c r="K5516"/>
    </row>
    <row r="5517" spans="11:11" ht="15" x14ac:dyDescent="0.25">
      <c r="K5517"/>
    </row>
    <row r="5518" spans="11:11" ht="15" x14ac:dyDescent="0.25">
      <c r="K5518"/>
    </row>
    <row r="5519" spans="11:11" ht="15" x14ac:dyDescent="0.25">
      <c r="K5519"/>
    </row>
    <row r="5520" spans="11:11" ht="15" x14ac:dyDescent="0.25">
      <c r="K5520"/>
    </row>
    <row r="5521" spans="11:11" ht="15" x14ac:dyDescent="0.25">
      <c r="K5521"/>
    </row>
    <row r="5522" spans="11:11" ht="15" x14ac:dyDescent="0.25">
      <c r="K5522"/>
    </row>
    <row r="5523" spans="11:11" ht="15" x14ac:dyDescent="0.25">
      <c r="K5523"/>
    </row>
    <row r="5524" spans="11:11" ht="15" x14ac:dyDescent="0.25">
      <c r="K5524"/>
    </row>
    <row r="5525" spans="11:11" ht="15" x14ac:dyDescent="0.25">
      <c r="K5525"/>
    </row>
    <row r="5526" spans="11:11" ht="15" x14ac:dyDescent="0.25">
      <c r="K5526"/>
    </row>
    <row r="5527" spans="11:11" ht="15" x14ac:dyDescent="0.25">
      <c r="K5527"/>
    </row>
    <row r="5528" spans="11:11" ht="15" x14ac:dyDescent="0.25">
      <c r="K5528"/>
    </row>
    <row r="5529" spans="11:11" ht="15" x14ac:dyDescent="0.25">
      <c r="K5529"/>
    </row>
    <row r="5530" spans="11:11" ht="15" x14ac:dyDescent="0.25">
      <c r="K5530"/>
    </row>
    <row r="5531" spans="11:11" ht="15" x14ac:dyDescent="0.25">
      <c r="K5531"/>
    </row>
    <row r="5532" spans="11:11" ht="15" x14ac:dyDescent="0.25">
      <c r="K5532"/>
    </row>
    <row r="5533" spans="11:11" ht="15" x14ac:dyDescent="0.25">
      <c r="K5533"/>
    </row>
    <row r="5534" spans="11:11" ht="15" x14ac:dyDescent="0.25">
      <c r="K5534"/>
    </row>
    <row r="5535" spans="11:11" ht="15" x14ac:dyDescent="0.25">
      <c r="K5535"/>
    </row>
    <row r="5536" spans="11:11" ht="15" x14ac:dyDescent="0.25">
      <c r="K5536"/>
    </row>
    <row r="5537" spans="11:11" ht="15" x14ac:dyDescent="0.25">
      <c r="K5537"/>
    </row>
    <row r="5538" spans="11:11" ht="15" x14ac:dyDescent="0.25">
      <c r="K5538"/>
    </row>
    <row r="5539" spans="11:11" ht="15" x14ac:dyDescent="0.25">
      <c r="K5539"/>
    </row>
    <row r="5540" spans="11:11" ht="15" x14ac:dyDescent="0.25">
      <c r="K5540"/>
    </row>
    <row r="5541" spans="11:11" ht="15" x14ac:dyDescent="0.25">
      <c r="K5541"/>
    </row>
    <row r="5542" spans="11:11" ht="15" x14ac:dyDescent="0.25">
      <c r="K5542"/>
    </row>
    <row r="5543" spans="11:11" ht="15" x14ac:dyDescent="0.25">
      <c r="K5543"/>
    </row>
    <row r="5544" spans="11:11" ht="15" x14ac:dyDescent="0.25">
      <c r="K5544"/>
    </row>
    <row r="5545" spans="11:11" ht="15" x14ac:dyDescent="0.25">
      <c r="K5545"/>
    </row>
    <row r="5546" spans="11:11" ht="15" x14ac:dyDescent="0.25">
      <c r="K5546"/>
    </row>
    <row r="5547" spans="11:11" ht="15" x14ac:dyDescent="0.25">
      <c r="K5547"/>
    </row>
    <row r="5548" spans="11:11" ht="15" x14ac:dyDescent="0.25">
      <c r="K5548"/>
    </row>
    <row r="5549" spans="11:11" ht="15" x14ac:dyDescent="0.25">
      <c r="K5549"/>
    </row>
    <row r="5550" spans="11:11" ht="15" x14ac:dyDescent="0.25">
      <c r="K5550"/>
    </row>
    <row r="5551" spans="11:11" ht="15" x14ac:dyDescent="0.25">
      <c r="K5551"/>
    </row>
    <row r="5552" spans="11:11" ht="15" x14ac:dyDescent="0.25">
      <c r="K5552"/>
    </row>
    <row r="5553" spans="11:11" ht="15" x14ac:dyDescent="0.25">
      <c r="K5553"/>
    </row>
    <row r="5554" spans="11:11" ht="15" x14ac:dyDescent="0.25">
      <c r="K5554"/>
    </row>
    <row r="5555" spans="11:11" ht="15" x14ac:dyDescent="0.25">
      <c r="K5555"/>
    </row>
    <row r="5556" spans="11:11" ht="15" x14ac:dyDescent="0.25">
      <c r="K5556"/>
    </row>
    <row r="5557" spans="11:11" ht="15" x14ac:dyDescent="0.25">
      <c r="K5557"/>
    </row>
    <row r="5558" spans="11:11" ht="15" x14ac:dyDescent="0.25">
      <c r="K5558"/>
    </row>
    <row r="5559" spans="11:11" ht="15" x14ac:dyDescent="0.25">
      <c r="K5559"/>
    </row>
    <row r="5560" spans="11:11" ht="15" x14ac:dyDescent="0.25">
      <c r="K5560"/>
    </row>
    <row r="5561" spans="11:11" ht="15" x14ac:dyDescent="0.25">
      <c r="K5561"/>
    </row>
    <row r="5562" spans="11:11" ht="15" x14ac:dyDescent="0.25">
      <c r="K5562"/>
    </row>
    <row r="5563" spans="11:11" ht="15" x14ac:dyDescent="0.25">
      <c r="K5563"/>
    </row>
    <row r="5564" spans="11:11" ht="15" x14ac:dyDescent="0.25">
      <c r="K5564"/>
    </row>
    <row r="5565" spans="11:11" ht="15" x14ac:dyDescent="0.25">
      <c r="K5565"/>
    </row>
    <row r="5566" spans="11:11" ht="15" x14ac:dyDescent="0.25">
      <c r="K5566"/>
    </row>
    <row r="5567" spans="11:11" ht="15" x14ac:dyDescent="0.25">
      <c r="K5567"/>
    </row>
    <row r="5568" spans="11:11" ht="15" x14ac:dyDescent="0.25">
      <c r="K5568"/>
    </row>
    <row r="5569" spans="11:11" ht="15" x14ac:dyDescent="0.25">
      <c r="K5569"/>
    </row>
    <row r="5570" spans="11:11" ht="15" x14ac:dyDescent="0.25">
      <c r="K5570"/>
    </row>
    <row r="5571" spans="11:11" ht="15" x14ac:dyDescent="0.25">
      <c r="K5571"/>
    </row>
    <row r="5572" spans="11:11" ht="15" x14ac:dyDescent="0.25">
      <c r="K5572"/>
    </row>
    <row r="5573" spans="11:11" ht="15" x14ac:dyDescent="0.25">
      <c r="K5573"/>
    </row>
    <row r="5574" spans="11:11" ht="15" x14ac:dyDescent="0.25">
      <c r="K5574"/>
    </row>
    <row r="5575" spans="11:11" ht="15" x14ac:dyDescent="0.25">
      <c r="K5575"/>
    </row>
    <row r="5576" spans="11:11" ht="15" x14ac:dyDescent="0.25">
      <c r="K5576"/>
    </row>
    <row r="5577" spans="11:11" ht="15" x14ac:dyDescent="0.25">
      <c r="K5577"/>
    </row>
    <row r="5578" spans="11:11" ht="15" x14ac:dyDescent="0.25">
      <c r="K5578"/>
    </row>
    <row r="5579" spans="11:11" ht="15" x14ac:dyDescent="0.25">
      <c r="K5579"/>
    </row>
    <row r="5580" spans="11:11" ht="15" x14ac:dyDescent="0.25">
      <c r="K5580"/>
    </row>
    <row r="5581" spans="11:11" ht="15" x14ac:dyDescent="0.25">
      <c r="K5581"/>
    </row>
    <row r="5582" spans="11:11" ht="15" x14ac:dyDescent="0.25">
      <c r="K5582"/>
    </row>
    <row r="5583" spans="11:11" ht="15" x14ac:dyDescent="0.25">
      <c r="K5583"/>
    </row>
    <row r="5584" spans="11:11" ht="15" x14ac:dyDescent="0.25">
      <c r="K5584"/>
    </row>
    <row r="5585" spans="11:11" ht="15" x14ac:dyDescent="0.25">
      <c r="K5585"/>
    </row>
    <row r="5586" spans="11:11" ht="15" x14ac:dyDescent="0.25">
      <c r="K5586"/>
    </row>
    <row r="5587" spans="11:11" ht="15" x14ac:dyDescent="0.25">
      <c r="K5587"/>
    </row>
    <row r="5588" spans="11:11" ht="15" x14ac:dyDescent="0.25">
      <c r="K5588"/>
    </row>
    <row r="5589" spans="11:11" ht="15" x14ac:dyDescent="0.25">
      <c r="K5589"/>
    </row>
    <row r="5590" spans="11:11" ht="15" x14ac:dyDescent="0.25">
      <c r="K5590"/>
    </row>
    <row r="5591" spans="11:11" ht="15" x14ac:dyDescent="0.25">
      <c r="K5591"/>
    </row>
    <row r="5592" spans="11:11" ht="15" x14ac:dyDescent="0.25">
      <c r="K5592"/>
    </row>
    <row r="5593" spans="11:11" ht="15" x14ac:dyDescent="0.25">
      <c r="K5593"/>
    </row>
    <row r="5594" spans="11:11" ht="15" x14ac:dyDescent="0.25">
      <c r="K5594"/>
    </row>
    <row r="5595" spans="11:11" ht="15" x14ac:dyDescent="0.25">
      <c r="K5595"/>
    </row>
    <row r="5596" spans="11:11" ht="15" x14ac:dyDescent="0.25">
      <c r="K5596"/>
    </row>
    <row r="5597" spans="11:11" ht="15" x14ac:dyDescent="0.25">
      <c r="K5597"/>
    </row>
    <row r="5598" spans="11:11" ht="15" x14ac:dyDescent="0.25">
      <c r="K5598"/>
    </row>
    <row r="5599" spans="11:11" ht="15" x14ac:dyDescent="0.25">
      <c r="K5599"/>
    </row>
    <row r="5600" spans="11:11" ht="15" x14ac:dyDescent="0.25">
      <c r="K5600"/>
    </row>
    <row r="5601" spans="11:11" ht="15" x14ac:dyDescent="0.25">
      <c r="K5601"/>
    </row>
    <row r="5602" spans="11:11" ht="15" x14ac:dyDescent="0.25">
      <c r="K5602"/>
    </row>
    <row r="5603" spans="11:11" ht="15" x14ac:dyDescent="0.25">
      <c r="K5603"/>
    </row>
    <row r="5604" spans="11:11" ht="15" x14ac:dyDescent="0.25">
      <c r="K5604"/>
    </row>
    <row r="5605" spans="11:11" ht="15" x14ac:dyDescent="0.25">
      <c r="K5605"/>
    </row>
    <row r="5606" spans="11:11" ht="15" x14ac:dyDescent="0.25">
      <c r="K5606"/>
    </row>
    <row r="5607" spans="11:11" ht="15" x14ac:dyDescent="0.25">
      <c r="K5607"/>
    </row>
    <row r="5608" spans="11:11" ht="15" x14ac:dyDescent="0.25">
      <c r="K5608"/>
    </row>
    <row r="5609" spans="11:11" ht="15" x14ac:dyDescent="0.25">
      <c r="K5609"/>
    </row>
    <row r="5610" spans="11:11" ht="15" x14ac:dyDescent="0.25">
      <c r="K5610"/>
    </row>
    <row r="5611" spans="11:11" ht="15" x14ac:dyDescent="0.25">
      <c r="K5611"/>
    </row>
    <row r="5612" spans="11:11" ht="15" x14ac:dyDescent="0.25">
      <c r="K5612"/>
    </row>
    <row r="5613" spans="11:11" ht="15" x14ac:dyDescent="0.25">
      <c r="K5613"/>
    </row>
    <row r="5614" spans="11:11" ht="15" x14ac:dyDescent="0.25">
      <c r="K5614"/>
    </row>
    <row r="5615" spans="11:11" ht="15" x14ac:dyDescent="0.25">
      <c r="K5615"/>
    </row>
    <row r="5616" spans="11:11" ht="15" x14ac:dyDescent="0.25">
      <c r="K5616"/>
    </row>
    <row r="5617" spans="11:11" ht="15" x14ac:dyDescent="0.25">
      <c r="K5617"/>
    </row>
    <row r="5618" spans="11:11" ht="15" x14ac:dyDescent="0.25">
      <c r="K5618"/>
    </row>
    <row r="5619" spans="11:11" ht="15" x14ac:dyDescent="0.25">
      <c r="K5619"/>
    </row>
    <row r="5620" spans="11:11" ht="15" x14ac:dyDescent="0.25">
      <c r="K5620"/>
    </row>
    <row r="5621" spans="11:11" ht="15" x14ac:dyDescent="0.25">
      <c r="K5621"/>
    </row>
    <row r="5622" spans="11:11" ht="15" x14ac:dyDescent="0.25">
      <c r="K5622"/>
    </row>
    <row r="5623" spans="11:11" ht="15" x14ac:dyDescent="0.25">
      <c r="K5623"/>
    </row>
    <row r="5624" spans="11:11" ht="15" x14ac:dyDescent="0.25">
      <c r="K5624"/>
    </row>
    <row r="5625" spans="11:11" ht="15" x14ac:dyDescent="0.25">
      <c r="K5625"/>
    </row>
    <row r="5626" spans="11:11" ht="15" x14ac:dyDescent="0.25">
      <c r="K5626"/>
    </row>
    <row r="5627" spans="11:11" ht="15" x14ac:dyDescent="0.25">
      <c r="K5627"/>
    </row>
    <row r="5628" spans="11:11" ht="15" x14ac:dyDescent="0.25">
      <c r="K5628"/>
    </row>
    <row r="5629" spans="11:11" ht="15" x14ac:dyDescent="0.25">
      <c r="K5629"/>
    </row>
    <row r="5630" spans="11:11" ht="15" x14ac:dyDescent="0.25">
      <c r="K5630"/>
    </row>
    <row r="5631" spans="11:11" ht="15" x14ac:dyDescent="0.25">
      <c r="K5631"/>
    </row>
    <row r="5632" spans="11:11" ht="15" x14ac:dyDescent="0.25">
      <c r="K5632"/>
    </row>
    <row r="5633" spans="11:11" ht="15" x14ac:dyDescent="0.25">
      <c r="K5633"/>
    </row>
    <row r="5634" spans="11:11" ht="15" x14ac:dyDescent="0.25">
      <c r="K5634"/>
    </row>
    <row r="5635" spans="11:11" ht="15" x14ac:dyDescent="0.25">
      <c r="K5635"/>
    </row>
    <row r="5636" spans="11:11" ht="15" x14ac:dyDescent="0.25">
      <c r="K5636"/>
    </row>
    <row r="5637" spans="11:11" ht="15" x14ac:dyDescent="0.25">
      <c r="K5637"/>
    </row>
    <row r="5638" spans="11:11" ht="15" x14ac:dyDescent="0.25">
      <c r="K5638"/>
    </row>
    <row r="5639" spans="11:11" ht="15" x14ac:dyDescent="0.25">
      <c r="K5639"/>
    </row>
    <row r="5640" spans="11:11" ht="15" x14ac:dyDescent="0.25">
      <c r="K5640"/>
    </row>
    <row r="5641" spans="11:11" ht="15" x14ac:dyDescent="0.25">
      <c r="K5641"/>
    </row>
    <row r="5642" spans="11:11" ht="15" x14ac:dyDescent="0.25">
      <c r="K5642"/>
    </row>
    <row r="5643" spans="11:11" ht="15" x14ac:dyDescent="0.25">
      <c r="K5643"/>
    </row>
    <row r="5644" spans="11:11" ht="15" x14ac:dyDescent="0.25">
      <c r="K5644"/>
    </row>
    <row r="5645" spans="11:11" ht="15" x14ac:dyDescent="0.25">
      <c r="K5645"/>
    </row>
    <row r="5646" spans="11:11" ht="15" x14ac:dyDescent="0.25">
      <c r="K5646"/>
    </row>
    <row r="5647" spans="11:11" ht="15" x14ac:dyDescent="0.25">
      <c r="K5647"/>
    </row>
    <row r="5648" spans="11:11" ht="15" x14ac:dyDescent="0.25">
      <c r="K5648"/>
    </row>
    <row r="5649" spans="11:11" ht="15" x14ac:dyDescent="0.25">
      <c r="K5649"/>
    </row>
    <row r="5650" spans="11:11" ht="15" x14ac:dyDescent="0.25">
      <c r="K5650"/>
    </row>
    <row r="5651" spans="11:11" ht="15" x14ac:dyDescent="0.25">
      <c r="K5651"/>
    </row>
    <row r="5652" spans="11:11" ht="15" x14ac:dyDescent="0.25">
      <c r="K5652"/>
    </row>
    <row r="5653" spans="11:11" ht="15" x14ac:dyDescent="0.25">
      <c r="K5653"/>
    </row>
    <row r="5654" spans="11:11" ht="15" x14ac:dyDescent="0.25">
      <c r="K5654"/>
    </row>
    <row r="5655" spans="11:11" ht="15" x14ac:dyDescent="0.25">
      <c r="K5655"/>
    </row>
    <row r="5656" spans="11:11" ht="15" x14ac:dyDescent="0.25">
      <c r="K5656"/>
    </row>
    <row r="5657" spans="11:11" ht="15" x14ac:dyDescent="0.25">
      <c r="K5657"/>
    </row>
    <row r="5658" spans="11:11" ht="15" x14ac:dyDescent="0.25">
      <c r="K5658"/>
    </row>
    <row r="5659" spans="11:11" ht="15" x14ac:dyDescent="0.25">
      <c r="K5659"/>
    </row>
    <row r="5660" spans="11:11" ht="15" x14ac:dyDescent="0.25">
      <c r="K5660"/>
    </row>
    <row r="5661" spans="11:11" ht="15" x14ac:dyDescent="0.25">
      <c r="K5661"/>
    </row>
    <row r="5662" spans="11:11" ht="15" x14ac:dyDescent="0.25">
      <c r="K5662"/>
    </row>
    <row r="5663" spans="11:11" ht="15" x14ac:dyDescent="0.25">
      <c r="K5663"/>
    </row>
    <row r="5664" spans="11:11" ht="15" x14ac:dyDescent="0.25">
      <c r="K5664"/>
    </row>
    <row r="5665" spans="11:11" ht="15" x14ac:dyDescent="0.25">
      <c r="K5665"/>
    </row>
    <row r="5666" spans="11:11" ht="15" x14ac:dyDescent="0.25">
      <c r="K5666"/>
    </row>
    <row r="5667" spans="11:11" ht="15" x14ac:dyDescent="0.25">
      <c r="K5667"/>
    </row>
    <row r="5668" spans="11:11" ht="15" x14ac:dyDescent="0.25">
      <c r="K5668"/>
    </row>
    <row r="5669" spans="11:11" ht="15" x14ac:dyDescent="0.25">
      <c r="K5669"/>
    </row>
    <row r="5670" spans="11:11" ht="15" x14ac:dyDescent="0.25">
      <c r="K5670"/>
    </row>
    <row r="5671" spans="11:11" ht="15" x14ac:dyDescent="0.25">
      <c r="K5671"/>
    </row>
    <row r="5672" spans="11:11" ht="15" x14ac:dyDescent="0.25">
      <c r="K5672"/>
    </row>
    <row r="5673" spans="11:11" ht="15" x14ac:dyDescent="0.25">
      <c r="K5673"/>
    </row>
    <row r="5674" spans="11:11" ht="15" x14ac:dyDescent="0.25">
      <c r="K5674"/>
    </row>
    <row r="5675" spans="11:11" ht="15" x14ac:dyDescent="0.25">
      <c r="K5675"/>
    </row>
    <row r="5676" spans="11:11" ht="15" x14ac:dyDescent="0.25">
      <c r="K5676"/>
    </row>
    <row r="5677" spans="11:11" ht="15" x14ac:dyDescent="0.25">
      <c r="K5677"/>
    </row>
    <row r="5678" spans="11:11" ht="15" x14ac:dyDescent="0.25">
      <c r="K5678"/>
    </row>
    <row r="5679" spans="11:11" ht="15" x14ac:dyDescent="0.25">
      <c r="K5679"/>
    </row>
    <row r="5680" spans="11:11" ht="15" x14ac:dyDescent="0.25">
      <c r="K5680"/>
    </row>
    <row r="5681" spans="11:11" ht="15" x14ac:dyDescent="0.25">
      <c r="K5681"/>
    </row>
    <row r="5682" spans="11:11" ht="15" x14ac:dyDescent="0.25">
      <c r="K5682"/>
    </row>
    <row r="5683" spans="11:11" ht="15" x14ac:dyDescent="0.25">
      <c r="K5683"/>
    </row>
    <row r="5684" spans="11:11" ht="15" x14ac:dyDescent="0.25">
      <c r="K5684"/>
    </row>
    <row r="5685" spans="11:11" ht="15" x14ac:dyDescent="0.25">
      <c r="K5685"/>
    </row>
    <row r="5686" spans="11:11" ht="15" x14ac:dyDescent="0.25">
      <c r="K5686"/>
    </row>
    <row r="5687" spans="11:11" ht="15" x14ac:dyDescent="0.25">
      <c r="K5687"/>
    </row>
    <row r="5688" spans="11:11" ht="15" x14ac:dyDescent="0.25">
      <c r="K5688"/>
    </row>
    <row r="5689" spans="11:11" ht="15" x14ac:dyDescent="0.25">
      <c r="K5689"/>
    </row>
    <row r="5690" spans="11:11" ht="15" x14ac:dyDescent="0.25">
      <c r="K5690"/>
    </row>
    <row r="5691" spans="11:11" ht="15" x14ac:dyDescent="0.25">
      <c r="K5691"/>
    </row>
    <row r="5692" spans="11:11" ht="15" x14ac:dyDescent="0.25">
      <c r="K5692"/>
    </row>
    <row r="5693" spans="11:11" ht="15" x14ac:dyDescent="0.25">
      <c r="K5693"/>
    </row>
    <row r="5694" spans="11:11" ht="15" x14ac:dyDescent="0.25">
      <c r="K5694"/>
    </row>
    <row r="5695" spans="11:11" ht="15" x14ac:dyDescent="0.25">
      <c r="K5695"/>
    </row>
    <row r="5696" spans="11:11" ht="15" x14ac:dyDescent="0.25">
      <c r="K5696"/>
    </row>
    <row r="5697" spans="11:11" ht="15" x14ac:dyDescent="0.25">
      <c r="K5697"/>
    </row>
    <row r="5698" spans="11:11" ht="15" x14ac:dyDescent="0.25">
      <c r="K5698"/>
    </row>
    <row r="5699" spans="11:11" ht="15" x14ac:dyDescent="0.25">
      <c r="K5699"/>
    </row>
    <row r="5700" spans="11:11" ht="15" x14ac:dyDescent="0.25">
      <c r="K5700"/>
    </row>
    <row r="5701" spans="11:11" ht="15" x14ac:dyDescent="0.25">
      <c r="K5701"/>
    </row>
    <row r="5702" spans="11:11" ht="15" x14ac:dyDescent="0.25">
      <c r="K5702"/>
    </row>
    <row r="5703" spans="11:11" ht="15" x14ac:dyDescent="0.25">
      <c r="K5703"/>
    </row>
    <row r="5704" spans="11:11" ht="15" x14ac:dyDescent="0.25">
      <c r="K5704"/>
    </row>
    <row r="5705" spans="11:11" ht="15" x14ac:dyDescent="0.25">
      <c r="K5705"/>
    </row>
    <row r="5706" spans="11:11" ht="15" x14ac:dyDescent="0.25">
      <c r="K5706"/>
    </row>
    <row r="5707" spans="11:11" ht="15" x14ac:dyDescent="0.25">
      <c r="K5707"/>
    </row>
    <row r="5708" spans="11:11" ht="15" x14ac:dyDescent="0.25">
      <c r="K5708"/>
    </row>
    <row r="5709" spans="11:11" ht="15" x14ac:dyDescent="0.25">
      <c r="K5709"/>
    </row>
    <row r="5710" spans="11:11" ht="15" x14ac:dyDescent="0.25">
      <c r="K5710"/>
    </row>
    <row r="5711" spans="11:11" ht="15" x14ac:dyDescent="0.25">
      <c r="K5711"/>
    </row>
    <row r="5712" spans="11:11" ht="15" x14ac:dyDescent="0.25">
      <c r="K5712"/>
    </row>
    <row r="5713" spans="11:11" ht="15" x14ac:dyDescent="0.25">
      <c r="K5713"/>
    </row>
    <row r="5714" spans="11:11" ht="15" x14ac:dyDescent="0.25">
      <c r="K5714"/>
    </row>
    <row r="5715" spans="11:11" ht="15" x14ac:dyDescent="0.25">
      <c r="K5715"/>
    </row>
    <row r="5716" spans="11:11" ht="15" x14ac:dyDescent="0.25">
      <c r="K5716"/>
    </row>
    <row r="5717" spans="11:11" ht="15" x14ac:dyDescent="0.25">
      <c r="K5717"/>
    </row>
    <row r="5718" spans="11:11" ht="15" x14ac:dyDescent="0.25">
      <c r="K5718"/>
    </row>
    <row r="5719" spans="11:11" ht="15" x14ac:dyDescent="0.25">
      <c r="K5719"/>
    </row>
    <row r="5720" spans="11:11" ht="15" x14ac:dyDescent="0.25">
      <c r="K5720"/>
    </row>
    <row r="5721" spans="11:11" ht="15" x14ac:dyDescent="0.25">
      <c r="K5721"/>
    </row>
    <row r="5722" spans="11:11" ht="15" x14ac:dyDescent="0.25">
      <c r="K5722"/>
    </row>
    <row r="5723" spans="11:11" ht="15" x14ac:dyDescent="0.25">
      <c r="K5723"/>
    </row>
    <row r="5724" spans="11:11" ht="15" x14ac:dyDescent="0.25">
      <c r="K5724"/>
    </row>
    <row r="5725" spans="11:11" ht="15" x14ac:dyDescent="0.25">
      <c r="K5725"/>
    </row>
    <row r="5726" spans="11:11" ht="15" x14ac:dyDescent="0.25">
      <c r="K5726"/>
    </row>
    <row r="5727" spans="11:11" ht="15" x14ac:dyDescent="0.25">
      <c r="K5727"/>
    </row>
    <row r="5728" spans="11:11" ht="15" x14ac:dyDescent="0.25">
      <c r="K5728"/>
    </row>
    <row r="5729" spans="11:11" ht="15" x14ac:dyDescent="0.25">
      <c r="K5729"/>
    </row>
    <row r="5730" spans="11:11" ht="15" x14ac:dyDescent="0.25">
      <c r="K5730"/>
    </row>
    <row r="5731" spans="11:11" ht="15" x14ac:dyDescent="0.25">
      <c r="K5731"/>
    </row>
    <row r="5732" spans="11:11" ht="15" x14ac:dyDescent="0.25">
      <c r="K5732"/>
    </row>
    <row r="5733" spans="11:11" ht="15" x14ac:dyDescent="0.25">
      <c r="K5733"/>
    </row>
    <row r="5734" spans="11:11" ht="15" x14ac:dyDescent="0.25">
      <c r="K5734"/>
    </row>
    <row r="5735" spans="11:11" ht="15" x14ac:dyDescent="0.25">
      <c r="K5735"/>
    </row>
    <row r="5736" spans="11:11" ht="15" x14ac:dyDescent="0.25">
      <c r="K5736"/>
    </row>
    <row r="5737" spans="11:11" ht="15" x14ac:dyDescent="0.25">
      <c r="K5737"/>
    </row>
    <row r="5738" spans="11:11" ht="15" x14ac:dyDescent="0.25">
      <c r="K5738"/>
    </row>
    <row r="5739" spans="11:11" ht="15" x14ac:dyDescent="0.25">
      <c r="K5739"/>
    </row>
    <row r="5740" spans="11:11" ht="15" x14ac:dyDescent="0.25">
      <c r="K5740"/>
    </row>
    <row r="5741" spans="11:11" ht="15" x14ac:dyDescent="0.25">
      <c r="K5741"/>
    </row>
    <row r="5742" spans="11:11" ht="15" x14ac:dyDescent="0.25">
      <c r="K5742"/>
    </row>
    <row r="5743" spans="11:11" ht="15" x14ac:dyDescent="0.25">
      <c r="K5743"/>
    </row>
    <row r="5744" spans="11:11" ht="15" x14ac:dyDescent="0.25">
      <c r="K5744"/>
    </row>
    <row r="5745" spans="11:11" ht="15" x14ac:dyDescent="0.25">
      <c r="K5745"/>
    </row>
    <row r="5746" spans="11:11" ht="15" x14ac:dyDescent="0.25">
      <c r="K5746"/>
    </row>
    <row r="5747" spans="11:11" ht="15" x14ac:dyDescent="0.25">
      <c r="K5747"/>
    </row>
    <row r="5748" spans="11:11" ht="15" x14ac:dyDescent="0.25">
      <c r="K5748"/>
    </row>
    <row r="5749" spans="11:11" ht="15" x14ac:dyDescent="0.25">
      <c r="K5749"/>
    </row>
    <row r="5750" spans="11:11" ht="15" x14ac:dyDescent="0.25">
      <c r="K5750"/>
    </row>
    <row r="5751" spans="11:11" ht="15" x14ac:dyDescent="0.25">
      <c r="K5751"/>
    </row>
    <row r="5752" spans="11:11" ht="15" x14ac:dyDescent="0.25">
      <c r="K5752"/>
    </row>
    <row r="5753" spans="11:11" ht="15" x14ac:dyDescent="0.25">
      <c r="K5753"/>
    </row>
    <row r="5754" spans="11:11" ht="15" x14ac:dyDescent="0.25">
      <c r="K5754"/>
    </row>
    <row r="5755" spans="11:11" ht="15" x14ac:dyDescent="0.25">
      <c r="K5755"/>
    </row>
    <row r="5756" spans="11:11" ht="15" x14ac:dyDescent="0.25">
      <c r="K5756"/>
    </row>
    <row r="5757" spans="11:11" ht="15" x14ac:dyDescent="0.25">
      <c r="K5757"/>
    </row>
    <row r="5758" spans="11:11" ht="15" x14ac:dyDescent="0.25">
      <c r="K5758"/>
    </row>
    <row r="5759" spans="11:11" ht="15" x14ac:dyDescent="0.25">
      <c r="K5759"/>
    </row>
    <row r="5760" spans="11:11" ht="15" x14ac:dyDescent="0.25">
      <c r="K5760"/>
    </row>
    <row r="5761" spans="11:11" ht="15" x14ac:dyDescent="0.25">
      <c r="K5761"/>
    </row>
    <row r="5762" spans="11:11" ht="15" x14ac:dyDescent="0.25">
      <c r="K5762"/>
    </row>
    <row r="5763" spans="11:11" ht="15" x14ac:dyDescent="0.25">
      <c r="K5763"/>
    </row>
    <row r="5764" spans="11:11" ht="15" x14ac:dyDescent="0.25">
      <c r="K5764"/>
    </row>
    <row r="5765" spans="11:11" ht="15" x14ac:dyDescent="0.25">
      <c r="K5765"/>
    </row>
    <row r="5766" spans="11:11" ht="15" x14ac:dyDescent="0.25">
      <c r="K5766"/>
    </row>
    <row r="5767" spans="11:11" ht="15" x14ac:dyDescent="0.25">
      <c r="K5767"/>
    </row>
    <row r="5768" spans="11:11" ht="15" x14ac:dyDescent="0.25">
      <c r="K5768"/>
    </row>
    <row r="5769" spans="11:11" ht="15" x14ac:dyDescent="0.25">
      <c r="K5769"/>
    </row>
    <row r="5770" spans="11:11" ht="15" x14ac:dyDescent="0.25">
      <c r="K5770"/>
    </row>
    <row r="5771" spans="11:11" ht="15" x14ac:dyDescent="0.25">
      <c r="K5771"/>
    </row>
    <row r="5772" spans="11:11" ht="15" x14ac:dyDescent="0.25">
      <c r="K5772"/>
    </row>
    <row r="5773" spans="11:11" ht="15" x14ac:dyDescent="0.25">
      <c r="K5773"/>
    </row>
    <row r="5774" spans="11:11" ht="15" x14ac:dyDescent="0.25">
      <c r="K5774"/>
    </row>
    <row r="5775" spans="11:11" ht="15" x14ac:dyDescent="0.25">
      <c r="K5775"/>
    </row>
    <row r="5776" spans="11:11" ht="15" x14ac:dyDescent="0.25">
      <c r="K5776"/>
    </row>
    <row r="5777" spans="11:11" ht="15" x14ac:dyDescent="0.25">
      <c r="K5777"/>
    </row>
    <row r="5778" spans="11:11" ht="15" x14ac:dyDescent="0.25">
      <c r="K5778"/>
    </row>
    <row r="5779" spans="11:11" ht="15" x14ac:dyDescent="0.25">
      <c r="K5779"/>
    </row>
    <row r="5780" spans="11:11" ht="15" x14ac:dyDescent="0.25">
      <c r="K5780"/>
    </row>
    <row r="5781" spans="11:11" ht="15" x14ac:dyDescent="0.25">
      <c r="K5781"/>
    </row>
    <row r="5782" spans="11:11" ht="15" x14ac:dyDescent="0.25">
      <c r="K5782"/>
    </row>
    <row r="5783" spans="11:11" ht="15" x14ac:dyDescent="0.25">
      <c r="K5783"/>
    </row>
    <row r="5784" spans="11:11" ht="15" x14ac:dyDescent="0.25">
      <c r="K5784"/>
    </row>
    <row r="5785" spans="11:11" ht="15" x14ac:dyDescent="0.25">
      <c r="K5785"/>
    </row>
    <row r="5786" spans="11:11" ht="15" x14ac:dyDescent="0.25">
      <c r="K5786"/>
    </row>
    <row r="5787" spans="11:11" ht="15" x14ac:dyDescent="0.25">
      <c r="K5787"/>
    </row>
    <row r="5788" spans="11:11" ht="15" x14ac:dyDescent="0.25">
      <c r="K5788"/>
    </row>
    <row r="5789" spans="11:11" ht="15" x14ac:dyDescent="0.25">
      <c r="K5789"/>
    </row>
    <row r="5790" spans="11:11" ht="15" x14ac:dyDescent="0.25">
      <c r="K5790"/>
    </row>
    <row r="5791" spans="11:11" ht="15" x14ac:dyDescent="0.25">
      <c r="K5791"/>
    </row>
    <row r="5792" spans="11:11" ht="15" x14ac:dyDescent="0.25">
      <c r="K5792"/>
    </row>
    <row r="5793" spans="11:11" ht="15" x14ac:dyDescent="0.25">
      <c r="K5793"/>
    </row>
    <row r="5794" spans="11:11" ht="15" x14ac:dyDescent="0.25">
      <c r="K5794"/>
    </row>
    <row r="5795" spans="11:11" ht="15" x14ac:dyDescent="0.25">
      <c r="K5795"/>
    </row>
    <row r="5796" spans="11:11" ht="15" x14ac:dyDescent="0.25">
      <c r="K5796"/>
    </row>
    <row r="5797" spans="11:11" ht="15" x14ac:dyDescent="0.25">
      <c r="K5797"/>
    </row>
    <row r="5798" spans="11:11" ht="15" x14ac:dyDescent="0.25">
      <c r="K5798"/>
    </row>
    <row r="5799" spans="11:11" ht="15" x14ac:dyDescent="0.25">
      <c r="K5799"/>
    </row>
    <row r="5800" spans="11:11" ht="15" x14ac:dyDescent="0.25">
      <c r="K5800"/>
    </row>
    <row r="5801" spans="11:11" ht="15" x14ac:dyDescent="0.25">
      <c r="K5801"/>
    </row>
    <row r="5802" spans="11:11" ht="15" x14ac:dyDescent="0.25">
      <c r="K5802"/>
    </row>
    <row r="5803" spans="11:11" ht="15" x14ac:dyDescent="0.25">
      <c r="K5803"/>
    </row>
    <row r="5804" spans="11:11" ht="15" x14ac:dyDescent="0.25">
      <c r="K5804"/>
    </row>
    <row r="5805" spans="11:11" ht="15" x14ac:dyDescent="0.25">
      <c r="K5805"/>
    </row>
    <row r="5806" spans="11:11" ht="15" x14ac:dyDescent="0.25">
      <c r="K5806"/>
    </row>
    <row r="5807" spans="11:11" ht="15" x14ac:dyDescent="0.25">
      <c r="K5807"/>
    </row>
    <row r="5808" spans="11:11" ht="15" x14ac:dyDescent="0.25">
      <c r="K5808"/>
    </row>
    <row r="5809" spans="11:11" ht="15" x14ac:dyDescent="0.25">
      <c r="K5809"/>
    </row>
    <row r="5810" spans="11:11" ht="15" x14ac:dyDescent="0.25">
      <c r="K5810"/>
    </row>
    <row r="5811" spans="11:11" ht="15" x14ac:dyDescent="0.25">
      <c r="K5811"/>
    </row>
    <row r="5812" spans="11:11" ht="15" x14ac:dyDescent="0.25">
      <c r="K5812"/>
    </row>
    <row r="5813" spans="11:11" ht="15" x14ac:dyDescent="0.25">
      <c r="K5813"/>
    </row>
    <row r="5814" spans="11:11" ht="15" x14ac:dyDescent="0.25">
      <c r="K5814"/>
    </row>
    <row r="5815" spans="11:11" ht="15" x14ac:dyDescent="0.25">
      <c r="K5815"/>
    </row>
    <row r="5816" spans="11:11" ht="15" x14ac:dyDescent="0.25">
      <c r="K5816"/>
    </row>
    <row r="5817" spans="11:11" ht="15" x14ac:dyDescent="0.25">
      <c r="K5817"/>
    </row>
    <row r="5818" spans="11:11" ht="15" x14ac:dyDescent="0.25">
      <c r="K5818"/>
    </row>
    <row r="5819" spans="11:11" ht="15" x14ac:dyDescent="0.25">
      <c r="K5819"/>
    </row>
    <row r="5820" spans="11:11" ht="15" x14ac:dyDescent="0.25">
      <c r="K5820"/>
    </row>
    <row r="5821" spans="11:11" ht="15" x14ac:dyDescent="0.25">
      <c r="K5821"/>
    </row>
    <row r="5822" spans="11:11" ht="15" x14ac:dyDescent="0.25">
      <c r="K5822"/>
    </row>
    <row r="5823" spans="11:11" ht="15" x14ac:dyDescent="0.25">
      <c r="K5823"/>
    </row>
    <row r="5824" spans="11:11" ht="15" x14ac:dyDescent="0.25">
      <c r="K5824"/>
    </row>
    <row r="5825" spans="11:11" ht="15" x14ac:dyDescent="0.25">
      <c r="K5825"/>
    </row>
    <row r="5826" spans="11:11" ht="15" x14ac:dyDescent="0.25">
      <c r="K5826"/>
    </row>
    <row r="5827" spans="11:11" ht="15" x14ac:dyDescent="0.25">
      <c r="K5827"/>
    </row>
    <row r="5828" spans="11:11" ht="15" x14ac:dyDescent="0.25">
      <c r="K5828"/>
    </row>
    <row r="5829" spans="11:11" ht="15" x14ac:dyDescent="0.25">
      <c r="K5829"/>
    </row>
    <row r="5830" spans="11:11" ht="15" x14ac:dyDescent="0.25">
      <c r="K5830"/>
    </row>
    <row r="5831" spans="11:11" ht="15" x14ac:dyDescent="0.25">
      <c r="K5831"/>
    </row>
    <row r="5832" spans="11:11" ht="15" x14ac:dyDescent="0.25">
      <c r="K5832"/>
    </row>
    <row r="5833" spans="11:11" ht="15" x14ac:dyDescent="0.25">
      <c r="K5833"/>
    </row>
    <row r="5834" spans="11:11" ht="15" x14ac:dyDescent="0.25">
      <c r="K5834"/>
    </row>
    <row r="5835" spans="11:11" ht="15" x14ac:dyDescent="0.25">
      <c r="K5835"/>
    </row>
    <row r="5836" spans="11:11" ht="15" x14ac:dyDescent="0.25">
      <c r="K5836"/>
    </row>
    <row r="5837" spans="11:11" ht="15" x14ac:dyDescent="0.25">
      <c r="K5837"/>
    </row>
    <row r="5838" spans="11:11" ht="15" x14ac:dyDescent="0.25">
      <c r="K5838"/>
    </row>
    <row r="5839" spans="11:11" ht="15" x14ac:dyDescent="0.25">
      <c r="K5839"/>
    </row>
    <row r="5840" spans="11:11" ht="15" x14ac:dyDescent="0.25">
      <c r="K5840"/>
    </row>
    <row r="5841" spans="11:11" ht="15" x14ac:dyDescent="0.25">
      <c r="K5841"/>
    </row>
    <row r="5842" spans="11:11" ht="15" x14ac:dyDescent="0.25">
      <c r="K5842"/>
    </row>
    <row r="5843" spans="11:11" ht="15" x14ac:dyDescent="0.25">
      <c r="K5843"/>
    </row>
    <row r="5844" spans="11:11" ht="15" x14ac:dyDescent="0.25">
      <c r="K5844"/>
    </row>
    <row r="5845" spans="11:11" ht="15" x14ac:dyDescent="0.25">
      <c r="K5845"/>
    </row>
    <row r="5846" spans="11:11" ht="15" x14ac:dyDescent="0.25">
      <c r="K5846"/>
    </row>
    <row r="5847" spans="11:11" ht="15" x14ac:dyDescent="0.25">
      <c r="K5847"/>
    </row>
    <row r="5848" spans="11:11" ht="15" x14ac:dyDescent="0.25">
      <c r="K5848"/>
    </row>
    <row r="5849" spans="11:11" ht="15" x14ac:dyDescent="0.25">
      <c r="K5849"/>
    </row>
    <row r="5850" spans="11:11" ht="15" x14ac:dyDescent="0.25">
      <c r="K5850"/>
    </row>
    <row r="5851" spans="11:11" ht="15" x14ac:dyDescent="0.25">
      <c r="K5851"/>
    </row>
    <row r="5852" spans="11:11" ht="15" x14ac:dyDescent="0.25">
      <c r="K5852"/>
    </row>
    <row r="5853" spans="11:11" ht="15" x14ac:dyDescent="0.25">
      <c r="K5853"/>
    </row>
    <row r="5854" spans="11:11" ht="15" x14ac:dyDescent="0.25">
      <c r="K5854"/>
    </row>
    <row r="5855" spans="11:11" ht="15" x14ac:dyDescent="0.25">
      <c r="K5855"/>
    </row>
    <row r="5856" spans="11:11" ht="15" x14ac:dyDescent="0.25">
      <c r="K5856"/>
    </row>
    <row r="5857" spans="11:11" ht="15" x14ac:dyDescent="0.25">
      <c r="K5857"/>
    </row>
    <row r="5858" spans="11:11" ht="15" x14ac:dyDescent="0.25">
      <c r="K5858"/>
    </row>
    <row r="5859" spans="11:11" ht="15" x14ac:dyDescent="0.25">
      <c r="K5859"/>
    </row>
    <row r="5860" spans="11:11" ht="15" x14ac:dyDescent="0.25">
      <c r="K5860"/>
    </row>
    <row r="5861" spans="11:11" ht="15" x14ac:dyDescent="0.25">
      <c r="K5861"/>
    </row>
    <row r="5862" spans="11:11" ht="15" x14ac:dyDescent="0.25">
      <c r="K5862"/>
    </row>
    <row r="5863" spans="11:11" ht="15" x14ac:dyDescent="0.25">
      <c r="K5863"/>
    </row>
    <row r="5864" spans="11:11" ht="15" x14ac:dyDescent="0.25">
      <c r="K5864"/>
    </row>
    <row r="5865" spans="11:11" ht="15" x14ac:dyDescent="0.25">
      <c r="K5865"/>
    </row>
    <row r="5866" spans="11:11" ht="15" x14ac:dyDescent="0.25">
      <c r="K5866"/>
    </row>
    <row r="5867" spans="11:11" ht="15" x14ac:dyDescent="0.25">
      <c r="K5867"/>
    </row>
    <row r="5868" spans="11:11" ht="15" x14ac:dyDescent="0.25">
      <c r="K5868"/>
    </row>
    <row r="5869" spans="11:11" ht="15" x14ac:dyDescent="0.25">
      <c r="K5869"/>
    </row>
    <row r="5870" spans="11:11" ht="15" x14ac:dyDescent="0.25">
      <c r="K5870"/>
    </row>
    <row r="5871" spans="11:11" ht="15" x14ac:dyDescent="0.25">
      <c r="K5871"/>
    </row>
    <row r="5872" spans="11:11" ht="15" x14ac:dyDescent="0.25">
      <c r="K5872"/>
    </row>
    <row r="5873" spans="11:11" ht="15" x14ac:dyDescent="0.25">
      <c r="K5873"/>
    </row>
    <row r="5874" spans="11:11" ht="15" x14ac:dyDescent="0.25">
      <c r="K5874"/>
    </row>
    <row r="5875" spans="11:11" ht="15" x14ac:dyDescent="0.25">
      <c r="K5875"/>
    </row>
    <row r="5876" spans="11:11" ht="15" x14ac:dyDescent="0.25">
      <c r="K5876"/>
    </row>
    <row r="5877" spans="11:11" ht="15" x14ac:dyDescent="0.25">
      <c r="K5877"/>
    </row>
    <row r="5878" spans="11:11" ht="15" x14ac:dyDescent="0.25">
      <c r="K5878"/>
    </row>
    <row r="5879" spans="11:11" ht="15" x14ac:dyDescent="0.25">
      <c r="K5879"/>
    </row>
    <row r="5880" spans="11:11" ht="15" x14ac:dyDescent="0.25">
      <c r="K5880"/>
    </row>
    <row r="5881" spans="11:11" ht="15" x14ac:dyDescent="0.25">
      <c r="K5881"/>
    </row>
    <row r="5882" spans="11:11" ht="15" x14ac:dyDescent="0.25">
      <c r="K5882"/>
    </row>
    <row r="5883" spans="11:11" ht="15" x14ac:dyDescent="0.25">
      <c r="K5883"/>
    </row>
    <row r="5884" spans="11:11" ht="15" x14ac:dyDescent="0.25">
      <c r="K5884"/>
    </row>
    <row r="5885" spans="11:11" ht="15" x14ac:dyDescent="0.25">
      <c r="K5885"/>
    </row>
    <row r="5886" spans="11:11" ht="15" x14ac:dyDescent="0.25">
      <c r="K5886"/>
    </row>
    <row r="5887" spans="11:11" ht="15" x14ac:dyDescent="0.25">
      <c r="K5887"/>
    </row>
    <row r="5888" spans="11:11" ht="15" x14ac:dyDescent="0.25">
      <c r="K5888"/>
    </row>
    <row r="5889" spans="11:11" ht="15" x14ac:dyDescent="0.25">
      <c r="K5889"/>
    </row>
    <row r="5890" spans="11:11" ht="15" x14ac:dyDescent="0.25">
      <c r="K5890"/>
    </row>
    <row r="5891" spans="11:11" ht="15" x14ac:dyDescent="0.25">
      <c r="K5891"/>
    </row>
    <row r="5892" spans="11:11" ht="15" x14ac:dyDescent="0.25">
      <c r="K5892"/>
    </row>
    <row r="5893" spans="11:11" ht="15" x14ac:dyDescent="0.25">
      <c r="K5893"/>
    </row>
    <row r="5894" spans="11:11" ht="15" x14ac:dyDescent="0.25">
      <c r="K5894"/>
    </row>
    <row r="5895" spans="11:11" ht="15" x14ac:dyDescent="0.25">
      <c r="K5895"/>
    </row>
    <row r="5896" spans="11:11" ht="15" x14ac:dyDescent="0.25">
      <c r="K5896"/>
    </row>
    <row r="5897" spans="11:11" ht="15" x14ac:dyDescent="0.25">
      <c r="K5897"/>
    </row>
    <row r="5898" spans="11:11" ht="15" x14ac:dyDescent="0.25">
      <c r="K5898"/>
    </row>
    <row r="5899" spans="11:11" ht="15" x14ac:dyDescent="0.25">
      <c r="K5899"/>
    </row>
    <row r="5900" spans="11:11" ht="15" x14ac:dyDescent="0.25">
      <c r="K5900"/>
    </row>
    <row r="5901" spans="11:11" ht="15" x14ac:dyDescent="0.25">
      <c r="K5901"/>
    </row>
    <row r="5902" spans="11:11" ht="15" x14ac:dyDescent="0.25">
      <c r="K5902"/>
    </row>
    <row r="5903" spans="11:11" ht="15" x14ac:dyDescent="0.25">
      <c r="K5903"/>
    </row>
    <row r="5904" spans="11:11" ht="15" x14ac:dyDescent="0.25">
      <c r="K5904"/>
    </row>
    <row r="5905" spans="11:11" ht="15" x14ac:dyDescent="0.25">
      <c r="K5905"/>
    </row>
    <row r="5906" spans="11:11" ht="15" x14ac:dyDescent="0.25">
      <c r="K5906"/>
    </row>
    <row r="5907" spans="11:11" ht="15" x14ac:dyDescent="0.25">
      <c r="K5907"/>
    </row>
    <row r="5908" spans="11:11" ht="15" x14ac:dyDescent="0.25">
      <c r="K5908"/>
    </row>
    <row r="5909" spans="11:11" ht="15" x14ac:dyDescent="0.25">
      <c r="K5909"/>
    </row>
    <row r="5910" spans="11:11" ht="15" x14ac:dyDescent="0.25">
      <c r="K5910"/>
    </row>
    <row r="5911" spans="11:11" ht="15" x14ac:dyDescent="0.25">
      <c r="K5911"/>
    </row>
    <row r="5912" spans="11:11" ht="15" x14ac:dyDescent="0.25">
      <c r="K5912"/>
    </row>
    <row r="5913" spans="11:11" ht="15" x14ac:dyDescent="0.25">
      <c r="K5913"/>
    </row>
    <row r="5914" spans="11:11" ht="15" x14ac:dyDescent="0.25">
      <c r="K5914"/>
    </row>
    <row r="5915" spans="11:11" ht="15" x14ac:dyDescent="0.25">
      <c r="K5915"/>
    </row>
    <row r="5916" spans="11:11" ht="15" x14ac:dyDescent="0.25">
      <c r="K5916"/>
    </row>
    <row r="5917" spans="11:11" ht="15" x14ac:dyDescent="0.25">
      <c r="K5917"/>
    </row>
    <row r="5918" spans="11:11" ht="15" x14ac:dyDescent="0.25">
      <c r="K5918"/>
    </row>
    <row r="5919" spans="11:11" ht="15" x14ac:dyDescent="0.25">
      <c r="K5919"/>
    </row>
    <row r="5920" spans="11:11" ht="15" x14ac:dyDescent="0.25">
      <c r="K5920"/>
    </row>
    <row r="5921" spans="11:11" ht="15" x14ac:dyDescent="0.25">
      <c r="K5921"/>
    </row>
    <row r="5922" spans="11:11" ht="15" x14ac:dyDescent="0.25">
      <c r="K5922"/>
    </row>
    <row r="5923" spans="11:11" ht="15" x14ac:dyDescent="0.25">
      <c r="K5923"/>
    </row>
    <row r="5924" spans="11:11" ht="15" x14ac:dyDescent="0.25">
      <c r="K5924"/>
    </row>
    <row r="5925" spans="11:11" ht="15" x14ac:dyDescent="0.25">
      <c r="K5925"/>
    </row>
    <row r="5926" spans="11:11" ht="15" x14ac:dyDescent="0.25">
      <c r="K5926"/>
    </row>
    <row r="5927" spans="11:11" ht="15" x14ac:dyDescent="0.25">
      <c r="K5927"/>
    </row>
    <row r="5928" spans="11:11" ht="15" x14ac:dyDescent="0.25">
      <c r="K5928"/>
    </row>
    <row r="5929" spans="11:11" ht="15" x14ac:dyDescent="0.25">
      <c r="K5929"/>
    </row>
    <row r="5930" spans="11:11" ht="15" x14ac:dyDescent="0.25">
      <c r="K5930"/>
    </row>
    <row r="5931" spans="11:11" ht="15" x14ac:dyDescent="0.25">
      <c r="K5931"/>
    </row>
    <row r="5932" spans="11:11" ht="15" x14ac:dyDescent="0.25">
      <c r="K5932"/>
    </row>
    <row r="5933" spans="11:11" ht="15" x14ac:dyDescent="0.25">
      <c r="K5933"/>
    </row>
    <row r="5934" spans="11:11" ht="15" x14ac:dyDescent="0.25">
      <c r="K5934"/>
    </row>
    <row r="5935" spans="11:11" ht="15" x14ac:dyDescent="0.25">
      <c r="K5935"/>
    </row>
    <row r="5936" spans="11:11" ht="15" x14ac:dyDescent="0.25">
      <c r="K5936"/>
    </row>
    <row r="5937" spans="11:11" ht="15" x14ac:dyDescent="0.25">
      <c r="K5937"/>
    </row>
    <row r="5938" spans="11:11" ht="15" x14ac:dyDescent="0.25">
      <c r="K5938"/>
    </row>
    <row r="5939" spans="11:11" ht="15" x14ac:dyDescent="0.25">
      <c r="K5939"/>
    </row>
    <row r="5940" spans="11:11" ht="15" x14ac:dyDescent="0.25">
      <c r="K5940"/>
    </row>
    <row r="5941" spans="11:11" ht="15" x14ac:dyDescent="0.25">
      <c r="K5941"/>
    </row>
    <row r="5942" spans="11:11" ht="15" x14ac:dyDescent="0.25">
      <c r="K5942"/>
    </row>
    <row r="5943" spans="11:11" ht="15" x14ac:dyDescent="0.25">
      <c r="K5943"/>
    </row>
    <row r="5944" spans="11:11" ht="15" x14ac:dyDescent="0.25">
      <c r="K5944"/>
    </row>
    <row r="5945" spans="11:11" ht="15" x14ac:dyDescent="0.25">
      <c r="K5945"/>
    </row>
    <row r="5946" spans="11:11" ht="15" x14ac:dyDescent="0.25">
      <c r="K5946"/>
    </row>
    <row r="5947" spans="11:11" ht="15" x14ac:dyDescent="0.25">
      <c r="K5947"/>
    </row>
    <row r="5948" spans="11:11" ht="15" x14ac:dyDescent="0.25">
      <c r="K5948"/>
    </row>
    <row r="5949" spans="11:11" ht="15" x14ac:dyDescent="0.25">
      <c r="K5949"/>
    </row>
    <row r="5950" spans="11:11" ht="15" x14ac:dyDescent="0.25">
      <c r="K5950"/>
    </row>
    <row r="5951" spans="11:11" ht="15" x14ac:dyDescent="0.25">
      <c r="K5951"/>
    </row>
    <row r="5952" spans="11:11" ht="15" x14ac:dyDescent="0.25">
      <c r="K5952"/>
    </row>
    <row r="5953" spans="11:11" ht="15" x14ac:dyDescent="0.25">
      <c r="K5953"/>
    </row>
    <row r="5954" spans="11:11" ht="15" x14ac:dyDescent="0.25">
      <c r="K5954"/>
    </row>
    <row r="5955" spans="11:11" ht="15" x14ac:dyDescent="0.25">
      <c r="K5955"/>
    </row>
    <row r="5956" spans="11:11" ht="15" x14ac:dyDescent="0.25">
      <c r="K5956"/>
    </row>
    <row r="5957" spans="11:11" ht="15" x14ac:dyDescent="0.25">
      <c r="K5957"/>
    </row>
    <row r="5958" spans="11:11" ht="15" x14ac:dyDescent="0.25">
      <c r="K5958"/>
    </row>
    <row r="5959" spans="11:11" ht="15" x14ac:dyDescent="0.25">
      <c r="K5959"/>
    </row>
    <row r="5960" spans="11:11" ht="15" x14ac:dyDescent="0.25">
      <c r="K5960"/>
    </row>
    <row r="5961" spans="11:11" ht="15" x14ac:dyDescent="0.25">
      <c r="K5961"/>
    </row>
    <row r="5962" spans="11:11" ht="15" x14ac:dyDescent="0.25">
      <c r="K5962"/>
    </row>
    <row r="5963" spans="11:11" ht="15" x14ac:dyDescent="0.25">
      <c r="K5963"/>
    </row>
    <row r="5964" spans="11:11" ht="15" x14ac:dyDescent="0.25">
      <c r="K5964"/>
    </row>
    <row r="5965" spans="11:11" ht="15" x14ac:dyDescent="0.25">
      <c r="K5965"/>
    </row>
    <row r="5966" spans="11:11" ht="15" x14ac:dyDescent="0.25">
      <c r="K5966"/>
    </row>
    <row r="5967" spans="11:11" ht="15" x14ac:dyDescent="0.25">
      <c r="K5967"/>
    </row>
    <row r="5968" spans="11:11" ht="15" x14ac:dyDescent="0.25">
      <c r="K5968"/>
    </row>
    <row r="5969" spans="11:11" ht="15" x14ac:dyDescent="0.25">
      <c r="K5969"/>
    </row>
    <row r="5970" spans="11:11" ht="15" x14ac:dyDescent="0.25">
      <c r="K5970"/>
    </row>
    <row r="5971" spans="11:11" ht="15" x14ac:dyDescent="0.25">
      <c r="K5971"/>
    </row>
    <row r="5972" spans="11:11" ht="15" x14ac:dyDescent="0.25">
      <c r="K5972"/>
    </row>
    <row r="5973" spans="11:11" ht="15" x14ac:dyDescent="0.25">
      <c r="K5973"/>
    </row>
    <row r="5974" spans="11:11" ht="15" x14ac:dyDescent="0.25">
      <c r="K5974"/>
    </row>
    <row r="5975" spans="11:11" ht="15" x14ac:dyDescent="0.25">
      <c r="K5975"/>
    </row>
    <row r="5976" spans="11:11" ht="15" x14ac:dyDescent="0.25">
      <c r="K5976"/>
    </row>
    <row r="5977" spans="11:11" ht="15" x14ac:dyDescent="0.25">
      <c r="K5977"/>
    </row>
    <row r="5978" spans="11:11" ht="15" x14ac:dyDescent="0.25">
      <c r="K5978"/>
    </row>
    <row r="5979" spans="11:11" ht="15" x14ac:dyDescent="0.25">
      <c r="K5979"/>
    </row>
    <row r="5980" spans="11:11" ht="15" x14ac:dyDescent="0.25">
      <c r="K5980"/>
    </row>
    <row r="5981" spans="11:11" ht="15" x14ac:dyDescent="0.25">
      <c r="K5981"/>
    </row>
    <row r="5982" spans="11:11" ht="15" x14ac:dyDescent="0.25">
      <c r="K5982"/>
    </row>
    <row r="5983" spans="11:11" ht="15" x14ac:dyDescent="0.25">
      <c r="K5983"/>
    </row>
    <row r="5984" spans="11:11" ht="15" x14ac:dyDescent="0.25">
      <c r="K5984"/>
    </row>
    <row r="5985" spans="11:11" ht="15" x14ac:dyDescent="0.25">
      <c r="K5985"/>
    </row>
    <row r="5986" spans="11:11" ht="15" x14ac:dyDescent="0.25">
      <c r="K5986"/>
    </row>
    <row r="5987" spans="11:11" ht="15" x14ac:dyDescent="0.25">
      <c r="K5987"/>
    </row>
    <row r="5988" spans="11:11" ht="15" x14ac:dyDescent="0.25">
      <c r="K5988"/>
    </row>
    <row r="5989" spans="11:11" ht="15" x14ac:dyDescent="0.25">
      <c r="K5989"/>
    </row>
    <row r="5990" spans="11:11" ht="15" x14ac:dyDescent="0.25">
      <c r="K5990"/>
    </row>
    <row r="5991" spans="11:11" ht="15" x14ac:dyDescent="0.25">
      <c r="K5991"/>
    </row>
    <row r="5992" spans="11:11" ht="15" x14ac:dyDescent="0.25">
      <c r="K5992"/>
    </row>
    <row r="5993" spans="11:11" ht="15" x14ac:dyDescent="0.25">
      <c r="K5993"/>
    </row>
    <row r="5994" spans="11:11" ht="15" x14ac:dyDescent="0.25">
      <c r="K5994"/>
    </row>
    <row r="5995" spans="11:11" ht="15" x14ac:dyDescent="0.25">
      <c r="K5995"/>
    </row>
    <row r="5996" spans="11:11" ht="15" x14ac:dyDescent="0.25">
      <c r="K5996"/>
    </row>
    <row r="5997" spans="11:11" ht="15" x14ac:dyDescent="0.25">
      <c r="K5997"/>
    </row>
    <row r="5998" spans="11:11" ht="15" x14ac:dyDescent="0.25">
      <c r="K5998"/>
    </row>
    <row r="5999" spans="11:11" ht="15" x14ac:dyDescent="0.25">
      <c r="K5999"/>
    </row>
    <row r="6000" spans="11:11" ht="15" x14ac:dyDescent="0.25">
      <c r="K6000"/>
    </row>
    <row r="6001" spans="11:11" ht="15" x14ac:dyDescent="0.25">
      <c r="K6001"/>
    </row>
    <row r="6002" spans="11:11" ht="15" x14ac:dyDescent="0.25">
      <c r="K6002"/>
    </row>
    <row r="6003" spans="11:11" ht="15" x14ac:dyDescent="0.25">
      <c r="K6003"/>
    </row>
    <row r="6004" spans="11:11" ht="15" x14ac:dyDescent="0.25">
      <c r="K6004"/>
    </row>
    <row r="6005" spans="11:11" ht="15" x14ac:dyDescent="0.25">
      <c r="K6005"/>
    </row>
    <row r="6006" spans="11:11" ht="15" x14ac:dyDescent="0.25">
      <c r="K6006"/>
    </row>
    <row r="6007" spans="11:11" ht="15" x14ac:dyDescent="0.25">
      <c r="K6007"/>
    </row>
    <row r="6008" spans="11:11" ht="15" x14ac:dyDescent="0.25">
      <c r="K6008"/>
    </row>
    <row r="6009" spans="11:11" ht="15" x14ac:dyDescent="0.25">
      <c r="K6009"/>
    </row>
    <row r="6010" spans="11:11" ht="15" x14ac:dyDescent="0.25">
      <c r="K6010"/>
    </row>
    <row r="6011" spans="11:11" ht="15" x14ac:dyDescent="0.25">
      <c r="K6011"/>
    </row>
    <row r="6012" spans="11:11" ht="15" x14ac:dyDescent="0.25">
      <c r="K6012"/>
    </row>
    <row r="6013" spans="11:11" ht="15" x14ac:dyDescent="0.25">
      <c r="K6013"/>
    </row>
    <row r="6014" spans="11:11" ht="15" x14ac:dyDescent="0.25">
      <c r="K6014"/>
    </row>
    <row r="6015" spans="11:11" ht="15" x14ac:dyDescent="0.25">
      <c r="K6015"/>
    </row>
    <row r="6016" spans="11:11" ht="15" x14ac:dyDescent="0.25">
      <c r="K6016"/>
    </row>
    <row r="6017" spans="11:11" ht="15" x14ac:dyDescent="0.25">
      <c r="K6017"/>
    </row>
    <row r="6018" spans="11:11" ht="15" x14ac:dyDescent="0.25">
      <c r="K6018"/>
    </row>
    <row r="6019" spans="11:11" ht="15" x14ac:dyDescent="0.25">
      <c r="K6019"/>
    </row>
    <row r="6020" spans="11:11" ht="15" x14ac:dyDescent="0.25">
      <c r="K6020"/>
    </row>
    <row r="6021" spans="11:11" ht="15" x14ac:dyDescent="0.25">
      <c r="K6021"/>
    </row>
    <row r="6022" spans="11:11" ht="15" x14ac:dyDescent="0.25">
      <c r="K6022"/>
    </row>
    <row r="6023" spans="11:11" ht="15" x14ac:dyDescent="0.25">
      <c r="K6023"/>
    </row>
    <row r="6024" spans="11:11" ht="15" x14ac:dyDescent="0.25">
      <c r="K6024"/>
    </row>
    <row r="6025" spans="11:11" ht="15" x14ac:dyDescent="0.25">
      <c r="K6025"/>
    </row>
    <row r="6026" spans="11:11" ht="15" x14ac:dyDescent="0.25">
      <c r="K6026"/>
    </row>
    <row r="6027" spans="11:11" ht="15" x14ac:dyDescent="0.25">
      <c r="K6027"/>
    </row>
    <row r="6028" spans="11:11" ht="15" x14ac:dyDescent="0.25">
      <c r="K6028"/>
    </row>
    <row r="6029" spans="11:11" ht="15" x14ac:dyDescent="0.25">
      <c r="K6029"/>
    </row>
    <row r="6030" spans="11:11" ht="15" x14ac:dyDescent="0.25">
      <c r="K6030"/>
    </row>
    <row r="6031" spans="11:11" ht="15" x14ac:dyDescent="0.25">
      <c r="K6031"/>
    </row>
    <row r="6032" spans="11:11" ht="15" x14ac:dyDescent="0.25">
      <c r="K6032"/>
    </row>
    <row r="6033" spans="11:11" ht="15" x14ac:dyDescent="0.25">
      <c r="K6033"/>
    </row>
    <row r="6034" spans="11:11" ht="15" x14ac:dyDescent="0.25">
      <c r="K6034"/>
    </row>
    <row r="6035" spans="11:11" ht="15" x14ac:dyDescent="0.25">
      <c r="K6035"/>
    </row>
    <row r="6036" spans="11:11" ht="15" x14ac:dyDescent="0.25">
      <c r="K6036"/>
    </row>
    <row r="6037" spans="11:11" ht="15" x14ac:dyDescent="0.25">
      <c r="K6037"/>
    </row>
    <row r="6038" spans="11:11" ht="15" x14ac:dyDescent="0.25">
      <c r="K6038"/>
    </row>
    <row r="6039" spans="11:11" ht="15" x14ac:dyDescent="0.25">
      <c r="K6039"/>
    </row>
    <row r="6040" spans="11:11" ht="15" x14ac:dyDescent="0.25">
      <c r="K6040"/>
    </row>
    <row r="6041" spans="11:11" ht="15" x14ac:dyDescent="0.25">
      <c r="K6041"/>
    </row>
    <row r="6042" spans="11:11" ht="15" x14ac:dyDescent="0.25">
      <c r="K6042"/>
    </row>
    <row r="6043" spans="11:11" ht="15" x14ac:dyDescent="0.25">
      <c r="K6043"/>
    </row>
    <row r="6044" spans="11:11" ht="15" x14ac:dyDescent="0.25">
      <c r="K6044"/>
    </row>
    <row r="6045" spans="11:11" ht="15" x14ac:dyDescent="0.25">
      <c r="K6045"/>
    </row>
    <row r="6046" spans="11:11" ht="15" x14ac:dyDescent="0.25">
      <c r="K6046"/>
    </row>
    <row r="6047" spans="11:11" ht="15" x14ac:dyDescent="0.25">
      <c r="K6047"/>
    </row>
    <row r="6048" spans="11:11" ht="15" x14ac:dyDescent="0.25">
      <c r="K6048"/>
    </row>
    <row r="6049" spans="11:11" ht="15" x14ac:dyDescent="0.25">
      <c r="K6049"/>
    </row>
    <row r="6050" spans="11:11" ht="15" x14ac:dyDescent="0.25">
      <c r="K6050"/>
    </row>
    <row r="6051" spans="11:11" ht="15" x14ac:dyDescent="0.25">
      <c r="K6051"/>
    </row>
    <row r="6052" spans="11:11" ht="15" x14ac:dyDescent="0.25">
      <c r="K6052"/>
    </row>
    <row r="6053" spans="11:11" ht="15" x14ac:dyDescent="0.25">
      <c r="K6053"/>
    </row>
    <row r="6054" spans="11:11" ht="15" x14ac:dyDescent="0.25">
      <c r="K6054"/>
    </row>
    <row r="6055" spans="11:11" ht="15" x14ac:dyDescent="0.25">
      <c r="K6055"/>
    </row>
    <row r="6056" spans="11:11" ht="15" x14ac:dyDescent="0.25">
      <c r="K6056"/>
    </row>
    <row r="6057" spans="11:11" ht="15" x14ac:dyDescent="0.25">
      <c r="K6057"/>
    </row>
    <row r="6058" spans="11:11" ht="15" x14ac:dyDescent="0.25">
      <c r="K6058"/>
    </row>
    <row r="6059" spans="11:11" ht="15" x14ac:dyDescent="0.25">
      <c r="K6059"/>
    </row>
    <row r="6060" spans="11:11" ht="15" x14ac:dyDescent="0.25">
      <c r="K6060"/>
    </row>
    <row r="6061" spans="11:11" ht="15" x14ac:dyDescent="0.25">
      <c r="K6061"/>
    </row>
    <row r="6062" spans="11:11" ht="15" x14ac:dyDescent="0.25">
      <c r="K6062"/>
    </row>
    <row r="6063" spans="11:11" ht="15" x14ac:dyDescent="0.25">
      <c r="K6063"/>
    </row>
    <row r="6064" spans="11:11" ht="15" x14ac:dyDescent="0.25">
      <c r="K6064"/>
    </row>
    <row r="6065" spans="11:11" ht="15" x14ac:dyDescent="0.25">
      <c r="K6065"/>
    </row>
    <row r="6066" spans="11:11" ht="15" x14ac:dyDescent="0.25">
      <c r="K6066"/>
    </row>
    <row r="6067" spans="11:11" ht="15" x14ac:dyDescent="0.25">
      <c r="K6067"/>
    </row>
    <row r="6068" spans="11:11" ht="15" x14ac:dyDescent="0.25">
      <c r="K6068"/>
    </row>
    <row r="6069" spans="11:11" ht="15" x14ac:dyDescent="0.25">
      <c r="K6069"/>
    </row>
    <row r="6070" spans="11:11" ht="15" x14ac:dyDescent="0.25">
      <c r="K6070"/>
    </row>
    <row r="6071" spans="11:11" ht="15" x14ac:dyDescent="0.25">
      <c r="K6071"/>
    </row>
    <row r="6072" spans="11:11" ht="15" x14ac:dyDescent="0.25">
      <c r="K6072"/>
    </row>
    <row r="6073" spans="11:11" ht="15" x14ac:dyDescent="0.25">
      <c r="K6073"/>
    </row>
    <row r="6074" spans="11:11" ht="15" x14ac:dyDescent="0.25">
      <c r="K6074"/>
    </row>
    <row r="6075" spans="11:11" ht="15" x14ac:dyDescent="0.25">
      <c r="K6075"/>
    </row>
    <row r="6076" spans="11:11" ht="15" x14ac:dyDescent="0.25">
      <c r="K6076"/>
    </row>
    <row r="6077" spans="11:11" ht="15" x14ac:dyDescent="0.25">
      <c r="K6077"/>
    </row>
    <row r="6078" spans="11:11" ht="15" x14ac:dyDescent="0.25">
      <c r="K6078"/>
    </row>
    <row r="6079" spans="11:11" ht="15" x14ac:dyDescent="0.25">
      <c r="K6079"/>
    </row>
    <row r="6080" spans="11:11" ht="15" x14ac:dyDescent="0.25">
      <c r="K6080"/>
    </row>
    <row r="6081" spans="11:11" ht="15" x14ac:dyDescent="0.25">
      <c r="K6081"/>
    </row>
    <row r="6082" spans="11:11" ht="15" x14ac:dyDescent="0.25">
      <c r="K6082"/>
    </row>
    <row r="6083" spans="11:11" ht="15" x14ac:dyDescent="0.25">
      <c r="K6083"/>
    </row>
    <row r="6084" spans="11:11" ht="15" x14ac:dyDescent="0.25">
      <c r="K6084"/>
    </row>
    <row r="6085" spans="11:11" ht="15" x14ac:dyDescent="0.25">
      <c r="K6085"/>
    </row>
    <row r="6086" spans="11:11" ht="15" x14ac:dyDescent="0.25">
      <c r="K6086"/>
    </row>
    <row r="6087" spans="11:11" ht="15" x14ac:dyDescent="0.25">
      <c r="K6087"/>
    </row>
    <row r="6088" spans="11:11" ht="15" x14ac:dyDescent="0.25">
      <c r="K6088"/>
    </row>
    <row r="6089" spans="11:11" ht="15" x14ac:dyDescent="0.25">
      <c r="K6089"/>
    </row>
    <row r="6090" spans="11:11" ht="15" x14ac:dyDescent="0.25">
      <c r="K6090"/>
    </row>
    <row r="6091" spans="11:11" ht="15" x14ac:dyDescent="0.25">
      <c r="K6091"/>
    </row>
    <row r="6092" spans="11:11" ht="15" x14ac:dyDescent="0.25">
      <c r="K6092"/>
    </row>
    <row r="6093" spans="11:11" ht="15" x14ac:dyDescent="0.25">
      <c r="K6093"/>
    </row>
    <row r="6094" spans="11:11" ht="15" x14ac:dyDescent="0.25">
      <c r="K6094"/>
    </row>
    <row r="6095" spans="11:11" ht="15" x14ac:dyDescent="0.25">
      <c r="K6095"/>
    </row>
    <row r="6096" spans="11:11" ht="15" x14ac:dyDescent="0.25">
      <c r="K6096"/>
    </row>
    <row r="6097" spans="11:11" ht="15" x14ac:dyDescent="0.25">
      <c r="K6097"/>
    </row>
    <row r="6098" spans="11:11" ht="15" x14ac:dyDescent="0.25">
      <c r="K6098"/>
    </row>
    <row r="6099" spans="11:11" ht="15" x14ac:dyDescent="0.25">
      <c r="K6099"/>
    </row>
    <row r="6100" spans="11:11" ht="15" x14ac:dyDescent="0.25">
      <c r="K6100"/>
    </row>
    <row r="6101" spans="11:11" ht="15" x14ac:dyDescent="0.25">
      <c r="K6101"/>
    </row>
    <row r="6102" spans="11:11" ht="15" x14ac:dyDescent="0.25">
      <c r="K6102"/>
    </row>
    <row r="6103" spans="11:11" ht="15" x14ac:dyDescent="0.25">
      <c r="K6103"/>
    </row>
    <row r="6104" spans="11:11" ht="15" x14ac:dyDescent="0.25">
      <c r="K6104"/>
    </row>
    <row r="6105" spans="11:11" ht="15" x14ac:dyDescent="0.25">
      <c r="K6105"/>
    </row>
    <row r="6106" spans="11:11" ht="15" x14ac:dyDescent="0.25">
      <c r="K6106"/>
    </row>
    <row r="6107" spans="11:11" ht="15" x14ac:dyDescent="0.25">
      <c r="K6107"/>
    </row>
    <row r="6108" spans="11:11" ht="15" x14ac:dyDescent="0.25">
      <c r="K6108"/>
    </row>
    <row r="6109" spans="11:11" ht="15" x14ac:dyDescent="0.25">
      <c r="K6109"/>
    </row>
    <row r="6110" spans="11:11" ht="15" x14ac:dyDescent="0.25">
      <c r="K6110"/>
    </row>
    <row r="6111" spans="11:11" ht="15" x14ac:dyDescent="0.25">
      <c r="K6111"/>
    </row>
    <row r="6112" spans="11:11" ht="15" x14ac:dyDescent="0.25">
      <c r="K6112"/>
    </row>
    <row r="6113" spans="11:11" ht="15" x14ac:dyDescent="0.25">
      <c r="K6113"/>
    </row>
    <row r="6114" spans="11:11" ht="15" x14ac:dyDescent="0.25">
      <c r="K6114"/>
    </row>
    <row r="6115" spans="11:11" ht="15" x14ac:dyDescent="0.25">
      <c r="K6115"/>
    </row>
    <row r="6116" spans="11:11" ht="15" x14ac:dyDescent="0.25">
      <c r="K6116"/>
    </row>
    <row r="6117" spans="11:11" ht="15" x14ac:dyDescent="0.25">
      <c r="K6117"/>
    </row>
    <row r="6118" spans="11:11" ht="15" x14ac:dyDescent="0.25">
      <c r="K6118"/>
    </row>
    <row r="6119" spans="11:11" ht="15" x14ac:dyDescent="0.25">
      <c r="K6119"/>
    </row>
    <row r="6120" spans="11:11" ht="15" x14ac:dyDescent="0.25">
      <c r="K6120"/>
    </row>
    <row r="6121" spans="11:11" ht="15" x14ac:dyDescent="0.25">
      <c r="K6121"/>
    </row>
    <row r="6122" spans="11:11" ht="15" x14ac:dyDescent="0.25">
      <c r="K6122"/>
    </row>
    <row r="6123" spans="11:11" ht="15" x14ac:dyDescent="0.25">
      <c r="K6123"/>
    </row>
    <row r="6124" spans="11:11" ht="15" x14ac:dyDescent="0.25">
      <c r="K6124"/>
    </row>
    <row r="6125" spans="11:11" ht="15" x14ac:dyDescent="0.25">
      <c r="K6125"/>
    </row>
    <row r="6126" spans="11:11" ht="15" x14ac:dyDescent="0.25">
      <c r="K6126"/>
    </row>
    <row r="6127" spans="11:11" ht="15" x14ac:dyDescent="0.25">
      <c r="K6127"/>
    </row>
    <row r="6128" spans="11:11" ht="15" x14ac:dyDescent="0.25">
      <c r="K6128"/>
    </row>
    <row r="6129" spans="11:11" ht="15" x14ac:dyDescent="0.25">
      <c r="K6129"/>
    </row>
    <row r="6130" spans="11:11" ht="15" x14ac:dyDescent="0.25">
      <c r="K6130"/>
    </row>
    <row r="6131" spans="11:11" ht="15" x14ac:dyDescent="0.25">
      <c r="K6131"/>
    </row>
    <row r="6132" spans="11:11" ht="15" x14ac:dyDescent="0.25">
      <c r="K6132"/>
    </row>
    <row r="6133" spans="11:11" ht="15" x14ac:dyDescent="0.25">
      <c r="K6133"/>
    </row>
    <row r="6134" spans="11:11" ht="15" x14ac:dyDescent="0.25">
      <c r="K6134"/>
    </row>
    <row r="6135" spans="11:11" ht="15" x14ac:dyDescent="0.25">
      <c r="K6135"/>
    </row>
    <row r="6136" spans="11:11" ht="15" x14ac:dyDescent="0.25">
      <c r="K6136"/>
    </row>
    <row r="6137" spans="11:11" ht="15" x14ac:dyDescent="0.25">
      <c r="K6137"/>
    </row>
    <row r="6138" spans="11:11" ht="15" x14ac:dyDescent="0.25">
      <c r="K6138"/>
    </row>
    <row r="6139" spans="11:11" ht="15" x14ac:dyDescent="0.25">
      <c r="K6139"/>
    </row>
    <row r="6140" spans="11:11" ht="15" x14ac:dyDescent="0.25">
      <c r="K6140"/>
    </row>
    <row r="6141" spans="11:11" ht="15" x14ac:dyDescent="0.25">
      <c r="K6141"/>
    </row>
    <row r="6142" spans="11:11" ht="15" x14ac:dyDescent="0.25">
      <c r="K6142"/>
    </row>
    <row r="6143" spans="11:11" ht="15" x14ac:dyDescent="0.25">
      <c r="K6143"/>
    </row>
    <row r="6144" spans="11:11" ht="15" x14ac:dyDescent="0.25">
      <c r="K6144"/>
    </row>
    <row r="6145" spans="11:11" ht="15" x14ac:dyDescent="0.25">
      <c r="K6145"/>
    </row>
    <row r="6146" spans="11:11" ht="15" x14ac:dyDescent="0.25">
      <c r="K6146"/>
    </row>
    <row r="6147" spans="11:11" ht="15" x14ac:dyDescent="0.25">
      <c r="K6147"/>
    </row>
    <row r="6148" spans="11:11" ht="15" x14ac:dyDescent="0.25">
      <c r="K6148"/>
    </row>
    <row r="6149" spans="11:11" ht="15" x14ac:dyDescent="0.25">
      <c r="K6149"/>
    </row>
    <row r="6150" spans="11:11" ht="15" x14ac:dyDescent="0.25">
      <c r="K6150"/>
    </row>
    <row r="6151" spans="11:11" ht="15" x14ac:dyDescent="0.25">
      <c r="K6151"/>
    </row>
    <row r="6152" spans="11:11" ht="15" x14ac:dyDescent="0.25">
      <c r="K6152"/>
    </row>
    <row r="6153" spans="11:11" ht="15" x14ac:dyDescent="0.25">
      <c r="K6153"/>
    </row>
    <row r="6154" spans="11:11" ht="15" x14ac:dyDescent="0.25">
      <c r="K6154"/>
    </row>
    <row r="6155" spans="11:11" ht="15" x14ac:dyDescent="0.25">
      <c r="K6155"/>
    </row>
    <row r="6156" spans="11:11" ht="15" x14ac:dyDescent="0.25">
      <c r="K6156"/>
    </row>
    <row r="6157" spans="11:11" ht="15" x14ac:dyDescent="0.25">
      <c r="K6157"/>
    </row>
    <row r="6158" spans="11:11" ht="15" x14ac:dyDescent="0.25">
      <c r="K6158"/>
    </row>
    <row r="6159" spans="11:11" ht="15" x14ac:dyDescent="0.25">
      <c r="K6159"/>
    </row>
    <row r="6160" spans="11:11" ht="15" x14ac:dyDescent="0.25">
      <c r="K6160"/>
    </row>
    <row r="6161" spans="11:11" ht="15" x14ac:dyDescent="0.25">
      <c r="K6161"/>
    </row>
    <row r="6162" spans="11:11" ht="15" x14ac:dyDescent="0.25">
      <c r="K6162"/>
    </row>
    <row r="6163" spans="11:11" ht="15" x14ac:dyDescent="0.25">
      <c r="K6163"/>
    </row>
    <row r="6164" spans="11:11" ht="15" x14ac:dyDescent="0.25">
      <c r="K6164"/>
    </row>
    <row r="6165" spans="11:11" ht="15" x14ac:dyDescent="0.25">
      <c r="K6165"/>
    </row>
    <row r="6166" spans="11:11" ht="15" x14ac:dyDescent="0.25">
      <c r="K6166"/>
    </row>
    <row r="6167" spans="11:11" ht="15" x14ac:dyDescent="0.25">
      <c r="K6167"/>
    </row>
    <row r="6168" spans="11:11" ht="15" x14ac:dyDescent="0.25">
      <c r="K6168"/>
    </row>
    <row r="6169" spans="11:11" ht="15" x14ac:dyDescent="0.25">
      <c r="K6169"/>
    </row>
    <row r="6170" spans="11:11" ht="15" x14ac:dyDescent="0.25">
      <c r="K6170"/>
    </row>
    <row r="6171" spans="11:11" ht="15" x14ac:dyDescent="0.25">
      <c r="K6171"/>
    </row>
    <row r="6172" spans="11:11" ht="15" x14ac:dyDescent="0.25">
      <c r="K6172"/>
    </row>
    <row r="6173" spans="11:11" ht="15" x14ac:dyDescent="0.25">
      <c r="K6173"/>
    </row>
    <row r="6174" spans="11:11" ht="15" x14ac:dyDescent="0.25">
      <c r="K6174"/>
    </row>
    <row r="6175" spans="11:11" ht="15" x14ac:dyDescent="0.25">
      <c r="K6175"/>
    </row>
    <row r="6176" spans="11:11" ht="15" x14ac:dyDescent="0.25">
      <c r="K6176"/>
    </row>
    <row r="6177" spans="11:11" ht="15" x14ac:dyDescent="0.25">
      <c r="K6177"/>
    </row>
    <row r="6178" spans="11:11" ht="15" x14ac:dyDescent="0.25">
      <c r="K6178"/>
    </row>
    <row r="6179" spans="11:11" ht="15" x14ac:dyDescent="0.25">
      <c r="K6179"/>
    </row>
    <row r="6180" spans="11:11" ht="15" x14ac:dyDescent="0.25">
      <c r="K6180"/>
    </row>
    <row r="6181" spans="11:11" ht="15" x14ac:dyDescent="0.25">
      <c r="K6181"/>
    </row>
    <row r="6182" spans="11:11" ht="15" x14ac:dyDescent="0.25">
      <c r="K6182"/>
    </row>
    <row r="6183" spans="11:11" ht="15" x14ac:dyDescent="0.25">
      <c r="K6183"/>
    </row>
    <row r="6184" spans="11:11" ht="15" x14ac:dyDescent="0.25">
      <c r="K6184"/>
    </row>
    <row r="6185" spans="11:11" ht="15" x14ac:dyDescent="0.25">
      <c r="K6185"/>
    </row>
    <row r="6186" spans="11:11" ht="15" x14ac:dyDescent="0.25">
      <c r="K6186"/>
    </row>
    <row r="6187" spans="11:11" ht="15" x14ac:dyDescent="0.25">
      <c r="K6187"/>
    </row>
    <row r="6188" spans="11:11" ht="15" x14ac:dyDescent="0.25">
      <c r="K6188"/>
    </row>
    <row r="6189" spans="11:11" ht="15" x14ac:dyDescent="0.25">
      <c r="K6189"/>
    </row>
    <row r="6190" spans="11:11" ht="15" x14ac:dyDescent="0.25">
      <c r="K6190"/>
    </row>
    <row r="6191" spans="11:11" ht="15" x14ac:dyDescent="0.25">
      <c r="K6191"/>
    </row>
    <row r="6192" spans="11:11" ht="15" x14ac:dyDescent="0.25">
      <c r="K6192"/>
    </row>
    <row r="6193" spans="11:11" ht="15" x14ac:dyDescent="0.25">
      <c r="K6193"/>
    </row>
    <row r="6194" spans="11:11" ht="15" x14ac:dyDescent="0.25">
      <c r="K6194"/>
    </row>
    <row r="6195" spans="11:11" ht="15" x14ac:dyDescent="0.25">
      <c r="K6195"/>
    </row>
    <row r="6196" spans="11:11" ht="15" x14ac:dyDescent="0.25">
      <c r="K6196"/>
    </row>
    <row r="6197" spans="11:11" ht="15" x14ac:dyDescent="0.25">
      <c r="K6197"/>
    </row>
    <row r="6198" spans="11:11" ht="15" x14ac:dyDescent="0.25">
      <c r="K6198"/>
    </row>
    <row r="6199" spans="11:11" ht="15" x14ac:dyDescent="0.25">
      <c r="K6199"/>
    </row>
    <row r="6200" spans="11:11" ht="15" x14ac:dyDescent="0.25">
      <c r="K6200"/>
    </row>
    <row r="6201" spans="11:11" ht="15" x14ac:dyDescent="0.25">
      <c r="K6201"/>
    </row>
    <row r="6202" spans="11:11" ht="15" x14ac:dyDescent="0.25">
      <c r="K6202"/>
    </row>
    <row r="6203" spans="11:11" ht="15" x14ac:dyDescent="0.25">
      <c r="K6203"/>
    </row>
    <row r="6204" spans="11:11" ht="15" x14ac:dyDescent="0.25">
      <c r="K6204"/>
    </row>
    <row r="6205" spans="11:11" ht="15" x14ac:dyDescent="0.25">
      <c r="K6205"/>
    </row>
    <row r="6206" spans="11:11" ht="15" x14ac:dyDescent="0.25">
      <c r="K6206"/>
    </row>
    <row r="6207" spans="11:11" ht="15" x14ac:dyDescent="0.25">
      <c r="K6207"/>
    </row>
    <row r="6208" spans="11:11" ht="15" x14ac:dyDescent="0.25">
      <c r="K6208"/>
    </row>
    <row r="6209" spans="11:11" ht="15" x14ac:dyDescent="0.25">
      <c r="K6209"/>
    </row>
    <row r="6210" spans="11:11" ht="15" x14ac:dyDescent="0.25">
      <c r="K6210"/>
    </row>
    <row r="6211" spans="11:11" ht="15" x14ac:dyDescent="0.25">
      <c r="K6211"/>
    </row>
    <row r="6212" spans="11:11" ht="15" x14ac:dyDescent="0.25">
      <c r="K6212"/>
    </row>
    <row r="6213" spans="11:11" ht="15" x14ac:dyDescent="0.25">
      <c r="K6213"/>
    </row>
    <row r="6214" spans="11:11" ht="15" x14ac:dyDescent="0.25">
      <c r="K6214"/>
    </row>
    <row r="6215" spans="11:11" ht="15" x14ac:dyDescent="0.25">
      <c r="K6215"/>
    </row>
    <row r="6216" spans="11:11" ht="15" x14ac:dyDescent="0.25">
      <c r="K6216"/>
    </row>
    <row r="6217" spans="11:11" ht="15" x14ac:dyDescent="0.25">
      <c r="K6217"/>
    </row>
    <row r="6218" spans="11:11" ht="15" x14ac:dyDescent="0.25">
      <c r="K6218"/>
    </row>
    <row r="6219" spans="11:11" ht="15" x14ac:dyDescent="0.25">
      <c r="K6219"/>
    </row>
    <row r="6220" spans="11:11" ht="15" x14ac:dyDescent="0.25">
      <c r="K6220"/>
    </row>
    <row r="6221" spans="11:11" ht="15" x14ac:dyDescent="0.25">
      <c r="K6221"/>
    </row>
    <row r="6222" spans="11:11" ht="15" x14ac:dyDescent="0.25">
      <c r="K6222"/>
    </row>
    <row r="6223" spans="11:11" ht="15" x14ac:dyDescent="0.25">
      <c r="K6223"/>
    </row>
    <row r="6224" spans="11:11" ht="15" x14ac:dyDescent="0.25">
      <c r="K6224"/>
    </row>
    <row r="6225" spans="11:11" ht="15" x14ac:dyDescent="0.25">
      <c r="K6225"/>
    </row>
    <row r="6226" spans="11:11" ht="15" x14ac:dyDescent="0.25">
      <c r="K6226"/>
    </row>
    <row r="6227" spans="11:11" ht="15" x14ac:dyDescent="0.25">
      <c r="K6227"/>
    </row>
    <row r="6228" spans="11:11" ht="15" x14ac:dyDescent="0.25">
      <c r="K6228"/>
    </row>
    <row r="6229" spans="11:11" ht="15" x14ac:dyDescent="0.25">
      <c r="K6229"/>
    </row>
    <row r="6230" spans="11:11" ht="15" x14ac:dyDescent="0.25">
      <c r="K6230"/>
    </row>
    <row r="6231" spans="11:11" ht="15" x14ac:dyDescent="0.25">
      <c r="K6231"/>
    </row>
    <row r="6232" spans="11:11" ht="15" x14ac:dyDescent="0.25">
      <c r="K6232"/>
    </row>
    <row r="6233" spans="11:11" ht="15" x14ac:dyDescent="0.25">
      <c r="K6233"/>
    </row>
    <row r="6234" spans="11:11" ht="15" x14ac:dyDescent="0.25">
      <c r="K6234"/>
    </row>
    <row r="6235" spans="11:11" ht="15" x14ac:dyDescent="0.25">
      <c r="K6235"/>
    </row>
    <row r="6236" spans="11:11" ht="15" x14ac:dyDescent="0.25">
      <c r="K6236"/>
    </row>
    <row r="6237" spans="11:11" ht="15" x14ac:dyDescent="0.25">
      <c r="K6237"/>
    </row>
    <row r="6238" spans="11:11" ht="15" x14ac:dyDescent="0.25">
      <c r="K6238"/>
    </row>
    <row r="6239" spans="11:11" ht="15" x14ac:dyDescent="0.25">
      <c r="K6239"/>
    </row>
    <row r="6240" spans="11:11" ht="15" x14ac:dyDescent="0.25">
      <c r="K6240"/>
    </row>
    <row r="6241" spans="11:11" ht="15" x14ac:dyDescent="0.25">
      <c r="K6241"/>
    </row>
    <row r="6242" spans="11:11" ht="15" x14ac:dyDescent="0.25">
      <c r="K6242"/>
    </row>
    <row r="6243" spans="11:11" ht="15" x14ac:dyDescent="0.25">
      <c r="K6243"/>
    </row>
    <row r="6244" spans="11:11" ht="15" x14ac:dyDescent="0.25">
      <c r="K6244"/>
    </row>
    <row r="6245" spans="11:11" ht="15" x14ac:dyDescent="0.25">
      <c r="K6245"/>
    </row>
    <row r="6246" spans="11:11" ht="15" x14ac:dyDescent="0.25">
      <c r="K6246"/>
    </row>
    <row r="6247" spans="11:11" ht="15" x14ac:dyDescent="0.25">
      <c r="K6247"/>
    </row>
    <row r="6248" spans="11:11" ht="15" x14ac:dyDescent="0.25">
      <c r="K6248"/>
    </row>
    <row r="6249" spans="11:11" ht="15" x14ac:dyDescent="0.25">
      <c r="K6249"/>
    </row>
    <row r="6250" spans="11:11" ht="15" x14ac:dyDescent="0.25">
      <c r="K6250"/>
    </row>
    <row r="6251" spans="11:11" ht="15" x14ac:dyDescent="0.25">
      <c r="K6251"/>
    </row>
    <row r="6252" spans="11:11" ht="15" x14ac:dyDescent="0.25">
      <c r="K6252"/>
    </row>
    <row r="6253" spans="11:11" ht="15" x14ac:dyDescent="0.25">
      <c r="K6253"/>
    </row>
    <row r="6254" spans="11:11" ht="15" x14ac:dyDescent="0.25">
      <c r="K6254"/>
    </row>
    <row r="6255" spans="11:11" ht="15" x14ac:dyDescent="0.25">
      <c r="K6255"/>
    </row>
    <row r="6256" spans="11:11" ht="15" x14ac:dyDescent="0.25">
      <c r="K6256"/>
    </row>
    <row r="6257" spans="11:11" ht="15" x14ac:dyDescent="0.25">
      <c r="K6257"/>
    </row>
    <row r="6258" spans="11:11" ht="15" x14ac:dyDescent="0.25">
      <c r="K6258"/>
    </row>
    <row r="6259" spans="11:11" ht="15" x14ac:dyDescent="0.25">
      <c r="K6259"/>
    </row>
    <row r="6260" spans="11:11" ht="15" x14ac:dyDescent="0.25">
      <c r="K6260"/>
    </row>
    <row r="6261" spans="11:11" ht="15" x14ac:dyDescent="0.25">
      <c r="K6261"/>
    </row>
    <row r="6262" spans="11:11" ht="15" x14ac:dyDescent="0.25">
      <c r="K6262"/>
    </row>
    <row r="6263" spans="11:11" ht="15" x14ac:dyDescent="0.25">
      <c r="K6263"/>
    </row>
    <row r="6264" spans="11:11" ht="15" x14ac:dyDescent="0.25">
      <c r="K6264"/>
    </row>
    <row r="6265" spans="11:11" ht="15" x14ac:dyDescent="0.25">
      <c r="K6265"/>
    </row>
    <row r="6266" spans="11:11" ht="15" x14ac:dyDescent="0.25">
      <c r="K6266"/>
    </row>
    <row r="6267" spans="11:11" ht="15" x14ac:dyDescent="0.25">
      <c r="K6267"/>
    </row>
    <row r="6268" spans="11:11" ht="15" x14ac:dyDescent="0.25">
      <c r="K6268"/>
    </row>
    <row r="6269" spans="11:11" ht="15" x14ac:dyDescent="0.25">
      <c r="K6269"/>
    </row>
    <row r="6270" spans="11:11" ht="15" x14ac:dyDescent="0.25">
      <c r="K6270"/>
    </row>
    <row r="6271" spans="11:11" ht="15" x14ac:dyDescent="0.25">
      <c r="K6271"/>
    </row>
    <row r="6272" spans="11:11" ht="15" x14ac:dyDescent="0.25">
      <c r="K6272"/>
    </row>
    <row r="6273" spans="11:11" ht="15" x14ac:dyDescent="0.25">
      <c r="K6273"/>
    </row>
    <row r="6274" spans="11:11" ht="15" x14ac:dyDescent="0.25">
      <c r="K6274"/>
    </row>
    <row r="6275" spans="11:11" ht="15" x14ac:dyDescent="0.25">
      <c r="K6275"/>
    </row>
    <row r="6276" spans="11:11" ht="15" x14ac:dyDescent="0.25">
      <c r="K6276"/>
    </row>
    <row r="6277" spans="11:11" ht="15" x14ac:dyDescent="0.25">
      <c r="K6277"/>
    </row>
    <row r="6278" spans="11:11" ht="15" x14ac:dyDescent="0.25">
      <c r="K6278"/>
    </row>
    <row r="6279" spans="11:11" ht="15" x14ac:dyDescent="0.25">
      <c r="K6279"/>
    </row>
    <row r="6280" spans="11:11" ht="15" x14ac:dyDescent="0.25">
      <c r="K6280"/>
    </row>
    <row r="6281" spans="11:11" ht="15" x14ac:dyDescent="0.25">
      <c r="K6281"/>
    </row>
    <row r="6282" spans="11:11" ht="15" x14ac:dyDescent="0.25">
      <c r="K6282"/>
    </row>
    <row r="6283" spans="11:11" ht="15" x14ac:dyDescent="0.25">
      <c r="K6283"/>
    </row>
    <row r="6284" spans="11:11" ht="15" x14ac:dyDescent="0.25">
      <c r="K6284"/>
    </row>
    <row r="6285" spans="11:11" ht="15" x14ac:dyDescent="0.25">
      <c r="K6285"/>
    </row>
    <row r="6286" spans="11:11" ht="15" x14ac:dyDescent="0.25">
      <c r="K6286"/>
    </row>
    <row r="6287" spans="11:11" ht="15" x14ac:dyDescent="0.25">
      <c r="K6287"/>
    </row>
    <row r="6288" spans="11:11" ht="15" x14ac:dyDescent="0.25">
      <c r="K6288"/>
    </row>
    <row r="6289" spans="11:11" ht="15" x14ac:dyDescent="0.25">
      <c r="K6289"/>
    </row>
    <row r="6290" spans="11:11" ht="15" x14ac:dyDescent="0.25">
      <c r="K6290"/>
    </row>
    <row r="6291" spans="11:11" ht="15" x14ac:dyDescent="0.25">
      <c r="K6291"/>
    </row>
    <row r="6292" spans="11:11" ht="15" x14ac:dyDescent="0.25">
      <c r="K6292"/>
    </row>
    <row r="6293" spans="11:11" ht="15" x14ac:dyDescent="0.25">
      <c r="K6293"/>
    </row>
    <row r="6294" spans="11:11" ht="15" x14ac:dyDescent="0.25">
      <c r="K6294"/>
    </row>
    <row r="6295" spans="11:11" ht="15" x14ac:dyDescent="0.25">
      <c r="K6295"/>
    </row>
    <row r="6296" spans="11:11" ht="15" x14ac:dyDescent="0.25">
      <c r="K6296"/>
    </row>
    <row r="6297" spans="11:11" ht="15" x14ac:dyDescent="0.25">
      <c r="K6297"/>
    </row>
    <row r="6298" spans="11:11" ht="15" x14ac:dyDescent="0.25">
      <c r="K6298"/>
    </row>
    <row r="6299" spans="11:11" ht="15" x14ac:dyDescent="0.25">
      <c r="K6299"/>
    </row>
    <row r="6300" spans="11:11" ht="15" x14ac:dyDescent="0.25">
      <c r="K6300"/>
    </row>
    <row r="6301" spans="11:11" ht="15" x14ac:dyDescent="0.25">
      <c r="K6301"/>
    </row>
    <row r="6302" spans="11:11" ht="15" x14ac:dyDescent="0.25">
      <c r="K6302"/>
    </row>
    <row r="6303" spans="11:11" ht="15" x14ac:dyDescent="0.25">
      <c r="K6303"/>
    </row>
    <row r="6304" spans="11:11" ht="15" x14ac:dyDescent="0.25">
      <c r="K6304"/>
    </row>
    <row r="6305" spans="11:11" ht="15" x14ac:dyDescent="0.25">
      <c r="K6305"/>
    </row>
    <row r="6306" spans="11:11" ht="15" x14ac:dyDescent="0.25">
      <c r="K6306"/>
    </row>
    <row r="6307" spans="11:11" ht="15" x14ac:dyDescent="0.25">
      <c r="K6307"/>
    </row>
    <row r="6308" spans="11:11" ht="15" x14ac:dyDescent="0.25">
      <c r="K6308"/>
    </row>
    <row r="6309" spans="11:11" ht="15" x14ac:dyDescent="0.25">
      <c r="K6309"/>
    </row>
    <row r="6310" spans="11:11" ht="15" x14ac:dyDescent="0.25">
      <c r="K6310"/>
    </row>
    <row r="6311" spans="11:11" ht="15" x14ac:dyDescent="0.25">
      <c r="K6311"/>
    </row>
    <row r="6312" spans="11:11" ht="15" x14ac:dyDescent="0.25">
      <c r="K6312"/>
    </row>
    <row r="6313" spans="11:11" ht="15" x14ac:dyDescent="0.25">
      <c r="K6313"/>
    </row>
    <row r="6314" spans="11:11" ht="15" x14ac:dyDescent="0.25">
      <c r="K6314"/>
    </row>
    <row r="6315" spans="11:11" ht="15" x14ac:dyDescent="0.25">
      <c r="K6315"/>
    </row>
    <row r="6316" spans="11:11" ht="15" x14ac:dyDescent="0.25">
      <c r="K6316"/>
    </row>
    <row r="6317" spans="11:11" ht="15" x14ac:dyDescent="0.25">
      <c r="K6317"/>
    </row>
    <row r="6318" spans="11:11" ht="15" x14ac:dyDescent="0.25">
      <c r="K6318"/>
    </row>
    <row r="6319" spans="11:11" ht="15" x14ac:dyDescent="0.25">
      <c r="K6319"/>
    </row>
    <row r="6320" spans="11:11" ht="15" x14ac:dyDescent="0.25">
      <c r="K6320"/>
    </row>
    <row r="6321" spans="11:11" ht="15" x14ac:dyDescent="0.25">
      <c r="K6321"/>
    </row>
    <row r="6322" spans="11:11" ht="15" x14ac:dyDescent="0.25">
      <c r="K6322"/>
    </row>
    <row r="6323" spans="11:11" ht="15" x14ac:dyDescent="0.25">
      <c r="K6323"/>
    </row>
    <row r="6324" spans="11:11" ht="15" x14ac:dyDescent="0.25">
      <c r="K6324"/>
    </row>
    <row r="6325" spans="11:11" ht="15" x14ac:dyDescent="0.25">
      <c r="K6325"/>
    </row>
    <row r="6326" spans="11:11" ht="15" x14ac:dyDescent="0.25">
      <c r="K6326"/>
    </row>
    <row r="6327" spans="11:11" ht="15" x14ac:dyDescent="0.25">
      <c r="K6327"/>
    </row>
    <row r="6328" spans="11:11" ht="15" x14ac:dyDescent="0.25">
      <c r="K6328"/>
    </row>
    <row r="6329" spans="11:11" ht="15" x14ac:dyDescent="0.25">
      <c r="K6329"/>
    </row>
    <row r="6330" spans="11:11" ht="15" x14ac:dyDescent="0.25">
      <c r="K6330"/>
    </row>
    <row r="6331" spans="11:11" ht="15" x14ac:dyDescent="0.25">
      <c r="K6331"/>
    </row>
    <row r="6332" spans="11:11" ht="15" x14ac:dyDescent="0.25">
      <c r="K6332"/>
    </row>
    <row r="6333" spans="11:11" ht="15" x14ac:dyDescent="0.25">
      <c r="K6333"/>
    </row>
    <row r="6334" spans="11:11" ht="15" x14ac:dyDescent="0.25">
      <c r="K6334"/>
    </row>
    <row r="6335" spans="11:11" ht="15" x14ac:dyDescent="0.25">
      <c r="K6335"/>
    </row>
    <row r="6336" spans="11:11" ht="15" x14ac:dyDescent="0.25">
      <c r="K6336"/>
    </row>
    <row r="6337" spans="11:11" ht="15" x14ac:dyDescent="0.25">
      <c r="K6337"/>
    </row>
    <row r="6338" spans="11:11" ht="15" x14ac:dyDescent="0.25">
      <c r="K6338"/>
    </row>
    <row r="6339" spans="11:11" ht="15" x14ac:dyDescent="0.25">
      <c r="K6339"/>
    </row>
    <row r="6340" spans="11:11" ht="15" x14ac:dyDescent="0.25">
      <c r="K6340"/>
    </row>
    <row r="6341" spans="11:11" ht="15" x14ac:dyDescent="0.25">
      <c r="K6341"/>
    </row>
    <row r="6342" spans="11:11" ht="15" x14ac:dyDescent="0.25">
      <c r="K6342"/>
    </row>
    <row r="6343" spans="11:11" ht="15" x14ac:dyDescent="0.25">
      <c r="K6343"/>
    </row>
    <row r="6344" spans="11:11" ht="15" x14ac:dyDescent="0.25">
      <c r="K6344"/>
    </row>
    <row r="6345" spans="11:11" ht="15" x14ac:dyDescent="0.25">
      <c r="K6345"/>
    </row>
    <row r="6346" spans="11:11" ht="15" x14ac:dyDescent="0.25">
      <c r="K6346"/>
    </row>
    <row r="6347" spans="11:11" ht="15" x14ac:dyDescent="0.25">
      <c r="K6347"/>
    </row>
    <row r="6348" spans="11:11" ht="15" x14ac:dyDescent="0.25">
      <c r="K6348"/>
    </row>
    <row r="6349" spans="11:11" ht="15" x14ac:dyDescent="0.25">
      <c r="K6349"/>
    </row>
    <row r="6350" spans="11:11" ht="15" x14ac:dyDescent="0.25">
      <c r="K6350"/>
    </row>
    <row r="6351" spans="11:11" ht="15" x14ac:dyDescent="0.25">
      <c r="K6351"/>
    </row>
    <row r="6352" spans="11:11" ht="15" x14ac:dyDescent="0.25">
      <c r="K6352"/>
    </row>
    <row r="6353" spans="11:11" ht="15" x14ac:dyDescent="0.25">
      <c r="K6353"/>
    </row>
    <row r="6354" spans="11:11" ht="15" x14ac:dyDescent="0.25">
      <c r="K6354"/>
    </row>
    <row r="6355" spans="11:11" ht="15" x14ac:dyDescent="0.25">
      <c r="K6355"/>
    </row>
    <row r="6356" spans="11:11" ht="15" x14ac:dyDescent="0.25">
      <c r="K6356"/>
    </row>
    <row r="6357" spans="11:11" ht="15" x14ac:dyDescent="0.25">
      <c r="K6357"/>
    </row>
    <row r="6358" spans="11:11" ht="15" x14ac:dyDescent="0.25">
      <c r="K6358"/>
    </row>
    <row r="6359" spans="11:11" ht="15" x14ac:dyDescent="0.25">
      <c r="K6359"/>
    </row>
    <row r="6360" spans="11:11" ht="15" x14ac:dyDescent="0.25">
      <c r="K6360"/>
    </row>
    <row r="6361" spans="11:11" ht="15" x14ac:dyDescent="0.25">
      <c r="K6361"/>
    </row>
    <row r="6362" spans="11:11" ht="15" x14ac:dyDescent="0.25">
      <c r="K6362"/>
    </row>
    <row r="6363" spans="11:11" ht="15" x14ac:dyDescent="0.25">
      <c r="K6363"/>
    </row>
    <row r="6364" spans="11:11" ht="15" x14ac:dyDescent="0.25">
      <c r="K6364"/>
    </row>
    <row r="6365" spans="11:11" ht="15" x14ac:dyDescent="0.25">
      <c r="K6365"/>
    </row>
    <row r="6366" spans="11:11" ht="15" x14ac:dyDescent="0.25">
      <c r="K6366"/>
    </row>
    <row r="6367" spans="11:11" ht="15" x14ac:dyDescent="0.25">
      <c r="K6367"/>
    </row>
    <row r="6368" spans="11:11" ht="15" x14ac:dyDescent="0.25">
      <c r="K6368"/>
    </row>
    <row r="6369" spans="11:11" ht="15" x14ac:dyDescent="0.25">
      <c r="K6369"/>
    </row>
    <row r="6370" spans="11:11" ht="15" x14ac:dyDescent="0.25">
      <c r="K6370"/>
    </row>
    <row r="6371" spans="11:11" ht="15" x14ac:dyDescent="0.25">
      <c r="K6371"/>
    </row>
    <row r="6372" spans="11:11" ht="15" x14ac:dyDescent="0.25">
      <c r="K6372"/>
    </row>
    <row r="6373" spans="11:11" ht="15" x14ac:dyDescent="0.25">
      <c r="K6373"/>
    </row>
    <row r="6374" spans="11:11" ht="15" x14ac:dyDescent="0.25">
      <c r="K6374"/>
    </row>
    <row r="6375" spans="11:11" ht="15" x14ac:dyDescent="0.25">
      <c r="K6375"/>
    </row>
    <row r="6376" spans="11:11" ht="15" x14ac:dyDescent="0.25">
      <c r="K6376"/>
    </row>
    <row r="6377" spans="11:11" ht="15" x14ac:dyDescent="0.25">
      <c r="K6377"/>
    </row>
    <row r="6378" spans="11:11" ht="15" x14ac:dyDescent="0.25">
      <c r="K6378"/>
    </row>
    <row r="6379" spans="11:11" ht="15" x14ac:dyDescent="0.25">
      <c r="K6379"/>
    </row>
    <row r="6380" spans="11:11" ht="15" x14ac:dyDescent="0.25">
      <c r="K6380"/>
    </row>
    <row r="6381" spans="11:11" ht="15" x14ac:dyDescent="0.25">
      <c r="K6381"/>
    </row>
    <row r="6382" spans="11:11" ht="15" x14ac:dyDescent="0.25">
      <c r="K6382"/>
    </row>
    <row r="6383" spans="11:11" ht="15" x14ac:dyDescent="0.25">
      <c r="K6383"/>
    </row>
    <row r="6384" spans="11:11" ht="15" x14ac:dyDescent="0.25">
      <c r="K6384"/>
    </row>
    <row r="6385" spans="11:11" ht="15" x14ac:dyDescent="0.25">
      <c r="K6385"/>
    </row>
    <row r="6386" spans="11:11" ht="15" x14ac:dyDescent="0.25">
      <c r="K6386"/>
    </row>
    <row r="6387" spans="11:11" ht="15" x14ac:dyDescent="0.25">
      <c r="K6387"/>
    </row>
    <row r="6388" spans="11:11" ht="15" x14ac:dyDescent="0.25">
      <c r="K6388"/>
    </row>
    <row r="6389" spans="11:11" ht="15" x14ac:dyDescent="0.25">
      <c r="K6389"/>
    </row>
    <row r="6390" spans="11:11" ht="15" x14ac:dyDescent="0.25">
      <c r="K6390"/>
    </row>
    <row r="6391" spans="11:11" ht="15" x14ac:dyDescent="0.25">
      <c r="K6391"/>
    </row>
    <row r="6392" spans="11:11" ht="15" x14ac:dyDescent="0.25">
      <c r="K6392"/>
    </row>
    <row r="6393" spans="11:11" ht="15" x14ac:dyDescent="0.25">
      <c r="K6393"/>
    </row>
    <row r="6394" spans="11:11" ht="15" x14ac:dyDescent="0.25">
      <c r="K6394"/>
    </row>
    <row r="6395" spans="11:11" ht="15" x14ac:dyDescent="0.25">
      <c r="K6395"/>
    </row>
    <row r="6396" spans="11:11" ht="15" x14ac:dyDescent="0.25">
      <c r="K6396"/>
    </row>
    <row r="6397" spans="11:11" ht="15" x14ac:dyDescent="0.25">
      <c r="K6397"/>
    </row>
    <row r="6398" spans="11:11" ht="15" x14ac:dyDescent="0.25">
      <c r="K6398"/>
    </row>
    <row r="6399" spans="11:11" ht="15" x14ac:dyDescent="0.25">
      <c r="K6399"/>
    </row>
    <row r="6400" spans="11:11" ht="15" x14ac:dyDescent="0.25">
      <c r="K6400"/>
    </row>
    <row r="6401" spans="11:11" ht="15" x14ac:dyDescent="0.25">
      <c r="K6401"/>
    </row>
    <row r="6402" spans="11:11" ht="15" x14ac:dyDescent="0.25">
      <c r="K6402"/>
    </row>
    <row r="6403" spans="11:11" ht="15" x14ac:dyDescent="0.25">
      <c r="K6403"/>
    </row>
    <row r="6404" spans="11:11" ht="15" x14ac:dyDescent="0.25">
      <c r="K6404"/>
    </row>
    <row r="6405" spans="11:11" ht="15" x14ac:dyDescent="0.25">
      <c r="K6405"/>
    </row>
    <row r="6406" spans="11:11" ht="15" x14ac:dyDescent="0.25">
      <c r="K6406"/>
    </row>
    <row r="6407" spans="11:11" ht="15" x14ac:dyDescent="0.25">
      <c r="K6407"/>
    </row>
    <row r="6408" spans="11:11" ht="15" x14ac:dyDescent="0.25">
      <c r="K6408"/>
    </row>
    <row r="6409" spans="11:11" ht="15" x14ac:dyDescent="0.25">
      <c r="K6409"/>
    </row>
    <row r="6410" spans="11:11" ht="15" x14ac:dyDescent="0.25">
      <c r="K6410"/>
    </row>
    <row r="6411" spans="11:11" ht="15" x14ac:dyDescent="0.25">
      <c r="K6411"/>
    </row>
    <row r="6412" spans="11:11" ht="15" x14ac:dyDescent="0.25">
      <c r="K6412"/>
    </row>
    <row r="6413" spans="11:11" ht="15" x14ac:dyDescent="0.25">
      <c r="K6413"/>
    </row>
    <row r="6414" spans="11:11" ht="15" x14ac:dyDescent="0.25">
      <c r="K6414"/>
    </row>
    <row r="6415" spans="11:11" ht="15" x14ac:dyDescent="0.25">
      <c r="K6415"/>
    </row>
    <row r="6416" spans="11:11" ht="15" x14ac:dyDescent="0.25">
      <c r="K6416"/>
    </row>
    <row r="6417" spans="11:11" ht="15" x14ac:dyDescent="0.25">
      <c r="K6417"/>
    </row>
    <row r="6418" spans="11:11" ht="15" x14ac:dyDescent="0.25">
      <c r="K6418"/>
    </row>
    <row r="6419" spans="11:11" ht="15" x14ac:dyDescent="0.25">
      <c r="K6419"/>
    </row>
    <row r="6420" spans="11:11" ht="15" x14ac:dyDescent="0.25">
      <c r="K6420"/>
    </row>
    <row r="6421" spans="11:11" ht="15" x14ac:dyDescent="0.25">
      <c r="K6421"/>
    </row>
    <row r="6422" spans="11:11" ht="15" x14ac:dyDescent="0.25">
      <c r="K6422"/>
    </row>
    <row r="6423" spans="11:11" ht="15" x14ac:dyDescent="0.25">
      <c r="K6423"/>
    </row>
    <row r="6424" spans="11:11" ht="15" x14ac:dyDescent="0.25">
      <c r="K6424"/>
    </row>
    <row r="6425" spans="11:11" ht="15" x14ac:dyDescent="0.25">
      <c r="K6425"/>
    </row>
    <row r="6426" spans="11:11" ht="15" x14ac:dyDescent="0.25">
      <c r="K6426"/>
    </row>
    <row r="6427" spans="11:11" ht="15" x14ac:dyDescent="0.25">
      <c r="K6427"/>
    </row>
    <row r="6428" spans="11:11" ht="15" x14ac:dyDescent="0.25">
      <c r="K6428"/>
    </row>
    <row r="6429" spans="11:11" ht="15" x14ac:dyDescent="0.25">
      <c r="K6429"/>
    </row>
    <row r="6430" spans="11:11" ht="15" x14ac:dyDescent="0.25">
      <c r="K6430"/>
    </row>
    <row r="6431" spans="11:11" ht="15" x14ac:dyDescent="0.25">
      <c r="K6431"/>
    </row>
    <row r="6432" spans="11:11" ht="15" x14ac:dyDescent="0.25">
      <c r="K6432"/>
    </row>
    <row r="6433" spans="11:11" ht="15" x14ac:dyDescent="0.25">
      <c r="K6433"/>
    </row>
    <row r="6434" spans="11:11" ht="15" x14ac:dyDescent="0.25">
      <c r="K6434"/>
    </row>
    <row r="6435" spans="11:11" ht="15" x14ac:dyDescent="0.25">
      <c r="K6435"/>
    </row>
    <row r="6436" spans="11:11" ht="15" x14ac:dyDescent="0.25">
      <c r="K6436"/>
    </row>
    <row r="6437" spans="11:11" ht="15" x14ac:dyDescent="0.25">
      <c r="K6437"/>
    </row>
    <row r="6438" spans="11:11" ht="15" x14ac:dyDescent="0.25">
      <c r="K6438"/>
    </row>
    <row r="6439" spans="11:11" ht="15" x14ac:dyDescent="0.25">
      <c r="K6439"/>
    </row>
    <row r="6440" spans="11:11" ht="15" x14ac:dyDescent="0.25">
      <c r="K6440"/>
    </row>
    <row r="6441" spans="11:11" ht="15" x14ac:dyDescent="0.25">
      <c r="K6441"/>
    </row>
    <row r="6442" spans="11:11" ht="15" x14ac:dyDescent="0.25">
      <c r="K6442"/>
    </row>
    <row r="6443" spans="11:11" ht="15" x14ac:dyDescent="0.25">
      <c r="K6443"/>
    </row>
    <row r="6444" spans="11:11" ht="15" x14ac:dyDescent="0.25">
      <c r="K6444"/>
    </row>
    <row r="6445" spans="11:11" ht="15" x14ac:dyDescent="0.25">
      <c r="K6445"/>
    </row>
    <row r="6446" spans="11:11" ht="15" x14ac:dyDescent="0.25">
      <c r="K6446"/>
    </row>
    <row r="6447" spans="11:11" ht="15" x14ac:dyDescent="0.25">
      <c r="K6447"/>
    </row>
    <row r="6448" spans="11:11" ht="15" x14ac:dyDescent="0.25">
      <c r="K6448"/>
    </row>
    <row r="6449" spans="11:11" ht="15" x14ac:dyDescent="0.25">
      <c r="K6449"/>
    </row>
    <row r="6450" spans="11:11" ht="15" x14ac:dyDescent="0.25">
      <c r="K6450"/>
    </row>
    <row r="6451" spans="11:11" ht="15" x14ac:dyDescent="0.25">
      <c r="K6451"/>
    </row>
    <row r="6452" spans="11:11" ht="15" x14ac:dyDescent="0.25">
      <c r="K6452"/>
    </row>
    <row r="6453" spans="11:11" ht="15" x14ac:dyDescent="0.25">
      <c r="K6453"/>
    </row>
    <row r="6454" spans="11:11" ht="15" x14ac:dyDescent="0.25">
      <c r="K6454"/>
    </row>
    <row r="6455" spans="11:11" ht="15" x14ac:dyDescent="0.25">
      <c r="K6455"/>
    </row>
    <row r="6456" spans="11:11" ht="15" x14ac:dyDescent="0.25">
      <c r="K6456"/>
    </row>
    <row r="6457" spans="11:11" ht="15" x14ac:dyDescent="0.25">
      <c r="K6457"/>
    </row>
    <row r="6458" spans="11:11" ht="15" x14ac:dyDescent="0.25">
      <c r="K6458"/>
    </row>
    <row r="6459" spans="11:11" ht="15" x14ac:dyDescent="0.25">
      <c r="K6459"/>
    </row>
    <row r="6460" spans="11:11" ht="15" x14ac:dyDescent="0.25">
      <c r="K6460"/>
    </row>
    <row r="6461" spans="11:11" ht="15" x14ac:dyDescent="0.25">
      <c r="K6461"/>
    </row>
    <row r="6462" spans="11:11" ht="15" x14ac:dyDescent="0.25">
      <c r="K6462"/>
    </row>
    <row r="6463" spans="11:11" ht="15" x14ac:dyDescent="0.25">
      <c r="K6463"/>
    </row>
    <row r="6464" spans="11:11" ht="15" x14ac:dyDescent="0.25">
      <c r="K6464"/>
    </row>
    <row r="6465" spans="11:11" ht="15" x14ac:dyDescent="0.25">
      <c r="K6465"/>
    </row>
    <row r="6466" spans="11:11" ht="15" x14ac:dyDescent="0.25">
      <c r="K6466"/>
    </row>
    <row r="6467" spans="11:11" ht="15" x14ac:dyDescent="0.25">
      <c r="K6467"/>
    </row>
    <row r="6468" spans="11:11" ht="15" x14ac:dyDescent="0.25">
      <c r="K6468"/>
    </row>
    <row r="6469" spans="11:11" ht="15" x14ac:dyDescent="0.25">
      <c r="K6469"/>
    </row>
    <row r="6470" spans="11:11" ht="15" x14ac:dyDescent="0.25">
      <c r="K6470"/>
    </row>
    <row r="6471" spans="11:11" ht="15" x14ac:dyDescent="0.25">
      <c r="K6471"/>
    </row>
    <row r="6472" spans="11:11" ht="15" x14ac:dyDescent="0.25">
      <c r="K6472"/>
    </row>
    <row r="6473" spans="11:11" ht="15" x14ac:dyDescent="0.25">
      <c r="K6473"/>
    </row>
    <row r="6474" spans="11:11" ht="15" x14ac:dyDescent="0.25">
      <c r="K6474"/>
    </row>
    <row r="6475" spans="11:11" ht="15" x14ac:dyDescent="0.25">
      <c r="K6475"/>
    </row>
    <row r="6476" spans="11:11" ht="15" x14ac:dyDescent="0.25">
      <c r="K6476"/>
    </row>
    <row r="6477" spans="11:11" ht="15" x14ac:dyDescent="0.25">
      <c r="K6477"/>
    </row>
    <row r="6478" spans="11:11" ht="15" x14ac:dyDescent="0.25">
      <c r="K6478"/>
    </row>
    <row r="6479" spans="11:11" ht="15" x14ac:dyDescent="0.25">
      <c r="K6479"/>
    </row>
    <row r="6480" spans="11:11" ht="15" x14ac:dyDescent="0.25">
      <c r="K6480"/>
    </row>
    <row r="6481" spans="11:11" ht="15" x14ac:dyDescent="0.25">
      <c r="K6481"/>
    </row>
    <row r="6482" spans="11:11" ht="15" x14ac:dyDescent="0.25">
      <c r="K6482"/>
    </row>
    <row r="6483" spans="11:11" ht="15" x14ac:dyDescent="0.25">
      <c r="K6483"/>
    </row>
    <row r="6484" spans="11:11" ht="15" x14ac:dyDescent="0.25">
      <c r="K6484"/>
    </row>
    <row r="6485" spans="11:11" ht="15" x14ac:dyDescent="0.25">
      <c r="K6485"/>
    </row>
    <row r="6486" spans="11:11" ht="15" x14ac:dyDescent="0.25">
      <c r="K6486"/>
    </row>
    <row r="6487" spans="11:11" ht="15" x14ac:dyDescent="0.25">
      <c r="K6487"/>
    </row>
    <row r="6488" spans="11:11" ht="15" x14ac:dyDescent="0.25">
      <c r="K6488"/>
    </row>
    <row r="6489" spans="11:11" ht="15" x14ac:dyDescent="0.25">
      <c r="K6489"/>
    </row>
    <row r="6490" spans="11:11" ht="15" x14ac:dyDescent="0.25">
      <c r="K6490"/>
    </row>
    <row r="6491" spans="11:11" ht="15" x14ac:dyDescent="0.25">
      <c r="K6491"/>
    </row>
    <row r="6492" spans="11:11" ht="15" x14ac:dyDescent="0.25">
      <c r="K6492"/>
    </row>
    <row r="6493" spans="11:11" ht="15" x14ac:dyDescent="0.25">
      <c r="K6493"/>
    </row>
    <row r="6494" spans="11:11" ht="15" x14ac:dyDescent="0.25">
      <c r="K6494"/>
    </row>
    <row r="6495" spans="11:11" ht="15" x14ac:dyDescent="0.25">
      <c r="K6495"/>
    </row>
    <row r="6496" spans="11:11" ht="15" x14ac:dyDescent="0.25">
      <c r="K6496"/>
    </row>
    <row r="6497" spans="11:11" ht="15" x14ac:dyDescent="0.25">
      <c r="K6497"/>
    </row>
    <row r="6498" spans="11:11" ht="15" x14ac:dyDescent="0.25">
      <c r="K6498"/>
    </row>
    <row r="6499" spans="11:11" ht="15" x14ac:dyDescent="0.25">
      <c r="K6499"/>
    </row>
    <row r="6500" spans="11:11" ht="15" x14ac:dyDescent="0.25">
      <c r="K6500"/>
    </row>
    <row r="6501" spans="11:11" ht="15" x14ac:dyDescent="0.25">
      <c r="K6501"/>
    </row>
    <row r="6502" spans="11:11" ht="15" x14ac:dyDescent="0.25">
      <c r="K6502"/>
    </row>
    <row r="6503" spans="11:11" ht="15" x14ac:dyDescent="0.25">
      <c r="K6503"/>
    </row>
    <row r="6504" spans="11:11" ht="15" x14ac:dyDescent="0.25">
      <c r="K6504"/>
    </row>
    <row r="6505" spans="11:11" ht="15" x14ac:dyDescent="0.25">
      <c r="K6505"/>
    </row>
    <row r="6506" spans="11:11" ht="15" x14ac:dyDescent="0.25">
      <c r="K6506"/>
    </row>
    <row r="6507" spans="11:11" ht="15" x14ac:dyDescent="0.25">
      <c r="K6507"/>
    </row>
    <row r="6508" spans="11:11" ht="15" x14ac:dyDescent="0.25">
      <c r="K6508"/>
    </row>
    <row r="6509" spans="11:11" ht="15" x14ac:dyDescent="0.25">
      <c r="K6509"/>
    </row>
    <row r="6510" spans="11:11" ht="15" x14ac:dyDescent="0.25">
      <c r="K6510"/>
    </row>
    <row r="6511" spans="11:11" ht="15" x14ac:dyDescent="0.25">
      <c r="K6511"/>
    </row>
    <row r="6512" spans="11:11" ht="15" x14ac:dyDescent="0.25">
      <c r="K6512"/>
    </row>
    <row r="6513" spans="11:11" ht="15" x14ac:dyDescent="0.25">
      <c r="K6513"/>
    </row>
    <row r="6514" spans="11:11" ht="15" x14ac:dyDescent="0.25">
      <c r="K6514"/>
    </row>
    <row r="6515" spans="11:11" ht="15" x14ac:dyDescent="0.25">
      <c r="K6515"/>
    </row>
    <row r="6516" spans="11:11" ht="15" x14ac:dyDescent="0.25">
      <c r="K6516"/>
    </row>
    <row r="6517" spans="11:11" ht="15" x14ac:dyDescent="0.25">
      <c r="K6517"/>
    </row>
    <row r="6518" spans="11:11" ht="15" x14ac:dyDescent="0.25">
      <c r="K6518"/>
    </row>
    <row r="6519" spans="11:11" ht="15" x14ac:dyDescent="0.25">
      <c r="K6519"/>
    </row>
    <row r="6520" spans="11:11" ht="15" x14ac:dyDescent="0.25">
      <c r="K6520"/>
    </row>
    <row r="6521" spans="11:11" ht="15" x14ac:dyDescent="0.25">
      <c r="K6521"/>
    </row>
    <row r="6522" spans="11:11" ht="15" x14ac:dyDescent="0.25">
      <c r="K6522"/>
    </row>
    <row r="6523" spans="11:11" ht="15" x14ac:dyDescent="0.25">
      <c r="K6523"/>
    </row>
    <row r="6524" spans="11:11" ht="15" x14ac:dyDescent="0.25">
      <c r="K6524"/>
    </row>
    <row r="6525" spans="11:11" ht="15" x14ac:dyDescent="0.25">
      <c r="K6525"/>
    </row>
    <row r="6526" spans="11:11" ht="15" x14ac:dyDescent="0.25">
      <c r="K6526"/>
    </row>
    <row r="6527" spans="11:11" ht="15" x14ac:dyDescent="0.25">
      <c r="K6527"/>
    </row>
    <row r="6528" spans="11:11" ht="15" x14ac:dyDescent="0.25">
      <c r="K6528"/>
    </row>
    <row r="6529" spans="11:11" ht="15" x14ac:dyDescent="0.25">
      <c r="K6529"/>
    </row>
    <row r="6530" spans="11:11" ht="15" x14ac:dyDescent="0.25">
      <c r="K6530"/>
    </row>
    <row r="6531" spans="11:11" ht="15" x14ac:dyDescent="0.25">
      <c r="K6531"/>
    </row>
    <row r="6532" spans="11:11" ht="15" x14ac:dyDescent="0.25">
      <c r="K6532"/>
    </row>
    <row r="6533" spans="11:11" ht="15" x14ac:dyDescent="0.25">
      <c r="K6533"/>
    </row>
    <row r="6534" spans="11:11" ht="15" x14ac:dyDescent="0.25">
      <c r="K6534"/>
    </row>
    <row r="6535" spans="11:11" ht="15" x14ac:dyDescent="0.25">
      <c r="K6535"/>
    </row>
    <row r="6536" spans="11:11" ht="15" x14ac:dyDescent="0.25">
      <c r="K6536"/>
    </row>
    <row r="6537" spans="11:11" ht="15" x14ac:dyDescent="0.25">
      <c r="K6537"/>
    </row>
    <row r="6538" spans="11:11" ht="15" x14ac:dyDescent="0.25">
      <c r="K6538"/>
    </row>
    <row r="6539" spans="11:11" ht="15" x14ac:dyDescent="0.25">
      <c r="K6539"/>
    </row>
    <row r="6540" spans="11:11" ht="15" x14ac:dyDescent="0.25">
      <c r="K6540"/>
    </row>
    <row r="6541" spans="11:11" ht="15" x14ac:dyDescent="0.25">
      <c r="K6541"/>
    </row>
    <row r="6542" spans="11:11" ht="15" x14ac:dyDescent="0.25">
      <c r="K6542"/>
    </row>
    <row r="6543" spans="11:11" ht="15" x14ac:dyDescent="0.25">
      <c r="K6543"/>
    </row>
    <row r="6544" spans="11:11" ht="15" x14ac:dyDescent="0.25">
      <c r="K6544"/>
    </row>
    <row r="6545" spans="11:11" ht="15" x14ac:dyDescent="0.25">
      <c r="K6545"/>
    </row>
    <row r="6546" spans="11:11" ht="15" x14ac:dyDescent="0.25">
      <c r="K6546"/>
    </row>
    <row r="6547" spans="11:11" ht="15" x14ac:dyDescent="0.25">
      <c r="K6547"/>
    </row>
    <row r="6548" spans="11:11" ht="15" x14ac:dyDescent="0.25">
      <c r="K6548"/>
    </row>
    <row r="6549" spans="11:11" ht="15" x14ac:dyDescent="0.25">
      <c r="K6549"/>
    </row>
    <row r="6550" spans="11:11" ht="15" x14ac:dyDescent="0.25">
      <c r="K6550"/>
    </row>
    <row r="6551" spans="11:11" ht="15" x14ac:dyDescent="0.25">
      <c r="K6551"/>
    </row>
    <row r="6552" spans="11:11" ht="15" x14ac:dyDescent="0.25">
      <c r="K6552"/>
    </row>
    <row r="6553" spans="11:11" ht="15" x14ac:dyDescent="0.25">
      <c r="K6553"/>
    </row>
    <row r="6554" spans="11:11" ht="15" x14ac:dyDescent="0.25">
      <c r="K6554"/>
    </row>
    <row r="6555" spans="11:11" ht="15" x14ac:dyDescent="0.25">
      <c r="K6555"/>
    </row>
    <row r="6556" spans="11:11" ht="15" x14ac:dyDescent="0.25">
      <c r="K6556"/>
    </row>
    <row r="6557" spans="11:11" ht="15" x14ac:dyDescent="0.25">
      <c r="K6557"/>
    </row>
    <row r="6558" spans="11:11" ht="15" x14ac:dyDescent="0.25">
      <c r="K6558"/>
    </row>
    <row r="6559" spans="11:11" ht="15" x14ac:dyDescent="0.25">
      <c r="K6559"/>
    </row>
    <row r="6560" spans="11:11" ht="15" x14ac:dyDescent="0.25">
      <c r="K6560"/>
    </row>
    <row r="6561" spans="11:11" ht="15" x14ac:dyDescent="0.25">
      <c r="K6561"/>
    </row>
    <row r="6562" spans="11:11" ht="15" x14ac:dyDescent="0.25">
      <c r="K6562"/>
    </row>
    <row r="6563" spans="11:11" ht="15" x14ac:dyDescent="0.25">
      <c r="K6563"/>
    </row>
    <row r="6564" spans="11:11" ht="15" x14ac:dyDescent="0.25">
      <c r="K6564"/>
    </row>
    <row r="6565" spans="11:11" ht="15" x14ac:dyDescent="0.25">
      <c r="K6565"/>
    </row>
    <row r="6566" spans="11:11" ht="15" x14ac:dyDescent="0.25">
      <c r="K6566"/>
    </row>
    <row r="6567" spans="11:11" ht="15" x14ac:dyDescent="0.25">
      <c r="K6567"/>
    </row>
    <row r="6568" spans="11:11" ht="15" x14ac:dyDescent="0.25">
      <c r="K6568"/>
    </row>
    <row r="6569" spans="11:11" ht="15" x14ac:dyDescent="0.25">
      <c r="K6569"/>
    </row>
    <row r="6570" spans="11:11" ht="15" x14ac:dyDescent="0.25">
      <c r="K6570"/>
    </row>
    <row r="6571" spans="11:11" ht="15" x14ac:dyDescent="0.25">
      <c r="K6571"/>
    </row>
    <row r="6572" spans="11:11" ht="15" x14ac:dyDescent="0.25">
      <c r="K6572"/>
    </row>
    <row r="6573" spans="11:11" ht="15" x14ac:dyDescent="0.25">
      <c r="K6573"/>
    </row>
    <row r="6574" spans="11:11" ht="15" x14ac:dyDescent="0.25">
      <c r="K6574"/>
    </row>
    <row r="6575" spans="11:11" ht="15" x14ac:dyDescent="0.25">
      <c r="K6575"/>
    </row>
    <row r="6576" spans="11:11" ht="15" x14ac:dyDescent="0.25">
      <c r="K6576"/>
    </row>
    <row r="6577" spans="11:11" ht="15" x14ac:dyDescent="0.25">
      <c r="K6577"/>
    </row>
    <row r="6578" spans="11:11" ht="15" x14ac:dyDescent="0.25">
      <c r="K6578"/>
    </row>
    <row r="6579" spans="11:11" ht="15" x14ac:dyDescent="0.25">
      <c r="K6579"/>
    </row>
    <row r="6580" spans="11:11" ht="15" x14ac:dyDescent="0.25">
      <c r="K6580"/>
    </row>
    <row r="6581" spans="11:11" ht="15" x14ac:dyDescent="0.25">
      <c r="K6581"/>
    </row>
    <row r="6582" spans="11:11" ht="15" x14ac:dyDescent="0.25">
      <c r="K6582"/>
    </row>
    <row r="6583" spans="11:11" ht="15" x14ac:dyDescent="0.25">
      <c r="K6583"/>
    </row>
    <row r="6584" spans="11:11" ht="15" x14ac:dyDescent="0.25">
      <c r="K6584"/>
    </row>
    <row r="6585" spans="11:11" ht="15" x14ac:dyDescent="0.25">
      <c r="K6585"/>
    </row>
    <row r="6586" spans="11:11" ht="15" x14ac:dyDescent="0.25">
      <c r="K6586"/>
    </row>
    <row r="6587" spans="11:11" ht="15" x14ac:dyDescent="0.25">
      <c r="K6587"/>
    </row>
    <row r="6588" spans="11:11" ht="15" x14ac:dyDescent="0.25">
      <c r="K6588"/>
    </row>
    <row r="6589" spans="11:11" ht="15" x14ac:dyDescent="0.25">
      <c r="K6589"/>
    </row>
    <row r="6590" spans="11:11" ht="15" x14ac:dyDescent="0.25">
      <c r="K6590"/>
    </row>
    <row r="6591" spans="11:11" ht="15" x14ac:dyDescent="0.25">
      <c r="K6591"/>
    </row>
    <row r="6592" spans="11:11" ht="15" x14ac:dyDescent="0.25">
      <c r="K6592"/>
    </row>
    <row r="6593" spans="11:11" ht="15" x14ac:dyDescent="0.25">
      <c r="K6593"/>
    </row>
    <row r="6594" spans="11:11" ht="15" x14ac:dyDescent="0.25">
      <c r="K6594"/>
    </row>
    <row r="6595" spans="11:11" ht="15" x14ac:dyDescent="0.25">
      <c r="K6595"/>
    </row>
    <row r="6596" spans="11:11" ht="15" x14ac:dyDescent="0.25">
      <c r="K6596"/>
    </row>
    <row r="6597" spans="11:11" ht="15" x14ac:dyDescent="0.25">
      <c r="K6597"/>
    </row>
    <row r="6598" spans="11:11" ht="15" x14ac:dyDescent="0.25">
      <c r="K6598"/>
    </row>
    <row r="6599" spans="11:11" ht="15" x14ac:dyDescent="0.25">
      <c r="K6599"/>
    </row>
    <row r="6600" spans="11:11" ht="15" x14ac:dyDescent="0.25">
      <c r="K6600"/>
    </row>
    <row r="6601" spans="11:11" ht="15" x14ac:dyDescent="0.25">
      <c r="K6601"/>
    </row>
    <row r="6602" spans="11:11" ht="15" x14ac:dyDescent="0.25">
      <c r="K6602"/>
    </row>
    <row r="6603" spans="11:11" ht="15" x14ac:dyDescent="0.25">
      <c r="K6603"/>
    </row>
    <row r="6604" spans="11:11" ht="15" x14ac:dyDescent="0.25">
      <c r="K6604"/>
    </row>
    <row r="6605" spans="11:11" ht="15" x14ac:dyDescent="0.25">
      <c r="K6605"/>
    </row>
    <row r="6606" spans="11:11" ht="15" x14ac:dyDescent="0.25">
      <c r="K6606"/>
    </row>
    <row r="6607" spans="11:11" ht="15" x14ac:dyDescent="0.25">
      <c r="K6607"/>
    </row>
    <row r="6608" spans="11:11" ht="15" x14ac:dyDescent="0.25">
      <c r="K6608"/>
    </row>
    <row r="6609" spans="11:11" ht="15" x14ac:dyDescent="0.25">
      <c r="K6609"/>
    </row>
    <row r="6610" spans="11:11" ht="15" x14ac:dyDescent="0.25">
      <c r="K6610"/>
    </row>
    <row r="6611" spans="11:11" ht="15" x14ac:dyDescent="0.25">
      <c r="K6611"/>
    </row>
    <row r="6612" spans="11:11" ht="15" x14ac:dyDescent="0.25">
      <c r="K6612"/>
    </row>
    <row r="6613" spans="11:11" ht="15" x14ac:dyDescent="0.25">
      <c r="K6613"/>
    </row>
    <row r="6614" spans="11:11" ht="15" x14ac:dyDescent="0.25">
      <c r="K6614"/>
    </row>
    <row r="6615" spans="11:11" ht="15" x14ac:dyDescent="0.25">
      <c r="K6615"/>
    </row>
    <row r="6616" spans="11:11" ht="15" x14ac:dyDescent="0.25">
      <c r="K6616"/>
    </row>
    <row r="6617" spans="11:11" ht="15" x14ac:dyDescent="0.25">
      <c r="K6617"/>
    </row>
    <row r="6618" spans="11:11" ht="15" x14ac:dyDescent="0.25">
      <c r="K6618"/>
    </row>
    <row r="6619" spans="11:11" ht="15" x14ac:dyDescent="0.25">
      <c r="K6619"/>
    </row>
    <row r="6620" spans="11:11" ht="15" x14ac:dyDescent="0.25">
      <c r="K6620"/>
    </row>
    <row r="6621" spans="11:11" ht="15" x14ac:dyDescent="0.25">
      <c r="K6621"/>
    </row>
    <row r="6622" spans="11:11" ht="15" x14ac:dyDescent="0.25">
      <c r="K6622"/>
    </row>
    <row r="6623" spans="11:11" ht="15" x14ac:dyDescent="0.25">
      <c r="K6623"/>
    </row>
    <row r="6624" spans="11:11" ht="15" x14ac:dyDescent="0.25">
      <c r="K6624"/>
    </row>
    <row r="6625" spans="11:11" ht="15" x14ac:dyDescent="0.25">
      <c r="K6625"/>
    </row>
    <row r="6626" spans="11:11" ht="15" x14ac:dyDescent="0.25">
      <c r="K6626"/>
    </row>
    <row r="6627" spans="11:11" ht="15" x14ac:dyDescent="0.25">
      <c r="K6627"/>
    </row>
    <row r="6628" spans="11:11" ht="15" x14ac:dyDescent="0.25">
      <c r="K6628"/>
    </row>
    <row r="6629" spans="11:11" ht="15" x14ac:dyDescent="0.25">
      <c r="K6629"/>
    </row>
    <row r="6630" spans="11:11" ht="15" x14ac:dyDescent="0.25">
      <c r="K6630"/>
    </row>
    <row r="6631" spans="11:11" ht="15" x14ac:dyDescent="0.25">
      <c r="K6631"/>
    </row>
    <row r="6632" spans="11:11" ht="15" x14ac:dyDescent="0.25">
      <c r="K6632"/>
    </row>
    <row r="6633" spans="11:11" ht="15" x14ac:dyDescent="0.25">
      <c r="K6633"/>
    </row>
    <row r="6634" spans="11:11" ht="15" x14ac:dyDescent="0.25">
      <c r="K6634"/>
    </row>
    <row r="6635" spans="11:11" ht="15" x14ac:dyDescent="0.25">
      <c r="K6635"/>
    </row>
    <row r="6636" spans="11:11" ht="15" x14ac:dyDescent="0.25">
      <c r="K6636"/>
    </row>
    <row r="6637" spans="11:11" ht="15" x14ac:dyDescent="0.25">
      <c r="K6637"/>
    </row>
    <row r="6638" spans="11:11" ht="15" x14ac:dyDescent="0.25">
      <c r="K6638"/>
    </row>
    <row r="6639" spans="11:11" ht="15" x14ac:dyDescent="0.25">
      <c r="K6639"/>
    </row>
    <row r="6640" spans="11:11" ht="15" x14ac:dyDescent="0.25">
      <c r="K6640"/>
    </row>
    <row r="6641" spans="11:11" ht="15" x14ac:dyDescent="0.25">
      <c r="K6641"/>
    </row>
    <row r="6642" spans="11:11" ht="15" x14ac:dyDescent="0.25">
      <c r="K6642"/>
    </row>
    <row r="6643" spans="11:11" ht="15" x14ac:dyDescent="0.25">
      <c r="K6643"/>
    </row>
    <row r="6644" spans="11:11" ht="15" x14ac:dyDescent="0.25">
      <c r="K6644"/>
    </row>
    <row r="6645" spans="11:11" ht="15" x14ac:dyDescent="0.25">
      <c r="K6645"/>
    </row>
    <row r="6646" spans="11:11" ht="15" x14ac:dyDescent="0.25">
      <c r="K6646"/>
    </row>
    <row r="6647" spans="11:11" ht="15" x14ac:dyDescent="0.25">
      <c r="K6647"/>
    </row>
    <row r="6648" spans="11:11" ht="15" x14ac:dyDescent="0.25">
      <c r="K6648"/>
    </row>
    <row r="6649" spans="11:11" ht="15" x14ac:dyDescent="0.25">
      <c r="K6649"/>
    </row>
    <row r="6650" spans="11:11" ht="15" x14ac:dyDescent="0.25">
      <c r="K6650"/>
    </row>
    <row r="6651" spans="11:11" ht="15" x14ac:dyDescent="0.25">
      <c r="K6651"/>
    </row>
    <row r="6652" spans="11:11" ht="15" x14ac:dyDescent="0.25">
      <c r="K6652"/>
    </row>
    <row r="6653" spans="11:11" ht="15" x14ac:dyDescent="0.25">
      <c r="K6653"/>
    </row>
    <row r="6654" spans="11:11" ht="15" x14ac:dyDescent="0.25">
      <c r="K6654"/>
    </row>
    <row r="6655" spans="11:11" ht="15" x14ac:dyDescent="0.25">
      <c r="K6655"/>
    </row>
    <row r="6656" spans="11:11" ht="15" x14ac:dyDescent="0.25">
      <c r="K6656"/>
    </row>
    <row r="6657" spans="11:11" ht="15" x14ac:dyDescent="0.25">
      <c r="K6657"/>
    </row>
    <row r="6658" spans="11:11" ht="15" x14ac:dyDescent="0.25">
      <c r="K6658"/>
    </row>
    <row r="6659" spans="11:11" ht="15" x14ac:dyDescent="0.25">
      <c r="K6659"/>
    </row>
    <row r="6660" spans="11:11" ht="15" x14ac:dyDescent="0.25">
      <c r="K6660"/>
    </row>
    <row r="6661" spans="11:11" ht="15" x14ac:dyDescent="0.25">
      <c r="K6661"/>
    </row>
    <row r="6662" spans="11:11" ht="15" x14ac:dyDescent="0.25">
      <c r="K6662"/>
    </row>
    <row r="6663" spans="11:11" ht="15" x14ac:dyDescent="0.25">
      <c r="K6663"/>
    </row>
    <row r="6664" spans="11:11" ht="15" x14ac:dyDescent="0.25">
      <c r="K6664"/>
    </row>
    <row r="6665" spans="11:11" ht="15" x14ac:dyDescent="0.25">
      <c r="K6665"/>
    </row>
    <row r="6666" spans="11:11" ht="15" x14ac:dyDescent="0.25">
      <c r="K6666"/>
    </row>
    <row r="6667" spans="11:11" ht="15" x14ac:dyDescent="0.25">
      <c r="K6667"/>
    </row>
    <row r="6668" spans="11:11" ht="15" x14ac:dyDescent="0.25">
      <c r="K6668"/>
    </row>
    <row r="6669" spans="11:11" ht="15" x14ac:dyDescent="0.25">
      <c r="K6669"/>
    </row>
    <row r="6670" spans="11:11" ht="15" x14ac:dyDescent="0.25">
      <c r="K6670"/>
    </row>
    <row r="6671" spans="11:11" ht="15" x14ac:dyDescent="0.25">
      <c r="K6671"/>
    </row>
    <row r="6672" spans="11:11" ht="15" x14ac:dyDescent="0.25">
      <c r="K6672"/>
    </row>
    <row r="6673" spans="11:11" ht="15" x14ac:dyDescent="0.25">
      <c r="K6673"/>
    </row>
    <row r="6674" spans="11:11" ht="15" x14ac:dyDescent="0.25">
      <c r="K6674"/>
    </row>
    <row r="6675" spans="11:11" ht="15" x14ac:dyDescent="0.25">
      <c r="K6675"/>
    </row>
    <row r="6676" spans="11:11" ht="15" x14ac:dyDescent="0.25">
      <c r="K6676"/>
    </row>
    <row r="6677" spans="11:11" ht="15" x14ac:dyDescent="0.25">
      <c r="K6677"/>
    </row>
    <row r="6678" spans="11:11" ht="15" x14ac:dyDescent="0.25">
      <c r="K6678"/>
    </row>
    <row r="6679" spans="11:11" ht="15" x14ac:dyDescent="0.25">
      <c r="K6679"/>
    </row>
    <row r="6680" spans="11:11" ht="15" x14ac:dyDescent="0.25">
      <c r="K6680"/>
    </row>
    <row r="6681" spans="11:11" ht="15" x14ac:dyDescent="0.25">
      <c r="K6681"/>
    </row>
    <row r="6682" spans="11:11" ht="15" x14ac:dyDescent="0.25">
      <c r="K6682"/>
    </row>
    <row r="6683" spans="11:11" ht="15" x14ac:dyDescent="0.25">
      <c r="K6683"/>
    </row>
    <row r="6684" spans="11:11" ht="15" x14ac:dyDescent="0.25">
      <c r="K6684"/>
    </row>
    <row r="6685" spans="11:11" ht="15" x14ac:dyDescent="0.25">
      <c r="K6685"/>
    </row>
    <row r="6686" spans="11:11" ht="15" x14ac:dyDescent="0.25">
      <c r="K6686"/>
    </row>
    <row r="6687" spans="11:11" ht="15" x14ac:dyDescent="0.25">
      <c r="K6687"/>
    </row>
    <row r="6688" spans="11:11" ht="15" x14ac:dyDescent="0.25">
      <c r="K6688"/>
    </row>
    <row r="6689" spans="11:11" ht="15" x14ac:dyDescent="0.25">
      <c r="K6689"/>
    </row>
    <row r="6690" spans="11:11" ht="15" x14ac:dyDescent="0.25">
      <c r="K6690"/>
    </row>
    <row r="6691" spans="11:11" ht="15" x14ac:dyDescent="0.25">
      <c r="K6691"/>
    </row>
    <row r="6692" spans="11:11" ht="15" x14ac:dyDescent="0.25">
      <c r="K6692"/>
    </row>
    <row r="6693" spans="11:11" ht="15" x14ac:dyDescent="0.25">
      <c r="K6693"/>
    </row>
    <row r="6694" spans="11:11" ht="15" x14ac:dyDescent="0.25">
      <c r="K6694"/>
    </row>
    <row r="6695" spans="11:11" ht="15" x14ac:dyDescent="0.25">
      <c r="K6695"/>
    </row>
    <row r="6696" spans="11:11" ht="15" x14ac:dyDescent="0.25">
      <c r="K6696"/>
    </row>
    <row r="6697" spans="11:11" ht="15" x14ac:dyDescent="0.25">
      <c r="K6697"/>
    </row>
    <row r="6698" spans="11:11" ht="15" x14ac:dyDescent="0.25">
      <c r="K6698"/>
    </row>
    <row r="6699" spans="11:11" ht="15" x14ac:dyDescent="0.25">
      <c r="K6699"/>
    </row>
    <row r="6700" spans="11:11" ht="15" x14ac:dyDescent="0.25">
      <c r="K6700"/>
    </row>
    <row r="6701" spans="11:11" ht="15" x14ac:dyDescent="0.25">
      <c r="K6701"/>
    </row>
    <row r="6702" spans="11:11" ht="15" x14ac:dyDescent="0.25">
      <c r="K6702"/>
    </row>
    <row r="6703" spans="11:11" ht="15" x14ac:dyDescent="0.25">
      <c r="K6703"/>
    </row>
    <row r="6704" spans="11:11" ht="15" x14ac:dyDescent="0.25">
      <c r="K6704"/>
    </row>
    <row r="6705" spans="11:11" ht="15" x14ac:dyDescent="0.25">
      <c r="K6705"/>
    </row>
    <row r="6706" spans="11:11" ht="15" x14ac:dyDescent="0.25">
      <c r="K6706"/>
    </row>
    <row r="6707" spans="11:11" ht="15" x14ac:dyDescent="0.25">
      <c r="K6707"/>
    </row>
    <row r="6708" spans="11:11" ht="15" x14ac:dyDescent="0.25">
      <c r="K6708"/>
    </row>
    <row r="6709" spans="11:11" ht="15" x14ac:dyDescent="0.25">
      <c r="K6709"/>
    </row>
    <row r="6710" spans="11:11" ht="15" x14ac:dyDescent="0.25">
      <c r="K6710"/>
    </row>
    <row r="6711" spans="11:11" ht="15" x14ac:dyDescent="0.25">
      <c r="K6711"/>
    </row>
    <row r="6712" spans="11:11" ht="15" x14ac:dyDescent="0.25">
      <c r="K6712"/>
    </row>
    <row r="6713" spans="11:11" ht="15" x14ac:dyDescent="0.25">
      <c r="K6713"/>
    </row>
    <row r="6714" spans="11:11" ht="15" x14ac:dyDescent="0.25">
      <c r="K6714"/>
    </row>
    <row r="6715" spans="11:11" ht="15" x14ac:dyDescent="0.25">
      <c r="K6715"/>
    </row>
    <row r="6716" spans="11:11" ht="15" x14ac:dyDescent="0.25">
      <c r="K6716"/>
    </row>
    <row r="6717" spans="11:11" ht="15" x14ac:dyDescent="0.25">
      <c r="K6717"/>
    </row>
    <row r="6718" spans="11:11" ht="15" x14ac:dyDescent="0.25">
      <c r="K6718"/>
    </row>
    <row r="6719" spans="11:11" ht="15" x14ac:dyDescent="0.25">
      <c r="K6719"/>
    </row>
    <row r="6720" spans="11:11" ht="15" x14ac:dyDescent="0.25">
      <c r="K6720"/>
    </row>
    <row r="6721" spans="11:11" ht="15" x14ac:dyDescent="0.25">
      <c r="K6721"/>
    </row>
    <row r="6722" spans="11:11" ht="15" x14ac:dyDescent="0.25">
      <c r="K6722"/>
    </row>
    <row r="6723" spans="11:11" ht="15" x14ac:dyDescent="0.25">
      <c r="K6723"/>
    </row>
    <row r="6724" spans="11:11" ht="15" x14ac:dyDescent="0.25">
      <c r="K6724"/>
    </row>
    <row r="6725" spans="11:11" ht="15" x14ac:dyDescent="0.25">
      <c r="K6725"/>
    </row>
    <row r="6726" spans="11:11" ht="15" x14ac:dyDescent="0.25">
      <c r="K6726"/>
    </row>
    <row r="6727" spans="11:11" ht="15" x14ac:dyDescent="0.25">
      <c r="K6727"/>
    </row>
    <row r="6728" spans="11:11" ht="15" x14ac:dyDescent="0.25">
      <c r="K6728"/>
    </row>
    <row r="6729" spans="11:11" ht="15" x14ac:dyDescent="0.25">
      <c r="K6729"/>
    </row>
    <row r="6730" spans="11:11" ht="15" x14ac:dyDescent="0.25">
      <c r="K6730"/>
    </row>
    <row r="6731" spans="11:11" ht="15" x14ac:dyDescent="0.25">
      <c r="K6731"/>
    </row>
    <row r="6732" spans="11:11" ht="15" x14ac:dyDescent="0.25">
      <c r="K6732"/>
    </row>
    <row r="6733" spans="11:11" ht="15" x14ac:dyDescent="0.25">
      <c r="K6733"/>
    </row>
    <row r="6734" spans="11:11" ht="15" x14ac:dyDescent="0.25">
      <c r="K6734"/>
    </row>
    <row r="6735" spans="11:11" ht="15" x14ac:dyDescent="0.25">
      <c r="K6735"/>
    </row>
    <row r="6736" spans="11:11" ht="15" x14ac:dyDescent="0.25">
      <c r="K6736"/>
    </row>
    <row r="6737" spans="11:11" ht="15" x14ac:dyDescent="0.25">
      <c r="K6737"/>
    </row>
    <row r="6738" spans="11:11" ht="15" x14ac:dyDescent="0.25">
      <c r="K6738"/>
    </row>
    <row r="6739" spans="11:11" ht="15" x14ac:dyDescent="0.25">
      <c r="K6739"/>
    </row>
    <row r="6740" spans="11:11" ht="15" x14ac:dyDescent="0.25">
      <c r="K6740"/>
    </row>
    <row r="6741" spans="11:11" ht="15" x14ac:dyDescent="0.25">
      <c r="K6741"/>
    </row>
    <row r="6742" spans="11:11" ht="15" x14ac:dyDescent="0.25">
      <c r="K6742"/>
    </row>
    <row r="6743" spans="11:11" ht="15" x14ac:dyDescent="0.25">
      <c r="K6743"/>
    </row>
    <row r="6744" spans="11:11" ht="15" x14ac:dyDescent="0.25">
      <c r="K6744"/>
    </row>
    <row r="6745" spans="11:11" ht="15" x14ac:dyDescent="0.25">
      <c r="K6745"/>
    </row>
    <row r="6746" spans="11:11" ht="15" x14ac:dyDescent="0.25">
      <c r="K6746"/>
    </row>
    <row r="6747" spans="11:11" ht="15" x14ac:dyDescent="0.25">
      <c r="K6747"/>
    </row>
    <row r="6748" spans="11:11" ht="15" x14ac:dyDescent="0.25">
      <c r="K6748"/>
    </row>
    <row r="6749" spans="11:11" ht="15" x14ac:dyDescent="0.25">
      <c r="K6749"/>
    </row>
    <row r="6750" spans="11:11" ht="15" x14ac:dyDescent="0.25">
      <c r="K6750"/>
    </row>
    <row r="6751" spans="11:11" ht="15" x14ac:dyDescent="0.25">
      <c r="K6751"/>
    </row>
    <row r="6752" spans="11:11" ht="15" x14ac:dyDescent="0.25">
      <c r="K6752"/>
    </row>
    <row r="6753" spans="11:11" ht="15" x14ac:dyDescent="0.25">
      <c r="K6753"/>
    </row>
    <row r="6754" spans="11:11" ht="15" x14ac:dyDescent="0.25">
      <c r="K6754"/>
    </row>
    <row r="6755" spans="11:11" ht="15" x14ac:dyDescent="0.25">
      <c r="K6755"/>
    </row>
    <row r="6756" spans="11:11" ht="15" x14ac:dyDescent="0.25">
      <c r="K6756"/>
    </row>
    <row r="6757" spans="11:11" ht="15" x14ac:dyDescent="0.25">
      <c r="K6757"/>
    </row>
    <row r="6758" spans="11:11" ht="15" x14ac:dyDescent="0.25">
      <c r="K6758"/>
    </row>
    <row r="6759" spans="11:11" ht="15" x14ac:dyDescent="0.25">
      <c r="K6759"/>
    </row>
    <row r="6760" spans="11:11" ht="15" x14ac:dyDescent="0.25">
      <c r="K6760"/>
    </row>
    <row r="6761" spans="11:11" ht="15" x14ac:dyDescent="0.25">
      <c r="K6761"/>
    </row>
    <row r="6762" spans="11:11" ht="15" x14ac:dyDescent="0.25">
      <c r="K6762"/>
    </row>
    <row r="6763" spans="11:11" ht="15" x14ac:dyDescent="0.25">
      <c r="K6763"/>
    </row>
    <row r="6764" spans="11:11" ht="15" x14ac:dyDescent="0.25">
      <c r="K6764"/>
    </row>
    <row r="6765" spans="11:11" ht="15" x14ac:dyDescent="0.25">
      <c r="K6765"/>
    </row>
    <row r="6766" spans="11:11" ht="15" x14ac:dyDescent="0.25">
      <c r="K6766"/>
    </row>
    <row r="6767" spans="11:11" ht="15" x14ac:dyDescent="0.25">
      <c r="K6767"/>
    </row>
    <row r="6768" spans="11:11" ht="15" x14ac:dyDescent="0.25">
      <c r="K6768"/>
    </row>
    <row r="6769" spans="11:11" ht="15" x14ac:dyDescent="0.25">
      <c r="K6769"/>
    </row>
    <row r="6770" spans="11:11" ht="15" x14ac:dyDescent="0.25">
      <c r="K6770"/>
    </row>
    <row r="6771" spans="11:11" ht="15" x14ac:dyDescent="0.25">
      <c r="K6771"/>
    </row>
    <row r="6772" spans="11:11" ht="15" x14ac:dyDescent="0.25">
      <c r="K6772"/>
    </row>
    <row r="6773" spans="11:11" ht="15" x14ac:dyDescent="0.25">
      <c r="K6773"/>
    </row>
    <row r="6774" spans="11:11" ht="15" x14ac:dyDescent="0.25">
      <c r="K6774"/>
    </row>
    <row r="6775" spans="11:11" ht="15" x14ac:dyDescent="0.25">
      <c r="K6775"/>
    </row>
    <row r="6776" spans="11:11" ht="15" x14ac:dyDescent="0.25">
      <c r="K6776"/>
    </row>
    <row r="6777" spans="11:11" ht="15" x14ac:dyDescent="0.25">
      <c r="K6777"/>
    </row>
    <row r="6778" spans="11:11" ht="15" x14ac:dyDescent="0.25">
      <c r="K6778"/>
    </row>
    <row r="6779" spans="11:11" ht="15" x14ac:dyDescent="0.25">
      <c r="K6779"/>
    </row>
    <row r="6780" spans="11:11" ht="15" x14ac:dyDescent="0.25">
      <c r="K6780"/>
    </row>
    <row r="6781" spans="11:11" ht="15" x14ac:dyDescent="0.25">
      <c r="K6781"/>
    </row>
    <row r="6782" spans="11:11" ht="15" x14ac:dyDescent="0.25">
      <c r="K6782"/>
    </row>
    <row r="6783" spans="11:11" ht="15" x14ac:dyDescent="0.25">
      <c r="K6783"/>
    </row>
    <row r="6784" spans="11:11" ht="15" x14ac:dyDescent="0.25">
      <c r="K6784"/>
    </row>
    <row r="6785" spans="11:11" ht="15" x14ac:dyDescent="0.25">
      <c r="K6785"/>
    </row>
    <row r="6786" spans="11:11" ht="15" x14ac:dyDescent="0.25">
      <c r="K6786"/>
    </row>
    <row r="6787" spans="11:11" ht="15" x14ac:dyDescent="0.25">
      <c r="K6787"/>
    </row>
    <row r="6788" spans="11:11" ht="15" x14ac:dyDescent="0.25">
      <c r="K6788"/>
    </row>
    <row r="6789" spans="11:11" ht="15" x14ac:dyDescent="0.25">
      <c r="K6789"/>
    </row>
    <row r="6790" spans="11:11" ht="15" x14ac:dyDescent="0.25">
      <c r="K6790"/>
    </row>
    <row r="6791" spans="11:11" ht="15" x14ac:dyDescent="0.25">
      <c r="K6791"/>
    </row>
    <row r="6792" spans="11:11" ht="15" x14ac:dyDescent="0.25">
      <c r="K6792"/>
    </row>
    <row r="6793" spans="11:11" ht="15" x14ac:dyDescent="0.25">
      <c r="K6793"/>
    </row>
    <row r="6794" spans="11:11" ht="15" x14ac:dyDescent="0.25">
      <c r="K6794"/>
    </row>
    <row r="6795" spans="11:11" ht="15" x14ac:dyDescent="0.25">
      <c r="K6795"/>
    </row>
    <row r="6796" spans="11:11" ht="15" x14ac:dyDescent="0.25">
      <c r="K6796"/>
    </row>
    <row r="6797" spans="11:11" ht="15" x14ac:dyDescent="0.25">
      <c r="K6797"/>
    </row>
    <row r="6798" spans="11:11" ht="15" x14ac:dyDescent="0.25">
      <c r="K6798"/>
    </row>
    <row r="6799" spans="11:11" ht="15" x14ac:dyDescent="0.25">
      <c r="K6799"/>
    </row>
    <row r="6800" spans="11:11" ht="15" x14ac:dyDescent="0.25">
      <c r="K6800"/>
    </row>
    <row r="6801" spans="11:11" ht="15" x14ac:dyDescent="0.25">
      <c r="K6801"/>
    </row>
    <row r="6802" spans="11:11" ht="15" x14ac:dyDescent="0.25">
      <c r="K6802"/>
    </row>
    <row r="6803" spans="11:11" ht="15" x14ac:dyDescent="0.25">
      <c r="K6803"/>
    </row>
    <row r="6804" spans="11:11" ht="15" x14ac:dyDescent="0.25">
      <c r="K6804"/>
    </row>
    <row r="6805" spans="11:11" ht="15" x14ac:dyDescent="0.25">
      <c r="K6805"/>
    </row>
    <row r="6806" spans="11:11" ht="15" x14ac:dyDescent="0.25">
      <c r="K6806"/>
    </row>
    <row r="6807" spans="11:11" ht="15" x14ac:dyDescent="0.25">
      <c r="K6807"/>
    </row>
    <row r="6808" spans="11:11" ht="15" x14ac:dyDescent="0.25">
      <c r="K6808"/>
    </row>
    <row r="6809" spans="11:11" ht="15" x14ac:dyDescent="0.25">
      <c r="K6809"/>
    </row>
    <row r="6810" spans="11:11" ht="15" x14ac:dyDescent="0.25">
      <c r="K6810"/>
    </row>
    <row r="6811" spans="11:11" ht="15" x14ac:dyDescent="0.25">
      <c r="K6811"/>
    </row>
    <row r="6812" spans="11:11" ht="15" x14ac:dyDescent="0.25">
      <c r="K6812"/>
    </row>
    <row r="6813" spans="11:11" ht="15" x14ac:dyDescent="0.25">
      <c r="K6813"/>
    </row>
    <row r="6814" spans="11:11" ht="15" x14ac:dyDescent="0.25">
      <c r="K6814"/>
    </row>
    <row r="6815" spans="11:11" ht="15" x14ac:dyDescent="0.25">
      <c r="K6815"/>
    </row>
    <row r="6816" spans="11:11" ht="15" x14ac:dyDescent="0.25">
      <c r="K6816"/>
    </row>
    <row r="6817" spans="11:11" ht="15" x14ac:dyDescent="0.25">
      <c r="K6817"/>
    </row>
    <row r="6818" spans="11:11" ht="15" x14ac:dyDescent="0.25">
      <c r="K6818"/>
    </row>
    <row r="6819" spans="11:11" ht="15" x14ac:dyDescent="0.25">
      <c r="K6819"/>
    </row>
    <row r="6820" spans="11:11" ht="15" x14ac:dyDescent="0.25">
      <c r="K6820"/>
    </row>
    <row r="6821" spans="11:11" ht="15" x14ac:dyDescent="0.25">
      <c r="K6821"/>
    </row>
    <row r="6822" spans="11:11" ht="15" x14ac:dyDescent="0.25">
      <c r="K6822"/>
    </row>
    <row r="6823" spans="11:11" ht="15" x14ac:dyDescent="0.25">
      <c r="K6823"/>
    </row>
    <row r="6824" spans="11:11" ht="15" x14ac:dyDescent="0.25">
      <c r="K6824"/>
    </row>
    <row r="6825" spans="11:11" ht="15" x14ac:dyDescent="0.25">
      <c r="K6825"/>
    </row>
    <row r="6826" spans="11:11" ht="15" x14ac:dyDescent="0.25">
      <c r="K6826"/>
    </row>
    <row r="6827" spans="11:11" ht="15" x14ac:dyDescent="0.25">
      <c r="K6827"/>
    </row>
    <row r="6828" spans="11:11" ht="15" x14ac:dyDescent="0.25">
      <c r="K6828"/>
    </row>
    <row r="6829" spans="11:11" ht="15" x14ac:dyDescent="0.25">
      <c r="K6829"/>
    </row>
    <row r="6830" spans="11:11" ht="15" x14ac:dyDescent="0.25">
      <c r="K6830"/>
    </row>
    <row r="6831" spans="11:11" ht="15" x14ac:dyDescent="0.25">
      <c r="K6831"/>
    </row>
    <row r="6832" spans="11:11" ht="15" x14ac:dyDescent="0.25">
      <c r="K6832"/>
    </row>
    <row r="6833" spans="11:11" ht="15" x14ac:dyDescent="0.25">
      <c r="K6833"/>
    </row>
    <row r="6834" spans="11:11" ht="15" x14ac:dyDescent="0.25">
      <c r="K6834"/>
    </row>
    <row r="6835" spans="11:11" ht="15" x14ac:dyDescent="0.25">
      <c r="K6835"/>
    </row>
    <row r="6836" spans="11:11" ht="15" x14ac:dyDescent="0.25">
      <c r="K6836"/>
    </row>
    <row r="6837" spans="11:11" ht="15" x14ac:dyDescent="0.25">
      <c r="K6837"/>
    </row>
    <row r="6838" spans="11:11" ht="15" x14ac:dyDescent="0.25">
      <c r="K6838"/>
    </row>
    <row r="6839" spans="11:11" ht="15" x14ac:dyDescent="0.25">
      <c r="K6839"/>
    </row>
    <row r="6840" spans="11:11" ht="15" x14ac:dyDescent="0.25">
      <c r="K6840"/>
    </row>
    <row r="6841" spans="11:11" ht="15" x14ac:dyDescent="0.25">
      <c r="K6841"/>
    </row>
    <row r="6842" spans="11:11" ht="15" x14ac:dyDescent="0.25">
      <c r="K6842"/>
    </row>
    <row r="6843" spans="11:11" ht="15" x14ac:dyDescent="0.25">
      <c r="K6843"/>
    </row>
    <row r="6844" spans="11:11" ht="15" x14ac:dyDescent="0.25">
      <c r="K6844"/>
    </row>
    <row r="6845" spans="11:11" ht="15" x14ac:dyDescent="0.25">
      <c r="K6845"/>
    </row>
    <row r="6846" spans="11:11" ht="15" x14ac:dyDescent="0.25">
      <c r="K6846"/>
    </row>
    <row r="6847" spans="11:11" ht="15" x14ac:dyDescent="0.25">
      <c r="K6847"/>
    </row>
    <row r="6848" spans="11:11" ht="15" x14ac:dyDescent="0.25">
      <c r="K6848"/>
    </row>
    <row r="6849" spans="11:11" ht="15" x14ac:dyDescent="0.25">
      <c r="K6849"/>
    </row>
    <row r="6850" spans="11:11" ht="15" x14ac:dyDescent="0.25">
      <c r="K6850"/>
    </row>
    <row r="6851" spans="11:11" ht="15" x14ac:dyDescent="0.25">
      <c r="K6851"/>
    </row>
    <row r="6852" spans="11:11" ht="15" x14ac:dyDescent="0.25">
      <c r="K6852"/>
    </row>
    <row r="6853" spans="11:11" ht="15" x14ac:dyDescent="0.25">
      <c r="K6853"/>
    </row>
    <row r="6854" spans="11:11" ht="15" x14ac:dyDescent="0.25">
      <c r="K6854"/>
    </row>
    <row r="6855" spans="11:11" ht="15" x14ac:dyDescent="0.25">
      <c r="K6855"/>
    </row>
    <row r="6856" spans="11:11" ht="15" x14ac:dyDescent="0.25">
      <c r="K6856"/>
    </row>
    <row r="6857" spans="11:11" ht="15" x14ac:dyDescent="0.25">
      <c r="K6857"/>
    </row>
    <row r="6858" spans="11:11" ht="15" x14ac:dyDescent="0.25">
      <c r="K6858"/>
    </row>
    <row r="6859" spans="11:11" ht="15" x14ac:dyDescent="0.25">
      <c r="K6859"/>
    </row>
    <row r="6860" spans="11:11" ht="15" x14ac:dyDescent="0.25">
      <c r="K6860"/>
    </row>
    <row r="6861" spans="11:11" ht="15" x14ac:dyDescent="0.25">
      <c r="K6861"/>
    </row>
    <row r="6862" spans="11:11" ht="15" x14ac:dyDescent="0.25">
      <c r="K6862"/>
    </row>
    <row r="6863" spans="11:11" ht="15" x14ac:dyDescent="0.25">
      <c r="K6863"/>
    </row>
    <row r="6864" spans="11:11" ht="15" x14ac:dyDescent="0.25">
      <c r="K6864"/>
    </row>
    <row r="6865" spans="11:11" ht="15" x14ac:dyDescent="0.25">
      <c r="K6865"/>
    </row>
    <row r="6866" spans="11:11" ht="15" x14ac:dyDescent="0.25">
      <c r="K6866"/>
    </row>
    <row r="6867" spans="11:11" ht="15" x14ac:dyDescent="0.25">
      <c r="K6867"/>
    </row>
    <row r="6868" spans="11:11" ht="15" x14ac:dyDescent="0.25">
      <c r="K6868"/>
    </row>
    <row r="6869" spans="11:11" ht="15" x14ac:dyDescent="0.25">
      <c r="K6869"/>
    </row>
    <row r="6870" spans="11:11" ht="15" x14ac:dyDescent="0.25">
      <c r="K6870"/>
    </row>
    <row r="6871" spans="11:11" ht="15" x14ac:dyDescent="0.25">
      <c r="K6871"/>
    </row>
    <row r="6872" spans="11:11" ht="15" x14ac:dyDescent="0.25">
      <c r="K6872"/>
    </row>
    <row r="6873" spans="11:11" ht="15" x14ac:dyDescent="0.25">
      <c r="K6873"/>
    </row>
    <row r="6874" spans="11:11" ht="15" x14ac:dyDescent="0.25">
      <c r="K6874"/>
    </row>
    <row r="6875" spans="11:11" ht="15" x14ac:dyDescent="0.25">
      <c r="K6875"/>
    </row>
    <row r="6876" spans="11:11" ht="15" x14ac:dyDescent="0.25">
      <c r="K6876"/>
    </row>
    <row r="6877" spans="11:11" ht="15" x14ac:dyDescent="0.25">
      <c r="K6877"/>
    </row>
    <row r="6878" spans="11:11" ht="15" x14ac:dyDescent="0.25">
      <c r="K6878"/>
    </row>
    <row r="6879" spans="11:11" ht="15" x14ac:dyDescent="0.25">
      <c r="K6879"/>
    </row>
    <row r="6880" spans="11:11" ht="15" x14ac:dyDescent="0.25">
      <c r="K6880"/>
    </row>
    <row r="6881" spans="11:11" ht="15" x14ac:dyDescent="0.25">
      <c r="K6881"/>
    </row>
    <row r="6882" spans="11:11" ht="15" x14ac:dyDescent="0.25">
      <c r="K6882"/>
    </row>
    <row r="6883" spans="11:11" ht="15" x14ac:dyDescent="0.25">
      <c r="K6883"/>
    </row>
    <row r="6884" spans="11:11" ht="15" x14ac:dyDescent="0.25">
      <c r="K6884"/>
    </row>
    <row r="6885" spans="11:11" ht="15" x14ac:dyDescent="0.25">
      <c r="K6885"/>
    </row>
    <row r="6886" spans="11:11" ht="15" x14ac:dyDescent="0.25">
      <c r="K6886"/>
    </row>
    <row r="6887" spans="11:11" ht="15" x14ac:dyDescent="0.25">
      <c r="K6887"/>
    </row>
    <row r="6888" spans="11:11" ht="15" x14ac:dyDescent="0.25">
      <c r="K6888"/>
    </row>
    <row r="6889" spans="11:11" ht="15" x14ac:dyDescent="0.25">
      <c r="K6889"/>
    </row>
    <row r="6890" spans="11:11" ht="15" x14ac:dyDescent="0.25">
      <c r="K6890"/>
    </row>
    <row r="6891" spans="11:11" ht="15" x14ac:dyDescent="0.25">
      <c r="K6891"/>
    </row>
    <row r="6892" spans="11:11" ht="15" x14ac:dyDescent="0.25">
      <c r="K6892"/>
    </row>
    <row r="6893" spans="11:11" ht="15" x14ac:dyDescent="0.25">
      <c r="K6893"/>
    </row>
    <row r="6894" spans="11:11" ht="15" x14ac:dyDescent="0.25">
      <c r="K6894"/>
    </row>
    <row r="6895" spans="11:11" ht="15" x14ac:dyDescent="0.25">
      <c r="K6895"/>
    </row>
    <row r="6896" spans="11:11" ht="15" x14ac:dyDescent="0.25">
      <c r="K6896"/>
    </row>
    <row r="6897" spans="11:11" ht="15" x14ac:dyDescent="0.25">
      <c r="K6897"/>
    </row>
    <row r="6898" spans="11:11" ht="15" x14ac:dyDescent="0.25">
      <c r="K6898"/>
    </row>
    <row r="6899" spans="11:11" ht="15" x14ac:dyDescent="0.25">
      <c r="K6899"/>
    </row>
    <row r="6900" spans="11:11" ht="15" x14ac:dyDescent="0.25">
      <c r="K6900"/>
    </row>
    <row r="6901" spans="11:11" ht="15" x14ac:dyDescent="0.25">
      <c r="K6901"/>
    </row>
    <row r="6902" spans="11:11" ht="15" x14ac:dyDescent="0.25">
      <c r="K6902"/>
    </row>
    <row r="6903" spans="11:11" ht="15" x14ac:dyDescent="0.25">
      <c r="K6903"/>
    </row>
    <row r="6904" spans="11:11" ht="15" x14ac:dyDescent="0.25">
      <c r="K6904"/>
    </row>
    <row r="6905" spans="11:11" ht="15" x14ac:dyDescent="0.25">
      <c r="K6905"/>
    </row>
    <row r="6906" spans="11:11" ht="15" x14ac:dyDescent="0.25">
      <c r="K6906"/>
    </row>
    <row r="6907" spans="11:11" ht="15" x14ac:dyDescent="0.25">
      <c r="K6907"/>
    </row>
    <row r="6908" spans="11:11" ht="15" x14ac:dyDescent="0.25">
      <c r="K6908"/>
    </row>
    <row r="6909" spans="11:11" ht="15" x14ac:dyDescent="0.25">
      <c r="K6909"/>
    </row>
    <row r="6910" spans="11:11" ht="15" x14ac:dyDescent="0.25">
      <c r="K6910"/>
    </row>
    <row r="6911" spans="11:11" ht="15" x14ac:dyDescent="0.25">
      <c r="K6911"/>
    </row>
    <row r="6912" spans="11:11" ht="15" x14ac:dyDescent="0.25">
      <c r="K6912"/>
    </row>
    <row r="6913" spans="11:11" ht="15" x14ac:dyDescent="0.25">
      <c r="K6913"/>
    </row>
    <row r="6914" spans="11:11" ht="15" x14ac:dyDescent="0.25">
      <c r="K6914"/>
    </row>
    <row r="6915" spans="11:11" ht="15" x14ac:dyDescent="0.25">
      <c r="K6915"/>
    </row>
    <row r="6916" spans="11:11" ht="15" x14ac:dyDescent="0.25">
      <c r="K6916"/>
    </row>
    <row r="6917" spans="11:11" ht="15" x14ac:dyDescent="0.25">
      <c r="K6917"/>
    </row>
    <row r="6918" spans="11:11" ht="15" x14ac:dyDescent="0.25">
      <c r="K6918"/>
    </row>
    <row r="6919" spans="11:11" ht="15" x14ac:dyDescent="0.25">
      <c r="K6919"/>
    </row>
    <row r="6920" spans="11:11" ht="15" x14ac:dyDescent="0.25">
      <c r="K6920"/>
    </row>
    <row r="6921" spans="11:11" ht="15" x14ac:dyDescent="0.25">
      <c r="K6921"/>
    </row>
    <row r="6922" spans="11:11" ht="15" x14ac:dyDescent="0.25">
      <c r="K6922"/>
    </row>
    <row r="6923" spans="11:11" ht="15" x14ac:dyDescent="0.25">
      <c r="K6923"/>
    </row>
    <row r="6924" spans="11:11" ht="15" x14ac:dyDescent="0.25">
      <c r="K6924"/>
    </row>
    <row r="6925" spans="11:11" ht="15" x14ac:dyDescent="0.25">
      <c r="K6925"/>
    </row>
    <row r="6926" spans="11:11" ht="15" x14ac:dyDescent="0.25">
      <c r="K6926"/>
    </row>
    <row r="6927" spans="11:11" ht="15" x14ac:dyDescent="0.25">
      <c r="K6927"/>
    </row>
    <row r="6928" spans="11:11" ht="15" x14ac:dyDescent="0.25">
      <c r="K6928"/>
    </row>
    <row r="6929" spans="11:11" ht="15" x14ac:dyDescent="0.25">
      <c r="K6929"/>
    </row>
    <row r="6930" spans="11:11" ht="15" x14ac:dyDescent="0.25">
      <c r="K6930"/>
    </row>
    <row r="6931" spans="11:11" ht="15" x14ac:dyDescent="0.25">
      <c r="K6931"/>
    </row>
    <row r="6932" spans="11:11" ht="15" x14ac:dyDescent="0.25">
      <c r="K6932"/>
    </row>
    <row r="6933" spans="11:11" ht="15" x14ac:dyDescent="0.25">
      <c r="K6933"/>
    </row>
    <row r="6934" spans="11:11" ht="15" x14ac:dyDescent="0.25">
      <c r="K6934"/>
    </row>
    <row r="6935" spans="11:11" ht="15" x14ac:dyDescent="0.25">
      <c r="K6935"/>
    </row>
    <row r="6936" spans="11:11" ht="15" x14ac:dyDescent="0.25">
      <c r="K6936"/>
    </row>
    <row r="6937" spans="11:11" ht="15" x14ac:dyDescent="0.25">
      <c r="K6937"/>
    </row>
    <row r="6938" spans="11:11" ht="15" x14ac:dyDescent="0.25">
      <c r="K6938"/>
    </row>
    <row r="6939" spans="11:11" ht="15" x14ac:dyDescent="0.25">
      <c r="K6939"/>
    </row>
    <row r="6940" spans="11:11" ht="15" x14ac:dyDescent="0.25">
      <c r="K6940"/>
    </row>
    <row r="6941" spans="11:11" ht="15" x14ac:dyDescent="0.25">
      <c r="K6941"/>
    </row>
    <row r="6942" spans="11:11" ht="15" x14ac:dyDescent="0.25">
      <c r="K6942"/>
    </row>
    <row r="6943" spans="11:11" ht="15" x14ac:dyDescent="0.25">
      <c r="K6943"/>
    </row>
    <row r="6944" spans="11:11" ht="15" x14ac:dyDescent="0.25">
      <c r="K6944"/>
    </row>
    <row r="6945" spans="11:11" ht="15" x14ac:dyDescent="0.25">
      <c r="K6945"/>
    </row>
    <row r="6946" spans="11:11" ht="15" x14ac:dyDescent="0.25">
      <c r="K6946"/>
    </row>
    <row r="6947" spans="11:11" ht="15" x14ac:dyDescent="0.25">
      <c r="K6947"/>
    </row>
    <row r="6948" spans="11:11" ht="15" x14ac:dyDescent="0.25">
      <c r="K6948"/>
    </row>
    <row r="6949" spans="11:11" ht="15" x14ac:dyDescent="0.25">
      <c r="K6949"/>
    </row>
    <row r="6950" spans="11:11" ht="15" x14ac:dyDescent="0.25">
      <c r="K6950"/>
    </row>
    <row r="6951" spans="11:11" ht="15" x14ac:dyDescent="0.25">
      <c r="K6951"/>
    </row>
    <row r="6952" spans="11:11" ht="15" x14ac:dyDescent="0.25">
      <c r="K6952"/>
    </row>
    <row r="6953" spans="11:11" ht="15" x14ac:dyDescent="0.25">
      <c r="K6953"/>
    </row>
    <row r="6954" spans="11:11" ht="15" x14ac:dyDescent="0.25">
      <c r="K6954"/>
    </row>
    <row r="6955" spans="11:11" ht="15" x14ac:dyDescent="0.25">
      <c r="K6955"/>
    </row>
    <row r="6956" spans="11:11" ht="15" x14ac:dyDescent="0.25">
      <c r="K6956"/>
    </row>
    <row r="6957" spans="11:11" ht="15" x14ac:dyDescent="0.25">
      <c r="K6957"/>
    </row>
    <row r="6958" spans="11:11" ht="15" x14ac:dyDescent="0.25">
      <c r="K6958"/>
    </row>
    <row r="6959" spans="11:11" ht="15" x14ac:dyDescent="0.25">
      <c r="K6959"/>
    </row>
    <row r="6960" spans="11:11" ht="15" x14ac:dyDescent="0.25">
      <c r="K6960"/>
    </row>
    <row r="6961" spans="11:11" ht="15" x14ac:dyDescent="0.25">
      <c r="K6961"/>
    </row>
    <row r="6962" spans="11:11" ht="15" x14ac:dyDescent="0.25">
      <c r="K6962"/>
    </row>
    <row r="6963" spans="11:11" ht="15" x14ac:dyDescent="0.25">
      <c r="K6963"/>
    </row>
    <row r="6964" spans="11:11" ht="15" x14ac:dyDescent="0.25">
      <c r="K6964"/>
    </row>
    <row r="6965" spans="11:11" ht="15" x14ac:dyDescent="0.25">
      <c r="K6965"/>
    </row>
    <row r="6966" spans="11:11" ht="15" x14ac:dyDescent="0.25">
      <c r="K6966"/>
    </row>
    <row r="6967" spans="11:11" ht="15" x14ac:dyDescent="0.25">
      <c r="K6967"/>
    </row>
    <row r="6968" spans="11:11" ht="15" x14ac:dyDescent="0.25">
      <c r="K6968"/>
    </row>
    <row r="6969" spans="11:11" ht="15" x14ac:dyDescent="0.25">
      <c r="K6969"/>
    </row>
    <row r="6970" spans="11:11" ht="15" x14ac:dyDescent="0.25">
      <c r="K6970"/>
    </row>
    <row r="6971" spans="11:11" ht="15" x14ac:dyDescent="0.25">
      <c r="K6971"/>
    </row>
    <row r="6972" spans="11:11" ht="15" x14ac:dyDescent="0.25">
      <c r="K6972"/>
    </row>
    <row r="6973" spans="11:11" ht="15" x14ac:dyDescent="0.25">
      <c r="K6973"/>
    </row>
    <row r="6974" spans="11:11" ht="15" x14ac:dyDescent="0.25">
      <c r="K6974"/>
    </row>
    <row r="6975" spans="11:11" ht="15" x14ac:dyDescent="0.25">
      <c r="K6975"/>
    </row>
    <row r="6976" spans="11:11" ht="15" x14ac:dyDescent="0.25">
      <c r="K6976"/>
    </row>
    <row r="6977" spans="11:11" ht="15" x14ac:dyDescent="0.25">
      <c r="K6977"/>
    </row>
    <row r="6978" spans="11:11" ht="15" x14ac:dyDescent="0.25">
      <c r="K6978"/>
    </row>
    <row r="6979" spans="11:11" ht="15" x14ac:dyDescent="0.25">
      <c r="K6979"/>
    </row>
    <row r="6980" spans="11:11" ht="15" x14ac:dyDescent="0.25">
      <c r="K6980"/>
    </row>
    <row r="6981" spans="11:11" ht="15" x14ac:dyDescent="0.25">
      <c r="K6981"/>
    </row>
    <row r="6982" spans="11:11" ht="15" x14ac:dyDescent="0.25">
      <c r="K6982"/>
    </row>
    <row r="6983" spans="11:11" ht="15" x14ac:dyDescent="0.25">
      <c r="K6983"/>
    </row>
    <row r="6984" spans="11:11" ht="15" x14ac:dyDescent="0.25">
      <c r="K6984"/>
    </row>
    <row r="6985" spans="11:11" ht="15" x14ac:dyDescent="0.25">
      <c r="K6985"/>
    </row>
    <row r="6986" spans="11:11" ht="15" x14ac:dyDescent="0.25">
      <c r="K6986"/>
    </row>
    <row r="6987" spans="11:11" ht="15" x14ac:dyDescent="0.25">
      <c r="K6987"/>
    </row>
    <row r="6988" spans="11:11" ht="15" x14ac:dyDescent="0.25">
      <c r="K6988"/>
    </row>
    <row r="6989" spans="11:11" ht="15" x14ac:dyDescent="0.25">
      <c r="K6989"/>
    </row>
    <row r="6990" spans="11:11" ht="15" x14ac:dyDescent="0.25">
      <c r="K6990"/>
    </row>
    <row r="6991" spans="11:11" ht="15" x14ac:dyDescent="0.25">
      <c r="K6991"/>
    </row>
    <row r="6992" spans="11:11" ht="15" x14ac:dyDescent="0.25">
      <c r="K6992"/>
    </row>
    <row r="6993" spans="11:11" ht="15" x14ac:dyDescent="0.25">
      <c r="K6993"/>
    </row>
    <row r="6994" spans="11:11" ht="15" x14ac:dyDescent="0.25">
      <c r="K6994"/>
    </row>
    <row r="6995" spans="11:11" ht="15" x14ac:dyDescent="0.25">
      <c r="K6995"/>
    </row>
    <row r="6996" spans="11:11" ht="15" x14ac:dyDescent="0.25">
      <c r="K6996"/>
    </row>
    <row r="6997" spans="11:11" ht="15" x14ac:dyDescent="0.25">
      <c r="K6997"/>
    </row>
    <row r="6998" spans="11:11" ht="15" x14ac:dyDescent="0.25">
      <c r="K6998"/>
    </row>
    <row r="6999" spans="11:11" ht="15" x14ac:dyDescent="0.25">
      <c r="K6999"/>
    </row>
    <row r="7000" spans="11:11" ht="15" x14ac:dyDescent="0.25">
      <c r="K7000"/>
    </row>
    <row r="7001" spans="11:11" ht="15" x14ac:dyDescent="0.25">
      <c r="K7001"/>
    </row>
    <row r="7002" spans="11:11" ht="15" x14ac:dyDescent="0.25">
      <c r="K7002"/>
    </row>
    <row r="7003" spans="11:11" ht="15" x14ac:dyDescent="0.25">
      <c r="K7003"/>
    </row>
    <row r="7004" spans="11:11" ht="15" x14ac:dyDescent="0.25">
      <c r="K7004"/>
    </row>
    <row r="7005" spans="11:11" ht="15" x14ac:dyDescent="0.25">
      <c r="K7005"/>
    </row>
    <row r="7006" spans="11:11" ht="15" x14ac:dyDescent="0.25">
      <c r="K7006"/>
    </row>
    <row r="7007" spans="11:11" ht="15" x14ac:dyDescent="0.25">
      <c r="K7007"/>
    </row>
    <row r="7008" spans="11:11" ht="15" x14ac:dyDescent="0.25">
      <c r="K7008"/>
    </row>
    <row r="7009" spans="11:11" ht="15" x14ac:dyDescent="0.25">
      <c r="K7009"/>
    </row>
    <row r="7010" spans="11:11" ht="15" x14ac:dyDescent="0.25">
      <c r="K7010"/>
    </row>
    <row r="7011" spans="11:11" ht="15" x14ac:dyDescent="0.25">
      <c r="K7011"/>
    </row>
    <row r="7012" spans="11:11" ht="15" x14ac:dyDescent="0.25">
      <c r="K7012"/>
    </row>
    <row r="7013" spans="11:11" ht="15" x14ac:dyDescent="0.25">
      <c r="K7013"/>
    </row>
    <row r="7014" spans="11:11" ht="15" x14ac:dyDescent="0.25">
      <c r="K7014"/>
    </row>
    <row r="7015" spans="11:11" ht="15" x14ac:dyDescent="0.25">
      <c r="K7015"/>
    </row>
    <row r="7016" spans="11:11" ht="15" x14ac:dyDescent="0.25">
      <c r="K7016"/>
    </row>
    <row r="7017" spans="11:11" ht="15" x14ac:dyDescent="0.25">
      <c r="K7017"/>
    </row>
    <row r="7018" spans="11:11" ht="15" x14ac:dyDescent="0.25">
      <c r="K7018"/>
    </row>
    <row r="7019" spans="11:11" ht="15" x14ac:dyDescent="0.25">
      <c r="K7019"/>
    </row>
    <row r="7020" spans="11:11" ht="15" x14ac:dyDescent="0.25">
      <c r="K7020"/>
    </row>
    <row r="7021" spans="11:11" ht="15" x14ac:dyDescent="0.25">
      <c r="K7021"/>
    </row>
    <row r="7022" spans="11:11" ht="15" x14ac:dyDescent="0.25">
      <c r="K7022"/>
    </row>
    <row r="7023" spans="11:11" ht="15" x14ac:dyDescent="0.25">
      <c r="K7023"/>
    </row>
    <row r="7024" spans="11:11" ht="15" x14ac:dyDescent="0.25">
      <c r="K7024"/>
    </row>
    <row r="7025" spans="11:11" ht="15" x14ac:dyDescent="0.25">
      <c r="K7025"/>
    </row>
    <row r="7026" spans="11:11" ht="15" x14ac:dyDescent="0.25">
      <c r="K7026"/>
    </row>
    <row r="7027" spans="11:11" ht="15" x14ac:dyDescent="0.25">
      <c r="K7027"/>
    </row>
    <row r="7028" spans="11:11" ht="15" x14ac:dyDescent="0.25">
      <c r="K7028"/>
    </row>
    <row r="7029" spans="11:11" ht="15" x14ac:dyDescent="0.25">
      <c r="K7029"/>
    </row>
    <row r="7030" spans="11:11" ht="15" x14ac:dyDescent="0.25">
      <c r="K7030"/>
    </row>
    <row r="7031" spans="11:11" ht="15" x14ac:dyDescent="0.25">
      <c r="K7031"/>
    </row>
    <row r="7032" spans="11:11" ht="15" x14ac:dyDescent="0.25">
      <c r="K7032"/>
    </row>
    <row r="7033" spans="11:11" ht="15" x14ac:dyDescent="0.25">
      <c r="K7033"/>
    </row>
    <row r="7034" spans="11:11" ht="15" x14ac:dyDescent="0.25">
      <c r="K7034"/>
    </row>
    <row r="7035" spans="11:11" ht="15" x14ac:dyDescent="0.25">
      <c r="K7035"/>
    </row>
    <row r="7036" spans="11:11" ht="15" x14ac:dyDescent="0.25">
      <c r="K7036"/>
    </row>
    <row r="7037" spans="11:11" ht="15" x14ac:dyDescent="0.25">
      <c r="K7037"/>
    </row>
    <row r="7038" spans="11:11" ht="15" x14ac:dyDescent="0.25">
      <c r="K7038"/>
    </row>
    <row r="7039" spans="11:11" ht="15" x14ac:dyDescent="0.25">
      <c r="K7039"/>
    </row>
    <row r="7040" spans="11:11" ht="15" x14ac:dyDescent="0.25">
      <c r="K7040"/>
    </row>
    <row r="7041" spans="11:11" ht="15" x14ac:dyDescent="0.25">
      <c r="K7041"/>
    </row>
    <row r="7042" spans="11:11" ht="15" x14ac:dyDescent="0.25">
      <c r="K7042"/>
    </row>
    <row r="7043" spans="11:11" ht="15" x14ac:dyDescent="0.25">
      <c r="K7043"/>
    </row>
    <row r="7044" spans="11:11" ht="15" x14ac:dyDescent="0.25">
      <c r="K7044"/>
    </row>
    <row r="7045" spans="11:11" ht="15" x14ac:dyDescent="0.25">
      <c r="K7045"/>
    </row>
    <row r="7046" spans="11:11" ht="15" x14ac:dyDescent="0.25">
      <c r="K7046"/>
    </row>
    <row r="7047" spans="11:11" ht="15" x14ac:dyDescent="0.25">
      <c r="K7047"/>
    </row>
    <row r="7048" spans="11:11" ht="15" x14ac:dyDescent="0.25">
      <c r="K7048"/>
    </row>
    <row r="7049" spans="11:11" ht="15" x14ac:dyDescent="0.25">
      <c r="K7049"/>
    </row>
    <row r="7050" spans="11:11" ht="15" x14ac:dyDescent="0.25">
      <c r="K7050"/>
    </row>
    <row r="7051" spans="11:11" ht="15" x14ac:dyDescent="0.25">
      <c r="K7051"/>
    </row>
    <row r="7052" spans="11:11" ht="15" x14ac:dyDescent="0.25">
      <c r="K7052"/>
    </row>
    <row r="7053" spans="11:11" ht="15" x14ac:dyDescent="0.25">
      <c r="K7053"/>
    </row>
    <row r="7054" spans="11:11" ht="15" x14ac:dyDescent="0.25">
      <c r="K7054"/>
    </row>
    <row r="7055" spans="11:11" ht="15" x14ac:dyDescent="0.25">
      <c r="K7055"/>
    </row>
    <row r="7056" spans="11:11" ht="15" x14ac:dyDescent="0.25">
      <c r="K7056"/>
    </row>
    <row r="7057" spans="11:11" ht="15" x14ac:dyDescent="0.25">
      <c r="K7057"/>
    </row>
    <row r="7058" spans="11:11" ht="15" x14ac:dyDescent="0.25">
      <c r="K7058"/>
    </row>
    <row r="7059" spans="11:11" ht="15" x14ac:dyDescent="0.25">
      <c r="K7059"/>
    </row>
    <row r="7060" spans="11:11" ht="15" x14ac:dyDescent="0.25">
      <c r="K7060"/>
    </row>
    <row r="7061" spans="11:11" ht="15" x14ac:dyDescent="0.25">
      <c r="K7061"/>
    </row>
    <row r="7062" spans="11:11" ht="15" x14ac:dyDescent="0.25">
      <c r="K7062"/>
    </row>
    <row r="7063" spans="11:11" ht="15" x14ac:dyDescent="0.25">
      <c r="K7063"/>
    </row>
    <row r="7064" spans="11:11" ht="15" x14ac:dyDescent="0.25">
      <c r="K7064"/>
    </row>
    <row r="7065" spans="11:11" ht="15" x14ac:dyDescent="0.25">
      <c r="K7065"/>
    </row>
    <row r="7066" spans="11:11" ht="15" x14ac:dyDescent="0.25">
      <c r="K7066"/>
    </row>
    <row r="7067" spans="11:11" ht="15" x14ac:dyDescent="0.25">
      <c r="K7067"/>
    </row>
    <row r="7068" spans="11:11" ht="15" x14ac:dyDescent="0.25">
      <c r="K7068"/>
    </row>
    <row r="7069" spans="11:11" ht="15" x14ac:dyDescent="0.25">
      <c r="K7069"/>
    </row>
    <row r="7070" spans="11:11" ht="15" x14ac:dyDescent="0.25">
      <c r="K7070"/>
    </row>
    <row r="7071" spans="11:11" ht="15" x14ac:dyDescent="0.25">
      <c r="K7071"/>
    </row>
    <row r="7072" spans="11:11" ht="15" x14ac:dyDescent="0.25">
      <c r="K7072"/>
    </row>
    <row r="7073" spans="11:11" ht="15" x14ac:dyDescent="0.25">
      <c r="K7073"/>
    </row>
    <row r="7074" spans="11:11" ht="15" x14ac:dyDescent="0.25">
      <c r="K7074"/>
    </row>
    <row r="7075" spans="11:11" ht="15" x14ac:dyDescent="0.25">
      <c r="K7075"/>
    </row>
    <row r="7076" spans="11:11" ht="15" x14ac:dyDescent="0.25">
      <c r="K7076"/>
    </row>
    <row r="7077" spans="11:11" ht="15" x14ac:dyDescent="0.25">
      <c r="K7077"/>
    </row>
    <row r="7078" spans="11:11" ht="15" x14ac:dyDescent="0.25">
      <c r="K7078"/>
    </row>
    <row r="7079" spans="11:11" ht="15" x14ac:dyDescent="0.25">
      <c r="K7079"/>
    </row>
    <row r="7080" spans="11:11" ht="15" x14ac:dyDescent="0.25">
      <c r="K7080"/>
    </row>
    <row r="7081" spans="11:11" ht="15" x14ac:dyDescent="0.25">
      <c r="K7081"/>
    </row>
    <row r="7082" spans="11:11" ht="15" x14ac:dyDescent="0.25">
      <c r="K7082"/>
    </row>
    <row r="7083" spans="11:11" ht="15" x14ac:dyDescent="0.25">
      <c r="K7083"/>
    </row>
    <row r="7084" spans="11:11" ht="15" x14ac:dyDescent="0.25">
      <c r="K7084"/>
    </row>
    <row r="7085" spans="11:11" ht="15" x14ac:dyDescent="0.25">
      <c r="K7085"/>
    </row>
    <row r="7086" spans="11:11" ht="15" x14ac:dyDescent="0.25">
      <c r="K7086"/>
    </row>
    <row r="7087" spans="11:11" ht="15" x14ac:dyDescent="0.25">
      <c r="K7087"/>
    </row>
    <row r="7088" spans="11:11" ht="15" x14ac:dyDescent="0.25">
      <c r="K7088"/>
    </row>
    <row r="7089" spans="11:11" ht="15" x14ac:dyDescent="0.25">
      <c r="K7089"/>
    </row>
    <row r="7090" spans="11:11" ht="15" x14ac:dyDescent="0.25">
      <c r="K7090"/>
    </row>
    <row r="7091" spans="11:11" ht="15" x14ac:dyDescent="0.25">
      <c r="K7091"/>
    </row>
    <row r="7092" spans="11:11" ht="15" x14ac:dyDescent="0.25">
      <c r="K7092"/>
    </row>
    <row r="7093" spans="11:11" ht="15" x14ac:dyDescent="0.25">
      <c r="K7093"/>
    </row>
    <row r="7094" spans="11:11" ht="15" x14ac:dyDescent="0.25">
      <c r="K7094"/>
    </row>
    <row r="7095" spans="11:11" ht="15" x14ac:dyDescent="0.25">
      <c r="K7095"/>
    </row>
    <row r="7096" spans="11:11" ht="15" x14ac:dyDescent="0.25">
      <c r="K7096"/>
    </row>
    <row r="7097" spans="11:11" ht="15" x14ac:dyDescent="0.25">
      <c r="K7097"/>
    </row>
    <row r="7098" spans="11:11" ht="15" x14ac:dyDescent="0.25">
      <c r="K7098"/>
    </row>
    <row r="7099" spans="11:11" ht="15" x14ac:dyDescent="0.25">
      <c r="K7099"/>
    </row>
    <row r="7100" spans="11:11" ht="15" x14ac:dyDescent="0.25">
      <c r="K7100"/>
    </row>
    <row r="7101" spans="11:11" ht="15" x14ac:dyDescent="0.25">
      <c r="K7101"/>
    </row>
    <row r="7102" spans="11:11" ht="15" x14ac:dyDescent="0.25">
      <c r="K7102"/>
    </row>
    <row r="7103" spans="11:11" ht="15" x14ac:dyDescent="0.25">
      <c r="K7103"/>
    </row>
    <row r="7104" spans="11:11" ht="15" x14ac:dyDescent="0.25">
      <c r="K7104"/>
    </row>
    <row r="7105" spans="11:11" ht="15" x14ac:dyDescent="0.25">
      <c r="K7105"/>
    </row>
    <row r="7106" spans="11:11" ht="15" x14ac:dyDescent="0.25">
      <c r="K7106"/>
    </row>
    <row r="7107" spans="11:11" ht="15" x14ac:dyDescent="0.25">
      <c r="K7107"/>
    </row>
    <row r="7108" spans="11:11" ht="15" x14ac:dyDescent="0.25">
      <c r="K7108"/>
    </row>
    <row r="7109" spans="11:11" ht="15" x14ac:dyDescent="0.25">
      <c r="K7109"/>
    </row>
    <row r="7110" spans="11:11" ht="15" x14ac:dyDescent="0.25">
      <c r="K7110"/>
    </row>
    <row r="7111" spans="11:11" ht="15" x14ac:dyDescent="0.25">
      <c r="K7111"/>
    </row>
    <row r="7112" spans="11:11" ht="15" x14ac:dyDescent="0.25">
      <c r="K7112"/>
    </row>
    <row r="7113" spans="11:11" ht="15" x14ac:dyDescent="0.25">
      <c r="K7113"/>
    </row>
    <row r="7114" spans="11:11" ht="15" x14ac:dyDescent="0.25">
      <c r="K7114"/>
    </row>
    <row r="7115" spans="11:11" ht="15" x14ac:dyDescent="0.25">
      <c r="K7115"/>
    </row>
    <row r="7116" spans="11:11" ht="15" x14ac:dyDescent="0.25">
      <c r="K7116"/>
    </row>
    <row r="7117" spans="11:11" ht="15" x14ac:dyDescent="0.25">
      <c r="K7117"/>
    </row>
    <row r="7118" spans="11:11" ht="15" x14ac:dyDescent="0.25">
      <c r="K7118"/>
    </row>
    <row r="7119" spans="11:11" ht="15" x14ac:dyDescent="0.25">
      <c r="K7119"/>
    </row>
    <row r="7120" spans="11:11" ht="15" x14ac:dyDescent="0.25">
      <c r="K7120"/>
    </row>
    <row r="7121" spans="11:11" ht="15" x14ac:dyDescent="0.25">
      <c r="K7121"/>
    </row>
    <row r="7122" spans="11:11" ht="15" x14ac:dyDescent="0.25">
      <c r="K7122"/>
    </row>
    <row r="7123" spans="11:11" ht="15" x14ac:dyDescent="0.25">
      <c r="K7123"/>
    </row>
    <row r="7124" spans="11:11" ht="15" x14ac:dyDescent="0.25">
      <c r="K7124"/>
    </row>
    <row r="7125" spans="11:11" ht="15" x14ac:dyDescent="0.25">
      <c r="K7125"/>
    </row>
    <row r="7126" spans="11:11" ht="15" x14ac:dyDescent="0.25">
      <c r="K7126"/>
    </row>
    <row r="7127" spans="11:11" ht="15" x14ac:dyDescent="0.25">
      <c r="K7127"/>
    </row>
    <row r="7128" spans="11:11" ht="15" x14ac:dyDescent="0.25">
      <c r="K7128"/>
    </row>
    <row r="7129" spans="11:11" ht="15" x14ac:dyDescent="0.25">
      <c r="K7129"/>
    </row>
    <row r="7130" spans="11:11" ht="15" x14ac:dyDescent="0.25">
      <c r="K7130"/>
    </row>
    <row r="7131" spans="11:11" ht="15" x14ac:dyDescent="0.25">
      <c r="K7131"/>
    </row>
    <row r="7132" spans="11:11" ht="15" x14ac:dyDescent="0.25">
      <c r="K7132"/>
    </row>
    <row r="7133" spans="11:11" ht="15" x14ac:dyDescent="0.25">
      <c r="K7133"/>
    </row>
    <row r="7134" spans="11:11" ht="15" x14ac:dyDescent="0.25">
      <c r="K7134"/>
    </row>
    <row r="7135" spans="11:11" ht="15" x14ac:dyDescent="0.25">
      <c r="K7135"/>
    </row>
    <row r="7136" spans="11:11" ht="15" x14ac:dyDescent="0.25">
      <c r="K7136"/>
    </row>
    <row r="7137" spans="11:11" ht="15" x14ac:dyDescent="0.25">
      <c r="K7137"/>
    </row>
    <row r="7138" spans="11:11" ht="15" x14ac:dyDescent="0.25">
      <c r="K7138"/>
    </row>
    <row r="7139" spans="11:11" ht="15" x14ac:dyDescent="0.25">
      <c r="K7139"/>
    </row>
    <row r="7140" spans="11:11" ht="15" x14ac:dyDescent="0.25">
      <c r="K7140"/>
    </row>
    <row r="7141" spans="11:11" ht="15" x14ac:dyDescent="0.25">
      <c r="K7141"/>
    </row>
    <row r="7142" spans="11:11" ht="15" x14ac:dyDescent="0.25">
      <c r="K7142"/>
    </row>
    <row r="7143" spans="11:11" ht="15" x14ac:dyDescent="0.25">
      <c r="K7143"/>
    </row>
    <row r="7144" spans="11:11" ht="15" x14ac:dyDescent="0.25">
      <c r="K7144"/>
    </row>
    <row r="7145" spans="11:11" ht="15" x14ac:dyDescent="0.25">
      <c r="K7145"/>
    </row>
    <row r="7146" spans="11:11" ht="15" x14ac:dyDescent="0.25">
      <c r="K7146"/>
    </row>
    <row r="7147" spans="11:11" ht="15" x14ac:dyDescent="0.25">
      <c r="K7147"/>
    </row>
    <row r="7148" spans="11:11" ht="15" x14ac:dyDescent="0.25">
      <c r="K7148"/>
    </row>
    <row r="7149" spans="11:11" ht="15" x14ac:dyDescent="0.25">
      <c r="K7149"/>
    </row>
    <row r="7150" spans="11:11" ht="15" x14ac:dyDescent="0.25">
      <c r="K7150"/>
    </row>
    <row r="7151" spans="11:11" ht="15" x14ac:dyDescent="0.25">
      <c r="K7151"/>
    </row>
    <row r="7152" spans="11:11" ht="15" x14ac:dyDescent="0.25">
      <c r="K7152"/>
    </row>
    <row r="7153" spans="11:11" ht="15" x14ac:dyDescent="0.25">
      <c r="K7153"/>
    </row>
    <row r="7154" spans="11:11" ht="15" x14ac:dyDescent="0.25">
      <c r="K7154"/>
    </row>
    <row r="7155" spans="11:11" ht="15" x14ac:dyDescent="0.25">
      <c r="K7155"/>
    </row>
    <row r="7156" spans="11:11" ht="15" x14ac:dyDescent="0.25">
      <c r="K7156"/>
    </row>
    <row r="7157" spans="11:11" ht="15" x14ac:dyDescent="0.25">
      <c r="K7157"/>
    </row>
    <row r="7158" spans="11:11" ht="15" x14ac:dyDescent="0.25">
      <c r="K7158"/>
    </row>
    <row r="7159" spans="11:11" ht="15" x14ac:dyDescent="0.25">
      <c r="K7159"/>
    </row>
    <row r="7160" spans="11:11" ht="15" x14ac:dyDescent="0.25">
      <c r="K7160"/>
    </row>
    <row r="7161" spans="11:11" ht="15" x14ac:dyDescent="0.25">
      <c r="K7161"/>
    </row>
    <row r="7162" spans="11:11" ht="15" x14ac:dyDescent="0.25">
      <c r="K7162"/>
    </row>
    <row r="7163" spans="11:11" ht="15" x14ac:dyDescent="0.25">
      <c r="K7163"/>
    </row>
    <row r="7164" spans="11:11" ht="15" x14ac:dyDescent="0.25">
      <c r="K7164"/>
    </row>
    <row r="7165" spans="11:11" ht="15" x14ac:dyDescent="0.25">
      <c r="K7165"/>
    </row>
    <row r="7166" spans="11:11" ht="15" x14ac:dyDescent="0.25">
      <c r="K7166"/>
    </row>
    <row r="7167" spans="11:11" ht="15" x14ac:dyDescent="0.25">
      <c r="K7167"/>
    </row>
    <row r="7168" spans="11:11" ht="15" x14ac:dyDescent="0.25">
      <c r="K7168"/>
    </row>
    <row r="7169" spans="11:11" ht="15" x14ac:dyDescent="0.25">
      <c r="K7169"/>
    </row>
    <row r="7170" spans="11:11" ht="15" x14ac:dyDescent="0.25">
      <c r="K7170"/>
    </row>
    <row r="7171" spans="11:11" ht="15" x14ac:dyDescent="0.25">
      <c r="K7171"/>
    </row>
    <row r="7172" spans="11:11" ht="15" x14ac:dyDescent="0.25">
      <c r="K7172"/>
    </row>
    <row r="7173" spans="11:11" ht="15" x14ac:dyDescent="0.25">
      <c r="K7173"/>
    </row>
    <row r="7174" spans="11:11" ht="15" x14ac:dyDescent="0.25">
      <c r="K7174"/>
    </row>
    <row r="7175" spans="11:11" ht="15" x14ac:dyDescent="0.25">
      <c r="K7175"/>
    </row>
    <row r="7176" spans="11:11" ht="15" x14ac:dyDescent="0.25">
      <c r="K7176"/>
    </row>
    <row r="7177" spans="11:11" ht="15" x14ac:dyDescent="0.25">
      <c r="K7177"/>
    </row>
    <row r="7178" spans="11:11" ht="15" x14ac:dyDescent="0.25">
      <c r="K7178"/>
    </row>
    <row r="7179" spans="11:11" ht="15" x14ac:dyDescent="0.25">
      <c r="K7179"/>
    </row>
    <row r="7180" spans="11:11" ht="15" x14ac:dyDescent="0.25">
      <c r="K7180"/>
    </row>
    <row r="7181" spans="11:11" ht="15" x14ac:dyDescent="0.25">
      <c r="K7181"/>
    </row>
    <row r="7182" spans="11:11" ht="15" x14ac:dyDescent="0.25">
      <c r="K7182"/>
    </row>
    <row r="7183" spans="11:11" ht="15" x14ac:dyDescent="0.25">
      <c r="K7183"/>
    </row>
    <row r="7184" spans="11:11" ht="15" x14ac:dyDescent="0.25">
      <c r="K7184"/>
    </row>
    <row r="7185" spans="11:11" ht="15" x14ac:dyDescent="0.25">
      <c r="K7185"/>
    </row>
    <row r="7186" spans="11:11" ht="15" x14ac:dyDescent="0.25">
      <c r="K7186"/>
    </row>
    <row r="7187" spans="11:11" ht="15" x14ac:dyDescent="0.25">
      <c r="K7187"/>
    </row>
    <row r="7188" spans="11:11" ht="15" x14ac:dyDescent="0.25">
      <c r="K7188"/>
    </row>
    <row r="7189" spans="11:11" ht="15" x14ac:dyDescent="0.25">
      <c r="K7189"/>
    </row>
    <row r="7190" spans="11:11" ht="15" x14ac:dyDescent="0.25">
      <c r="K7190"/>
    </row>
    <row r="7191" spans="11:11" ht="15" x14ac:dyDescent="0.25">
      <c r="K7191"/>
    </row>
    <row r="7192" spans="11:11" ht="15" x14ac:dyDescent="0.25">
      <c r="K7192"/>
    </row>
    <row r="7193" spans="11:11" ht="15" x14ac:dyDescent="0.25">
      <c r="K7193"/>
    </row>
    <row r="7194" spans="11:11" ht="15" x14ac:dyDescent="0.25">
      <c r="K7194"/>
    </row>
    <row r="7195" spans="11:11" ht="15" x14ac:dyDescent="0.25">
      <c r="K7195"/>
    </row>
    <row r="7196" spans="11:11" ht="15" x14ac:dyDescent="0.25">
      <c r="K7196"/>
    </row>
    <row r="7197" spans="11:11" ht="15" x14ac:dyDescent="0.25">
      <c r="K7197"/>
    </row>
    <row r="7198" spans="11:11" ht="15" x14ac:dyDescent="0.25">
      <c r="K7198"/>
    </row>
    <row r="7199" spans="11:11" ht="15" x14ac:dyDescent="0.25">
      <c r="K7199"/>
    </row>
    <row r="7200" spans="11:11" ht="15" x14ac:dyDescent="0.25">
      <c r="K7200"/>
    </row>
    <row r="7201" spans="11:11" ht="15" x14ac:dyDescent="0.25">
      <c r="K7201"/>
    </row>
    <row r="7202" spans="11:11" ht="15" x14ac:dyDescent="0.25">
      <c r="K7202"/>
    </row>
    <row r="7203" spans="11:11" ht="15" x14ac:dyDescent="0.25">
      <c r="K7203"/>
    </row>
    <row r="7204" spans="11:11" ht="15" x14ac:dyDescent="0.25">
      <c r="K7204"/>
    </row>
    <row r="7205" spans="11:11" ht="15" x14ac:dyDescent="0.25">
      <c r="K7205"/>
    </row>
    <row r="7206" spans="11:11" ht="15" x14ac:dyDescent="0.25">
      <c r="K7206"/>
    </row>
    <row r="7207" spans="11:11" ht="15" x14ac:dyDescent="0.25">
      <c r="K7207"/>
    </row>
    <row r="7208" spans="11:11" ht="15" x14ac:dyDescent="0.25">
      <c r="K7208"/>
    </row>
    <row r="7209" spans="11:11" ht="15" x14ac:dyDescent="0.25">
      <c r="K7209"/>
    </row>
    <row r="7210" spans="11:11" ht="15" x14ac:dyDescent="0.25">
      <c r="K7210"/>
    </row>
    <row r="7211" spans="11:11" ht="15" x14ac:dyDescent="0.25">
      <c r="K7211"/>
    </row>
    <row r="7212" spans="11:11" ht="15" x14ac:dyDescent="0.25">
      <c r="K7212"/>
    </row>
    <row r="7213" spans="11:11" ht="15" x14ac:dyDescent="0.25">
      <c r="K7213"/>
    </row>
    <row r="7214" spans="11:11" ht="15" x14ac:dyDescent="0.25">
      <c r="K7214"/>
    </row>
    <row r="7215" spans="11:11" ht="15" x14ac:dyDescent="0.25">
      <c r="K7215"/>
    </row>
    <row r="7216" spans="11:11" ht="15" x14ac:dyDescent="0.25">
      <c r="K7216"/>
    </row>
    <row r="7217" spans="11:11" ht="15" x14ac:dyDescent="0.25">
      <c r="K7217"/>
    </row>
    <row r="7218" spans="11:11" ht="15" x14ac:dyDescent="0.25">
      <c r="K7218"/>
    </row>
    <row r="7219" spans="11:11" ht="15" x14ac:dyDescent="0.25">
      <c r="K7219"/>
    </row>
    <row r="7220" spans="11:11" ht="15" x14ac:dyDescent="0.25">
      <c r="K7220"/>
    </row>
    <row r="7221" spans="11:11" ht="15" x14ac:dyDescent="0.25">
      <c r="K7221"/>
    </row>
    <row r="7222" spans="11:11" ht="15" x14ac:dyDescent="0.25">
      <c r="K7222"/>
    </row>
    <row r="7223" spans="11:11" ht="15" x14ac:dyDescent="0.25">
      <c r="K7223"/>
    </row>
    <row r="7224" spans="11:11" ht="15" x14ac:dyDescent="0.25">
      <c r="K7224"/>
    </row>
    <row r="7225" spans="11:11" ht="15" x14ac:dyDescent="0.25">
      <c r="K7225"/>
    </row>
    <row r="7226" spans="11:11" ht="15" x14ac:dyDescent="0.25">
      <c r="K7226"/>
    </row>
    <row r="7227" spans="11:11" ht="15" x14ac:dyDescent="0.25">
      <c r="K7227"/>
    </row>
    <row r="7228" spans="11:11" ht="15" x14ac:dyDescent="0.25">
      <c r="K7228"/>
    </row>
    <row r="7229" spans="11:11" ht="15" x14ac:dyDescent="0.25">
      <c r="K7229"/>
    </row>
    <row r="7230" spans="11:11" ht="15" x14ac:dyDescent="0.25">
      <c r="K7230"/>
    </row>
    <row r="7231" spans="11:11" ht="15" x14ac:dyDescent="0.25">
      <c r="K7231"/>
    </row>
    <row r="7232" spans="11:11" ht="15" x14ac:dyDescent="0.25">
      <c r="K7232"/>
    </row>
    <row r="7233" spans="11:11" ht="15" x14ac:dyDescent="0.25">
      <c r="K7233"/>
    </row>
    <row r="7234" spans="11:11" ht="15" x14ac:dyDescent="0.25">
      <c r="K7234"/>
    </row>
    <row r="7235" spans="11:11" ht="15" x14ac:dyDescent="0.25">
      <c r="K7235"/>
    </row>
    <row r="7236" spans="11:11" ht="15" x14ac:dyDescent="0.25">
      <c r="K7236"/>
    </row>
    <row r="7237" spans="11:11" ht="15" x14ac:dyDescent="0.25">
      <c r="K7237"/>
    </row>
    <row r="7238" spans="11:11" ht="15" x14ac:dyDescent="0.25">
      <c r="K7238"/>
    </row>
    <row r="7239" spans="11:11" ht="15" x14ac:dyDescent="0.25">
      <c r="K7239"/>
    </row>
    <row r="7240" spans="11:11" ht="15" x14ac:dyDescent="0.25">
      <c r="K7240"/>
    </row>
    <row r="7241" spans="11:11" ht="15" x14ac:dyDescent="0.25">
      <c r="K7241"/>
    </row>
    <row r="7242" spans="11:11" ht="15" x14ac:dyDescent="0.25">
      <c r="K7242"/>
    </row>
    <row r="7243" spans="11:11" ht="15" x14ac:dyDescent="0.25">
      <c r="K7243"/>
    </row>
    <row r="7244" spans="11:11" ht="15" x14ac:dyDescent="0.25">
      <c r="K7244"/>
    </row>
    <row r="7245" spans="11:11" ht="15" x14ac:dyDescent="0.25">
      <c r="K7245"/>
    </row>
    <row r="7246" spans="11:11" ht="15" x14ac:dyDescent="0.25">
      <c r="K7246"/>
    </row>
    <row r="7247" spans="11:11" ht="15" x14ac:dyDescent="0.25">
      <c r="K7247"/>
    </row>
    <row r="7248" spans="11:11" ht="15" x14ac:dyDescent="0.25">
      <c r="K7248"/>
    </row>
    <row r="7249" spans="11:11" ht="15" x14ac:dyDescent="0.25">
      <c r="K7249"/>
    </row>
    <row r="7250" spans="11:11" ht="15" x14ac:dyDescent="0.25">
      <c r="K7250"/>
    </row>
    <row r="7251" spans="11:11" ht="15" x14ac:dyDescent="0.25">
      <c r="K7251"/>
    </row>
    <row r="7252" spans="11:11" ht="15" x14ac:dyDescent="0.25">
      <c r="K7252"/>
    </row>
    <row r="7253" spans="11:11" ht="15" x14ac:dyDescent="0.25">
      <c r="K7253"/>
    </row>
    <row r="7254" spans="11:11" ht="15" x14ac:dyDescent="0.25">
      <c r="K7254"/>
    </row>
    <row r="7255" spans="11:11" ht="15" x14ac:dyDescent="0.25">
      <c r="K7255"/>
    </row>
    <row r="7256" spans="11:11" ht="15" x14ac:dyDescent="0.25">
      <c r="K7256"/>
    </row>
    <row r="7257" spans="11:11" ht="15" x14ac:dyDescent="0.25">
      <c r="K7257"/>
    </row>
    <row r="7258" spans="11:11" ht="15" x14ac:dyDescent="0.25">
      <c r="K7258"/>
    </row>
    <row r="7259" spans="11:11" ht="15" x14ac:dyDescent="0.25">
      <c r="K7259"/>
    </row>
    <row r="7260" spans="11:11" ht="15" x14ac:dyDescent="0.25">
      <c r="K7260"/>
    </row>
    <row r="7261" spans="11:11" ht="15" x14ac:dyDescent="0.25">
      <c r="K7261"/>
    </row>
    <row r="7262" spans="11:11" ht="15" x14ac:dyDescent="0.25">
      <c r="K7262"/>
    </row>
    <row r="7263" spans="11:11" ht="15" x14ac:dyDescent="0.25">
      <c r="K7263"/>
    </row>
    <row r="7264" spans="11:11" ht="15" x14ac:dyDescent="0.25">
      <c r="K7264"/>
    </row>
    <row r="7265" spans="11:11" ht="15" x14ac:dyDescent="0.25">
      <c r="K7265"/>
    </row>
    <row r="7266" spans="11:11" ht="15" x14ac:dyDescent="0.25">
      <c r="K7266"/>
    </row>
    <row r="7267" spans="11:11" ht="15" x14ac:dyDescent="0.25">
      <c r="K7267"/>
    </row>
    <row r="7268" spans="11:11" ht="15" x14ac:dyDescent="0.25">
      <c r="K7268"/>
    </row>
    <row r="7269" spans="11:11" ht="15" x14ac:dyDescent="0.25">
      <c r="K7269"/>
    </row>
    <row r="7270" spans="11:11" ht="15" x14ac:dyDescent="0.25">
      <c r="K7270"/>
    </row>
    <row r="7271" spans="11:11" ht="15" x14ac:dyDescent="0.25">
      <c r="K7271"/>
    </row>
    <row r="7272" spans="11:11" ht="15" x14ac:dyDescent="0.25">
      <c r="K7272"/>
    </row>
    <row r="7273" spans="11:11" ht="15" x14ac:dyDescent="0.25">
      <c r="K7273"/>
    </row>
    <row r="7274" spans="11:11" ht="15" x14ac:dyDescent="0.25">
      <c r="K7274"/>
    </row>
    <row r="7275" spans="11:11" ht="15" x14ac:dyDescent="0.25">
      <c r="K7275"/>
    </row>
    <row r="7276" spans="11:11" ht="15" x14ac:dyDescent="0.25">
      <c r="K7276"/>
    </row>
    <row r="7277" spans="11:11" ht="15" x14ac:dyDescent="0.25">
      <c r="K7277"/>
    </row>
    <row r="7278" spans="11:11" ht="15" x14ac:dyDescent="0.25">
      <c r="K7278"/>
    </row>
    <row r="7279" spans="11:11" ht="15" x14ac:dyDescent="0.25">
      <c r="K7279"/>
    </row>
    <row r="7280" spans="11:11" ht="15" x14ac:dyDescent="0.25">
      <c r="K7280"/>
    </row>
    <row r="7281" spans="11:11" ht="15" x14ac:dyDescent="0.25">
      <c r="K7281"/>
    </row>
    <row r="7282" spans="11:11" ht="15" x14ac:dyDescent="0.25">
      <c r="K7282"/>
    </row>
    <row r="7283" spans="11:11" ht="15" x14ac:dyDescent="0.25">
      <c r="K7283"/>
    </row>
    <row r="7284" spans="11:11" ht="15" x14ac:dyDescent="0.25">
      <c r="K7284"/>
    </row>
    <row r="7285" spans="11:11" ht="15" x14ac:dyDescent="0.25">
      <c r="K7285"/>
    </row>
    <row r="7286" spans="11:11" ht="15" x14ac:dyDescent="0.25">
      <c r="K7286"/>
    </row>
    <row r="7287" spans="11:11" ht="15" x14ac:dyDescent="0.25">
      <c r="K7287"/>
    </row>
    <row r="7288" spans="11:11" ht="15" x14ac:dyDescent="0.25">
      <c r="K7288"/>
    </row>
    <row r="7289" spans="11:11" ht="15" x14ac:dyDescent="0.25">
      <c r="K7289"/>
    </row>
    <row r="7290" spans="11:11" ht="15" x14ac:dyDescent="0.25">
      <c r="K7290"/>
    </row>
    <row r="7291" spans="11:11" ht="15" x14ac:dyDescent="0.25">
      <c r="K7291"/>
    </row>
    <row r="7292" spans="11:11" ht="15" x14ac:dyDescent="0.25">
      <c r="K7292"/>
    </row>
    <row r="7293" spans="11:11" ht="15" x14ac:dyDescent="0.25">
      <c r="K7293"/>
    </row>
    <row r="7294" spans="11:11" ht="15" x14ac:dyDescent="0.25">
      <c r="K7294"/>
    </row>
    <row r="7295" spans="11:11" ht="15" x14ac:dyDescent="0.25">
      <c r="K7295"/>
    </row>
    <row r="7296" spans="11:11" ht="15" x14ac:dyDescent="0.25">
      <c r="K7296"/>
    </row>
    <row r="7297" spans="11:11" ht="15" x14ac:dyDescent="0.25">
      <c r="K7297"/>
    </row>
    <row r="7298" spans="11:11" ht="15" x14ac:dyDescent="0.25">
      <c r="K7298"/>
    </row>
    <row r="7299" spans="11:11" ht="15" x14ac:dyDescent="0.25">
      <c r="K7299"/>
    </row>
    <row r="7300" spans="11:11" ht="15" x14ac:dyDescent="0.25">
      <c r="K7300"/>
    </row>
    <row r="7301" spans="11:11" ht="15" x14ac:dyDescent="0.25">
      <c r="K7301"/>
    </row>
    <row r="7302" spans="11:11" ht="15" x14ac:dyDescent="0.25">
      <c r="K7302"/>
    </row>
    <row r="7303" spans="11:11" ht="15" x14ac:dyDescent="0.25">
      <c r="K7303"/>
    </row>
    <row r="7304" spans="11:11" ht="15" x14ac:dyDescent="0.25">
      <c r="K7304"/>
    </row>
    <row r="7305" spans="11:11" ht="15" x14ac:dyDescent="0.25">
      <c r="K7305"/>
    </row>
    <row r="7306" spans="11:11" ht="15" x14ac:dyDescent="0.25">
      <c r="K7306"/>
    </row>
    <row r="7307" spans="11:11" ht="15" x14ac:dyDescent="0.25">
      <c r="K7307"/>
    </row>
    <row r="7308" spans="11:11" ht="15" x14ac:dyDescent="0.25">
      <c r="K7308"/>
    </row>
    <row r="7309" spans="11:11" ht="15" x14ac:dyDescent="0.25">
      <c r="K7309"/>
    </row>
    <row r="7310" spans="11:11" ht="15" x14ac:dyDescent="0.25">
      <c r="K7310"/>
    </row>
    <row r="7311" spans="11:11" ht="15" x14ac:dyDescent="0.25">
      <c r="K7311"/>
    </row>
    <row r="7312" spans="11:11" ht="15" x14ac:dyDescent="0.25">
      <c r="K7312"/>
    </row>
    <row r="7313" spans="11:11" ht="15" x14ac:dyDescent="0.25">
      <c r="K7313"/>
    </row>
    <row r="7314" spans="11:11" ht="15" x14ac:dyDescent="0.25">
      <c r="K7314"/>
    </row>
    <row r="7315" spans="11:11" ht="15" x14ac:dyDescent="0.25">
      <c r="K7315"/>
    </row>
    <row r="7316" spans="11:11" ht="15" x14ac:dyDescent="0.25">
      <c r="K7316"/>
    </row>
    <row r="7317" spans="11:11" ht="15" x14ac:dyDescent="0.25">
      <c r="K7317"/>
    </row>
    <row r="7318" spans="11:11" ht="15" x14ac:dyDescent="0.25">
      <c r="K7318"/>
    </row>
    <row r="7319" spans="11:11" ht="15" x14ac:dyDescent="0.25">
      <c r="K7319"/>
    </row>
    <row r="7320" spans="11:11" ht="15" x14ac:dyDescent="0.25">
      <c r="K7320"/>
    </row>
    <row r="7321" spans="11:11" ht="15" x14ac:dyDescent="0.25">
      <c r="K7321"/>
    </row>
    <row r="7322" spans="11:11" ht="15" x14ac:dyDescent="0.25">
      <c r="K7322"/>
    </row>
    <row r="7323" spans="11:11" ht="15" x14ac:dyDescent="0.25">
      <c r="K7323"/>
    </row>
    <row r="7324" spans="11:11" ht="15" x14ac:dyDescent="0.25">
      <c r="K7324"/>
    </row>
    <row r="7325" spans="11:11" ht="15" x14ac:dyDescent="0.25">
      <c r="K7325"/>
    </row>
    <row r="7326" spans="11:11" ht="15" x14ac:dyDescent="0.25">
      <c r="K7326"/>
    </row>
    <row r="7327" spans="11:11" ht="15" x14ac:dyDescent="0.25">
      <c r="K7327"/>
    </row>
    <row r="7328" spans="11:11" ht="15" x14ac:dyDescent="0.25">
      <c r="K7328"/>
    </row>
    <row r="7329" spans="11:11" ht="15" x14ac:dyDescent="0.25">
      <c r="K7329"/>
    </row>
    <row r="7330" spans="11:11" ht="15" x14ac:dyDescent="0.25">
      <c r="K7330"/>
    </row>
    <row r="7331" spans="11:11" ht="15" x14ac:dyDescent="0.25">
      <c r="K7331"/>
    </row>
    <row r="7332" spans="11:11" ht="15" x14ac:dyDescent="0.25">
      <c r="K7332"/>
    </row>
    <row r="7333" spans="11:11" ht="15" x14ac:dyDescent="0.25">
      <c r="K7333"/>
    </row>
    <row r="7334" spans="11:11" ht="15" x14ac:dyDescent="0.25">
      <c r="K7334"/>
    </row>
    <row r="7335" spans="11:11" ht="15" x14ac:dyDescent="0.25">
      <c r="K7335"/>
    </row>
    <row r="7336" spans="11:11" ht="15" x14ac:dyDescent="0.25">
      <c r="K7336"/>
    </row>
    <row r="7337" spans="11:11" ht="15" x14ac:dyDescent="0.25">
      <c r="K7337"/>
    </row>
    <row r="7338" spans="11:11" ht="15" x14ac:dyDescent="0.25">
      <c r="K7338"/>
    </row>
    <row r="7339" spans="11:11" ht="15" x14ac:dyDescent="0.25">
      <c r="K7339"/>
    </row>
    <row r="7340" spans="11:11" ht="15" x14ac:dyDescent="0.25">
      <c r="K7340"/>
    </row>
    <row r="7341" spans="11:11" ht="15" x14ac:dyDescent="0.25">
      <c r="K7341"/>
    </row>
    <row r="7342" spans="11:11" ht="15" x14ac:dyDescent="0.25">
      <c r="K7342"/>
    </row>
    <row r="7343" spans="11:11" ht="15" x14ac:dyDescent="0.25">
      <c r="K7343"/>
    </row>
    <row r="7344" spans="11:11" ht="15" x14ac:dyDescent="0.25">
      <c r="K7344"/>
    </row>
    <row r="7345" spans="11:11" ht="15" x14ac:dyDescent="0.25">
      <c r="K7345"/>
    </row>
    <row r="7346" spans="11:11" ht="15" x14ac:dyDescent="0.25">
      <c r="K7346"/>
    </row>
    <row r="7347" spans="11:11" ht="15" x14ac:dyDescent="0.25">
      <c r="K7347"/>
    </row>
    <row r="7348" spans="11:11" ht="15" x14ac:dyDescent="0.25">
      <c r="K7348"/>
    </row>
    <row r="7349" spans="11:11" ht="15" x14ac:dyDescent="0.25">
      <c r="K7349"/>
    </row>
    <row r="7350" spans="11:11" ht="15" x14ac:dyDescent="0.25">
      <c r="K7350"/>
    </row>
    <row r="7351" spans="11:11" ht="15" x14ac:dyDescent="0.25">
      <c r="K7351"/>
    </row>
    <row r="7352" spans="11:11" ht="15" x14ac:dyDescent="0.25">
      <c r="K7352"/>
    </row>
    <row r="7353" spans="11:11" ht="15" x14ac:dyDescent="0.25">
      <c r="K7353"/>
    </row>
    <row r="7354" spans="11:11" ht="15" x14ac:dyDescent="0.25">
      <c r="K7354"/>
    </row>
    <row r="7355" spans="11:11" ht="15" x14ac:dyDescent="0.25">
      <c r="K7355"/>
    </row>
    <row r="7356" spans="11:11" ht="15" x14ac:dyDescent="0.25">
      <c r="K7356"/>
    </row>
    <row r="7357" spans="11:11" ht="15" x14ac:dyDescent="0.25">
      <c r="K7357"/>
    </row>
    <row r="7358" spans="11:11" ht="15" x14ac:dyDescent="0.25">
      <c r="K7358"/>
    </row>
    <row r="7359" spans="11:11" ht="15" x14ac:dyDescent="0.25">
      <c r="K7359"/>
    </row>
    <row r="7360" spans="11:11" ht="15" x14ac:dyDescent="0.25">
      <c r="K7360"/>
    </row>
    <row r="7361" spans="11:11" ht="15" x14ac:dyDescent="0.25">
      <c r="K7361"/>
    </row>
    <row r="7362" spans="11:11" ht="15" x14ac:dyDescent="0.25">
      <c r="K7362"/>
    </row>
    <row r="7363" spans="11:11" ht="15" x14ac:dyDescent="0.25">
      <c r="K7363"/>
    </row>
    <row r="7364" spans="11:11" ht="15" x14ac:dyDescent="0.25">
      <c r="K7364"/>
    </row>
    <row r="7365" spans="11:11" ht="15" x14ac:dyDescent="0.25">
      <c r="K7365"/>
    </row>
    <row r="7366" spans="11:11" ht="15" x14ac:dyDescent="0.25">
      <c r="K7366"/>
    </row>
    <row r="7367" spans="11:11" ht="15" x14ac:dyDescent="0.25">
      <c r="K7367"/>
    </row>
    <row r="7368" spans="11:11" ht="15" x14ac:dyDescent="0.25">
      <c r="K7368"/>
    </row>
    <row r="7369" spans="11:11" ht="15" x14ac:dyDescent="0.25">
      <c r="K7369"/>
    </row>
    <row r="7370" spans="11:11" ht="15" x14ac:dyDescent="0.25">
      <c r="K7370"/>
    </row>
    <row r="7371" spans="11:11" ht="15" x14ac:dyDescent="0.25">
      <c r="K7371"/>
    </row>
    <row r="7372" spans="11:11" ht="15" x14ac:dyDescent="0.25">
      <c r="K7372"/>
    </row>
    <row r="7373" spans="11:11" ht="15" x14ac:dyDescent="0.25">
      <c r="K7373"/>
    </row>
    <row r="7374" spans="11:11" ht="15" x14ac:dyDescent="0.25">
      <c r="K7374"/>
    </row>
    <row r="7375" spans="11:11" ht="15" x14ac:dyDescent="0.25">
      <c r="K7375"/>
    </row>
    <row r="7376" spans="11:11" ht="15" x14ac:dyDescent="0.25">
      <c r="K7376"/>
    </row>
    <row r="7377" spans="11:11" ht="15" x14ac:dyDescent="0.25">
      <c r="K7377"/>
    </row>
    <row r="7378" spans="11:11" ht="15" x14ac:dyDescent="0.25">
      <c r="K7378"/>
    </row>
    <row r="7379" spans="11:11" ht="15" x14ac:dyDescent="0.25">
      <c r="K7379"/>
    </row>
    <row r="7380" spans="11:11" ht="15" x14ac:dyDescent="0.25">
      <c r="K7380"/>
    </row>
    <row r="7381" spans="11:11" ht="15" x14ac:dyDescent="0.25">
      <c r="K7381"/>
    </row>
    <row r="7382" spans="11:11" ht="15" x14ac:dyDescent="0.25">
      <c r="K7382"/>
    </row>
    <row r="7383" spans="11:11" ht="15" x14ac:dyDescent="0.25">
      <c r="K7383"/>
    </row>
    <row r="7384" spans="11:11" ht="15" x14ac:dyDescent="0.25">
      <c r="K7384"/>
    </row>
    <row r="7385" spans="11:11" ht="15" x14ac:dyDescent="0.25">
      <c r="K7385"/>
    </row>
    <row r="7386" spans="11:11" ht="15" x14ac:dyDescent="0.25">
      <c r="K7386"/>
    </row>
    <row r="7387" spans="11:11" ht="15" x14ac:dyDescent="0.25">
      <c r="K7387"/>
    </row>
    <row r="7388" spans="11:11" ht="15" x14ac:dyDescent="0.25">
      <c r="K7388"/>
    </row>
    <row r="7389" spans="11:11" ht="15" x14ac:dyDescent="0.25">
      <c r="K7389"/>
    </row>
    <row r="7390" spans="11:11" ht="15" x14ac:dyDescent="0.25">
      <c r="K7390"/>
    </row>
    <row r="7391" spans="11:11" ht="15" x14ac:dyDescent="0.25">
      <c r="K7391"/>
    </row>
    <row r="7392" spans="11:11" ht="15" x14ac:dyDescent="0.25">
      <c r="K7392"/>
    </row>
    <row r="7393" spans="11:11" ht="15" x14ac:dyDescent="0.25">
      <c r="K7393"/>
    </row>
    <row r="7394" spans="11:11" ht="15" x14ac:dyDescent="0.25">
      <c r="K7394"/>
    </row>
    <row r="7395" spans="11:11" ht="15" x14ac:dyDescent="0.25">
      <c r="K7395"/>
    </row>
    <row r="7396" spans="11:11" ht="15" x14ac:dyDescent="0.25">
      <c r="K7396"/>
    </row>
    <row r="7397" spans="11:11" ht="15" x14ac:dyDescent="0.25">
      <c r="K7397"/>
    </row>
    <row r="7398" spans="11:11" ht="15" x14ac:dyDescent="0.25">
      <c r="K7398"/>
    </row>
    <row r="7399" spans="11:11" ht="15" x14ac:dyDescent="0.25">
      <c r="K7399"/>
    </row>
    <row r="7400" spans="11:11" ht="15" x14ac:dyDescent="0.25">
      <c r="K7400"/>
    </row>
    <row r="7401" spans="11:11" ht="15" x14ac:dyDescent="0.25">
      <c r="K7401"/>
    </row>
    <row r="7402" spans="11:11" ht="15" x14ac:dyDescent="0.25">
      <c r="K7402"/>
    </row>
    <row r="7403" spans="11:11" ht="15" x14ac:dyDescent="0.25">
      <c r="K7403"/>
    </row>
    <row r="7404" spans="11:11" ht="15" x14ac:dyDescent="0.25">
      <c r="K7404"/>
    </row>
    <row r="7405" spans="11:11" ht="15" x14ac:dyDescent="0.25">
      <c r="K7405"/>
    </row>
    <row r="7406" spans="11:11" ht="15" x14ac:dyDescent="0.25">
      <c r="K7406"/>
    </row>
    <row r="7407" spans="11:11" ht="15" x14ac:dyDescent="0.25">
      <c r="K7407"/>
    </row>
    <row r="7408" spans="11:11" ht="15" x14ac:dyDescent="0.25">
      <c r="K7408"/>
    </row>
    <row r="7409" spans="11:11" ht="15" x14ac:dyDescent="0.25">
      <c r="K7409"/>
    </row>
    <row r="7410" spans="11:11" ht="15" x14ac:dyDescent="0.25">
      <c r="K7410"/>
    </row>
    <row r="7411" spans="11:11" ht="15" x14ac:dyDescent="0.25">
      <c r="K7411"/>
    </row>
    <row r="7412" spans="11:11" ht="15" x14ac:dyDescent="0.25">
      <c r="K7412"/>
    </row>
    <row r="7413" spans="11:11" ht="15" x14ac:dyDescent="0.25">
      <c r="K7413"/>
    </row>
    <row r="7414" spans="11:11" ht="15" x14ac:dyDescent="0.25">
      <c r="K7414"/>
    </row>
    <row r="7415" spans="11:11" ht="15" x14ac:dyDescent="0.25">
      <c r="K7415"/>
    </row>
    <row r="7416" spans="11:11" ht="15" x14ac:dyDescent="0.25">
      <c r="K7416"/>
    </row>
    <row r="7417" spans="11:11" ht="15" x14ac:dyDescent="0.25">
      <c r="K7417"/>
    </row>
    <row r="7418" spans="11:11" ht="15" x14ac:dyDescent="0.25">
      <c r="K7418"/>
    </row>
    <row r="7419" spans="11:11" ht="15" x14ac:dyDescent="0.25">
      <c r="K7419"/>
    </row>
    <row r="7420" spans="11:11" ht="15" x14ac:dyDescent="0.25">
      <c r="K7420"/>
    </row>
    <row r="7421" spans="11:11" ht="15" x14ac:dyDescent="0.25">
      <c r="K7421"/>
    </row>
    <row r="7422" spans="11:11" ht="15" x14ac:dyDescent="0.25">
      <c r="K7422"/>
    </row>
    <row r="7423" spans="11:11" ht="15" x14ac:dyDescent="0.25">
      <c r="K7423"/>
    </row>
    <row r="7424" spans="11:11" ht="15" x14ac:dyDescent="0.25">
      <c r="K7424"/>
    </row>
    <row r="7425" spans="11:11" ht="15" x14ac:dyDescent="0.25">
      <c r="K7425"/>
    </row>
    <row r="7426" spans="11:11" ht="15" x14ac:dyDescent="0.25">
      <c r="K7426"/>
    </row>
    <row r="7427" spans="11:11" ht="15" x14ac:dyDescent="0.25">
      <c r="K7427"/>
    </row>
    <row r="7428" spans="11:11" ht="15" x14ac:dyDescent="0.25">
      <c r="K7428"/>
    </row>
    <row r="7429" spans="11:11" ht="15" x14ac:dyDescent="0.25">
      <c r="K7429"/>
    </row>
    <row r="7430" spans="11:11" ht="15" x14ac:dyDescent="0.25">
      <c r="K7430"/>
    </row>
    <row r="7431" spans="11:11" ht="15" x14ac:dyDescent="0.25">
      <c r="K7431"/>
    </row>
    <row r="7432" spans="11:11" ht="15" x14ac:dyDescent="0.25">
      <c r="K7432"/>
    </row>
    <row r="7433" spans="11:11" ht="15" x14ac:dyDescent="0.25">
      <c r="K7433"/>
    </row>
    <row r="7434" spans="11:11" ht="15" x14ac:dyDescent="0.25">
      <c r="K7434"/>
    </row>
    <row r="7435" spans="11:11" ht="15" x14ac:dyDescent="0.25">
      <c r="K7435"/>
    </row>
    <row r="7436" spans="11:11" ht="15" x14ac:dyDescent="0.25">
      <c r="K7436"/>
    </row>
    <row r="7437" spans="11:11" ht="15" x14ac:dyDescent="0.25">
      <c r="K7437"/>
    </row>
    <row r="7438" spans="11:11" ht="15" x14ac:dyDescent="0.25">
      <c r="K7438"/>
    </row>
    <row r="7439" spans="11:11" ht="15" x14ac:dyDescent="0.25">
      <c r="K7439"/>
    </row>
    <row r="7440" spans="11:11" ht="15" x14ac:dyDescent="0.25">
      <c r="K7440"/>
    </row>
    <row r="7441" spans="11:11" ht="15" x14ac:dyDescent="0.25">
      <c r="K7441"/>
    </row>
    <row r="7442" spans="11:11" ht="15" x14ac:dyDescent="0.25">
      <c r="K7442"/>
    </row>
    <row r="7443" spans="11:11" ht="15" x14ac:dyDescent="0.25">
      <c r="K7443"/>
    </row>
    <row r="7444" spans="11:11" ht="15" x14ac:dyDescent="0.25">
      <c r="K7444"/>
    </row>
    <row r="7445" spans="11:11" ht="15" x14ac:dyDescent="0.25">
      <c r="K7445"/>
    </row>
    <row r="7446" spans="11:11" ht="15" x14ac:dyDescent="0.25">
      <c r="K7446"/>
    </row>
    <row r="7447" spans="11:11" ht="15" x14ac:dyDescent="0.25">
      <c r="K7447"/>
    </row>
    <row r="7448" spans="11:11" ht="15" x14ac:dyDescent="0.25">
      <c r="K7448"/>
    </row>
    <row r="7449" spans="11:11" ht="15" x14ac:dyDescent="0.25">
      <c r="K7449"/>
    </row>
    <row r="7450" spans="11:11" ht="15" x14ac:dyDescent="0.25">
      <c r="K7450"/>
    </row>
    <row r="7451" spans="11:11" ht="15" x14ac:dyDescent="0.25">
      <c r="K7451"/>
    </row>
    <row r="7452" spans="11:11" ht="15" x14ac:dyDescent="0.25">
      <c r="K7452"/>
    </row>
    <row r="7453" spans="11:11" ht="15" x14ac:dyDescent="0.25">
      <c r="K7453"/>
    </row>
    <row r="7454" spans="11:11" ht="15" x14ac:dyDescent="0.25">
      <c r="K7454"/>
    </row>
    <row r="7455" spans="11:11" ht="15" x14ac:dyDescent="0.25">
      <c r="K7455"/>
    </row>
    <row r="7456" spans="11:11" ht="15" x14ac:dyDescent="0.25">
      <c r="K7456"/>
    </row>
    <row r="7457" spans="11:11" ht="15" x14ac:dyDescent="0.25">
      <c r="K7457"/>
    </row>
    <row r="7458" spans="11:11" ht="15" x14ac:dyDescent="0.25">
      <c r="K7458"/>
    </row>
    <row r="7459" spans="11:11" ht="15" x14ac:dyDescent="0.25">
      <c r="K7459"/>
    </row>
    <row r="7460" spans="11:11" ht="15" x14ac:dyDescent="0.25">
      <c r="K7460"/>
    </row>
    <row r="7461" spans="11:11" ht="15" x14ac:dyDescent="0.25">
      <c r="K7461"/>
    </row>
    <row r="7462" spans="11:11" ht="15" x14ac:dyDescent="0.25">
      <c r="K7462"/>
    </row>
    <row r="7463" spans="11:11" ht="15" x14ac:dyDescent="0.25">
      <c r="K7463"/>
    </row>
    <row r="7464" spans="11:11" ht="15" x14ac:dyDescent="0.25">
      <c r="K7464"/>
    </row>
    <row r="7465" spans="11:11" ht="15" x14ac:dyDescent="0.25">
      <c r="K7465"/>
    </row>
    <row r="7466" spans="11:11" ht="15" x14ac:dyDescent="0.25">
      <c r="K7466"/>
    </row>
    <row r="7467" spans="11:11" ht="15" x14ac:dyDescent="0.25">
      <c r="K7467"/>
    </row>
    <row r="7468" spans="11:11" ht="15" x14ac:dyDescent="0.25">
      <c r="K7468"/>
    </row>
    <row r="7469" spans="11:11" ht="15" x14ac:dyDescent="0.25">
      <c r="K7469"/>
    </row>
    <row r="7470" spans="11:11" ht="15" x14ac:dyDescent="0.25">
      <c r="K7470"/>
    </row>
    <row r="7471" spans="11:11" ht="15" x14ac:dyDescent="0.25">
      <c r="K7471"/>
    </row>
    <row r="7472" spans="11:11" ht="15" x14ac:dyDescent="0.25">
      <c r="K7472"/>
    </row>
    <row r="7473" spans="11:11" ht="15" x14ac:dyDescent="0.25">
      <c r="K7473"/>
    </row>
    <row r="7474" spans="11:11" ht="15" x14ac:dyDescent="0.25">
      <c r="K7474"/>
    </row>
    <row r="7475" spans="11:11" ht="15" x14ac:dyDescent="0.25">
      <c r="K7475"/>
    </row>
    <row r="7476" spans="11:11" ht="15" x14ac:dyDescent="0.25">
      <c r="K7476"/>
    </row>
    <row r="7477" spans="11:11" ht="15" x14ac:dyDescent="0.25">
      <c r="K7477"/>
    </row>
    <row r="7478" spans="11:11" ht="15" x14ac:dyDescent="0.25">
      <c r="K7478"/>
    </row>
    <row r="7479" spans="11:11" ht="15" x14ac:dyDescent="0.25">
      <c r="K7479"/>
    </row>
    <row r="7480" spans="11:11" ht="15" x14ac:dyDescent="0.25">
      <c r="K7480"/>
    </row>
    <row r="7481" spans="11:11" ht="15" x14ac:dyDescent="0.25">
      <c r="K7481"/>
    </row>
    <row r="7482" spans="11:11" ht="15" x14ac:dyDescent="0.25">
      <c r="K7482"/>
    </row>
    <row r="7483" spans="11:11" ht="15" x14ac:dyDescent="0.25">
      <c r="K7483"/>
    </row>
    <row r="7484" spans="11:11" ht="15" x14ac:dyDescent="0.25">
      <c r="K7484"/>
    </row>
    <row r="7485" spans="11:11" ht="15" x14ac:dyDescent="0.25">
      <c r="K7485"/>
    </row>
    <row r="7486" spans="11:11" ht="15" x14ac:dyDescent="0.25">
      <c r="K7486"/>
    </row>
    <row r="7487" spans="11:11" ht="15" x14ac:dyDescent="0.25">
      <c r="K7487"/>
    </row>
    <row r="7488" spans="11:11" ht="15" x14ac:dyDescent="0.25">
      <c r="K7488"/>
    </row>
    <row r="7489" spans="11:11" ht="15" x14ac:dyDescent="0.25">
      <c r="K7489"/>
    </row>
    <row r="7490" spans="11:11" ht="15" x14ac:dyDescent="0.25">
      <c r="K7490"/>
    </row>
    <row r="7491" spans="11:11" ht="15" x14ac:dyDescent="0.25">
      <c r="K7491"/>
    </row>
    <row r="7492" spans="11:11" ht="15" x14ac:dyDescent="0.25">
      <c r="K7492"/>
    </row>
    <row r="7493" spans="11:11" ht="15" x14ac:dyDescent="0.25">
      <c r="K7493"/>
    </row>
    <row r="7494" spans="11:11" ht="15" x14ac:dyDescent="0.25">
      <c r="K7494"/>
    </row>
    <row r="7495" spans="11:11" ht="15" x14ac:dyDescent="0.25">
      <c r="K7495"/>
    </row>
    <row r="7496" spans="11:11" ht="15" x14ac:dyDescent="0.25">
      <c r="K7496"/>
    </row>
    <row r="7497" spans="11:11" ht="15" x14ac:dyDescent="0.25">
      <c r="K7497"/>
    </row>
    <row r="7498" spans="11:11" ht="15" x14ac:dyDescent="0.25">
      <c r="K7498"/>
    </row>
    <row r="7499" spans="11:11" ht="15" x14ac:dyDescent="0.25">
      <c r="K7499"/>
    </row>
    <row r="7500" spans="11:11" ht="15" x14ac:dyDescent="0.25">
      <c r="K7500"/>
    </row>
    <row r="7501" spans="11:11" ht="15" x14ac:dyDescent="0.25">
      <c r="K7501"/>
    </row>
    <row r="7502" spans="11:11" ht="15" x14ac:dyDescent="0.25">
      <c r="K7502"/>
    </row>
    <row r="7503" spans="11:11" ht="15" x14ac:dyDescent="0.25">
      <c r="K7503"/>
    </row>
    <row r="7504" spans="11:11" ht="15" x14ac:dyDescent="0.25">
      <c r="K7504"/>
    </row>
    <row r="7505" spans="11:11" ht="15" x14ac:dyDescent="0.25">
      <c r="K7505"/>
    </row>
    <row r="7506" spans="11:11" ht="15" x14ac:dyDescent="0.25">
      <c r="K7506"/>
    </row>
    <row r="7507" spans="11:11" ht="15" x14ac:dyDescent="0.25">
      <c r="K7507"/>
    </row>
    <row r="7508" spans="11:11" ht="15" x14ac:dyDescent="0.25">
      <c r="K7508"/>
    </row>
    <row r="7509" spans="11:11" ht="15" x14ac:dyDescent="0.25">
      <c r="K7509"/>
    </row>
    <row r="7510" spans="11:11" ht="15" x14ac:dyDescent="0.25">
      <c r="K7510"/>
    </row>
    <row r="7511" spans="11:11" ht="15" x14ac:dyDescent="0.25">
      <c r="K7511"/>
    </row>
    <row r="7512" spans="11:11" ht="15" x14ac:dyDescent="0.25">
      <c r="K7512"/>
    </row>
    <row r="7513" spans="11:11" ht="15" x14ac:dyDescent="0.25">
      <c r="K7513"/>
    </row>
    <row r="7514" spans="11:11" ht="15" x14ac:dyDescent="0.25">
      <c r="K7514"/>
    </row>
    <row r="7515" spans="11:11" ht="15" x14ac:dyDescent="0.25">
      <c r="K7515"/>
    </row>
    <row r="7516" spans="11:11" ht="15" x14ac:dyDescent="0.25">
      <c r="K7516"/>
    </row>
    <row r="7517" spans="11:11" ht="15" x14ac:dyDescent="0.25">
      <c r="K7517"/>
    </row>
    <row r="7518" spans="11:11" ht="15" x14ac:dyDescent="0.25">
      <c r="K7518"/>
    </row>
    <row r="7519" spans="11:11" ht="15" x14ac:dyDescent="0.25">
      <c r="K7519"/>
    </row>
    <row r="7520" spans="11:11" ht="15" x14ac:dyDescent="0.25">
      <c r="K7520"/>
    </row>
    <row r="7521" spans="11:11" ht="15" x14ac:dyDescent="0.25">
      <c r="K7521"/>
    </row>
    <row r="7522" spans="11:11" ht="15" x14ac:dyDescent="0.25">
      <c r="K7522"/>
    </row>
    <row r="7523" spans="11:11" ht="15" x14ac:dyDescent="0.25">
      <c r="K7523"/>
    </row>
    <row r="7524" spans="11:11" ht="15" x14ac:dyDescent="0.25">
      <c r="K7524"/>
    </row>
    <row r="7525" spans="11:11" ht="15" x14ac:dyDescent="0.25">
      <c r="K7525"/>
    </row>
    <row r="7526" spans="11:11" ht="15" x14ac:dyDescent="0.25">
      <c r="K7526"/>
    </row>
    <row r="7527" spans="11:11" ht="15" x14ac:dyDescent="0.25">
      <c r="K7527"/>
    </row>
    <row r="7528" spans="11:11" ht="15" x14ac:dyDescent="0.25">
      <c r="K7528"/>
    </row>
    <row r="7529" spans="11:11" ht="15" x14ac:dyDescent="0.25">
      <c r="K7529"/>
    </row>
    <row r="7530" spans="11:11" ht="15" x14ac:dyDescent="0.25">
      <c r="K7530"/>
    </row>
    <row r="7531" spans="11:11" ht="15" x14ac:dyDescent="0.25">
      <c r="K7531"/>
    </row>
    <row r="7532" spans="11:11" ht="15" x14ac:dyDescent="0.25">
      <c r="K7532"/>
    </row>
    <row r="7533" spans="11:11" ht="15" x14ac:dyDescent="0.25">
      <c r="K7533"/>
    </row>
    <row r="7534" spans="11:11" ht="15" x14ac:dyDescent="0.25">
      <c r="K7534"/>
    </row>
    <row r="7535" spans="11:11" ht="15" x14ac:dyDescent="0.25">
      <c r="K7535"/>
    </row>
    <row r="7536" spans="11:11" ht="15" x14ac:dyDescent="0.25">
      <c r="K7536"/>
    </row>
    <row r="7537" spans="11:11" ht="15" x14ac:dyDescent="0.25">
      <c r="K7537"/>
    </row>
    <row r="7538" spans="11:11" ht="15" x14ac:dyDescent="0.25">
      <c r="K7538"/>
    </row>
    <row r="7539" spans="11:11" ht="15" x14ac:dyDescent="0.25">
      <c r="K7539"/>
    </row>
    <row r="7540" spans="11:11" ht="15" x14ac:dyDescent="0.25">
      <c r="K7540"/>
    </row>
    <row r="7541" spans="11:11" ht="15" x14ac:dyDescent="0.25">
      <c r="K7541"/>
    </row>
    <row r="7542" spans="11:11" ht="15" x14ac:dyDescent="0.25">
      <c r="K7542"/>
    </row>
    <row r="7543" spans="11:11" ht="15" x14ac:dyDescent="0.25">
      <c r="K7543"/>
    </row>
    <row r="7544" spans="11:11" ht="15" x14ac:dyDescent="0.25">
      <c r="K7544"/>
    </row>
    <row r="7545" spans="11:11" ht="15" x14ac:dyDescent="0.25">
      <c r="K7545"/>
    </row>
    <row r="7546" spans="11:11" ht="15" x14ac:dyDescent="0.25">
      <c r="K7546"/>
    </row>
    <row r="7547" spans="11:11" ht="15" x14ac:dyDescent="0.25">
      <c r="K7547"/>
    </row>
    <row r="7548" spans="11:11" ht="15" x14ac:dyDescent="0.25">
      <c r="K7548"/>
    </row>
    <row r="7549" spans="11:11" ht="15" x14ac:dyDescent="0.25">
      <c r="K7549"/>
    </row>
    <row r="7550" spans="11:11" ht="15" x14ac:dyDescent="0.25">
      <c r="K7550"/>
    </row>
    <row r="7551" spans="11:11" ht="15" x14ac:dyDescent="0.25">
      <c r="K7551"/>
    </row>
    <row r="7552" spans="11:11" ht="15" x14ac:dyDescent="0.25">
      <c r="K7552"/>
    </row>
    <row r="7553" spans="11:11" ht="15" x14ac:dyDescent="0.25">
      <c r="K7553"/>
    </row>
    <row r="7554" spans="11:11" ht="15" x14ac:dyDescent="0.25">
      <c r="K7554"/>
    </row>
    <row r="7555" spans="11:11" ht="15" x14ac:dyDescent="0.25">
      <c r="K7555"/>
    </row>
    <row r="7556" spans="11:11" ht="15" x14ac:dyDescent="0.25">
      <c r="K7556"/>
    </row>
    <row r="7557" spans="11:11" ht="15" x14ac:dyDescent="0.25">
      <c r="K7557"/>
    </row>
    <row r="7558" spans="11:11" ht="15" x14ac:dyDescent="0.25">
      <c r="K7558"/>
    </row>
    <row r="7559" spans="11:11" ht="15" x14ac:dyDescent="0.25">
      <c r="K7559"/>
    </row>
    <row r="7560" spans="11:11" ht="15" x14ac:dyDescent="0.25">
      <c r="K7560"/>
    </row>
    <row r="7561" spans="11:11" ht="15" x14ac:dyDescent="0.25">
      <c r="K7561"/>
    </row>
    <row r="7562" spans="11:11" ht="15" x14ac:dyDescent="0.25">
      <c r="K7562"/>
    </row>
    <row r="7563" spans="11:11" ht="15" x14ac:dyDescent="0.25">
      <c r="K7563"/>
    </row>
    <row r="7564" spans="11:11" ht="15" x14ac:dyDescent="0.25">
      <c r="K7564"/>
    </row>
    <row r="7565" spans="11:11" ht="15" x14ac:dyDescent="0.25">
      <c r="K7565"/>
    </row>
    <row r="7566" spans="11:11" ht="15" x14ac:dyDescent="0.25">
      <c r="K7566"/>
    </row>
    <row r="7567" spans="11:11" ht="15" x14ac:dyDescent="0.25">
      <c r="K7567"/>
    </row>
    <row r="7568" spans="11:11" ht="15" x14ac:dyDescent="0.25">
      <c r="K7568"/>
    </row>
    <row r="7569" spans="11:11" ht="15" x14ac:dyDescent="0.25">
      <c r="K7569"/>
    </row>
    <row r="7570" spans="11:11" ht="15" x14ac:dyDescent="0.25">
      <c r="K7570"/>
    </row>
    <row r="7571" spans="11:11" ht="15" x14ac:dyDescent="0.25">
      <c r="K7571"/>
    </row>
    <row r="7572" spans="11:11" ht="15" x14ac:dyDescent="0.25">
      <c r="K7572"/>
    </row>
    <row r="7573" spans="11:11" ht="15" x14ac:dyDescent="0.25">
      <c r="K7573"/>
    </row>
    <row r="7574" spans="11:11" ht="15" x14ac:dyDescent="0.25">
      <c r="K7574"/>
    </row>
    <row r="7575" spans="11:11" ht="15" x14ac:dyDescent="0.25">
      <c r="K7575"/>
    </row>
    <row r="7576" spans="11:11" ht="15" x14ac:dyDescent="0.25">
      <c r="K7576"/>
    </row>
    <row r="7577" spans="11:11" ht="15" x14ac:dyDescent="0.25">
      <c r="K7577"/>
    </row>
    <row r="7578" spans="11:11" ht="15" x14ac:dyDescent="0.25">
      <c r="K7578"/>
    </row>
    <row r="7579" spans="11:11" ht="15" x14ac:dyDescent="0.25">
      <c r="K7579"/>
    </row>
    <row r="7580" spans="11:11" ht="15" x14ac:dyDescent="0.25">
      <c r="K7580"/>
    </row>
    <row r="7581" spans="11:11" ht="15" x14ac:dyDescent="0.25">
      <c r="K7581"/>
    </row>
    <row r="7582" spans="11:11" ht="15" x14ac:dyDescent="0.25">
      <c r="K7582"/>
    </row>
    <row r="7583" spans="11:11" ht="15" x14ac:dyDescent="0.25">
      <c r="K7583"/>
    </row>
    <row r="7584" spans="11:11" ht="15" x14ac:dyDescent="0.25">
      <c r="K7584"/>
    </row>
    <row r="7585" spans="11:11" ht="15" x14ac:dyDescent="0.25">
      <c r="K7585"/>
    </row>
    <row r="7586" spans="11:11" ht="15" x14ac:dyDescent="0.25">
      <c r="K7586"/>
    </row>
    <row r="7587" spans="11:11" ht="15" x14ac:dyDescent="0.25">
      <c r="K7587"/>
    </row>
    <row r="7588" spans="11:11" ht="15" x14ac:dyDescent="0.25">
      <c r="K7588"/>
    </row>
    <row r="7589" spans="11:11" ht="15" x14ac:dyDescent="0.25">
      <c r="K7589"/>
    </row>
    <row r="7590" spans="11:11" ht="15" x14ac:dyDescent="0.25">
      <c r="K7590"/>
    </row>
    <row r="7591" spans="11:11" ht="15" x14ac:dyDescent="0.25">
      <c r="K7591"/>
    </row>
    <row r="7592" spans="11:11" ht="15" x14ac:dyDescent="0.25">
      <c r="K7592"/>
    </row>
    <row r="7593" spans="11:11" ht="15" x14ac:dyDescent="0.25">
      <c r="K7593"/>
    </row>
    <row r="7594" spans="11:11" ht="15" x14ac:dyDescent="0.25">
      <c r="K7594"/>
    </row>
    <row r="7595" spans="11:11" ht="15" x14ac:dyDescent="0.25">
      <c r="K7595"/>
    </row>
    <row r="7596" spans="11:11" ht="15" x14ac:dyDescent="0.25">
      <c r="K7596"/>
    </row>
    <row r="7597" spans="11:11" ht="15" x14ac:dyDescent="0.25">
      <c r="K7597"/>
    </row>
    <row r="7598" spans="11:11" ht="15" x14ac:dyDescent="0.25">
      <c r="K7598"/>
    </row>
    <row r="7599" spans="11:11" ht="15" x14ac:dyDescent="0.25">
      <c r="K7599"/>
    </row>
    <row r="7600" spans="11:11" ht="15" x14ac:dyDescent="0.25">
      <c r="K7600"/>
    </row>
    <row r="7601" spans="11:11" ht="15" x14ac:dyDescent="0.25">
      <c r="K7601"/>
    </row>
    <row r="7602" spans="11:11" ht="15" x14ac:dyDescent="0.25">
      <c r="K7602"/>
    </row>
    <row r="7603" spans="11:11" ht="15" x14ac:dyDescent="0.25">
      <c r="K7603"/>
    </row>
    <row r="7604" spans="11:11" ht="15" x14ac:dyDescent="0.25">
      <c r="K7604"/>
    </row>
    <row r="7605" spans="11:11" ht="15" x14ac:dyDescent="0.25">
      <c r="K7605"/>
    </row>
    <row r="7606" spans="11:11" ht="15" x14ac:dyDescent="0.25">
      <c r="K7606"/>
    </row>
    <row r="7607" spans="11:11" ht="15" x14ac:dyDescent="0.25">
      <c r="K7607"/>
    </row>
    <row r="7608" spans="11:11" ht="15" x14ac:dyDescent="0.25">
      <c r="K7608"/>
    </row>
    <row r="7609" spans="11:11" ht="15" x14ac:dyDescent="0.25">
      <c r="K7609"/>
    </row>
    <row r="7610" spans="11:11" ht="15" x14ac:dyDescent="0.25">
      <c r="K7610"/>
    </row>
    <row r="7611" spans="11:11" ht="15" x14ac:dyDescent="0.25">
      <c r="K7611"/>
    </row>
    <row r="7612" spans="11:11" ht="15" x14ac:dyDescent="0.25">
      <c r="K7612"/>
    </row>
    <row r="7613" spans="11:11" ht="15" x14ac:dyDescent="0.25">
      <c r="K7613"/>
    </row>
    <row r="7614" spans="11:11" ht="15" x14ac:dyDescent="0.25">
      <c r="K7614"/>
    </row>
    <row r="7615" spans="11:11" ht="15" x14ac:dyDescent="0.25">
      <c r="K7615"/>
    </row>
    <row r="7616" spans="11:11" ht="15" x14ac:dyDescent="0.25">
      <c r="K7616"/>
    </row>
    <row r="7617" spans="11:11" ht="15" x14ac:dyDescent="0.25">
      <c r="K7617"/>
    </row>
    <row r="7618" spans="11:11" ht="15" x14ac:dyDescent="0.25">
      <c r="K7618"/>
    </row>
    <row r="7619" spans="11:11" ht="15" x14ac:dyDescent="0.25">
      <c r="K7619"/>
    </row>
    <row r="7620" spans="11:11" ht="15" x14ac:dyDescent="0.25">
      <c r="K7620"/>
    </row>
    <row r="7621" spans="11:11" ht="15" x14ac:dyDescent="0.25">
      <c r="K7621"/>
    </row>
    <row r="7622" spans="11:11" ht="15" x14ac:dyDescent="0.25">
      <c r="K7622"/>
    </row>
    <row r="7623" spans="11:11" ht="15" x14ac:dyDescent="0.25">
      <c r="K7623"/>
    </row>
    <row r="7624" spans="11:11" ht="15" x14ac:dyDescent="0.25">
      <c r="K7624"/>
    </row>
    <row r="7625" spans="11:11" ht="15" x14ac:dyDescent="0.25">
      <c r="K7625"/>
    </row>
    <row r="7626" spans="11:11" ht="15" x14ac:dyDescent="0.25">
      <c r="K7626"/>
    </row>
    <row r="7627" spans="11:11" ht="15" x14ac:dyDescent="0.25">
      <c r="K7627"/>
    </row>
    <row r="7628" spans="11:11" ht="15" x14ac:dyDescent="0.25">
      <c r="K7628"/>
    </row>
    <row r="7629" spans="11:11" ht="15" x14ac:dyDescent="0.25">
      <c r="K7629"/>
    </row>
    <row r="7630" spans="11:11" ht="15" x14ac:dyDescent="0.25">
      <c r="K7630"/>
    </row>
    <row r="7631" spans="11:11" ht="15" x14ac:dyDescent="0.25">
      <c r="K7631"/>
    </row>
    <row r="7632" spans="11:11" ht="15" x14ac:dyDescent="0.25">
      <c r="K7632"/>
    </row>
    <row r="7633" spans="11:11" ht="15" x14ac:dyDescent="0.25">
      <c r="K7633"/>
    </row>
    <row r="7634" spans="11:11" ht="15" x14ac:dyDescent="0.25">
      <c r="K7634"/>
    </row>
    <row r="7635" spans="11:11" ht="15" x14ac:dyDescent="0.25">
      <c r="K7635"/>
    </row>
    <row r="7636" spans="11:11" ht="15" x14ac:dyDescent="0.25">
      <c r="K7636"/>
    </row>
    <row r="7637" spans="11:11" ht="15" x14ac:dyDescent="0.25">
      <c r="K7637"/>
    </row>
    <row r="7638" spans="11:11" ht="15" x14ac:dyDescent="0.25">
      <c r="K7638"/>
    </row>
    <row r="7639" spans="11:11" ht="15" x14ac:dyDescent="0.25">
      <c r="K7639"/>
    </row>
    <row r="7640" spans="11:11" ht="15" x14ac:dyDescent="0.25">
      <c r="K7640"/>
    </row>
    <row r="7641" spans="11:11" ht="15" x14ac:dyDescent="0.25">
      <c r="K7641"/>
    </row>
    <row r="7642" spans="11:11" ht="15" x14ac:dyDescent="0.25">
      <c r="K7642"/>
    </row>
    <row r="7643" spans="11:11" ht="15" x14ac:dyDescent="0.25">
      <c r="K7643"/>
    </row>
    <row r="7644" spans="11:11" ht="15" x14ac:dyDescent="0.25">
      <c r="K7644"/>
    </row>
    <row r="7645" spans="11:11" ht="15" x14ac:dyDescent="0.25">
      <c r="K7645"/>
    </row>
    <row r="7646" spans="11:11" ht="15" x14ac:dyDescent="0.25">
      <c r="K7646"/>
    </row>
    <row r="7647" spans="11:11" ht="15" x14ac:dyDescent="0.25">
      <c r="K7647"/>
    </row>
    <row r="7648" spans="11:11" ht="15" x14ac:dyDescent="0.25">
      <c r="K7648"/>
    </row>
    <row r="7649" spans="11:11" ht="15" x14ac:dyDescent="0.25">
      <c r="K7649"/>
    </row>
    <row r="7650" spans="11:11" ht="15" x14ac:dyDescent="0.25">
      <c r="K7650"/>
    </row>
    <row r="7651" spans="11:11" ht="15" x14ac:dyDescent="0.25">
      <c r="K7651"/>
    </row>
    <row r="7652" spans="11:11" ht="15" x14ac:dyDescent="0.25">
      <c r="K7652"/>
    </row>
    <row r="7653" spans="11:11" ht="15" x14ac:dyDescent="0.25">
      <c r="K7653"/>
    </row>
    <row r="7654" spans="11:11" ht="15" x14ac:dyDescent="0.25">
      <c r="K7654"/>
    </row>
    <row r="7655" spans="11:11" ht="15" x14ac:dyDescent="0.25">
      <c r="K7655"/>
    </row>
    <row r="7656" spans="11:11" ht="15" x14ac:dyDescent="0.25">
      <c r="K7656"/>
    </row>
    <row r="7657" spans="11:11" ht="15" x14ac:dyDescent="0.25">
      <c r="K7657"/>
    </row>
    <row r="7658" spans="11:11" ht="15" x14ac:dyDescent="0.25">
      <c r="K7658"/>
    </row>
    <row r="7659" spans="11:11" ht="15" x14ac:dyDescent="0.25">
      <c r="K7659"/>
    </row>
    <row r="7660" spans="11:11" ht="15" x14ac:dyDescent="0.25">
      <c r="K7660"/>
    </row>
    <row r="7661" spans="11:11" ht="15" x14ac:dyDescent="0.25">
      <c r="K7661"/>
    </row>
    <row r="7662" spans="11:11" ht="15" x14ac:dyDescent="0.25">
      <c r="K7662"/>
    </row>
    <row r="7663" spans="11:11" ht="15" x14ac:dyDescent="0.25">
      <c r="K7663"/>
    </row>
    <row r="7664" spans="11:11" ht="15" x14ac:dyDescent="0.25">
      <c r="K7664"/>
    </row>
    <row r="7665" spans="11:11" ht="15" x14ac:dyDescent="0.25">
      <c r="K7665"/>
    </row>
    <row r="7666" spans="11:11" ht="15" x14ac:dyDescent="0.25">
      <c r="K7666"/>
    </row>
    <row r="7667" spans="11:11" ht="15" x14ac:dyDescent="0.25">
      <c r="K7667"/>
    </row>
    <row r="7668" spans="11:11" ht="15" x14ac:dyDescent="0.25">
      <c r="K7668"/>
    </row>
    <row r="7669" spans="11:11" ht="15" x14ac:dyDescent="0.25">
      <c r="K7669"/>
    </row>
    <row r="7670" spans="11:11" ht="15" x14ac:dyDescent="0.25">
      <c r="K7670"/>
    </row>
    <row r="7671" spans="11:11" ht="15" x14ac:dyDescent="0.25">
      <c r="K7671"/>
    </row>
    <row r="7672" spans="11:11" ht="15" x14ac:dyDescent="0.25">
      <c r="K7672"/>
    </row>
    <row r="7673" spans="11:11" ht="15" x14ac:dyDescent="0.25">
      <c r="K7673"/>
    </row>
    <row r="7674" spans="11:11" ht="15" x14ac:dyDescent="0.25">
      <c r="K7674"/>
    </row>
    <row r="7675" spans="11:11" ht="15" x14ac:dyDescent="0.25">
      <c r="K7675"/>
    </row>
    <row r="7676" spans="11:11" ht="15" x14ac:dyDescent="0.25">
      <c r="K7676"/>
    </row>
    <row r="7677" spans="11:11" ht="15" x14ac:dyDescent="0.25">
      <c r="K7677"/>
    </row>
    <row r="7678" spans="11:11" ht="15" x14ac:dyDescent="0.25">
      <c r="K7678"/>
    </row>
    <row r="7679" spans="11:11" ht="15" x14ac:dyDescent="0.25">
      <c r="K7679"/>
    </row>
    <row r="7680" spans="11:11" ht="15" x14ac:dyDescent="0.25">
      <c r="K7680"/>
    </row>
    <row r="7681" spans="11:11" ht="15" x14ac:dyDescent="0.25">
      <c r="K7681"/>
    </row>
    <row r="7682" spans="11:11" ht="15" x14ac:dyDescent="0.25">
      <c r="K7682"/>
    </row>
    <row r="7683" spans="11:11" ht="15" x14ac:dyDescent="0.25">
      <c r="K7683"/>
    </row>
    <row r="7684" spans="11:11" ht="15" x14ac:dyDescent="0.25">
      <c r="K7684"/>
    </row>
    <row r="7685" spans="11:11" ht="15" x14ac:dyDescent="0.25">
      <c r="K7685"/>
    </row>
    <row r="7686" spans="11:11" ht="15" x14ac:dyDescent="0.25">
      <c r="K7686"/>
    </row>
    <row r="7687" spans="11:11" ht="15" x14ac:dyDescent="0.25">
      <c r="K7687"/>
    </row>
    <row r="7688" spans="11:11" ht="15" x14ac:dyDescent="0.25">
      <c r="K7688"/>
    </row>
    <row r="7689" spans="11:11" ht="15" x14ac:dyDescent="0.25">
      <c r="K7689"/>
    </row>
    <row r="7690" spans="11:11" ht="15" x14ac:dyDescent="0.25">
      <c r="K7690"/>
    </row>
    <row r="7691" spans="11:11" ht="15" x14ac:dyDescent="0.25">
      <c r="K7691"/>
    </row>
    <row r="7692" spans="11:11" ht="15" x14ac:dyDescent="0.25">
      <c r="K7692"/>
    </row>
    <row r="7693" spans="11:11" ht="15" x14ac:dyDescent="0.25">
      <c r="K7693"/>
    </row>
    <row r="7694" spans="11:11" ht="15" x14ac:dyDescent="0.25">
      <c r="K7694"/>
    </row>
    <row r="7695" spans="11:11" ht="15" x14ac:dyDescent="0.25">
      <c r="K7695"/>
    </row>
    <row r="7696" spans="11:11" ht="15" x14ac:dyDescent="0.25">
      <c r="K7696"/>
    </row>
    <row r="7697" spans="11:11" ht="15" x14ac:dyDescent="0.25">
      <c r="K7697"/>
    </row>
    <row r="7698" spans="11:11" ht="15" x14ac:dyDescent="0.25">
      <c r="K7698"/>
    </row>
    <row r="7699" spans="11:11" ht="15" x14ac:dyDescent="0.25">
      <c r="K7699"/>
    </row>
    <row r="7700" spans="11:11" ht="15" x14ac:dyDescent="0.25">
      <c r="K7700"/>
    </row>
    <row r="7701" spans="11:11" ht="15" x14ac:dyDescent="0.25">
      <c r="K7701"/>
    </row>
    <row r="7702" spans="11:11" ht="15" x14ac:dyDescent="0.25">
      <c r="K7702"/>
    </row>
    <row r="7703" spans="11:11" ht="15" x14ac:dyDescent="0.25">
      <c r="K7703"/>
    </row>
    <row r="7704" spans="11:11" ht="15" x14ac:dyDescent="0.25">
      <c r="K7704"/>
    </row>
    <row r="7705" spans="11:11" ht="15" x14ac:dyDescent="0.25">
      <c r="K7705"/>
    </row>
    <row r="7706" spans="11:11" ht="15" x14ac:dyDescent="0.25">
      <c r="K7706"/>
    </row>
    <row r="7707" spans="11:11" ht="15" x14ac:dyDescent="0.25">
      <c r="K7707"/>
    </row>
    <row r="7708" spans="11:11" ht="15" x14ac:dyDescent="0.25">
      <c r="K7708"/>
    </row>
    <row r="7709" spans="11:11" ht="15" x14ac:dyDescent="0.25">
      <c r="K7709"/>
    </row>
    <row r="7710" spans="11:11" ht="15" x14ac:dyDescent="0.25">
      <c r="K7710"/>
    </row>
    <row r="7711" spans="11:11" ht="15" x14ac:dyDescent="0.25">
      <c r="K7711"/>
    </row>
    <row r="7712" spans="11:11" ht="15" x14ac:dyDescent="0.25">
      <c r="K7712"/>
    </row>
    <row r="7713" spans="11:11" ht="15" x14ac:dyDescent="0.25">
      <c r="K7713"/>
    </row>
    <row r="7714" spans="11:11" ht="15" x14ac:dyDescent="0.25">
      <c r="K7714"/>
    </row>
    <row r="7715" spans="11:11" ht="15" x14ac:dyDescent="0.25">
      <c r="K7715"/>
    </row>
    <row r="7716" spans="11:11" ht="15" x14ac:dyDescent="0.25">
      <c r="K7716"/>
    </row>
    <row r="7717" spans="11:11" ht="15" x14ac:dyDescent="0.25">
      <c r="K7717"/>
    </row>
    <row r="7718" spans="11:11" ht="15" x14ac:dyDescent="0.25">
      <c r="K7718"/>
    </row>
    <row r="7719" spans="11:11" ht="15" x14ac:dyDescent="0.25">
      <c r="K7719"/>
    </row>
    <row r="7720" spans="11:11" ht="15" x14ac:dyDescent="0.25">
      <c r="K7720"/>
    </row>
    <row r="7721" spans="11:11" ht="15" x14ac:dyDescent="0.25">
      <c r="K7721"/>
    </row>
    <row r="7722" spans="11:11" ht="15" x14ac:dyDescent="0.25">
      <c r="K7722"/>
    </row>
    <row r="7723" spans="11:11" ht="15" x14ac:dyDescent="0.25">
      <c r="K7723"/>
    </row>
    <row r="7724" spans="11:11" ht="15" x14ac:dyDescent="0.25">
      <c r="K7724"/>
    </row>
    <row r="7725" spans="11:11" ht="15" x14ac:dyDescent="0.25">
      <c r="K7725"/>
    </row>
    <row r="7726" spans="11:11" ht="15" x14ac:dyDescent="0.25">
      <c r="K7726"/>
    </row>
    <row r="7727" spans="11:11" ht="15" x14ac:dyDescent="0.25">
      <c r="K7727"/>
    </row>
    <row r="7728" spans="11:11" ht="15" x14ac:dyDescent="0.25">
      <c r="K7728"/>
    </row>
    <row r="7729" spans="11:11" ht="15" x14ac:dyDescent="0.25">
      <c r="K7729"/>
    </row>
    <row r="7730" spans="11:11" ht="15" x14ac:dyDescent="0.25">
      <c r="K7730"/>
    </row>
    <row r="7731" spans="11:11" ht="15" x14ac:dyDescent="0.25">
      <c r="K7731"/>
    </row>
    <row r="7732" spans="11:11" ht="15" x14ac:dyDescent="0.25">
      <c r="K7732"/>
    </row>
    <row r="7733" spans="11:11" ht="15" x14ac:dyDescent="0.25">
      <c r="K7733"/>
    </row>
    <row r="7734" spans="11:11" ht="15" x14ac:dyDescent="0.25">
      <c r="K7734"/>
    </row>
    <row r="7735" spans="11:11" ht="15" x14ac:dyDescent="0.25">
      <c r="K7735"/>
    </row>
    <row r="7736" spans="11:11" ht="15" x14ac:dyDescent="0.25">
      <c r="K7736"/>
    </row>
    <row r="7737" spans="11:11" ht="15" x14ac:dyDescent="0.25">
      <c r="K7737"/>
    </row>
    <row r="7738" spans="11:11" ht="15" x14ac:dyDescent="0.25">
      <c r="K7738"/>
    </row>
    <row r="7739" spans="11:11" ht="15" x14ac:dyDescent="0.25">
      <c r="K7739"/>
    </row>
    <row r="7740" spans="11:11" ht="15" x14ac:dyDescent="0.25">
      <c r="K7740"/>
    </row>
    <row r="7741" spans="11:11" ht="15" x14ac:dyDescent="0.25">
      <c r="K7741"/>
    </row>
    <row r="7742" spans="11:11" ht="15" x14ac:dyDescent="0.25">
      <c r="K7742"/>
    </row>
    <row r="7743" spans="11:11" ht="15" x14ac:dyDescent="0.25">
      <c r="K7743"/>
    </row>
    <row r="7744" spans="11:11" ht="15" x14ac:dyDescent="0.25">
      <c r="K7744"/>
    </row>
    <row r="7745" spans="11:11" ht="15" x14ac:dyDescent="0.25">
      <c r="K7745"/>
    </row>
    <row r="7746" spans="11:11" ht="15" x14ac:dyDescent="0.25">
      <c r="K7746"/>
    </row>
    <row r="7747" spans="11:11" ht="15" x14ac:dyDescent="0.25">
      <c r="K7747"/>
    </row>
    <row r="7748" spans="11:11" ht="15" x14ac:dyDescent="0.25">
      <c r="K7748"/>
    </row>
    <row r="7749" spans="11:11" ht="15" x14ac:dyDescent="0.25">
      <c r="K7749"/>
    </row>
    <row r="7750" spans="11:11" ht="15" x14ac:dyDescent="0.25">
      <c r="K7750"/>
    </row>
    <row r="7751" spans="11:11" ht="15" x14ac:dyDescent="0.25">
      <c r="K7751"/>
    </row>
    <row r="7752" spans="11:11" ht="15" x14ac:dyDescent="0.25">
      <c r="K7752"/>
    </row>
    <row r="7753" spans="11:11" ht="15" x14ac:dyDescent="0.25">
      <c r="K7753"/>
    </row>
    <row r="7754" spans="11:11" ht="15" x14ac:dyDescent="0.25">
      <c r="K7754"/>
    </row>
    <row r="7755" spans="11:11" ht="15" x14ac:dyDescent="0.25">
      <c r="K7755"/>
    </row>
    <row r="7756" spans="11:11" ht="15" x14ac:dyDescent="0.25">
      <c r="K7756"/>
    </row>
    <row r="7757" spans="11:11" ht="15" x14ac:dyDescent="0.25">
      <c r="K7757"/>
    </row>
    <row r="7758" spans="11:11" ht="15" x14ac:dyDescent="0.25">
      <c r="K7758"/>
    </row>
    <row r="7759" spans="11:11" ht="15" x14ac:dyDescent="0.25">
      <c r="K7759"/>
    </row>
    <row r="7760" spans="11:11" ht="15" x14ac:dyDescent="0.25">
      <c r="K7760"/>
    </row>
    <row r="7761" spans="11:11" ht="15" x14ac:dyDescent="0.25">
      <c r="K7761"/>
    </row>
    <row r="7762" spans="11:11" ht="15" x14ac:dyDescent="0.25">
      <c r="K7762"/>
    </row>
    <row r="7763" spans="11:11" ht="15" x14ac:dyDescent="0.25">
      <c r="K7763"/>
    </row>
    <row r="7764" spans="11:11" ht="15" x14ac:dyDescent="0.25">
      <c r="K7764"/>
    </row>
    <row r="7765" spans="11:11" ht="15" x14ac:dyDescent="0.25">
      <c r="K7765"/>
    </row>
    <row r="7766" spans="11:11" ht="15" x14ac:dyDescent="0.25">
      <c r="K7766"/>
    </row>
    <row r="7767" spans="11:11" ht="15" x14ac:dyDescent="0.25">
      <c r="K7767"/>
    </row>
    <row r="7768" spans="11:11" ht="15" x14ac:dyDescent="0.25">
      <c r="K7768"/>
    </row>
    <row r="7769" spans="11:11" ht="15" x14ac:dyDescent="0.25">
      <c r="K7769"/>
    </row>
    <row r="7770" spans="11:11" ht="15" x14ac:dyDescent="0.25">
      <c r="K7770"/>
    </row>
    <row r="7771" spans="11:11" ht="15" x14ac:dyDescent="0.25">
      <c r="K7771"/>
    </row>
    <row r="7772" spans="11:11" ht="15" x14ac:dyDescent="0.25">
      <c r="K7772"/>
    </row>
    <row r="7773" spans="11:11" ht="15" x14ac:dyDescent="0.25">
      <c r="K7773"/>
    </row>
    <row r="7774" spans="11:11" ht="15" x14ac:dyDescent="0.25">
      <c r="K7774"/>
    </row>
    <row r="7775" spans="11:11" ht="15" x14ac:dyDescent="0.25">
      <c r="K7775"/>
    </row>
    <row r="7776" spans="11:11" ht="15" x14ac:dyDescent="0.25">
      <c r="K7776"/>
    </row>
    <row r="7777" spans="11:11" ht="15" x14ac:dyDescent="0.25">
      <c r="K7777"/>
    </row>
    <row r="7778" spans="11:11" ht="15" x14ac:dyDescent="0.25">
      <c r="K7778"/>
    </row>
    <row r="7779" spans="11:11" ht="15" x14ac:dyDescent="0.25">
      <c r="K7779"/>
    </row>
    <row r="7780" spans="11:11" ht="15" x14ac:dyDescent="0.25">
      <c r="K7780"/>
    </row>
    <row r="7781" spans="11:11" ht="15" x14ac:dyDescent="0.25">
      <c r="K7781"/>
    </row>
    <row r="7782" spans="11:11" ht="15" x14ac:dyDescent="0.25">
      <c r="K7782"/>
    </row>
    <row r="7783" spans="11:11" ht="15" x14ac:dyDescent="0.25">
      <c r="K7783"/>
    </row>
    <row r="7784" spans="11:11" ht="15" x14ac:dyDescent="0.25">
      <c r="K7784"/>
    </row>
    <row r="7785" spans="11:11" ht="15" x14ac:dyDescent="0.25">
      <c r="K7785"/>
    </row>
    <row r="7786" spans="11:11" ht="15" x14ac:dyDescent="0.25">
      <c r="K7786"/>
    </row>
    <row r="7787" spans="11:11" ht="15" x14ac:dyDescent="0.25">
      <c r="K7787"/>
    </row>
    <row r="7788" spans="11:11" ht="15" x14ac:dyDescent="0.25">
      <c r="K7788"/>
    </row>
    <row r="7789" spans="11:11" ht="15" x14ac:dyDescent="0.25">
      <c r="K7789"/>
    </row>
    <row r="7790" spans="11:11" ht="15" x14ac:dyDescent="0.25">
      <c r="K7790"/>
    </row>
    <row r="7791" spans="11:11" ht="15" x14ac:dyDescent="0.25">
      <c r="K7791"/>
    </row>
    <row r="7792" spans="11:11" ht="15" x14ac:dyDescent="0.25">
      <c r="K7792"/>
    </row>
    <row r="7793" spans="11:11" ht="15" x14ac:dyDescent="0.25">
      <c r="K7793"/>
    </row>
    <row r="7794" spans="11:11" ht="15" x14ac:dyDescent="0.25">
      <c r="K7794"/>
    </row>
    <row r="7795" spans="11:11" ht="15" x14ac:dyDescent="0.25">
      <c r="K7795"/>
    </row>
    <row r="7796" spans="11:11" ht="15" x14ac:dyDescent="0.25">
      <c r="K7796"/>
    </row>
    <row r="7797" spans="11:11" ht="15" x14ac:dyDescent="0.25">
      <c r="K7797"/>
    </row>
    <row r="7798" spans="11:11" ht="15" x14ac:dyDescent="0.25">
      <c r="K7798"/>
    </row>
    <row r="7799" spans="11:11" ht="15" x14ac:dyDescent="0.25">
      <c r="K7799"/>
    </row>
    <row r="7800" spans="11:11" ht="15" x14ac:dyDescent="0.25">
      <c r="K7800"/>
    </row>
    <row r="7801" spans="11:11" ht="15" x14ac:dyDescent="0.25">
      <c r="K7801"/>
    </row>
    <row r="7802" spans="11:11" ht="15" x14ac:dyDescent="0.25">
      <c r="K7802"/>
    </row>
    <row r="7803" spans="11:11" ht="15" x14ac:dyDescent="0.25">
      <c r="K7803"/>
    </row>
    <row r="7804" spans="11:11" ht="15" x14ac:dyDescent="0.25">
      <c r="K7804"/>
    </row>
    <row r="7805" spans="11:11" ht="15" x14ac:dyDescent="0.25">
      <c r="K7805"/>
    </row>
    <row r="7806" spans="11:11" ht="15" x14ac:dyDescent="0.25">
      <c r="K7806"/>
    </row>
    <row r="7807" spans="11:11" ht="15" x14ac:dyDescent="0.25">
      <c r="K7807"/>
    </row>
    <row r="7808" spans="11:11" ht="15" x14ac:dyDescent="0.25">
      <c r="K7808"/>
    </row>
    <row r="7809" spans="11:11" ht="15" x14ac:dyDescent="0.25">
      <c r="K7809"/>
    </row>
    <row r="7810" spans="11:11" ht="15" x14ac:dyDescent="0.25">
      <c r="K7810"/>
    </row>
    <row r="7811" spans="11:11" ht="15" x14ac:dyDescent="0.25">
      <c r="K7811"/>
    </row>
    <row r="7812" spans="11:11" ht="15" x14ac:dyDescent="0.25">
      <c r="K7812"/>
    </row>
    <row r="7813" spans="11:11" ht="15" x14ac:dyDescent="0.25">
      <c r="K7813"/>
    </row>
    <row r="7814" spans="11:11" ht="15" x14ac:dyDescent="0.25">
      <c r="K7814"/>
    </row>
    <row r="7815" spans="11:11" ht="15" x14ac:dyDescent="0.25">
      <c r="K7815"/>
    </row>
    <row r="7816" spans="11:11" ht="15" x14ac:dyDescent="0.25">
      <c r="K7816"/>
    </row>
    <row r="7817" spans="11:11" ht="15" x14ac:dyDescent="0.25">
      <c r="K7817"/>
    </row>
    <row r="7818" spans="11:11" ht="15" x14ac:dyDescent="0.25">
      <c r="K7818"/>
    </row>
    <row r="7819" spans="11:11" ht="15" x14ac:dyDescent="0.25">
      <c r="K7819"/>
    </row>
    <row r="7820" spans="11:11" ht="15" x14ac:dyDescent="0.25">
      <c r="K7820"/>
    </row>
    <row r="7821" spans="11:11" ht="15" x14ac:dyDescent="0.25">
      <c r="K7821"/>
    </row>
    <row r="7822" spans="11:11" ht="15" x14ac:dyDescent="0.25">
      <c r="K7822"/>
    </row>
    <row r="7823" spans="11:11" ht="15" x14ac:dyDescent="0.25">
      <c r="K7823"/>
    </row>
    <row r="7824" spans="11:11" ht="15" x14ac:dyDescent="0.25">
      <c r="K7824"/>
    </row>
    <row r="7825" spans="11:11" ht="15" x14ac:dyDescent="0.25">
      <c r="K7825"/>
    </row>
    <row r="7826" spans="11:11" ht="15" x14ac:dyDescent="0.25">
      <c r="K7826"/>
    </row>
    <row r="7827" spans="11:11" ht="15" x14ac:dyDescent="0.25">
      <c r="K7827"/>
    </row>
    <row r="7828" spans="11:11" ht="15" x14ac:dyDescent="0.25">
      <c r="K7828"/>
    </row>
    <row r="7829" spans="11:11" ht="15" x14ac:dyDescent="0.25">
      <c r="K7829"/>
    </row>
    <row r="7830" spans="11:11" ht="15" x14ac:dyDescent="0.25">
      <c r="K7830"/>
    </row>
    <row r="7831" spans="11:11" ht="15" x14ac:dyDescent="0.25">
      <c r="K7831"/>
    </row>
    <row r="7832" spans="11:11" ht="15" x14ac:dyDescent="0.25">
      <c r="K7832"/>
    </row>
    <row r="7833" spans="11:11" ht="15" x14ac:dyDescent="0.25">
      <c r="K7833"/>
    </row>
    <row r="7834" spans="11:11" ht="15" x14ac:dyDescent="0.25">
      <c r="K7834"/>
    </row>
    <row r="7835" spans="11:11" ht="15" x14ac:dyDescent="0.25">
      <c r="K7835"/>
    </row>
    <row r="7836" spans="11:11" ht="15" x14ac:dyDescent="0.25">
      <c r="K7836"/>
    </row>
    <row r="7837" spans="11:11" ht="15" x14ac:dyDescent="0.25">
      <c r="K7837"/>
    </row>
    <row r="7838" spans="11:11" ht="15" x14ac:dyDescent="0.25">
      <c r="K7838"/>
    </row>
    <row r="7839" spans="11:11" ht="15" x14ac:dyDescent="0.25">
      <c r="K7839"/>
    </row>
    <row r="7840" spans="11:11" ht="15" x14ac:dyDescent="0.25">
      <c r="K7840"/>
    </row>
    <row r="7841" spans="11:11" ht="15" x14ac:dyDescent="0.25">
      <c r="K7841"/>
    </row>
    <row r="7842" spans="11:11" ht="15" x14ac:dyDescent="0.25">
      <c r="K7842"/>
    </row>
    <row r="7843" spans="11:11" ht="15" x14ac:dyDescent="0.25">
      <c r="K7843"/>
    </row>
    <row r="7844" spans="11:11" ht="15" x14ac:dyDescent="0.25">
      <c r="K7844"/>
    </row>
    <row r="7845" spans="11:11" ht="15" x14ac:dyDescent="0.25">
      <c r="K7845"/>
    </row>
    <row r="7846" spans="11:11" ht="15" x14ac:dyDescent="0.25">
      <c r="K7846"/>
    </row>
    <row r="7847" spans="11:11" ht="15" x14ac:dyDescent="0.25">
      <c r="K7847"/>
    </row>
    <row r="7848" spans="11:11" ht="15" x14ac:dyDescent="0.25">
      <c r="K7848"/>
    </row>
    <row r="7849" spans="11:11" ht="15" x14ac:dyDescent="0.25">
      <c r="K7849"/>
    </row>
    <row r="7850" spans="11:11" ht="15" x14ac:dyDescent="0.25">
      <c r="K7850"/>
    </row>
    <row r="7851" spans="11:11" ht="15" x14ac:dyDescent="0.25">
      <c r="K7851"/>
    </row>
    <row r="7852" spans="11:11" ht="15" x14ac:dyDescent="0.25">
      <c r="K7852"/>
    </row>
    <row r="7853" spans="11:11" ht="15" x14ac:dyDescent="0.25">
      <c r="K7853"/>
    </row>
    <row r="7854" spans="11:11" ht="15" x14ac:dyDescent="0.25">
      <c r="K7854"/>
    </row>
    <row r="7855" spans="11:11" ht="15" x14ac:dyDescent="0.25">
      <c r="K7855"/>
    </row>
    <row r="7856" spans="11:11" ht="15" x14ac:dyDescent="0.25">
      <c r="K7856"/>
    </row>
    <row r="7857" spans="11:11" ht="15" x14ac:dyDescent="0.25">
      <c r="K7857"/>
    </row>
    <row r="7858" spans="11:11" ht="15" x14ac:dyDescent="0.25">
      <c r="K7858"/>
    </row>
    <row r="7859" spans="11:11" ht="15" x14ac:dyDescent="0.25">
      <c r="K7859"/>
    </row>
    <row r="7860" spans="11:11" ht="15" x14ac:dyDescent="0.25">
      <c r="K7860"/>
    </row>
    <row r="7861" spans="11:11" ht="15" x14ac:dyDescent="0.25">
      <c r="K7861"/>
    </row>
    <row r="7862" spans="11:11" ht="15" x14ac:dyDescent="0.25">
      <c r="K7862"/>
    </row>
    <row r="7863" spans="11:11" ht="15" x14ac:dyDescent="0.25">
      <c r="K7863"/>
    </row>
    <row r="7864" spans="11:11" ht="15" x14ac:dyDescent="0.25">
      <c r="K7864"/>
    </row>
    <row r="7865" spans="11:11" ht="15" x14ac:dyDescent="0.25">
      <c r="K7865"/>
    </row>
    <row r="7866" spans="11:11" ht="15" x14ac:dyDescent="0.25">
      <c r="K7866"/>
    </row>
    <row r="7867" spans="11:11" ht="15" x14ac:dyDescent="0.25">
      <c r="K7867"/>
    </row>
    <row r="7868" spans="11:11" ht="15" x14ac:dyDescent="0.25">
      <c r="K7868"/>
    </row>
    <row r="7869" spans="11:11" ht="15" x14ac:dyDescent="0.25">
      <c r="K7869"/>
    </row>
    <row r="7870" spans="11:11" ht="15" x14ac:dyDescent="0.25">
      <c r="K7870"/>
    </row>
    <row r="7871" spans="11:11" ht="15" x14ac:dyDescent="0.25">
      <c r="K7871"/>
    </row>
    <row r="7872" spans="11:11" ht="15" x14ac:dyDescent="0.25">
      <c r="K7872"/>
    </row>
    <row r="7873" spans="11:11" ht="15" x14ac:dyDescent="0.25">
      <c r="K7873"/>
    </row>
    <row r="7874" spans="11:11" ht="15" x14ac:dyDescent="0.25">
      <c r="K7874"/>
    </row>
    <row r="7875" spans="11:11" ht="15" x14ac:dyDescent="0.25">
      <c r="K7875"/>
    </row>
    <row r="7876" spans="11:11" ht="15" x14ac:dyDescent="0.25">
      <c r="K7876"/>
    </row>
    <row r="7877" spans="11:11" ht="15" x14ac:dyDescent="0.25">
      <c r="K7877"/>
    </row>
    <row r="7878" spans="11:11" ht="15" x14ac:dyDescent="0.25">
      <c r="K7878"/>
    </row>
    <row r="7879" spans="11:11" ht="15" x14ac:dyDescent="0.25">
      <c r="K7879"/>
    </row>
    <row r="7880" spans="11:11" ht="15" x14ac:dyDescent="0.25">
      <c r="K7880"/>
    </row>
    <row r="7881" spans="11:11" ht="15" x14ac:dyDescent="0.25">
      <c r="K7881"/>
    </row>
    <row r="7882" spans="11:11" ht="15" x14ac:dyDescent="0.25">
      <c r="K7882"/>
    </row>
    <row r="7883" spans="11:11" ht="15" x14ac:dyDescent="0.25">
      <c r="K7883"/>
    </row>
    <row r="7884" spans="11:11" ht="15" x14ac:dyDescent="0.25">
      <c r="K7884"/>
    </row>
    <row r="7885" spans="11:11" ht="15" x14ac:dyDescent="0.25">
      <c r="K7885"/>
    </row>
    <row r="7886" spans="11:11" ht="15" x14ac:dyDescent="0.25">
      <c r="K7886"/>
    </row>
    <row r="7887" spans="11:11" ht="15" x14ac:dyDescent="0.25">
      <c r="K7887"/>
    </row>
    <row r="7888" spans="11:11" ht="15" x14ac:dyDescent="0.25">
      <c r="K7888"/>
    </row>
    <row r="7889" spans="11:11" ht="15" x14ac:dyDescent="0.25">
      <c r="K7889"/>
    </row>
    <row r="7890" spans="11:11" ht="15" x14ac:dyDescent="0.25">
      <c r="K7890"/>
    </row>
    <row r="7891" spans="11:11" ht="15" x14ac:dyDescent="0.25">
      <c r="K7891"/>
    </row>
    <row r="7892" spans="11:11" ht="15" x14ac:dyDescent="0.25">
      <c r="K7892"/>
    </row>
    <row r="7893" spans="11:11" ht="15" x14ac:dyDescent="0.25">
      <c r="K7893"/>
    </row>
    <row r="7894" spans="11:11" ht="15" x14ac:dyDescent="0.25">
      <c r="K7894"/>
    </row>
    <row r="7895" spans="11:11" ht="15" x14ac:dyDescent="0.25">
      <c r="K7895"/>
    </row>
    <row r="7896" spans="11:11" ht="15" x14ac:dyDescent="0.25">
      <c r="K7896"/>
    </row>
    <row r="7897" spans="11:11" ht="15" x14ac:dyDescent="0.25">
      <c r="K7897"/>
    </row>
    <row r="7898" spans="11:11" ht="15" x14ac:dyDescent="0.25">
      <c r="K7898"/>
    </row>
    <row r="7899" spans="11:11" ht="15" x14ac:dyDescent="0.25">
      <c r="K7899"/>
    </row>
    <row r="7900" spans="11:11" ht="15" x14ac:dyDescent="0.25">
      <c r="K7900"/>
    </row>
    <row r="7901" spans="11:11" ht="15" x14ac:dyDescent="0.25">
      <c r="K7901"/>
    </row>
    <row r="7902" spans="11:11" ht="15" x14ac:dyDescent="0.25">
      <c r="K7902"/>
    </row>
    <row r="7903" spans="11:11" ht="15" x14ac:dyDescent="0.25">
      <c r="K7903"/>
    </row>
    <row r="7904" spans="11:11" ht="15" x14ac:dyDescent="0.25">
      <c r="K7904"/>
    </row>
    <row r="7905" spans="11:11" ht="15" x14ac:dyDescent="0.25">
      <c r="K7905"/>
    </row>
    <row r="7906" spans="11:11" ht="15" x14ac:dyDescent="0.25">
      <c r="K7906"/>
    </row>
    <row r="7907" spans="11:11" ht="15" x14ac:dyDescent="0.25">
      <c r="K7907"/>
    </row>
    <row r="7908" spans="11:11" ht="15" x14ac:dyDescent="0.25">
      <c r="K7908"/>
    </row>
    <row r="7909" spans="11:11" ht="15" x14ac:dyDescent="0.25">
      <c r="K7909"/>
    </row>
    <row r="7910" spans="11:11" ht="15" x14ac:dyDescent="0.25">
      <c r="K7910"/>
    </row>
    <row r="7911" spans="11:11" ht="15" x14ac:dyDescent="0.25">
      <c r="K7911"/>
    </row>
    <row r="7912" spans="11:11" ht="15" x14ac:dyDescent="0.25">
      <c r="K7912"/>
    </row>
    <row r="7913" spans="11:11" ht="15" x14ac:dyDescent="0.25">
      <c r="K7913"/>
    </row>
    <row r="7914" spans="11:11" ht="15" x14ac:dyDescent="0.25">
      <c r="K7914"/>
    </row>
    <row r="7915" spans="11:11" ht="15" x14ac:dyDescent="0.25">
      <c r="K7915"/>
    </row>
    <row r="7916" spans="11:11" ht="15" x14ac:dyDescent="0.25">
      <c r="K7916"/>
    </row>
    <row r="7917" spans="11:11" ht="15" x14ac:dyDescent="0.25">
      <c r="K7917"/>
    </row>
    <row r="7918" spans="11:11" ht="15" x14ac:dyDescent="0.25">
      <c r="K7918"/>
    </row>
    <row r="7919" spans="11:11" ht="15" x14ac:dyDescent="0.25">
      <c r="K7919"/>
    </row>
    <row r="7920" spans="11:11" ht="15" x14ac:dyDescent="0.25">
      <c r="K7920"/>
    </row>
    <row r="7921" spans="11:11" ht="15" x14ac:dyDescent="0.25">
      <c r="K7921"/>
    </row>
    <row r="7922" spans="11:11" ht="15" x14ac:dyDescent="0.25">
      <c r="K7922"/>
    </row>
    <row r="7923" spans="11:11" ht="15" x14ac:dyDescent="0.25">
      <c r="K7923"/>
    </row>
    <row r="7924" spans="11:11" ht="15" x14ac:dyDescent="0.25">
      <c r="K7924"/>
    </row>
    <row r="7925" spans="11:11" ht="15" x14ac:dyDescent="0.25">
      <c r="K7925"/>
    </row>
    <row r="7926" spans="11:11" ht="15" x14ac:dyDescent="0.25">
      <c r="K7926"/>
    </row>
    <row r="7927" spans="11:11" ht="15" x14ac:dyDescent="0.25">
      <c r="K7927"/>
    </row>
    <row r="7928" spans="11:11" ht="15" x14ac:dyDescent="0.25">
      <c r="K7928"/>
    </row>
    <row r="7929" spans="11:11" ht="15" x14ac:dyDescent="0.25">
      <c r="K7929"/>
    </row>
    <row r="7930" spans="11:11" ht="15" x14ac:dyDescent="0.25">
      <c r="K7930"/>
    </row>
    <row r="7931" spans="11:11" ht="15" x14ac:dyDescent="0.25">
      <c r="K7931"/>
    </row>
    <row r="7932" spans="11:11" ht="15" x14ac:dyDescent="0.25">
      <c r="K7932"/>
    </row>
    <row r="7933" spans="11:11" ht="15" x14ac:dyDescent="0.25">
      <c r="K7933"/>
    </row>
    <row r="7934" spans="11:11" ht="15" x14ac:dyDescent="0.25">
      <c r="K7934"/>
    </row>
    <row r="7935" spans="11:11" ht="15" x14ac:dyDescent="0.25">
      <c r="K7935"/>
    </row>
    <row r="7936" spans="11:11" ht="15" x14ac:dyDescent="0.25">
      <c r="K7936"/>
    </row>
    <row r="7937" spans="11:11" ht="15" x14ac:dyDescent="0.25">
      <c r="K7937"/>
    </row>
    <row r="7938" spans="11:11" ht="15" x14ac:dyDescent="0.25">
      <c r="K7938"/>
    </row>
    <row r="7939" spans="11:11" ht="15" x14ac:dyDescent="0.25">
      <c r="K7939"/>
    </row>
    <row r="7940" spans="11:11" ht="15" x14ac:dyDescent="0.25">
      <c r="K7940"/>
    </row>
    <row r="7941" spans="11:11" ht="15" x14ac:dyDescent="0.25">
      <c r="K7941"/>
    </row>
    <row r="7942" spans="11:11" ht="15" x14ac:dyDescent="0.25">
      <c r="K7942"/>
    </row>
    <row r="7943" spans="11:11" ht="15" x14ac:dyDescent="0.25">
      <c r="K7943"/>
    </row>
    <row r="7944" spans="11:11" ht="15" x14ac:dyDescent="0.25">
      <c r="K7944"/>
    </row>
    <row r="7945" spans="11:11" ht="15" x14ac:dyDescent="0.25">
      <c r="K7945"/>
    </row>
    <row r="7946" spans="11:11" ht="15" x14ac:dyDescent="0.25">
      <c r="K7946"/>
    </row>
    <row r="7947" spans="11:11" ht="15" x14ac:dyDescent="0.25">
      <c r="K7947"/>
    </row>
    <row r="7948" spans="11:11" ht="15" x14ac:dyDescent="0.25">
      <c r="K7948"/>
    </row>
    <row r="7949" spans="11:11" ht="15" x14ac:dyDescent="0.25">
      <c r="K7949"/>
    </row>
    <row r="7950" spans="11:11" ht="15" x14ac:dyDescent="0.25">
      <c r="K7950"/>
    </row>
    <row r="7951" spans="11:11" ht="15" x14ac:dyDescent="0.25">
      <c r="K7951"/>
    </row>
    <row r="7952" spans="11:11" ht="15" x14ac:dyDescent="0.25">
      <c r="K7952"/>
    </row>
    <row r="7953" spans="11:11" ht="15" x14ac:dyDescent="0.25">
      <c r="K7953"/>
    </row>
    <row r="7954" spans="11:11" ht="15" x14ac:dyDescent="0.25">
      <c r="K7954"/>
    </row>
    <row r="7955" spans="11:11" ht="15" x14ac:dyDescent="0.25">
      <c r="K7955"/>
    </row>
    <row r="7956" spans="11:11" ht="15" x14ac:dyDescent="0.25">
      <c r="K7956"/>
    </row>
    <row r="7957" spans="11:11" ht="15" x14ac:dyDescent="0.25">
      <c r="K7957"/>
    </row>
    <row r="7958" spans="11:11" ht="15" x14ac:dyDescent="0.25">
      <c r="K7958"/>
    </row>
    <row r="7959" spans="11:11" ht="15" x14ac:dyDescent="0.25">
      <c r="K7959"/>
    </row>
    <row r="7960" spans="11:11" ht="15" x14ac:dyDescent="0.25">
      <c r="K7960"/>
    </row>
    <row r="7961" spans="11:11" ht="15" x14ac:dyDescent="0.25">
      <c r="K7961"/>
    </row>
    <row r="7962" spans="11:11" ht="15" x14ac:dyDescent="0.25">
      <c r="K7962"/>
    </row>
    <row r="7963" spans="11:11" ht="15" x14ac:dyDescent="0.25">
      <c r="K7963"/>
    </row>
    <row r="7964" spans="11:11" ht="15" x14ac:dyDescent="0.25">
      <c r="K7964"/>
    </row>
    <row r="7965" spans="11:11" ht="15" x14ac:dyDescent="0.25">
      <c r="K7965"/>
    </row>
    <row r="7966" spans="11:11" ht="15" x14ac:dyDescent="0.25">
      <c r="K7966"/>
    </row>
    <row r="7967" spans="11:11" ht="15" x14ac:dyDescent="0.25">
      <c r="K7967"/>
    </row>
    <row r="7968" spans="11:11" ht="15" x14ac:dyDescent="0.25">
      <c r="K7968"/>
    </row>
    <row r="7969" spans="11:11" ht="15" x14ac:dyDescent="0.25">
      <c r="K7969"/>
    </row>
    <row r="7970" spans="11:11" ht="15" x14ac:dyDescent="0.25">
      <c r="K7970"/>
    </row>
    <row r="7971" spans="11:11" ht="15" x14ac:dyDescent="0.25">
      <c r="K7971"/>
    </row>
    <row r="7972" spans="11:11" ht="15" x14ac:dyDescent="0.25">
      <c r="K7972"/>
    </row>
    <row r="7973" spans="11:11" ht="15" x14ac:dyDescent="0.25">
      <c r="K7973"/>
    </row>
    <row r="7974" spans="11:11" ht="15" x14ac:dyDescent="0.25">
      <c r="K7974"/>
    </row>
    <row r="7975" spans="11:11" ht="15" x14ac:dyDescent="0.25">
      <c r="K7975"/>
    </row>
    <row r="7976" spans="11:11" ht="15" x14ac:dyDescent="0.25">
      <c r="K7976"/>
    </row>
    <row r="7977" spans="11:11" ht="15" x14ac:dyDescent="0.25">
      <c r="K7977"/>
    </row>
    <row r="7978" spans="11:11" ht="15" x14ac:dyDescent="0.25">
      <c r="K7978"/>
    </row>
    <row r="7979" spans="11:11" ht="15" x14ac:dyDescent="0.25">
      <c r="K7979"/>
    </row>
    <row r="7980" spans="11:11" ht="15" x14ac:dyDescent="0.25">
      <c r="K7980"/>
    </row>
    <row r="7981" spans="11:11" ht="15" x14ac:dyDescent="0.25">
      <c r="K7981"/>
    </row>
    <row r="7982" spans="11:11" ht="15" x14ac:dyDescent="0.25">
      <c r="K7982"/>
    </row>
    <row r="7983" spans="11:11" ht="15" x14ac:dyDescent="0.25">
      <c r="K7983"/>
    </row>
    <row r="7984" spans="11:11" ht="15" x14ac:dyDescent="0.25">
      <c r="K7984"/>
    </row>
    <row r="7985" spans="11:11" ht="15" x14ac:dyDescent="0.25">
      <c r="K7985"/>
    </row>
    <row r="7986" spans="11:11" ht="15" x14ac:dyDescent="0.25">
      <c r="K7986"/>
    </row>
    <row r="7987" spans="11:11" ht="15" x14ac:dyDescent="0.25">
      <c r="K7987"/>
    </row>
    <row r="7988" spans="11:11" ht="15" x14ac:dyDescent="0.25">
      <c r="K7988"/>
    </row>
    <row r="7989" spans="11:11" ht="15" x14ac:dyDescent="0.25">
      <c r="K7989"/>
    </row>
    <row r="7990" spans="11:11" ht="15" x14ac:dyDescent="0.25">
      <c r="K7990"/>
    </row>
    <row r="7991" spans="11:11" ht="15" x14ac:dyDescent="0.25">
      <c r="K7991"/>
    </row>
    <row r="7992" spans="11:11" ht="15" x14ac:dyDescent="0.25">
      <c r="K7992"/>
    </row>
    <row r="7993" spans="11:11" ht="15" x14ac:dyDescent="0.25">
      <c r="K7993"/>
    </row>
    <row r="7994" spans="11:11" ht="15" x14ac:dyDescent="0.25">
      <c r="K7994"/>
    </row>
    <row r="7995" spans="11:11" ht="15" x14ac:dyDescent="0.25">
      <c r="K7995"/>
    </row>
    <row r="7996" spans="11:11" ht="15" x14ac:dyDescent="0.25">
      <c r="K7996"/>
    </row>
    <row r="7997" spans="11:11" ht="15" x14ac:dyDescent="0.25">
      <c r="K7997"/>
    </row>
    <row r="7998" spans="11:11" ht="15" x14ac:dyDescent="0.25">
      <c r="K7998"/>
    </row>
    <row r="7999" spans="11:11" ht="15" x14ac:dyDescent="0.25">
      <c r="K7999"/>
    </row>
    <row r="8000" spans="11:11" ht="15" x14ac:dyDescent="0.25">
      <c r="K8000"/>
    </row>
    <row r="8001" spans="11:11" ht="15" x14ac:dyDescent="0.25">
      <c r="K8001"/>
    </row>
    <row r="8002" spans="11:11" ht="15" x14ac:dyDescent="0.25">
      <c r="K8002"/>
    </row>
    <row r="8003" spans="11:11" ht="15" x14ac:dyDescent="0.25">
      <c r="K8003"/>
    </row>
    <row r="8004" spans="11:11" ht="15" x14ac:dyDescent="0.25">
      <c r="K8004"/>
    </row>
    <row r="8005" spans="11:11" ht="15" x14ac:dyDescent="0.25">
      <c r="K8005"/>
    </row>
    <row r="8006" spans="11:11" ht="15" x14ac:dyDescent="0.25">
      <c r="K8006"/>
    </row>
    <row r="8007" spans="11:11" ht="15" x14ac:dyDescent="0.25">
      <c r="K8007"/>
    </row>
    <row r="8008" spans="11:11" ht="15" x14ac:dyDescent="0.25">
      <c r="K8008"/>
    </row>
    <row r="8009" spans="11:11" ht="15" x14ac:dyDescent="0.25">
      <c r="K8009"/>
    </row>
    <row r="8010" spans="11:11" ht="15" x14ac:dyDescent="0.25">
      <c r="K8010"/>
    </row>
    <row r="8011" spans="11:11" ht="15" x14ac:dyDescent="0.25">
      <c r="K8011"/>
    </row>
    <row r="8012" spans="11:11" ht="15" x14ac:dyDescent="0.25">
      <c r="K8012"/>
    </row>
    <row r="8013" spans="11:11" ht="15" x14ac:dyDescent="0.25">
      <c r="K8013"/>
    </row>
    <row r="8014" spans="11:11" ht="15" x14ac:dyDescent="0.25">
      <c r="K8014"/>
    </row>
    <row r="8015" spans="11:11" ht="15" x14ac:dyDescent="0.25">
      <c r="K8015"/>
    </row>
    <row r="8016" spans="11:11" ht="15" x14ac:dyDescent="0.25">
      <c r="K8016"/>
    </row>
    <row r="8017" spans="11:11" ht="15" x14ac:dyDescent="0.25">
      <c r="K8017"/>
    </row>
    <row r="8018" spans="11:11" ht="15" x14ac:dyDescent="0.25">
      <c r="K8018"/>
    </row>
    <row r="8019" spans="11:11" ht="15" x14ac:dyDescent="0.25">
      <c r="K8019"/>
    </row>
    <row r="8020" spans="11:11" ht="15" x14ac:dyDescent="0.25">
      <c r="K8020"/>
    </row>
    <row r="8021" spans="11:11" ht="15" x14ac:dyDescent="0.25">
      <c r="K8021"/>
    </row>
    <row r="8022" spans="11:11" ht="15" x14ac:dyDescent="0.25">
      <c r="K8022"/>
    </row>
    <row r="8023" spans="11:11" ht="15" x14ac:dyDescent="0.25">
      <c r="K8023"/>
    </row>
    <row r="8024" spans="11:11" ht="15" x14ac:dyDescent="0.25">
      <c r="K8024"/>
    </row>
    <row r="8025" spans="11:11" ht="15" x14ac:dyDescent="0.25">
      <c r="K8025"/>
    </row>
    <row r="8026" spans="11:11" ht="15" x14ac:dyDescent="0.25">
      <c r="K8026"/>
    </row>
    <row r="8027" spans="11:11" ht="15" x14ac:dyDescent="0.25">
      <c r="K8027"/>
    </row>
    <row r="8028" spans="11:11" ht="15" x14ac:dyDescent="0.25">
      <c r="K8028"/>
    </row>
    <row r="8029" spans="11:11" ht="15" x14ac:dyDescent="0.25">
      <c r="K8029"/>
    </row>
    <row r="8030" spans="11:11" ht="15" x14ac:dyDescent="0.25">
      <c r="K8030"/>
    </row>
    <row r="8031" spans="11:11" ht="15" x14ac:dyDescent="0.25">
      <c r="K8031"/>
    </row>
    <row r="8032" spans="11:11" ht="15" x14ac:dyDescent="0.25">
      <c r="K8032"/>
    </row>
    <row r="8033" spans="11:11" ht="15" x14ac:dyDescent="0.25">
      <c r="K8033"/>
    </row>
    <row r="8034" spans="11:11" ht="15" x14ac:dyDescent="0.25">
      <c r="K8034"/>
    </row>
    <row r="8035" spans="11:11" ht="15" x14ac:dyDescent="0.25">
      <c r="K8035"/>
    </row>
    <row r="8036" spans="11:11" ht="15" x14ac:dyDescent="0.25">
      <c r="K8036"/>
    </row>
    <row r="8037" spans="11:11" ht="15" x14ac:dyDescent="0.25">
      <c r="K8037"/>
    </row>
    <row r="8038" spans="11:11" ht="15" x14ac:dyDescent="0.25">
      <c r="K8038"/>
    </row>
    <row r="8039" spans="11:11" ht="15" x14ac:dyDescent="0.25">
      <c r="K8039"/>
    </row>
    <row r="8040" spans="11:11" ht="15" x14ac:dyDescent="0.25">
      <c r="K8040"/>
    </row>
    <row r="8041" spans="11:11" ht="15" x14ac:dyDescent="0.25">
      <c r="K8041"/>
    </row>
    <row r="8042" spans="11:11" ht="15" x14ac:dyDescent="0.25">
      <c r="K8042"/>
    </row>
    <row r="8043" spans="11:11" ht="15" x14ac:dyDescent="0.25">
      <c r="K8043"/>
    </row>
    <row r="8044" spans="11:11" ht="15" x14ac:dyDescent="0.25">
      <c r="K8044"/>
    </row>
    <row r="8045" spans="11:11" ht="15" x14ac:dyDescent="0.25">
      <c r="K8045"/>
    </row>
    <row r="8046" spans="11:11" ht="15" x14ac:dyDescent="0.25">
      <c r="K8046"/>
    </row>
    <row r="8047" spans="11:11" ht="15" x14ac:dyDescent="0.25">
      <c r="K8047"/>
    </row>
    <row r="8048" spans="11:11" ht="15" x14ac:dyDescent="0.25">
      <c r="K8048"/>
    </row>
    <row r="8049" spans="11:11" ht="15" x14ac:dyDescent="0.25">
      <c r="K8049"/>
    </row>
    <row r="8050" spans="11:11" ht="15" x14ac:dyDescent="0.25">
      <c r="K8050"/>
    </row>
    <row r="8051" spans="11:11" ht="15" x14ac:dyDescent="0.25">
      <c r="K8051"/>
    </row>
    <row r="8052" spans="11:11" ht="15" x14ac:dyDescent="0.25">
      <c r="K8052"/>
    </row>
    <row r="8053" spans="11:11" ht="15" x14ac:dyDescent="0.25">
      <c r="K8053"/>
    </row>
    <row r="8054" spans="11:11" ht="15" x14ac:dyDescent="0.25">
      <c r="K8054"/>
    </row>
    <row r="8055" spans="11:11" ht="15" x14ac:dyDescent="0.25">
      <c r="K8055"/>
    </row>
    <row r="8056" spans="11:11" ht="15" x14ac:dyDescent="0.25">
      <c r="K8056"/>
    </row>
    <row r="8057" spans="11:11" ht="15" x14ac:dyDescent="0.25">
      <c r="K8057"/>
    </row>
    <row r="8058" spans="11:11" ht="15" x14ac:dyDescent="0.25">
      <c r="K8058"/>
    </row>
    <row r="8059" spans="11:11" ht="15" x14ac:dyDescent="0.25">
      <c r="K8059"/>
    </row>
    <row r="8060" spans="11:11" ht="15" x14ac:dyDescent="0.25">
      <c r="K8060"/>
    </row>
    <row r="8061" spans="11:11" ht="15" x14ac:dyDescent="0.25">
      <c r="K8061"/>
    </row>
    <row r="8062" spans="11:11" ht="15" x14ac:dyDescent="0.25">
      <c r="K8062"/>
    </row>
    <row r="8063" spans="11:11" ht="15" x14ac:dyDescent="0.25">
      <c r="K8063"/>
    </row>
    <row r="8064" spans="11:11" ht="15" x14ac:dyDescent="0.25">
      <c r="K8064"/>
    </row>
    <row r="8065" spans="11:11" ht="15" x14ac:dyDescent="0.25">
      <c r="K8065"/>
    </row>
    <row r="8066" spans="11:11" ht="15" x14ac:dyDescent="0.25">
      <c r="K8066"/>
    </row>
    <row r="8067" spans="11:11" ht="15" x14ac:dyDescent="0.25">
      <c r="K8067"/>
    </row>
    <row r="8068" spans="11:11" ht="15" x14ac:dyDescent="0.25">
      <c r="K8068"/>
    </row>
    <row r="8069" spans="11:11" ht="15" x14ac:dyDescent="0.25">
      <c r="K8069"/>
    </row>
    <row r="8070" spans="11:11" ht="15" x14ac:dyDescent="0.25">
      <c r="K8070"/>
    </row>
    <row r="8071" spans="11:11" ht="15" x14ac:dyDescent="0.25">
      <c r="K8071"/>
    </row>
    <row r="8072" spans="11:11" ht="15" x14ac:dyDescent="0.25">
      <c r="K8072"/>
    </row>
    <row r="8073" spans="11:11" ht="15" x14ac:dyDescent="0.25">
      <c r="K8073"/>
    </row>
    <row r="8074" spans="11:11" ht="15" x14ac:dyDescent="0.25">
      <c r="K8074"/>
    </row>
    <row r="8075" spans="11:11" ht="15" x14ac:dyDescent="0.25">
      <c r="K8075"/>
    </row>
    <row r="8076" spans="11:11" ht="15" x14ac:dyDescent="0.25">
      <c r="K8076"/>
    </row>
    <row r="8077" spans="11:11" ht="15" x14ac:dyDescent="0.25">
      <c r="K8077"/>
    </row>
    <row r="8078" spans="11:11" ht="15" x14ac:dyDescent="0.25">
      <c r="K8078"/>
    </row>
    <row r="8079" spans="11:11" ht="15" x14ac:dyDescent="0.25">
      <c r="K8079"/>
    </row>
    <row r="8080" spans="11:11" ht="15" x14ac:dyDescent="0.25">
      <c r="K8080"/>
    </row>
    <row r="8081" spans="11:11" ht="15" x14ac:dyDescent="0.25">
      <c r="K8081"/>
    </row>
    <row r="8082" spans="11:11" ht="15" x14ac:dyDescent="0.25">
      <c r="K8082"/>
    </row>
    <row r="8083" spans="11:11" ht="15" x14ac:dyDescent="0.25">
      <c r="K8083"/>
    </row>
    <row r="8084" spans="11:11" ht="15" x14ac:dyDescent="0.25">
      <c r="K8084"/>
    </row>
    <row r="8085" spans="11:11" ht="15" x14ac:dyDescent="0.25">
      <c r="K8085"/>
    </row>
    <row r="8086" spans="11:11" ht="15" x14ac:dyDescent="0.25">
      <c r="K8086"/>
    </row>
    <row r="8087" spans="11:11" ht="15" x14ac:dyDescent="0.25">
      <c r="K8087"/>
    </row>
    <row r="8088" spans="11:11" ht="15" x14ac:dyDescent="0.25">
      <c r="K8088"/>
    </row>
    <row r="8089" spans="11:11" ht="15" x14ac:dyDescent="0.25">
      <c r="K8089"/>
    </row>
    <row r="8090" spans="11:11" ht="15" x14ac:dyDescent="0.25">
      <c r="K8090"/>
    </row>
    <row r="8091" spans="11:11" ht="15" x14ac:dyDescent="0.25">
      <c r="K8091"/>
    </row>
    <row r="8092" spans="11:11" ht="15" x14ac:dyDescent="0.25">
      <c r="K8092"/>
    </row>
    <row r="8093" spans="11:11" ht="15" x14ac:dyDescent="0.25">
      <c r="K8093"/>
    </row>
    <row r="8094" spans="11:11" ht="15" x14ac:dyDescent="0.25">
      <c r="K8094"/>
    </row>
    <row r="8095" spans="11:11" ht="15" x14ac:dyDescent="0.25">
      <c r="K8095"/>
    </row>
    <row r="8096" spans="11:11" ht="15" x14ac:dyDescent="0.25">
      <c r="K8096"/>
    </row>
    <row r="8097" spans="11:11" ht="15" x14ac:dyDescent="0.25">
      <c r="K8097"/>
    </row>
    <row r="8098" spans="11:11" ht="15" x14ac:dyDescent="0.25">
      <c r="K8098"/>
    </row>
    <row r="8099" spans="11:11" ht="15" x14ac:dyDescent="0.25">
      <c r="K8099"/>
    </row>
    <row r="8100" spans="11:11" ht="15" x14ac:dyDescent="0.25">
      <c r="K8100"/>
    </row>
    <row r="8101" spans="11:11" ht="15" x14ac:dyDescent="0.25">
      <c r="K8101"/>
    </row>
    <row r="8102" spans="11:11" ht="15" x14ac:dyDescent="0.25">
      <c r="K8102"/>
    </row>
    <row r="8103" spans="11:11" ht="15" x14ac:dyDescent="0.25">
      <c r="K8103"/>
    </row>
    <row r="8104" spans="11:11" ht="15" x14ac:dyDescent="0.25">
      <c r="K8104"/>
    </row>
    <row r="8105" spans="11:11" ht="15" x14ac:dyDescent="0.25">
      <c r="K8105"/>
    </row>
    <row r="8106" spans="11:11" ht="15" x14ac:dyDescent="0.25">
      <c r="K8106"/>
    </row>
    <row r="8107" spans="11:11" ht="15" x14ac:dyDescent="0.25">
      <c r="K8107"/>
    </row>
    <row r="8108" spans="11:11" ht="15" x14ac:dyDescent="0.25">
      <c r="K8108"/>
    </row>
    <row r="8109" spans="11:11" ht="15" x14ac:dyDescent="0.25">
      <c r="K8109"/>
    </row>
    <row r="8110" spans="11:11" ht="15" x14ac:dyDescent="0.25">
      <c r="K8110"/>
    </row>
    <row r="8111" spans="11:11" ht="15" x14ac:dyDescent="0.25">
      <c r="K8111"/>
    </row>
    <row r="8112" spans="11:11" ht="15" x14ac:dyDescent="0.25">
      <c r="K8112"/>
    </row>
    <row r="8113" spans="11:11" ht="15" x14ac:dyDescent="0.25">
      <c r="K8113"/>
    </row>
    <row r="8114" spans="11:11" ht="15" x14ac:dyDescent="0.25">
      <c r="K8114"/>
    </row>
    <row r="8115" spans="11:11" ht="15" x14ac:dyDescent="0.25">
      <c r="K8115"/>
    </row>
    <row r="8116" spans="11:11" ht="15" x14ac:dyDescent="0.25">
      <c r="K8116"/>
    </row>
    <row r="8117" spans="11:11" ht="15" x14ac:dyDescent="0.25">
      <c r="K8117"/>
    </row>
    <row r="8118" spans="11:11" ht="15" x14ac:dyDescent="0.25">
      <c r="K8118"/>
    </row>
    <row r="8119" spans="11:11" ht="15" x14ac:dyDescent="0.25">
      <c r="K8119"/>
    </row>
    <row r="8120" spans="11:11" ht="15" x14ac:dyDescent="0.25">
      <c r="K8120"/>
    </row>
    <row r="8121" spans="11:11" ht="15" x14ac:dyDescent="0.25">
      <c r="K8121"/>
    </row>
    <row r="8122" spans="11:11" ht="15" x14ac:dyDescent="0.25">
      <c r="K8122"/>
    </row>
    <row r="8123" spans="11:11" ht="15" x14ac:dyDescent="0.25">
      <c r="K8123"/>
    </row>
    <row r="8124" spans="11:11" ht="15" x14ac:dyDescent="0.25">
      <c r="K8124"/>
    </row>
    <row r="8125" spans="11:11" ht="15" x14ac:dyDescent="0.25">
      <c r="K8125"/>
    </row>
    <row r="8126" spans="11:11" ht="15" x14ac:dyDescent="0.25">
      <c r="K8126"/>
    </row>
    <row r="8127" spans="11:11" ht="15" x14ac:dyDescent="0.25">
      <c r="K8127"/>
    </row>
    <row r="8128" spans="11:11" ht="15" x14ac:dyDescent="0.25">
      <c r="K8128"/>
    </row>
    <row r="8129" spans="11:11" ht="15" x14ac:dyDescent="0.25">
      <c r="K8129"/>
    </row>
    <row r="8130" spans="11:11" ht="15" x14ac:dyDescent="0.25">
      <c r="K8130"/>
    </row>
    <row r="8131" spans="11:11" ht="15" x14ac:dyDescent="0.25">
      <c r="K8131"/>
    </row>
    <row r="8132" spans="11:11" ht="15" x14ac:dyDescent="0.25">
      <c r="K8132"/>
    </row>
    <row r="8133" spans="11:11" ht="15" x14ac:dyDescent="0.25">
      <c r="K8133"/>
    </row>
    <row r="8134" spans="11:11" ht="15" x14ac:dyDescent="0.25">
      <c r="K8134"/>
    </row>
    <row r="8135" spans="11:11" ht="15" x14ac:dyDescent="0.25">
      <c r="K8135"/>
    </row>
    <row r="8136" spans="11:11" ht="15" x14ac:dyDescent="0.25">
      <c r="K8136"/>
    </row>
    <row r="8137" spans="11:11" ht="15" x14ac:dyDescent="0.25">
      <c r="K8137"/>
    </row>
    <row r="8138" spans="11:11" ht="15" x14ac:dyDescent="0.25">
      <c r="K8138"/>
    </row>
    <row r="8139" spans="11:11" ht="15" x14ac:dyDescent="0.25">
      <c r="K8139"/>
    </row>
    <row r="8140" spans="11:11" ht="15" x14ac:dyDescent="0.25">
      <c r="K8140"/>
    </row>
    <row r="8141" spans="11:11" ht="15" x14ac:dyDescent="0.25">
      <c r="K8141"/>
    </row>
    <row r="8142" spans="11:11" ht="15" x14ac:dyDescent="0.25">
      <c r="K8142"/>
    </row>
    <row r="8143" spans="11:11" ht="15" x14ac:dyDescent="0.25">
      <c r="K8143"/>
    </row>
    <row r="8144" spans="11:11" ht="15" x14ac:dyDescent="0.25">
      <c r="K8144"/>
    </row>
    <row r="8145" spans="11:11" ht="15" x14ac:dyDescent="0.25">
      <c r="K8145"/>
    </row>
    <row r="8146" spans="11:11" ht="15" x14ac:dyDescent="0.25">
      <c r="K8146"/>
    </row>
    <row r="8147" spans="11:11" ht="15" x14ac:dyDescent="0.25">
      <c r="K8147"/>
    </row>
    <row r="8148" spans="11:11" ht="15" x14ac:dyDescent="0.25">
      <c r="K8148"/>
    </row>
    <row r="8149" spans="11:11" ht="15" x14ac:dyDescent="0.25">
      <c r="K8149"/>
    </row>
    <row r="8150" spans="11:11" ht="15" x14ac:dyDescent="0.25">
      <c r="K8150"/>
    </row>
    <row r="8151" spans="11:11" ht="15" x14ac:dyDescent="0.25">
      <c r="K8151"/>
    </row>
    <row r="8152" spans="11:11" ht="15" x14ac:dyDescent="0.25">
      <c r="K8152"/>
    </row>
    <row r="8153" spans="11:11" ht="15" x14ac:dyDescent="0.25">
      <c r="K8153"/>
    </row>
    <row r="8154" spans="11:11" ht="15" x14ac:dyDescent="0.25">
      <c r="K8154"/>
    </row>
    <row r="8155" spans="11:11" ht="15" x14ac:dyDescent="0.25">
      <c r="K8155"/>
    </row>
    <row r="8156" spans="11:11" ht="15" x14ac:dyDescent="0.25">
      <c r="K8156"/>
    </row>
    <row r="8157" spans="11:11" ht="15" x14ac:dyDescent="0.25">
      <c r="K8157"/>
    </row>
    <row r="8158" spans="11:11" ht="15" x14ac:dyDescent="0.25">
      <c r="K8158"/>
    </row>
    <row r="8159" spans="11:11" ht="15" x14ac:dyDescent="0.25">
      <c r="K8159"/>
    </row>
    <row r="8160" spans="11:11" ht="15" x14ac:dyDescent="0.25">
      <c r="K8160"/>
    </row>
    <row r="8161" spans="11:11" ht="15" x14ac:dyDescent="0.25">
      <c r="K8161"/>
    </row>
    <row r="8162" spans="11:11" ht="15" x14ac:dyDescent="0.25">
      <c r="K8162"/>
    </row>
    <row r="8163" spans="11:11" ht="15" x14ac:dyDescent="0.25">
      <c r="K8163"/>
    </row>
    <row r="8164" spans="11:11" ht="15" x14ac:dyDescent="0.25">
      <c r="K8164"/>
    </row>
    <row r="8165" spans="11:11" ht="15" x14ac:dyDescent="0.25">
      <c r="K8165"/>
    </row>
    <row r="8166" spans="11:11" ht="15" x14ac:dyDescent="0.25">
      <c r="K8166"/>
    </row>
    <row r="8167" spans="11:11" ht="15" x14ac:dyDescent="0.25">
      <c r="K8167"/>
    </row>
    <row r="8168" spans="11:11" ht="15" x14ac:dyDescent="0.25">
      <c r="K8168"/>
    </row>
    <row r="8169" spans="11:11" ht="15" x14ac:dyDescent="0.25">
      <c r="K8169"/>
    </row>
    <row r="8170" spans="11:11" ht="15" x14ac:dyDescent="0.25">
      <c r="K8170"/>
    </row>
    <row r="8171" spans="11:11" ht="15" x14ac:dyDescent="0.25">
      <c r="K8171"/>
    </row>
    <row r="8172" spans="11:11" ht="15" x14ac:dyDescent="0.25">
      <c r="K8172"/>
    </row>
    <row r="8173" spans="11:11" ht="15" x14ac:dyDescent="0.25">
      <c r="K8173"/>
    </row>
    <row r="8174" spans="11:11" ht="15" x14ac:dyDescent="0.25">
      <c r="K8174"/>
    </row>
    <row r="8175" spans="11:11" ht="15" x14ac:dyDescent="0.25">
      <c r="K8175"/>
    </row>
    <row r="8176" spans="11:11" ht="15" x14ac:dyDescent="0.25">
      <c r="K8176"/>
    </row>
    <row r="8177" spans="11:11" ht="15" x14ac:dyDescent="0.25">
      <c r="K8177"/>
    </row>
    <row r="8178" spans="11:11" ht="15" x14ac:dyDescent="0.25">
      <c r="K8178"/>
    </row>
    <row r="8179" spans="11:11" ht="15" x14ac:dyDescent="0.25">
      <c r="K8179"/>
    </row>
    <row r="8180" spans="11:11" ht="15" x14ac:dyDescent="0.25">
      <c r="K8180"/>
    </row>
    <row r="8181" spans="11:11" ht="15" x14ac:dyDescent="0.25">
      <c r="K8181"/>
    </row>
    <row r="8182" spans="11:11" ht="15" x14ac:dyDescent="0.25">
      <c r="K8182"/>
    </row>
    <row r="8183" spans="11:11" ht="15" x14ac:dyDescent="0.25">
      <c r="K8183"/>
    </row>
    <row r="8184" spans="11:11" ht="15" x14ac:dyDescent="0.25">
      <c r="K8184"/>
    </row>
    <row r="8185" spans="11:11" ht="15" x14ac:dyDescent="0.25">
      <c r="K8185"/>
    </row>
    <row r="8186" spans="11:11" ht="15" x14ac:dyDescent="0.25">
      <c r="K8186"/>
    </row>
    <row r="8187" spans="11:11" ht="15" x14ac:dyDescent="0.25">
      <c r="K8187"/>
    </row>
    <row r="8188" spans="11:11" ht="15" x14ac:dyDescent="0.25">
      <c r="K8188"/>
    </row>
    <row r="8189" spans="11:11" ht="15" x14ac:dyDescent="0.25">
      <c r="K8189"/>
    </row>
    <row r="8190" spans="11:11" ht="15" x14ac:dyDescent="0.25">
      <c r="K8190"/>
    </row>
    <row r="8191" spans="11:11" ht="15" x14ac:dyDescent="0.25">
      <c r="K8191"/>
    </row>
    <row r="8192" spans="11:11" ht="15" x14ac:dyDescent="0.25">
      <c r="K8192"/>
    </row>
    <row r="8193" spans="11:11" ht="15" x14ac:dyDescent="0.25">
      <c r="K8193"/>
    </row>
    <row r="8194" spans="11:11" ht="15" x14ac:dyDescent="0.25">
      <c r="K8194"/>
    </row>
    <row r="8195" spans="11:11" ht="15" x14ac:dyDescent="0.25">
      <c r="K8195"/>
    </row>
    <row r="8196" spans="11:11" ht="15" x14ac:dyDescent="0.25">
      <c r="K8196"/>
    </row>
    <row r="8197" spans="11:11" ht="15" x14ac:dyDescent="0.25">
      <c r="K8197"/>
    </row>
    <row r="8198" spans="11:11" ht="15" x14ac:dyDescent="0.25">
      <c r="K8198"/>
    </row>
    <row r="8199" spans="11:11" ht="15" x14ac:dyDescent="0.25">
      <c r="K8199"/>
    </row>
    <row r="8200" spans="11:11" ht="15" x14ac:dyDescent="0.25">
      <c r="K8200"/>
    </row>
    <row r="8201" spans="11:11" ht="15" x14ac:dyDescent="0.25">
      <c r="K8201"/>
    </row>
    <row r="8202" spans="11:11" ht="15" x14ac:dyDescent="0.25">
      <c r="K8202"/>
    </row>
    <row r="8203" spans="11:11" ht="15" x14ac:dyDescent="0.25">
      <c r="K8203"/>
    </row>
    <row r="8204" spans="11:11" ht="15" x14ac:dyDescent="0.25">
      <c r="K8204"/>
    </row>
    <row r="8205" spans="11:11" ht="15" x14ac:dyDescent="0.25">
      <c r="K8205"/>
    </row>
    <row r="8206" spans="11:11" ht="15" x14ac:dyDescent="0.25">
      <c r="K8206"/>
    </row>
    <row r="8207" spans="11:11" ht="15" x14ac:dyDescent="0.25">
      <c r="K8207"/>
    </row>
    <row r="8208" spans="11:11" ht="15" x14ac:dyDescent="0.25">
      <c r="K8208"/>
    </row>
    <row r="8209" spans="11:11" ht="15" x14ac:dyDescent="0.25">
      <c r="K8209"/>
    </row>
    <row r="8210" spans="11:11" ht="15" x14ac:dyDescent="0.25">
      <c r="K8210"/>
    </row>
    <row r="8211" spans="11:11" ht="15" x14ac:dyDescent="0.25">
      <c r="K8211"/>
    </row>
    <row r="8212" spans="11:11" ht="15" x14ac:dyDescent="0.25">
      <c r="K8212"/>
    </row>
    <row r="8213" spans="11:11" ht="15" x14ac:dyDescent="0.25">
      <c r="K8213"/>
    </row>
    <row r="8214" spans="11:11" ht="15" x14ac:dyDescent="0.25">
      <c r="K8214"/>
    </row>
    <row r="8215" spans="11:11" ht="15" x14ac:dyDescent="0.25">
      <c r="K8215"/>
    </row>
    <row r="8216" spans="11:11" ht="15" x14ac:dyDescent="0.25">
      <c r="K8216"/>
    </row>
    <row r="8217" spans="11:11" ht="15" x14ac:dyDescent="0.25">
      <c r="K8217"/>
    </row>
    <row r="8218" spans="11:11" ht="15" x14ac:dyDescent="0.25">
      <c r="K8218"/>
    </row>
    <row r="8219" spans="11:11" ht="15" x14ac:dyDescent="0.25">
      <c r="K8219"/>
    </row>
    <row r="8220" spans="11:11" ht="15" x14ac:dyDescent="0.25">
      <c r="K8220"/>
    </row>
    <row r="8221" spans="11:11" ht="15" x14ac:dyDescent="0.25">
      <c r="K8221"/>
    </row>
    <row r="8222" spans="11:11" ht="15" x14ac:dyDescent="0.25">
      <c r="K8222"/>
    </row>
    <row r="8223" spans="11:11" ht="15" x14ac:dyDescent="0.25">
      <c r="K8223"/>
    </row>
    <row r="8224" spans="11:11" ht="15" x14ac:dyDescent="0.25">
      <c r="K8224"/>
    </row>
    <row r="8225" spans="11:11" ht="15" x14ac:dyDescent="0.25">
      <c r="K8225"/>
    </row>
    <row r="8226" spans="11:11" ht="15" x14ac:dyDescent="0.25">
      <c r="K8226"/>
    </row>
    <row r="8227" spans="11:11" ht="15" x14ac:dyDescent="0.25">
      <c r="K8227"/>
    </row>
    <row r="8228" spans="11:11" ht="15" x14ac:dyDescent="0.25">
      <c r="K8228"/>
    </row>
    <row r="8229" spans="11:11" ht="15" x14ac:dyDescent="0.25">
      <c r="K8229"/>
    </row>
    <row r="8230" spans="11:11" ht="15" x14ac:dyDescent="0.25">
      <c r="K8230"/>
    </row>
    <row r="8231" spans="11:11" ht="15" x14ac:dyDescent="0.25">
      <c r="K8231"/>
    </row>
    <row r="8232" spans="11:11" ht="15" x14ac:dyDescent="0.25">
      <c r="K8232"/>
    </row>
    <row r="8233" spans="11:11" ht="15" x14ac:dyDescent="0.25">
      <c r="K8233"/>
    </row>
    <row r="8234" spans="11:11" ht="15" x14ac:dyDescent="0.25">
      <c r="K8234"/>
    </row>
    <row r="8235" spans="11:11" ht="15" x14ac:dyDescent="0.25">
      <c r="K8235"/>
    </row>
    <row r="8236" spans="11:11" ht="15" x14ac:dyDescent="0.25">
      <c r="K8236"/>
    </row>
    <row r="8237" spans="11:11" ht="15" x14ac:dyDescent="0.25">
      <c r="K8237"/>
    </row>
    <row r="8238" spans="11:11" ht="15" x14ac:dyDescent="0.25">
      <c r="K8238"/>
    </row>
    <row r="8239" spans="11:11" ht="15" x14ac:dyDescent="0.25">
      <c r="K8239"/>
    </row>
    <row r="8240" spans="11:11" ht="15" x14ac:dyDescent="0.25">
      <c r="K8240"/>
    </row>
    <row r="8241" spans="11:11" ht="15" x14ac:dyDescent="0.25">
      <c r="K8241"/>
    </row>
    <row r="8242" spans="11:11" ht="15" x14ac:dyDescent="0.25">
      <c r="K8242"/>
    </row>
    <row r="8243" spans="11:11" ht="15" x14ac:dyDescent="0.25">
      <c r="K8243"/>
    </row>
    <row r="8244" spans="11:11" ht="15" x14ac:dyDescent="0.25">
      <c r="K8244"/>
    </row>
    <row r="8245" spans="11:11" ht="15" x14ac:dyDescent="0.25">
      <c r="K8245"/>
    </row>
    <row r="8246" spans="11:11" ht="15" x14ac:dyDescent="0.25">
      <c r="K8246"/>
    </row>
    <row r="8247" spans="11:11" ht="15" x14ac:dyDescent="0.25">
      <c r="K8247"/>
    </row>
    <row r="8248" spans="11:11" ht="15" x14ac:dyDescent="0.25">
      <c r="K8248"/>
    </row>
    <row r="8249" spans="11:11" ht="15" x14ac:dyDescent="0.25">
      <c r="K8249"/>
    </row>
    <row r="8250" spans="11:11" ht="15" x14ac:dyDescent="0.25">
      <c r="K8250"/>
    </row>
    <row r="8251" spans="11:11" ht="15" x14ac:dyDescent="0.25">
      <c r="K8251"/>
    </row>
    <row r="8252" spans="11:11" ht="15" x14ac:dyDescent="0.25">
      <c r="K8252"/>
    </row>
    <row r="8253" spans="11:11" ht="15" x14ac:dyDescent="0.25">
      <c r="K8253"/>
    </row>
    <row r="8254" spans="11:11" ht="15" x14ac:dyDescent="0.25">
      <c r="K8254"/>
    </row>
    <row r="8255" spans="11:11" ht="15" x14ac:dyDescent="0.25">
      <c r="K8255"/>
    </row>
    <row r="8256" spans="11:11" ht="15" x14ac:dyDescent="0.25">
      <c r="K8256"/>
    </row>
    <row r="8257" spans="11:11" ht="15" x14ac:dyDescent="0.25">
      <c r="K8257"/>
    </row>
    <row r="8258" spans="11:11" ht="15" x14ac:dyDescent="0.25">
      <c r="K8258"/>
    </row>
    <row r="8259" spans="11:11" ht="15" x14ac:dyDescent="0.25">
      <c r="K8259"/>
    </row>
    <row r="8260" spans="11:11" ht="15" x14ac:dyDescent="0.25">
      <c r="K8260"/>
    </row>
    <row r="8261" spans="11:11" ht="15" x14ac:dyDescent="0.25">
      <c r="K8261"/>
    </row>
    <row r="8262" spans="11:11" ht="15" x14ac:dyDescent="0.25">
      <c r="K8262"/>
    </row>
    <row r="8263" spans="11:11" ht="15" x14ac:dyDescent="0.25">
      <c r="K8263"/>
    </row>
    <row r="8264" spans="11:11" ht="15" x14ac:dyDescent="0.25">
      <c r="K8264"/>
    </row>
    <row r="8265" spans="11:11" ht="15" x14ac:dyDescent="0.25">
      <c r="K8265"/>
    </row>
    <row r="8266" spans="11:11" ht="15" x14ac:dyDescent="0.25">
      <c r="K8266"/>
    </row>
    <row r="8267" spans="11:11" ht="15" x14ac:dyDescent="0.25">
      <c r="K8267"/>
    </row>
    <row r="8268" spans="11:11" ht="15" x14ac:dyDescent="0.25">
      <c r="K8268"/>
    </row>
    <row r="8269" spans="11:11" ht="15" x14ac:dyDescent="0.25">
      <c r="K8269"/>
    </row>
    <row r="8270" spans="11:11" ht="15" x14ac:dyDescent="0.25">
      <c r="K8270"/>
    </row>
    <row r="8271" spans="11:11" ht="15" x14ac:dyDescent="0.25">
      <c r="K8271"/>
    </row>
    <row r="8272" spans="11:11" ht="15" x14ac:dyDescent="0.25">
      <c r="K8272"/>
    </row>
    <row r="8273" spans="11:11" ht="15" x14ac:dyDescent="0.25">
      <c r="K8273"/>
    </row>
    <row r="8274" spans="11:11" ht="15" x14ac:dyDescent="0.25">
      <c r="K8274"/>
    </row>
    <row r="8275" spans="11:11" ht="15" x14ac:dyDescent="0.25">
      <c r="K8275"/>
    </row>
    <row r="8276" spans="11:11" ht="15" x14ac:dyDescent="0.25">
      <c r="K8276"/>
    </row>
    <row r="8277" spans="11:11" ht="15" x14ac:dyDescent="0.25">
      <c r="K8277"/>
    </row>
    <row r="8278" spans="11:11" ht="15" x14ac:dyDescent="0.25">
      <c r="K8278"/>
    </row>
    <row r="8279" spans="11:11" ht="15" x14ac:dyDescent="0.25">
      <c r="K8279"/>
    </row>
    <row r="8280" spans="11:11" ht="15" x14ac:dyDescent="0.25">
      <c r="K8280"/>
    </row>
    <row r="8281" spans="11:11" ht="15" x14ac:dyDescent="0.25">
      <c r="K8281"/>
    </row>
    <row r="8282" spans="11:11" ht="15" x14ac:dyDescent="0.25">
      <c r="K8282"/>
    </row>
    <row r="8283" spans="11:11" ht="15" x14ac:dyDescent="0.25">
      <c r="K8283"/>
    </row>
    <row r="8284" spans="11:11" ht="15" x14ac:dyDescent="0.25">
      <c r="K8284"/>
    </row>
    <row r="8285" spans="11:11" ht="15" x14ac:dyDescent="0.25">
      <c r="K8285"/>
    </row>
    <row r="8286" spans="11:11" ht="15" x14ac:dyDescent="0.25">
      <c r="K8286"/>
    </row>
    <row r="8287" spans="11:11" ht="15" x14ac:dyDescent="0.25">
      <c r="K8287"/>
    </row>
    <row r="8288" spans="11:11" ht="15" x14ac:dyDescent="0.25">
      <c r="K8288"/>
    </row>
    <row r="8289" spans="11:11" ht="15" x14ac:dyDescent="0.25">
      <c r="K8289"/>
    </row>
    <row r="8290" spans="11:11" ht="15" x14ac:dyDescent="0.25">
      <c r="K8290"/>
    </row>
    <row r="8291" spans="11:11" ht="15" x14ac:dyDescent="0.25">
      <c r="K8291"/>
    </row>
    <row r="8292" spans="11:11" ht="15" x14ac:dyDescent="0.25">
      <c r="K8292"/>
    </row>
    <row r="8293" spans="11:11" ht="15" x14ac:dyDescent="0.25">
      <c r="K8293"/>
    </row>
    <row r="8294" spans="11:11" ht="15" x14ac:dyDescent="0.25">
      <c r="K8294"/>
    </row>
    <row r="8295" spans="11:11" ht="15" x14ac:dyDescent="0.25">
      <c r="K8295"/>
    </row>
    <row r="8296" spans="11:11" ht="15" x14ac:dyDescent="0.25">
      <c r="K8296"/>
    </row>
    <row r="8297" spans="11:11" ht="15" x14ac:dyDescent="0.25">
      <c r="K8297"/>
    </row>
    <row r="8298" spans="11:11" ht="15" x14ac:dyDescent="0.25">
      <c r="K8298"/>
    </row>
    <row r="8299" spans="11:11" ht="15" x14ac:dyDescent="0.25">
      <c r="K8299"/>
    </row>
    <row r="8300" spans="11:11" ht="15" x14ac:dyDescent="0.25">
      <c r="K8300"/>
    </row>
    <row r="8301" spans="11:11" ht="15" x14ac:dyDescent="0.25">
      <c r="K8301"/>
    </row>
    <row r="8302" spans="11:11" ht="15" x14ac:dyDescent="0.25">
      <c r="K8302"/>
    </row>
    <row r="8303" spans="11:11" ht="15" x14ac:dyDescent="0.25">
      <c r="K8303"/>
    </row>
    <row r="8304" spans="11:11" ht="15" x14ac:dyDescent="0.25">
      <c r="K8304"/>
    </row>
    <row r="8305" spans="11:11" ht="15" x14ac:dyDescent="0.25">
      <c r="K8305"/>
    </row>
    <row r="8306" spans="11:11" ht="15" x14ac:dyDescent="0.25">
      <c r="K8306"/>
    </row>
    <row r="8307" spans="11:11" ht="15" x14ac:dyDescent="0.25">
      <c r="K8307"/>
    </row>
    <row r="8308" spans="11:11" ht="15" x14ac:dyDescent="0.25">
      <c r="K8308"/>
    </row>
    <row r="8309" spans="11:11" ht="15" x14ac:dyDescent="0.25">
      <c r="K8309"/>
    </row>
    <row r="8310" spans="11:11" ht="15" x14ac:dyDescent="0.25">
      <c r="K8310"/>
    </row>
    <row r="8311" spans="11:11" ht="15" x14ac:dyDescent="0.25">
      <c r="K8311"/>
    </row>
    <row r="8312" spans="11:11" ht="15" x14ac:dyDescent="0.25">
      <c r="K8312"/>
    </row>
    <row r="8313" spans="11:11" ht="15" x14ac:dyDescent="0.25">
      <c r="K8313"/>
    </row>
    <row r="8314" spans="11:11" ht="15" x14ac:dyDescent="0.25">
      <c r="K8314"/>
    </row>
    <row r="8315" spans="11:11" ht="15" x14ac:dyDescent="0.25">
      <c r="K8315"/>
    </row>
    <row r="8316" spans="11:11" ht="15" x14ac:dyDescent="0.25">
      <c r="K8316"/>
    </row>
    <row r="8317" spans="11:11" ht="15" x14ac:dyDescent="0.25">
      <c r="K8317"/>
    </row>
    <row r="8318" spans="11:11" ht="15" x14ac:dyDescent="0.25">
      <c r="K8318"/>
    </row>
    <row r="8319" spans="11:11" ht="15" x14ac:dyDescent="0.25">
      <c r="K8319"/>
    </row>
    <row r="8320" spans="11:11" ht="15" x14ac:dyDescent="0.25">
      <c r="K8320"/>
    </row>
    <row r="8321" spans="11:11" ht="15" x14ac:dyDescent="0.25">
      <c r="K8321"/>
    </row>
    <row r="8322" spans="11:11" ht="15" x14ac:dyDescent="0.25">
      <c r="K8322"/>
    </row>
    <row r="8323" spans="11:11" ht="15" x14ac:dyDescent="0.25">
      <c r="K8323"/>
    </row>
    <row r="8324" spans="11:11" ht="15" x14ac:dyDescent="0.25">
      <c r="K8324"/>
    </row>
    <row r="8325" spans="11:11" ht="15" x14ac:dyDescent="0.25">
      <c r="K8325"/>
    </row>
    <row r="8326" spans="11:11" ht="15" x14ac:dyDescent="0.25">
      <c r="K8326"/>
    </row>
    <row r="8327" spans="11:11" ht="15" x14ac:dyDescent="0.25">
      <c r="K8327"/>
    </row>
    <row r="8328" spans="11:11" ht="15" x14ac:dyDescent="0.25">
      <c r="K8328"/>
    </row>
    <row r="8329" spans="11:11" ht="15" x14ac:dyDescent="0.25">
      <c r="K8329"/>
    </row>
    <row r="8330" spans="11:11" ht="15" x14ac:dyDescent="0.25">
      <c r="K8330"/>
    </row>
    <row r="8331" spans="11:11" ht="15" x14ac:dyDescent="0.25">
      <c r="K8331"/>
    </row>
    <row r="8332" spans="11:11" ht="15" x14ac:dyDescent="0.25">
      <c r="K8332"/>
    </row>
    <row r="8333" spans="11:11" ht="15" x14ac:dyDescent="0.25">
      <c r="K8333"/>
    </row>
    <row r="8334" spans="11:11" ht="15" x14ac:dyDescent="0.25">
      <c r="K8334"/>
    </row>
    <row r="8335" spans="11:11" ht="15" x14ac:dyDescent="0.25">
      <c r="K8335"/>
    </row>
    <row r="8336" spans="11:11" ht="15" x14ac:dyDescent="0.25">
      <c r="K8336"/>
    </row>
    <row r="8337" spans="11:11" ht="15" x14ac:dyDescent="0.25">
      <c r="K8337"/>
    </row>
    <row r="8338" spans="11:11" ht="15" x14ac:dyDescent="0.25">
      <c r="K8338"/>
    </row>
    <row r="8339" spans="11:11" ht="15" x14ac:dyDescent="0.25">
      <c r="K8339"/>
    </row>
    <row r="8340" spans="11:11" ht="15" x14ac:dyDescent="0.25">
      <c r="K8340"/>
    </row>
    <row r="8341" spans="11:11" ht="15" x14ac:dyDescent="0.25">
      <c r="K8341"/>
    </row>
    <row r="8342" spans="11:11" ht="15" x14ac:dyDescent="0.25">
      <c r="K8342"/>
    </row>
    <row r="8343" spans="11:11" ht="15" x14ac:dyDescent="0.25">
      <c r="K8343"/>
    </row>
    <row r="8344" spans="11:11" ht="15" x14ac:dyDescent="0.25">
      <c r="K8344"/>
    </row>
    <row r="8345" spans="11:11" ht="15" x14ac:dyDescent="0.25">
      <c r="K8345"/>
    </row>
    <row r="8346" spans="11:11" ht="15" x14ac:dyDescent="0.25">
      <c r="K8346"/>
    </row>
    <row r="8347" spans="11:11" ht="15" x14ac:dyDescent="0.25">
      <c r="K8347"/>
    </row>
    <row r="8348" spans="11:11" ht="15" x14ac:dyDescent="0.25">
      <c r="K8348"/>
    </row>
    <row r="8349" spans="11:11" ht="15" x14ac:dyDescent="0.25">
      <c r="K8349"/>
    </row>
    <row r="8350" spans="11:11" ht="15" x14ac:dyDescent="0.25">
      <c r="K8350"/>
    </row>
    <row r="8351" spans="11:11" ht="15" x14ac:dyDescent="0.25">
      <c r="K8351"/>
    </row>
    <row r="8352" spans="11:11" ht="15" x14ac:dyDescent="0.25">
      <c r="K8352"/>
    </row>
    <row r="8353" spans="11:11" ht="15" x14ac:dyDescent="0.25">
      <c r="K8353"/>
    </row>
    <row r="8354" spans="11:11" ht="15" x14ac:dyDescent="0.25">
      <c r="K8354"/>
    </row>
    <row r="8355" spans="11:11" ht="15" x14ac:dyDescent="0.25">
      <c r="K8355"/>
    </row>
    <row r="8356" spans="11:11" ht="15" x14ac:dyDescent="0.25">
      <c r="K8356"/>
    </row>
    <row r="8357" spans="11:11" ht="15" x14ac:dyDescent="0.25">
      <c r="K8357"/>
    </row>
    <row r="8358" spans="11:11" ht="15" x14ac:dyDescent="0.25">
      <c r="K8358"/>
    </row>
    <row r="8359" spans="11:11" ht="15" x14ac:dyDescent="0.25">
      <c r="K8359"/>
    </row>
    <row r="8360" spans="11:11" ht="15" x14ac:dyDescent="0.25">
      <c r="K8360"/>
    </row>
    <row r="8361" spans="11:11" ht="15" x14ac:dyDescent="0.25">
      <c r="K8361"/>
    </row>
    <row r="8362" spans="11:11" ht="15" x14ac:dyDescent="0.25">
      <c r="K8362"/>
    </row>
    <row r="8363" spans="11:11" ht="15" x14ac:dyDescent="0.25">
      <c r="K8363"/>
    </row>
    <row r="8364" spans="11:11" ht="15" x14ac:dyDescent="0.25">
      <c r="K8364"/>
    </row>
    <row r="8365" spans="11:11" ht="15" x14ac:dyDescent="0.25">
      <c r="K8365"/>
    </row>
    <row r="8366" spans="11:11" ht="15" x14ac:dyDescent="0.25">
      <c r="K8366"/>
    </row>
    <row r="8367" spans="11:11" ht="15" x14ac:dyDescent="0.25">
      <c r="K8367"/>
    </row>
    <row r="8368" spans="11:11" ht="15" x14ac:dyDescent="0.25">
      <c r="K8368"/>
    </row>
    <row r="8369" spans="11:11" ht="15" x14ac:dyDescent="0.25">
      <c r="K8369"/>
    </row>
    <row r="8370" spans="11:11" ht="15" x14ac:dyDescent="0.25">
      <c r="K8370"/>
    </row>
    <row r="8371" spans="11:11" ht="15" x14ac:dyDescent="0.25">
      <c r="K8371"/>
    </row>
    <row r="8372" spans="11:11" ht="15" x14ac:dyDescent="0.25">
      <c r="K8372"/>
    </row>
    <row r="8373" spans="11:11" ht="15" x14ac:dyDescent="0.25">
      <c r="K8373"/>
    </row>
    <row r="8374" spans="11:11" ht="15" x14ac:dyDescent="0.25">
      <c r="K8374"/>
    </row>
    <row r="8375" spans="11:11" ht="15" x14ac:dyDescent="0.25">
      <c r="K8375"/>
    </row>
    <row r="8376" spans="11:11" ht="15" x14ac:dyDescent="0.25">
      <c r="K8376"/>
    </row>
    <row r="8377" spans="11:11" ht="15" x14ac:dyDescent="0.25">
      <c r="K8377"/>
    </row>
    <row r="8378" spans="11:11" ht="15" x14ac:dyDescent="0.25">
      <c r="K8378"/>
    </row>
    <row r="8379" spans="11:11" ht="15" x14ac:dyDescent="0.25">
      <c r="K8379"/>
    </row>
    <row r="8380" spans="11:11" ht="15" x14ac:dyDescent="0.25">
      <c r="K8380"/>
    </row>
    <row r="8381" spans="11:11" ht="15" x14ac:dyDescent="0.25">
      <c r="K8381"/>
    </row>
    <row r="8382" spans="11:11" ht="15" x14ac:dyDescent="0.25">
      <c r="K8382"/>
    </row>
    <row r="8383" spans="11:11" ht="15" x14ac:dyDescent="0.25">
      <c r="K8383"/>
    </row>
    <row r="8384" spans="11:11" ht="15" x14ac:dyDescent="0.25">
      <c r="K8384"/>
    </row>
    <row r="8385" spans="11:11" ht="15" x14ac:dyDescent="0.25">
      <c r="K8385"/>
    </row>
    <row r="8386" spans="11:11" ht="15" x14ac:dyDescent="0.25">
      <c r="K8386"/>
    </row>
    <row r="8387" spans="11:11" ht="15" x14ac:dyDescent="0.25">
      <c r="K8387"/>
    </row>
    <row r="8388" spans="11:11" ht="15" x14ac:dyDescent="0.25">
      <c r="K8388"/>
    </row>
    <row r="8389" spans="11:11" ht="15" x14ac:dyDescent="0.25">
      <c r="K8389"/>
    </row>
    <row r="8390" spans="11:11" ht="15" x14ac:dyDescent="0.25">
      <c r="K8390"/>
    </row>
    <row r="8391" spans="11:11" ht="15" x14ac:dyDescent="0.25">
      <c r="K8391"/>
    </row>
    <row r="8392" spans="11:11" ht="15" x14ac:dyDescent="0.25">
      <c r="K8392"/>
    </row>
    <row r="8393" spans="11:11" ht="15" x14ac:dyDescent="0.25">
      <c r="K8393"/>
    </row>
    <row r="8394" spans="11:11" ht="15" x14ac:dyDescent="0.25">
      <c r="K8394"/>
    </row>
    <row r="8395" spans="11:11" ht="15" x14ac:dyDescent="0.25">
      <c r="K8395"/>
    </row>
    <row r="8396" spans="11:11" ht="15" x14ac:dyDescent="0.25">
      <c r="K8396"/>
    </row>
    <row r="8397" spans="11:11" ht="15" x14ac:dyDescent="0.25">
      <c r="K8397"/>
    </row>
    <row r="8398" spans="11:11" ht="15" x14ac:dyDescent="0.25">
      <c r="K8398"/>
    </row>
    <row r="8399" spans="11:11" ht="15" x14ac:dyDescent="0.25">
      <c r="K8399"/>
    </row>
    <row r="8400" spans="11:11" ht="15" x14ac:dyDescent="0.25">
      <c r="K8400"/>
    </row>
    <row r="8401" spans="11:11" ht="15" x14ac:dyDescent="0.25">
      <c r="K8401"/>
    </row>
    <row r="8402" spans="11:11" ht="15" x14ac:dyDescent="0.25">
      <c r="K8402"/>
    </row>
    <row r="8403" spans="11:11" ht="15" x14ac:dyDescent="0.25">
      <c r="K8403"/>
    </row>
    <row r="8404" spans="11:11" ht="15" x14ac:dyDescent="0.25">
      <c r="K8404"/>
    </row>
    <row r="8405" spans="11:11" ht="15" x14ac:dyDescent="0.25">
      <c r="K8405"/>
    </row>
    <row r="8406" spans="11:11" ht="15" x14ac:dyDescent="0.25">
      <c r="K8406"/>
    </row>
    <row r="8407" spans="11:11" ht="15" x14ac:dyDescent="0.25">
      <c r="K8407"/>
    </row>
    <row r="8408" spans="11:11" ht="15" x14ac:dyDescent="0.25">
      <c r="K8408"/>
    </row>
    <row r="8409" spans="11:11" ht="15" x14ac:dyDescent="0.25">
      <c r="K8409"/>
    </row>
    <row r="8410" spans="11:11" ht="15" x14ac:dyDescent="0.25">
      <c r="K8410"/>
    </row>
    <row r="8411" spans="11:11" ht="15" x14ac:dyDescent="0.25">
      <c r="K8411"/>
    </row>
    <row r="8412" spans="11:11" ht="15" x14ac:dyDescent="0.25">
      <c r="K8412"/>
    </row>
    <row r="8413" spans="11:11" ht="15" x14ac:dyDescent="0.25">
      <c r="K8413"/>
    </row>
    <row r="8414" spans="11:11" ht="15" x14ac:dyDescent="0.25">
      <c r="K8414"/>
    </row>
    <row r="8415" spans="11:11" ht="15" x14ac:dyDescent="0.25">
      <c r="K8415"/>
    </row>
    <row r="8416" spans="11:11" ht="15" x14ac:dyDescent="0.25">
      <c r="K8416"/>
    </row>
    <row r="8417" spans="11:11" ht="15" x14ac:dyDescent="0.25">
      <c r="K8417"/>
    </row>
    <row r="8418" spans="11:11" ht="15" x14ac:dyDescent="0.25">
      <c r="K8418"/>
    </row>
    <row r="8419" spans="11:11" ht="15" x14ac:dyDescent="0.25">
      <c r="K8419"/>
    </row>
    <row r="8420" spans="11:11" ht="15" x14ac:dyDescent="0.25">
      <c r="K8420"/>
    </row>
    <row r="8421" spans="11:11" ht="15" x14ac:dyDescent="0.25">
      <c r="K8421"/>
    </row>
    <row r="8422" spans="11:11" ht="15" x14ac:dyDescent="0.25">
      <c r="K8422"/>
    </row>
    <row r="8423" spans="11:11" ht="15" x14ac:dyDescent="0.25">
      <c r="K8423"/>
    </row>
    <row r="8424" spans="11:11" ht="15" x14ac:dyDescent="0.25">
      <c r="K8424"/>
    </row>
    <row r="8425" spans="11:11" ht="15" x14ac:dyDescent="0.25">
      <c r="K8425"/>
    </row>
    <row r="8426" spans="11:11" ht="15" x14ac:dyDescent="0.25">
      <c r="K8426"/>
    </row>
    <row r="8427" spans="11:11" ht="15" x14ac:dyDescent="0.25">
      <c r="K8427"/>
    </row>
    <row r="8428" spans="11:11" ht="15" x14ac:dyDescent="0.25">
      <c r="K8428"/>
    </row>
    <row r="8429" spans="11:11" ht="15" x14ac:dyDescent="0.25">
      <c r="K8429"/>
    </row>
    <row r="8430" spans="11:11" ht="15" x14ac:dyDescent="0.25">
      <c r="K8430"/>
    </row>
    <row r="8431" spans="11:11" ht="15" x14ac:dyDescent="0.25">
      <c r="K8431"/>
    </row>
    <row r="8432" spans="11:11" ht="15" x14ac:dyDescent="0.25">
      <c r="K8432"/>
    </row>
    <row r="8433" spans="11:11" ht="15" x14ac:dyDescent="0.25">
      <c r="K8433"/>
    </row>
    <row r="8434" spans="11:11" ht="15" x14ac:dyDescent="0.25">
      <c r="K8434"/>
    </row>
    <row r="8435" spans="11:11" ht="15" x14ac:dyDescent="0.25">
      <c r="K8435"/>
    </row>
    <row r="8436" spans="11:11" ht="15" x14ac:dyDescent="0.25">
      <c r="K8436"/>
    </row>
    <row r="8437" spans="11:11" ht="15" x14ac:dyDescent="0.25">
      <c r="K8437"/>
    </row>
    <row r="8438" spans="11:11" ht="15" x14ac:dyDescent="0.25">
      <c r="K8438"/>
    </row>
    <row r="8439" spans="11:11" ht="15" x14ac:dyDescent="0.25">
      <c r="K8439"/>
    </row>
    <row r="8440" spans="11:11" ht="15" x14ac:dyDescent="0.25">
      <c r="K8440"/>
    </row>
    <row r="8441" spans="11:11" ht="15" x14ac:dyDescent="0.25">
      <c r="K8441"/>
    </row>
    <row r="8442" spans="11:11" ht="15" x14ac:dyDescent="0.25">
      <c r="K8442"/>
    </row>
    <row r="8443" spans="11:11" ht="15" x14ac:dyDescent="0.25">
      <c r="K8443"/>
    </row>
    <row r="8444" spans="11:11" ht="15" x14ac:dyDescent="0.25">
      <c r="K8444"/>
    </row>
    <row r="8445" spans="11:11" ht="15" x14ac:dyDescent="0.25">
      <c r="K8445"/>
    </row>
    <row r="8446" spans="11:11" ht="15" x14ac:dyDescent="0.25">
      <c r="K8446"/>
    </row>
    <row r="8447" spans="11:11" ht="15" x14ac:dyDescent="0.25">
      <c r="K8447"/>
    </row>
    <row r="8448" spans="11:11" ht="15" x14ac:dyDescent="0.25">
      <c r="K8448"/>
    </row>
    <row r="8449" spans="11:11" ht="15" x14ac:dyDescent="0.25">
      <c r="K8449"/>
    </row>
    <row r="8450" spans="11:11" ht="15" x14ac:dyDescent="0.25">
      <c r="K8450"/>
    </row>
    <row r="8451" spans="11:11" ht="15" x14ac:dyDescent="0.25">
      <c r="K8451"/>
    </row>
    <row r="8452" spans="11:11" ht="15" x14ac:dyDescent="0.25">
      <c r="K8452"/>
    </row>
    <row r="8453" spans="11:11" ht="15" x14ac:dyDescent="0.25">
      <c r="K8453"/>
    </row>
    <row r="8454" spans="11:11" ht="15" x14ac:dyDescent="0.25">
      <c r="K8454"/>
    </row>
    <row r="8455" spans="11:11" ht="15" x14ac:dyDescent="0.25">
      <c r="K8455"/>
    </row>
    <row r="8456" spans="11:11" ht="15" x14ac:dyDescent="0.25">
      <c r="K8456"/>
    </row>
    <row r="8457" spans="11:11" ht="15" x14ac:dyDescent="0.25">
      <c r="K8457"/>
    </row>
    <row r="8458" spans="11:11" ht="15" x14ac:dyDescent="0.25">
      <c r="K8458"/>
    </row>
    <row r="8459" spans="11:11" ht="15" x14ac:dyDescent="0.25">
      <c r="K8459"/>
    </row>
    <row r="8460" spans="11:11" ht="15" x14ac:dyDescent="0.25">
      <c r="K8460"/>
    </row>
    <row r="8461" spans="11:11" ht="15" x14ac:dyDescent="0.25">
      <c r="K8461"/>
    </row>
    <row r="8462" spans="11:11" ht="15" x14ac:dyDescent="0.25">
      <c r="K8462"/>
    </row>
    <row r="8463" spans="11:11" ht="15" x14ac:dyDescent="0.25">
      <c r="K8463"/>
    </row>
    <row r="8464" spans="11:11" ht="15" x14ac:dyDescent="0.25">
      <c r="K8464"/>
    </row>
    <row r="8465" spans="11:11" ht="15" x14ac:dyDescent="0.25">
      <c r="K8465"/>
    </row>
    <row r="8466" spans="11:11" ht="15" x14ac:dyDescent="0.25">
      <c r="K8466"/>
    </row>
    <row r="8467" spans="11:11" ht="15" x14ac:dyDescent="0.25">
      <c r="K8467"/>
    </row>
    <row r="8468" spans="11:11" ht="15" x14ac:dyDescent="0.25">
      <c r="K8468"/>
    </row>
    <row r="8469" spans="11:11" ht="15" x14ac:dyDescent="0.25">
      <c r="K8469"/>
    </row>
    <row r="8470" spans="11:11" ht="15" x14ac:dyDescent="0.25">
      <c r="K8470"/>
    </row>
    <row r="8471" spans="11:11" ht="15" x14ac:dyDescent="0.25">
      <c r="K8471"/>
    </row>
    <row r="8472" spans="11:11" ht="15" x14ac:dyDescent="0.25">
      <c r="K8472"/>
    </row>
    <row r="8473" spans="11:11" ht="15" x14ac:dyDescent="0.25">
      <c r="K8473"/>
    </row>
    <row r="8474" spans="11:11" ht="15" x14ac:dyDescent="0.25">
      <c r="K8474"/>
    </row>
    <row r="8475" spans="11:11" ht="15" x14ac:dyDescent="0.25">
      <c r="K8475"/>
    </row>
    <row r="8476" spans="11:11" ht="15" x14ac:dyDescent="0.25">
      <c r="K8476"/>
    </row>
    <row r="8477" spans="11:11" ht="15" x14ac:dyDescent="0.25">
      <c r="K8477"/>
    </row>
    <row r="8478" spans="11:11" ht="15" x14ac:dyDescent="0.25">
      <c r="K8478"/>
    </row>
    <row r="8479" spans="11:11" ht="15" x14ac:dyDescent="0.25">
      <c r="K8479"/>
    </row>
    <row r="8480" spans="11:11" ht="15" x14ac:dyDescent="0.25">
      <c r="K8480"/>
    </row>
    <row r="8481" spans="11:11" ht="15" x14ac:dyDescent="0.25">
      <c r="K8481"/>
    </row>
    <row r="8482" spans="11:11" ht="15" x14ac:dyDescent="0.25">
      <c r="K8482"/>
    </row>
    <row r="8483" spans="11:11" ht="15" x14ac:dyDescent="0.25">
      <c r="K8483"/>
    </row>
    <row r="8484" spans="11:11" ht="15" x14ac:dyDescent="0.25">
      <c r="K8484"/>
    </row>
    <row r="8485" spans="11:11" ht="15" x14ac:dyDescent="0.25">
      <c r="K8485"/>
    </row>
    <row r="8486" spans="11:11" ht="15" x14ac:dyDescent="0.25">
      <c r="K8486"/>
    </row>
    <row r="8487" spans="11:11" ht="15" x14ac:dyDescent="0.25">
      <c r="K8487"/>
    </row>
    <row r="8488" spans="11:11" ht="15" x14ac:dyDescent="0.25">
      <c r="K8488"/>
    </row>
    <row r="8489" spans="11:11" ht="15" x14ac:dyDescent="0.25">
      <c r="K8489"/>
    </row>
    <row r="8490" spans="11:11" ht="15" x14ac:dyDescent="0.25">
      <c r="K8490"/>
    </row>
    <row r="8491" spans="11:11" ht="15" x14ac:dyDescent="0.25">
      <c r="K8491"/>
    </row>
    <row r="8492" spans="11:11" ht="15" x14ac:dyDescent="0.25">
      <c r="K8492"/>
    </row>
    <row r="8493" spans="11:11" ht="15" x14ac:dyDescent="0.25">
      <c r="K8493"/>
    </row>
    <row r="8494" spans="11:11" ht="15" x14ac:dyDescent="0.25">
      <c r="K8494"/>
    </row>
    <row r="8495" spans="11:11" ht="15" x14ac:dyDescent="0.25">
      <c r="K8495"/>
    </row>
    <row r="8496" spans="11:11" ht="15" x14ac:dyDescent="0.25">
      <c r="K8496"/>
    </row>
    <row r="8497" spans="11:11" ht="15" x14ac:dyDescent="0.25">
      <c r="K8497"/>
    </row>
    <row r="8498" spans="11:11" ht="15" x14ac:dyDescent="0.25">
      <c r="K8498"/>
    </row>
    <row r="8499" spans="11:11" ht="15" x14ac:dyDescent="0.25">
      <c r="K8499"/>
    </row>
    <row r="8500" spans="11:11" ht="15" x14ac:dyDescent="0.25">
      <c r="K8500"/>
    </row>
    <row r="8501" spans="11:11" ht="15" x14ac:dyDescent="0.25">
      <c r="K8501"/>
    </row>
    <row r="8502" spans="11:11" ht="15" x14ac:dyDescent="0.25">
      <c r="K8502"/>
    </row>
    <row r="8503" spans="11:11" ht="15" x14ac:dyDescent="0.25">
      <c r="K8503"/>
    </row>
    <row r="8504" spans="11:11" ht="15" x14ac:dyDescent="0.25">
      <c r="K8504"/>
    </row>
    <row r="8505" spans="11:11" ht="15" x14ac:dyDescent="0.25">
      <c r="K8505"/>
    </row>
    <row r="8506" spans="11:11" ht="15" x14ac:dyDescent="0.25">
      <c r="K8506"/>
    </row>
    <row r="8507" spans="11:11" ht="15" x14ac:dyDescent="0.25">
      <c r="K8507"/>
    </row>
    <row r="8508" spans="11:11" ht="15" x14ac:dyDescent="0.25">
      <c r="K8508"/>
    </row>
    <row r="8509" spans="11:11" ht="15" x14ac:dyDescent="0.25">
      <c r="K8509"/>
    </row>
    <row r="8510" spans="11:11" ht="15" x14ac:dyDescent="0.25">
      <c r="K8510"/>
    </row>
    <row r="8511" spans="11:11" ht="15" x14ac:dyDescent="0.25">
      <c r="K8511"/>
    </row>
    <row r="8512" spans="11:11" ht="15" x14ac:dyDescent="0.25">
      <c r="K8512"/>
    </row>
    <row r="8513" spans="11:11" ht="15" x14ac:dyDescent="0.25">
      <c r="K8513"/>
    </row>
    <row r="8514" spans="11:11" ht="15" x14ac:dyDescent="0.25">
      <c r="K8514"/>
    </row>
    <row r="8515" spans="11:11" ht="15" x14ac:dyDescent="0.25">
      <c r="K8515"/>
    </row>
    <row r="8516" spans="11:11" ht="15" x14ac:dyDescent="0.25">
      <c r="K8516"/>
    </row>
    <row r="8517" spans="11:11" ht="15" x14ac:dyDescent="0.25">
      <c r="K8517"/>
    </row>
    <row r="8518" spans="11:11" ht="15" x14ac:dyDescent="0.25">
      <c r="K8518"/>
    </row>
    <row r="8519" spans="11:11" ht="15" x14ac:dyDescent="0.25">
      <c r="K8519"/>
    </row>
    <row r="8520" spans="11:11" ht="15" x14ac:dyDescent="0.25">
      <c r="K8520"/>
    </row>
    <row r="8521" spans="11:11" ht="15" x14ac:dyDescent="0.25">
      <c r="K8521"/>
    </row>
    <row r="8522" spans="11:11" ht="15" x14ac:dyDescent="0.25">
      <c r="K8522"/>
    </row>
    <row r="8523" spans="11:11" ht="15" x14ac:dyDescent="0.25">
      <c r="K8523"/>
    </row>
    <row r="8524" spans="11:11" ht="15" x14ac:dyDescent="0.25">
      <c r="K8524"/>
    </row>
    <row r="8525" spans="11:11" ht="15" x14ac:dyDescent="0.25">
      <c r="K8525"/>
    </row>
    <row r="8526" spans="11:11" ht="15" x14ac:dyDescent="0.25">
      <c r="K8526"/>
    </row>
    <row r="8527" spans="11:11" ht="15" x14ac:dyDescent="0.25">
      <c r="K8527"/>
    </row>
    <row r="8528" spans="11:11" ht="15" x14ac:dyDescent="0.25">
      <c r="K8528"/>
    </row>
    <row r="8529" spans="11:11" ht="15" x14ac:dyDescent="0.25">
      <c r="K8529"/>
    </row>
    <row r="8530" spans="11:11" ht="15" x14ac:dyDescent="0.25">
      <c r="K8530"/>
    </row>
    <row r="8531" spans="11:11" ht="15" x14ac:dyDescent="0.25">
      <c r="K8531"/>
    </row>
    <row r="8532" spans="11:11" ht="15" x14ac:dyDescent="0.25">
      <c r="K8532"/>
    </row>
    <row r="8533" spans="11:11" ht="15" x14ac:dyDescent="0.25">
      <c r="K8533"/>
    </row>
    <row r="8534" spans="11:11" ht="15" x14ac:dyDescent="0.25">
      <c r="K8534"/>
    </row>
    <row r="8535" spans="11:11" ht="15" x14ac:dyDescent="0.25">
      <c r="K8535"/>
    </row>
    <row r="8536" spans="11:11" ht="15" x14ac:dyDescent="0.25">
      <c r="K8536"/>
    </row>
    <row r="8537" spans="11:11" ht="15" x14ac:dyDescent="0.25">
      <c r="K8537"/>
    </row>
    <row r="8538" spans="11:11" ht="15" x14ac:dyDescent="0.25">
      <c r="K8538"/>
    </row>
    <row r="8539" spans="11:11" ht="15" x14ac:dyDescent="0.25">
      <c r="K8539"/>
    </row>
    <row r="8540" spans="11:11" ht="15" x14ac:dyDescent="0.25">
      <c r="K8540"/>
    </row>
    <row r="8541" spans="11:11" ht="15" x14ac:dyDescent="0.25">
      <c r="K8541"/>
    </row>
    <row r="8542" spans="11:11" ht="15" x14ac:dyDescent="0.25">
      <c r="K8542"/>
    </row>
    <row r="8543" spans="11:11" ht="15" x14ac:dyDescent="0.25">
      <c r="K8543"/>
    </row>
    <row r="8544" spans="11:11" ht="15" x14ac:dyDescent="0.25">
      <c r="K8544"/>
    </row>
    <row r="8545" spans="11:11" ht="15" x14ac:dyDescent="0.25">
      <c r="K8545"/>
    </row>
    <row r="8546" spans="11:11" ht="15" x14ac:dyDescent="0.25">
      <c r="K8546"/>
    </row>
    <row r="8547" spans="11:11" ht="15" x14ac:dyDescent="0.25">
      <c r="K8547"/>
    </row>
    <row r="8548" spans="11:11" ht="15" x14ac:dyDescent="0.25">
      <c r="K8548"/>
    </row>
    <row r="8549" spans="11:11" ht="15" x14ac:dyDescent="0.25">
      <c r="K8549"/>
    </row>
    <row r="8550" spans="11:11" ht="15" x14ac:dyDescent="0.25">
      <c r="K8550"/>
    </row>
    <row r="8551" spans="11:11" ht="15" x14ac:dyDescent="0.25">
      <c r="K8551"/>
    </row>
    <row r="8552" spans="11:11" ht="15" x14ac:dyDescent="0.25">
      <c r="K8552"/>
    </row>
    <row r="8553" spans="11:11" ht="15" x14ac:dyDescent="0.25">
      <c r="K8553"/>
    </row>
    <row r="8554" spans="11:11" ht="15" x14ac:dyDescent="0.25">
      <c r="K8554"/>
    </row>
    <row r="8555" spans="11:11" ht="15" x14ac:dyDescent="0.25">
      <c r="K8555"/>
    </row>
    <row r="8556" spans="11:11" ht="15" x14ac:dyDescent="0.25">
      <c r="K8556"/>
    </row>
    <row r="8557" spans="11:11" ht="15" x14ac:dyDescent="0.25">
      <c r="K8557"/>
    </row>
    <row r="8558" spans="11:11" ht="15" x14ac:dyDescent="0.25">
      <c r="K8558"/>
    </row>
    <row r="8559" spans="11:11" ht="15" x14ac:dyDescent="0.25">
      <c r="K8559"/>
    </row>
    <row r="8560" spans="11:11" ht="15" x14ac:dyDescent="0.25">
      <c r="K8560"/>
    </row>
    <row r="8561" spans="11:11" ht="15" x14ac:dyDescent="0.25">
      <c r="K8561"/>
    </row>
    <row r="8562" spans="11:11" ht="15" x14ac:dyDescent="0.25">
      <c r="K8562"/>
    </row>
    <row r="8563" spans="11:11" ht="15" x14ac:dyDescent="0.25">
      <c r="K8563"/>
    </row>
    <row r="8564" spans="11:11" ht="15" x14ac:dyDescent="0.25">
      <c r="K8564"/>
    </row>
    <row r="8565" spans="11:11" ht="15" x14ac:dyDescent="0.25">
      <c r="K8565"/>
    </row>
    <row r="8566" spans="11:11" ht="15" x14ac:dyDescent="0.25">
      <c r="K8566"/>
    </row>
    <row r="8567" spans="11:11" ht="15" x14ac:dyDescent="0.25">
      <c r="K8567"/>
    </row>
    <row r="8568" spans="11:11" ht="15" x14ac:dyDescent="0.25">
      <c r="K8568"/>
    </row>
    <row r="8569" spans="11:11" ht="15" x14ac:dyDescent="0.25">
      <c r="K8569"/>
    </row>
    <row r="8570" spans="11:11" ht="15" x14ac:dyDescent="0.25">
      <c r="K8570"/>
    </row>
    <row r="8571" spans="11:11" ht="15" x14ac:dyDescent="0.25">
      <c r="K8571"/>
    </row>
    <row r="8572" spans="11:11" ht="15" x14ac:dyDescent="0.25">
      <c r="K8572"/>
    </row>
    <row r="8573" spans="11:11" ht="15" x14ac:dyDescent="0.25">
      <c r="K8573"/>
    </row>
    <row r="8574" spans="11:11" ht="15" x14ac:dyDescent="0.25">
      <c r="K8574"/>
    </row>
    <row r="8575" spans="11:11" ht="15" x14ac:dyDescent="0.25">
      <c r="K8575"/>
    </row>
    <row r="8576" spans="11:11" ht="15" x14ac:dyDescent="0.25">
      <c r="K8576"/>
    </row>
    <row r="8577" spans="11:11" ht="15" x14ac:dyDescent="0.25">
      <c r="K8577"/>
    </row>
    <row r="8578" spans="11:11" ht="15" x14ac:dyDescent="0.25">
      <c r="K8578"/>
    </row>
    <row r="8579" spans="11:11" ht="15" x14ac:dyDescent="0.25">
      <c r="K8579"/>
    </row>
    <row r="8580" spans="11:11" ht="15" x14ac:dyDescent="0.25">
      <c r="K8580"/>
    </row>
    <row r="8581" spans="11:11" ht="15" x14ac:dyDescent="0.25">
      <c r="K8581"/>
    </row>
    <row r="8582" spans="11:11" ht="15" x14ac:dyDescent="0.25">
      <c r="K8582"/>
    </row>
    <row r="8583" spans="11:11" ht="15" x14ac:dyDescent="0.25">
      <c r="K8583"/>
    </row>
    <row r="8584" spans="11:11" ht="15" x14ac:dyDescent="0.25">
      <c r="K8584"/>
    </row>
    <row r="8585" spans="11:11" ht="15" x14ac:dyDescent="0.25">
      <c r="K8585"/>
    </row>
    <row r="8586" spans="11:11" ht="15" x14ac:dyDescent="0.25">
      <c r="K8586"/>
    </row>
    <row r="8587" spans="11:11" ht="15" x14ac:dyDescent="0.25">
      <c r="K8587"/>
    </row>
    <row r="8588" spans="11:11" ht="15" x14ac:dyDescent="0.25">
      <c r="K8588"/>
    </row>
    <row r="8589" spans="11:11" ht="15" x14ac:dyDescent="0.25">
      <c r="K8589"/>
    </row>
    <row r="8590" spans="11:11" ht="15" x14ac:dyDescent="0.25">
      <c r="K8590"/>
    </row>
    <row r="8591" spans="11:11" ht="15" x14ac:dyDescent="0.25">
      <c r="K8591"/>
    </row>
    <row r="8592" spans="11:11" ht="15" x14ac:dyDescent="0.25">
      <c r="K8592"/>
    </row>
    <row r="8593" spans="11:11" ht="15" x14ac:dyDescent="0.25">
      <c r="K8593"/>
    </row>
    <row r="8594" spans="11:11" ht="15" x14ac:dyDescent="0.25">
      <c r="K8594"/>
    </row>
    <row r="8595" spans="11:11" ht="15" x14ac:dyDescent="0.25">
      <c r="K8595"/>
    </row>
    <row r="8596" spans="11:11" ht="15" x14ac:dyDescent="0.25">
      <c r="K8596"/>
    </row>
    <row r="8597" spans="11:11" ht="15" x14ac:dyDescent="0.25">
      <c r="K8597"/>
    </row>
    <row r="8598" spans="11:11" ht="15" x14ac:dyDescent="0.25">
      <c r="K8598"/>
    </row>
    <row r="8599" spans="11:11" ht="15" x14ac:dyDescent="0.25">
      <c r="K8599"/>
    </row>
    <row r="8600" spans="11:11" ht="15" x14ac:dyDescent="0.25">
      <c r="K8600"/>
    </row>
    <row r="8601" spans="11:11" ht="15" x14ac:dyDescent="0.25">
      <c r="K8601"/>
    </row>
    <row r="8602" spans="11:11" ht="15" x14ac:dyDescent="0.25">
      <c r="K8602"/>
    </row>
    <row r="8603" spans="11:11" ht="15" x14ac:dyDescent="0.25">
      <c r="K8603"/>
    </row>
    <row r="8604" spans="11:11" ht="15" x14ac:dyDescent="0.25">
      <c r="K8604"/>
    </row>
    <row r="8605" spans="11:11" ht="15" x14ac:dyDescent="0.25">
      <c r="K8605"/>
    </row>
    <row r="8606" spans="11:11" ht="15" x14ac:dyDescent="0.25">
      <c r="K8606"/>
    </row>
    <row r="8607" spans="11:11" ht="15" x14ac:dyDescent="0.25">
      <c r="K8607"/>
    </row>
    <row r="8608" spans="11:11" ht="15" x14ac:dyDescent="0.25">
      <c r="K8608"/>
    </row>
    <row r="8609" spans="11:11" ht="15" x14ac:dyDescent="0.25">
      <c r="K8609"/>
    </row>
    <row r="8610" spans="11:11" ht="15" x14ac:dyDescent="0.25">
      <c r="K8610"/>
    </row>
    <row r="8611" spans="11:11" ht="15" x14ac:dyDescent="0.25">
      <c r="K8611"/>
    </row>
    <row r="8612" spans="11:11" ht="15" x14ac:dyDescent="0.25">
      <c r="K8612"/>
    </row>
    <row r="8613" spans="11:11" ht="15" x14ac:dyDescent="0.25">
      <c r="K8613"/>
    </row>
    <row r="8614" spans="11:11" ht="15" x14ac:dyDescent="0.25">
      <c r="K8614"/>
    </row>
    <row r="8615" spans="11:11" ht="15" x14ac:dyDescent="0.25">
      <c r="K8615"/>
    </row>
    <row r="8616" spans="11:11" ht="15" x14ac:dyDescent="0.25">
      <c r="K8616"/>
    </row>
    <row r="8617" spans="11:11" ht="15" x14ac:dyDescent="0.25">
      <c r="K8617"/>
    </row>
    <row r="8618" spans="11:11" ht="15" x14ac:dyDescent="0.25">
      <c r="K8618"/>
    </row>
    <row r="8619" spans="11:11" ht="15" x14ac:dyDescent="0.25">
      <c r="K8619"/>
    </row>
    <row r="8620" spans="11:11" ht="15" x14ac:dyDescent="0.25">
      <c r="K8620"/>
    </row>
    <row r="8621" spans="11:11" ht="15" x14ac:dyDescent="0.25">
      <c r="K8621"/>
    </row>
    <row r="8622" spans="11:11" ht="15" x14ac:dyDescent="0.25">
      <c r="K8622"/>
    </row>
    <row r="8623" spans="11:11" ht="15" x14ac:dyDescent="0.25">
      <c r="K8623"/>
    </row>
    <row r="8624" spans="11:11" ht="15" x14ac:dyDescent="0.25">
      <c r="K8624"/>
    </row>
    <row r="8625" spans="11:11" ht="15" x14ac:dyDescent="0.25">
      <c r="K8625"/>
    </row>
    <row r="8626" spans="11:11" ht="15" x14ac:dyDescent="0.25">
      <c r="K8626"/>
    </row>
    <row r="8627" spans="11:11" ht="15" x14ac:dyDescent="0.25">
      <c r="K8627"/>
    </row>
    <row r="8628" spans="11:11" ht="15" x14ac:dyDescent="0.25">
      <c r="K8628"/>
    </row>
    <row r="8629" spans="11:11" ht="15" x14ac:dyDescent="0.25">
      <c r="K8629"/>
    </row>
    <row r="8630" spans="11:11" ht="15" x14ac:dyDescent="0.25">
      <c r="K8630"/>
    </row>
    <row r="8631" spans="11:11" ht="15" x14ac:dyDescent="0.25">
      <c r="K8631"/>
    </row>
    <row r="8632" spans="11:11" ht="15" x14ac:dyDescent="0.25">
      <c r="K8632"/>
    </row>
    <row r="8633" spans="11:11" ht="15" x14ac:dyDescent="0.25">
      <c r="K8633"/>
    </row>
    <row r="8634" spans="11:11" ht="15" x14ac:dyDescent="0.25">
      <c r="K8634"/>
    </row>
    <row r="8635" spans="11:11" ht="15" x14ac:dyDescent="0.25">
      <c r="K8635"/>
    </row>
    <row r="8636" spans="11:11" ht="15" x14ac:dyDescent="0.25">
      <c r="K8636"/>
    </row>
    <row r="8637" spans="11:11" ht="15" x14ac:dyDescent="0.25">
      <c r="K8637"/>
    </row>
    <row r="8638" spans="11:11" ht="15" x14ac:dyDescent="0.25">
      <c r="K8638"/>
    </row>
    <row r="8639" spans="11:11" ht="15" x14ac:dyDescent="0.25">
      <c r="K8639"/>
    </row>
    <row r="8640" spans="11:11" ht="15" x14ac:dyDescent="0.25">
      <c r="K8640"/>
    </row>
    <row r="8641" spans="11:11" ht="15" x14ac:dyDescent="0.25">
      <c r="K8641"/>
    </row>
    <row r="8642" spans="11:11" ht="15" x14ac:dyDescent="0.25">
      <c r="K8642"/>
    </row>
    <row r="8643" spans="11:11" ht="15" x14ac:dyDescent="0.25">
      <c r="K8643"/>
    </row>
    <row r="8644" spans="11:11" ht="15" x14ac:dyDescent="0.25">
      <c r="K8644"/>
    </row>
    <row r="8645" spans="11:11" ht="15" x14ac:dyDescent="0.25">
      <c r="K8645"/>
    </row>
    <row r="8646" spans="11:11" ht="15" x14ac:dyDescent="0.25">
      <c r="K8646"/>
    </row>
    <row r="8647" spans="11:11" ht="15" x14ac:dyDescent="0.25">
      <c r="K8647"/>
    </row>
    <row r="8648" spans="11:11" ht="15" x14ac:dyDescent="0.25">
      <c r="K8648"/>
    </row>
    <row r="8649" spans="11:11" ht="15" x14ac:dyDescent="0.25">
      <c r="K8649"/>
    </row>
    <row r="8650" spans="11:11" ht="15" x14ac:dyDescent="0.25">
      <c r="K8650"/>
    </row>
    <row r="8651" spans="11:11" ht="15" x14ac:dyDescent="0.25">
      <c r="K8651"/>
    </row>
    <row r="8652" spans="11:11" ht="15" x14ac:dyDescent="0.25">
      <c r="K8652"/>
    </row>
    <row r="8653" spans="11:11" ht="15" x14ac:dyDescent="0.25">
      <c r="K8653"/>
    </row>
    <row r="8654" spans="11:11" ht="15" x14ac:dyDescent="0.25">
      <c r="K8654"/>
    </row>
    <row r="8655" spans="11:11" ht="15" x14ac:dyDescent="0.25">
      <c r="K8655"/>
    </row>
    <row r="8656" spans="11:11" ht="15" x14ac:dyDescent="0.25">
      <c r="K8656"/>
    </row>
    <row r="8657" spans="11:11" ht="15" x14ac:dyDescent="0.25">
      <c r="K8657"/>
    </row>
    <row r="8658" spans="11:11" ht="15" x14ac:dyDescent="0.25">
      <c r="K8658"/>
    </row>
    <row r="8659" spans="11:11" ht="15" x14ac:dyDescent="0.25">
      <c r="K8659"/>
    </row>
    <row r="8660" spans="11:11" ht="15" x14ac:dyDescent="0.25">
      <c r="K8660"/>
    </row>
    <row r="8661" spans="11:11" ht="15" x14ac:dyDescent="0.25">
      <c r="K8661"/>
    </row>
    <row r="8662" spans="11:11" ht="15" x14ac:dyDescent="0.25">
      <c r="K8662"/>
    </row>
    <row r="8663" spans="11:11" ht="15" x14ac:dyDescent="0.25">
      <c r="K8663"/>
    </row>
    <row r="8664" spans="11:11" ht="15" x14ac:dyDescent="0.25">
      <c r="K8664"/>
    </row>
    <row r="8665" spans="11:11" ht="15" x14ac:dyDescent="0.25">
      <c r="K8665"/>
    </row>
    <row r="8666" spans="11:11" ht="15" x14ac:dyDescent="0.25">
      <c r="K8666"/>
    </row>
    <row r="8667" spans="11:11" ht="15" x14ac:dyDescent="0.25">
      <c r="K8667"/>
    </row>
    <row r="8668" spans="11:11" ht="15" x14ac:dyDescent="0.25">
      <c r="K8668"/>
    </row>
    <row r="8669" spans="11:11" ht="15" x14ac:dyDescent="0.25">
      <c r="K8669"/>
    </row>
    <row r="8670" spans="11:11" ht="15" x14ac:dyDescent="0.25">
      <c r="K8670"/>
    </row>
    <row r="8671" spans="11:11" ht="15" x14ac:dyDescent="0.25">
      <c r="K8671"/>
    </row>
    <row r="8672" spans="11:11" ht="15" x14ac:dyDescent="0.25">
      <c r="K8672"/>
    </row>
    <row r="8673" spans="11:11" ht="15" x14ac:dyDescent="0.25">
      <c r="K8673"/>
    </row>
    <row r="8674" spans="11:11" ht="15" x14ac:dyDescent="0.25">
      <c r="K8674"/>
    </row>
    <row r="8675" spans="11:11" ht="15" x14ac:dyDescent="0.25">
      <c r="K8675"/>
    </row>
    <row r="8676" spans="11:11" ht="15" x14ac:dyDescent="0.25">
      <c r="K8676"/>
    </row>
    <row r="8677" spans="11:11" ht="15" x14ac:dyDescent="0.25">
      <c r="K8677"/>
    </row>
    <row r="8678" spans="11:11" ht="15" x14ac:dyDescent="0.25">
      <c r="K8678"/>
    </row>
    <row r="8679" spans="11:11" ht="15" x14ac:dyDescent="0.25">
      <c r="K8679"/>
    </row>
    <row r="8680" spans="11:11" ht="15" x14ac:dyDescent="0.25">
      <c r="K8680"/>
    </row>
    <row r="8681" spans="11:11" ht="15" x14ac:dyDescent="0.25">
      <c r="K8681"/>
    </row>
    <row r="8682" spans="11:11" ht="15" x14ac:dyDescent="0.25">
      <c r="K8682"/>
    </row>
    <row r="8683" spans="11:11" ht="15" x14ac:dyDescent="0.25">
      <c r="K8683"/>
    </row>
    <row r="8684" spans="11:11" ht="15" x14ac:dyDescent="0.25">
      <c r="K8684"/>
    </row>
    <row r="8685" spans="11:11" ht="15" x14ac:dyDescent="0.25">
      <c r="K8685"/>
    </row>
    <row r="8686" spans="11:11" ht="15" x14ac:dyDescent="0.25">
      <c r="K8686"/>
    </row>
    <row r="8687" spans="11:11" ht="15" x14ac:dyDescent="0.25">
      <c r="K8687"/>
    </row>
    <row r="8688" spans="11:11" ht="15" x14ac:dyDescent="0.25">
      <c r="K8688"/>
    </row>
    <row r="8689" spans="11:11" ht="15" x14ac:dyDescent="0.25">
      <c r="K8689"/>
    </row>
    <row r="8690" spans="11:11" ht="15" x14ac:dyDescent="0.25">
      <c r="K8690"/>
    </row>
    <row r="8691" spans="11:11" ht="15" x14ac:dyDescent="0.25">
      <c r="K8691"/>
    </row>
    <row r="8692" spans="11:11" ht="15" x14ac:dyDescent="0.25">
      <c r="K8692"/>
    </row>
    <row r="8693" spans="11:11" ht="15" x14ac:dyDescent="0.25">
      <c r="K8693"/>
    </row>
    <row r="8694" spans="11:11" ht="15" x14ac:dyDescent="0.25">
      <c r="K8694"/>
    </row>
    <row r="8695" spans="11:11" ht="15" x14ac:dyDescent="0.25">
      <c r="K8695"/>
    </row>
    <row r="8696" spans="11:11" ht="15" x14ac:dyDescent="0.25">
      <c r="K8696"/>
    </row>
    <row r="8697" spans="11:11" ht="15" x14ac:dyDescent="0.25">
      <c r="K8697"/>
    </row>
    <row r="8698" spans="11:11" ht="15" x14ac:dyDescent="0.25">
      <c r="K8698"/>
    </row>
    <row r="8699" spans="11:11" ht="15" x14ac:dyDescent="0.25">
      <c r="K8699"/>
    </row>
    <row r="8700" spans="11:11" ht="15" x14ac:dyDescent="0.25">
      <c r="K8700"/>
    </row>
    <row r="8701" spans="11:11" ht="15" x14ac:dyDescent="0.25">
      <c r="K8701"/>
    </row>
    <row r="8702" spans="11:11" ht="15" x14ac:dyDescent="0.25">
      <c r="K8702"/>
    </row>
    <row r="8703" spans="11:11" ht="15" x14ac:dyDescent="0.25">
      <c r="K8703"/>
    </row>
    <row r="8704" spans="11:11" ht="15" x14ac:dyDescent="0.25">
      <c r="K8704"/>
    </row>
    <row r="8705" spans="11:11" ht="15" x14ac:dyDescent="0.25">
      <c r="K8705"/>
    </row>
    <row r="8706" spans="11:11" ht="15" x14ac:dyDescent="0.25">
      <c r="K8706"/>
    </row>
    <row r="8707" spans="11:11" ht="15" x14ac:dyDescent="0.25">
      <c r="K8707"/>
    </row>
    <row r="8708" spans="11:11" ht="15" x14ac:dyDescent="0.25">
      <c r="K8708"/>
    </row>
    <row r="8709" spans="11:11" ht="15" x14ac:dyDescent="0.25">
      <c r="K8709"/>
    </row>
    <row r="8710" spans="11:11" ht="15" x14ac:dyDescent="0.25">
      <c r="K8710"/>
    </row>
    <row r="8711" spans="11:11" ht="15" x14ac:dyDescent="0.25">
      <c r="K8711"/>
    </row>
    <row r="8712" spans="11:11" ht="15" x14ac:dyDescent="0.25">
      <c r="K8712"/>
    </row>
    <row r="8713" spans="11:11" ht="15" x14ac:dyDescent="0.25">
      <c r="K8713"/>
    </row>
    <row r="8714" spans="11:11" ht="15" x14ac:dyDescent="0.25">
      <c r="K8714"/>
    </row>
    <row r="8715" spans="11:11" ht="15" x14ac:dyDescent="0.25">
      <c r="K8715"/>
    </row>
    <row r="8716" spans="11:11" ht="15" x14ac:dyDescent="0.25">
      <c r="K8716"/>
    </row>
    <row r="8717" spans="11:11" ht="15" x14ac:dyDescent="0.25">
      <c r="K8717"/>
    </row>
    <row r="8718" spans="11:11" ht="15" x14ac:dyDescent="0.25">
      <c r="K8718"/>
    </row>
    <row r="8719" spans="11:11" ht="15" x14ac:dyDescent="0.25">
      <c r="K8719"/>
    </row>
    <row r="8720" spans="11:11" ht="15" x14ac:dyDescent="0.25">
      <c r="K8720"/>
    </row>
    <row r="8721" spans="11:11" ht="15" x14ac:dyDescent="0.25">
      <c r="K8721"/>
    </row>
    <row r="8722" spans="11:11" ht="15" x14ac:dyDescent="0.25">
      <c r="K8722"/>
    </row>
    <row r="8723" spans="11:11" ht="15" x14ac:dyDescent="0.25">
      <c r="K8723"/>
    </row>
    <row r="8724" spans="11:11" ht="15" x14ac:dyDescent="0.25">
      <c r="K8724"/>
    </row>
    <row r="8725" spans="11:11" ht="15" x14ac:dyDescent="0.25">
      <c r="K8725"/>
    </row>
    <row r="8726" spans="11:11" ht="15" x14ac:dyDescent="0.25">
      <c r="K8726"/>
    </row>
    <row r="8727" spans="11:11" ht="15" x14ac:dyDescent="0.25">
      <c r="K8727"/>
    </row>
    <row r="8728" spans="11:11" ht="15" x14ac:dyDescent="0.25">
      <c r="K8728"/>
    </row>
    <row r="8729" spans="11:11" ht="15" x14ac:dyDescent="0.25">
      <c r="K8729"/>
    </row>
    <row r="8730" spans="11:11" ht="15" x14ac:dyDescent="0.25">
      <c r="K8730"/>
    </row>
    <row r="8731" spans="11:11" ht="15" x14ac:dyDescent="0.25">
      <c r="K8731"/>
    </row>
    <row r="8732" spans="11:11" ht="15" x14ac:dyDescent="0.25">
      <c r="K8732"/>
    </row>
    <row r="8733" spans="11:11" ht="15" x14ac:dyDescent="0.25">
      <c r="K8733"/>
    </row>
    <row r="8734" spans="11:11" ht="15" x14ac:dyDescent="0.25">
      <c r="K8734"/>
    </row>
    <row r="8735" spans="11:11" ht="15" x14ac:dyDescent="0.25">
      <c r="K8735"/>
    </row>
    <row r="8736" spans="11:11" ht="15" x14ac:dyDescent="0.25">
      <c r="K8736"/>
    </row>
    <row r="8737" spans="11:11" ht="15" x14ac:dyDescent="0.25">
      <c r="K8737"/>
    </row>
    <row r="8738" spans="11:11" ht="15" x14ac:dyDescent="0.25">
      <c r="K8738"/>
    </row>
    <row r="8739" spans="11:11" ht="15" x14ac:dyDescent="0.25">
      <c r="K8739"/>
    </row>
    <row r="8740" spans="11:11" ht="15" x14ac:dyDescent="0.25">
      <c r="K8740"/>
    </row>
    <row r="8741" spans="11:11" ht="15" x14ac:dyDescent="0.25">
      <c r="K8741"/>
    </row>
    <row r="8742" spans="11:11" ht="15" x14ac:dyDescent="0.25">
      <c r="K8742"/>
    </row>
    <row r="8743" spans="11:11" ht="15" x14ac:dyDescent="0.25">
      <c r="K8743"/>
    </row>
    <row r="8744" spans="11:11" ht="15" x14ac:dyDescent="0.25">
      <c r="K8744"/>
    </row>
    <row r="8745" spans="11:11" ht="15" x14ac:dyDescent="0.25">
      <c r="K8745"/>
    </row>
    <row r="8746" spans="11:11" ht="15" x14ac:dyDescent="0.25">
      <c r="K8746"/>
    </row>
    <row r="8747" spans="11:11" ht="15" x14ac:dyDescent="0.25">
      <c r="K8747"/>
    </row>
    <row r="8748" spans="11:11" ht="15" x14ac:dyDescent="0.25">
      <c r="K8748"/>
    </row>
    <row r="8749" spans="11:11" ht="15" x14ac:dyDescent="0.25">
      <c r="K8749"/>
    </row>
    <row r="8750" spans="11:11" ht="15" x14ac:dyDescent="0.25">
      <c r="K8750"/>
    </row>
    <row r="8751" spans="11:11" ht="15" x14ac:dyDescent="0.25">
      <c r="K8751"/>
    </row>
    <row r="8752" spans="11:11" ht="15" x14ac:dyDescent="0.25">
      <c r="K8752"/>
    </row>
    <row r="8753" spans="11:11" ht="15" x14ac:dyDescent="0.25">
      <c r="K8753"/>
    </row>
    <row r="8754" spans="11:11" ht="15" x14ac:dyDescent="0.25">
      <c r="K8754"/>
    </row>
    <row r="8755" spans="11:11" ht="15" x14ac:dyDescent="0.25">
      <c r="K8755"/>
    </row>
    <row r="8756" spans="11:11" ht="15" x14ac:dyDescent="0.25">
      <c r="K8756"/>
    </row>
    <row r="8757" spans="11:11" ht="15" x14ac:dyDescent="0.25">
      <c r="K8757"/>
    </row>
    <row r="8758" spans="11:11" ht="15" x14ac:dyDescent="0.25">
      <c r="K8758"/>
    </row>
    <row r="8759" spans="11:11" ht="15" x14ac:dyDescent="0.25">
      <c r="K8759"/>
    </row>
    <row r="8760" spans="11:11" ht="15" x14ac:dyDescent="0.25">
      <c r="K8760"/>
    </row>
    <row r="8761" spans="11:11" ht="15" x14ac:dyDescent="0.25">
      <c r="K8761"/>
    </row>
    <row r="8762" spans="11:11" ht="15" x14ac:dyDescent="0.25">
      <c r="K8762"/>
    </row>
    <row r="8763" spans="11:11" ht="15" x14ac:dyDescent="0.25">
      <c r="K8763"/>
    </row>
    <row r="8764" spans="11:11" ht="15" x14ac:dyDescent="0.25">
      <c r="K8764"/>
    </row>
    <row r="8765" spans="11:11" ht="15" x14ac:dyDescent="0.25">
      <c r="K8765"/>
    </row>
    <row r="8766" spans="11:11" ht="15" x14ac:dyDescent="0.25">
      <c r="K8766"/>
    </row>
    <row r="8767" spans="11:11" ht="15" x14ac:dyDescent="0.25">
      <c r="K8767"/>
    </row>
    <row r="8768" spans="11:11" ht="15" x14ac:dyDescent="0.25">
      <c r="K8768"/>
    </row>
    <row r="8769" spans="11:11" ht="15" x14ac:dyDescent="0.25">
      <c r="K8769"/>
    </row>
    <row r="8770" spans="11:11" ht="15" x14ac:dyDescent="0.25">
      <c r="K8770"/>
    </row>
    <row r="8771" spans="11:11" ht="15" x14ac:dyDescent="0.25">
      <c r="K8771"/>
    </row>
    <row r="8772" spans="11:11" ht="15" x14ac:dyDescent="0.25">
      <c r="K8772"/>
    </row>
    <row r="8773" spans="11:11" ht="15" x14ac:dyDescent="0.25">
      <c r="K8773"/>
    </row>
    <row r="8774" spans="11:11" ht="15" x14ac:dyDescent="0.25">
      <c r="K8774"/>
    </row>
    <row r="8775" spans="11:11" ht="15" x14ac:dyDescent="0.25">
      <c r="K8775"/>
    </row>
    <row r="8776" spans="11:11" ht="15" x14ac:dyDescent="0.25">
      <c r="K8776"/>
    </row>
    <row r="8777" spans="11:11" ht="15" x14ac:dyDescent="0.25">
      <c r="K8777"/>
    </row>
    <row r="8778" spans="11:11" ht="15" x14ac:dyDescent="0.25">
      <c r="K8778"/>
    </row>
    <row r="8779" spans="11:11" ht="15" x14ac:dyDescent="0.25">
      <c r="K8779"/>
    </row>
    <row r="8780" spans="11:11" ht="15" x14ac:dyDescent="0.25">
      <c r="K8780"/>
    </row>
    <row r="8781" spans="11:11" ht="15" x14ac:dyDescent="0.25">
      <c r="K8781"/>
    </row>
    <row r="8782" spans="11:11" ht="15" x14ac:dyDescent="0.25">
      <c r="K8782"/>
    </row>
    <row r="8783" spans="11:11" ht="15" x14ac:dyDescent="0.25">
      <c r="K8783"/>
    </row>
    <row r="8784" spans="11:11" ht="15" x14ac:dyDescent="0.25">
      <c r="K8784"/>
    </row>
    <row r="8785" spans="11:11" ht="15" x14ac:dyDescent="0.25">
      <c r="K8785"/>
    </row>
    <row r="8786" spans="11:11" ht="15" x14ac:dyDescent="0.25">
      <c r="K8786"/>
    </row>
    <row r="8787" spans="11:11" ht="15" x14ac:dyDescent="0.25">
      <c r="K8787"/>
    </row>
    <row r="8788" spans="11:11" ht="15" x14ac:dyDescent="0.25">
      <c r="K8788"/>
    </row>
    <row r="8789" spans="11:11" ht="15" x14ac:dyDescent="0.25">
      <c r="K8789"/>
    </row>
    <row r="8790" spans="11:11" ht="15" x14ac:dyDescent="0.25">
      <c r="K8790"/>
    </row>
    <row r="8791" spans="11:11" ht="15" x14ac:dyDescent="0.25">
      <c r="K8791"/>
    </row>
    <row r="8792" spans="11:11" ht="15" x14ac:dyDescent="0.25">
      <c r="K8792"/>
    </row>
    <row r="8793" spans="11:11" ht="15" x14ac:dyDescent="0.25">
      <c r="K8793"/>
    </row>
    <row r="8794" spans="11:11" ht="15" x14ac:dyDescent="0.25">
      <c r="K8794"/>
    </row>
    <row r="8795" spans="11:11" ht="15" x14ac:dyDescent="0.25">
      <c r="K8795"/>
    </row>
    <row r="8796" spans="11:11" ht="15" x14ac:dyDescent="0.25">
      <c r="K8796"/>
    </row>
    <row r="8797" spans="11:11" ht="15" x14ac:dyDescent="0.25">
      <c r="K8797"/>
    </row>
    <row r="8798" spans="11:11" ht="15" x14ac:dyDescent="0.25">
      <c r="K8798"/>
    </row>
    <row r="8799" spans="11:11" ht="15" x14ac:dyDescent="0.25">
      <c r="K8799"/>
    </row>
    <row r="8800" spans="11:11" ht="15" x14ac:dyDescent="0.25">
      <c r="K8800"/>
    </row>
    <row r="8801" spans="11:11" ht="15" x14ac:dyDescent="0.25">
      <c r="K8801"/>
    </row>
    <row r="8802" spans="11:11" ht="15" x14ac:dyDescent="0.25">
      <c r="K8802"/>
    </row>
    <row r="8803" spans="11:11" ht="15" x14ac:dyDescent="0.25">
      <c r="K8803"/>
    </row>
    <row r="8804" spans="11:11" ht="15" x14ac:dyDescent="0.25">
      <c r="K8804"/>
    </row>
    <row r="8805" spans="11:11" ht="15" x14ac:dyDescent="0.25">
      <c r="K8805"/>
    </row>
    <row r="8806" spans="11:11" ht="15" x14ac:dyDescent="0.25">
      <c r="K8806"/>
    </row>
    <row r="8807" spans="11:11" ht="15" x14ac:dyDescent="0.25">
      <c r="K8807"/>
    </row>
    <row r="8808" spans="11:11" ht="15" x14ac:dyDescent="0.25">
      <c r="K8808"/>
    </row>
    <row r="8809" spans="11:11" ht="15" x14ac:dyDescent="0.25">
      <c r="K8809"/>
    </row>
    <row r="8810" spans="11:11" ht="15" x14ac:dyDescent="0.25">
      <c r="K8810"/>
    </row>
    <row r="8811" spans="11:11" ht="15" x14ac:dyDescent="0.25">
      <c r="K8811"/>
    </row>
    <row r="8812" spans="11:11" ht="15" x14ac:dyDescent="0.25">
      <c r="K8812"/>
    </row>
    <row r="8813" spans="11:11" ht="15" x14ac:dyDescent="0.25">
      <c r="K8813"/>
    </row>
    <row r="8814" spans="11:11" ht="15" x14ac:dyDescent="0.25">
      <c r="K8814"/>
    </row>
    <row r="8815" spans="11:11" ht="15" x14ac:dyDescent="0.25">
      <c r="K8815"/>
    </row>
    <row r="8816" spans="11:11" ht="15" x14ac:dyDescent="0.25">
      <c r="K8816"/>
    </row>
    <row r="8817" spans="11:11" ht="15" x14ac:dyDescent="0.25">
      <c r="K8817"/>
    </row>
    <row r="8818" spans="11:11" ht="15" x14ac:dyDescent="0.25">
      <c r="K8818"/>
    </row>
    <row r="8819" spans="11:11" ht="15" x14ac:dyDescent="0.25">
      <c r="K8819"/>
    </row>
    <row r="8820" spans="11:11" ht="15" x14ac:dyDescent="0.25">
      <c r="K8820"/>
    </row>
    <row r="8821" spans="11:11" ht="15" x14ac:dyDescent="0.25">
      <c r="K8821"/>
    </row>
    <row r="8822" spans="11:11" ht="15" x14ac:dyDescent="0.25">
      <c r="K8822"/>
    </row>
    <row r="8823" spans="11:11" ht="15" x14ac:dyDescent="0.25">
      <c r="K8823"/>
    </row>
    <row r="8824" spans="11:11" ht="15" x14ac:dyDescent="0.25">
      <c r="K8824"/>
    </row>
    <row r="8825" spans="11:11" ht="15" x14ac:dyDescent="0.25">
      <c r="K8825"/>
    </row>
    <row r="8826" spans="11:11" ht="15" x14ac:dyDescent="0.25">
      <c r="K8826"/>
    </row>
    <row r="8827" spans="11:11" ht="15" x14ac:dyDescent="0.25">
      <c r="K8827"/>
    </row>
    <row r="8828" spans="11:11" ht="15" x14ac:dyDescent="0.25">
      <c r="K8828"/>
    </row>
    <row r="8829" spans="11:11" ht="15" x14ac:dyDescent="0.25">
      <c r="K8829"/>
    </row>
    <row r="8830" spans="11:11" ht="15" x14ac:dyDescent="0.25">
      <c r="K8830"/>
    </row>
    <row r="8831" spans="11:11" ht="15" x14ac:dyDescent="0.25">
      <c r="K8831"/>
    </row>
    <row r="8832" spans="11:11" ht="15" x14ac:dyDescent="0.25">
      <c r="K8832"/>
    </row>
    <row r="8833" spans="11:11" ht="15" x14ac:dyDescent="0.25">
      <c r="K8833"/>
    </row>
    <row r="8834" spans="11:11" ht="15" x14ac:dyDescent="0.25">
      <c r="K8834"/>
    </row>
    <row r="8835" spans="11:11" ht="15" x14ac:dyDescent="0.25">
      <c r="K8835"/>
    </row>
    <row r="8836" spans="11:11" ht="15" x14ac:dyDescent="0.25">
      <c r="K8836"/>
    </row>
    <row r="8837" spans="11:11" ht="15" x14ac:dyDescent="0.25">
      <c r="K8837"/>
    </row>
    <row r="8838" spans="11:11" ht="15" x14ac:dyDescent="0.25">
      <c r="K8838"/>
    </row>
    <row r="8839" spans="11:11" ht="15" x14ac:dyDescent="0.25">
      <c r="K8839"/>
    </row>
    <row r="8840" spans="11:11" ht="15" x14ac:dyDescent="0.25">
      <c r="K8840"/>
    </row>
    <row r="8841" spans="11:11" ht="15" x14ac:dyDescent="0.25">
      <c r="K8841"/>
    </row>
    <row r="8842" spans="11:11" ht="15" x14ac:dyDescent="0.25">
      <c r="K8842"/>
    </row>
    <row r="8843" spans="11:11" ht="15" x14ac:dyDescent="0.25">
      <c r="K8843"/>
    </row>
    <row r="8844" spans="11:11" ht="15" x14ac:dyDescent="0.25">
      <c r="K8844"/>
    </row>
    <row r="8845" spans="11:11" ht="15" x14ac:dyDescent="0.25">
      <c r="K8845"/>
    </row>
    <row r="8846" spans="11:11" ht="15" x14ac:dyDescent="0.25">
      <c r="K8846"/>
    </row>
    <row r="8847" spans="11:11" ht="15" x14ac:dyDescent="0.25">
      <c r="K8847"/>
    </row>
    <row r="8848" spans="11:11" ht="15" x14ac:dyDescent="0.25">
      <c r="K8848"/>
    </row>
    <row r="8849" spans="11:11" ht="15" x14ac:dyDescent="0.25">
      <c r="K8849"/>
    </row>
    <row r="8850" spans="11:11" ht="15" x14ac:dyDescent="0.25">
      <c r="K8850"/>
    </row>
    <row r="8851" spans="11:11" ht="15" x14ac:dyDescent="0.25">
      <c r="K8851"/>
    </row>
    <row r="8852" spans="11:11" ht="15" x14ac:dyDescent="0.25">
      <c r="K8852"/>
    </row>
    <row r="8853" spans="11:11" ht="15" x14ac:dyDescent="0.25">
      <c r="K8853"/>
    </row>
    <row r="8854" spans="11:11" ht="15" x14ac:dyDescent="0.25">
      <c r="K8854"/>
    </row>
    <row r="8855" spans="11:11" ht="15" x14ac:dyDescent="0.25">
      <c r="K8855"/>
    </row>
    <row r="8856" spans="11:11" ht="15" x14ac:dyDescent="0.25">
      <c r="K8856"/>
    </row>
    <row r="8857" spans="11:11" ht="15" x14ac:dyDescent="0.25">
      <c r="K8857"/>
    </row>
    <row r="8858" spans="11:11" ht="15" x14ac:dyDescent="0.25">
      <c r="K8858"/>
    </row>
    <row r="8859" spans="11:11" ht="15" x14ac:dyDescent="0.25">
      <c r="K8859"/>
    </row>
    <row r="8860" spans="11:11" ht="15" x14ac:dyDescent="0.25">
      <c r="K8860"/>
    </row>
    <row r="8861" spans="11:11" ht="15" x14ac:dyDescent="0.25">
      <c r="K8861"/>
    </row>
    <row r="8862" spans="11:11" ht="15" x14ac:dyDescent="0.25">
      <c r="K8862"/>
    </row>
    <row r="8863" spans="11:11" ht="15" x14ac:dyDescent="0.25">
      <c r="K8863"/>
    </row>
    <row r="8864" spans="11:11" ht="15" x14ac:dyDescent="0.25">
      <c r="K8864"/>
    </row>
    <row r="8865" spans="11:11" ht="15" x14ac:dyDescent="0.25">
      <c r="K8865"/>
    </row>
    <row r="8866" spans="11:11" ht="15" x14ac:dyDescent="0.25">
      <c r="K8866"/>
    </row>
    <row r="8867" spans="11:11" ht="15" x14ac:dyDescent="0.25">
      <c r="K8867"/>
    </row>
    <row r="8868" spans="11:11" ht="15" x14ac:dyDescent="0.25">
      <c r="K8868"/>
    </row>
    <row r="8869" spans="11:11" ht="15" x14ac:dyDescent="0.25">
      <c r="K8869"/>
    </row>
    <row r="8870" spans="11:11" ht="15" x14ac:dyDescent="0.25">
      <c r="K8870"/>
    </row>
    <row r="8871" spans="11:11" ht="15" x14ac:dyDescent="0.25">
      <c r="K8871"/>
    </row>
    <row r="8872" spans="11:11" ht="15" x14ac:dyDescent="0.25">
      <c r="K8872"/>
    </row>
    <row r="8873" spans="11:11" ht="15" x14ac:dyDescent="0.25">
      <c r="K8873"/>
    </row>
    <row r="8874" spans="11:11" ht="15" x14ac:dyDescent="0.25">
      <c r="K8874"/>
    </row>
    <row r="8875" spans="11:11" ht="15" x14ac:dyDescent="0.25">
      <c r="K8875"/>
    </row>
    <row r="8876" spans="11:11" ht="15" x14ac:dyDescent="0.25">
      <c r="K8876"/>
    </row>
    <row r="8877" spans="11:11" ht="15" x14ac:dyDescent="0.25">
      <c r="K8877"/>
    </row>
    <row r="8878" spans="11:11" ht="15" x14ac:dyDescent="0.25">
      <c r="K8878"/>
    </row>
    <row r="8879" spans="11:11" ht="15" x14ac:dyDescent="0.25">
      <c r="K8879"/>
    </row>
    <row r="8880" spans="11:11" ht="15" x14ac:dyDescent="0.25">
      <c r="K8880"/>
    </row>
    <row r="8881" spans="11:11" ht="15" x14ac:dyDescent="0.25">
      <c r="K8881"/>
    </row>
    <row r="8882" spans="11:11" ht="15" x14ac:dyDescent="0.25">
      <c r="K8882"/>
    </row>
    <row r="8883" spans="11:11" ht="15" x14ac:dyDescent="0.25">
      <c r="K8883"/>
    </row>
    <row r="8884" spans="11:11" ht="15" x14ac:dyDescent="0.25">
      <c r="K8884"/>
    </row>
    <row r="8885" spans="11:11" ht="15" x14ac:dyDescent="0.25">
      <c r="K8885"/>
    </row>
    <row r="8886" spans="11:11" ht="15" x14ac:dyDescent="0.25">
      <c r="K8886"/>
    </row>
    <row r="8887" spans="11:11" ht="15" x14ac:dyDescent="0.25">
      <c r="K8887"/>
    </row>
    <row r="8888" spans="11:11" ht="15" x14ac:dyDescent="0.25">
      <c r="K8888"/>
    </row>
    <row r="8889" spans="11:11" ht="15" x14ac:dyDescent="0.25">
      <c r="K8889"/>
    </row>
    <row r="8890" spans="11:11" ht="15" x14ac:dyDescent="0.25">
      <c r="K8890"/>
    </row>
    <row r="8891" spans="11:11" ht="15" x14ac:dyDescent="0.25">
      <c r="K8891"/>
    </row>
    <row r="8892" spans="11:11" ht="15" x14ac:dyDescent="0.25">
      <c r="K8892"/>
    </row>
    <row r="8893" spans="11:11" ht="15" x14ac:dyDescent="0.25">
      <c r="K8893"/>
    </row>
    <row r="8894" spans="11:11" ht="15" x14ac:dyDescent="0.25">
      <c r="K8894"/>
    </row>
    <row r="8895" spans="11:11" ht="15" x14ac:dyDescent="0.25">
      <c r="K8895"/>
    </row>
    <row r="8896" spans="11:11" ht="15" x14ac:dyDescent="0.25">
      <c r="K8896"/>
    </row>
    <row r="8897" spans="11:11" ht="15" x14ac:dyDescent="0.25">
      <c r="K8897"/>
    </row>
    <row r="8898" spans="11:11" ht="15" x14ac:dyDescent="0.25">
      <c r="K8898"/>
    </row>
    <row r="8899" spans="11:11" ht="15" x14ac:dyDescent="0.25">
      <c r="K8899"/>
    </row>
    <row r="8900" spans="11:11" ht="15" x14ac:dyDescent="0.25">
      <c r="K8900"/>
    </row>
    <row r="8901" spans="11:11" ht="15" x14ac:dyDescent="0.25">
      <c r="K8901"/>
    </row>
    <row r="8902" spans="11:11" ht="15" x14ac:dyDescent="0.25">
      <c r="K8902"/>
    </row>
    <row r="8903" spans="11:11" ht="15" x14ac:dyDescent="0.25">
      <c r="K8903"/>
    </row>
    <row r="8904" spans="11:11" ht="15" x14ac:dyDescent="0.25">
      <c r="K8904"/>
    </row>
    <row r="8905" spans="11:11" ht="15" x14ac:dyDescent="0.25">
      <c r="K8905"/>
    </row>
    <row r="8906" spans="11:11" ht="15" x14ac:dyDescent="0.25">
      <c r="K8906"/>
    </row>
    <row r="8907" spans="11:11" ht="15" x14ac:dyDescent="0.25">
      <c r="K8907"/>
    </row>
    <row r="8908" spans="11:11" ht="15" x14ac:dyDescent="0.25">
      <c r="K8908"/>
    </row>
    <row r="8909" spans="11:11" ht="15" x14ac:dyDescent="0.25">
      <c r="K8909"/>
    </row>
    <row r="8910" spans="11:11" ht="15" x14ac:dyDescent="0.25">
      <c r="K8910"/>
    </row>
    <row r="8911" spans="11:11" ht="15" x14ac:dyDescent="0.25">
      <c r="K8911"/>
    </row>
    <row r="8912" spans="11:11" ht="15" x14ac:dyDescent="0.25">
      <c r="K8912"/>
    </row>
    <row r="8913" spans="11:11" ht="15" x14ac:dyDescent="0.25">
      <c r="K8913"/>
    </row>
    <row r="8914" spans="11:11" ht="15" x14ac:dyDescent="0.25">
      <c r="K8914"/>
    </row>
    <row r="8915" spans="11:11" ht="15" x14ac:dyDescent="0.25">
      <c r="K8915"/>
    </row>
    <row r="8916" spans="11:11" ht="15" x14ac:dyDescent="0.25">
      <c r="K8916"/>
    </row>
    <row r="8917" spans="11:11" ht="15" x14ac:dyDescent="0.25">
      <c r="K8917"/>
    </row>
    <row r="8918" spans="11:11" ht="15" x14ac:dyDescent="0.25">
      <c r="K8918"/>
    </row>
    <row r="8919" spans="11:11" ht="15" x14ac:dyDescent="0.25">
      <c r="K8919"/>
    </row>
    <row r="8920" spans="11:11" ht="15" x14ac:dyDescent="0.25">
      <c r="K8920"/>
    </row>
    <row r="8921" spans="11:11" ht="15" x14ac:dyDescent="0.25">
      <c r="K8921"/>
    </row>
    <row r="8922" spans="11:11" ht="15" x14ac:dyDescent="0.25">
      <c r="K8922"/>
    </row>
    <row r="8923" spans="11:11" ht="15" x14ac:dyDescent="0.25">
      <c r="K8923"/>
    </row>
    <row r="8924" spans="11:11" ht="15" x14ac:dyDescent="0.25">
      <c r="K8924"/>
    </row>
    <row r="8925" spans="11:11" ht="15" x14ac:dyDescent="0.25">
      <c r="K8925"/>
    </row>
    <row r="8926" spans="11:11" ht="15" x14ac:dyDescent="0.25">
      <c r="K8926"/>
    </row>
    <row r="8927" spans="11:11" ht="15" x14ac:dyDescent="0.25">
      <c r="K8927"/>
    </row>
    <row r="8928" spans="11:11" ht="15" x14ac:dyDescent="0.25">
      <c r="K8928"/>
    </row>
    <row r="8929" spans="11:11" ht="15" x14ac:dyDescent="0.25">
      <c r="K8929"/>
    </row>
    <row r="8930" spans="11:11" ht="15" x14ac:dyDescent="0.25">
      <c r="K8930"/>
    </row>
    <row r="8931" spans="11:11" ht="15" x14ac:dyDescent="0.25">
      <c r="K8931"/>
    </row>
    <row r="8932" spans="11:11" ht="15" x14ac:dyDescent="0.25">
      <c r="K8932"/>
    </row>
    <row r="8933" spans="11:11" ht="15" x14ac:dyDescent="0.25">
      <c r="K8933"/>
    </row>
    <row r="8934" spans="11:11" ht="15" x14ac:dyDescent="0.25">
      <c r="K8934"/>
    </row>
    <row r="8935" spans="11:11" ht="15" x14ac:dyDescent="0.25">
      <c r="K8935"/>
    </row>
    <row r="8936" spans="11:11" ht="15" x14ac:dyDescent="0.25">
      <c r="K8936"/>
    </row>
    <row r="8937" spans="11:11" ht="15" x14ac:dyDescent="0.25">
      <c r="K8937"/>
    </row>
    <row r="8938" spans="11:11" ht="15" x14ac:dyDescent="0.25">
      <c r="K8938"/>
    </row>
    <row r="8939" spans="11:11" ht="15" x14ac:dyDescent="0.25">
      <c r="K8939"/>
    </row>
    <row r="8940" spans="11:11" ht="15" x14ac:dyDescent="0.25">
      <c r="K8940"/>
    </row>
    <row r="8941" spans="11:11" ht="15" x14ac:dyDescent="0.25">
      <c r="K8941"/>
    </row>
    <row r="8942" spans="11:11" ht="15" x14ac:dyDescent="0.25">
      <c r="K8942"/>
    </row>
    <row r="8943" spans="11:11" ht="15" x14ac:dyDescent="0.25">
      <c r="K8943"/>
    </row>
    <row r="8944" spans="11:11" ht="15" x14ac:dyDescent="0.25">
      <c r="K8944"/>
    </row>
    <row r="8945" spans="11:11" ht="15" x14ac:dyDescent="0.25">
      <c r="K8945"/>
    </row>
    <row r="8946" spans="11:11" ht="15" x14ac:dyDescent="0.25">
      <c r="K8946"/>
    </row>
    <row r="8947" spans="11:11" ht="15" x14ac:dyDescent="0.25">
      <c r="K8947"/>
    </row>
    <row r="8948" spans="11:11" ht="15" x14ac:dyDescent="0.25">
      <c r="K8948"/>
    </row>
    <row r="8949" spans="11:11" ht="15" x14ac:dyDescent="0.25">
      <c r="K8949"/>
    </row>
    <row r="8950" spans="11:11" ht="15" x14ac:dyDescent="0.25">
      <c r="K8950"/>
    </row>
    <row r="8951" spans="11:11" ht="15" x14ac:dyDescent="0.25">
      <c r="K8951"/>
    </row>
    <row r="8952" spans="11:11" ht="15" x14ac:dyDescent="0.25">
      <c r="K8952"/>
    </row>
    <row r="8953" spans="11:11" ht="15" x14ac:dyDescent="0.25">
      <c r="K8953"/>
    </row>
    <row r="8954" spans="11:11" ht="15" x14ac:dyDescent="0.25">
      <c r="K8954"/>
    </row>
    <row r="8955" spans="11:11" ht="15" x14ac:dyDescent="0.25">
      <c r="K8955"/>
    </row>
    <row r="8956" spans="11:11" ht="15" x14ac:dyDescent="0.25">
      <c r="K8956"/>
    </row>
    <row r="8957" spans="11:11" ht="15" x14ac:dyDescent="0.25">
      <c r="K8957"/>
    </row>
    <row r="8958" spans="11:11" ht="15" x14ac:dyDescent="0.25">
      <c r="K8958"/>
    </row>
    <row r="8959" spans="11:11" ht="15" x14ac:dyDescent="0.25">
      <c r="K8959"/>
    </row>
    <row r="8960" spans="11:11" ht="15" x14ac:dyDescent="0.25">
      <c r="K8960"/>
    </row>
    <row r="8961" spans="11:11" ht="15" x14ac:dyDescent="0.25">
      <c r="K8961"/>
    </row>
    <row r="8962" spans="11:11" ht="15" x14ac:dyDescent="0.25">
      <c r="K8962"/>
    </row>
    <row r="8963" spans="11:11" ht="15" x14ac:dyDescent="0.25">
      <c r="K8963"/>
    </row>
    <row r="8964" spans="11:11" ht="15" x14ac:dyDescent="0.25">
      <c r="K8964"/>
    </row>
    <row r="8965" spans="11:11" ht="15" x14ac:dyDescent="0.25">
      <c r="K8965"/>
    </row>
    <row r="8966" spans="11:11" ht="15" x14ac:dyDescent="0.25">
      <c r="K8966"/>
    </row>
    <row r="8967" spans="11:11" ht="15" x14ac:dyDescent="0.25">
      <c r="K8967"/>
    </row>
    <row r="8968" spans="11:11" ht="15" x14ac:dyDescent="0.25">
      <c r="K8968"/>
    </row>
    <row r="8969" spans="11:11" ht="15" x14ac:dyDescent="0.25">
      <c r="K8969"/>
    </row>
    <row r="8970" spans="11:11" ht="15" x14ac:dyDescent="0.25">
      <c r="K8970"/>
    </row>
    <row r="8971" spans="11:11" ht="15" x14ac:dyDescent="0.25">
      <c r="K8971"/>
    </row>
    <row r="8972" spans="11:11" ht="15" x14ac:dyDescent="0.25">
      <c r="K8972"/>
    </row>
    <row r="8973" spans="11:11" ht="15" x14ac:dyDescent="0.25">
      <c r="K8973"/>
    </row>
    <row r="8974" spans="11:11" ht="15" x14ac:dyDescent="0.25">
      <c r="K8974"/>
    </row>
    <row r="8975" spans="11:11" ht="15" x14ac:dyDescent="0.25">
      <c r="K8975"/>
    </row>
    <row r="8976" spans="11:11" ht="15" x14ac:dyDescent="0.25">
      <c r="K8976"/>
    </row>
    <row r="8977" spans="11:11" ht="15" x14ac:dyDescent="0.25">
      <c r="K8977"/>
    </row>
    <row r="8978" spans="11:11" ht="15" x14ac:dyDescent="0.25">
      <c r="K8978"/>
    </row>
    <row r="8979" spans="11:11" ht="15" x14ac:dyDescent="0.25">
      <c r="K8979"/>
    </row>
    <row r="8980" spans="11:11" ht="15" x14ac:dyDescent="0.25">
      <c r="K8980"/>
    </row>
    <row r="8981" spans="11:11" ht="15" x14ac:dyDescent="0.25">
      <c r="K8981"/>
    </row>
    <row r="8982" spans="11:11" ht="15" x14ac:dyDescent="0.25">
      <c r="K8982"/>
    </row>
    <row r="8983" spans="11:11" ht="15" x14ac:dyDescent="0.25">
      <c r="K8983"/>
    </row>
    <row r="8984" spans="11:11" ht="15" x14ac:dyDescent="0.25">
      <c r="K8984"/>
    </row>
    <row r="8985" spans="11:11" ht="15" x14ac:dyDescent="0.25">
      <c r="K8985"/>
    </row>
    <row r="8986" spans="11:11" ht="15" x14ac:dyDescent="0.25">
      <c r="K8986"/>
    </row>
    <row r="8987" spans="11:11" ht="15" x14ac:dyDescent="0.25">
      <c r="K8987"/>
    </row>
    <row r="8988" spans="11:11" ht="15" x14ac:dyDescent="0.25">
      <c r="K8988"/>
    </row>
    <row r="8989" spans="11:11" ht="15" x14ac:dyDescent="0.25">
      <c r="K8989"/>
    </row>
    <row r="8990" spans="11:11" ht="15" x14ac:dyDescent="0.25">
      <c r="K8990"/>
    </row>
    <row r="8991" spans="11:11" ht="15" x14ac:dyDescent="0.25">
      <c r="K8991"/>
    </row>
    <row r="8992" spans="11:11" ht="15" x14ac:dyDescent="0.25">
      <c r="K8992"/>
    </row>
    <row r="8993" spans="11:11" ht="15" x14ac:dyDescent="0.25">
      <c r="K8993"/>
    </row>
    <row r="8994" spans="11:11" ht="15" x14ac:dyDescent="0.25">
      <c r="K8994"/>
    </row>
    <row r="8995" spans="11:11" ht="15" x14ac:dyDescent="0.25">
      <c r="K8995"/>
    </row>
    <row r="8996" spans="11:11" ht="15" x14ac:dyDescent="0.25">
      <c r="K8996"/>
    </row>
    <row r="8997" spans="11:11" ht="15" x14ac:dyDescent="0.25">
      <c r="K8997"/>
    </row>
    <row r="8998" spans="11:11" ht="15" x14ac:dyDescent="0.25">
      <c r="K8998"/>
    </row>
    <row r="8999" spans="11:11" ht="15" x14ac:dyDescent="0.25">
      <c r="K8999"/>
    </row>
    <row r="9000" spans="11:11" ht="15" x14ac:dyDescent="0.25">
      <c r="K9000"/>
    </row>
    <row r="9001" spans="11:11" ht="15" x14ac:dyDescent="0.25">
      <c r="K9001"/>
    </row>
    <row r="9002" spans="11:11" ht="15" x14ac:dyDescent="0.25">
      <c r="K9002"/>
    </row>
    <row r="9003" spans="11:11" ht="15" x14ac:dyDescent="0.25">
      <c r="K9003"/>
    </row>
    <row r="9004" spans="11:11" ht="15" x14ac:dyDescent="0.25">
      <c r="K9004"/>
    </row>
    <row r="9005" spans="11:11" ht="15" x14ac:dyDescent="0.25">
      <c r="K9005"/>
    </row>
    <row r="9006" spans="11:11" ht="15" x14ac:dyDescent="0.25">
      <c r="K9006"/>
    </row>
    <row r="9007" spans="11:11" ht="15" x14ac:dyDescent="0.25">
      <c r="K9007"/>
    </row>
    <row r="9008" spans="11:11" ht="15" x14ac:dyDescent="0.25">
      <c r="K9008"/>
    </row>
    <row r="9009" spans="11:11" ht="15" x14ac:dyDescent="0.25">
      <c r="K9009"/>
    </row>
    <row r="9010" spans="11:11" ht="15" x14ac:dyDescent="0.25">
      <c r="K9010"/>
    </row>
    <row r="9011" spans="11:11" ht="15" x14ac:dyDescent="0.25">
      <c r="K9011"/>
    </row>
    <row r="9012" spans="11:11" ht="15" x14ac:dyDescent="0.25">
      <c r="K9012"/>
    </row>
    <row r="9013" spans="11:11" ht="15" x14ac:dyDescent="0.25">
      <c r="K9013"/>
    </row>
    <row r="9014" spans="11:11" ht="15" x14ac:dyDescent="0.25">
      <c r="K9014"/>
    </row>
    <row r="9015" spans="11:11" ht="15" x14ac:dyDescent="0.25">
      <c r="K9015"/>
    </row>
    <row r="9016" spans="11:11" ht="15" x14ac:dyDescent="0.25">
      <c r="K9016"/>
    </row>
    <row r="9017" spans="11:11" ht="15" x14ac:dyDescent="0.25">
      <c r="K9017"/>
    </row>
    <row r="9018" spans="11:11" ht="15" x14ac:dyDescent="0.25">
      <c r="K9018"/>
    </row>
    <row r="9019" spans="11:11" ht="15" x14ac:dyDescent="0.25">
      <c r="K9019"/>
    </row>
    <row r="9020" spans="11:11" ht="15" x14ac:dyDescent="0.25">
      <c r="K9020"/>
    </row>
    <row r="9021" spans="11:11" ht="15" x14ac:dyDescent="0.25">
      <c r="K9021"/>
    </row>
    <row r="9022" spans="11:11" ht="15" x14ac:dyDescent="0.25">
      <c r="K9022"/>
    </row>
    <row r="9023" spans="11:11" ht="15" x14ac:dyDescent="0.25">
      <c r="K9023"/>
    </row>
    <row r="9024" spans="11:11" ht="15" x14ac:dyDescent="0.25">
      <c r="K9024"/>
    </row>
    <row r="9025" spans="11:11" ht="15" x14ac:dyDescent="0.25">
      <c r="K9025"/>
    </row>
    <row r="9026" spans="11:11" ht="15" x14ac:dyDescent="0.25">
      <c r="K9026"/>
    </row>
    <row r="9027" spans="11:11" ht="15" x14ac:dyDescent="0.25">
      <c r="K9027"/>
    </row>
    <row r="9028" spans="11:11" ht="15" x14ac:dyDescent="0.25">
      <c r="K9028"/>
    </row>
    <row r="9029" spans="11:11" ht="15" x14ac:dyDescent="0.25">
      <c r="K9029"/>
    </row>
    <row r="9030" spans="11:11" ht="15" x14ac:dyDescent="0.25">
      <c r="K9030"/>
    </row>
    <row r="9031" spans="11:11" ht="15" x14ac:dyDescent="0.25">
      <c r="K9031"/>
    </row>
    <row r="9032" spans="11:11" ht="15" x14ac:dyDescent="0.25">
      <c r="K9032"/>
    </row>
    <row r="9033" spans="11:11" ht="15" x14ac:dyDescent="0.25">
      <c r="K9033"/>
    </row>
    <row r="9034" spans="11:11" ht="15" x14ac:dyDescent="0.25">
      <c r="K9034"/>
    </row>
    <row r="9035" spans="11:11" ht="15" x14ac:dyDescent="0.25">
      <c r="K9035"/>
    </row>
    <row r="9036" spans="11:11" ht="15" x14ac:dyDescent="0.25">
      <c r="K9036"/>
    </row>
    <row r="9037" spans="11:11" ht="15" x14ac:dyDescent="0.25">
      <c r="K9037"/>
    </row>
    <row r="9038" spans="11:11" ht="15" x14ac:dyDescent="0.25">
      <c r="K9038"/>
    </row>
    <row r="9039" spans="11:11" ht="15" x14ac:dyDescent="0.25">
      <c r="K9039"/>
    </row>
    <row r="9040" spans="11:11" ht="15" x14ac:dyDescent="0.25">
      <c r="K9040"/>
    </row>
    <row r="9041" spans="11:11" ht="15" x14ac:dyDescent="0.25">
      <c r="K9041"/>
    </row>
    <row r="9042" spans="11:11" ht="15" x14ac:dyDescent="0.25">
      <c r="K9042"/>
    </row>
    <row r="9043" spans="11:11" ht="15" x14ac:dyDescent="0.25">
      <c r="K9043"/>
    </row>
    <row r="9044" spans="11:11" ht="15" x14ac:dyDescent="0.25">
      <c r="K9044"/>
    </row>
    <row r="9045" spans="11:11" ht="15" x14ac:dyDescent="0.25">
      <c r="K9045"/>
    </row>
    <row r="9046" spans="11:11" ht="15" x14ac:dyDescent="0.25">
      <c r="K9046"/>
    </row>
    <row r="9047" spans="11:11" ht="15" x14ac:dyDescent="0.25">
      <c r="K9047"/>
    </row>
    <row r="9048" spans="11:11" ht="15" x14ac:dyDescent="0.25">
      <c r="K9048"/>
    </row>
    <row r="9049" spans="11:11" ht="15" x14ac:dyDescent="0.25">
      <c r="K9049"/>
    </row>
    <row r="9050" spans="11:11" ht="15" x14ac:dyDescent="0.25">
      <c r="K9050"/>
    </row>
    <row r="9051" spans="11:11" ht="15" x14ac:dyDescent="0.25">
      <c r="K9051"/>
    </row>
    <row r="9052" spans="11:11" ht="15" x14ac:dyDescent="0.25">
      <c r="K9052"/>
    </row>
    <row r="9053" spans="11:11" ht="15" x14ac:dyDescent="0.25">
      <c r="K9053"/>
    </row>
    <row r="9054" spans="11:11" ht="15" x14ac:dyDescent="0.25">
      <c r="K9054"/>
    </row>
    <row r="9055" spans="11:11" ht="15" x14ac:dyDescent="0.25">
      <c r="K9055"/>
    </row>
    <row r="9056" spans="11:11" ht="15" x14ac:dyDescent="0.25">
      <c r="K9056"/>
    </row>
    <row r="9057" spans="11:11" ht="15" x14ac:dyDescent="0.25">
      <c r="K9057"/>
    </row>
    <row r="9058" spans="11:11" ht="15" x14ac:dyDescent="0.25">
      <c r="K9058"/>
    </row>
    <row r="9059" spans="11:11" ht="15" x14ac:dyDescent="0.25">
      <c r="K9059"/>
    </row>
    <row r="9060" spans="11:11" ht="15" x14ac:dyDescent="0.25">
      <c r="K9060"/>
    </row>
    <row r="9061" spans="11:11" ht="15" x14ac:dyDescent="0.25">
      <c r="K9061"/>
    </row>
    <row r="9062" spans="11:11" ht="15" x14ac:dyDescent="0.25">
      <c r="K9062"/>
    </row>
    <row r="9063" spans="11:11" ht="15" x14ac:dyDescent="0.25">
      <c r="K9063"/>
    </row>
    <row r="9064" spans="11:11" ht="15" x14ac:dyDescent="0.25">
      <c r="K9064"/>
    </row>
    <row r="9065" spans="11:11" ht="15" x14ac:dyDescent="0.25">
      <c r="K9065"/>
    </row>
    <row r="9066" spans="11:11" ht="15" x14ac:dyDescent="0.25">
      <c r="K9066"/>
    </row>
    <row r="9067" spans="11:11" ht="15" x14ac:dyDescent="0.25">
      <c r="K9067"/>
    </row>
    <row r="9068" spans="11:11" ht="15" x14ac:dyDescent="0.25">
      <c r="K9068"/>
    </row>
    <row r="9069" spans="11:11" ht="15" x14ac:dyDescent="0.25">
      <c r="K9069"/>
    </row>
    <row r="9070" spans="11:11" ht="15" x14ac:dyDescent="0.25">
      <c r="K9070"/>
    </row>
    <row r="9071" spans="11:11" ht="15" x14ac:dyDescent="0.25">
      <c r="K9071"/>
    </row>
    <row r="9072" spans="11:11" ht="15" x14ac:dyDescent="0.25">
      <c r="K9072"/>
    </row>
    <row r="9073" spans="11:11" ht="15" x14ac:dyDescent="0.25">
      <c r="K9073"/>
    </row>
    <row r="9074" spans="11:11" ht="15" x14ac:dyDescent="0.25">
      <c r="K9074"/>
    </row>
    <row r="9075" spans="11:11" ht="15" x14ac:dyDescent="0.25">
      <c r="K9075"/>
    </row>
    <row r="9076" spans="11:11" ht="15" x14ac:dyDescent="0.25">
      <c r="K9076"/>
    </row>
    <row r="9077" spans="11:11" ht="15" x14ac:dyDescent="0.25">
      <c r="K9077"/>
    </row>
    <row r="9078" spans="11:11" ht="15" x14ac:dyDescent="0.25">
      <c r="K9078"/>
    </row>
    <row r="9079" spans="11:11" ht="15" x14ac:dyDescent="0.25">
      <c r="K9079"/>
    </row>
    <row r="9080" spans="11:11" ht="15" x14ac:dyDescent="0.25">
      <c r="K9080"/>
    </row>
    <row r="9081" spans="11:11" ht="15" x14ac:dyDescent="0.25">
      <c r="K9081"/>
    </row>
    <row r="9082" spans="11:11" ht="15" x14ac:dyDescent="0.25">
      <c r="K9082"/>
    </row>
    <row r="9083" spans="11:11" ht="15" x14ac:dyDescent="0.25">
      <c r="K9083"/>
    </row>
    <row r="9084" spans="11:11" ht="15" x14ac:dyDescent="0.25">
      <c r="K9084"/>
    </row>
    <row r="9085" spans="11:11" ht="15" x14ac:dyDescent="0.25">
      <c r="K9085"/>
    </row>
    <row r="9086" spans="11:11" ht="15" x14ac:dyDescent="0.25">
      <c r="K9086"/>
    </row>
    <row r="9087" spans="11:11" ht="15" x14ac:dyDescent="0.25">
      <c r="K9087"/>
    </row>
    <row r="9088" spans="11:11" ht="15" x14ac:dyDescent="0.25">
      <c r="K9088"/>
    </row>
    <row r="9089" spans="11:11" ht="15" x14ac:dyDescent="0.25">
      <c r="K9089"/>
    </row>
    <row r="9090" spans="11:11" ht="15" x14ac:dyDescent="0.25">
      <c r="K9090"/>
    </row>
    <row r="9091" spans="11:11" ht="15" x14ac:dyDescent="0.25">
      <c r="K9091"/>
    </row>
    <row r="9092" spans="11:11" ht="15" x14ac:dyDescent="0.25">
      <c r="K9092"/>
    </row>
    <row r="9093" spans="11:11" ht="15" x14ac:dyDescent="0.25">
      <c r="K9093"/>
    </row>
    <row r="9094" spans="11:11" ht="15" x14ac:dyDescent="0.25">
      <c r="K9094"/>
    </row>
    <row r="9095" spans="11:11" ht="15" x14ac:dyDescent="0.25">
      <c r="K9095"/>
    </row>
    <row r="9096" spans="11:11" ht="15" x14ac:dyDescent="0.25">
      <c r="K9096"/>
    </row>
    <row r="9097" spans="11:11" ht="15" x14ac:dyDescent="0.25">
      <c r="K9097"/>
    </row>
    <row r="9098" spans="11:11" ht="15" x14ac:dyDescent="0.25">
      <c r="K9098"/>
    </row>
    <row r="9099" spans="11:11" ht="15" x14ac:dyDescent="0.25">
      <c r="K9099"/>
    </row>
    <row r="9100" spans="11:11" ht="15" x14ac:dyDescent="0.25">
      <c r="K9100"/>
    </row>
    <row r="9101" spans="11:11" ht="15" x14ac:dyDescent="0.25">
      <c r="K9101"/>
    </row>
    <row r="9102" spans="11:11" ht="15" x14ac:dyDescent="0.25">
      <c r="K9102"/>
    </row>
    <row r="9103" spans="11:11" ht="15" x14ac:dyDescent="0.25">
      <c r="K9103"/>
    </row>
    <row r="9104" spans="11:11" ht="15" x14ac:dyDescent="0.25">
      <c r="K9104"/>
    </row>
    <row r="9105" spans="11:11" ht="15" x14ac:dyDescent="0.25">
      <c r="K9105"/>
    </row>
    <row r="9106" spans="11:11" ht="15" x14ac:dyDescent="0.25">
      <c r="K9106"/>
    </row>
    <row r="9107" spans="11:11" ht="15" x14ac:dyDescent="0.25">
      <c r="K9107"/>
    </row>
    <row r="9108" spans="11:11" ht="15" x14ac:dyDescent="0.25">
      <c r="K9108"/>
    </row>
    <row r="9109" spans="11:11" ht="15" x14ac:dyDescent="0.25">
      <c r="K9109"/>
    </row>
    <row r="9110" spans="11:11" ht="15" x14ac:dyDescent="0.25">
      <c r="K9110"/>
    </row>
    <row r="9111" spans="11:11" ht="15" x14ac:dyDescent="0.25">
      <c r="K9111"/>
    </row>
    <row r="9112" spans="11:11" ht="15" x14ac:dyDescent="0.25">
      <c r="K9112"/>
    </row>
    <row r="9113" spans="11:11" ht="15" x14ac:dyDescent="0.25">
      <c r="K9113"/>
    </row>
    <row r="9114" spans="11:11" ht="15" x14ac:dyDescent="0.25">
      <c r="K9114"/>
    </row>
    <row r="9115" spans="11:11" ht="15" x14ac:dyDescent="0.25">
      <c r="K9115"/>
    </row>
    <row r="9116" spans="11:11" ht="15" x14ac:dyDescent="0.25">
      <c r="K9116"/>
    </row>
    <row r="9117" spans="11:11" ht="15" x14ac:dyDescent="0.25">
      <c r="K9117"/>
    </row>
    <row r="9118" spans="11:11" ht="15" x14ac:dyDescent="0.25">
      <c r="K9118"/>
    </row>
    <row r="9119" spans="11:11" ht="15" x14ac:dyDescent="0.25">
      <c r="K9119"/>
    </row>
    <row r="9120" spans="11:11" ht="15" x14ac:dyDescent="0.25">
      <c r="K9120"/>
    </row>
    <row r="9121" spans="11:11" ht="15" x14ac:dyDescent="0.25">
      <c r="K9121"/>
    </row>
    <row r="9122" spans="11:11" ht="15" x14ac:dyDescent="0.25">
      <c r="K9122"/>
    </row>
    <row r="9123" spans="11:11" ht="15" x14ac:dyDescent="0.25">
      <c r="K9123"/>
    </row>
    <row r="9124" spans="11:11" ht="15" x14ac:dyDescent="0.25">
      <c r="K9124"/>
    </row>
    <row r="9125" spans="11:11" ht="15" x14ac:dyDescent="0.25">
      <c r="K9125"/>
    </row>
    <row r="9126" spans="11:11" ht="15" x14ac:dyDescent="0.25">
      <c r="K9126"/>
    </row>
    <row r="9127" spans="11:11" ht="15" x14ac:dyDescent="0.25">
      <c r="K9127"/>
    </row>
    <row r="9128" spans="11:11" ht="15" x14ac:dyDescent="0.25">
      <c r="K9128"/>
    </row>
    <row r="9129" spans="11:11" ht="15" x14ac:dyDescent="0.25">
      <c r="K9129"/>
    </row>
    <row r="9130" spans="11:11" ht="15" x14ac:dyDescent="0.25">
      <c r="K9130"/>
    </row>
    <row r="9131" spans="11:11" ht="15" x14ac:dyDescent="0.25">
      <c r="K9131"/>
    </row>
    <row r="9132" spans="11:11" ht="15" x14ac:dyDescent="0.25">
      <c r="K9132"/>
    </row>
    <row r="9133" spans="11:11" ht="15" x14ac:dyDescent="0.25">
      <c r="K9133"/>
    </row>
    <row r="9134" spans="11:11" ht="15" x14ac:dyDescent="0.25">
      <c r="K9134"/>
    </row>
    <row r="9135" spans="11:11" ht="15" x14ac:dyDescent="0.25">
      <c r="K9135"/>
    </row>
    <row r="9136" spans="11:11" ht="15" x14ac:dyDescent="0.25">
      <c r="K9136"/>
    </row>
    <row r="9137" spans="11:11" ht="15" x14ac:dyDescent="0.25">
      <c r="K9137"/>
    </row>
    <row r="9138" spans="11:11" ht="15" x14ac:dyDescent="0.25">
      <c r="K9138"/>
    </row>
    <row r="9139" spans="11:11" ht="15" x14ac:dyDescent="0.25">
      <c r="K9139"/>
    </row>
    <row r="9140" spans="11:11" ht="15" x14ac:dyDescent="0.25">
      <c r="K9140"/>
    </row>
    <row r="9141" spans="11:11" ht="15" x14ac:dyDescent="0.25">
      <c r="K9141"/>
    </row>
    <row r="9142" spans="11:11" ht="15" x14ac:dyDescent="0.25">
      <c r="K9142"/>
    </row>
    <row r="9143" spans="11:11" ht="15" x14ac:dyDescent="0.25">
      <c r="K9143"/>
    </row>
    <row r="9144" spans="11:11" ht="15" x14ac:dyDescent="0.25">
      <c r="K9144"/>
    </row>
    <row r="9145" spans="11:11" ht="15" x14ac:dyDescent="0.25">
      <c r="K9145"/>
    </row>
    <row r="9146" spans="11:11" ht="15" x14ac:dyDescent="0.25">
      <c r="K9146"/>
    </row>
    <row r="9147" spans="11:11" ht="15" x14ac:dyDescent="0.25">
      <c r="K9147"/>
    </row>
    <row r="9148" spans="11:11" ht="15" x14ac:dyDescent="0.25">
      <c r="K9148"/>
    </row>
    <row r="9149" spans="11:11" ht="15" x14ac:dyDescent="0.25">
      <c r="K9149"/>
    </row>
    <row r="9150" spans="11:11" ht="15" x14ac:dyDescent="0.25">
      <c r="K9150"/>
    </row>
    <row r="9151" spans="11:11" ht="15" x14ac:dyDescent="0.25">
      <c r="K9151"/>
    </row>
    <row r="9152" spans="11:11" ht="15" x14ac:dyDescent="0.25">
      <c r="K9152"/>
    </row>
    <row r="9153" spans="11:11" ht="15" x14ac:dyDescent="0.25">
      <c r="K9153"/>
    </row>
    <row r="9154" spans="11:11" ht="15" x14ac:dyDescent="0.25">
      <c r="K9154"/>
    </row>
    <row r="9155" spans="11:11" ht="15" x14ac:dyDescent="0.25">
      <c r="K9155"/>
    </row>
    <row r="9156" spans="11:11" ht="15" x14ac:dyDescent="0.25">
      <c r="K9156"/>
    </row>
    <row r="9157" spans="11:11" ht="15" x14ac:dyDescent="0.25">
      <c r="K9157"/>
    </row>
    <row r="9158" spans="11:11" ht="15" x14ac:dyDescent="0.25">
      <c r="K9158"/>
    </row>
    <row r="9159" spans="11:11" ht="15" x14ac:dyDescent="0.25">
      <c r="K9159"/>
    </row>
    <row r="9160" spans="11:11" ht="15" x14ac:dyDescent="0.25">
      <c r="K9160"/>
    </row>
    <row r="9161" spans="11:11" ht="15" x14ac:dyDescent="0.25">
      <c r="K9161"/>
    </row>
    <row r="9162" spans="11:11" ht="15" x14ac:dyDescent="0.25">
      <c r="K9162"/>
    </row>
    <row r="9163" spans="11:11" ht="15" x14ac:dyDescent="0.25">
      <c r="K9163"/>
    </row>
    <row r="9164" spans="11:11" ht="15" x14ac:dyDescent="0.25">
      <c r="K9164"/>
    </row>
    <row r="9165" spans="11:11" ht="15" x14ac:dyDescent="0.25">
      <c r="K9165"/>
    </row>
    <row r="9166" spans="11:11" ht="15" x14ac:dyDescent="0.25">
      <c r="K9166"/>
    </row>
    <row r="9167" spans="11:11" ht="15" x14ac:dyDescent="0.25">
      <c r="K9167"/>
    </row>
    <row r="9168" spans="11:11" ht="15" x14ac:dyDescent="0.25">
      <c r="K9168"/>
    </row>
    <row r="9169" spans="11:11" ht="15" x14ac:dyDescent="0.25">
      <c r="K9169"/>
    </row>
    <row r="9170" spans="11:11" ht="15" x14ac:dyDescent="0.25">
      <c r="K9170"/>
    </row>
    <row r="9171" spans="11:11" ht="15" x14ac:dyDescent="0.25">
      <c r="K9171"/>
    </row>
    <row r="9172" spans="11:11" ht="15" x14ac:dyDescent="0.25">
      <c r="K9172"/>
    </row>
    <row r="9173" spans="11:11" ht="15" x14ac:dyDescent="0.25">
      <c r="K9173"/>
    </row>
    <row r="9174" spans="11:11" ht="15" x14ac:dyDescent="0.25">
      <c r="K9174"/>
    </row>
    <row r="9175" spans="11:11" ht="15" x14ac:dyDescent="0.25">
      <c r="K9175"/>
    </row>
    <row r="9176" spans="11:11" ht="15" x14ac:dyDescent="0.25">
      <c r="K9176"/>
    </row>
    <row r="9177" spans="11:11" ht="15" x14ac:dyDescent="0.25">
      <c r="K9177"/>
    </row>
    <row r="9178" spans="11:11" ht="15" x14ac:dyDescent="0.25">
      <c r="K9178"/>
    </row>
    <row r="9179" spans="11:11" ht="15" x14ac:dyDescent="0.25">
      <c r="K9179"/>
    </row>
    <row r="9180" spans="11:11" ht="15" x14ac:dyDescent="0.25">
      <c r="K9180"/>
    </row>
    <row r="9181" spans="11:11" ht="15" x14ac:dyDescent="0.25">
      <c r="K9181"/>
    </row>
    <row r="9182" spans="11:11" ht="15" x14ac:dyDescent="0.25">
      <c r="K9182"/>
    </row>
    <row r="9183" spans="11:11" ht="15" x14ac:dyDescent="0.25">
      <c r="K9183"/>
    </row>
    <row r="9184" spans="11:11" ht="15" x14ac:dyDescent="0.25">
      <c r="K9184"/>
    </row>
    <row r="9185" spans="11:11" ht="15" x14ac:dyDescent="0.25">
      <c r="K9185"/>
    </row>
    <row r="9186" spans="11:11" ht="15" x14ac:dyDescent="0.25">
      <c r="K9186"/>
    </row>
    <row r="9187" spans="11:11" ht="15" x14ac:dyDescent="0.25">
      <c r="K9187"/>
    </row>
    <row r="9188" spans="11:11" ht="15" x14ac:dyDescent="0.25">
      <c r="K9188"/>
    </row>
    <row r="9189" spans="11:11" ht="15" x14ac:dyDescent="0.25">
      <c r="K9189"/>
    </row>
    <row r="9190" spans="11:11" ht="15" x14ac:dyDescent="0.25">
      <c r="K9190"/>
    </row>
    <row r="9191" spans="11:11" ht="15" x14ac:dyDescent="0.25">
      <c r="K9191"/>
    </row>
    <row r="9192" spans="11:11" ht="15" x14ac:dyDescent="0.25">
      <c r="K9192"/>
    </row>
    <row r="9193" spans="11:11" ht="15" x14ac:dyDescent="0.25">
      <c r="K9193"/>
    </row>
    <row r="9194" spans="11:11" ht="15" x14ac:dyDescent="0.25">
      <c r="K9194"/>
    </row>
    <row r="9195" spans="11:11" ht="15" x14ac:dyDescent="0.25">
      <c r="K9195"/>
    </row>
    <row r="9196" spans="11:11" ht="15" x14ac:dyDescent="0.25">
      <c r="K9196"/>
    </row>
    <row r="9197" spans="11:11" ht="15" x14ac:dyDescent="0.25">
      <c r="K9197"/>
    </row>
    <row r="9198" spans="11:11" ht="15" x14ac:dyDescent="0.25">
      <c r="K9198"/>
    </row>
    <row r="9199" spans="11:11" ht="15" x14ac:dyDescent="0.25">
      <c r="K9199"/>
    </row>
    <row r="9200" spans="11:11" ht="15" x14ac:dyDescent="0.25">
      <c r="K9200"/>
    </row>
    <row r="9201" spans="11:11" ht="15" x14ac:dyDescent="0.25">
      <c r="K9201"/>
    </row>
    <row r="9202" spans="11:11" ht="15" x14ac:dyDescent="0.25">
      <c r="K9202"/>
    </row>
    <row r="9203" spans="11:11" ht="15" x14ac:dyDescent="0.25">
      <c r="K9203"/>
    </row>
    <row r="9204" spans="11:11" ht="15" x14ac:dyDescent="0.25">
      <c r="K9204"/>
    </row>
    <row r="9205" spans="11:11" ht="15" x14ac:dyDescent="0.25">
      <c r="K9205"/>
    </row>
    <row r="9206" spans="11:11" ht="15" x14ac:dyDescent="0.25">
      <c r="K9206"/>
    </row>
    <row r="9207" spans="11:11" ht="15" x14ac:dyDescent="0.25">
      <c r="K9207"/>
    </row>
    <row r="9208" spans="11:11" ht="15" x14ac:dyDescent="0.25">
      <c r="K9208"/>
    </row>
    <row r="9209" spans="11:11" ht="15" x14ac:dyDescent="0.25">
      <c r="K9209"/>
    </row>
    <row r="9210" spans="11:11" ht="15" x14ac:dyDescent="0.25">
      <c r="K9210"/>
    </row>
    <row r="9211" spans="11:11" ht="15" x14ac:dyDescent="0.25">
      <c r="K9211"/>
    </row>
    <row r="9212" spans="11:11" ht="15" x14ac:dyDescent="0.25">
      <c r="K9212"/>
    </row>
    <row r="9213" spans="11:11" ht="15" x14ac:dyDescent="0.25">
      <c r="K9213"/>
    </row>
    <row r="9214" spans="11:11" ht="15" x14ac:dyDescent="0.25">
      <c r="K9214"/>
    </row>
    <row r="9215" spans="11:11" ht="15" x14ac:dyDescent="0.25">
      <c r="K9215"/>
    </row>
    <row r="9216" spans="11:11" ht="15" x14ac:dyDescent="0.25">
      <c r="K9216"/>
    </row>
    <row r="9217" spans="11:11" ht="15" x14ac:dyDescent="0.25">
      <c r="K9217"/>
    </row>
    <row r="9218" spans="11:11" ht="15" x14ac:dyDescent="0.25">
      <c r="K9218"/>
    </row>
    <row r="9219" spans="11:11" ht="15" x14ac:dyDescent="0.25">
      <c r="K9219"/>
    </row>
    <row r="9220" spans="11:11" ht="15" x14ac:dyDescent="0.25">
      <c r="K9220"/>
    </row>
    <row r="9221" spans="11:11" ht="15" x14ac:dyDescent="0.25">
      <c r="K9221"/>
    </row>
    <row r="9222" spans="11:11" ht="15" x14ac:dyDescent="0.25">
      <c r="K9222"/>
    </row>
    <row r="9223" spans="11:11" ht="15" x14ac:dyDescent="0.25">
      <c r="K9223"/>
    </row>
    <row r="9224" spans="11:11" ht="15" x14ac:dyDescent="0.25">
      <c r="K9224"/>
    </row>
    <row r="9225" spans="11:11" ht="15" x14ac:dyDescent="0.25">
      <c r="K9225"/>
    </row>
    <row r="9226" spans="11:11" ht="15" x14ac:dyDescent="0.25">
      <c r="K9226"/>
    </row>
    <row r="9227" spans="11:11" ht="15" x14ac:dyDescent="0.25">
      <c r="K9227"/>
    </row>
    <row r="9228" spans="11:11" ht="15" x14ac:dyDescent="0.25">
      <c r="K9228"/>
    </row>
    <row r="9229" spans="11:11" ht="15" x14ac:dyDescent="0.25">
      <c r="K9229"/>
    </row>
    <row r="9230" spans="11:11" ht="15" x14ac:dyDescent="0.25">
      <c r="K9230"/>
    </row>
    <row r="9231" spans="11:11" ht="15" x14ac:dyDescent="0.25">
      <c r="K9231"/>
    </row>
    <row r="9232" spans="11:11" ht="15" x14ac:dyDescent="0.25">
      <c r="K9232"/>
    </row>
    <row r="9233" spans="11:11" ht="15" x14ac:dyDescent="0.25">
      <c r="K9233"/>
    </row>
    <row r="9234" spans="11:11" ht="15" x14ac:dyDescent="0.25">
      <c r="K9234"/>
    </row>
    <row r="9235" spans="11:11" ht="15" x14ac:dyDescent="0.25">
      <c r="K9235"/>
    </row>
    <row r="9236" spans="11:11" ht="15" x14ac:dyDescent="0.25">
      <c r="K9236"/>
    </row>
    <row r="9237" spans="11:11" ht="15" x14ac:dyDescent="0.25">
      <c r="K9237"/>
    </row>
    <row r="9238" spans="11:11" ht="15" x14ac:dyDescent="0.25">
      <c r="K9238"/>
    </row>
    <row r="9239" spans="11:11" ht="15" x14ac:dyDescent="0.25">
      <c r="K9239"/>
    </row>
    <row r="9240" spans="11:11" ht="15" x14ac:dyDescent="0.25">
      <c r="K9240"/>
    </row>
    <row r="9241" spans="11:11" ht="15" x14ac:dyDescent="0.25">
      <c r="K9241"/>
    </row>
    <row r="9242" spans="11:11" ht="15" x14ac:dyDescent="0.25">
      <c r="K9242"/>
    </row>
    <row r="9243" spans="11:11" ht="15" x14ac:dyDescent="0.25">
      <c r="K9243"/>
    </row>
    <row r="9244" spans="11:11" ht="15" x14ac:dyDescent="0.25">
      <c r="K9244"/>
    </row>
    <row r="9245" spans="11:11" ht="15" x14ac:dyDescent="0.25">
      <c r="K9245"/>
    </row>
    <row r="9246" spans="11:11" ht="15" x14ac:dyDescent="0.25">
      <c r="K9246"/>
    </row>
    <row r="9247" spans="11:11" ht="15" x14ac:dyDescent="0.25">
      <c r="K9247"/>
    </row>
    <row r="9248" spans="11:11" ht="15" x14ac:dyDescent="0.25">
      <c r="K9248"/>
    </row>
    <row r="9249" spans="11:11" ht="15" x14ac:dyDescent="0.25">
      <c r="K9249"/>
    </row>
    <row r="9250" spans="11:11" ht="15" x14ac:dyDescent="0.25">
      <c r="K9250"/>
    </row>
    <row r="9251" spans="11:11" ht="15" x14ac:dyDescent="0.25">
      <c r="K9251"/>
    </row>
    <row r="9252" spans="11:11" ht="15" x14ac:dyDescent="0.25">
      <c r="K9252"/>
    </row>
    <row r="9253" spans="11:11" ht="15" x14ac:dyDescent="0.25">
      <c r="K9253"/>
    </row>
    <row r="9254" spans="11:11" ht="15" x14ac:dyDescent="0.25">
      <c r="K9254"/>
    </row>
    <row r="9255" spans="11:11" ht="15" x14ac:dyDescent="0.25">
      <c r="K9255"/>
    </row>
    <row r="9256" spans="11:11" ht="15" x14ac:dyDescent="0.25">
      <c r="K9256"/>
    </row>
    <row r="9257" spans="11:11" ht="15" x14ac:dyDescent="0.25">
      <c r="K9257"/>
    </row>
    <row r="9258" spans="11:11" ht="15" x14ac:dyDescent="0.25">
      <c r="K9258"/>
    </row>
    <row r="9259" spans="11:11" ht="15" x14ac:dyDescent="0.25">
      <c r="K9259"/>
    </row>
    <row r="9260" spans="11:11" ht="15" x14ac:dyDescent="0.25">
      <c r="K9260"/>
    </row>
    <row r="9261" spans="11:11" ht="15" x14ac:dyDescent="0.25">
      <c r="K9261"/>
    </row>
    <row r="9262" spans="11:11" ht="15" x14ac:dyDescent="0.25">
      <c r="K9262"/>
    </row>
    <row r="9263" spans="11:11" ht="15" x14ac:dyDescent="0.25">
      <c r="K9263"/>
    </row>
    <row r="9264" spans="11:11" ht="15" x14ac:dyDescent="0.25">
      <c r="K9264"/>
    </row>
    <row r="9265" spans="11:11" ht="15" x14ac:dyDescent="0.25">
      <c r="K9265"/>
    </row>
    <row r="9266" spans="11:11" ht="15" x14ac:dyDescent="0.25">
      <c r="K9266"/>
    </row>
    <row r="9267" spans="11:11" ht="15" x14ac:dyDescent="0.25">
      <c r="K9267"/>
    </row>
    <row r="9268" spans="11:11" ht="15" x14ac:dyDescent="0.25">
      <c r="K9268"/>
    </row>
    <row r="9269" spans="11:11" ht="15" x14ac:dyDescent="0.25">
      <c r="K9269"/>
    </row>
    <row r="9270" spans="11:11" ht="15" x14ac:dyDescent="0.25">
      <c r="K9270"/>
    </row>
    <row r="9271" spans="11:11" ht="15" x14ac:dyDescent="0.25">
      <c r="K9271"/>
    </row>
    <row r="9272" spans="11:11" ht="15" x14ac:dyDescent="0.25">
      <c r="K9272"/>
    </row>
    <row r="9273" spans="11:11" ht="15" x14ac:dyDescent="0.25">
      <c r="K9273"/>
    </row>
    <row r="9274" spans="11:11" ht="15" x14ac:dyDescent="0.25">
      <c r="K9274"/>
    </row>
    <row r="9275" spans="11:11" ht="15" x14ac:dyDescent="0.25">
      <c r="K9275"/>
    </row>
    <row r="9276" spans="11:11" ht="15" x14ac:dyDescent="0.25">
      <c r="K9276"/>
    </row>
    <row r="9277" spans="11:11" ht="15" x14ac:dyDescent="0.25">
      <c r="K9277"/>
    </row>
    <row r="9278" spans="11:11" ht="15" x14ac:dyDescent="0.25">
      <c r="K9278"/>
    </row>
    <row r="9279" spans="11:11" ht="15" x14ac:dyDescent="0.25">
      <c r="K9279"/>
    </row>
    <row r="9280" spans="11:11" ht="15" x14ac:dyDescent="0.25">
      <c r="K9280"/>
    </row>
    <row r="9281" spans="11:11" ht="15" x14ac:dyDescent="0.25">
      <c r="K9281"/>
    </row>
    <row r="9282" spans="11:11" ht="15" x14ac:dyDescent="0.25">
      <c r="K9282"/>
    </row>
    <row r="9283" spans="11:11" ht="15" x14ac:dyDescent="0.25">
      <c r="K9283"/>
    </row>
    <row r="9284" spans="11:11" ht="15" x14ac:dyDescent="0.25">
      <c r="K9284"/>
    </row>
    <row r="9285" spans="11:11" ht="15" x14ac:dyDescent="0.25">
      <c r="K9285"/>
    </row>
    <row r="9286" spans="11:11" ht="15" x14ac:dyDescent="0.25">
      <c r="K9286"/>
    </row>
    <row r="9287" spans="11:11" ht="15" x14ac:dyDescent="0.25">
      <c r="K9287"/>
    </row>
    <row r="9288" spans="11:11" ht="15" x14ac:dyDescent="0.25">
      <c r="K9288"/>
    </row>
    <row r="9289" spans="11:11" ht="15" x14ac:dyDescent="0.25">
      <c r="K9289"/>
    </row>
    <row r="9290" spans="11:11" ht="15" x14ac:dyDescent="0.25">
      <c r="K9290"/>
    </row>
    <row r="9291" spans="11:11" ht="15" x14ac:dyDescent="0.25">
      <c r="K9291"/>
    </row>
    <row r="9292" spans="11:11" ht="15" x14ac:dyDescent="0.25">
      <c r="K9292"/>
    </row>
    <row r="9293" spans="11:11" ht="15" x14ac:dyDescent="0.25">
      <c r="K9293"/>
    </row>
    <row r="9294" spans="11:11" ht="15" x14ac:dyDescent="0.25">
      <c r="K9294"/>
    </row>
    <row r="9295" spans="11:11" ht="15" x14ac:dyDescent="0.25">
      <c r="K9295"/>
    </row>
    <row r="9296" spans="11:11" ht="15" x14ac:dyDescent="0.25">
      <c r="K9296"/>
    </row>
    <row r="9297" spans="11:11" ht="15" x14ac:dyDescent="0.25">
      <c r="K9297"/>
    </row>
    <row r="9298" spans="11:11" ht="15" x14ac:dyDescent="0.25">
      <c r="K9298"/>
    </row>
    <row r="9299" spans="11:11" ht="15" x14ac:dyDescent="0.25">
      <c r="K9299"/>
    </row>
    <row r="9300" spans="11:11" ht="15" x14ac:dyDescent="0.25">
      <c r="K9300"/>
    </row>
    <row r="9301" spans="11:11" ht="15" x14ac:dyDescent="0.25">
      <c r="K9301"/>
    </row>
    <row r="9302" spans="11:11" ht="15" x14ac:dyDescent="0.25">
      <c r="K9302"/>
    </row>
    <row r="9303" spans="11:11" ht="15" x14ac:dyDescent="0.25">
      <c r="K9303"/>
    </row>
    <row r="9304" spans="11:11" ht="15" x14ac:dyDescent="0.25">
      <c r="K9304"/>
    </row>
    <row r="9305" spans="11:11" ht="15" x14ac:dyDescent="0.25">
      <c r="K9305"/>
    </row>
    <row r="9306" spans="11:11" ht="15" x14ac:dyDescent="0.25">
      <c r="K9306"/>
    </row>
    <row r="9307" spans="11:11" ht="15" x14ac:dyDescent="0.25">
      <c r="K9307"/>
    </row>
    <row r="9308" spans="11:11" ht="15" x14ac:dyDescent="0.25">
      <c r="K9308"/>
    </row>
    <row r="9309" spans="11:11" ht="15" x14ac:dyDescent="0.25">
      <c r="K9309"/>
    </row>
    <row r="9310" spans="11:11" ht="15" x14ac:dyDescent="0.25">
      <c r="K9310"/>
    </row>
    <row r="9311" spans="11:11" ht="15" x14ac:dyDescent="0.25">
      <c r="K9311"/>
    </row>
    <row r="9312" spans="11:11" ht="15" x14ac:dyDescent="0.25">
      <c r="K9312"/>
    </row>
    <row r="9313" spans="11:11" ht="15" x14ac:dyDescent="0.25">
      <c r="K9313"/>
    </row>
    <row r="9314" spans="11:11" ht="15" x14ac:dyDescent="0.25">
      <c r="K9314"/>
    </row>
    <row r="9315" spans="11:11" ht="15" x14ac:dyDescent="0.25">
      <c r="K9315"/>
    </row>
    <row r="9316" spans="11:11" ht="15" x14ac:dyDescent="0.25">
      <c r="K9316"/>
    </row>
    <row r="9317" spans="11:11" ht="15" x14ac:dyDescent="0.25">
      <c r="K9317"/>
    </row>
    <row r="9318" spans="11:11" ht="15" x14ac:dyDescent="0.25">
      <c r="K9318"/>
    </row>
    <row r="9319" spans="11:11" ht="15" x14ac:dyDescent="0.25">
      <c r="K9319"/>
    </row>
    <row r="9320" spans="11:11" ht="15" x14ac:dyDescent="0.25">
      <c r="K9320"/>
    </row>
    <row r="9321" spans="11:11" ht="15" x14ac:dyDescent="0.25">
      <c r="K9321"/>
    </row>
    <row r="9322" spans="11:11" ht="15" x14ac:dyDescent="0.25">
      <c r="K9322"/>
    </row>
    <row r="9323" spans="11:11" ht="15" x14ac:dyDescent="0.25">
      <c r="K9323"/>
    </row>
    <row r="9324" spans="11:11" ht="15" x14ac:dyDescent="0.25">
      <c r="K9324"/>
    </row>
    <row r="9325" spans="11:11" ht="15" x14ac:dyDescent="0.25">
      <c r="K9325"/>
    </row>
    <row r="9326" spans="11:11" ht="15" x14ac:dyDescent="0.25">
      <c r="K9326"/>
    </row>
    <row r="9327" spans="11:11" ht="15" x14ac:dyDescent="0.25">
      <c r="K9327"/>
    </row>
    <row r="9328" spans="11:11" ht="15" x14ac:dyDescent="0.25">
      <c r="K9328"/>
    </row>
    <row r="9329" spans="11:11" ht="15" x14ac:dyDescent="0.25">
      <c r="K9329"/>
    </row>
    <row r="9330" spans="11:11" ht="15" x14ac:dyDescent="0.25">
      <c r="K9330"/>
    </row>
    <row r="9331" spans="11:11" ht="15" x14ac:dyDescent="0.25">
      <c r="K9331"/>
    </row>
    <row r="9332" spans="11:11" ht="15" x14ac:dyDescent="0.25">
      <c r="K9332"/>
    </row>
    <row r="9333" spans="11:11" ht="15" x14ac:dyDescent="0.25">
      <c r="K9333"/>
    </row>
    <row r="9334" spans="11:11" ht="15" x14ac:dyDescent="0.25">
      <c r="K9334"/>
    </row>
    <row r="9335" spans="11:11" ht="15" x14ac:dyDescent="0.25">
      <c r="K9335"/>
    </row>
    <row r="9336" spans="11:11" ht="15" x14ac:dyDescent="0.25">
      <c r="K9336"/>
    </row>
    <row r="9337" spans="11:11" ht="15" x14ac:dyDescent="0.25">
      <c r="K9337"/>
    </row>
    <row r="9338" spans="11:11" ht="15" x14ac:dyDescent="0.25">
      <c r="K9338"/>
    </row>
    <row r="9339" spans="11:11" ht="15" x14ac:dyDescent="0.25">
      <c r="K9339"/>
    </row>
    <row r="9340" spans="11:11" ht="15" x14ac:dyDescent="0.25">
      <c r="K9340"/>
    </row>
    <row r="9341" spans="11:11" ht="15" x14ac:dyDescent="0.25">
      <c r="K9341"/>
    </row>
    <row r="9342" spans="11:11" ht="15" x14ac:dyDescent="0.25">
      <c r="K9342"/>
    </row>
    <row r="9343" spans="11:11" ht="15" x14ac:dyDescent="0.25">
      <c r="K9343"/>
    </row>
    <row r="9344" spans="11:11" ht="15" x14ac:dyDescent="0.25">
      <c r="K9344"/>
    </row>
    <row r="9345" spans="11:11" ht="15" x14ac:dyDescent="0.25">
      <c r="K9345"/>
    </row>
    <row r="9346" spans="11:11" ht="15" x14ac:dyDescent="0.25">
      <c r="K9346"/>
    </row>
    <row r="9347" spans="11:11" ht="15" x14ac:dyDescent="0.25">
      <c r="K9347"/>
    </row>
    <row r="9348" spans="11:11" ht="15" x14ac:dyDescent="0.25">
      <c r="K9348"/>
    </row>
    <row r="9349" spans="11:11" ht="15" x14ac:dyDescent="0.25">
      <c r="K9349"/>
    </row>
    <row r="9350" spans="11:11" ht="15" x14ac:dyDescent="0.25">
      <c r="K9350"/>
    </row>
    <row r="9351" spans="11:11" ht="15" x14ac:dyDescent="0.25">
      <c r="K9351"/>
    </row>
    <row r="9352" spans="11:11" ht="15" x14ac:dyDescent="0.25">
      <c r="K9352"/>
    </row>
    <row r="9353" spans="11:11" ht="15" x14ac:dyDescent="0.25">
      <c r="K9353"/>
    </row>
    <row r="9354" spans="11:11" ht="15" x14ac:dyDescent="0.25">
      <c r="K9354"/>
    </row>
    <row r="9355" spans="11:11" ht="15" x14ac:dyDescent="0.25">
      <c r="K9355"/>
    </row>
    <row r="9356" spans="11:11" ht="15" x14ac:dyDescent="0.25">
      <c r="K9356"/>
    </row>
    <row r="9357" spans="11:11" ht="15" x14ac:dyDescent="0.25">
      <c r="K9357"/>
    </row>
    <row r="9358" spans="11:11" ht="15" x14ac:dyDescent="0.25">
      <c r="K9358"/>
    </row>
    <row r="9359" spans="11:11" ht="15" x14ac:dyDescent="0.25">
      <c r="K9359"/>
    </row>
    <row r="9360" spans="11:11" ht="15" x14ac:dyDescent="0.25">
      <c r="K9360"/>
    </row>
    <row r="9361" spans="11:11" ht="15" x14ac:dyDescent="0.25">
      <c r="K9361"/>
    </row>
    <row r="9362" spans="11:11" ht="15" x14ac:dyDescent="0.25">
      <c r="K9362"/>
    </row>
    <row r="9363" spans="11:11" ht="15" x14ac:dyDescent="0.25">
      <c r="K9363"/>
    </row>
    <row r="9364" spans="11:11" ht="15" x14ac:dyDescent="0.25">
      <c r="K9364"/>
    </row>
    <row r="9365" spans="11:11" ht="15" x14ac:dyDescent="0.25">
      <c r="K9365"/>
    </row>
    <row r="9366" spans="11:11" ht="15" x14ac:dyDescent="0.25">
      <c r="K9366"/>
    </row>
    <row r="9367" spans="11:11" ht="15" x14ac:dyDescent="0.25">
      <c r="K9367"/>
    </row>
    <row r="9368" spans="11:11" ht="15" x14ac:dyDescent="0.25">
      <c r="K9368"/>
    </row>
    <row r="9369" spans="11:11" ht="15" x14ac:dyDescent="0.25">
      <c r="K9369"/>
    </row>
    <row r="9370" spans="11:11" ht="15" x14ac:dyDescent="0.25">
      <c r="K9370"/>
    </row>
    <row r="9371" spans="11:11" ht="15" x14ac:dyDescent="0.25">
      <c r="K9371"/>
    </row>
    <row r="9372" spans="11:11" ht="15" x14ac:dyDescent="0.25">
      <c r="K9372"/>
    </row>
    <row r="9373" spans="11:11" ht="15" x14ac:dyDescent="0.25">
      <c r="K9373"/>
    </row>
    <row r="9374" spans="11:11" ht="15" x14ac:dyDescent="0.25">
      <c r="K9374"/>
    </row>
    <row r="9375" spans="11:11" ht="15" x14ac:dyDescent="0.25">
      <c r="K9375"/>
    </row>
    <row r="9376" spans="11:11" ht="15" x14ac:dyDescent="0.25">
      <c r="K9376"/>
    </row>
    <row r="9377" spans="11:11" ht="15" x14ac:dyDescent="0.25">
      <c r="K9377"/>
    </row>
    <row r="9378" spans="11:11" ht="15" x14ac:dyDescent="0.25">
      <c r="K9378"/>
    </row>
    <row r="9379" spans="11:11" ht="15" x14ac:dyDescent="0.25">
      <c r="K9379"/>
    </row>
    <row r="9380" spans="11:11" ht="15" x14ac:dyDescent="0.25">
      <c r="K9380"/>
    </row>
    <row r="9381" spans="11:11" ht="15" x14ac:dyDescent="0.25">
      <c r="K9381"/>
    </row>
    <row r="9382" spans="11:11" ht="15" x14ac:dyDescent="0.25">
      <c r="K9382"/>
    </row>
    <row r="9383" spans="11:11" ht="15" x14ac:dyDescent="0.25">
      <c r="K9383"/>
    </row>
    <row r="9384" spans="11:11" ht="15" x14ac:dyDescent="0.25">
      <c r="K9384"/>
    </row>
    <row r="9385" spans="11:11" ht="15" x14ac:dyDescent="0.25">
      <c r="K9385"/>
    </row>
    <row r="9386" spans="11:11" ht="15" x14ac:dyDescent="0.25">
      <c r="K9386"/>
    </row>
    <row r="9387" spans="11:11" ht="15" x14ac:dyDescent="0.25">
      <c r="K9387"/>
    </row>
    <row r="9388" spans="11:11" ht="15" x14ac:dyDescent="0.25">
      <c r="K9388"/>
    </row>
    <row r="9389" spans="11:11" ht="15" x14ac:dyDescent="0.25">
      <c r="K9389"/>
    </row>
    <row r="9390" spans="11:11" ht="15" x14ac:dyDescent="0.25">
      <c r="K9390"/>
    </row>
    <row r="9391" spans="11:11" ht="15" x14ac:dyDescent="0.25">
      <c r="K9391"/>
    </row>
    <row r="9392" spans="11:11" ht="15" x14ac:dyDescent="0.25">
      <c r="K9392"/>
    </row>
    <row r="9393" spans="11:11" ht="15" x14ac:dyDescent="0.25">
      <c r="K9393"/>
    </row>
    <row r="9394" spans="11:11" ht="15" x14ac:dyDescent="0.25">
      <c r="K9394"/>
    </row>
    <row r="9395" spans="11:11" ht="15" x14ac:dyDescent="0.25">
      <c r="K9395"/>
    </row>
    <row r="9396" spans="11:11" ht="15" x14ac:dyDescent="0.25">
      <c r="K9396"/>
    </row>
    <row r="9397" spans="11:11" ht="15" x14ac:dyDescent="0.25">
      <c r="K9397"/>
    </row>
    <row r="9398" spans="11:11" ht="15" x14ac:dyDescent="0.25">
      <c r="K9398"/>
    </row>
    <row r="9399" spans="11:11" ht="15" x14ac:dyDescent="0.25">
      <c r="K9399"/>
    </row>
    <row r="9400" spans="11:11" ht="15" x14ac:dyDescent="0.25">
      <c r="K9400"/>
    </row>
    <row r="9401" spans="11:11" ht="15" x14ac:dyDescent="0.25">
      <c r="K9401"/>
    </row>
    <row r="9402" spans="11:11" ht="15" x14ac:dyDescent="0.25">
      <c r="K9402"/>
    </row>
    <row r="9403" spans="11:11" ht="15" x14ac:dyDescent="0.25">
      <c r="K9403"/>
    </row>
    <row r="9404" spans="11:11" ht="15" x14ac:dyDescent="0.25">
      <c r="K9404"/>
    </row>
    <row r="9405" spans="11:11" ht="15" x14ac:dyDescent="0.25">
      <c r="K9405"/>
    </row>
    <row r="9406" spans="11:11" ht="15" x14ac:dyDescent="0.25">
      <c r="K9406"/>
    </row>
    <row r="9407" spans="11:11" ht="15" x14ac:dyDescent="0.25">
      <c r="K9407"/>
    </row>
    <row r="9408" spans="11:11" ht="15" x14ac:dyDescent="0.25">
      <c r="K9408"/>
    </row>
    <row r="9409" spans="11:11" ht="15" x14ac:dyDescent="0.25">
      <c r="K9409"/>
    </row>
    <row r="9410" spans="11:11" ht="15" x14ac:dyDescent="0.25">
      <c r="K9410"/>
    </row>
    <row r="9411" spans="11:11" ht="15" x14ac:dyDescent="0.25">
      <c r="K9411"/>
    </row>
    <row r="9412" spans="11:11" ht="15" x14ac:dyDescent="0.25">
      <c r="K9412"/>
    </row>
    <row r="9413" spans="11:11" ht="15" x14ac:dyDescent="0.25">
      <c r="K9413"/>
    </row>
    <row r="9414" spans="11:11" ht="15" x14ac:dyDescent="0.25">
      <c r="K9414"/>
    </row>
    <row r="9415" spans="11:11" ht="15" x14ac:dyDescent="0.25">
      <c r="K9415"/>
    </row>
    <row r="9416" spans="11:11" ht="15" x14ac:dyDescent="0.25">
      <c r="K9416"/>
    </row>
    <row r="9417" spans="11:11" ht="15" x14ac:dyDescent="0.25">
      <c r="K9417"/>
    </row>
    <row r="9418" spans="11:11" ht="15" x14ac:dyDescent="0.25">
      <c r="K9418"/>
    </row>
    <row r="9419" spans="11:11" ht="15" x14ac:dyDescent="0.25">
      <c r="K9419"/>
    </row>
    <row r="9420" spans="11:11" ht="15" x14ac:dyDescent="0.25">
      <c r="K9420"/>
    </row>
    <row r="9421" spans="11:11" ht="15" x14ac:dyDescent="0.25">
      <c r="K9421"/>
    </row>
    <row r="9422" spans="11:11" ht="15" x14ac:dyDescent="0.25">
      <c r="K9422"/>
    </row>
    <row r="9423" spans="11:11" ht="15" x14ac:dyDescent="0.25">
      <c r="K9423"/>
    </row>
    <row r="9424" spans="11:11" ht="15" x14ac:dyDescent="0.25">
      <c r="K9424"/>
    </row>
    <row r="9425" spans="11:11" ht="15" x14ac:dyDescent="0.25">
      <c r="K9425"/>
    </row>
    <row r="9426" spans="11:11" ht="15" x14ac:dyDescent="0.25">
      <c r="K9426"/>
    </row>
    <row r="9427" spans="11:11" ht="15" x14ac:dyDescent="0.25">
      <c r="K9427"/>
    </row>
    <row r="9428" spans="11:11" ht="15" x14ac:dyDescent="0.25">
      <c r="K9428"/>
    </row>
    <row r="9429" spans="11:11" ht="15" x14ac:dyDescent="0.25">
      <c r="K9429"/>
    </row>
    <row r="9430" spans="11:11" ht="15" x14ac:dyDescent="0.25">
      <c r="K9430"/>
    </row>
    <row r="9431" spans="11:11" ht="15" x14ac:dyDescent="0.25">
      <c r="K9431"/>
    </row>
    <row r="9432" spans="11:11" ht="15" x14ac:dyDescent="0.25">
      <c r="K9432"/>
    </row>
    <row r="9433" spans="11:11" ht="15" x14ac:dyDescent="0.25">
      <c r="K9433"/>
    </row>
    <row r="9434" spans="11:11" ht="15" x14ac:dyDescent="0.25">
      <c r="K9434"/>
    </row>
    <row r="9435" spans="11:11" ht="15" x14ac:dyDescent="0.25">
      <c r="K9435"/>
    </row>
    <row r="9436" spans="11:11" ht="15" x14ac:dyDescent="0.25">
      <c r="K9436"/>
    </row>
    <row r="9437" spans="11:11" ht="15" x14ac:dyDescent="0.25">
      <c r="K9437"/>
    </row>
    <row r="9438" spans="11:11" ht="15" x14ac:dyDescent="0.25">
      <c r="K9438"/>
    </row>
    <row r="9439" spans="11:11" ht="15" x14ac:dyDescent="0.25">
      <c r="K9439"/>
    </row>
    <row r="9440" spans="11:11" ht="15" x14ac:dyDescent="0.25">
      <c r="K9440"/>
    </row>
    <row r="9441" spans="11:11" ht="15" x14ac:dyDescent="0.25">
      <c r="K9441"/>
    </row>
    <row r="9442" spans="11:11" ht="15" x14ac:dyDescent="0.25">
      <c r="K9442"/>
    </row>
    <row r="9443" spans="11:11" ht="15" x14ac:dyDescent="0.25">
      <c r="K9443"/>
    </row>
    <row r="9444" spans="11:11" ht="15" x14ac:dyDescent="0.25">
      <c r="K9444"/>
    </row>
    <row r="9445" spans="11:11" ht="15" x14ac:dyDescent="0.25">
      <c r="K9445"/>
    </row>
    <row r="9446" spans="11:11" ht="15" x14ac:dyDescent="0.25">
      <c r="K9446"/>
    </row>
    <row r="9447" spans="11:11" ht="15" x14ac:dyDescent="0.25">
      <c r="K9447"/>
    </row>
    <row r="9448" spans="11:11" ht="15" x14ac:dyDescent="0.25">
      <c r="K9448"/>
    </row>
    <row r="9449" spans="11:11" ht="15" x14ac:dyDescent="0.25">
      <c r="K9449"/>
    </row>
    <row r="9450" spans="11:11" ht="15" x14ac:dyDescent="0.25">
      <c r="K9450"/>
    </row>
    <row r="9451" spans="11:11" ht="15" x14ac:dyDescent="0.25">
      <c r="K9451"/>
    </row>
    <row r="9452" spans="11:11" ht="15" x14ac:dyDescent="0.25">
      <c r="K9452"/>
    </row>
    <row r="9453" spans="11:11" ht="15" x14ac:dyDescent="0.25">
      <c r="K9453"/>
    </row>
    <row r="9454" spans="11:11" ht="15" x14ac:dyDescent="0.25">
      <c r="K9454"/>
    </row>
    <row r="9455" spans="11:11" ht="15" x14ac:dyDescent="0.25">
      <c r="K9455"/>
    </row>
    <row r="9456" spans="11:11" ht="15" x14ac:dyDescent="0.25">
      <c r="K9456"/>
    </row>
    <row r="9457" spans="11:11" ht="15" x14ac:dyDescent="0.25">
      <c r="K9457"/>
    </row>
    <row r="9458" spans="11:11" ht="15" x14ac:dyDescent="0.25">
      <c r="K9458"/>
    </row>
    <row r="9459" spans="11:11" ht="15" x14ac:dyDescent="0.25">
      <c r="K9459"/>
    </row>
    <row r="9460" spans="11:11" ht="15" x14ac:dyDescent="0.25">
      <c r="K9460"/>
    </row>
    <row r="9461" spans="11:11" ht="15" x14ac:dyDescent="0.25">
      <c r="K9461"/>
    </row>
    <row r="9462" spans="11:11" ht="15" x14ac:dyDescent="0.25">
      <c r="K9462"/>
    </row>
    <row r="9463" spans="11:11" ht="15" x14ac:dyDescent="0.25">
      <c r="K9463"/>
    </row>
    <row r="9464" spans="11:11" ht="15" x14ac:dyDescent="0.25">
      <c r="K9464"/>
    </row>
    <row r="9465" spans="11:11" ht="15" x14ac:dyDescent="0.25">
      <c r="K9465"/>
    </row>
    <row r="9466" spans="11:11" ht="15" x14ac:dyDescent="0.25">
      <c r="K9466"/>
    </row>
    <row r="9467" spans="11:11" ht="15" x14ac:dyDescent="0.25">
      <c r="K9467"/>
    </row>
    <row r="9468" spans="11:11" ht="15" x14ac:dyDescent="0.25">
      <c r="K9468"/>
    </row>
    <row r="9469" spans="11:11" ht="15" x14ac:dyDescent="0.25">
      <c r="K9469"/>
    </row>
    <row r="9470" spans="11:11" ht="15" x14ac:dyDescent="0.25">
      <c r="K9470"/>
    </row>
    <row r="9471" spans="11:11" ht="15" x14ac:dyDescent="0.25">
      <c r="K9471"/>
    </row>
    <row r="9472" spans="11:11" ht="15" x14ac:dyDescent="0.25">
      <c r="K9472"/>
    </row>
    <row r="9473" spans="11:11" ht="15" x14ac:dyDescent="0.25">
      <c r="K9473"/>
    </row>
    <row r="9474" spans="11:11" ht="15" x14ac:dyDescent="0.25">
      <c r="K9474"/>
    </row>
    <row r="9475" spans="11:11" ht="15" x14ac:dyDescent="0.25">
      <c r="K9475"/>
    </row>
    <row r="9476" spans="11:11" ht="15" x14ac:dyDescent="0.25">
      <c r="K9476"/>
    </row>
    <row r="9477" spans="11:11" ht="15" x14ac:dyDescent="0.25">
      <c r="K9477"/>
    </row>
    <row r="9478" spans="11:11" ht="15" x14ac:dyDescent="0.25">
      <c r="K9478"/>
    </row>
    <row r="9479" spans="11:11" ht="15" x14ac:dyDescent="0.25">
      <c r="K9479"/>
    </row>
    <row r="9480" spans="11:11" ht="15" x14ac:dyDescent="0.25">
      <c r="K9480"/>
    </row>
    <row r="9481" spans="11:11" ht="15" x14ac:dyDescent="0.25">
      <c r="K9481"/>
    </row>
    <row r="9482" spans="11:11" ht="15" x14ac:dyDescent="0.25">
      <c r="K9482"/>
    </row>
    <row r="9483" spans="11:11" ht="15" x14ac:dyDescent="0.25">
      <c r="K9483"/>
    </row>
    <row r="9484" spans="11:11" ht="15" x14ac:dyDescent="0.25">
      <c r="K9484"/>
    </row>
    <row r="9485" spans="11:11" ht="15" x14ac:dyDescent="0.25">
      <c r="K9485"/>
    </row>
    <row r="9486" spans="11:11" ht="15" x14ac:dyDescent="0.25">
      <c r="K9486"/>
    </row>
    <row r="9487" spans="11:11" ht="15" x14ac:dyDescent="0.25">
      <c r="K9487"/>
    </row>
    <row r="9488" spans="11:11" ht="15" x14ac:dyDescent="0.25">
      <c r="K9488"/>
    </row>
    <row r="9489" spans="11:11" ht="15" x14ac:dyDescent="0.25">
      <c r="K9489"/>
    </row>
    <row r="9490" spans="11:11" ht="15" x14ac:dyDescent="0.25">
      <c r="K9490"/>
    </row>
    <row r="9491" spans="11:11" ht="15" x14ac:dyDescent="0.25">
      <c r="K9491"/>
    </row>
    <row r="9492" spans="11:11" ht="15" x14ac:dyDescent="0.25">
      <c r="K9492"/>
    </row>
    <row r="9493" spans="11:11" ht="15" x14ac:dyDescent="0.25">
      <c r="K9493"/>
    </row>
    <row r="9494" spans="11:11" ht="15" x14ac:dyDescent="0.25">
      <c r="K9494"/>
    </row>
    <row r="9495" spans="11:11" ht="15" x14ac:dyDescent="0.25">
      <c r="K9495"/>
    </row>
    <row r="9496" spans="11:11" ht="15" x14ac:dyDescent="0.25">
      <c r="K9496"/>
    </row>
    <row r="9497" spans="11:11" ht="15" x14ac:dyDescent="0.25">
      <c r="K9497"/>
    </row>
    <row r="9498" spans="11:11" ht="15" x14ac:dyDescent="0.25">
      <c r="K9498"/>
    </row>
    <row r="9499" spans="11:11" ht="15" x14ac:dyDescent="0.25">
      <c r="K9499"/>
    </row>
    <row r="9500" spans="11:11" ht="15" x14ac:dyDescent="0.25">
      <c r="K9500"/>
    </row>
    <row r="9501" spans="11:11" ht="15" x14ac:dyDescent="0.25">
      <c r="K9501"/>
    </row>
    <row r="9502" spans="11:11" ht="15" x14ac:dyDescent="0.25">
      <c r="K9502"/>
    </row>
    <row r="9503" spans="11:11" ht="15" x14ac:dyDescent="0.25">
      <c r="K9503"/>
    </row>
    <row r="9504" spans="11:11" ht="15" x14ac:dyDescent="0.25">
      <c r="K9504"/>
    </row>
    <row r="9505" spans="11:11" ht="15" x14ac:dyDescent="0.25">
      <c r="K9505"/>
    </row>
    <row r="9506" spans="11:11" ht="15" x14ac:dyDescent="0.25">
      <c r="K9506"/>
    </row>
    <row r="9507" spans="11:11" ht="15" x14ac:dyDescent="0.25">
      <c r="K9507"/>
    </row>
    <row r="9508" spans="11:11" ht="15" x14ac:dyDescent="0.25">
      <c r="K9508"/>
    </row>
    <row r="9509" spans="11:11" ht="15" x14ac:dyDescent="0.25">
      <c r="K9509"/>
    </row>
    <row r="9510" spans="11:11" ht="15" x14ac:dyDescent="0.25">
      <c r="K9510"/>
    </row>
    <row r="9511" spans="11:11" ht="15" x14ac:dyDescent="0.25">
      <c r="K9511"/>
    </row>
    <row r="9512" spans="11:11" ht="15" x14ac:dyDescent="0.25">
      <c r="K9512"/>
    </row>
    <row r="9513" spans="11:11" ht="15" x14ac:dyDescent="0.25">
      <c r="K9513"/>
    </row>
    <row r="9514" spans="11:11" ht="15" x14ac:dyDescent="0.25">
      <c r="K9514"/>
    </row>
    <row r="9515" spans="11:11" ht="15" x14ac:dyDescent="0.25">
      <c r="K9515"/>
    </row>
    <row r="9516" spans="11:11" ht="15" x14ac:dyDescent="0.25">
      <c r="K9516"/>
    </row>
    <row r="9517" spans="11:11" ht="15" x14ac:dyDescent="0.25">
      <c r="K9517"/>
    </row>
    <row r="9518" spans="11:11" ht="15" x14ac:dyDescent="0.25">
      <c r="K9518"/>
    </row>
    <row r="9519" spans="11:11" ht="15" x14ac:dyDescent="0.25">
      <c r="K9519"/>
    </row>
    <row r="9520" spans="11:11" ht="15" x14ac:dyDescent="0.25">
      <c r="K9520"/>
    </row>
    <row r="9521" spans="11:11" ht="15" x14ac:dyDescent="0.25">
      <c r="K9521"/>
    </row>
    <row r="9522" spans="11:11" ht="15" x14ac:dyDescent="0.25">
      <c r="K9522"/>
    </row>
    <row r="9523" spans="11:11" ht="15" x14ac:dyDescent="0.25">
      <c r="K9523"/>
    </row>
    <row r="9524" spans="11:11" ht="15" x14ac:dyDescent="0.25">
      <c r="K9524"/>
    </row>
    <row r="9525" spans="11:11" ht="15" x14ac:dyDescent="0.25">
      <c r="K9525"/>
    </row>
    <row r="9526" spans="11:11" ht="15" x14ac:dyDescent="0.25">
      <c r="K9526"/>
    </row>
    <row r="9527" spans="11:11" ht="15" x14ac:dyDescent="0.25">
      <c r="K9527"/>
    </row>
    <row r="9528" spans="11:11" ht="15" x14ac:dyDescent="0.25">
      <c r="K9528"/>
    </row>
    <row r="9529" spans="11:11" ht="15" x14ac:dyDescent="0.25">
      <c r="K9529"/>
    </row>
    <row r="9530" spans="11:11" ht="15" x14ac:dyDescent="0.25">
      <c r="K9530"/>
    </row>
    <row r="9531" spans="11:11" ht="15" x14ac:dyDescent="0.25">
      <c r="K9531"/>
    </row>
    <row r="9532" spans="11:11" ht="15" x14ac:dyDescent="0.25">
      <c r="K9532"/>
    </row>
    <row r="9533" spans="11:11" ht="15" x14ac:dyDescent="0.25">
      <c r="K9533"/>
    </row>
    <row r="9534" spans="11:11" ht="15" x14ac:dyDescent="0.25">
      <c r="K9534"/>
    </row>
    <row r="9535" spans="11:11" ht="15" x14ac:dyDescent="0.25">
      <c r="K9535"/>
    </row>
    <row r="9536" spans="11:11" ht="15" x14ac:dyDescent="0.25">
      <c r="K9536"/>
    </row>
    <row r="9537" spans="11:11" ht="15" x14ac:dyDescent="0.25">
      <c r="K9537"/>
    </row>
    <row r="9538" spans="11:11" ht="15" x14ac:dyDescent="0.25">
      <c r="K9538"/>
    </row>
    <row r="9539" spans="11:11" ht="15" x14ac:dyDescent="0.25">
      <c r="K9539"/>
    </row>
    <row r="9540" spans="11:11" ht="15" x14ac:dyDescent="0.25">
      <c r="K9540"/>
    </row>
    <row r="9541" spans="11:11" ht="15" x14ac:dyDescent="0.25">
      <c r="K9541"/>
    </row>
    <row r="9542" spans="11:11" ht="15" x14ac:dyDescent="0.25">
      <c r="K9542"/>
    </row>
    <row r="9543" spans="11:11" ht="15" x14ac:dyDescent="0.25">
      <c r="K9543"/>
    </row>
    <row r="9544" spans="11:11" ht="15" x14ac:dyDescent="0.25">
      <c r="K9544"/>
    </row>
    <row r="9545" spans="11:11" ht="15" x14ac:dyDescent="0.25">
      <c r="K9545"/>
    </row>
    <row r="9546" spans="11:11" ht="15" x14ac:dyDescent="0.25">
      <c r="K9546"/>
    </row>
    <row r="9547" spans="11:11" ht="15" x14ac:dyDescent="0.25">
      <c r="K9547"/>
    </row>
    <row r="9548" spans="11:11" ht="15" x14ac:dyDescent="0.25">
      <c r="K9548"/>
    </row>
    <row r="9549" spans="11:11" ht="15" x14ac:dyDescent="0.25">
      <c r="K9549"/>
    </row>
    <row r="9550" spans="11:11" ht="15" x14ac:dyDescent="0.25">
      <c r="K9550"/>
    </row>
    <row r="9551" spans="11:11" ht="15" x14ac:dyDescent="0.25">
      <c r="K9551"/>
    </row>
    <row r="9552" spans="11:11" ht="15" x14ac:dyDescent="0.25">
      <c r="K9552"/>
    </row>
    <row r="9553" spans="11:11" ht="15" x14ac:dyDescent="0.25">
      <c r="K9553"/>
    </row>
    <row r="9554" spans="11:11" ht="15" x14ac:dyDescent="0.25">
      <c r="K9554"/>
    </row>
    <row r="9555" spans="11:11" ht="15" x14ac:dyDescent="0.25">
      <c r="K9555"/>
    </row>
    <row r="9556" spans="11:11" ht="15" x14ac:dyDescent="0.25">
      <c r="K9556"/>
    </row>
    <row r="9557" spans="11:11" ht="15" x14ac:dyDescent="0.25">
      <c r="K9557"/>
    </row>
    <row r="9558" spans="11:11" ht="15" x14ac:dyDescent="0.25">
      <c r="K9558"/>
    </row>
    <row r="9559" spans="11:11" ht="15" x14ac:dyDescent="0.25">
      <c r="K9559"/>
    </row>
    <row r="9560" spans="11:11" ht="15" x14ac:dyDescent="0.25">
      <c r="K9560"/>
    </row>
    <row r="9561" spans="11:11" ht="15" x14ac:dyDescent="0.25">
      <c r="K9561"/>
    </row>
    <row r="9562" spans="11:11" ht="15" x14ac:dyDescent="0.25">
      <c r="K9562"/>
    </row>
    <row r="9563" spans="11:11" ht="15" x14ac:dyDescent="0.25">
      <c r="K9563"/>
    </row>
    <row r="9564" spans="11:11" ht="15" x14ac:dyDescent="0.25">
      <c r="K9564"/>
    </row>
    <row r="9565" spans="11:11" ht="15" x14ac:dyDescent="0.25">
      <c r="K9565"/>
    </row>
    <row r="9566" spans="11:11" ht="15" x14ac:dyDescent="0.25">
      <c r="K9566"/>
    </row>
    <row r="9567" spans="11:11" ht="15" x14ac:dyDescent="0.25">
      <c r="K9567"/>
    </row>
    <row r="9568" spans="11:11" ht="15" x14ac:dyDescent="0.25">
      <c r="K9568"/>
    </row>
    <row r="9569" spans="11:11" ht="15" x14ac:dyDescent="0.25">
      <c r="K9569"/>
    </row>
    <row r="9570" spans="11:11" ht="15" x14ac:dyDescent="0.25">
      <c r="K9570"/>
    </row>
    <row r="9571" spans="11:11" ht="15" x14ac:dyDescent="0.25">
      <c r="K9571"/>
    </row>
    <row r="9572" spans="11:11" ht="15" x14ac:dyDescent="0.25">
      <c r="K9572"/>
    </row>
    <row r="9573" spans="11:11" ht="15" x14ac:dyDescent="0.25">
      <c r="K9573"/>
    </row>
    <row r="9574" spans="11:11" ht="15" x14ac:dyDescent="0.25">
      <c r="K9574"/>
    </row>
    <row r="9575" spans="11:11" ht="15" x14ac:dyDescent="0.25">
      <c r="K9575"/>
    </row>
    <row r="9576" spans="11:11" ht="15" x14ac:dyDescent="0.25">
      <c r="K9576"/>
    </row>
    <row r="9577" spans="11:11" ht="15" x14ac:dyDescent="0.25">
      <c r="K9577"/>
    </row>
    <row r="9578" spans="11:11" ht="15" x14ac:dyDescent="0.25">
      <c r="K9578"/>
    </row>
    <row r="9579" spans="11:11" ht="15" x14ac:dyDescent="0.25">
      <c r="K9579"/>
    </row>
    <row r="9580" spans="11:11" ht="15" x14ac:dyDescent="0.25">
      <c r="K9580"/>
    </row>
    <row r="9581" spans="11:11" ht="15" x14ac:dyDescent="0.25">
      <c r="K9581"/>
    </row>
    <row r="9582" spans="11:11" ht="15" x14ac:dyDescent="0.25">
      <c r="K9582"/>
    </row>
    <row r="9583" spans="11:11" ht="15" x14ac:dyDescent="0.25">
      <c r="K9583"/>
    </row>
    <row r="9584" spans="11:11" ht="15" x14ac:dyDescent="0.25">
      <c r="K9584"/>
    </row>
    <row r="9585" spans="11:11" ht="15" x14ac:dyDescent="0.25">
      <c r="K9585"/>
    </row>
    <row r="9586" spans="11:11" ht="15" x14ac:dyDescent="0.25">
      <c r="K9586"/>
    </row>
    <row r="9587" spans="11:11" ht="15" x14ac:dyDescent="0.25">
      <c r="K9587"/>
    </row>
    <row r="9588" spans="11:11" ht="15" x14ac:dyDescent="0.25">
      <c r="K9588"/>
    </row>
    <row r="9589" spans="11:11" ht="15" x14ac:dyDescent="0.25">
      <c r="K9589"/>
    </row>
    <row r="9590" spans="11:11" ht="15" x14ac:dyDescent="0.25">
      <c r="K9590"/>
    </row>
    <row r="9591" spans="11:11" ht="15" x14ac:dyDescent="0.25">
      <c r="K9591"/>
    </row>
    <row r="9592" spans="11:11" ht="15" x14ac:dyDescent="0.25">
      <c r="K9592"/>
    </row>
    <row r="9593" spans="11:11" ht="15" x14ac:dyDescent="0.25">
      <c r="K9593"/>
    </row>
    <row r="9594" spans="11:11" ht="15" x14ac:dyDescent="0.25">
      <c r="K9594"/>
    </row>
    <row r="9595" spans="11:11" ht="15" x14ac:dyDescent="0.25">
      <c r="K9595"/>
    </row>
    <row r="9596" spans="11:11" ht="15" x14ac:dyDescent="0.25">
      <c r="K9596"/>
    </row>
    <row r="9597" spans="11:11" ht="15" x14ac:dyDescent="0.25">
      <c r="K9597"/>
    </row>
    <row r="9598" spans="11:11" ht="15" x14ac:dyDescent="0.25">
      <c r="K9598"/>
    </row>
    <row r="9599" spans="11:11" ht="15" x14ac:dyDescent="0.25">
      <c r="K9599"/>
    </row>
    <row r="9600" spans="11:11" ht="15" x14ac:dyDescent="0.25">
      <c r="K9600"/>
    </row>
    <row r="9601" spans="11:11" ht="15" x14ac:dyDescent="0.25">
      <c r="K9601"/>
    </row>
    <row r="9602" spans="11:11" ht="15" x14ac:dyDescent="0.25">
      <c r="K9602"/>
    </row>
    <row r="9603" spans="11:11" ht="15" x14ac:dyDescent="0.25">
      <c r="K9603"/>
    </row>
    <row r="9604" spans="11:11" ht="15" x14ac:dyDescent="0.25">
      <c r="K9604"/>
    </row>
    <row r="9605" spans="11:11" ht="15" x14ac:dyDescent="0.25">
      <c r="K9605"/>
    </row>
    <row r="9606" spans="11:11" ht="15" x14ac:dyDescent="0.25">
      <c r="K9606"/>
    </row>
    <row r="9607" spans="11:11" ht="15" x14ac:dyDescent="0.25">
      <c r="K9607"/>
    </row>
    <row r="9608" spans="11:11" ht="15" x14ac:dyDescent="0.25">
      <c r="K9608"/>
    </row>
    <row r="9609" spans="11:11" ht="15" x14ac:dyDescent="0.25">
      <c r="K9609"/>
    </row>
    <row r="9610" spans="11:11" ht="15" x14ac:dyDescent="0.25">
      <c r="K9610"/>
    </row>
    <row r="9611" spans="11:11" ht="15" x14ac:dyDescent="0.25">
      <c r="K9611"/>
    </row>
    <row r="9612" spans="11:11" ht="15" x14ac:dyDescent="0.25">
      <c r="K9612"/>
    </row>
    <row r="9613" spans="11:11" ht="15" x14ac:dyDescent="0.25">
      <c r="K9613"/>
    </row>
    <row r="9614" spans="11:11" ht="15" x14ac:dyDescent="0.25">
      <c r="K9614"/>
    </row>
    <row r="9615" spans="11:11" ht="15" x14ac:dyDescent="0.25">
      <c r="K9615"/>
    </row>
    <row r="9616" spans="11:11" ht="15" x14ac:dyDescent="0.25">
      <c r="K9616"/>
    </row>
    <row r="9617" spans="11:11" ht="15" x14ac:dyDescent="0.25">
      <c r="K9617"/>
    </row>
    <row r="9618" spans="11:11" ht="15" x14ac:dyDescent="0.25">
      <c r="K9618"/>
    </row>
    <row r="9619" spans="11:11" ht="15" x14ac:dyDescent="0.25">
      <c r="K9619"/>
    </row>
    <row r="9620" spans="11:11" ht="15" x14ac:dyDescent="0.25">
      <c r="K9620"/>
    </row>
    <row r="9621" spans="11:11" ht="15" x14ac:dyDescent="0.25">
      <c r="K9621"/>
    </row>
    <row r="9622" spans="11:11" ht="15" x14ac:dyDescent="0.25">
      <c r="K9622"/>
    </row>
    <row r="9623" spans="11:11" ht="15" x14ac:dyDescent="0.25">
      <c r="K9623"/>
    </row>
    <row r="9624" spans="11:11" ht="15" x14ac:dyDescent="0.25">
      <c r="K9624"/>
    </row>
    <row r="9625" spans="11:11" ht="15" x14ac:dyDescent="0.25">
      <c r="K9625"/>
    </row>
    <row r="9626" spans="11:11" ht="15" x14ac:dyDescent="0.25">
      <c r="K9626"/>
    </row>
    <row r="9627" spans="11:11" ht="15" x14ac:dyDescent="0.25">
      <c r="K9627"/>
    </row>
    <row r="9628" spans="11:11" ht="15" x14ac:dyDescent="0.25">
      <c r="K9628"/>
    </row>
    <row r="9629" spans="11:11" ht="15" x14ac:dyDescent="0.25">
      <c r="K9629"/>
    </row>
    <row r="9630" spans="11:11" ht="15" x14ac:dyDescent="0.25">
      <c r="K9630"/>
    </row>
    <row r="9631" spans="11:11" ht="15" x14ac:dyDescent="0.25">
      <c r="K9631"/>
    </row>
    <row r="9632" spans="11:11" ht="15" x14ac:dyDescent="0.25">
      <c r="K9632"/>
    </row>
    <row r="9633" spans="11:11" ht="15" x14ac:dyDescent="0.25">
      <c r="K9633"/>
    </row>
    <row r="9634" spans="11:11" ht="15" x14ac:dyDescent="0.25">
      <c r="K9634"/>
    </row>
    <row r="9635" spans="11:11" ht="15" x14ac:dyDescent="0.25">
      <c r="K9635"/>
    </row>
    <row r="9636" spans="11:11" ht="15" x14ac:dyDescent="0.25">
      <c r="K9636"/>
    </row>
    <row r="9637" spans="11:11" ht="15" x14ac:dyDescent="0.25">
      <c r="K9637"/>
    </row>
    <row r="9638" spans="11:11" ht="15" x14ac:dyDescent="0.25">
      <c r="K9638"/>
    </row>
    <row r="9639" spans="11:11" ht="15" x14ac:dyDescent="0.25">
      <c r="K9639"/>
    </row>
    <row r="9640" spans="11:11" ht="15" x14ac:dyDescent="0.25">
      <c r="K9640"/>
    </row>
    <row r="9641" spans="11:11" ht="15" x14ac:dyDescent="0.25">
      <c r="K9641"/>
    </row>
    <row r="9642" spans="11:11" ht="15" x14ac:dyDescent="0.25">
      <c r="K9642"/>
    </row>
    <row r="9643" spans="11:11" ht="15" x14ac:dyDescent="0.25">
      <c r="K9643"/>
    </row>
    <row r="9644" spans="11:11" ht="15" x14ac:dyDescent="0.25">
      <c r="K9644"/>
    </row>
    <row r="9645" spans="11:11" ht="15" x14ac:dyDescent="0.25">
      <c r="K9645"/>
    </row>
    <row r="9646" spans="11:11" ht="15" x14ac:dyDescent="0.25">
      <c r="K9646"/>
    </row>
    <row r="9647" spans="11:11" ht="15" x14ac:dyDescent="0.25">
      <c r="K9647"/>
    </row>
    <row r="9648" spans="11:11" ht="15" x14ac:dyDescent="0.25">
      <c r="K9648"/>
    </row>
    <row r="9649" spans="11:11" ht="15" x14ac:dyDescent="0.25">
      <c r="K9649"/>
    </row>
    <row r="9650" spans="11:11" ht="15" x14ac:dyDescent="0.25">
      <c r="K9650"/>
    </row>
    <row r="9651" spans="11:11" ht="15" x14ac:dyDescent="0.25">
      <c r="K9651"/>
    </row>
    <row r="9652" spans="11:11" ht="15" x14ac:dyDescent="0.25">
      <c r="K9652"/>
    </row>
    <row r="9653" spans="11:11" ht="15" x14ac:dyDescent="0.25">
      <c r="K9653"/>
    </row>
    <row r="9654" spans="11:11" ht="15" x14ac:dyDescent="0.25">
      <c r="K9654"/>
    </row>
    <row r="9655" spans="11:11" ht="15" x14ac:dyDescent="0.25">
      <c r="K9655"/>
    </row>
    <row r="9656" spans="11:11" ht="15" x14ac:dyDescent="0.25">
      <c r="K9656"/>
    </row>
    <row r="9657" spans="11:11" ht="15" x14ac:dyDescent="0.25">
      <c r="K9657"/>
    </row>
    <row r="9658" spans="11:11" ht="15" x14ac:dyDescent="0.25">
      <c r="K9658"/>
    </row>
    <row r="9659" spans="11:11" ht="15" x14ac:dyDescent="0.25">
      <c r="K9659"/>
    </row>
    <row r="9660" spans="11:11" ht="15" x14ac:dyDescent="0.25">
      <c r="K9660"/>
    </row>
    <row r="9661" spans="11:11" ht="15" x14ac:dyDescent="0.25">
      <c r="K9661"/>
    </row>
    <row r="9662" spans="11:11" ht="15" x14ac:dyDescent="0.25">
      <c r="K9662"/>
    </row>
    <row r="9663" spans="11:11" ht="15" x14ac:dyDescent="0.25">
      <c r="K9663"/>
    </row>
    <row r="9664" spans="11:11" ht="15" x14ac:dyDescent="0.25">
      <c r="K9664"/>
    </row>
    <row r="9665" spans="11:11" ht="15" x14ac:dyDescent="0.25">
      <c r="K9665"/>
    </row>
    <row r="9666" spans="11:11" ht="15" x14ac:dyDescent="0.25">
      <c r="K9666"/>
    </row>
    <row r="9667" spans="11:11" ht="15" x14ac:dyDescent="0.25">
      <c r="K9667"/>
    </row>
    <row r="9668" spans="11:11" ht="15" x14ac:dyDescent="0.25">
      <c r="K9668"/>
    </row>
    <row r="9669" spans="11:11" ht="15" x14ac:dyDescent="0.25">
      <c r="K9669"/>
    </row>
    <row r="9670" spans="11:11" ht="15" x14ac:dyDescent="0.25">
      <c r="K9670"/>
    </row>
    <row r="9671" spans="11:11" ht="15" x14ac:dyDescent="0.25">
      <c r="K9671"/>
    </row>
    <row r="9672" spans="11:11" ht="15" x14ac:dyDescent="0.25">
      <c r="K9672"/>
    </row>
    <row r="9673" spans="11:11" ht="15" x14ac:dyDescent="0.25">
      <c r="K9673"/>
    </row>
    <row r="9674" spans="11:11" ht="15" x14ac:dyDescent="0.25">
      <c r="K9674"/>
    </row>
    <row r="9675" spans="11:11" ht="15" x14ac:dyDescent="0.25">
      <c r="K9675"/>
    </row>
    <row r="9676" spans="11:11" ht="15" x14ac:dyDescent="0.25">
      <c r="K9676"/>
    </row>
    <row r="9677" spans="11:11" ht="15" x14ac:dyDescent="0.25">
      <c r="K9677"/>
    </row>
    <row r="9678" spans="11:11" ht="15" x14ac:dyDescent="0.25">
      <c r="K9678"/>
    </row>
    <row r="9679" spans="11:11" ht="15" x14ac:dyDescent="0.25">
      <c r="K9679"/>
    </row>
    <row r="9680" spans="11:11" ht="15" x14ac:dyDescent="0.25">
      <c r="K9680"/>
    </row>
    <row r="9681" spans="11:11" ht="15" x14ac:dyDescent="0.25">
      <c r="K9681"/>
    </row>
    <row r="9682" spans="11:11" ht="15" x14ac:dyDescent="0.25">
      <c r="K9682"/>
    </row>
    <row r="9683" spans="11:11" ht="15" x14ac:dyDescent="0.25">
      <c r="K9683"/>
    </row>
    <row r="9684" spans="11:11" ht="15" x14ac:dyDescent="0.25">
      <c r="K9684"/>
    </row>
    <row r="9685" spans="11:11" ht="15" x14ac:dyDescent="0.25">
      <c r="K9685"/>
    </row>
    <row r="9686" spans="11:11" ht="15" x14ac:dyDescent="0.25">
      <c r="K9686"/>
    </row>
    <row r="9687" spans="11:11" ht="15" x14ac:dyDescent="0.25">
      <c r="K9687"/>
    </row>
    <row r="9688" spans="11:11" ht="15" x14ac:dyDescent="0.25">
      <c r="K9688"/>
    </row>
    <row r="9689" spans="11:11" ht="15" x14ac:dyDescent="0.25">
      <c r="K9689"/>
    </row>
    <row r="9690" spans="11:11" ht="15" x14ac:dyDescent="0.25">
      <c r="K9690"/>
    </row>
    <row r="9691" spans="11:11" ht="15" x14ac:dyDescent="0.25">
      <c r="K9691"/>
    </row>
    <row r="9692" spans="11:11" ht="15" x14ac:dyDescent="0.25">
      <c r="K9692"/>
    </row>
    <row r="9693" spans="11:11" ht="15" x14ac:dyDescent="0.25">
      <c r="K9693"/>
    </row>
    <row r="9694" spans="11:11" ht="15" x14ac:dyDescent="0.25">
      <c r="K9694"/>
    </row>
    <row r="9695" spans="11:11" ht="15" x14ac:dyDescent="0.25">
      <c r="K9695"/>
    </row>
    <row r="9696" spans="11:11" ht="15" x14ac:dyDescent="0.25">
      <c r="K9696"/>
    </row>
    <row r="9697" spans="11:11" ht="15" x14ac:dyDescent="0.25">
      <c r="K9697"/>
    </row>
    <row r="9698" spans="11:11" ht="15" x14ac:dyDescent="0.25">
      <c r="K9698"/>
    </row>
    <row r="9699" spans="11:11" ht="15" x14ac:dyDescent="0.25">
      <c r="K9699"/>
    </row>
    <row r="9700" spans="11:11" ht="15" x14ac:dyDescent="0.25">
      <c r="K9700"/>
    </row>
    <row r="9701" spans="11:11" ht="15" x14ac:dyDescent="0.25">
      <c r="K9701"/>
    </row>
    <row r="9702" spans="11:11" ht="15" x14ac:dyDescent="0.25">
      <c r="K9702"/>
    </row>
    <row r="9703" spans="11:11" ht="15" x14ac:dyDescent="0.25">
      <c r="K9703"/>
    </row>
    <row r="9704" spans="11:11" ht="15" x14ac:dyDescent="0.25">
      <c r="K9704"/>
    </row>
    <row r="9705" spans="11:11" ht="15" x14ac:dyDescent="0.25">
      <c r="K9705"/>
    </row>
    <row r="9706" spans="11:11" ht="15" x14ac:dyDescent="0.25">
      <c r="K9706"/>
    </row>
    <row r="9707" spans="11:11" ht="15" x14ac:dyDescent="0.25">
      <c r="K9707"/>
    </row>
    <row r="9708" spans="11:11" ht="15" x14ac:dyDescent="0.25">
      <c r="K9708"/>
    </row>
    <row r="9709" spans="11:11" ht="15" x14ac:dyDescent="0.25">
      <c r="K9709"/>
    </row>
    <row r="9710" spans="11:11" ht="15" x14ac:dyDescent="0.25">
      <c r="K9710"/>
    </row>
    <row r="9711" spans="11:11" ht="15" x14ac:dyDescent="0.25">
      <c r="K9711"/>
    </row>
    <row r="9712" spans="11:11" ht="15" x14ac:dyDescent="0.25">
      <c r="K9712"/>
    </row>
    <row r="9713" spans="11:11" ht="15" x14ac:dyDescent="0.25">
      <c r="K9713"/>
    </row>
    <row r="9714" spans="11:11" ht="15" x14ac:dyDescent="0.25">
      <c r="K9714"/>
    </row>
    <row r="9715" spans="11:11" ht="15" x14ac:dyDescent="0.25">
      <c r="K9715"/>
    </row>
    <row r="9716" spans="11:11" ht="15" x14ac:dyDescent="0.25">
      <c r="K9716"/>
    </row>
    <row r="9717" spans="11:11" ht="15" x14ac:dyDescent="0.25">
      <c r="K9717"/>
    </row>
    <row r="9718" spans="11:11" ht="15" x14ac:dyDescent="0.25">
      <c r="K9718"/>
    </row>
    <row r="9719" spans="11:11" ht="15" x14ac:dyDescent="0.25">
      <c r="K9719"/>
    </row>
    <row r="9720" spans="11:11" ht="15" x14ac:dyDescent="0.25">
      <c r="K9720"/>
    </row>
    <row r="9721" spans="11:11" ht="15" x14ac:dyDescent="0.25">
      <c r="K9721"/>
    </row>
    <row r="9722" spans="11:11" ht="15" x14ac:dyDescent="0.25">
      <c r="K9722"/>
    </row>
    <row r="9723" spans="11:11" ht="15" x14ac:dyDescent="0.25">
      <c r="K9723"/>
    </row>
    <row r="9724" spans="11:11" ht="15" x14ac:dyDescent="0.25">
      <c r="K9724"/>
    </row>
    <row r="9725" spans="11:11" ht="15" x14ac:dyDescent="0.25">
      <c r="K9725"/>
    </row>
    <row r="9726" spans="11:11" ht="15" x14ac:dyDescent="0.25">
      <c r="K9726"/>
    </row>
    <row r="9727" spans="11:11" ht="15" x14ac:dyDescent="0.25">
      <c r="K9727"/>
    </row>
    <row r="9728" spans="11:11" ht="15" x14ac:dyDescent="0.25">
      <c r="K9728"/>
    </row>
    <row r="9729" spans="11:11" ht="15" x14ac:dyDescent="0.25">
      <c r="K9729"/>
    </row>
    <row r="9730" spans="11:11" ht="15" x14ac:dyDescent="0.25">
      <c r="K9730"/>
    </row>
    <row r="9731" spans="11:11" ht="15" x14ac:dyDescent="0.25">
      <c r="K9731"/>
    </row>
    <row r="9732" spans="11:11" ht="15" x14ac:dyDescent="0.25">
      <c r="K9732"/>
    </row>
    <row r="9733" spans="11:11" ht="15" x14ac:dyDescent="0.25">
      <c r="K9733"/>
    </row>
    <row r="9734" spans="11:11" ht="15" x14ac:dyDescent="0.25">
      <c r="K9734"/>
    </row>
    <row r="9735" spans="11:11" ht="15" x14ac:dyDescent="0.25">
      <c r="K9735"/>
    </row>
    <row r="9736" spans="11:11" ht="15" x14ac:dyDescent="0.25">
      <c r="K9736"/>
    </row>
    <row r="9737" spans="11:11" ht="15" x14ac:dyDescent="0.25">
      <c r="K9737"/>
    </row>
    <row r="9738" spans="11:11" ht="15" x14ac:dyDescent="0.25">
      <c r="K9738"/>
    </row>
    <row r="9739" spans="11:11" ht="15" x14ac:dyDescent="0.25">
      <c r="K9739"/>
    </row>
    <row r="9740" spans="11:11" ht="15" x14ac:dyDescent="0.25">
      <c r="K9740"/>
    </row>
    <row r="9741" spans="11:11" ht="15" x14ac:dyDescent="0.25">
      <c r="K9741"/>
    </row>
    <row r="9742" spans="11:11" ht="15" x14ac:dyDescent="0.25">
      <c r="K9742"/>
    </row>
    <row r="9743" spans="11:11" ht="15" x14ac:dyDescent="0.25">
      <c r="K9743"/>
    </row>
    <row r="9744" spans="11:11" ht="15" x14ac:dyDescent="0.25">
      <c r="K9744"/>
    </row>
    <row r="9745" spans="11:11" ht="15" x14ac:dyDescent="0.25">
      <c r="K9745"/>
    </row>
    <row r="9746" spans="11:11" ht="15" x14ac:dyDescent="0.25">
      <c r="K9746"/>
    </row>
    <row r="9747" spans="11:11" ht="15" x14ac:dyDescent="0.25">
      <c r="K9747"/>
    </row>
    <row r="9748" spans="11:11" ht="15" x14ac:dyDescent="0.25">
      <c r="K9748"/>
    </row>
    <row r="9749" spans="11:11" ht="15" x14ac:dyDescent="0.25">
      <c r="K9749"/>
    </row>
    <row r="9750" spans="11:11" ht="15" x14ac:dyDescent="0.25">
      <c r="K9750"/>
    </row>
    <row r="9751" spans="11:11" ht="15" x14ac:dyDescent="0.25">
      <c r="K9751"/>
    </row>
    <row r="9752" spans="11:11" ht="15" x14ac:dyDescent="0.25">
      <c r="K9752"/>
    </row>
    <row r="9753" spans="11:11" ht="15" x14ac:dyDescent="0.25">
      <c r="K9753"/>
    </row>
    <row r="9754" spans="11:11" ht="15" x14ac:dyDescent="0.25">
      <c r="K9754"/>
    </row>
    <row r="9755" spans="11:11" ht="15" x14ac:dyDescent="0.25">
      <c r="K9755"/>
    </row>
    <row r="9756" spans="11:11" ht="15" x14ac:dyDescent="0.25">
      <c r="K9756"/>
    </row>
    <row r="9757" spans="11:11" ht="15" x14ac:dyDescent="0.25">
      <c r="K9757"/>
    </row>
    <row r="9758" spans="11:11" ht="15" x14ac:dyDescent="0.25">
      <c r="K9758"/>
    </row>
    <row r="9759" spans="11:11" ht="15" x14ac:dyDescent="0.25">
      <c r="K9759"/>
    </row>
    <row r="9760" spans="11:11" ht="15" x14ac:dyDescent="0.25">
      <c r="K9760"/>
    </row>
    <row r="9761" spans="11:11" ht="15" x14ac:dyDescent="0.25">
      <c r="K9761"/>
    </row>
    <row r="9762" spans="11:11" ht="15" x14ac:dyDescent="0.25">
      <c r="K9762"/>
    </row>
    <row r="9763" spans="11:11" ht="15" x14ac:dyDescent="0.25">
      <c r="K9763"/>
    </row>
    <row r="9764" spans="11:11" ht="15" x14ac:dyDescent="0.25">
      <c r="K9764"/>
    </row>
    <row r="9765" spans="11:11" ht="15" x14ac:dyDescent="0.25">
      <c r="K9765"/>
    </row>
    <row r="9766" spans="11:11" ht="15" x14ac:dyDescent="0.25">
      <c r="K9766"/>
    </row>
    <row r="9767" spans="11:11" ht="15" x14ac:dyDescent="0.25">
      <c r="K9767"/>
    </row>
    <row r="9768" spans="11:11" ht="15" x14ac:dyDescent="0.25">
      <c r="K9768"/>
    </row>
    <row r="9769" spans="11:11" ht="15" x14ac:dyDescent="0.25">
      <c r="K9769"/>
    </row>
    <row r="9770" spans="11:11" ht="15" x14ac:dyDescent="0.25">
      <c r="K9770"/>
    </row>
    <row r="9771" spans="11:11" ht="15" x14ac:dyDescent="0.25">
      <c r="K9771"/>
    </row>
    <row r="9772" spans="11:11" ht="15" x14ac:dyDescent="0.25">
      <c r="K9772"/>
    </row>
    <row r="9773" spans="11:11" ht="15" x14ac:dyDescent="0.25">
      <c r="K9773"/>
    </row>
    <row r="9774" spans="11:11" ht="15" x14ac:dyDescent="0.25">
      <c r="K9774"/>
    </row>
    <row r="9775" spans="11:11" ht="15" x14ac:dyDescent="0.25">
      <c r="K9775"/>
    </row>
    <row r="9776" spans="11:11" ht="15" x14ac:dyDescent="0.25">
      <c r="K9776"/>
    </row>
    <row r="9777" spans="11:11" ht="15" x14ac:dyDescent="0.25">
      <c r="K9777"/>
    </row>
    <row r="9778" spans="11:11" ht="15" x14ac:dyDescent="0.25">
      <c r="K9778"/>
    </row>
    <row r="9779" spans="11:11" ht="15" x14ac:dyDescent="0.25">
      <c r="K9779"/>
    </row>
    <row r="9780" spans="11:11" ht="15" x14ac:dyDescent="0.25">
      <c r="K9780"/>
    </row>
    <row r="9781" spans="11:11" ht="15" x14ac:dyDescent="0.25">
      <c r="K9781"/>
    </row>
    <row r="9782" spans="11:11" ht="15" x14ac:dyDescent="0.25">
      <c r="K9782"/>
    </row>
    <row r="9783" spans="11:11" ht="15" x14ac:dyDescent="0.25">
      <c r="K9783"/>
    </row>
    <row r="9784" spans="11:11" ht="15" x14ac:dyDescent="0.25">
      <c r="K9784"/>
    </row>
    <row r="9785" spans="11:11" ht="15" x14ac:dyDescent="0.25">
      <c r="K9785"/>
    </row>
    <row r="9786" spans="11:11" ht="15" x14ac:dyDescent="0.25">
      <c r="K9786"/>
    </row>
    <row r="9787" spans="11:11" ht="15" x14ac:dyDescent="0.25">
      <c r="K9787"/>
    </row>
    <row r="9788" spans="11:11" ht="15" x14ac:dyDescent="0.25">
      <c r="K9788"/>
    </row>
    <row r="9789" spans="11:11" ht="15" x14ac:dyDescent="0.25">
      <c r="K9789"/>
    </row>
    <row r="9790" spans="11:11" ht="15" x14ac:dyDescent="0.25">
      <c r="K9790"/>
    </row>
    <row r="9791" spans="11:11" ht="15" x14ac:dyDescent="0.25">
      <c r="K9791"/>
    </row>
    <row r="9792" spans="11:11" ht="15" x14ac:dyDescent="0.25">
      <c r="K9792"/>
    </row>
    <row r="9793" spans="11:11" ht="15" x14ac:dyDescent="0.25">
      <c r="K9793"/>
    </row>
    <row r="9794" spans="11:11" ht="15" x14ac:dyDescent="0.25">
      <c r="K9794"/>
    </row>
    <row r="9795" spans="11:11" ht="15" x14ac:dyDescent="0.25">
      <c r="K9795"/>
    </row>
    <row r="9796" spans="11:11" ht="15" x14ac:dyDescent="0.25">
      <c r="K9796"/>
    </row>
    <row r="9797" spans="11:11" ht="15" x14ac:dyDescent="0.25">
      <c r="K9797"/>
    </row>
    <row r="9798" spans="11:11" ht="15" x14ac:dyDescent="0.25">
      <c r="K9798"/>
    </row>
    <row r="9799" spans="11:11" ht="15" x14ac:dyDescent="0.25">
      <c r="K9799"/>
    </row>
    <row r="9800" spans="11:11" ht="15" x14ac:dyDescent="0.25">
      <c r="K9800"/>
    </row>
    <row r="9801" spans="11:11" ht="15" x14ac:dyDescent="0.25">
      <c r="K9801"/>
    </row>
    <row r="9802" spans="11:11" ht="15" x14ac:dyDescent="0.25">
      <c r="K9802"/>
    </row>
    <row r="9803" spans="11:11" ht="15" x14ac:dyDescent="0.25">
      <c r="K9803"/>
    </row>
    <row r="9804" spans="11:11" ht="15" x14ac:dyDescent="0.25">
      <c r="K9804"/>
    </row>
    <row r="9805" spans="11:11" ht="15" x14ac:dyDescent="0.25">
      <c r="K9805"/>
    </row>
    <row r="9806" spans="11:11" ht="15" x14ac:dyDescent="0.25">
      <c r="K9806"/>
    </row>
    <row r="9807" spans="11:11" ht="15" x14ac:dyDescent="0.25">
      <c r="K9807"/>
    </row>
    <row r="9808" spans="11:11" ht="15" x14ac:dyDescent="0.25">
      <c r="K9808"/>
    </row>
    <row r="9809" spans="11:11" ht="15" x14ac:dyDescent="0.25">
      <c r="K9809"/>
    </row>
    <row r="9810" spans="11:11" ht="15" x14ac:dyDescent="0.25">
      <c r="K9810"/>
    </row>
    <row r="9811" spans="11:11" ht="15" x14ac:dyDescent="0.25">
      <c r="K9811"/>
    </row>
    <row r="9812" spans="11:11" ht="15" x14ac:dyDescent="0.25">
      <c r="K9812"/>
    </row>
    <row r="9813" spans="11:11" ht="15" x14ac:dyDescent="0.25">
      <c r="K9813"/>
    </row>
    <row r="9814" spans="11:11" ht="15" x14ac:dyDescent="0.25">
      <c r="K9814"/>
    </row>
    <row r="9815" spans="11:11" ht="15" x14ac:dyDescent="0.25">
      <c r="K9815"/>
    </row>
    <row r="9816" spans="11:11" ht="15" x14ac:dyDescent="0.25">
      <c r="K9816"/>
    </row>
    <row r="9817" spans="11:11" ht="15" x14ac:dyDescent="0.25">
      <c r="K9817"/>
    </row>
    <row r="9818" spans="11:11" ht="15" x14ac:dyDescent="0.25">
      <c r="K9818"/>
    </row>
    <row r="9819" spans="11:11" ht="15" x14ac:dyDescent="0.25">
      <c r="K9819"/>
    </row>
    <row r="9820" spans="11:11" ht="15" x14ac:dyDescent="0.25">
      <c r="K9820"/>
    </row>
    <row r="9821" spans="11:11" ht="15" x14ac:dyDescent="0.25">
      <c r="K9821"/>
    </row>
    <row r="9822" spans="11:11" ht="15" x14ac:dyDescent="0.25">
      <c r="K9822"/>
    </row>
    <row r="9823" spans="11:11" ht="15" x14ac:dyDescent="0.25">
      <c r="K9823"/>
    </row>
    <row r="9824" spans="11:11" ht="15" x14ac:dyDescent="0.25">
      <c r="K9824"/>
    </row>
    <row r="9825" spans="11:11" ht="15" x14ac:dyDescent="0.25">
      <c r="K9825"/>
    </row>
    <row r="9826" spans="11:11" ht="15" x14ac:dyDescent="0.25">
      <c r="K9826"/>
    </row>
    <row r="9827" spans="11:11" ht="15" x14ac:dyDescent="0.25">
      <c r="K9827"/>
    </row>
    <row r="9828" spans="11:11" ht="15" x14ac:dyDescent="0.25">
      <c r="K9828"/>
    </row>
    <row r="9829" spans="11:11" ht="15" x14ac:dyDescent="0.25">
      <c r="K9829"/>
    </row>
    <row r="9830" spans="11:11" ht="15" x14ac:dyDescent="0.25">
      <c r="K9830"/>
    </row>
    <row r="9831" spans="11:11" ht="15" x14ac:dyDescent="0.25">
      <c r="K9831"/>
    </row>
    <row r="9832" spans="11:11" ht="15" x14ac:dyDescent="0.25">
      <c r="K9832"/>
    </row>
    <row r="9833" spans="11:11" ht="15" x14ac:dyDescent="0.25">
      <c r="K9833"/>
    </row>
    <row r="9834" spans="11:11" ht="15" x14ac:dyDescent="0.25">
      <c r="K9834"/>
    </row>
    <row r="9835" spans="11:11" ht="15" x14ac:dyDescent="0.25">
      <c r="K9835"/>
    </row>
    <row r="9836" spans="11:11" ht="15" x14ac:dyDescent="0.25">
      <c r="K9836"/>
    </row>
    <row r="9837" spans="11:11" ht="15" x14ac:dyDescent="0.25">
      <c r="K9837"/>
    </row>
    <row r="9838" spans="11:11" ht="15" x14ac:dyDescent="0.25">
      <c r="K9838"/>
    </row>
    <row r="9839" spans="11:11" ht="15" x14ac:dyDescent="0.25">
      <c r="K9839"/>
    </row>
    <row r="9840" spans="11:11" ht="15" x14ac:dyDescent="0.25">
      <c r="K9840"/>
    </row>
    <row r="9841" spans="11:11" ht="15" x14ac:dyDescent="0.25">
      <c r="K9841"/>
    </row>
    <row r="9842" spans="11:11" ht="15" x14ac:dyDescent="0.25">
      <c r="K9842"/>
    </row>
    <row r="9843" spans="11:11" ht="15" x14ac:dyDescent="0.25">
      <c r="K9843"/>
    </row>
    <row r="9844" spans="11:11" ht="15" x14ac:dyDescent="0.25">
      <c r="K9844"/>
    </row>
    <row r="9845" spans="11:11" ht="15" x14ac:dyDescent="0.25">
      <c r="K9845"/>
    </row>
    <row r="9846" spans="11:11" ht="15" x14ac:dyDescent="0.25">
      <c r="K9846"/>
    </row>
    <row r="9847" spans="11:11" ht="15" x14ac:dyDescent="0.25">
      <c r="K9847"/>
    </row>
    <row r="9848" spans="11:11" ht="15" x14ac:dyDescent="0.25">
      <c r="K9848"/>
    </row>
    <row r="9849" spans="11:11" ht="15" x14ac:dyDescent="0.25">
      <c r="K9849"/>
    </row>
    <row r="9850" spans="11:11" ht="15" x14ac:dyDescent="0.25">
      <c r="K9850"/>
    </row>
    <row r="9851" spans="11:11" ht="15" x14ac:dyDescent="0.25">
      <c r="K9851"/>
    </row>
    <row r="9852" spans="11:11" ht="15" x14ac:dyDescent="0.25">
      <c r="K9852"/>
    </row>
    <row r="9853" spans="11:11" ht="15" x14ac:dyDescent="0.25">
      <c r="K9853"/>
    </row>
    <row r="9854" spans="11:11" ht="15" x14ac:dyDescent="0.25">
      <c r="K9854"/>
    </row>
    <row r="9855" spans="11:11" ht="15" x14ac:dyDescent="0.25">
      <c r="K9855"/>
    </row>
    <row r="9856" spans="11:11" ht="15" x14ac:dyDescent="0.25">
      <c r="K9856"/>
    </row>
    <row r="9857" spans="11:11" ht="15" x14ac:dyDescent="0.25">
      <c r="K9857"/>
    </row>
    <row r="9858" spans="11:11" ht="15" x14ac:dyDescent="0.25">
      <c r="K9858"/>
    </row>
    <row r="9859" spans="11:11" ht="15" x14ac:dyDescent="0.25">
      <c r="K9859"/>
    </row>
    <row r="9860" spans="11:11" ht="15" x14ac:dyDescent="0.25">
      <c r="K9860"/>
    </row>
    <row r="9861" spans="11:11" ht="15" x14ac:dyDescent="0.25">
      <c r="K9861"/>
    </row>
    <row r="9862" spans="11:11" ht="15" x14ac:dyDescent="0.25">
      <c r="K9862"/>
    </row>
    <row r="9863" spans="11:11" ht="15" x14ac:dyDescent="0.25">
      <c r="K9863"/>
    </row>
    <row r="9864" spans="11:11" ht="15" x14ac:dyDescent="0.25">
      <c r="K9864"/>
    </row>
    <row r="9865" spans="11:11" ht="15" x14ac:dyDescent="0.25">
      <c r="K9865"/>
    </row>
    <row r="9866" spans="11:11" ht="15" x14ac:dyDescent="0.25">
      <c r="K9866"/>
    </row>
    <row r="9867" spans="11:11" ht="15" x14ac:dyDescent="0.25">
      <c r="K9867"/>
    </row>
    <row r="9868" spans="11:11" ht="15" x14ac:dyDescent="0.25">
      <c r="K9868"/>
    </row>
    <row r="9869" spans="11:11" ht="15" x14ac:dyDescent="0.25">
      <c r="K9869"/>
    </row>
    <row r="9870" spans="11:11" ht="15" x14ac:dyDescent="0.25">
      <c r="K9870"/>
    </row>
    <row r="9871" spans="11:11" ht="15" x14ac:dyDescent="0.25">
      <c r="K9871"/>
    </row>
    <row r="9872" spans="11:11" ht="15" x14ac:dyDescent="0.25">
      <c r="K9872"/>
    </row>
    <row r="9873" spans="11:11" ht="15" x14ac:dyDescent="0.25">
      <c r="K9873"/>
    </row>
    <row r="9874" spans="11:11" ht="15" x14ac:dyDescent="0.25">
      <c r="K9874"/>
    </row>
    <row r="9875" spans="11:11" ht="15" x14ac:dyDescent="0.25">
      <c r="K9875"/>
    </row>
    <row r="9876" spans="11:11" ht="15" x14ac:dyDescent="0.25">
      <c r="K9876"/>
    </row>
    <row r="9877" spans="11:11" ht="15" x14ac:dyDescent="0.25">
      <c r="K9877"/>
    </row>
    <row r="9878" spans="11:11" ht="15" x14ac:dyDescent="0.25">
      <c r="K9878"/>
    </row>
    <row r="9879" spans="11:11" ht="15" x14ac:dyDescent="0.25">
      <c r="K9879"/>
    </row>
    <row r="9880" spans="11:11" ht="15" x14ac:dyDescent="0.25">
      <c r="K9880"/>
    </row>
    <row r="9881" spans="11:11" ht="15" x14ac:dyDescent="0.25">
      <c r="K9881"/>
    </row>
    <row r="9882" spans="11:11" ht="15" x14ac:dyDescent="0.25">
      <c r="K9882"/>
    </row>
    <row r="9883" spans="11:11" ht="15" x14ac:dyDescent="0.25">
      <c r="K9883"/>
    </row>
    <row r="9884" spans="11:11" ht="15" x14ac:dyDescent="0.25">
      <c r="K9884"/>
    </row>
    <row r="9885" spans="11:11" ht="15" x14ac:dyDescent="0.25">
      <c r="K9885"/>
    </row>
    <row r="9886" spans="11:11" ht="15" x14ac:dyDescent="0.25">
      <c r="K9886"/>
    </row>
    <row r="9887" spans="11:11" ht="15" x14ac:dyDescent="0.25">
      <c r="K9887"/>
    </row>
    <row r="9888" spans="11:11" ht="15" x14ac:dyDescent="0.25">
      <c r="K9888"/>
    </row>
    <row r="9889" spans="11:11" ht="15" x14ac:dyDescent="0.25">
      <c r="K9889"/>
    </row>
    <row r="9890" spans="11:11" ht="15" x14ac:dyDescent="0.25">
      <c r="K9890"/>
    </row>
    <row r="9891" spans="11:11" ht="15" x14ac:dyDescent="0.25">
      <c r="K9891"/>
    </row>
    <row r="9892" spans="11:11" ht="15" x14ac:dyDescent="0.25">
      <c r="K9892"/>
    </row>
    <row r="9893" spans="11:11" ht="15" x14ac:dyDescent="0.25">
      <c r="K9893"/>
    </row>
    <row r="9894" spans="11:11" ht="15" x14ac:dyDescent="0.25">
      <c r="K9894"/>
    </row>
    <row r="9895" spans="11:11" ht="15" x14ac:dyDescent="0.25">
      <c r="K9895"/>
    </row>
    <row r="9896" spans="11:11" ht="15" x14ac:dyDescent="0.25">
      <c r="K9896"/>
    </row>
    <row r="9897" spans="11:11" ht="15" x14ac:dyDescent="0.25">
      <c r="K9897"/>
    </row>
    <row r="9898" spans="11:11" ht="15" x14ac:dyDescent="0.25">
      <c r="K9898"/>
    </row>
    <row r="9899" spans="11:11" ht="15" x14ac:dyDescent="0.25">
      <c r="K9899"/>
    </row>
    <row r="9900" spans="11:11" ht="15" x14ac:dyDescent="0.25">
      <c r="K9900"/>
    </row>
    <row r="9901" spans="11:11" ht="15" x14ac:dyDescent="0.25">
      <c r="K9901"/>
    </row>
    <row r="9902" spans="11:11" ht="15" x14ac:dyDescent="0.25">
      <c r="K9902"/>
    </row>
    <row r="9903" spans="11:11" ht="15" x14ac:dyDescent="0.25">
      <c r="K9903"/>
    </row>
    <row r="9904" spans="11:11" ht="15" x14ac:dyDescent="0.25">
      <c r="K9904"/>
    </row>
    <row r="9905" spans="11:11" ht="15" x14ac:dyDescent="0.25">
      <c r="K9905"/>
    </row>
    <row r="9906" spans="11:11" ht="15" x14ac:dyDescent="0.25">
      <c r="K9906"/>
    </row>
    <row r="9907" spans="11:11" ht="15" x14ac:dyDescent="0.25">
      <c r="K9907"/>
    </row>
    <row r="9908" spans="11:11" ht="15" x14ac:dyDescent="0.25">
      <c r="K9908"/>
    </row>
    <row r="9909" spans="11:11" ht="15" x14ac:dyDescent="0.25">
      <c r="K9909"/>
    </row>
    <row r="9910" spans="11:11" ht="15" x14ac:dyDescent="0.25">
      <c r="K9910"/>
    </row>
    <row r="9911" spans="11:11" ht="15" x14ac:dyDescent="0.25">
      <c r="K9911"/>
    </row>
    <row r="9912" spans="11:11" ht="15" x14ac:dyDescent="0.25">
      <c r="K9912"/>
    </row>
    <row r="9913" spans="11:11" ht="15" x14ac:dyDescent="0.25">
      <c r="K9913"/>
    </row>
    <row r="9914" spans="11:11" ht="15" x14ac:dyDescent="0.25">
      <c r="K9914"/>
    </row>
    <row r="9915" spans="11:11" ht="15" x14ac:dyDescent="0.25">
      <c r="K9915"/>
    </row>
    <row r="9916" spans="11:11" ht="15" x14ac:dyDescent="0.25">
      <c r="K9916"/>
    </row>
    <row r="9917" spans="11:11" ht="15" x14ac:dyDescent="0.25">
      <c r="K9917"/>
    </row>
    <row r="9918" spans="11:11" ht="15" x14ac:dyDescent="0.25">
      <c r="K9918"/>
    </row>
    <row r="9919" spans="11:11" ht="15" x14ac:dyDescent="0.25">
      <c r="K9919"/>
    </row>
    <row r="9920" spans="11:11" ht="15" x14ac:dyDescent="0.25">
      <c r="K9920"/>
    </row>
    <row r="9921" spans="11:11" ht="15" x14ac:dyDescent="0.25">
      <c r="K9921"/>
    </row>
    <row r="9922" spans="11:11" ht="15" x14ac:dyDescent="0.25">
      <c r="K9922"/>
    </row>
    <row r="9923" spans="11:11" ht="15" x14ac:dyDescent="0.25">
      <c r="K9923"/>
    </row>
    <row r="9924" spans="11:11" ht="15" x14ac:dyDescent="0.25">
      <c r="K9924"/>
    </row>
    <row r="9925" spans="11:11" ht="15" x14ac:dyDescent="0.25">
      <c r="K9925"/>
    </row>
    <row r="9926" spans="11:11" ht="15" x14ac:dyDescent="0.25">
      <c r="K9926"/>
    </row>
    <row r="9927" spans="11:11" ht="15" x14ac:dyDescent="0.25">
      <c r="K9927"/>
    </row>
    <row r="9928" spans="11:11" ht="15" x14ac:dyDescent="0.25">
      <c r="K9928"/>
    </row>
    <row r="9929" spans="11:11" ht="15" x14ac:dyDescent="0.25">
      <c r="K9929"/>
    </row>
    <row r="9930" spans="11:11" ht="15" x14ac:dyDescent="0.25">
      <c r="K9930"/>
    </row>
    <row r="9931" spans="11:11" ht="15" x14ac:dyDescent="0.25">
      <c r="K9931"/>
    </row>
    <row r="9932" spans="11:11" ht="15" x14ac:dyDescent="0.25">
      <c r="K9932"/>
    </row>
    <row r="9933" spans="11:11" ht="15" x14ac:dyDescent="0.25">
      <c r="K9933"/>
    </row>
    <row r="9934" spans="11:11" ht="15" x14ac:dyDescent="0.25">
      <c r="K9934"/>
    </row>
    <row r="9935" spans="11:11" ht="15" x14ac:dyDescent="0.25">
      <c r="K9935"/>
    </row>
    <row r="9936" spans="11:11" ht="15" x14ac:dyDescent="0.25">
      <c r="K9936"/>
    </row>
    <row r="9937" spans="11:11" ht="15" x14ac:dyDescent="0.25">
      <c r="K9937"/>
    </row>
    <row r="9938" spans="11:11" ht="15" x14ac:dyDescent="0.25">
      <c r="K9938"/>
    </row>
    <row r="9939" spans="11:11" ht="15" x14ac:dyDescent="0.25">
      <c r="K9939"/>
    </row>
    <row r="9940" spans="11:11" ht="15" x14ac:dyDescent="0.25">
      <c r="K9940"/>
    </row>
    <row r="9941" spans="11:11" ht="15" x14ac:dyDescent="0.25">
      <c r="K9941"/>
    </row>
    <row r="9942" spans="11:11" ht="15" x14ac:dyDescent="0.25">
      <c r="K9942"/>
    </row>
    <row r="9943" spans="11:11" ht="15" x14ac:dyDescent="0.25">
      <c r="K9943"/>
    </row>
    <row r="9944" spans="11:11" ht="15" x14ac:dyDescent="0.25">
      <c r="K9944"/>
    </row>
    <row r="9945" spans="11:11" ht="15" x14ac:dyDescent="0.25">
      <c r="K9945"/>
    </row>
    <row r="9946" spans="11:11" ht="15" x14ac:dyDescent="0.25">
      <c r="K9946"/>
    </row>
    <row r="9947" spans="11:11" ht="15" x14ac:dyDescent="0.25">
      <c r="K9947"/>
    </row>
    <row r="9948" spans="11:11" ht="15" x14ac:dyDescent="0.25">
      <c r="K9948"/>
    </row>
    <row r="9949" spans="11:11" ht="15" x14ac:dyDescent="0.25">
      <c r="K9949"/>
    </row>
    <row r="9950" spans="11:11" ht="15" x14ac:dyDescent="0.25">
      <c r="K9950"/>
    </row>
    <row r="9951" spans="11:11" ht="15" x14ac:dyDescent="0.25">
      <c r="K9951"/>
    </row>
    <row r="9952" spans="11:11" ht="15" x14ac:dyDescent="0.25">
      <c r="K9952"/>
    </row>
    <row r="9953" spans="11:11" ht="15" x14ac:dyDescent="0.25">
      <c r="K9953"/>
    </row>
    <row r="9954" spans="11:11" ht="15" x14ac:dyDescent="0.25">
      <c r="K9954"/>
    </row>
    <row r="9955" spans="11:11" ht="15" x14ac:dyDescent="0.25">
      <c r="K9955"/>
    </row>
    <row r="9956" spans="11:11" ht="15" x14ac:dyDescent="0.25">
      <c r="K9956"/>
    </row>
    <row r="9957" spans="11:11" ht="15" x14ac:dyDescent="0.25">
      <c r="K9957"/>
    </row>
    <row r="9958" spans="11:11" ht="15" x14ac:dyDescent="0.25">
      <c r="K9958"/>
    </row>
    <row r="9959" spans="11:11" ht="15" x14ac:dyDescent="0.25">
      <c r="K9959"/>
    </row>
    <row r="9960" spans="11:11" ht="15" x14ac:dyDescent="0.25">
      <c r="K9960"/>
    </row>
    <row r="9961" spans="11:11" ht="15" x14ac:dyDescent="0.25">
      <c r="K9961"/>
    </row>
    <row r="9962" spans="11:11" ht="15" x14ac:dyDescent="0.25">
      <c r="K9962"/>
    </row>
    <row r="9963" spans="11:11" ht="15" x14ac:dyDescent="0.25">
      <c r="K9963"/>
    </row>
    <row r="9964" spans="11:11" ht="15" x14ac:dyDescent="0.25">
      <c r="K9964"/>
    </row>
    <row r="9965" spans="11:11" ht="15" x14ac:dyDescent="0.25">
      <c r="K9965"/>
    </row>
    <row r="9966" spans="11:11" ht="15" x14ac:dyDescent="0.25">
      <c r="K9966"/>
    </row>
    <row r="9967" spans="11:11" ht="15" x14ac:dyDescent="0.25">
      <c r="K9967"/>
    </row>
    <row r="9968" spans="11:11" ht="15" x14ac:dyDescent="0.25">
      <c r="K9968"/>
    </row>
    <row r="9969" spans="11:11" ht="15" x14ac:dyDescent="0.25">
      <c r="K9969"/>
    </row>
    <row r="9970" spans="11:11" ht="15" x14ac:dyDescent="0.25">
      <c r="K9970"/>
    </row>
    <row r="9971" spans="11:11" ht="15" x14ac:dyDescent="0.25">
      <c r="K9971"/>
    </row>
    <row r="9972" spans="11:11" ht="15" x14ac:dyDescent="0.25">
      <c r="K9972"/>
    </row>
    <row r="9973" spans="11:11" ht="15" x14ac:dyDescent="0.25">
      <c r="K9973"/>
    </row>
    <row r="9974" spans="11:11" ht="15" x14ac:dyDescent="0.25">
      <c r="K9974"/>
    </row>
    <row r="9975" spans="11:11" ht="15" x14ac:dyDescent="0.25">
      <c r="K9975"/>
    </row>
    <row r="9976" spans="11:11" ht="15" x14ac:dyDescent="0.25">
      <c r="K9976"/>
    </row>
    <row r="9977" spans="11:11" ht="15" x14ac:dyDescent="0.25">
      <c r="K9977"/>
    </row>
    <row r="9978" spans="11:11" ht="15" x14ac:dyDescent="0.25">
      <c r="K9978"/>
    </row>
    <row r="9979" spans="11:11" ht="15" x14ac:dyDescent="0.25">
      <c r="K9979"/>
    </row>
    <row r="9980" spans="11:11" ht="15" x14ac:dyDescent="0.25">
      <c r="K9980"/>
    </row>
    <row r="9981" spans="11:11" ht="15" x14ac:dyDescent="0.25">
      <c r="K9981"/>
    </row>
    <row r="9982" spans="11:11" ht="15" x14ac:dyDescent="0.25">
      <c r="K9982"/>
    </row>
    <row r="9983" spans="11:11" ht="15" x14ac:dyDescent="0.25">
      <c r="K9983"/>
    </row>
    <row r="9984" spans="11:11" ht="15" x14ac:dyDescent="0.25">
      <c r="K9984"/>
    </row>
    <row r="9985" spans="11:11" ht="15" x14ac:dyDescent="0.25">
      <c r="K9985"/>
    </row>
    <row r="9986" spans="11:11" ht="15" x14ac:dyDescent="0.25">
      <c r="K9986"/>
    </row>
    <row r="9987" spans="11:11" ht="15" x14ac:dyDescent="0.25">
      <c r="K9987"/>
    </row>
    <row r="9988" spans="11:11" ht="15" x14ac:dyDescent="0.25">
      <c r="K9988"/>
    </row>
    <row r="9989" spans="11:11" ht="15" x14ac:dyDescent="0.25">
      <c r="K9989"/>
    </row>
    <row r="9990" spans="11:11" ht="15" x14ac:dyDescent="0.25">
      <c r="K9990"/>
    </row>
    <row r="9991" spans="11:11" ht="15" x14ac:dyDescent="0.25">
      <c r="K9991"/>
    </row>
    <row r="9992" spans="11:11" ht="15" x14ac:dyDescent="0.25">
      <c r="K9992"/>
    </row>
    <row r="9993" spans="11:11" ht="15" x14ac:dyDescent="0.25">
      <c r="K9993"/>
    </row>
    <row r="9994" spans="11:11" ht="15" x14ac:dyDescent="0.25">
      <c r="K9994"/>
    </row>
    <row r="9995" spans="11:11" ht="15" x14ac:dyDescent="0.25">
      <c r="K9995"/>
    </row>
    <row r="9996" spans="11:11" ht="15" x14ac:dyDescent="0.25">
      <c r="K9996"/>
    </row>
    <row r="9997" spans="11:11" ht="15" x14ac:dyDescent="0.25">
      <c r="K9997"/>
    </row>
    <row r="9998" spans="11:11" ht="15" x14ac:dyDescent="0.25">
      <c r="K9998"/>
    </row>
    <row r="9999" spans="11:11" ht="15" x14ac:dyDescent="0.25">
      <c r="K9999"/>
    </row>
    <row r="10000" spans="11:11" ht="15" x14ac:dyDescent="0.25">
      <c r="K10000"/>
    </row>
    <row r="10001" spans="11:11" ht="15" x14ac:dyDescent="0.25">
      <c r="K10001"/>
    </row>
    <row r="10002" spans="11:11" ht="15" x14ac:dyDescent="0.25">
      <c r="K10002"/>
    </row>
    <row r="10003" spans="11:11" ht="15" x14ac:dyDescent="0.25">
      <c r="K10003"/>
    </row>
    <row r="10004" spans="11:11" ht="15" x14ac:dyDescent="0.25">
      <c r="K10004"/>
    </row>
    <row r="10005" spans="11:11" ht="15" x14ac:dyDescent="0.25">
      <c r="K10005"/>
    </row>
    <row r="10006" spans="11:11" ht="15" x14ac:dyDescent="0.25">
      <c r="K10006"/>
    </row>
    <row r="10007" spans="11:11" ht="15" x14ac:dyDescent="0.25">
      <c r="K10007"/>
    </row>
    <row r="10008" spans="11:11" ht="15" x14ac:dyDescent="0.25">
      <c r="K10008"/>
    </row>
    <row r="10009" spans="11:11" ht="15" x14ac:dyDescent="0.25">
      <c r="K10009"/>
    </row>
    <row r="10010" spans="11:11" ht="15" x14ac:dyDescent="0.25">
      <c r="K10010"/>
    </row>
    <row r="10011" spans="11:11" ht="15" x14ac:dyDescent="0.25">
      <c r="K10011"/>
    </row>
    <row r="10012" spans="11:11" ht="15" x14ac:dyDescent="0.25">
      <c r="K10012"/>
    </row>
    <row r="10013" spans="11:11" ht="15" x14ac:dyDescent="0.25">
      <c r="K10013"/>
    </row>
    <row r="10014" spans="11:11" ht="15" x14ac:dyDescent="0.25">
      <c r="K10014"/>
    </row>
    <row r="10015" spans="11:11" ht="15" x14ac:dyDescent="0.25">
      <c r="K10015"/>
    </row>
    <row r="10016" spans="11:11" ht="15" x14ac:dyDescent="0.25">
      <c r="K10016"/>
    </row>
    <row r="10017" spans="11:11" ht="15" x14ac:dyDescent="0.25">
      <c r="K10017"/>
    </row>
    <row r="10018" spans="11:11" ht="15" x14ac:dyDescent="0.25">
      <c r="K10018"/>
    </row>
    <row r="10019" spans="11:11" ht="15" x14ac:dyDescent="0.25">
      <c r="K10019"/>
    </row>
    <row r="10020" spans="11:11" ht="15" x14ac:dyDescent="0.25">
      <c r="K10020"/>
    </row>
    <row r="10021" spans="11:11" ht="15" x14ac:dyDescent="0.25">
      <c r="K10021"/>
    </row>
    <row r="10022" spans="11:11" ht="15" x14ac:dyDescent="0.25">
      <c r="K10022"/>
    </row>
    <row r="10023" spans="11:11" ht="15" x14ac:dyDescent="0.25">
      <c r="K10023"/>
    </row>
    <row r="10024" spans="11:11" ht="15" x14ac:dyDescent="0.25">
      <c r="K10024"/>
    </row>
    <row r="10025" spans="11:11" ht="15" x14ac:dyDescent="0.25">
      <c r="K10025"/>
    </row>
    <row r="10026" spans="11:11" ht="15" x14ac:dyDescent="0.25">
      <c r="K10026"/>
    </row>
    <row r="10027" spans="11:11" ht="15" x14ac:dyDescent="0.25">
      <c r="K10027"/>
    </row>
    <row r="10028" spans="11:11" ht="15" x14ac:dyDescent="0.25">
      <c r="K10028"/>
    </row>
    <row r="10029" spans="11:11" ht="15" x14ac:dyDescent="0.25">
      <c r="K10029"/>
    </row>
    <row r="10030" spans="11:11" ht="15" x14ac:dyDescent="0.25">
      <c r="K10030"/>
    </row>
    <row r="10031" spans="11:11" ht="15" x14ac:dyDescent="0.25">
      <c r="K10031"/>
    </row>
    <row r="10032" spans="11:11" ht="15" x14ac:dyDescent="0.25">
      <c r="K10032"/>
    </row>
    <row r="10033" spans="11:11" ht="15" x14ac:dyDescent="0.25">
      <c r="K10033"/>
    </row>
    <row r="10034" spans="11:11" ht="15" x14ac:dyDescent="0.25">
      <c r="K10034"/>
    </row>
    <row r="10035" spans="11:11" ht="15" x14ac:dyDescent="0.25">
      <c r="K10035"/>
    </row>
    <row r="10036" spans="11:11" ht="15" x14ac:dyDescent="0.25">
      <c r="K10036"/>
    </row>
    <row r="10037" spans="11:11" ht="15" x14ac:dyDescent="0.25">
      <c r="K10037"/>
    </row>
    <row r="10038" spans="11:11" ht="15" x14ac:dyDescent="0.25">
      <c r="K10038"/>
    </row>
    <row r="10039" spans="11:11" ht="15" x14ac:dyDescent="0.25">
      <c r="K10039"/>
    </row>
    <row r="10040" spans="11:11" ht="15" x14ac:dyDescent="0.25">
      <c r="K10040"/>
    </row>
    <row r="10041" spans="11:11" ht="15" x14ac:dyDescent="0.25">
      <c r="K10041"/>
    </row>
    <row r="10042" spans="11:11" ht="15" x14ac:dyDescent="0.25">
      <c r="K10042"/>
    </row>
    <row r="10043" spans="11:11" ht="15" x14ac:dyDescent="0.25">
      <c r="K10043"/>
    </row>
    <row r="10044" spans="11:11" ht="15" x14ac:dyDescent="0.25">
      <c r="K10044"/>
    </row>
    <row r="10045" spans="11:11" ht="15" x14ac:dyDescent="0.25">
      <c r="K10045"/>
    </row>
    <row r="10046" spans="11:11" ht="15" x14ac:dyDescent="0.25">
      <c r="K10046"/>
    </row>
    <row r="10047" spans="11:11" ht="15" x14ac:dyDescent="0.25">
      <c r="K10047"/>
    </row>
    <row r="10048" spans="11:11" ht="15" x14ac:dyDescent="0.25">
      <c r="K10048"/>
    </row>
    <row r="10049" spans="11:11" ht="15" x14ac:dyDescent="0.25">
      <c r="K10049"/>
    </row>
    <row r="10050" spans="11:11" ht="15" x14ac:dyDescent="0.25">
      <c r="K10050"/>
    </row>
    <row r="10051" spans="11:11" ht="15" x14ac:dyDescent="0.25">
      <c r="K10051"/>
    </row>
    <row r="10052" spans="11:11" ht="15" x14ac:dyDescent="0.25">
      <c r="K10052"/>
    </row>
    <row r="10053" spans="11:11" ht="15" x14ac:dyDescent="0.25">
      <c r="K10053"/>
    </row>
    <row r="10054" spans="11:11" ht="15" x14ac:dyDescent="0.25">
      <c r="K10054"/>
    </row>
    <row r="10055" spans="11:11" ht="15" x14ac:dyDescent="0.25">
      <c r="K10055"/>
    </row>
    <row r="10056" spans="11:11" ht="15" x14ac:dyDescent="0.25">
      <c r="K10056"/>
    </row>
    <row r="10057" spans="11:11" ht="15" x14ac:dyDescent="0.25">
      <c r="K10057"/>
    </row>
    <row r="10058" spans="11:11" ht="15" x14ac:dyDescent="0.25">
      <c r="K10058"/>
    </row>
    <row r="10059" spans="11:11" ht="15" x14ac:dyDescent="0.25">
      <c r="K10059"/>
    </row>
    <row r="10060" spans="11:11" ht="15" x14ac:dyDescent="0.25">
      <c r="K10060"/>
    </row>
    <row r="10061" spans="11:11" ht="15" x14ac:dyDescent="0.25">
      <c r="K10061"/>
    </row>
    <row r="10062" spans="11:11" ht="15" x14ac:dyDescent="0.25">
      <c r="K10062"/>
    </row>
    <row r="10063" spans="11:11" ht="15" x14ac:dyDescent="0.25">
      <c r="K10063"/>
    </row>
    <row r="10064" spans="11:11" ht="15" x14ac:dyDescent="0.25">
      <c r="K10064"/>
    </row>
    <row r="10065" spans="11:11" ht="15" x14ac:dyDescent="0.25">
      <c r="K10065"/>
    </row>
    <row r="10066" spans="11:11" ht="15" x14ac:dyDescent="0.25">
      <c r="K10066"/>
    </row>
    <row r="10067" spans="11:11" ht="15" x14ac:dyDescent="0.25">
      <c r="K10067"/>
    </row>
    <row r="10068" spans="11:11" ht="15" x14ac:dyDescent="0.25">
      <c r="K10068"/>
    </row>
    <row r="10069" spans="11:11" ht="15" x14ac:dyDescent="0.25">
      <c r="K10069"/>
    </row>
    <row r="10070" spans="11:11" ht="15" x14ac:dyDescent="0.25">
      <c r="K10070"/>
    </row>
    <row r="10071" spans="11:11" ht="15" x14ac:dyDescent="0.25">
      <c r="K10071"/>
    </row>
    <row r="10072" spans="11:11" ht="15" x14ac:dyDescent="0.25">
      <c r="K10072"/>
    </row>
    <row r="10073" spans="11:11" ht="15" x14ac:dyDescent="0.25">
      <c r="K10073"/>
    </row>
    <row r="10074" spans="11:11" ht="15" x14ac:dyDescent="0.25">
      <c r="K10074"/>
    </row>
    <row r="10075" spans="11:11" ht="15" x14ac:dyDescent="0.25">
      <c r="K10075"/>
    </row>
    <row r="10076" spans="11:11" ht="15" x14ac:dyDescent="0.25">
      <c r="K10076"/>
    </row>
    <row r="10077" spans="11:11" ht="15" x14ac:dyDescent="0.25">
      <c r="K10077"/>
    </row>
    <row r="10078" spans="11:11" ht="15" x14ac:dyDescent="0.25">
      <c r="K10078"/>
    </row>
    <row r="10079" spans="11:11" ht="15" x14ac:dyDescent="0.25">
      <c r="K10079"/>
    </row>
    <row r="10080" spans="11:11" ht="15" x14ac:dyDescent="0.25">
      <c r="K10080"/>
    </row>
    <row r="10081" spans="11:11" ht="15" x14ac:dyDescent="0.25">
      <c r="K10081"/>
    </row>
    <row r="10082" spans="11:11" ht="15" x14ac:dyDescent="0.25">
      <c r="K10082"/>
    </row>
    <row r="10083" spans="11:11" ht="15" x14ac:dyDescent="0.25">
      <c r="K10083"/>
    </row>
    <row r="10084" spans="11:11" ht="15" x14ac:dyDescent="0.25">
      <c r="K10084"/>
    </row>
    <row r="10085" spans="11:11" ht="15" x14ac:dyDescent="0.25">
      <c r="K10085"/>
    </row>
    <row r="10086" spans="11:11" ht="15" x14ac:dyDescent="0.25">
      <c r="K10086"/>
    </row>
    <row r="10087" spans="11:11" ht="15" x14ac:dyDescent="0.25">
      <c r="K10087"/>
    </row>
    <row r="10088" spans="11:11" ht="15" x14ac:dyDescent="0.25">
      <c r="K10088"/>
    </row>
    <row r="10089" spans="11:11" ht="15" x14ac:dyDescent="0.25">
      <c r="K10089"/>
    </row>
    <row r="10090" spans="11:11" ht="15" x14ac:dyDescent="0.25">
      <c r="K10090"/>
    </row>
    <row r="10091" spans="11:11" ht="15" x14ac:dyDescent="0.25">
      <c r="K10091"/>
    </row>
    <row r="10092" spans="11:11" ht="15" x14ac:dyDescent="0.25">
      <c r="K10092"/>
    </row>
    <row r="10093" spans="11:11" ht="15" x14ac:dyDescent="0.25">
      <c r="K10093"/>
    </row>
    <row r="10094" spans="11:11" ht="15" x14ac:dyDescent="0.25">
      <c r="K10094"/>
    </row>
    <row r="10095" spans="11:11" ht="15" x14ac:dyDescent="0.25">
      <c r="K10095"/>
    </row>
    <row r="10096" spans="11:11" ht="15" x14ac:dyDescent="0.25">
      <c r="K10096"/>
    </row>
    <row r="10097" spans="11:11" ht="15" x14ac:dyDescent="0.25">
      <c r="K10097"/>
    </row>
    <row r="10098" spans="11:11" ht="15" x14ac:dyDescent="0.25">
      <c r="K10098"/>
    </row>
    <row r="10099" spans="11:11" ht="15" x14ac:dyDescent="0.25">
      <c r="K10099"/>
    </row>
    <row r="10100" spans="11:11" ht="15" x14ac:dyDescent="0.25">
      <c r="K10100"/>
    </row>
    <row r="10101" spans="11:11" ht="15" x14ac:dyDescent="0.25">
      <c r="K10101"/>
    </row>
    <row r="10102" spans="11:11" ht="15" x14ac:dyDescent="0.25">
      <c r="K10102"/>
    </row>
    <row r="10103" spans="11:11" ht="15" x14ac:dyDescent="0.25">
      <c r="K10103"/>
    </row>
    <row r="10104" spans="11:11" ht="15" x14ac:dyDescent="0.25">
      <c r="K10104"/>
    </row>
    <row r="10105" spans="11:11" ht="15" x14ac:dyDescent="0.25">
      <c r="K10105"/>
    </row>
    <row r="10106" spans="11:11" ht="15" x14ac:dyDescent="0.25">
      <c r="K10106"/>
    </row>
    <row r="10107" spans="11:11" ht="15" x14ac:dyDescent="0.25">
      <c r="K10107"/>
    </row>
    <row r="10108" spans="11:11" ht="15" x14ac:dyDescent="0.25">
      <c r="K10108"/>
    </row>
    <row r="10109" spans="11:11" ht="15" x14ac:dyDescent="0.25">
      <c r="K10109"/>
    </row>
    <row r="10110" spans="11:11" ht="15" x14ac:dyDescent="0.25">
      <c r="K10110"/>
    </row>
    <row r="10111" spans="11:11" ht="15" x14ac:dyDescent="0.25">
      <c r="K10111"/>
    </row>
    <row r="10112" spans="11:11" ht="15" x14ac:dyDescent="0.25">
      <c r="K10112"/>
    </row>
    <row r="10113" spans="11:11" ht="15" x14ac:dyDescent="0.25">
      <c r="K10113"/>
    </row>
    <row r="10114" spans="11:11" ht="15" x14ac:dyDescent="0.25">
      <c r="K10114"/>
    </row>
    <row r="10115" spans="11:11" ht="15" x14ac:dyDescent="0.25">
      <c r="K10115"/>
    </row>
    <row r="10116" spans="11:11" ht="15" x14ac:dyDescent="0.25">
      <c r="K10116"/>
    </row>
    <row r="10117" spans="11:11" ht="15" x14ac:dyDescent="0.25">
      <c r="K10117"/>
    </row>
    <row r="10118" spans="11:11" ht="15" x14ac:dyDescent="0.25">
      <c r="K10118"/>
    </row>
    <row r="10119" spans="11:11" ht="15" x14ac:dyDescent="0.25">
      <c r="K10119"/>
    </row>
    <row r="10120" spans="11:11" ht="15" x14ac:dyDescent="0.25">
      <c r="K10120"/>
    </row>
    <row r="10121" spans="11:11" ht="15" x14ac:dyDescent="0.25">
      <c r="K10121"/>
    </row>
    <row r="10122" spans="11:11" ht="15" x14ac:dyDescent="0.25">
      <c r="K10122"/>
    </row>
    <row r="10123" spans="11:11" ht="15" x14ac:dyDescent="0.25">
      <c r="K10123"/>
    </row>
    <row r="10124" spans="11:11" ht="15" x14ac:dyDescent="0.25">
      <c r="K10124"/>
    </row>
    <row r="10125" spans="11:11" ht="15" x14ac:dyDescent="0.25">
      <c r="K10125"/>
    </row>
    <row r="10126" spans="11:11" ht="15" x14ac:dyDescent="0.25">
      <c r="K10126"/>
    </row>
    <row r="10127" spans="11:11" ht="15" x14ac:dyDescent="0.25">
      <c r="K10127"/>
    </row>
    <row r="10128" spans="11:11" ht="15" x14ac:dyDescent="0.25">
      <c r="K10128"/>
    </row>
    <row r="10129" spans="11:11" ht="15" x14ac:dyDescent="0.25">
      <c r="K10129"/>
    </row>
    <row r="10130" spans="11:11" ht="15" x14ac:dyDescent="0.25">
      <c r="K10130"/>
    </row>
    <row r="10131" spans="11:11" ht="15" x14ac:dyDescent="0.25">
      <c r="K10131"/>
    </row>
    <row r="10132" spans="11:11" ht="15" x14ac:dyDescent="0.25">
      <c r="K10132"/>
    </row>
    <row r="10133" spans="11:11" ht="15" x14ac:dyDescent="0.25">
      <c r="K10133"/>
    </row>
    <row r="10134" spans="11:11" ht="15" x14ac:dyDescent="0.25">
      <c r="K10134"/>
    </row>
    <row r="10135" spans="11:11" ht="15" x14ac:dyDescent="0.25">
      <c r="K10135"/>
    </row>
    <row r="10136" spans="11:11" ht="15" x14ac:dyDescent="0.25">
      <c r="K10136"/>
    </row>
    <row r="10137" spans="11:11" ht="15" x14ac:dyDescent="0.25">
      <c r="K10137"/>
    </row>
    <row r="10138" spans="11:11" ht="15" x14ac:dyDescent="0.25">
      <c r="K10138"/>
    </row>
    <row r="10139" spans="11:11" ht="15" x14ac:dyDescent="0.25">
      <c r="K10139"/>
    </row>
    <row r="10140" spans="11:11" ht="15" x14ac:dyDescent="0.25">
      <c r="K10140"/>
    </row>
    <row r="10141" spans="11:11" ht="15" x14ac:dyDescent="0.25">
      <c r="K10141"/>
    </row>
    <row r="10142" spans="11:11" ht="15" x14ac:dyDescent="0.25">
      <c r="K10142"/>
    </row>
    <row r="10143" spans="11:11" ht="15" x14ac:dyDescent="0.25">
      <c r="K10143"/>
    </row>
    <row r="10144" spans="11:11" ht="15" x14ac:dyDescent="0.25">
      <c r="K10144"/>
    </row>
    <row r="10145" spans="11:11" ht="15" x14ac:dyDescent="0.25">
      <c r="K10145"/>
    </row>
    <row r="10146" spans="11:11" ht="15" x14ac:dyDescent="0.25">
      <c r="K10146"/>
    </row>
    <row r="10147" spans="11:11" ht="15" x14ac:dyDescent="0.25">
      <c r="K10147"/>
    </row>
    <row r="10148" spans="11:11" ht="15" x14ac:dyDescent="0.25">
      <c r="K10148"/>
    </row>
    <row r="10149" spans="11:11" ht="15" x14ac:dyDescent="0.25">
      <c r="K10149"/>
    </row>
    <row r="10150" spans="11:11" ht="15" x14ac:dyDescent="0.25">
      <c r="K10150"/>
    </row>
    <row r="10151" spans="11:11" ht="15" x14ac:dyDescent="0.25">
      <c r="K10151"/>
    </row>
    <row r="10152" spans="11:11" ht="15" x14ac:dyDescent="0.25">
      <c r="K10152"/>
    </row>
    <row r="10153" spans="11:11" ht="15" x14ac:dyDescent="0.25">
      <c r="K10153"/>
    </row>
    <row r="10154" spans="11:11" ht="15" x14ac:dyDescent="0.25">
      <c r="K10154"/>
    </row>
    <row r="10155" spans="11:11" ht="15" x14ac:dyDescent="0.25">
      <c r="K10155"/>
    </row>
    <row r="10156" spans="11:11" ht="15" x14ac:dyDescent="0.25">
      <c r="K10156"/>
    </row>
    <row r="10157" spans="11:11" ht="15" x14ac:dyDescent="0.25">
      <c r="K10157"/>
    </row>
    <row r="10158" spans="11:11" ht="15" x14ac:dyDescent="0.25">
      <c r="K10158"/>
    </row>
    <row r="10159" spans="11:11" ht="15" x14ac:dyDescent="0.25">
      <c r="K10159"/>
    </row>
    <row r="10160" spans="11:11" ht="15" x14ac:dyDescent="0.25">
      <c r="K10160"/>
    </row>
    <row r="10161" spans="11:11" ht="15" x14ac:dyDescent="0.25">
      <c r="K10161"/>
    </row>
    <row r="10162" spans="11:11" ht="15" x14ac:dyDescent="0.25">
      <c r="K10162"/>
    </row>
    <row r="10163" spans="11:11" ht="15" x14ac:dyDescent="0.25">
      <c r="K10163"/>
    </row>
    <row r="10164" spans="11:11" ht="15" x14ac:dyDescent="0.25">
      <c r="K10164"/>
    </row>
    <row r="10165" spans="11:11" ht="15" x14ac:dyDescent="0.25">
      <c r="K10165"/>
    </row>
    <row r="10166" spans="11:11" ht="15" x14ac:dyDescent="0.25">
      <c r="K10166"/>
    </row>
    <row r="10167" spans="11:11" ht="15" x14ac:dyDescent="0.25">
      <c r="K10167"/>
    </row>
    <row r="10168" spans="11:11" ht="15" x14ac:dyDescent="0.25">
      <c r="K10168"/>
    </row>
    <row r="10169" spans="11:11" ht="15" x14ac:dyDescent="0.25">
      <c r="K10169"/>
    </row>
    <row r="10170" spans="11:11" ht="15" x14ac:dyDescent="0.25">
      <c r="K10170"/>
    </row>
    <row r="10171" spans="11:11" ht="15" x14ac:dyDescent="0.25">
      <c r="K10171"/>
    </row>
    <row r="10172" spans="11:11" ht="15" x14ac:dyDescent="0.25">
      <c r="K10172"/>
    </row>
    <row r="10173" spans="11:11" ht="15" x14ac:dyDescent="0.25">
      <c r="K10173"/>
    </row>
    <row r="10174" spans="11:11" ht="15" x14ac:dyDescent="0.25">
      <c r="K10174"/>
    </row>
    <row r="10175" spans="11:11" ht="15" x14ac:dyDescent="0.25">
      <c r="K10175"/>
    </row>
    <row r="10176" spans="11:11" ht="15" x14ac:dyDescent="0.25">
      <c r="K10176"/>
    </row>
    <row r="10177" spans="11:11" ht="15" x14ac:dyDescent="0.25">
      <c r="K10177"/>
    </row>
    <row r="10178" spans="11:11" ht="15" x14ac:dyDescent="0.25">
      <c r="K10178"/>
    </row>
    <row r="10179" spans="11:11" ht="15" x14ac:dyDescent="0.25">
      <c r="K10179"/>
    </row>
    <row r="10180" spans="11:11" ht="15" x14ac:dyDescent="0.25">
      <c r="K10180"/>
    </row>
    <row r="10181" spans="11:11" ht="15" x14ac:dyDescent="0.25">
      <c r="K10181"/>
    </row>
    <row r="10182" spans="11:11" ht="15" x14ac:dyDescent="0.25">
      <c r="K10182"/>
    </row>
    <row r="10183" spans="11:11" ht="15" x14ac:dyDescent="0.25">
      <c r="K10183"/>
    </row>
    <row r="10184" spans="11:11" ht="15" x14ac:dyDescent="0.25">
      <c r="K10184"/>
    </row>
    <row r="10185" spans="11:11" ht="15" x14ac:dyDescent="0.25">
      <c r="K10185"/>
    </row>
    <row r="10186" spans="11:11" ht="15" x14ac:dyDescent="0.25">
      <c r="K10186"/>
    </row>
    <row r="10187" spans="11:11" ht="15" x14ac:dyDescent="0.25">
      <c r="K10187"/>
    </row>
    <row r="10188" spans="11:11" ht="15" x14ac:dyDescent="0.25">
      <c r="K10188"/>
    </row>
    <row r="10189" spans="11:11" ht="15" x14ac:dyDescent="0.25">
      <c r="K10189"/>
    </row>
    <row r="10190" spans="11:11" ht="15" x14ac:dyDescent="0.25">
      <c r="K10190"/>
    </row>
    <row r="10191" spans="11:11" ht="15" x14ac:dyDescent="0.25">
      <c r="K10191"/>
    </row>
    <row r="10192" spans="11:11" ht="15" x14ac:dyDescent="0.25">
      <c r="K10192"/>
    </row>
    <row r="10193" spans="11:11" ht="15" x14ac:dyDescent="0.25">
      <c r="K10193"/>
    </row>
    <row r="10194" spans="11:11" ht="15" x14ac:dyDescent="0.25">
      <c r="K10194"/>
    </row>
    <row r="10195" spans="11:11" ht="15" x14ac:dyDescent="0.25">
      <c r="K10195"/>
    </row>
    <row r="10196" spans="11:11" ht="15" x14ac:dyDescent="0.25">
      <c r="K10196"/>
    </row>
    <row r="10197" spans="11:11" ht="15" x14ac:dyDescent="0.25">
      <c r="K10197"/>
    </row>
    <row r="10198" spans="11:11" ht="15" x14ac:dyDescent="0.25">
      <c r="K10198"/>
    </row>
    <row r="10199" spans="11:11" ht="15" x14ac:dyDescent="0.25">
      <c r="K10199"/>
    </row>
    <row r="10200" spans="11:11" ht="15" x14ac:dyDescent="0.25">
      <c r="K10200"/>
    </row>
    <row r="10201" spans="11:11" ht="15" x14ac:dyDescent="0.25">
      <c r="K10201"/>
    </row>
    <row r="10202" spans="11:11" ht="15" x14ac:dyDescent="0.25">
      <c r="K10202"/>
    </row>
    <row r="10203" spans="11:11" ht="15" x14ac:dyDescent="0.25">
      <c r="K10203"/>
    </row>
    <row r="10204" spans="11:11" ht="15" x14ac:dyDescent="0.25">
      <c r="K10204"/>
    </row>
    <row r="10205" spans="11:11" ht="15" x14ac:dyDescent="0.25">
      <c r="K10205"/>
    </row>
    <row r="10206" spans="11:11" ht="15" x14ac:dyDescent="0.25">
      <c r="K10206"/>
    </row>
    <row r="10207" spans="11:11" ht="15" x14ac:dyDescent="0.25">
      <c r="K10207"/>
    </row>
    <row r="10208" spans="11:11" ht="15" x14ac:dyDescent="0.25">
      <c r="K10208"/>
    </row>
    <row r="10209" spans="11:11" ht="15" x14ac:dyDescent="0.25">
      <c r="K10209"/>
    </row>
    <row r="10210" spans="11:11" ht="15" x14ac:dyDescent="0.25">
      <c r="K10210"/>
    </row>
    <row r="10211" spans="11:11" ht="15" x14ac:dyDescent="0.25">
      <c r="K10211"/>
    </row>
    <row r="10212" spans="11:11" ht="15" x14ac:dyDescent="0.25">
      <c r="K10212"/>
    </row>
    <row r="10213" spans="11:11" ht="15" x14ac:dyDescent="0.25">
      <c r="K10213"/>
    </row>
    <row r="10214" spans="11:11" ht="15" x14ac:dyDescent="0.25">
      <c r="K10214"/>
    </row>
    <row r="10215" spans="11:11" ht="15" x14ac:dyDescent="0.25">
      <c r="K10215"/>
    </row>
    <row r="10216" spans="11:11" ht="15" x14ac:dyDescent="0.25">
      <c r="K10216"/>
    </row>
    <row r="10217" spans="11:11" ht="15" x14ac:dyDescent="0.25">
      <c r="K10217"/>
    </row>
    <row r="10218" spans="11:11" ht="15" x14ac:dyDescent="0.25">
      <c r="K10218"/>
    </row>
    <row r="10219" spans="11:11" ht="15" x14ac:dyDescent="0.25">
      <c r="K10219"/>
    </row>
    <row r="10220" spans="11:11" ht="15" x14ac:dyDescent="0.25">
      <c r="K10220"/>
    </row>
    <row r="10221" spans="11:11" ht="15" x14ac:dyDescent="0.25">
      <c r="K10221"/>
    </row>
    <row r="10222" spans="11:11" ht="15" x14ac:dyDescent="0.25">
      <c r="K10222"/>
    </row>
    <row r="10223" spans="11:11" ht="15" x14ac:dyDescent="0.25">
      <c r="K10223"/>
    </row>
    <row r="10224" spans="11:11" ht="15" x14ac:dyDescent="0.25">
      <c r="K10224"/>
    </row>
    <row r="10225" spans="11:11" ht="15" x14ac:dyDescent="0.25">
      <c r="K10225"/>
    </row>
    <row r="10226" spans="11:11" ht="15" x14ac:dyDescent="0.25">
      <c r="K10226"/>
    </row>
    <row r="10227" spans="11:11" ht="15" x14ac:dyDescent="0.25">
      <c r="K10227"/>
    </row>
    <row r="10228" spans="11:11" ht="15" x14ac:dyDescent="0.25">
      <c r="K10228"/>
    </row>
    <row r="10229" spans="11:11" ht="15" x14ac:dyDescent="0.25">
      <c r="K10229"/>
    </row>
    <row r="10230" spans="11:11" ht="15" x14ac:dyDescent="0.25">
      <c r="K10230"/>
    </row>
    <row r="10231" spans="11:11" ht="15" x14ac:dyDescent="0.25">
      <c r="K10231"/>
    </row>
    <row r="10232" spans="11:11" ht="15" x14ac:dyDescent="0.25">
      <c r="K10232"/>
    </row>
    <row r="10233" spans="11:11" ht="15" x14ac:dyDescent="0.25">
      <c r="K10233"/>
    </row>
    <row r="10234" spans="11:11" ht="15" x14ac:dyDescent="0.25">
      <c r="K10234"/>
    </row>
    <row r="10235" spans="11:11" ht="15" x14ac:dyDescent="0.25">
      <c r="K10235"/>
    </row>
    <row r="10236" spans="11:11" ht="15" x14ac:dyDescent="0.25">
      <c r="K10236"/>
    </row>
    <row r="10237" spans="11:11" ht="15" x14ac:dyDescent="0.25">
      <c r="K10237"/>
    </row>
    <row r="10238" spans="11:11" ht="15" x14ac:dyDescent="0.25">
      <c r="K10238"/>
    </row>
    <row r="10239" spans="11:11" ht="15" x14ac:dyDescent="0.25">
      <c r="K10239"/>
    </row>
    <row r="10240" spans="11:11" ht="15" x14ac:dyDescent="0.25">
      <c r="K10240"/>
    </row>
    <row r="10241" spans="11:11" ht="15" x14ac:dyDescent="0.25">
      <c r="K10241"/>
    </row>
    <row r="10242" spans="11:11" ht="15" x14ac:dyDescent="0.25">
      <c r="K10242"/>
    </row>
    <row r="10243" spans="11:11" ht="15" x14ac:dyDescent="0.25">
      <c r="K10243"/>
    </row>
    <row r="10244" spans="11:11" ht="15" x14ac:dyDescent="0.25">
      <c r="K10244"/>
    </row>
    <row r="10245" spans="11:11" ht="15" x14ac:dyDescent="0.25">
      <c r="K10245"/>
    </row>
    <row r="10246" spans="11:11" ht="15" x14ac:dyDescent="0.25">
      <c r="K10246"/>
    </row>
    <row r="10247" spans="11:11" ht="15" x14ac:dyDescent="0.25">
      <c r="K10247"/>
    </row>
    <row r="10248" spans="11:11" ht="15" x14ac:dyDescent="0.25">
      <c r="K10248"/>
    </row>
    <row r="10249" spans="11:11" ht="15" x14ac:dyDescent="0.25">
      <c r="K10249"/>
    </row>
    <row r="10250" spans="11:11" ht="15" x14ac:dyDescent="0.25">
      <c r="K10250"/>
    </row>
    <row r="10251" spans="11:11" ht="15" x14ac:dyDescent="0.25">
      <c r="K10251"/>
    </row>
    <row r="10252" spans="11:11" ht="15" x14ac:dyDescent="0.25">
      <c r="K10252"/>
    </row>
    <row r="10253" spans="11:11" ht="15" x14ac:dyDescent="0.25">
      <c r="K10253"/>
    </row>
    <row r="10254" spans="11:11" ht="15" x14ac:dyDescent="0.25">
      <c r="K10254"/>
    </row>
    <row r="10255" spans="11:11" ht="15" x14ac:dyDescent="0.25">
      <c r="K10255"/>
    </row>
    <row r="10256" spans="11:11" ht="15" x14ac:dyDescent="0.25">
      <c r="K10256"/>
    </row>
    <row r="10257" spans="11:11" ht="15" x14ac:dyDescent="0.25">
      <c r="K10257"/>
    </row>
    <row r="10258" spans="11:11" ht="15" x14ac:dyDescent="0.25">
      <c r="K10258"/>
    </row>
    <row r="10259" spans="11:11" ht="15" x14ac:dyDescent="0.25">
      <c r="K10259"/>
    </row>
    <row r="10260" spans="11:11" ht="15" x14ac:dyDescent="0.25">
      <c r="K10260"/>
    </row>
    <row r="10261" spans="11:11" ht="15" x14ac:dyDescent="0.25">
      <c r="K10261"/>
    </row>
    <row r="10262" spans="11:11" ht="15" x14ac:dyDescent="0.25">
      <c r="K10262"/>
    </row>
    <row r="10263" spans="11:11" ht="15" x14ac:dyDescent="0.25">
      <c r="K10263"/>
    </row>
    <row r="10264" spans="11:11" ht="15" x14ac:dyDescent="0.25">
      <c r="K10264"/>
    </row>
    <row r="10265" spans="11:11" ht="15" x14ac:dyDescent="0.25">
      <c r="K10265"/>
    </row>
    <row r="10266" spans="11:11" ht="15" x14ac:dyDescent="0.25">
      <c r="K10266"/>
    </row>
    <row r="10267" spans="11:11" ht="15" x14ac:dyDescent="0.25">
      <c r="K10267"/>
    </row>
    <row r="10268" spans="11:11" ht="15" x14ac:dyDescent="0.25">
      <c r="K10268"/>
    </row>
    <row r="10269" spans="11:11" ht="15" x14ac:dyDescent="0.25">
      <c r="K10269"/>
    </row>
    <row r="10270" spans="11:11" ht="15" x14ac:dyDescent="0.25">
      <c r="K10270"/>
    </row>
    <row r="10271" spans="11:11" ht="15" x14ac:dyDescent="0.25">
      <c r="K10271"/>
    </row>
    <row r="10272" spans="11:11" ht="15" x14ac:dyDescent="0.25">
      <c r="K10272"/>
    </row>
    <row r="10273" spans="11:11" ht="15" x14ac:dyDescent="0.25">
      <c r="K10273"/>
    </row>
    <row r="10274" spans="11:11" ht="15" x14ac:dyDescent="0.25">
      <c r="K10274"/>
    </row>
    <row r="10275" spans="11:11" ht="15" x14ac:dyDescent="0.25">
      <c r="K10275"/>
    </row>
    <row r="10276" spans="11:11" ht="15" x14ac:dyDescent="0.25">
      <c r="K10276"/>
    </row>
    <row r="10277" spans="11:11" ht="15" x14ac:dyDescent="0.25">
      <c r="K10277"/>
    </row>
    <row r="10278" spans="11:11" ht="15" x14ac:dyDescent="0.25">
      <c r="K10278"/>
    </row>
    <row r="10279" spans="11:11" ht="15" x14ac:dyDescent="0.25">
      <c r="K10279"/>
    </row>
    <row r="10280" spans="11:11" ht="15" x14ac:dyDescent="0.25">
      <c r="K10280"/>
    </row>
    <row r="10281" spans="11:11" ht="15" x14ac:dyDescent="0.25">
      <c r="K10281"/>
    </row>
    <row r="10282" spans="11:11" ht="15" x14ac:dyDescent="0.25">
      <c r="K10282"/>
    </row>
    <row r="10283" spans="11:11" ht="15" x14ac:dyDescent="0.25">
      <c r="K10283"/>
    </row>
    <row r="10284" spans="11:11" ht="15" x14ac:dyDescent="0.25">
      <c r="K10284"/>
    </row>
    <row r="10285" spans="11:11" ht="15" x14ac:dyDescent="0.25">
      <c r="K10285"/>
    </row>
    <row r="10286" spans="11:11" ht="15" x14ac:dyDescent="0.25">
      <c r="K10286"/>
    </row>
    <row r="10287" spans="11:11" ht="15" x14ac:dyDescent="0.25">
      <c r="K10287"/>
    </row>
    <row r="10288" spans="11:11" ht="15" x14ac:dyDescent="0.25">
      <c r="K10288"/>
    </row>
    <row r="10289" spans="11:11" ht="15" x14ac:dyDescent="0.25">
      <c r="K10289"/>
    </row>
    <row r="10290" spans="11:11" ht="15" x14ac:dyDescent="0.25">
      <c r="K10290"/>
    </row>
    <row r="10291" spans="11:11" ht="15" x14ac:dyDescent="0.25">
      <c r="K10291"/>
    </row>
    <row r="10292" spans="11:11" ht="15" x14ac:dyDescent="0.25">
      <c r="K10292"/>
    </row>
    <row r="10293" spans="11:11" ht="15" x14ac:dyDescent="0.25">
      <c r="K10293"/>
    </row>
    <row r="10294" spans="11:11" ht="15" x14ac:dyDescent="0.25">
      <c r="K10294"/>
    </row>
    <row r="10295" spans="11:11" ht="15" x14ac:dyDescent="0.25">
      <c r="K10295"/>
    </row>
    <row r="10296" spans="11:11" ht="15" x14ac:dyDescent="0.25">
      <c r="K10296"/>
    </row>
    <row r="10297" spans="11:11" ht="15" x14ac:dyDescent="0.25">
      <c r="K10297"/>
    </row>
    <row r="10298" spans="11:11" ht="15" x14ac:dyDescent="0.25">
      <c r="K10298"/>
    </row>
    <row r="10299" spans="11:11" ht="15" x14ac:dyDescent="0.25">
      <c r="K10299"/>
    </row>
    <row r="10300" spans="11:11" ht="15" x14ac:dyDescent="0.25">
      <c r="K10300"/>
    </row>
    <row r="10301" spans="11:11" ht="15" x14ac:dyDescent="0.25">
      <c r="K10301"/>
    </row>
    <row r="10302" spans="11:11" ht="15" x14ac:dyDescent="0.25">
      <c r="K10302"/>
    </row>
    <row r="10303" spans="11:11" ht="15" x14ac:dyDescent="0.25">
      <c r="K10303"/>
    </row>
    <row r="10304" spans="11:11" ht="15" x14ac:dyDescent="0.25">
      <c r="K10304"/>
    </row>
    <row r="10305" spans="11:11" ht="15" x14ac:dyDescent="0.25">
      <c r="K10305"/>
    </row>
    <row r="10306" spans="11:11" ht="15" x14ac:dyDescent="0.25">
      <c r="K10306"/>
    </row>
    <row r="10307" spans="11:11" ht="15" x14ac:dyDescent="0.25">
      <c r="K10307"/>
    </row>
    <row r="10308" spans="11:11" ht="15" x14ac:dyDescent="0.25">
      <c r="K10308"/>
    </row>
    <row r="10309" spans="11:11" ht="15" x14ac:dyDescent="0.25">
      <c r="K10309"/>
    </row>
    <row r="10310" spans="11:11" ht="15" x14ac:dyDescent="0.25">
      <c r="K10310"/>
    </row>
    <row r="10311" spans="11:11" ht="15" x14ac:dyDescent="0.25">
      <c r="K10311"/>
    </row>
    <row r="10312" spans="11:11" ht="15" x14ac:dyDescent="0.25">
      <c r="K10312"/>
    </row>
    <row r="10313" spans="11:11" ht="15" x14ac:dyDescent="0.25">
      <c r="K10313"/>
    </row>
    <row r="10314" spans="11:11" ht="15" x14ac:dyDescent="0.25">
      <c r="K10314"/>
    </row>
    <row r="10315" spans="11:11" ht="15" x14ac:dyDescent="0.25">
      <c r="K10315"/>
    </row>
    <row r="10316" spans="11:11" ht="15" x14ac:dyDescent="0.25">
      <c r="K10316"/>
    </row>
    <row r="10317" spans="11:11" ht="15" x14ac:dyDescent="0.25">
      <c r="K10317"/>
    </row>
    <row r="10318" spans="11:11" ht="15" x14ac:dyDescent="0.25">
      <c r="K10318"/>
    </row>
    <row r="10319" spans="11:11" ht="15" x14ac:dyDescent="0.25">
      <c r="K10319"/>
    </row>
    <row r="10320" spans="11:11" ht="15" x14ac:dyDescent="0.25">
      <c r="K10320"/>
    </row>
    <row r="10321" spans="11:11" ht="15" x14ac:dyDescent="0.25">
      <c r="K10321"/>
    </row>
    <row r="10322" spans="11:11" ht="15" x14ac:dyDescent="0.25">
      <c r="K10322"/>
    </row>
    <row r="10323" spans="11:11" ht="15" x14ac:dyDescent="0.25">
      <c r="K10323"/>
    </row>
    <row r="10324" spans="11:11" ht="15" x14ac:dyDescent="0.25">
      <c r="K10324"/>
    </row>
    <row r="10325" spans="11:11" ht="15" x14ac:dyDescent="0.25">
      <c r="K10325"/>
    </row>
    <row r="10326" spans="11:11" ht="15" x14ac:dyDescent="0.25">
      <c r="K10326"/>
    </row>
    <row r="10327" spans="11:11" ht="15" x14ac:dyDescent="0.25">
      <c r="K10327"/>
    </row>
    <row r="10328" spans="11:11" ht="15" x14ac:dyDescent="0.25">
      <c r="K10328"/>
    </row>
    <row r="10329" spans="11:11" ht="15" x14ac:dyDescent="0.25">
      <c r="K10329"/>
    </row>
    <row r="10330" spans="11:11" ht="15" x14ac:dyDescent="0.25">
      <c r="K10330"/>
    </row>
    <row r="10331" spans="11:11" ht="15" x14ac:dyDescent="0.25">
      <c r="K10331"/>
    </row>
    <row r="10332" spans="11:11" ht="15" x14ac:dyDescent="0.25">
      <c r="K10332"/>
    </row>
    <row r="10333" spans="11:11" ht="15" x14ac:dyDescent="0.25">
      <c r="K10333"/>
    </row>
    <row r="10334" spans="11:11" ht="15" x14ac:dyDescent="0.25">
      <c r="K10334"/>
    </row>
    <row r="10335" spans="11:11" ht="15" x14ac:dyDescent="0.25">
      <c r="K10335"/>
    </row>
    <row r="10336" spans="11:11" ht="15" x14ac:dyDescent="0.25">
      <c r="K10336"/>
    </row>
    <row r="10337" spans="11:11" ht="15" x14ac:dyDescent="0.25">
      <c r="K10337"/>
    </row>
    <row r="10338" spans="11:11" ht="15" x14ac:dyDescent="0.25">
      <c r="K10338"/>
    </row>
    <row r="10339" spans="11:11" ht="15" x14ac:dyDescent="0.25">
      <c r="K10339"/>
    </row>
    <row r="10340" spans="11:11" ht="15" x14ac:dyDescent="0.25">
      <c r="K10340"/>
    </row>
    <row r="10341" spans="11:11" ht="15" x14ac:dyDescent="0.25">
      <c r="K10341"/>
    </row>
    <row r="10342" spans="11:11" ht="15" x14ac:dyDescent="0.25">
      <c r="K10342"/>
    </row>
    <row r="10343" spans="11:11" ht="15" x14ac:dyDescent="0.25">
      <c r="K10343"/>
    </row>
    <row r="10344" spans="11:11" ht="15" x14ac:dyDescent="0.25">
      <c r="K10344"/>
    </row>
    <row r="10345" spans="11:11" ht="15" x14ac:dyDescent="0.25">
      <c r="K10345"/>
    </row>
    <row r="10346" spans="11:11" ht="15" x14ac:dyDescent="0.25">
      <c r="K10346"/>
    </row>
    <row r="10347" spans="11:11" ht="15" x14ac:dyDescent="0.25">
      <c r="K10347"/>
    </row>
    <row r="10348" spans="11:11" ht="15" x14ac:dyDescent="0.25">
      <c r="K10348"/>
    </row>
    <row r="10349" spans="11:11" ht="15" x14ac:dyDescent="0.25">
      <c r="K10349"/>
    </row>
    <row r="10350" spans="11:11" ht="15" x14ac:dyDescent="0.25">
      <c r="K10350"/>
    </row>
    <row r="10351" spans="11:11" ht="15" x14ac:dyDescent="0.25">
      <c r="K10351"/>
    </row>
    <row r="10352" spans="11:11" ht="15" x14ac:dyDescent="0.25">
      <c r="K10352"/>
    </row>
    <row r="10353" spans="11:11" ht="15" x14ac:dyDescent="0.25">
      <c r="K10353"/>
    </row>
    <row r="10354" spans="11:11" ht="15" x14ac:dyDescent="0.25">
      <c r="K10354"/>
    </row>
    <row r="10355" spans="11:11" ht="15" x14ac:dyDescent="0.25">
      <c r="K10355"/>
    </row>
    <row r="10356" spans="11:11" ht="15" x14ac:dyDescent="0.25">
      <c r="K10356"/>
    </row>
    <row r="10357" spans="11:11" ht="15" x14ac:dyDescent="0.25">
      <c r="K10357"/>
    </row>
    <row r="10358" spans="11:11" ht="15" x14ac:dyDescent="0.25">
      <c r="K10358"/>
    </row>
    <row r="10359" spans="11:11" ht="15" x14ac:dyDescent="0.25">
      <c r="K10359"/>
    </row>
    <row r="10360" spans="11:11" ht="15" x14ac:dyDescent="0.25">
      <c r="K10360"/>
    </row>
    <row r="10361" spans="11:11" ht="15" x14ac:dyDescent="0.25">
      <c r="K10361"/>
    </row>
    <row r="10362" spans="11:11" ht="15" x14ac:dyDescent="0.25">
      <c r="K10362"/>
    </row>
    <row r="10363" spans="11:11" ht="15" x14ac:dyDescent="0.25">
      <c r="K10363"/>
    </row>
    <row r="10364" spans="11:11" ht="15" x14ac:dyDescent="0.25">
      <c r="K10364"/>
    </row>
    <row r="10365" spans="11:11" ht="15" x14ac:dyDescent="0.25">
      <c r="K10365"/>
    </row>
    <row r="10366" spans="11:11" ht="15" x14ac:dyDescent="0.25">
      <c r="K10366"/>
    </row>
    <row r="10367" spans="11:11" ht="15" x14ac:dyDescent="0.25">
      <c r="K10367"/>
    </row>
    <row r="10368" spans="11:11" ht="15" x14ac:dyDescent="0.25">
      <c r="K10368"/>
    </row>
    <row r="10369" spans="11:11" ht="15" x14ac:dyDescent="0.25">
      <c r="K10369"/>
    </row>
    <row r="10370" spans="11:11" ht="15" x14ac:dyDescent="0.25">
      <c r="K10370"/>
    </row>
    <row r="10371" spans="11:11" ht="15" x14ac:dyDescent="0.25">
      <c r="K10371"/>
    </row>
    <row r="10372" spans="11:11" ht="15" x14ac:dyDescent="0.25">
      <c r="K10372"/>
    </row>
    <row r="10373" spans="11:11" ht="15" x14ac:dyDescent="0.25">
      <c r="K10373"/>
    </row>
    <row r="10374" spans="11:11" ht="15" x14ac:dyDescent="0.25">
      <c r="K10374"/>
    </row>
    <row r="10375" spans="11:11" ht="15" x14ac:dyDescent="0.25">
      <c r="K10375"/>
    </row>
    <row r="10376" spans="11:11" ht="15" x14ac:dyDescent="0.25">
      <c r="K10376"/>
    </row>
    <row r="10377" spans="11:11" ht="15" x14ac:dyDescent="0.25">
      <c r="K10377"/>
    </row>
    <row r="10378" spans="11:11" ht="15" x14ac:dyDescent="0.25">
      <c r="K10378"/>
    </row>
    <row r="10379" spans="11:11" ht="15" x14ac:dyDescent="0.25">
      <c r="K10379"/>
    </row>
    <row r="10380" spans="11:11" ht="15" x14ac:dyDescent="0.25">
      <c r="K10380"/>
    </row>
    <row r="10381" spans="11:11" ht="15" x14ac:dyDescent="0.25">
      <c r="K10381"/>
    </row>
    <row r="10382" spans="11:11" ht="15" x14ac:dyDescent="0.25">
      <c r="K10382"/>
    </row>
    <row r="10383" spans="11:11" ht="15" x14ac:dyDescent="0.25">
      <c r="K10383"/>
    </row>
    <row r="10384" spans="11:11" ht="15" x14ac:dyDescent="0.25">
      <c r="K10384"/>
    </row>
    <row r="10385" spans="11:11" ht="15" x14ac:dyDescent="0.25">
      <c r="K10385"/>
    </row>
    <row r="10386" spans="11:11" ht="15" x14ac:dyDescent="0.25">
      <c r="K10386"/>
    </row>
    <row r="10387" spans="11:11" ht="15" x14ac:dyDescent="0.25">
      <c r="K10387"/>
    </row>
    <row r="10388" spans="11:11" ht="15" x14ac:dyDescent="0.25">
      <c r="K10388"/>
    </row>
    <row r="10389" spans="11:11" ht="15" x14ac:dyDescent="0.25">
      <c r="K10389"/>
    </row>
    <row r="10390" spans="11:11" ht="15" x14ac:dyDescent="0.25">
      <c r="K10390"/>
    </row>
    <row r="10391" spans="11:11" ht="15" x14ac:dyDescent="0.25">
      <c r="K10391"/>
    </row>
    <row r="10392" spans="11:11" ht="15" x14ac:dyDescent="0.25">
      <c r="K10392"/>
    </row>
    <row r="10393" spans="11:11" ht="15" x14ac:dyDescent="0.25">
      <c r="K10393"/>
    </row>
    <row r="10394" spans="11:11" ht="15" x14ac:dyDescent="0.25">
      <c r="K10394"/>
    </row>
    <row r="10395" spans="11:11" ht="15" x14ac:dyDescent="0.25">
      <c r="K10395"/>
    </row>
    <row r="10396" spans="11:11" ht="15" x14ac:dyDescent="0.25">
      <c r="K10396"/>
    </row>
    <row r="10397" spans="11:11" ht="15" x14ac:dyDescent="0.25">
      <c r="K10397"/>
    </row>
    <row r="10398" spans="11:11" ht="15" x14ac:dyDescent="0.25">
      <c r="K10398"/>
    </row>
    <row r="10399" spans="11:11" ht="15" x14ac:dyDescent="0.25">
      <c r="K10399"/>
    </row>
    <row r="10400" spans="11:11" ht="15" x14ac:dyDescent="0.25">
      <c r="K10400"/>
    </row>
    <row r="10401" spans="11:11" ht="15" x14ac:dyDescent="0.25">
      <c r="K10401"/>
    </row>
    <row r="10402" spans="11:11" ht="15" x14ac:dyDescent="0.25">
      <c r="K10402"/>
    </row>
    <row r="10403" spans="11:11" ht="15" x14ac:dyDescent="0.25">
      <c r="K10403"/>
    </row>
    <row r="10404" spans="11:11" ht="15" x14ac:dyDescent="0.25">
      <c r="K10404"/>
    </row>
    <row r="10405" spans="11:11" ht="15" x14ac:dyDescent="0.25">
      <c r="K10405"/>
    </row>
    <row r="10406" spans="11:11" ht="15" x14ac:dyDescent="0.25">
      <c r="K10406"/>
    </row>
    <row r="10407" spans="11:11" ht="15" x14ac:dyDescent="0.25">
      <c r="K10407"/>
    </row>
    <row r="10408" spans="11:11" ht="15" x14ac:dyDescent="0.25">
      <c r="K10408"/>
    </row>
    <row r="10409" spans="11:11" ht="15" x14ac:dyDescent="0.25">
      <c r="K10409"/>
    </row>
    <row r="10410" spans="11:11" ht="15" x14ac:dyDescent="0.25">
      <c r="K10410"/>
    </row>
    <row r="10411" spans="11:11" ht="15" x14ac:dyDescent="0.25">
      <c r="K10411"/>
    </row>
    <row r="10412" spans="11:11" ht="15" x14ac:dyDescent="0.25">
      <c r="K10412"/>
    </row>
    <row r="10413" spans="11:11" ht="15" x14ac:dyDescent="0.25">
      <c r="K10413"/>
    </row>
    <row r="10414" spans="11:11" ht="15" x14ac:dyDescent="0.25">
      <c r="K10414"/>
    </row>
    <row r="10415" spans="11:11" ht="15" x14ac:dyDescent="0.25">
      <c r="K10415"/>
    </row>
    <row r="10416" spans="11:11" ht="15" x14ac:dyDescent="0.25">
      <c r="K10416"/>
    </row>
    <row r="10417" spans="11:11" ht="15" x14ac:dyDescent="0.25">
      <c r="K10417"/>
    </row>
    <row r="10418" spans="11:11" ht="15" x14ac:dyDescent="0.25">
      <c r="K10418"/>
    </row>
    <row r="10419" spans="11:11" ht="15" x14ac:dyDescent="0.25">
      <c r="K10419"/>
    </row>
    <row r="10420" spans="11:11" ht="15" x14ac:dyDescent="0.25">
      <c r="K10420"/>
    </row>
    <row r="10421" spans="11:11" ht="15" x14ac:dyDescent="0.25">
      <c r="K10421"/>
    </row>
    <row r="10422" spans="11:11" ht="15" x14ac:dyDescent="0.25">
      <c r="K10422"/>
    </row>
    <row r="10423" spans="11:11" ht="15" x14ac:dyDescent="0.25">
      <c r="K10423"/>
    </row>
    <row r="10424" spans="11:11" ht="15" x14ac:dyDescent="0.25">
      <c r="K10424"/>
    </row>
    <row r="10425" spans="11:11" ht="15" x14ac:dyDescent="0.25">
      <c r="K10425"/>
    </row>
    <row r="10426" spans="11:11" ht="15" x14ac:dyDescent="0.25">
      <c r="K10426"/>
    </row>
    <row r="10427" spans="11:11" ht="15" x14ac:dyDescent="0.25">
      <c r="K10427"/>
    </row>
    <row r="10428" spans="11:11" ht="15" x14ac:dyDescent="0.25">
      <c r="K10428"/>
    </row>
    <row r="10429" spans="11:11" ht="15" x14ac:dyDescent="0.25">
      <c r="K10429"/>
    </row>
    <row r="10430" spans="11:11" ht="15" x14ac:dyDescent="0.25">
      <c r="K10430"/>
    </row>
    <row r="10431" spans="11:11" ht="15" x14ac:dyDescent="0.25">
      <c r="K10431"/>
    </row>
    <row r="10432" spans="11:11" ht="15" x14ac:dyDescent="0.25">
      <c r="K10432"/>
    </row>
    <row r="10433" spans="11:11" ht="15" x14ac:dyDescent="0.25">
      <c r="K10433"/>
    </row>
    <row r="10434" spans="11:11" ht="15" x14ac:dyDescent="0.25">
      <c r="K10434"/>
    </row>
    <row r="10435" spans="11:11" ht="15" x14ac:dyDescent="0.25">
      <c r="K10435"/>
    </row>
    <row r="10436" spans="11:11" ht="15" x14ac:dyDescent="0.25">
      <c r="K10436"/>
    </row>
    <row r="10437" spans="11:11" ht="15" x14ac:dyDescent="0.25">
      <c r="K10437"/>
    </row>
    <row r="10438" spans="11:11" ht="15" x14ac:dyDescent="0.25">
      <c r="K10438"/>
    </row>
    <row r="10439" spans="11:11" ht="15" x14ac:dyDescent="0.25">
      <c r="K10439"/>
    </row>
    <row r="10440" spans="11:11" ht="15" x14ac:dyDescent="0.25">
      <c r="K10440"/>
    </row>
    <row r="10441" spans="11:11" ht="15" x14ac:dyDescent="0.25">
      <c r="K10441"/>
    </row>
    <row r="10442" spans="11:11" ht="15" x14ac:dyDescent="0.25">
      <c r="K10442"/>
    </row>
    <row r="10443" spans="11:11" ht="15" x14ac:dyDescent="0.25">
      <c r="K10443"/>
    </row>
    <row r="10444" spans="11:11" ht="15" x14ac:dyDescent="0.25">
      <c r="K10444"/>
    </row>
    <row r="10445" spans="11:11" ht="15" x14ac:dyDescent="0.25">
      <c r="K10445"/>
    </row>
    <row r="10446" spans="11:11" ht="15" x14ac:dyDescent="0.25">
      <c r="K10446"/>
    </row>
    <row r="10447" spans="11:11" ht="15" x14ac:dyDescent="0.25">
      <c r="K10447"/>
    </row>
    <row r="10448" spans="11:11" ht="15" x14ac:dyDescent="0.25">
      <c r="K10448"/>
    </row>
    <row r="10449" spans="11:11" ht="15" x14ac:dyDescent="0.25">
      <c r="K10449"/>
    </row>
    <row r="10450" spans="11:11" ht="15" x14ac:dyDescent="0.25">
      <c r="K10450"/>
    </row>
    <row r="10451" spans="11:11" ht="15" x14ac:dyDescent="0.25">
      <c r="K10451"/>
    </row>
    <row r="10452" spans="11:11" ht="15" x14ac:dyDescent="0.25">
      <c r="K10452"/>
    </row>
    <row r="10453" spans="11:11" ht="15" x14ac:dyDescent="0.25">
      <c r="K10453"/>
    </row>
    <row r="10454" spans="11:11" ht="15" x14ac:dyDescent="0.25">
      <c r="K10454"/>
    </row>
    <row r="10455" spans="11:11" ht="15" x14ac:dyDescent="0.25">
      <c r="K10455"/>
    </row>
    <row r="10456" spans="11:11" ht="15" x14ac:dyDescent="0.25">
      <c r="K10456"/>
    </row>
    <row r="10457" spans="11:11" ht="15" x14ac:dyDescent="0.25">
      <c r="K10457"/>
    </row>
    <row r="10458" spans="11:11" ht="15" x14ac:dyDescent="0.25">
      <c r="K10458"/>
    </row>
    <row r="10459" spans="11:11" ht="15" x14ac:dyDescent="0.25">
      <c r="K10459"/>
    </row>
    <row r="10460" spans="11:11" ht="15" x14ac:dyDescent="0.25">
      <c r="K10460"/>
    </row>
    <row r="10461" spans="11:11" ht="15" x14ac:dyDescent="0.25">
      <c r="K10461"/>
    </row>
    <row r="10462" spans="11:11" ht="15" x14ac:dyDescent="0.25">
      <c r="K10462"/>
    </row>
    <row r="10463" spans="11:11" ht="15" x14ac:dyDescent="0.25">
      <c r="K10463"/>
    </row>
    <row r="10464" spans="11:11" ht="15" x14ac:dyDescent="0.25">
      <c r="K10464"/>
    </row>
    <row r="10465" spans="11:11" ht="15" x14ac:dyDescent="0.25">
      <c r="K10465"/>
    </row>
    <row r="10466" spans="11:11" ht="15" x14ac:dyDescent="0.25">
      <c r="K10466"/>
    </row>
    <row r="10467" spans="11:11" ht="15" x14ac:dyDescent="0.25">
      <c r="K10467"/>
    </row>
    <row r="10468" spans="11:11" ht="15" x14ac:dyDescent="0.25">
      <c r="K10468"/>
    </row>
    <row r="10469" spans="11:11" ht="15" x14ac:dyDescent="0.25">
      <c r="K10469"/>
    </row>
    <row r="10470" spans="11:11" ht="15" x14ac:dyDescent="0.25">
      <c r="K10470"/>
    </row>
    <row r="10471" spans="11:11" ht="15" x14ac:dyDescent="0.25">
      <c r="K10471"/>
    </row>
    <row r="10472" spans="11:11" ht="15" x14ac:dyDescent="0.25">
      <c r="K10472"/>
    </row>
    <row r="10473" spans="11:11" ht="15" x14ac:dyDescent="0.25">
      <c r="K10473"/>
    </row>
    <row r="10474" spans="11:11" ht="15" x14ac:dyDescent="0.25">
      <c r="K10474"/>
    </row>
    <row r="10475" spans="11:11" ht="15" x14ac:dyDescent="0.25">
      <c r="K10475"/>
    </row>
    <row r="10476" spans="11:11" ht="15" x14ac:dyDescent="0.25">
      <c r="K10476"/>
    </row>
    <row r="10477" spans="11:11" ht="15" x14ac:dyDescent="0.25">
      <c r="K10477"/>
    </row>
    <row r="10478" spans="11:11" ht="15" x14ac:dyDescent="0.25">
      <c r="K10478"/>
    </row>
    <row r="10479" spans="11:11" ht="15" x14ac:dyDescent="0.25">
      <c r="K10479"/>
    </row>
    <row r="10480" spans="11:11" ht="15" x14ac:dyDescent="0.25">
      <c r="K10480"/>
    </row>
    <row r="10481" spans="11:11" ht="15" x14ac:dyDescent="0.25">
      <c r="K10481"/>
    </row>
    <row r="10482" spans="11:11" ht="15" x14ac:dyDescent="0.25">
      <c r="K10482"/>
    </row>
    <row r="10483" spans="11:11" ht="15" x14ac:dyDescent="0.25">
      <c r="K10483"/>
    </row>
    <row r="10484" spans="11:11" ht="15" x14ac:dyDescent="0.25">
      <c r="K10484"/>
    </row>
    <row r="10485" spans="11:11" ht="15" x14ac:dyDescent="0.25">
      <c r="K10485"/>
    </row>
    <row r="10486" spans="11:11" ht="15" x14ac:dyDescent="0.25">
      <c r="K10486"/>
    </row>
    <row r="10487" spans="11:11" ht="15" x14ac:dyDescent="0.25">
      <c r="K10487"/>
    </row>
    <row r="10488" spans="11:11" ht="15" x14ac:dyDescent="0.25">
      <c r="K10488"/>
    </row>
    <row r="10489" spans="11:11" ht="15" x14ac:dyDescent="0.25">
      <c r="K10489"/>
    </row>
    <row r="10490" spans="11:11" ht="15" x14ac:dyDescent="0.25">
      <c r="K10490"/>
    </row>
    <row r="10491" spans="11:11" ht="15" x14ac:dyDescent="0.25">
      <c r="K10491"/>
    </row>
    <row r="10492" spans="11:11" ht="15" x14ac:dyDescent="0.25">
      <c r="K10492"/>
    </row>
    <row r="10493" spans="11:11" ht="15" x14ac:dyDescent="0.25">
      <c r="K10493"/>
    </row>
    <row r="10494" spans="11:11" ht="15" x14ac:dyDescent="0.25">
      <c r="K10494"/>
    </row>
    <row r="10495" spans="11:11" ht="15" x14ac:dyDescent="0.25">
      <c r="K10495"/>
    </row>
    <row r="10496" spans="11:11" ht="15" x14ac:dyDescent="0.25">
      <c r="K10496"/>
    </row>
    <row r="10497" spans="11:11" ht="15" x14ac:dyDescent="0.25">
      <c r="K10497"/>
    </row>
    <row r="10498" spans="11:11" ht="15" x14ac:dyDescent="0.25">
      <c r="K10498"/>
    </row>
    <row r="10499" spans="11:11" ht="15" x14ac:dyDescent="0.25">
      <c r="K10499"/>
    </row>
    <row r="10500" spans="11:11" ht="15" x14ac:dyDescent="0.25">
      <c r="K10500"/>
    </row>
    <row r="10501" spans="11:11" ht="15" x14ac:dyDescent="0.25">
      <c r="K10501"/>
    </row>
    <row r="10502" spans="11:11" ht="15" x14ac:dyDescent="0.25">
      <c r="K10502"/>
    </row>
    <row r="10503" spans="11:11" ht="15" x14ac:dyDescent="0.25">
      <c r="K10503"/>
    </row>
    <row r="10504" spans="11:11" ht="15" x14ac:dyDescent="0.25">
      <c r="K10504"/>
    </row>
    <row r="10505" spans="11:11" ht="15" x14ac:dyDescent="0.25">
      <c r="K10505"/>
    </row>
    <row r="10506" spans="11:11" ht="15" x14ac:dyDescent="0.25">
      <c r="K10506"/>
    </row>
    <row r="10507" spans="11:11" ht="15" x14ac:dyDescent="0.25">
      <c r="K10507"/>
    </row>
    <row r="10508" spans="11:11" ht="15" x14ac:dyDescent="0.25">
      <c r="K10508"/>
    </row>
    <row r="10509" spans="11:11" ht="15" x14ac:dyDescent="0.25">
      <c r="K10509"/>
    </row>
    <row r="10510" spans="11:11" ht="15" x14ac:dyDescent="0.25">
      <c r="K10510"/>
    </row>
    <row r="10511" spans="11:11" ht="15" x14ac:dyDescent="0.25">
      <c r="K10511"/>
    </row>
    <row r="10512" spans="11:11" ht="15" x14ac:dyDescent="0.25">
      <c r="K10512"/>
    </row>
    <row r="10513" spans="11:11" ht="15" x14ac:dyDescent="0.25">
      <c r="K10513"/>
    </row>
    <row r="10514" spans="11:11" ht="15" x14ac:dyDescent="0.25">
      <c r="K10514"/>
    </row>
    <row r="10515" spans="11:11" ht="15" x14ac:dyDescent="0.25">
      <c r="K10515"/>
    </row>
    <row r="10516" spans="11:11" ht="15" x14ac:dyDescent="0.25">
      <c r="K10516"/>
    </row>
    <row r="10517" spans="11:11" ht="15" x14ac:dyDescent="0.25">
      <c r="K10517"/>
    </row>
    <row r="10518" spans="11:11" ht="15" x14ac:dyDescent="0.25">
      <c r="K10518"/>
    </row>
    <row r="10519" spans="11:11" ht="15" x14ac:dyDescent="0.25">
      <c r="K10519"/>
    </row>
    <row r="10520" spans="11:11" ht="15" x14ac:dyDescent="0.25">
      <c r="K10520"/>
    </row>
    <row r="10521" spans="11:11" ht="15" x14ac:dyDescent="0.25">
      <c r="K10521"/>
    </row>
    <row r="10522" spans="11:11" ht="15" x14ac:dyDescent="0.25">
      <c r="K10522"/>
    </row>
    <row r="10523" spans="11:11" ht="15" x14ac:dyDescent="0.25">
      <c r="K10523"/>
    </row>
    <row r="10524" spans="11:11" ht="15" x14ac:dyDescent="0.25">
      <c r="K10524"/>
    </row>
    <row r="10525" spans="11:11" ht="15" x14ac:dyDescent="0.25">
      <c r="K10525"/>
    </row>
    <row r="10526" spans="11:11" ht="15" x14ac:dyDescent="0.25">
      <c r="K10526"/>
    </row>
    <row r="10527" spans="11:11" ht="15" x14ac:dyDescent="0.25">
      <c r="K10527"/>
    </row>
    <row r="10528" spans="11:11" ht="15" x14ac:dyDescent="0.25">
      <c r="K10528"/>
    </row>
    <row r="10529" spans="11:11" ht="15" x14ac:dyDescent="0.25">
      <c r="K10529"/>
    </row>
    <row r="10530" spans="11:11" ht="15" x14ac:dyDescent="0.25">
      <c r="K10530"/>
    </row>
    <row r="10531" spans="11:11" ht="15" x14ac:dyDescent="0.25">
      <c r="K10531"/>
    </row>
    <row r="10532" spans="11:11" ht="15" x14ac:dyDescent="0.25">
      <c r="K10532"/>
    </row>
    <row r="10533" spans="11:11" ht="15" x14ac:dyDescent="0.25">
      <c r="K10533"/>
    </row>
    <row r="10534" spans="11:11" ht="15" x14ac:dyDescent="0.25">
      <c r="K10534"/>
    </row>
    <row r="10535" spans="11:11" ht="15" x14ac:dyDescent="0.25">
      <c r="K10535"/>
    </row>
    <row r="10536" spans="11:11" ht="15" x14ac:dyDescent="0.25">
      <c r="K10536"/>
    </row>
    <row r="10537" spans="11:11" ht="15" x14ac:dyDescent="0.25">
      <c r="K10537"/>
    </row>
    <row r="10538" spans="11:11" ht="15" x14ac:dyDescent="0.25">
      <c r="K10538"/>
    </row>
    <row r="10539" spans="11:11" ht="15" x14ac:dyDescent="0.25">
      <c r="K10539"/>
    </row>
    <row r="10540" spans="11:11" ht="15" x14ac:dyDescent="0.25">
      <c r="K10540"/>
    </row>
    <row r="10541" spans="11:11" ht="15" x14ac:dyDescent="0.25">
      <c r="K10541"/>
    </row>
    <row r="10542" spans="11:11" ht="15" x14ac:dyDescent="0.25">
      <c r="K10542"/>
    </row>
    <row r="10543" spans="11:11" ht="15" x14ac:dyDescent="0.25">
      <c r="K10543"/>
    </row>
    <row r="10544" spans="11:11" ht="15" x14ac:dyDescent="0.25">
      <c r="K10544"/>
    </row>
    <row r="10545" spans="11:11" ht="15" x14ac:dyDescent="0.25">
      <c r="K10545"/>
    </row>
    <row r="10546" spans="11:11" ht="15" x14ac:dyDescent="0.25">
      <c r="K10546"/>
    </row>
    <row r="10547" spans="11:11" ht="15" x14ac:dyDescent="0.25">
      <c r="K10547"/>
    </row>
    <row r="10548" spans="11:11" ht="15" x14ac:dyDescent="0.25">
      <c r="K10548"/>
    </row>
    <row r="10549" spans="11:11" ht="15" x14ac:dyDescent="0.25">
      <c r="K10549"/>
    </row>
    <row r="10550" spans="11:11" ht="15" x14ac:dyDescent="0.25">
      <c r="K10550"/>
    </row>
    <row r="10551" spans="11:11" ht="15" x14ac:dyDescent="0.25">
      <c r="K10551"/>
    </row>
    <row r="10552" spans="11:11" ht="15" x14ac:dyDescent="0.25">
      <c r="K10552"/>
    </row>
    <row r="10553" spans="11:11" ht="15" x14ac:dyDescent="0.25">
      <c r="K10553"/>
    </row>
    <row r="10554" spans="11:11" ht="15" x14ac:dyDescent="0.25">
      <c r="K10554"/>
    </row>
    <row r="10555" spans="11:11" ht="15" x14ac:dyDescent="0.25">
      <c r="K10555"/>
    </row>
    <row r="10556" spans="11:11" ht="15" x14ac:dyDescent="0.25">
      <c r="K10556"/>
    </row>
    <row r="10557" spans="11:11" ht="15" x14ac:dyDescent="0.25">
      <c r="K10557"/>
    </row>
    <row r="10558" spans="11:11" ht="15" x14ac:dyDescent="0.25">
      <c r="K10558"/>
    </row>
    <row r="10559" spans="11:11" ht="15" x14ac:dyDescent="0.25">
      <c r="K10559"/>
    </row>
    <row r="10560" spans="11:11" ht="15" x14ac:dyDescent="0.25">
      <c r="K10560"/>
    </row>
    <row r="10561" spans="11:11" ht="15" x14ac:dyDescent="0.25">
      <c r="K10561"/>
    </row>
    <row r="10562" spans="11:11" ht="15" x14ac:dyDescent="0.25">
      <c r="K10562"/>
    </row>
    <row r="10563" spans="11:11" ht="15" x14ac:dyDescent="0.25">
      <c r="K10563"/>
    </row>
    <row r="10564" spans="11:11" ht="15" x14ac:dyDescent="0.25">
      <c r="K10564"/>
    </row>
    <row r="10565" spans="11:11" ht="15" x14ac:dyDescent="0.25">
      <c r="K10565"/>
    </row>
    <row r="10566" spans="11:11" ht="15" x14ac:dyDescent="0.25">
      <c r="K10566"/>
    </row>
    <row r="10567" spans="11:11" ht="15" x14ac:dyDescent="0.25">
      <c r="K10567"/>
    </row>
    <row r="10568" spans="11:11" ht="15" x14ac:dyDescent="0.25">
      <c r="K10568"/>
    </row>
    <row r="10569" spans="11:11" ht="15" x14ac:dyDescent="0.25">
      <c r="K10569"/>
    </row>
    <row r="10570" spans="11:11" ht="15" x14ac:dyDescent="0.25">
      <c r="K10570"/>
    </row>
    <row r="10571" spans="11:11" ht="15" x14ac:dyDescent="0.25">
      <c r="K10571"/>
    </row>
    <row r="10572" spans="11:11" ht="15" x14ac:dyDescent="0.25">
      <c r="K10572"/>
    </row>
    <row r="10573" spans="11:11" ht="15" x14ac:dyDescent="0.25">
      <c r="K10573"/>
    </row>
    <row r="10574" spans="11:11" ht="15" x14ac:dyDescent="0.25">
      <c r="K10574"/>
    </row>
    <row r="10575" spans="11:11" ht="15" x14ac:dyDescent="0.25">
      <c r="K10575"/>
    </row>
    <row r="10576" spans="11:11" ht="15" x14ac:dyDescent="0.25">
      <c r="K10576"/>
    </row>
    <row r="10577" spans="11:11" ht="15" x14ac:dyDescent="0.25">
      <c r="K10577"/>
    </row>
    <row r="10578" spans="11:11" ht="15" x14ac:dyDescent="0.25">
      <c r="K10578"/>
    </row>
    <row r="10579" spans="11:11" ht="15" x14ac:dyDescent="0.25">
      <c r="K10579"/>
    </row>
    <row r="10580" spans="11:11" ht="15" x14ac:dyDescent="0.25">
      <c r="K10580"/>
    </row>
    <row r="10581" spans="11:11" ht="15" x14ac:dyDescent="0.25">
      <c r="K10581"/>
    </row>
    <row r="10582" spans="11:11" ht="15" x14ac:dyDescent="0.25">
      <c r="K10582"/>
    </row>
    <row r="10583" spans="11:11" ht="15" x14ac:dyDescent="0.25">
      <c r="K10583"/>
    </row>
    <row r="10584" spans="11:11" ht="15" x14ac:dyDescent="0.25">
      <c r="K10584"/>
    </row>
    <row r="10585" spans="11:11" ht="15" x14ac:dyDescent="0.25">
      <c r="K10585"/>
    </row>
    <row r="10586" spans="11:11" ht="15" x14ac:dyDescent="0.25">
      <c r="K10586"/>
    </row>
    <row r="10587" spans="11:11" ht="15" x14ac:dyDescent="0.25">
      <c r="K10587"/>
    </row>
    <row r="10588" spans="11:11" ht="15" x14ac:dyDescent="0.25">
      <c r="K10588"/>
    </row>
    <row r="10589" spans="11:11" ht="15" x14ac:dyDescent="0.25">
      <c r="K10589"/>
    </row>
    <row r="10590" spans="11:11" ht="15" x14ac:dyDescent="0.25">
      <c r="K10590"/>
    </row>
    <row r="10591" spans="11:11" ht="15" x14ac:dyDescent="0.25">
      <c r="K10591"/>
    </row>
    <row r="10592" spans="11:11" ht="15" x14ac:dyDescent="0.25">
      <c r="K10592"/>
    </row>
    <row r="10593" spans="11:11" ht="15" x14ac:dyDescent="0.25">
      <c r="K10593"/>
    </row>
    <row r="10594" spans="11:11" ht="15" x14ac:dyDescent="0.25">
      <c r="K10594"/>
    </row>
    <row r="10595" spans="11:11" ht="15" x14ac:dyDescent="0.25">
      <c r="K10595"/>
    </row>
    <row r="10596" spans="11:11" ht="15" x14ac:dyDescent="0.25">
      <c r="K10596"/>
    </row>
    <row r="10597" spans="11:11" ht="15" x14ac:dyDescent="0.25">
      <c r="K10597"/>
    </row>
    <row r="10598" spans="11:11" ht="15" x14ac:dyDescent="0.25">
      <c r="K10598"/>
    </row>
    <row r="10599" spans="11:11" ht="15" x14ac:dyDescent="0.25">
      <c r="K10599"/>
    </row>
    <row r="10600" spans="11:11" ht="15" x14ac:dyDescent="0.25">
      <c r="K10600"/>
    </row>
    <row r="10601" spans="11:11" ht="15" x14ac:dyDescent="0.25">
      <c r="K10601"/>
    </row>
    <row r="10602" spans="11:11" ht="15" x14ac:dyDescent="0.25">
      <c r="K10602"/>
    </row>
    <row r="10603" spans="11:11" ht="15" x14ac:dyDescent="0.25">
      <c r="K10603"/>
    </row>
    <row r="10604" spans="11:11" ht="15" x14ac:dyDescent="0.25">
      <c r="K10604"/>
    </row>
    <row r="10605" spans="11:11" ht="15" x14ac:dyDescent="0.25">
      <c r="K10605"/>
    </row>
    <row r="10606" spans="11:11" ht="15" x14ac:dyDescent="0.25">
      <c r="K10606"/>
    </row>
    <row r="10607" spans="11:11" ht="15" x14ac:dyDescent="0.25">
      <c r="K10607"/>
    </row>
    <row r="10608" spans="11:11" ht="15" x14ac:dyDescent="0.25">
      <c r="K10608"/>
    </row>
    <row r="10609" spans="11:11" ht="15" x14ac:dyDescent="0.25">
      <c r="K10609"/>
    </row>
    <row r="10610" spans="11:11" ht="15" x14ac:dyDescent="0.25">
      <c r="K10610"/>
    </row>
    <row r="10611" spans="11:11" ht="15" x14ac:dyDescent="0.25">
      <c r="K10611"/>
    </row>
    <row r="10612" spans="11:11" ht="15" x14ac:dyDescent="0.25">
      <c r="K10612"/>
    </row>
    <row r="10613" spans="11:11" ht="15" x14ac:dyDescent="0.25">
      <c r="K10613"/>
    </row>
    <row r="10614" spans="11:11" ht="15" x14ac:dyDescent="0.25">
      <c r="K10614"/>
    </row>
    <row r="10615" spans="11:11" ht="15" x14ac:dyDescent="0.25">
      <c r="K10615"/>
    </row>
    <row r="10616" spans="11:11" ht="15" x14ac:dyDescent="0.25">
      <c r="K10616"/>
    </row>
    <row r="10617" spans="11:11" ht="15" x14ac:dyDescent="0.25">
      <c r="K10617"/>
    </row>
    <row r="10618" spans="11:11" ht="15" x14ac:dyDescent="0.25">
      <c r="K10618"/>
    </row>
    <row r="10619" spans="11:11" ht="15" x14ac:dyDescent="0.25">
      <c r="K10619"/>
    </row>
    <row r="10620" spans="11:11" ht="15" x14ac:dyDescent="0.25">
      <c r="K10620"/>
    </row>
    <row r="10621" spans="11:11" ht="15" x14ac:dyDescent="0.25">
      <c r="K10621"/>
    </row>
    <row r="10622" spans="11:11" ht="15" x14ac:dyDescent="0.25">
      <c r="K10622"/>
    </row>
    <row r="10623" spans="11:11" ht="15" x14ac:dyDescent="0.25">
      <c r="K10623"/>
    </row>
    <row r="10624" spans="11:11" ht="15" x14ac:dyDescent="0.25">
      <c r="K10624"/>
    </row>
    <row r="10625" spans="11:11" ht="15" x14ac:dyDescent="0.25">
      <c r="K10625"/>
    </row>
    <row r="10626" spans="11:11" ht="15" x14ac:dyDescent="0.25">
      <c r="K10626"/>
    </row>
    <row r="10627" spans="11:11" ht="15" x14ac:dyDescent="0.25">
      <c r="K10627"/>
    </row>
    <row r="10628" spans="11:11" ht="15" x14ac:dyDescent="0.25">
      <c r="K10628"/>
    </row>
    <row r="10629" spans="11:11" ht="15" x14ac:dyDescent="0.25">
      <c r="K10629"/>
    </row>
    <row r="10630" spans="11:11" ht="15" x14ac:dyDescent="0.25">
      <c r="K10630"/>
    </row>
    <row r="10631" spans="11:11" ht="15" x14ac:dyDescent="0.25">
      <c r="K10631"/>
    </row>
    <row r="10632" spans="11:11" ht="15" x14ac:dyDescent="0.25">
      <c r="K10632"/>
    </row>
    <row r="10633" spans="11:11" ht="15" x14ac:dyDescent="0.25">
      <c r="K10633"/>
    </row>
    <row r="10634" spans="11:11" ht="15" x14ac:dyDescent="0.25">
      <c r="K10634"/>
    </row>
    <row r="10635" spans="11:11" ht="15" x14ac:dyDescent="0.25">
      <c r="K10635"/>
    </row>
    <row r="10636" spans="11:11" ht="15" x14ac:dyDescent="0.25">
      <c r="K10636"/>
    </row>
    <row r="10637" spans="11:11" ht="15" x14ac:dyDescent="0.25">
      <c r="K10637"/>
    </row>
    <row r="10638" spans="11:11" ht="15" x14ac:dyDescent="0.25">
      <c r="K10638"/>
    </row>
    <row r="10639" spans="11:11" ht="15" x14ac:dyDescent="0.25">
      <c r="K10639"/>
    </row>
    <row r="10640" spans="11:11" ht="15" x14ac:dyDescent="0.25">
      <c r="K10640"/>
    </row>
    <row r="10641" spans="11:11" ht="15" x14ac:dyDescent="0.25">
      <c r="K10641"/>
    </row>
    <row r="10642" spans="11:11" ht="15" x14ac:dyDescent="0.25">
      <c r="K10642"/>
    </row>
    <row r="10643" spans="11:11" ht="15" x14ac:dyDescent="0.25">
      <c r="K10643"/>
    </row>
    <row r="10644" spans="11:11" ht="15" x14ac:dyDescent="0.25">
      <c r="K10644"/>
    </row>
    <row r="10645" spans="11:11" ht="15" x14ac:dyDescent="0.25">
      <c r="K10645"/>
    </row>
    <row r="10646" spans="11:11" ht="15" x14ac:dyDescent="0.25">
      <c r="K10646"/>
    </row>
    <row r="10647" spans="11:11" ht="15" x14ac:dyDescent="0.25">
      <c r="K10647"/>
    </row>
    <row r="10648" spans="11:11" ht="15" x14ac:dyDescent="0.25">
      <c r="K10648"/>
    </row>
    <row r="10649" spans="11:11" ht="15" x14ac:dyDescent="0.25">
      <c r="K10649"/>
    </row>
    <row r="10650" spans="11:11" ht="15" x14ac:dyDescent="0.25">
      <c r="K10650"/>
    </row>
    <row r="10651" spans="11:11" ht="15" x14ac:dyDescent="0.25">
      <c r="K10651"/>
    </row>
    <row r="10652" spans="11:11" ht="15" x14ac:dyDescent="0.25">
      <c r="K10652"/>
    </row>
    <row r="10653" spans="11:11" ht="15" x14ac:dyDescent="0.25">
      <c r="K10653"/>
    </row>
    <row r="10654" spans="11:11" ht="15" x14ac:dyDescent="0.25">
      <c r="K10654"/>
    </row>
    <row r="10655" spans="11:11" ht="15" x14ac:dyDescent="0.25">
      <c r="K10655"/>
    </row>
    <row r="10656" spans="11:11" ht="15" x14ac:dyDescent="0.25">
      <c r="K10656"/>
    </row>
    <row r="10657" spans="11:11" ht="15" x14ac:dyDescent="0.25">
      <c r="K10657"/>
    </row>
    <row r="10658" spans="11:11" ht="15" x14ac:dyDescent="0.25">
      <c r="K10658"/>
    </row>
    <row r="10659" spans="11:11" ht="15" x14ac:dyDescent="0.25">
      <c r="K10659"/>
    </row>
    <row r="10660" spans="11:11" ht="15" x14ac:dyDescent="0.25">
      <c r="K10660"/>
    </row>
    <row r="10661" spans="11:11" ht="15" x14ac:dyDescent="0.25">
      <c r="K10661"/>
    </row>
    <row r="10662" spans="11:11" ht="15" x14ac:dyDescent="0.25">
      <c r="K10662"/>
    </row>
    <row r="10663" spans="11:11" ht="15" x14ac:dyDescent="0.25">
      <c r="K10663"/>
    </row>
    <row r="10664" spans="11:11" ht="15" x14ac:dyDescent="0.25">
      <c r="K10664"/>
    </row>
    <row r="10665" spans="11:11" ht="15" x14ac:dyDescent="0.25">
      <c r="K10665"/>
    </row>
    <row r="10666" spans="11:11" ht="15" x14ac:dyDescent="0.25">
      <c r="K10666"/>
    </row>
    <row r="10667" spans="11:11" ht="15" x14ac:dyDescent="0.25">
      <c r="K10667"/>
    </row>
    <row r="10668" spans="11:11" ht="15" x14ac:dyDescent="0.25">
      <c r="K10668"/>
    </row>
    <row r="10669" spans="11:11" ht="15" x14ac:dyDescent="0.25">
      <c r="K10669"/>
    </row>
    <row r="10670" spans="11:11" ht="15" x14ac:dyDescent="0.25">
      <c r="K10670"/>
    </row>
    <row r="10671" spans="11:11" ht="15" x14ac:dyDescent="0.25">
      <c r="K10671"/>
    </row>
    <row r="10672" spans="11:11" ht="15" x14ac:dyDescent="0.25">
      <c r="K10672"/>
    </row>
    <row r="10673" spans="11:11" ht="15" x14ac:dyDescent="0.25">
      <c r="K10673"/>
    </row>
    <row r="10674" spans="11:11" ht="15" x14ac:dyDescent="0.25">
      <c r="K10674"/>
    </row>
    <row r="10675" spans="11:11" ht="15" x14ac:dyDescent="0.25">
      <c r="K10675"/>
    </row>
    <row r="10676" spans="11:11" ht="15" x14ac:dyDescent="0.25">
      <c r="K10676"/>
    </row>
    <row r="10677" spans="11:11" ht="15" x14ac:dyDescent="0.25">
      <c r="K10677"/>
    </row>
    <row r="10678" spans="11:11" ht="15" x14ac:dyDescent="0.25">
      <c r="K10678"/>
    </row>
    <row r="10679" spans="11:11" ht="15" x14ac:dyDescent="0.25">
      <c r="K10679"/>
    </row>
    <row r="10680" spans="11:11" ht="15" x14ac:dyDescent="0.25">
      <c r="K10680"/>
    </row>
    <row r="10681" spans="11:11" ht="15" x14ac:dyDescent="0.25">
      <c r="K10681"/>
    </row>
    <row r="10682" spans="11:11" ht="15" x14ac:dyDescent="0.25">
      <c r="K10682"/>
    </row>
    <row r="10683" spans="11:11" ht="15" x14ac:dyDescent="0.25">
      <c r="K10683"/>
    </row>
    <row r="10684" spans="11:11" ht="15" x14ac:dyDescent="0.25">
      <c r="K10684"/>
    </row>
    <row r="10685" spans="11:11" ht="15" x14ac:dyDescent="0.25">
      <c r="K10685"/>
    </row>
    <row r="10686" spans="11:11" ht="15" x14ac:dyDescent="0.25">
      <c r="K10686"/>
    </row>
    <row r="10687" spans="11:11" ht="15" x14ac:dyDescent="0.25">
      <c r="K10687"/>
    </row>
    <row r="10688" spans="11:11" ht="15" x14ac:dyDescent="0.25">
      <c r="K10688"/>
    </row>
    <row r="10689" spans="11:11" ht="15" x14ac:dyDescent="0.25">
      <c r="K10689"/>
    </row>
    <row r="10690" spans="11:11" ht="15" x14ac:dyDescent="0.25">
      <c r="K10690"/>
    </row>
    <row r="10691" spans="11:11" ht="15" x14ac:dyDescent="0.25">
      <c r="K10691"/>
    </row>
    <row r="10692" spans="11:11" ht="15" x14ac:dyDescent="0.25">
      <c r="K10692"/>
    </row>
    <row r="10693" spans="11:11" ht="15" x14ac:dyDescent="0.25">
      <c r="K10693"/>
    </row>
    <row r="10694" spans="11:11" ht="15" x14ac:dyDescent="0.25">
      <c r="K10694"/>
    </row>
    <row r="10695" spans="11:11" ht="15" x14ac:dyDescent="0.25">
      <c r="K10695"/>
    </row>
    <row r="10696" spans="11:11" ht="15" x14ac:dyDescent="0.25">
      <c r="K10696"/>
    </row>
    <row r="10697" spans="11:11" ht="15" x14ac:dyDescent="0.25">
      <c r="K10697"/>
    </row>
    <row r="10698" spans="11:11" ht="15" x14ac:dyDescent="0.25">
      <c r="K10698"/>
    </row>
    <row r="10699" spans="11:11" ht="15" x14ac:dyDescent="0.25">
      <c r="K10699"/>
    </row>
    <row r="10700" spans="11:11" ht="15" x14ac:dyDescent="0.25">
      <c r="K10700"/>
    </row>
    <row r="10701" spans="11:11" ht="15" x14ac:dyDescent="0.25">
      <c r="K10701"/>
    </row>
    <row r="10702" spans="11:11" ht="15" x14ac:dyDescent="0.25">
      <c r="K10702"/>
    </row>
    <row r="10703" spans="11:11" ht="15" x14ac:dyDescent="0.25">
      <c r="K10703"/>
    </row>
    <row r="10704" spans="11:11" ht="15" x14ac:dyDescent="0.25">
      <c r="K10704"/>
    </row>
    <row r="10705" spans="11:11" ht="15" x14ac:dyDescent="0.25">
      <c r="K10705"/>
    </row>
    <row r="10706" spans="11:11" ht="15" x14ac:dyDescent="0.25">
      <c r="K10706"/>
    </row>
    <row r="10707" spans="11:11" ht="15" x14ac:dyDescent="0.25">
      <c r="K10707"/>
    </row>
    <row r="10708" spans="11:11" ht="15" x14ac:dyDescent="0.25">
      <c r="K10708"/>
    </row>
    <row r="10709" spans="11:11" ht="15" x14ac:dyDescent="0.25">
      <c r="K10709"/>
    </row>
    <row r="10710" spans="11:11" ht="15" x14ac:dyDescent="0.25">
      <c r="K10710"/>
    </row>
    <row r="10711" spans="11:11" ht="15" x14ac:dyDescent="0.25">
      <c r="K10711"/>
    </row>
    <row r="10712" spans="11:11" ht="15" x14ac:dyDescent="0.25">
      <c r="K10712"/>
    </row>
    <row r="10713" spans="11:11" ht="15" x14ac:dyDescent="0.25">
      <c r="K10713"/>
    </row>
    <row r="10714" spans="11:11" ht="15" x14ac:dyDescent="0.25">
      <c r="K10714"/>
    </row>
    <row r="10715" spans="11:11" ht="15" x14ac:dyDescent="0.25">
      <c r="K10715"/>
    </row>
    <row r="10716" spans="11:11" ht="15" x14ac:dyDescent="0.25">
      <c r="K10716"/>
    </row>
    <row r="10717" spans="11:11" ht="15" x14ac:dyDescent="0.25">
      <c r="K10717"/>
    </row>
    <row r="10718" spans="11:11" ht="15" x14ac:dyDescent="0.25">
      <c r="K10718"/>
    </row>
    <row r="10719" spans="11:11" ht="15" x14ac:dyDescent="0.25">
      <c r="K10719"/>
    </row>
    <row r="10720" spans="11:11" ht="15" x14ac:dyDescent="0.25">
      <c r="K10720"/>
    </row>
    <row r="10721" spans="11:11" ht="15" x14ac:dyDescent="0.25">
      <c r="K10721"/>
    </row>
    <row r="10722" spans="11:11" ht="15" x14ac:dyDescent="0.25">
      <c r="K10722"/>
    </row>
    <row r="10723" spans="11:11" ht="15" x14ac:dyDescent="0.25">
      <c r="K10723"/>
    </row>
    <row r="10724" spans="11:11" ht="15" x14ac:dyDescent="0.25">
      <c r="K10724"/>
    </row>
    <row r="10725" spans="11:11" ht="15" x14ac:dyDescent="0.25">
      <c r="K10725"/>
    </row>
    <row r="10726" spans="11:11" ht="15" x14ac:dyDescent="0.25">
      <c r="K10726"/>
    </row>
    <row r="10727" spans="11:11" ht="15" x14ac:dyDescent="0.25">
      <c r="K10727"/>
    </row>
    <row r="10728" spans="11:11" ht="15" x14ac:dyDescent="0.25">
      <c r="K10728"/>
    </row>
    <row r="10729" spans="11:11" ht="15" x14ac:dyDescent="0.25">
      <c r="K10729"/>
    </row>
    <row r="10730" spans="11:11" ht="15" x14ac:dyDescent="0.25">
      <c r="K10730"/>
    </row>
    <row r="10731" spans="11:11" ht="15" x14ac:dyDescent="0.25">
      <c r="K10731"/>
    </row>
    <row r="10732" spans="11:11" ht="15" x14ac:dyDescent="0.25">
      <c r="K10732"/>
    </row>
    <row r="10733" spans="11:11" ht="15" x14ac:dyDescent="0.25">
      <c r="K10733"/>
    </row>
    <row r="10734" spans="11:11" ht="15" x14ac:dyDescent="0.25">
      <c r="K10734"/>
    </row>
    <row r="10735" spans="11:11" ht="15" x14ac:dyDescent="0.25">
      <c r="K10735"/>
    </row>
    <row r="10736" spans="11:11" ht="15" x14ac:dyDescent="0.25">
      <c r="K10736"/>
    </row>
    <row r="10737" spans="11:11" ht="15" x14ac:dyDescent="0.25">
      <c r="K10737"/>
    </row>
    <row r="10738" spans="11:11" ht="15" x14ac:dyDescent="0.25">
      <c r="K10738"/>
    </row>
    <row r="10739" spans="11:11" ht="15" x14ac:dyDescent="0.25">
      <c r="K10739"/>
    </row>
    <row r="10740" spans="11:11" ht="15" x14ac:dyDescent="0.25">
      <c r="K10740"/>
    </row>
    <row r="10741" spans="11:11" ht="15" x14ac:dyDescent="0.25">
      <c r="K10741"/>
    </row>
    <row r="10742" spans="11:11" ht="15" x14ac:dyDescent="0.25">
      <c r="K10742"/>
    </row>
    <row r="10743" spans="11:11" ht="15" x14ac:dyDescent="0.25">
      <c r="K10743"/>
    </row>
    <row r="10744" spans="11:11" ht="15" x14ac:dyDescent="0.25">
      <c r="K10744"/>
    </row>
    <row r="10745" spans="11:11" ht="15" x14ac:dyDescent="0.25">
      <c r="K10745"/>
    </row>
    <row r="10746" spans="11:11" ht="15" x14ac:dyDescent="0.25">
      <c r="K10746"/>
    </row>
    <row r="10747" spans="11:11" ht="15" x14ac:dyDescent="0.25">
      <c r="K10747"/>
    </row>
    <row r="10748" spans="11:11" ht="15" x14ac:dyDescent="0.25">
      <c r="K10748"/>
    </row>
    <row r="10749" spans="11:11" ht="15" x14ac:dyDescent="0.25">
      <c r="K10749"/>
    </row>
    <row r="10750" spans="11:11" ht="15" x14ac:dyDescent="0.25">
      <c r="K10750"/>
    </row>
    <row r="10751" spans="11:11" ht="15" x14ac:dyDescent="0.25">
      <c r="K10751"/>
    </row>
    <row r="10752" spans="11:11" ht="15" x14ac:dyDescent="0.25">
      <c r="K10752"/>
    </row>
    <row r="10753" spans="11:11" ht="15" x14ac:dyDescent="0.25">
      <c r="K10753"/>
    </row>
    <row r="10754" spans="11:11" ht="15" x14ac:dyDescent="0.25">
      <c r="K10754"/>
    </row>
    <row r="10755" spans="11:11" ht="15" x14ac:dyDescent="0.25">
      <c r="K10755"/>
    </row>
    <row r="10756" spans="11:11" ht="15" x14ac:dyDescent="0.25">
      <c r="K10756"/>
    </row>
    <row r="10757" spans="11:11" ht="15" x14ac:dyDescent="0.25">
      <c r="K10757"/>
    </row>
    <row r="10758" spans="11:11" ht="15" x14ac:dyDescent="0.25">
      <c r="K10758"/>
    </row>
    <row r="10759" spans="11:11" ht="15" x14ac:dyDescent="0.25">
      <c r="K10759"/>
    </row>
    <row r="10760" spans="11:11" ht="15" x14ac:dyDescent="0.25">
      <c r="K10760"/>
    </row>
    <row r="10761" spans="11:11" ht="15" x14ac:dyDescent="0.25">
      <c r="K10761"/>
    </row>
    <row r="10762" spans="11:11" ht="15" x14ac:dyDescent="0.25">
      <c r="K10762"/>
    </row>
    <row r="10763" spans="11:11" ht="15" x14ac:dyDescent="0.25">
      <c r="K10763"/>
    </row>
    <row r="10764" spans="11:11" ht="15" x14ac:dyDescent="0.25">
      <c r="K10764"/>
    </row>
    <row r="10765" spans="11:11" ht="15" x14ac:dyDescent="0.25">
      <c r="K10765"/>
    </row>
    <row r="10766" spans="11:11" ht="15" x14ac:dyDescent="0.25">
      <c r="K10766"/>
    </row>
    <row r="10767" spans="11:11" ht="15" x14ac:dyDescent="0.25">
      <c r="K10767"/>
    </row>
    <row r="10768" spans="11:11" ht="15" x14ac:dyDescent="0.25">
      <c r="K10768"/>
    </row>
    <row r="10769" spans="11:11" ht="15" x14ac:dyDescent="0.25">
      <c r="K10769"/>
    </row>
    <row r="10770" spans="11:11" ht="15" x14ac:dyDescent="0.25">
      <c r="K10770"/>
    </row>
    <row r="10771" spans="11:11" ht="15" x14ac:dyDescent="0.25">
      <c r="K10771"/>
    </row>
    <row r="10772" spans="11:11" ht="15" x14ac:dyDescent="0.25">
      <c r="K10772"/>
    </row>
    <row r="10773" spans="11:11" ht="15" x14ac:dyDescent="0.25">
      <c r="K10773"/>
    </row>
    <row r="10774" spans="11:11" ht="15" x14ac:dyDescent="0.25">
      <c r="K10774"/>
    </row>
    <row r="10775" spans="11:11" ht="15" x14ac:dyDescent="0.25">
      <c r="K10775"/>
    </row>
    <row r="10776" spans="11:11" ht="15" x14ac:dyDescent="0.25">
      <c r="K10776"/>
    </row>
    <row r="10777" spans="11:11" ht="15" x14ac:dyDescent="0.25">
      <c r="K10777"/>
    </row>
    <row r="10778" spans="11:11" ht="15" x14ac:dyDescent="0.25">
      <c r="K10778"/>
    </row>
    <row r="10779" spans="11:11" ht="15" x14ac:dyDescent="0.25">
      <c r="K10779"/>
    </row>
    <row r="10780" spans="11:11" ht="15" x14ac:dyDescent="0.25">
      <c r="K10780"/>
    </row>
    <row r="10781" spans="11:11" ht="15" x14ac:dyDescent="0.25">
      <c r="K10781"/>
    </row>
    <row r="10782" spans="11:11" ht="15" x14ac:dyDescent="0.25">
      <c r="K10782"/>
    </row>
    <row r="10783" spans="11:11" ht="15" x14ac:dyDescent="0.25">
      <c r="K10783"/>
    </row>
    <row r="10784" spans="11:11" ht="15" x14ac:dyDescent="0.25">
      <c r="K10784"/>
    </row>
    <row r="10785" spans="11:11" ht="15" x14ac:dyDescent="0.25">
      <c r="K10785"/>
    </row>
    <row r="10786" spans="11:11" ht="15" x14ac:dyDescent="0.25">
      <c r="K10786"/>
    </row>
    <row r="10787" spans="11:11" ht="15" x14ac:dyDescent="0.25">
      <c r="K10787"/>
    </row>
    <row r="10788" spans="11:11" ht="15" x14ac:dyDescent="0.25">
      <c r="K10788"/>
    </row>
    <row r="10789" spans="11:11" ht="15" x14ac:dyDescent="0.25">
      <c r="K10789"/>
    </row>
    <row r="10790" spans="11:11" ht="15" x14ac:dyDescent="0.25">
      <c r="K10790"/>
    </row>
    <row r="10791" spans="11:11" ht="15" x14ac:dyDescent="0.25">
      <c r="K10791"/>
    </row>
    <row r="10792" spans="11:11" ht="15" x14ac:dyDescent="0.25">
      <c r="K10792"/>
    </row>
    <row r="10793" spans="11:11" ht="15" x14ac:dyDescent="0.25">
      <c r="K10793"/>
    </row>
    <row r="10794" spans="11:11" ht="15" x14ac:dyDescent="0.25">
      <c r="K10794"/>
    </row>
    <row r="10795" spans="11:11" ht="15" x14ac:dyDescent="0.25">
      <c r="K10795"/>
    </row>
    <row r="10796" spans="11:11" ht="15" x14ac:dyDescent="0.25">
      <c r="K10796"/>
    </row>
    <row r="10797" spans="11:11" ht="15" x14ac:dyDescent="0.25">
      <c r="K10797"/>
    </row>
    <row r="10798" spans="11:11" ht="15" x14ac:dyDescent="0.25">
      <c r="K10798"/>
    </row>
    <row r="10799" spans="11:11" ht="15" x14ac:dyDescent="0.25">
      <c r="K10799"/>
    </row>
    <row r="10800" spans="11:11" ht="15" x14ac:dyDescent="0.25">
      <c r="K10800"/>
    </row>
    <row r="10801" spans="11:11" ht="15" x14ac:dyDescent="0.25">
      <c r="K10801"/>
    </row>
    <row r="10802" spans="11:11" ht="15" x14ac:dyDescent="0.25">
      <c r="K10802"/>
    </row>
    <row r="10803" spans="11:11" ht="15" x14ac:dyDescent="0.25">
      <c r="K10803"/>
    </row>
    <row r="10804" spans="11:11" ht="15" x14ac:dyDescent="0.25">
      <c r="K10804"/>
    </row>
    <row r="10805" spans="11:11" ht="15" x14ac:dyDescent="0.25">
      <c r="K10805"/>
    </row>
    <row r="10806" spans="11:11" ht="15" x14ac:dyDescent="0.25">
      <c r="K10806"/>
    </row>
    <row r="10807" spans="11:11" ht="15" x14ac:dyDescent="0.25">
      <c r="K10807"/>
    </row>
    <row r="10808" spans="11:11" ht="15" x14ac:dyDescent="0.25">
      <c r="K10808"/>
    </row>
    <row r="10809" spans="11:11" ht="15" x14ac:dyDescent="0.25">
      <c r="K10809"/>
    </row>
    <row r="10810" spans="11:11" ht="15" x14ac:dyDescent="0.25">
      <c r="K10810"/>
    </row>
    <row r="10811" spans="11:11" ht="15" x14ac:dyDescent="0.25">
      <c r="K10811"/>
    </row>
    <row r="10812" spans="11:11" ht="15" x14ac:dyDescent="0.25">
      <c r="K10812"/>
    </row>
    <row r="10813" spans="11:11" ht="15" x14ac:dyDescent="0.25">
      <c r="K10813"/>
    </row>
    <row r="10814" spans="11:11" ht="15" x14ac:dyDescent="0.25">
      <c r="K10814"/>
    </row>
    <row r="10815" spans="11:11" ht="15" x14ac:dyDescent="0.25">
      <c r="K10815"/>
    </row>
    <row r="10816" spans="11:11" ht="15" x14ac:dyDescent="0.25">
      <c r="K10816"/>
    </row>
    <row r="10817" spans="11:11" ht="15" x14ac:dyDescent="0.25">
      <c r="K10817"/>
    </row>
    <row r="10818" spans="11:11" ht="15" x14ac:dyDescent="0.25">
      <c r="K10818"/>
    </row>
    <row r="10819" spans="11:11" ht="15" x14ac:dyDescent="0.25">
      <c r="K10819"/>
    </row>
    <row r="10820" spans="11:11" ht="15" x14ac:dyDescent="0.25">
      <c r="K10820"/>
    </row>
    <row r="10821" spans="11:11" ht="15" x14ac:dyDescent="0.25">
      <c r="K10821"/>
    </row>
    <row r="10822" spans="11:11" ht="15" x14ac:dyDescent="0.25">
      <c r="K10822"/>
    </row>
    <row r="10823" spans="11:11" ht="15" x14ac:dyDescent="0.25">
      <c r="K10823"/>
    </row>
    <row r="10824" spans="11:11" ht="15" x14ac:dyDescent="0.25">
      <c r="K10824"/>
    </row>
    <row r="10825" spans="11:11" ht="15" x14ac:dyDescent="0.25">
      <c r="K10825"/>
    </row>
    <row r="10826" spans="11:11" ht="15" x14ac:dyDescent="0.25">
      <c r="K10826"/>
    </row>
    <row r="10827" spans="11:11" ht="15" x14ac:dyDescent="0.25">
      <c r="K10827"/>
    </row>
    <row r="10828" spans="11:11" ht="15" x14ac:dyDescent="0.25">
      <c r="K10828"/>
    </row>
    <row r="10829" spans="11:11" ht="15" x14ac:dyDescent="0.25">
      <c r="K10829"/>
    </row>
    <row r="10830" spans="11:11" ht="15" x14ac:dyDescent="0.25">
      <c r="K10830"/>
    </row>
    <row r="10831" spans="11:11" ht="15" x14ac:dyDescent="0.25">
      <c r="K10831"/>
    </row>
    <row r="10832" spans="11:11" ht="15" x14ac:dyDescent="0.25">
      <c r="K10832"/>
    </row>
    <row r="10833" spans="11:11" ht="15" x14ac:dyDescent="0.25">
      <c r="K10833"/>
    </row>
    <row r="10834" spans="11:11" ht="15" x14ac:dyDescent="0.25">
      <c r="K10834"/>
    </row>
    <row r="10835" spans="11:11" ht="15" x14ac:dyDescent="0.25">
      <c r="K10835"/>
    </row>
    <row r="10836" spans="11:11" ht="15" x14ac:dyDescent="0.25">
      <c r="K10836"/>
    </row>
    <row r="10837" spans="11:11" ht="15" x14ac:dyDescent="0.25">
      <c r="K10837"/>
    </row>
    <row r="10838" spans="11:11" ht="15" x14ac:dyDescent="0.25">
      <c r="K10838"/>
    </row>
    <row r="10839" spans="11:11" ht="15" x14ac:dyDescent="0.25">
      <c r="K10839"/>
    </row>
    <row r="10840" spans="11:11" ht="15" x14ac:dyDescent="0.25">
      <c r="K10840"/>
    </row>
    <row r="10841" spans="11:11" ht="15" x14ac:dyDescent="0.25">
      <c r="K10841"/>
    </row>
    <row r="10842" spans="11:11" ht="15" x14ac:dyDescent="0.25">
      <c r="K10842"/>
    </row>
    <row r="10843" spans="11:11" ht="15" x14ac:dyDescent="0.25">
      <c r="K10843"/>
    </row>
    <row r="10844" spans="11:11" ht="15" x14ac:dyDescent="0.25">
      <c r="K10844"/>
    </row>
    <row r="10845" spans="11:11" ht="15" x14ac:dyDescent="0.25">
      <c r="K10845"/>
    </row>
    <row r="10846" spans="11:11" ht="15" x14ac:dyDescent="0.25">
      <c r="K10846"/>
    </row>
    <row r="10847" spans="11:11" ht="15" x14ac:dyDescent="0.25">
      <c r="K10847"/>
    </row>
    <row r="10848" spans="11:11" ht="15" x14ac:dyDescent="0.25">
      <c r="K10848"/>
    </row>
    <row r="10849" spans="11:11" ht="15" x14ac:dyDescent="0.25">
      <c r="K10849"/>
    </row>
    <row r="10850" spans="11:11" ht="15" x14ac:dyDescent="0.25">
      <c r="K10850"/>
    </row>
    <row r="10851" spans="11:11" ht="15" x14ac:dyDescent="0.25">
      <c r="K10851"/>
    </row>
    <row r="10852" spans="11:11" ht="15" x14ac:dyDescent="0.25">
      <c r="K10852"/>
    </row>
    <row r="10853" spans="11:11" ht="15" x14ac:dyDescent="0.25">
      <c r="K10853"/>
    </row>
    <row r="10854" spans="11:11" ht="15" x14ac:dyDescent="0.25">
      <c r="K10854"/>
    </row>
    <row r="10855" spans="11:11" ht="15" x14ac:dyDescent="0.25">
      <c r="K10855"/>
    </row>
    <row r="10856" spans="11:11" ht="15" x14ac:dyDescent="0.25">
      <c r="K10856"/>
    </row>
    <row r="10857" spans="11:11" ht="15" x14ac:dyDescent="0.25">
      <c r="K10857"/>
    </row>
    <row r="10858" spans="11:11" ht="15" x14ac:dyDescent="0.25">
      <c r="K10858"/>
    </row>
    <row r="10859" spans="11:11" ht="15" x14ac:dyDescent="0.25">
      <c r="K10859"/>
    </row>
    <row r="10860" spans="11:11" ht="15" x14ac:dyDescent="0.25">
      <c r="K10860"/>
    </row>
    <row r="10861" spans="11:11" ht="15" x14ac:dyDescent="0.25">
      <c r="K10861"/>
    </row>
    <row r="10862" spans="11:11" ht="15" x14ac:dyDescent="0.25">
      <c r="K10862"/>
    </row>
    <row r="10863" spans="11:11" ht="15" x14ac:dyDescent="0.25">
      <c r="K10863"/>
    </row>
    <row r="10864" spans="11:11" ht="15" x14ac:dyDescent="0.25">
      <c r="K10864"/>
    </row>
    <row r="10865" spans="11:11" ht="15" x14ac:dyDescent="0.25">
      <c r="K10865"/>
    </row>
    <row r="10866" spans="11:11" ht="15" x14ac:dyDescent="0.25">
      <c r="K10866"/>
    </row>
    <row r="10867" spans="11:11" ht="15" x14ac:dyDescent="0.25">
      <c r="K10867"/>
    </row>
    <row r="10868" spans="11:11" ht="15" x14ac:dyDescent="0.25">
      <c r="K10868"/>
    </row>
    <row r="10869" spans="11:11" ht="15" x14ac:dyDescent="0.25">
      <c r="K10869"/>
    </row>
    <row r="10870" spans="11:11" ht="15" x14ac:dyDescent="0.25">
      <c r="K10870"/>
    </row>
    <row r="10871" spans="11:11" ht="15" x14ac:dyDescent="0.25">
      <c r="K10871"/>
    </row>
    <row r="10872" spans="11:11" ht="15" x14ac:dyDescent="0.25">
      <c r="K10872"/>
    </row>
    <row r="10873" spans="11:11" ht="15" x14ac:dyDescent="0.25">
      <c r="K10873"/>
    </row>
    <row r="10874" spans="11:11" ht="15" x14ac:dyDescent="0.25">
      <c r="K10874"/>
    </row>
    <row r="10875" spans="11:11" ht="15" x14ac:dyDescent="0.25">
      <c r="K10875"/>
    </row>
    <row r="10876" spans="11:11" ht="15" x14ac:dyDescent="0.25">
      <c r="K10876"/>
    </row>
    <row r="10877" spans="11:11" ht="15" x14ac:dyDescent="0.25">
      <c r="K10877"/>
    </row>
    <row r="10878" spans="11:11" ht="15" x14ac:dyDescent="0.25">
      <c r="K10878"/>
    </row>
    <row r="10879" spans="11:11" ht="15" x14ac:dyDescent="0.25">
      <c r="K10879"/>
    </row>
    <row r="10880" spans="11:11" ht="15" x14ac:dyDescent="0.25">
      <c r="K10880"/>
    </row>
    <row r="10881" spans="11:11" ht="15" x14ac:dyDescent="0.25">
      <c r="K10881"/>
    </row>
    <row r="10882" spans="11:11" ht="15" x14ac:dyDescent="0.25">
      <c r="K10882"/>
    </row>
    <row r="10883" spans="11:11" ht="15" x14ac:dyDescent="0.25">
      <c r="K10883"/>
    </row>
    <row r="10884" spans="11:11" ht="15" x14ac:dyDescent="0.25">
      <c r="K10884"/>
    </row>
    <row r="10885" spans="11:11" ht="15" x14ac:dyDescent="0.25">
      <c r="K10885"/>
    </row>
    <row r="10886" spans="11:11" ht="15" x14ac:dyDescent="0.25">
      <c r="K10886"/>
    </row>
    <row r="10887" spans="11:11" ht="15" x14ac:dyDescent="0.25">
      <c r="K10887"/>
    </row>
    <row r="10888" spans="11:11" ht="15" x14ac:dyDescent="0.25">
      <c r="K10888"/>
    </row>
    <row r="10889" spans="11:11" ht="15" x14ac:dyDescent="0.25">
      <c r="K10889"/>
    </row>
    <row r="10890" spans="11:11" ht="15" x14ac:dyDescent="0.25">
      <c r="K10890"/>
    </row>
    <row r="10891" spans="11:11" ht="15" x14ac:dyDescent="0.25">
      <c r="K10891"/>
    </row>
    <row r="10892" spans="11:11" ht="15" x14ac:dyDescent="0.25">
      <c r="K10892"/>
    </row>
    <row r="10893" spans="11:11" ht="15" x14ac:dyDescent="0.25">
      <c r="K10893"/>
    </row>
    <row r="10894" spans="11:11" ht="15" x14ac:dyDescent="0.25">
      <c r="K10894"/>
    </row>
    <row r="10895" spans="11:11" ht="15" x14ac:dyDescent="0.25">
      <c r="K10895"/>
    </row>
    <row r="10896" spans="11:11" ht="15" x14ac:dyDescent="0.25">
      <c r="K10896"/>
    </row>
    <row r="10897" spans="11:11" ht="15" x14ac:dyDescent="0.25">
      <c r="K10897"/>
    </row>
    <row r="10898" spans="11:11" ht="15" x14ac:dyDescent="0.25">
      <c r="K10898"/>
    </row>
    <row r="10899" spans="11:11" ht="15" x14ac:dyDescent="0.25">
      <c r="K10899"/>
    </row>
    <row r="10900" spans="11:11" ht="15" x14ac:dyDescent="0.25">
      <c r="K10900"/>
    </row>
    <row r="10901" spans="11:11" ht="15" x14ac:dyDescent="0.25">
      <c r="K10901"/>
    </row>
    <row r="10902" spans="11:11" ht="15" x14ac:dyDescent="0.25">
      <c r="K10902"/>
    </row>
    <row r="10903" spans="11:11" ht="15" x14ac:dyDescent="0.25">
      <c r="K10903"/>
    </row>
    <row r="10904" spans="11:11" ht="15" x14ac:dyDescent="0.25">
      <c r="K10904"/>
    </row>
    <row r="10905" spans="11:11" ht="15" x14ac:dyDescent="0.25">
      <c r="K10905"/>
    </row>
    <row r="10906" spans="11:11" ht="15" x14ac:dyDescent="0.25">
      <c r="K10906"/>
    </row>
    <row r="10907" spans="11:11" ht="15" x14ac:dyDescent="0.25">
      <c r="K10907"/>
    </row>
    <row r="10908" spans="11:11" ht="15" x14ac:dyDescent="0.25">
      <c r="K10908"/>
    </row>
    <row r="10909" spans="11:11" ht="15" x14ac:dyDescent="0.25">
      <c r="K10909"/>
    </row>
    <row r="10910" spans="11:11" ht="15" x14ac:dyDescent="0.25">
      <c r="K10910"/>
    </row>
    <row r="10911" spans="11:11" ht="15" x14ac:dyDescent="0.25">
      <c r="K10911"/>
    </row>
    <row r="10912" spans="11:11" ht="15" x14ac:dyDescent="0.25">
      <c r="K10912"/>
    </row>
    <row r="10913" spans="11:11" ht="15" x14ac:dyDescent="0.25">
      <c r="K10913"/>
    </row>
    <row r="10914" spans="11:11" ht="15" x14ac:dyDescent="0.25">
      <c r="K10914"/>
    </row>
    <row r="10915" spans="11:11" ht="15" x14ac:dyDescent="0.25">
      <c r="K10915"/>
    </row>
    <row r="10916" spans="11:11" ht="15" x14ac:dyDescent="0.25">
      <c r="K10916"/>
    </row>
    <row r="10917" spans="11:11" ht="15" x14ac:dyDescent="0.25">
      <c r="K10917"/>
    </row>
    <row r="10918" spans="11:11" ht="15" x14ac:dyDescent="0.25">
      <c r="K10918"/>
    </row>
    <row r="10919" spans="11:11" ht="15" x14ac:dyDescent="0.25">
      <c r="K10919"/>
    </row>
    <row r="10920" spans="11:11" ht="15" x14ac:dyDescent="0.25">
      <c r="K10920"/>
    </row>
    <row r="10921" spans="11:11" ht="15" x14ac:dyDescent="0.25">
      <c r="K10921"/>
    </row>
    <row r="10922" spans="11:11" ht="15" x14ac:dyDescent="0.25">
      <c r="K10922"/>
    </row>
    <row r="10923" spans="11:11" ht="15" x14ac:dyDescent="0.25">
      <c r="K10923"/>
    </row>
    <row r="10924" spans="11:11" ht="15" x14ac:dyDescent="0.25">
      <c r="K10924"/>
    </row>
    <row r="10925" spans="11:11" ht="15" x14ac:dyDescent="0.25">
      <c r="K10925"/>
    </row>
    <row r="10926" spans="11:11" ht="15" x14ac:dyDescent="0.25">
      <c r="K10926"/>
    </row>
    <row r="10927" spans="11:11" ht="15" x14ac:dyDescent="0.25">
      <c r="K10927"/>
    </row>
    <row r="10928" spans="11:11" ht="15" x14ac:dyDescent="0.25">
      <c r="K10928"/>
    </row>
    <row r="10929" spans="11:11" ht="15" x14ac:dyDescent="0.25">
      <c r="K10929"/>
    </row>
    <row r="10930" spans="11:11" ht="15" x14ac:dyDescent="0.25">
      <c r="K10930"/>
    </row>
    <row r="10931" spans="11:11" ht="15" x14ac:dyDescent="0.25">
      <c r="K10931"/>
    </row>
    <row r="10932" spans="11:11" ht="15" x14ac:dyDescent="0.25">
      <c r="K10932"/>
    </row>
    <row r="10933" spans="11:11" ht="15" x14ac:dyDescent="0.25">
      <c r="K10933"/>
    </row>
    <row r="10934" spans="11:11" ht="15" x14ac:dyDescent="0.25">
      <c r="K10934"/>
    </row>
    <row r="10935" spans="11:11" ht="15" x14ac:dyDescent="0.25">
      <c r="K10935"/>
    </row>
    <row r="10936" spans="11:11" ht="15" x14ac:dyDescent="0.25">
      <c r="K10936"/>
    </row>
    <row r="10937" spans="11:11" ht="15" x14ac:dyDescent="0.25">
      <c r="K10937"/>
    </row>
    <row r="10938" spans="11:11" ht="15" x14ac:dyDescent="0.25">
      <c r="K10938"/>
    </row>
    <row r="10939" spans="11:11" ht="15" x14ac:dyDescent="0.25">
      <c r="K10939"/>
    </row>
    <row r="10940" spans="11:11" ht="15" x14ac:dyDescent="0.25">
      <c r="K10940"/>
    </row>
    <row r="10941" spans="11:11" ht="15" x14ac:dyDescent="0.25">
      <c r="K10941"/>
    </row>
    <row r="10942" spans="11:11" ht="15" x14ac:dyDescent="0.25">
      <c r="K10942"/>
    </row>
    <row r="10943" spans="11:11" ht="15" x14ac:dyDescent="0.25">
      <c r="K10943"/>
    </row>
    <row r="10944" spans="11:11" ht="15" x14ac:dyDescent="0.25">
      <c r="K10944"/>
    </row>
    <row r="10945" spans="11:11" ht="15" x14ac:dyDescent="0.25">
      <c r="K10945"/>
    </row>
    <row r="10946" spans="11:11" ht="15" x14ac:dyDescent="0.25">
      <c r="K10946"/>
    </row>
    <row r="10947" spans="11:11" ht="15" x14ac:dyDescent="0.25">
      <c r="K10947"/>
    </row>
    <row r="10948" spans="11:11" ht="15" x14ac:dyDescent="0.25">
      <c r="K10948"/>
    </row>
    <row r="10949" spans="11:11" ht="15" x14ac:dyDescent="0.25">
      <c r="K10949"/>
    </row>
    <row r="10950" spans="11:11" ht="15" x14ac:dyDescent="0.25">
      <c r="K10950"/>
    </row>
    <row r="10951" spans="11:11" ht="15" x14ac:dyDescent="0.25">
      <c r="K10951"/>
    </row>
    <row r="10952" spans="11:11" ht="15" x14ac:dyDescent="0.25">
      <c r="K10952"/>
    </row>
    <row r="10953" spans="11:11" ht="15" x14ac:dyDescent="0.25">
      <c r="K10953"/>
    </row>
    <row r="10954" spans="11:11" ht="15" x14ac:dyDescent="0.25">
      <c r="K10954"/>
    </row>
    <row r="10955" spans="11:11" ht="15" x14ac:dyDescent="0.25">
      <c r="K10955"/>
    </row>
    <row r="10956" spans="11:11" ht="15" x14ac:dyDescent="0.25">
      <c r="K10956"/>
    </row>
    <row r="10957" spans="11:11" ht="15" x14ac:dyDescent="0.25">
      <c r="K10957"/>
    </row>
    <row r="10958" spans="11:11" ht="15" x14ac:dyDescent="0.25">
      <c r="K10958"/>
    </row>
    <row r="10959" spans="11:11" ht="15" x14ac:dyDescent="0.25">
      <c r="K10959"/>
    </row>
    <row r="10960" spans="11:11" ht="15" x14ac:dyDescent="0.25">
      <c r="K10960"/>
    </row>
    <row r="10961" spans="11:11" ht="15" x14ac:dyDescent="0.25">
      <c r="K10961"/>
    </row>
    <row r="10962" spans="11:11" ht="15" x14ac:dyDescent="0.25">
      <c r="K10962"/>
    </row>
    <row r="10963" spans="11:11" ht="15" x14ac:dyDescent="0.25">
      <c r="K10963"/>
    </row>
    <row r="10964" spans="11:11" ht="15" x14ac:dyDescent="0.25">
      <c r="K10964"/>
    </row>
    <row r="10965" spans="11:11" ht="15" x14ac:dyDescent="0.25">
      <c r="K10965"/>
    </row>
    <row r="10966" spans="11:11" ht="15" x14ac:dyDescent="0.25">
      <c r="K10966"/>
    </row>
    <row r="10967" spans="11:11" ht="15" x14ac:dyDescent="0.25">
      <c r="K10967"/>
    </row>
    <row r="10968" spans="11:11" ht="15" x14ac:dyDescent="0.25">
      <c r="K10968"/>
    </row>
    <row r="10969" spans="11:11" ht="15" x14ac:dyDescent="0.25">
      <c r="K10969"/>
    </row>
    <row r="10970" spans="11:11" ht="15" x14ac:dyDescent="0.25">
      <c r="K10970"/>
    </row>
    <row r="10971" spans="11:11" ht="15" x14ac:dyDescent="0.25">
      <c r="K10971"/>
    </row>
    <row r="10972" spans="11:11" ht="15" x14ac:dyDescent="0.25">
      <c r="K10972"/>
    </row>
    <row r="10973" spans="11:11" ht="15" x14ac:dyDescent="0.25">
      <c r="K10973"/>
    </row>
    <row r="10974" spans="11:11" ht="15" x14ac:dyDescent="0.25">
      <c r="K10974"/>
    </row>
    <row r="10975" spans="11:11" ht="15" x14ac:dyDescent="0.25">
      <c r="K10975"/>
    </row>
    <row r="10976" spans="11:11" ht="15" x14ac:dyDescent="0.25">
      <c r="K10976"/>
    </row>
    <row r="10977" spans="11:11" ht="15" x14ac:dyDescent="0.25">
      <c r="K10977"/>
    </row>
    <row r="10978" spans="11:11" ht="15" x14ac:dyDescent="0.25">
      <c r="K10978"/>
    </row>
    <row r="10979" spans="11:11" ht="15" x14ac:dyDescent="0.25">
      <c r="K10979"/>
    </row>
    <row r="10980" spans="11:11" ht="15" x14ac:dyDescent="0.25">
      <c r="K10980"/>
    </row>
    <row r="10981" spans="11:11" ht="15" x14ac:dyDescent="0.25">
      <c r="K10981"/>
    </row>
    <row r="10982" spans="11:11" ht="15" x14ac:dyDescent="0.25">
      <c r="K10982"/>
    </row>
    <row r="10983" spans="11:11" ht="15" x14ac:dyDescent="0.25">
      <c r="K10983"/>
    </row>
    <row r="10984" spans="11:11" ht="15" x14ac:dyDescent="0.25">
      <c r="K10984"/>
    </row>
    <row r="10985" spans="11:11" ht="15" x14ac:dyDescent="0.25">
      <c r="K10985"/>
    </row>
    <row r="10986" spans="11:11" ht="15" x14ac:dyDescent="0.25">
      <c r="K10986"/>
    </row>
    <row r="10987" spans="11:11" ht="15" x14ac:dyDescent="0.25">
      <c r="K10987"/>
    </row>
    <row r="10988" spans="11:11" ht="15" x14ac:dyDescent="0.25">
      <c r="K10988"/>
    </row>
    <row r="10989" spans="11:11" ht="15" x14ac:dyDescent="0.25">
      <c r="K10989"/>
    </row>
    <row r="10990" spans="11:11" ht="15" x14ac:dyDescent="0.25">
      <c r="K10990"/>
    </row>
    <row r="10991" spans="11:11" ht="15" x14ac:dyDescent="0.25">
      <c r="K10991"/>
    </row>
    <row r="10992" spans="11:11" ht="15" x14ac:dyDescent="0.25">
      <c r="K10992"/>
    </row>
    <row r="10993" spans="11:11" ht="15" x14ac:dyDescent="0.25">
      <c r="K10993"/>
    </row>
    <row r="10994" spans="11:11" ht="15" x14ac:dyDescent="0.25">
      <c r="K10994"/>
    </row>
    <row r="10995" spans="11:11" ht="15" x14ac:dyDescent="0.25">
      <c r="K10995"/>
    </row>
    <row r="10996" spans="11:11" ht="15" x14ac:dyDescent="0.25">
      <c r="K10996"/>
    </row>
    <row r="10997" spans="11:11" ht="15" x14ac:dyDescent="0.25">
      <c r="K10997"/>
    </row>
    <row r="10998" spans="11:11" ht="15" x14ac:dyDescent="0.25">
      <c r="K10998"/>
    </row>
    <row r="10999" spans="11:11" ht="15" x14ac:dyDescent="0.25">
      <c r="K10999"/>
    </row>
    <row r="11000" spans="11:11" ht="15" x14ac:dyDescent="0.25">
      <c r="K11000"/>
    </row>
    <row r="11001" spans="11:11" ht="15" x14ac:dyDescent="0.25">
      <c r="K11001"/>
    </row>
    <row r="11002" spans="11:11" ht="15" x14ac:dyDescent="0.25">
      <c r="K11002"/>
    </row>
    <row r="11003" spans="11:11" ht="15" x14ac:dyDescent="0.25">
      <c r="K11003"/>
    </row>
    <row r="11004" spans="11:11" ht="15" x14ac:dyDescent="0.25">
      <c r="K11004"/>
    </row>
    <row r="11005" spans="11:11" ht="15" x14ac:dyDescent="0.25">
      <c r="K11005"/>
    </row>
    <row r="11006" spans="11:11" ht="15" x14ac:dyDescent="0.25">
      <c r="K11006"/>
    </row>
    <row r="11007" spans="11:11" ht="15" x14ac:dyDescent="0.25">
      <c r="K11007"/>
    </row>
    <row r="11008" spans="11:11" ht="15" x14ac:dyDescent="0.25">
      <c r="K11008"/>
    </row>
    <row r="11009" spans="11:11" ht="15" x14ac:dyDescent="0.25">
      <c r="K11009"/>
    </row>
    <row r="11010" spans="11:11" ht="15" x14ac:dyDescent="0.25">
      <c r="K11010"/>
    </row>
    <row r="11011" spans="11:11" ht="15" x14ac:dyDescent="0.25">
      <c r="K11011"/>
    </row>
    <row r="11012" spans="11:11" ht="15" x14ac:dyDescent="0.25">
      <c r="K11012"/>
    </row>
    <row r="11013" spans="11:11" ht="15" x14ac:dyDescent="0.25">
      <c r="K11013"/>
    </row>
    <row r="11014" spans="11:11" ht="15" x14ac:dyDescent="0.25">
      <c r="K11014"/>
    </row>
    <row r="11015" spans="11:11" ht="15" x14ac:dyDescent="0.25">
      <c r="K11015"/>
    </row>
    <row r="11016" spans="11:11" ht="15" x14ac:dyDescent="0.25">
      <c r="K11016"/>
    </row>
    <row r="11017" spans="11:11" ht="15" x14ac:dyDescent="0.25">
      <c r="K11017"/>
    </row>
    <row r="11018" spans="11:11" ht="15" x14ac:dyDescent="0.25">
      <c r="K11018"/>
    </row>
    <row r="11019" spans="11:11" ht="15" x14ac:dyDescent="0.25">
      <c r="K11019"/>
    </row>
    <row r="11020" spans="11:11" ht="15" x14ac:dyDescent="0.25">
      <c r="K11020"/>
    </row>
    <row r="11021" spans="11:11" ht="15" x14ac:dyDescent="0.25">
      <c r="K11021"/>
    </row>
    <row r="11022" spans="11:11" ht="15" x14ac:dyDescent="0.25">
      <c r="K11022"/>
    </row>
    <row r="11023" spans="11:11" ht="15" x14ac:dyDescent="0.25">
      <c r="K11023"/>
    </row>
    <row r="11024" spans="11:11" ht="15" x14ac:dyDescent="0.25">
      <c r="K11024"/>
    </row>
    <row r="11025" spans="11:11" ht="15" x14ac:dyDescent="0.25">
      <c r="K11025"/>
    </row>
    <row r="11026" spans="11:11" ht="15" x14ac:dyDescent="0.25">
      <c r="K11026"/>
    </row>
    <row r="11027" spans="11:11" ht="15" x14ac:dyDescent="0.25">
      <c r="K11027"/>
    </row>
    <row r="11028" spans="11:11" ht="15" x14ac:dyDescent="0.25">
      <c r="K11028"/>
    </row>
    <row r="11029" spans="11:11" ht="15" x14ac:dyDescent="0.25">
      <c r="K11029"/>
    </row>
    <row r="11030" spans="11:11" ht="15" x14ac:dyDescent="0.25">
      <c r="K11030"/>
    </row>
    <row r="11031" spans="11:11" ht="15" x14ac:dyDescent="0.25">
      <c r="K11031"/>
    </row>
    <row r="11032" spans="11:11" ht="15" x14ac:dyDescent="0.25">
      <c r="K11032"/>
    </row>
    <row r="11033" spans="11:11" ht="15" x14ac:dyDescent="0.25">
      <c r="K11033"/>
    </row>
    <row r="11034" spans="11:11" ht="15" x14ac:dyDescent="0.25">
      <c r="K11034"/>
    </row>
    <row r="11035" spans="11:11" ht="15" x14ac:dyDescent="0.25">
      <c r="K11035"/>
    </row>
    <row r="11036" spans="11:11" ht="15" x14ac:dyDescent="0.25">
      <c r="K11036"/>
    </row>
    <row r="11037" spans="11:11" ht="15" x14ac:dyDescent="0.25">
      <c r="K11037"/>
    </row>
    <row r="11038" spans="11:11" ht="15" x14ac:dyDescent="0.25">
      <c r="K11038"/>
    </row>
    <row r="11039" spans="11:11" ht="15" x14ac:dyDescent="0.25">
      <c r="K11039"/>
    </row>
    <row r="11040" spans="11:11" ht="15" x14ac:dyDescent="0.25">
      <c r="K11040"/>
    </row>
    <row r="11041" spans="11:11" ht="15" x14ac:dyDescent="0.25">
      <c r="K11041"/>
    </row>
    <row r="11042" spans="11:11" ht="15" x14ac:dyDescent="0.25">
      <c r="K11042"/>
    </row>
    <row r="11043" spans="11:11" ht="15" x14ac:dyDescent="0.25">
      <c r="K11043"/>
    </row>
    <row r="11044" spans="11:11" ht="15" x14ac:dyDescent="0.25">
      <c r="K11044"/>
    </row>
    <row r="11045" spans="11:11" ht="15" x14ac:dyDescent="0.25">
      <c r="K11045"/>
    </row>
    <row r="11046" spans="11:11" ht="15" x14ac:dyDescent="0.25">
      <c r="K11046"/>
    </row>
    <row r="11047" spans="11:11" ht="15" x14ac:dyDescent="0.25">
      <c r="K11047"/>
    </row>
    <row r="11048" spans="11:11" ht="15" x14ac:dyDescent="0.25">
      <c r="K11048"/>
    </row>
    <row r="11049" spans="11:11" ht="15" x14ac:dyDescent="0.25">
      <c r="K11049"/>
    </row>
    <row r="11050" spans="11:11" ht="15" x14ac:dyDescent="0.25">
      <c r="K11050"/>
    </row>
    <row r="11051" spans="11:11" ht="15" x14ac:dyDescent="0.25">
      <c r="K11051"/>
    </row>
    <row r="11052" spans="11:11" ht="15" x14ac:dyDescent="0.25">
      <c r="K11052"/>
    </row>
    <row r="11053" spans="11:11" ht="15" x14ac:dyDescent="0.25">
      <c r="K11053"/>
    </row>
    <row r="11054" spans="11:11" ht="15" x14ac:dyDescent="0.25">
      <c r="K11054"/>
    </row>
    <row r="11055" spans="11:11" ht="15" x14ac:dyDescent="0.25">
      <c r="K11055"/>
    </row>
    <row r="11056" spans="11:11" ht="15" x14ac:dyDescent="0.25">
      <c r="K11056"/>
    </row>
    <row r="11057" spans="11:11" ht="15" x14ac:dyDescent="0.25">
      <c r="K11057"/>
    </row>
    <row r="11058" spans="11:11" ht="15" x14ac:dyDescent="0.25">
      <c r="K11058"/>
    </row>
    <row r="11059" spans="11:11" ht="15" x14ac:dyDescent="0.25">
      <c r="K11059"/>
    </row>
    <row r="11060" spans="11:11" ht="15" x14ac:dyDescent="0.25">
      <c r="K11060"/>
    </row>
    <row r="11061" spans="11:11" ht="15" x14ac:dyDescent="0.25">
      <c r="K11061"/>
    </row>
    <row r="11062" spans="11:11" ht="15" x14ac:dyDescent="0.25">
      <c r="K11062"/>
    </row>
    <row r="11063" spans="11:11" ht="15" x14ac:dyDescent="0.25">
      <c r="K11063"/>
    </row>
    <row r="11064" spans="11:11" ht="15" x14ac:dyDescent="0.25">
      <c r="K11064"/>
    </row>
    <row r="11065" spans="11:11" ht="15" x14ac:dyDescent="0.25">
      <c r="K11065"/>
    </row>
    <row r="11066" spans="11:11" ht="15" x14ac:dyDescent="0.25">
      <c r="K11066"/>
    </row>
    <row r="11067" spans="11:11" ht="15" x14ac:dyDescent="0.25">
      <c r="K11067"/>
    </row>
    <row r="11068" spans="11:11" ht="15" x14ac:dyDescent="0.25">
      <c r="K11068"/>
    </row>
    <row r="11069" spans="11:11" ht="15" x14ac:dyDescent="0.25">
      <c r="K11069"/>
    </row>
    <row r="11070" spans="11:11" ht="15" x14ac:dyDescent="0.25">
      <c r="K11070"/>
    </row>
    <row r="11071" spans="11:11" ht="15" x14ac:dyDescent="0.25">
      <c r="K11071"/>
    </row>
    <row r="11072" spans="11:11" ht="15" x14ac:dyDescent="0.25">
      <c r="K11072"/>
    </row>
    <row r="11073" spans="11:11" ht="15" x14ac:dyDescent="0.25">
      <c r="K11073"/>
    </row>
    <row r="11074" spans="11:11" ht="15" x14ac:dyDescent="0.25">
      <c r="K11074"/>
    </row>
    <row r="11075" spans="11:11" ht="15" x14ac:dyDescent="0.25">
      <c r="K11075"/>
    </row>
    <row r="11076" spans="11:11" ht="15" x14ac:dyDescent="0.25">
      <c r="K11076"/>
    </row>
    <row r="11077" spans="11:11" ht="15" x14ac:dyDescent="0.25">
      <c r="K11077"/>
    </row>
    <row r="11078" spans="11:11" ht="15" x14ac:dyDescent="0.25">
      <c r="K11078"/>
    </row>
    <row r="11079" spans="11:11" ht="15" x14ac:dyDescent="0.25">
      <c r="K11079"/>
    </row>
    <row r="11080" spans="11:11" ht="15" x14ac:dyDescent="0.25">
      <c r="K11080"/>
    </row>
    <row r="11081" spans="11:11" ht="15" x14ac:dyDescent="0.25">
      <c r="K11081"/>
    </row>
    <row r="11082" spans="11:11" ht="15" x14ac:dyDescent="0.25">
      <c r="K11082"/>
    </row>
    <row r="11083" spans="11:11" ht="15" x14ac:dyDescent="0.25">
      <c r="K11083"/>
    </row>
    <row r="11084" spans="11:11" ht="15" x14ac:dyDescent="0.25">
      <c r="K11084"/>
    </row>
    <row r="11085" spans="11:11" ht="15" x14ac:dyDescent="0.25">
      <c r="K11085"/>
    </row>
    <row r="11086" spans="11:11" ht="15" x14ac:dyDescent="0.25">
      <c r="K11086"/>
    </row>
    <row r="11087" spans="11:11" ht="15" x14ac:dyDescent="0.25">
      <c r="K11087"/>
    </row>
    <row r="11088" spans="11:11" ht="15" x14ac:dyDescent="0.25">
      <c r="K11088"/>
    </row>
    <row r="11089" spans="11:11" ht="15" x14ac:dyDescent="0.25">
      <c r="K11089"/>
    </row>
    <row r="11090" spans="11:11" ht="15" x14ac:dyDescent="0.25">
      <c r="K11090"/>
    </row>
    <row r="11091" spans="11:11" ht="15" x14ac:dyDescent="0.25">
      <c r="K11091"/>
    </row>
    <row r="11092" spans="11:11" ht="15" x14ac:dyDescent="0.25">
      <c r="K11092"/>
    </row>
    <row r="11093" spans="11:11" ht="15" x14ac:dyDescent="0.25">
      <c r="K11093"/>
    </row>
    <row r="11094" spans="11:11" ht="15" x14ac:dyDescent="0.25">
      <c r="K11094"/>
    </row>
    <row r="11095" spans="11:11" ht="15" x14ac:dyDescent="0.25">
      <c r="K11095"/>
    </row>
    <row r="11096" spans="11:11" ht="15" x14ac:dyDescent="0.25">
      <c r="K11096"/>
    </row>
    <row r="11097" spans="11:11" ht="15" x14ac:dyDescent="0.25">
      <c r="K11097"/>
    </row>
    <row r="11098" spans="11:11" ht="15" x14ac:dyDescent="0.25">
      <c r="K11098"/>
    </row>
    <row r="11099" spans="11:11" ht="15" x14ac:dyDescent="0.25">
      <c r="K11099"/>
    </row>
    <row r="11100" spans="11:11" ht="15" x14ac:dyDescent="0.25">
      <c r="K11100"/>
    </row>
    <row r="11101" spans="11:11" ht="15" x14ac:dyDescent="0.25">
      <c r="K11101"/>
    </row>
    <row r="11102" spans="11:11" ht="15" x14ac:dyDescent="0.25">
      <c r="K11102"/>
    </row>
    <row r="11103" spans="11:11" ht="15" x14ac:dyDescent="0.25">
      <c r="K11103"/>
    </row>
    <row r="11104" spans="11:11" ht="15" x14ac:dyDescent="0.25">
      <c r="K11104"/>
    </row>
    <row r="11105" spans="11:11" ht="15" x14ac:dyDescent="0.25">
      <c r="K11105"/>
    </row>
    <row r="11106" spans="11:11" ht="15" x14ac:dyDescent="0.25">
      <c r="K11106"/>
    </row>
    <row r="11107" spans="11:11" ht="15" x14ac:dyDescent="0.25">
      <c r="K11107"/>
    </row>
    <row r="11108" spans="11:11" ht="15" x14ac:dyDescent="0.25">
      <c r="K11108"/>
    </row>
    <row r="11109" spans="11:11" ht="15" x14ac:dyDescent="0.25">
      <c r="K11109"/>
    </row>
    <row r="11110" spans="11:11" ht="15" x14ac:dyDescent="0.25">
      <c r="K11110"/>
    </row>
    <row r="11111" spans="11:11" ht="15" x14ac:dyDescent="0.25">
      <c r="K11111"/>
    </row>
    <row r="11112" spans="11:11" ht="15" x14ac:dyDescent="0.25">
      <c r="K11112"/>
    </row>
    <row r="11113" spans="11:11" ht="15" x14ac:dyDescent="0.25">
      <c r="K11113"/>
    </row>
    <row r="11114" spans="11:11" ht="15" x14ac:dyDescent="0.25">
      <c r="K11114"/>
    </row>
    <row r="11115" spans="11:11" ht="15" x14ac:dyDescent="0.25">
      <c r="K11115"/>
    </row>
    <row r="11116" spans="11:11" ht="15" x14ac:dyDescent="0.25">
      <c r="K11116"/>
    </row>
    <row r="11117" spans="11:11" ht="15" x14ac:dyDescent="0.25">
      <c r="K11117"/>
    </row>
    <row r="11118" spans="11:11" ht="15" x14ac:dyDescent="0.25">
      <c r="K11118"/>
    </row>
    <row r="11119" spans="11:11" ht="15" x14ac:dyDescent="0.25">
      <c r="K11119"/>
    </row>
    <row r="11120" spans="11:11" ht="15" x14ac:dyDescent="0.25">
      <c r="K11120"/>
    </row>
    <row r="11121" spans="11:11" ht="15" x14ac:dyDescent="0.25">
      <c r="K11121"/>
    </row>
    <row r="11122" spans="11:11" ht="15" x14ac:dyDescent="0.25">
      <c r="K11122"/>
    </row>
    <row r="11123" spans="11:11" ht="15" x14ac:dyDescent="0.25">
      <c r="K11123"/>
    </row>
    <row r="11124" spans="11:11" ht="15" x14ac:dyDescent="0.25">
      <c r="K11124"/>
    </row>
    <row r="11125" spans="11:11" ht="15" x14ac:dyDescent="0.25">
      <c r="K11125"/>
    </row>
    <row r="11126" spans="11:11" ht="15" x14ac:dyDescent="0.25">
      <c r="K11126"/>
    </row>
    <row r="11127" spans="11:11" ht="15" x14ac:dyDescent="0.25">
      <c r="K11127"/>
    </row>
    <row r="11128" spans="11:11" ht="15" x14ac:dyDescent="0.25">
      <c r="K11128"/>
    </row>
    <row r="11129" spans="11:11" ht="15" x14ac:dyDescent="0.25">
      <c r="K11129"/>
    </row>
    <row r="11130" spans="11:11" ht="15" x14ac:dyDescent="0.25">
      <c r="K11130"/>
    </row>
    <row r="11131" spans="11:11" ht="15" x14ac:dyDescent="0.25">
      <c r="K11131"/>
    </row>
    <row r="11132" spans="11:11" ht="15" x14ac:dyDescent="0.25">
      <c r="K11132"/>
    </row>
    <row r="11133" spans="11:11" ht="15" x14ac:dyDescent="0.25">
      <c r="K11133"/>
    </row>
    <row r="11134" spans="11:11" ht="15" x14ac:dyDescent="0.25">
      <c r="K11134"/>
    </row>
    <row r="11135" spans="11:11" ht="15" x14ac:dyDescent="0.25">
      <c r="K11135"/>
    </row>
    <row r="11136" spans="11:11" ht="15" x14ac:dyDescent="0.25">
      <c r="K11136"/>
    </row>
    <row r="11137" spans="11:11" ht="15" x14ac:dyDescent="0.25">
      <c r="K11137"/>
    </row>
    <row r="11138" spans="11:11" ht="15" x14ac:dyDescent="0.25">
      <c r="K11138"/>
    </row>
    <row r="11139" spans="11:11" ht="15" x14ac:dyDescent="0.25">
      <c r="K11139"/>
    </row>
    <row r="11140" spans="11:11" ht="15" x14ac:dyDescent="0.25">
      <c r="K11140"/>
    </row>
    <row r="11141" spans="11:11" ht="15" x14ac:dyDescent="0.25">
      <c r="K11141"/>
    </row>
    <row r="11142" spans="11:11" ht="15" x14ac:dyDescent="0.25">
      <c r="K11142"/>
    </row>
    <row r="11143" spans="11:11" ht="15" x14ac:dyDescent="0.25">
      <c r="K11143"/>
    </row>
    <row r="11144" spans="11:11" ht="15" x14ac:dyDescent="0.25">
      <c r="K11144"/>
    </row>
    <row r="11145" spans="11:11" ht="15" x14ac:dyDescent="0.25">
      <c r="K11145"/>
    </row>
    <row r="11146" spans="11:11" ht="15" x14ac:dyDescent="0.25">
      <c r="K11146"/>
    </row>
    <row r="11147" spans="11:11" ht="15" x14ac:dyDescent="0.25">
      <c r="K11147"/>
    </row>
    <row r="11148" spans="11:11" ht="15" x14ac:dyDescent="0.25">
      <c r="K11148"/>
    </row>
    <row r="11149" spans="11:11" ht="15" x14ac:dyDescent="0.25">
      <c r="K11149"/>
    </row>
    <row r="11150" spans="11:11" ht="15" x14ac:dyDescent="0.25">
      <c r="K11150"/>
    </row>
    <row r="11151" spans="11:11" ht="15" x14ac:dyDescent="0.25">
      <c r="K11151"/>
    </row>
    <row r="11152" spans="11:11" ht="15" x14ac:dyDescent="0.25">
      <c r="K11152"/>
    </row>
    <row r="11153" spans="11:11" ht="15" x14ac:dyDescent="0.25">
      <c r="K11153"/>
    </row>
    <row r="11154" spans="11:11" ht="15" x14ac:dyDescent="0.25">
      <c r="K11154"/>
    </row>
    <row r="11155" spans="11:11" ht="15" x14ac:dyDescent="0.25">
      <c r="K11155"/>
    </row>
    <row r="11156" spans="11:11" ht="15" x14ac:dyDescent="0.25">
      <c r="K11156"/>
    </row>
    <row r="11157" spans="11:11" ht="15" x14ac:dyDescent="0.25">
      <c r="K11157"/>
    </row>
    <row r="11158" spans="11:11" ht="15" x14ac:dyDescent="0.25">
      <c r="K11158"/>
    </row>
    <row r="11159" spans="11:11" ht="15" x14ac:dyDescent="0.25">
      <c r="K11159"/>
    </row>
    <row r="11160" spans="11:11" ht="15" x14ac:dyDescent="0.25">
      <c r="K11160"/>
    </row>
    <row r="11161" spans="11:11" ht="15" x14ac:dyDescent="0.25">
      <c r="K11161"/>
    </row>
    <row r="11162" spans="11:11" ht="15" x14ac:dyDescent="0.25">
      <c r="K11162"/>
    </row>
    <row r="11163" spans="11:11" ht="15" x14ac:dyDescent="0.25">
      <c r="K11163"/>
    </row>
    <row r="11164" spans="11:11" ht="15" x14ac:dyDescent="0.25">
      <c r="K11164"/>
    </row>
    <row r="11165" spans="11:11" ht="15" x14ac:dyDescent="0.25">
      <c r="K11165"/>
    </row>
    <row r="11166" spans="11:11" ht="15" x14ac:dyDescent="0.25">
      <c r="K11166"/>
    </row>
    <row r="11167" spans="11:11" ht="15" x14ac:dyDescent="0.25">
      <c r="K11167"/>
    </row>
    <row r="11168" spans="11:11" ht="15" x14ac:dyDescent="0.25">
      <c r="K11168"/>
    </row>
    <row r="11169" spans="11:11" ht="15" x14ac:dyDescent="0.25">
      <c r="K11169"/>
    </row>
    <row r="11170" spans="11:11" ht="15" x14ac:dyDescent="0.25">
      <c r="K11170"/>
    </row>
    <row r="11171" spans="11:11" ht="15" x14ac:dyDescent="0.25">
      <c r="K11171"/>
    </row>
    <row r="11172" spans="11:11" ht="15" x14ac:dyDescent="0.25">
      <c r="K11172"/>
    </row>
    <row r="11173" spans="11:11" ht="15" x14ac:dyDescent="0.25">
      <c r="K11173"/>
    </row>
    <row r="11174" spans="11:11" ht="15" x14ac:dyDescent="0.25">
      <c r="K11174"/>
    </row>
    <row r="11175" spans="11:11" ht="15" x14ac:dyDescent="0.25">
      <c r="K11175"/>
    </row>
    <row r="11176" spans="11:11" ht="15" x14ac:dyDescent="0.25">
      <c r="K11176"/>
    </row>
    <row r="11177" spans="11:11" ht="15" x14ac:dyDescent="0.25">
      <c r="K11177"/>
    </row>
    <row r="11178" spans="11:11" ht="15" x14ac:dyDescent="0.25">
      <c r="K11178"/>
    </row>
    <row r="11179" spans="11:11" ht="15" x14ac:dyDescent="0.25">
      <c r="K11179"/>
    </row>
    <row r="11180" spans="11:11" ht="15" x14ac:dyDescent="0.25">
      <c r="K11180"/>
    </row>
    <row r="11181" spans="11:11" ht="15" x14ac:dyDescent="0.25">
      <c r="K11181"/>
    </row>
    <row r="11182" spans="11:11" ht="15" x14ac:dyDescent="0.25">
      <c r="K11182"/>
    </row>
    <row r="11183" spans="11:11" ht="15" x14ac:dyDescent="0.25">
      <c r="K11183"/>
    </row>
    <row r="11184" spans="11:11" ht="15" x14ac:dyDescent="0.25">
      <c r="K11184"/>
    </row>
    <row r="11185" spans="11:11" ht="15" x14ac:dyDescent="0.25">
      <c r="K11185"/>
    </row>
    <row r="11186" spans="11:11" ht="15" x14ac:dyDescent="0.25">
      <c r="K11186"/>
    </row>
    <row r="11187" spans="11:11" ht="15" x14ac:dyDescent="0.25">
      <c r="K11187"/>
    </row>
    <row r="11188" spans="11:11" ht="15" x14ac:dyDescent="0.25">
      <c r="K11188"/>
    </row>
    <row r="11189" spans="11:11" ht="15" x14ac:dyDescent="0.25">
      <c r="K11189"/>
    </row>
    <row r="11190" spans="11:11" ht="15" x14ac:dyDescent="0.25">
      <c r="K11190"/>
    </row>
    <row r="11191" spans="11:11" ht="15" x14ac:dyDescent="0.25">
      <c r="K11191"/>
    </row>
    <row r="11192" spans="11:11" ht="15" x14ac:dyDescent="0.25">
      <c r="K11192"/>
    </row>
    <row r="11193" spans="11:11" ht="15" x14ac:dyDescent="0.25">
      <c r="K11193"/>
    </row>
    <row r="11194" spans="11:11" ht="15" x14ac:dyDescent="0.25">
      <c r="K11194"/>
    </row>
    <row r="11195" spans="11:11" ht="15" x14ac:dyDescent="0.25">
      <c r="K11195"/>
    </row>
    <row r="11196" spans="11:11" ht="15" x14ac:dyDescent="0.25">
      <c r="K11196"/>
    </row>
    <row r="11197" spans="11:11" ht="15" x14ac:dyDescent="0.25">
      <c r="K11197"/>
    </row>
    <row r="11198" spans="11:11" ht="15" x14ac:dyDescent="0.25">
      <c r="K11198"/>
    </row>
    <row r="11199" spans="11:11" ht="15" x14ac:dyDescent="0.25">
      <c r="K11199"/>
    </row>
    <row r="11200" spans="11:11" ht="15" x14ac:dyDescent="0.25">
      <c r="K11200"/>
    </row>
    <row r="11201" spans="11:11" ht="15" x14ac:dyDescent="0.25">
      <c r="K11201"/>
    </row>
    <row r="11202" spans="11:11" ht="15" x14ac:dyDescent="0.25">
      <c r="K11202"/>
    </row>
    <row r="11203" spans="11:11" ht="15" x14ac:dyDescent="0.25">
      <c r="K11203"/>
    </row>
    <row r="11204" spans="11:11" ht="15" x14ac:dyDescent="0.25">
      <c r="K11204"/>
    </row>
    <row r="11205" spans="11:11" ht="15" x14ac:dyDescent="0.25">
      <c r="K11205"/>
    </row>
    <row r="11206" spans="11:11" ht="15" x14ac:dyDescent="0.25">
      <c r="K11206"/>
    </row>
    <row r="11207" spans="11:11" ht="15" x14ac:dyDescent="0.25">
      <c r="K11207"/>
    </row>
    <row r="11208" spans="11:11" ht="15" x14ac:dyDescent="0.25">
      <c r="K11208"/>
    </row>
    <row r="11209" spans="11:11" ht="15" x14ac:dyDescent="0.25">
      <c r="K11209"/>
    </row>
    <row r="11210" spans="11:11" ht="15" x14ac:dyDescent="0.25">
      <c r="K11210"/>
    </row>
    <row r="11211" spans="11:11" ht="15" x14ac:dyDescent="0.25">
      <c r="K11211"/>
    </row>
    <row r="11212" spans="11:11" ht="15" x14ac:dyDescent="0.25">
      <c r="K11212"/>
    </row>
    <row r="11213" spans="11:11" ht="15" x14ac:dyDescent="0.25">
      <c r="K11213"/>
    </row>
    <row r="11214" spans="11:11" ht="15" x14ac:dyDescent="0.25">
      <c r="K11214"/>
    </row>
    <row r="11215" spans="11:11" ht="15" x14ac:dyDescent="0.25">
      <c r="K11215"/>
    </row>
    <row r="11216" spans="11:11" ht="15" x14ac:dyDescent="0.25">
      <c r="K11216"/>
    </row>
    <row r="11217" spans="11:11" ht="15" x14ac:dyDescent="0.25">
      <c r="K11217"/>
    </row>
    <row r="11218" spans="11:11" ht="15" x14ac:dyDescent="0.25">
      <c r="K11218"/>
    </row>
    <row r="11219" spans="11:11" ht="15" x14ac:dyDescent="0.25">
      <c r="K11219"/>
    </row>
    <row r="11220" spans="11:11" ht="15" x14ac:dyDescent="0.25">
      <c r="K11220"/>
    </row>
    <row r="11221" spans="11:11" ht="15" x14ac:dyDescent="0.25">
      <c r="K11221"/>
    </row>
    <row r="11222" spans="11:11" ht="15" x14ac:dyDescent="0.25">
      <c r="K11222"/>
    </row>
    <row r="11223" spans="11:11" ht="15" x14ac:dyDescent="0.25">
      <c r="K11223"/>
    </row>
    <row r="11224" spans="11:11" ht="15" x14ac:dyDescent="0.25">
      <c r="K11224"/>
    </row>
    <row r="11225" spans="11:11" ht="15" x14ac:dyDescent="0.25">
      <c r="K11225"/>
    </row>
    <row r="11226" spans="11:11" ht="15" x14ac:dyDescent="0.25">
      <c r="K11226"/>
    </row>
    <row r="11227" spans="11:11" ht="15" x14ac:dyDescent="0.25">
      <c r="K11227"/>
    </row>
    <row r="11228" spans="11:11" ht="15" x14ac:dyDescent="0.25">
      <c r="K11228"/>
    </row>
    <row r="11229" spans="11:11" ht="15" x14ac:dyDescent="0.25">
      <c r="K11229"/>
    </row>
    <row r="11230" spans="11:11" ht="15" x14ac:dyDescent="0.25">
      <c r="K11230"/>
    </row>
    <row r="11231" spans="11:11" ht="15" x14ac:dyDescent="0.25">
      <c r="K11231"/>
    </row>
    <row r="11232" spans="11:11" ht="15" x14ac:dyDescent="0.25">
      <c r="K11232"/>
    </row>
    <row r="11233" spans="11:11" ht="15" x14ac:dyDescent="0.25">
      <c r="K11233"/>
    </row>
    <row r="11234" spans="11:11" ht="15" x14ac:dyDescent="0.25">
      <c r="K11234"/>
    </row>
    <row r="11235" spans="11:11" ht="15" x14ac:dyDescent="0.25">
      <c r="K11235"/>
    </row>
    <row r="11236" spans="11:11" ht="15" x14ac:dyDescent="0.25">
      <c r="K11236"/>
    </row>
    <row r="11237" spans="11:11" ht="15" x14ac:dyDescent="0.25">
      <c r="K11237"/>
    </row>
    <row r="11238" spans="11:11" ht="15" x14ac:dyDescent="0.25">
      <c r="K11238"/>
    </row>
    <row r="11239" spans="11:11" ht="15" x14ac:dyDescent="0.25">
      <c r="K11239"/>
    </row>
    <row r="11240" spans="11:11" ht="15" x14ac:dyDescent="0.25">
      <c r="K11240"/>
    </row>
    <row r="11241" spans="11:11" ht="15" x14ac:dyDescent="0.25">
      <c r="K11241"/>
    </row>
    <row r="11242" spans="11:11" ht="15" x14ac:dyDescent="0.25">
      <c r="K11242"/>
    </row>
    <row r="11243" spans="11:11" ht="15" x14ac:dyDescent="0.25">
      <c r="K11243"/>
    </row>
    <row r="11244" spans="11:11" ht="15" x14ac:dyDescent="0.25">
      <c r="K11244"/>
    </row>
    <row r="11245" spans="11:11" ht="15" x14ac:dyDescent="0.25">
      <c r="K11245"/>
    </row>
    <row r="11246" spans="11:11" ht="15" x14ac:dyDescent="0.25">
      <c r="K11246"/>
    </row>
    <row r="11247" spans="11:11" ht="15" x14ac:dyDescent="0.25">
      <c r="K11247"/>
    </row>
    <row r="11248" spans="11:11" ht="15" x14ac:dyDescent="0.25">
      <c r="K11248"/>
    </row>
    <row r="11249" spans="11:11" ht="15" x14ac:dyDescent="0.25">
      <c r="K11249"/>
    </row>
    <row r="11250" spans="11:11" ht="15" x14ac:dyDescent="0.25">
      <c r="K11250"/>
    </row>
    <row r="11251" spans="11:11" ht="15" x14ac:dyDescent="0.25">
      <c r="K11251"/>
    </row>
    <row r="11252" spans="11:11" ht="15" x14ac:dyDescent="0.25">
      <c r="K11252"/>
    </row>
    <row r="11253" spans="11:11" ht="15" x14ac:dyDescent="0.25">
      <c r="K11253"/>
    </row>
    <row r="11254" spans="11:11" ht="15" x14ac:dyDescent="0.25">
      <c r="K11254"/>
    </row>
    <row r="11255" spans="11:11" ht="15" x14ac:dyDescent="0.25">
      <c r="K11255"/>
    </row>
    <row r="11256" spans="11:11" ht="15" x14ac:dyDescent="0.25">
      <c r="K11256"/>
    </row>
    <row r="11257" spans="11:11" ht="15" x14ac:dyDescent="0.25">
      <c r="K11257"/>
    </row>
    <row r="11258" spans="11:11" ht="15" x14ac:dyDescent="0.25">
      <c r="K11258"/>
    </row>
    <row r="11259" spans="11:11" ht="15" x14ac:dyDescent="0.25">
      <c r="K11259"/>
    </row>
    <row r="11260" spans="11:11" ht="15" x14ac:dyDescent="0.25">
      <c r="K11260"/>
    </row>
    <row r="11261" spans="11:11" ht="15" x14ac:dyDescent="0.25">
      <c r="K11261"/>
    </row>
    <row r="11262" spans="11:11" ht="15" x14ac:dyDescent="0.25">
      <c r="K11262"/>
    </row>
    <row r="11263" spans="11:11" ht="15" x14ac:dyDescent="0.25">
      <c r="K11263"/>
    </row>
    <row r="11264" spans="11:11" ht="15" x14ac:dyDescent="0.25">
      <c r="K11264"/>
    </row>
    <row r="11265" spans="11:11" ht="15" x14ac:dyDescent="0.25">
      <c r="K11265"/>
    </row>
    <row r="11266" spans="11:11" ht="15" x14ac:dyDescent="0.25">
      <c r="K11266"/>
    </row>
    <row r="11267" spans="11:11" ht="15" x14ac:dyDescent="0.25">
      <c r="K11267"/>
    </row>
    <row r="11268" spans="11:11" ht="15" x14ac:dyDescent="0.25">
      <c r="K11268"/>
    </row>
    <row r="11269" spans="11:11" ht="15" x14ac:dyDescent="0.25">
      <c r="K11269"/>
    </row>
    <row r="11270" spans="11:11" ht="15" x14ac:dyDescent="0.25">
      <c r="K11270"/>
    </row>
    <row r="11271" spans="11:11" ht="15" x14ac:dyDescent="0.25">
      <c r="K11271"/>
    </row>
    <row r="11272" spans="11:11" ht="15" x14ac:dyDescent="0.25">
      <c r="K11272"/>
    </row>
    <row r="11273" spans="11:11" ht="15" x14ac:dyDescent="0.25">
      <c r="K11273"/>
    </row>
    <row r="11274" spans="11:11" ht="15" x14ac:dyDescent="0.25">
      <c r="K11274"/>
    </row>
    <row r="11275" spans="11:11" ht="15" x14ac:dyDescent="0.25">
      <c r="K11275"/>
    </row>
    <row r="11276" spans="11:11" ht="15" x14ac:dyDescent="0.25">
      <c r="K11276"/>
    </row>
    <row r="11277" spans="11:11" ht="15" x14ac:dyDescent="0.25">
      <c r="K11277"/>
    </row>
    <row r="11278" spans="11:11" ht="15" x14ac:dyDescent="0.25">
      <c r="K11278"/>
    </row>
    <row r="11279" spans="11:11" ht="15" x14ac:dyDescent="0.25">
      <c r="K11279"/>
    </row>
    <row r="11280" spans="11:11" ht="15" x14ac:dyDescent="0.25">
      <c r="K11280"/>
    </row>
    <row r="11281" spans="11:11" ht="15" x14ac:dyDescent="0.25">
      <c r="K11281"/>
    </row>
    <row r="11282" spans="11:11" ht="15" x14ac:dyDescent="0.25">
      <c r="K11282"/>
    </row>
    <row r="11283" spans="11:11" ht="15" x14ac:dyDescent="0.25">
      <c r="K11283"/>
    </row>
    <row r="11284" spans="11:11" ht="15" x14ac:dyDescent="0.25">
      <c r="K11284"/>
    </row>
    <row r="11285" spans="11:11" ht="15" x14ac:dyDescent="0.25">
      <c r="K11285"/>
    </row>
    <row r="11286" spans="11:11" ht="15" x14ac:dyDescent="0.25">
      <c r="K11286"/>
    </row>
    <row r="11287" spans="11:11" ht="15" x14ac:dyDescent="0.25">
      <c r="K11287"/>
    </row>
    <row r="11288" spans="11:11" ht="15" x14ac:dyDescent="0.25">
      <c r="K11288"/>
    </row>
    <row r="11289" spans="11:11" ht="15" x14ac:dyDescent="0.25">
      <c r="K11289"/>
    </row>
    <row r="11290" spans="11:11" ht="15" x14ac:dyDescent="0.25">
      <c r="K11290"/>
    </row>
    <row r="11291" spans="11:11" ht="15" x14ac:dyDescent="0.25">
      <c r="K11291"/>
    </row>
    <row r="11292" spans="11:11" ht="15" x14ac:dyDescent="0.25">
      <c r="K11292"/>
    </row>
    <row r="11293" spans="11:11" ht="15" x14ac:dyDescent="0.25">
      <c r="K11293"/>
    </row>
    <row r="11294" spans="11:11" ht="15" x14ac:dyDescent="0.25">
      <c r="K11294"/>
    </row>
    <row r="11295" spans="11:11" ht="15" x14ac:dyDescent="0.25">
      <c r="K11295"/>
    </row>
    <row r="11296" spans="11:11" ht="15" x14ac:dyDescent="0.25">
      <c r="K11296"/>
    </row>
    <row r="11297" spans="11:11" ht="15" x14ac:dyDescent="0.25">
      <c r="K11297"/>
    </row>
    <row r="11298" spans="11:11" ht="15" x14ac:dyDescent="0.25">
      <c r="K11298"/>
    </row>
    <row r="11299" spans="11:11" ht="15" x14ac:dyDescent="0.25">
      <c r="K11299"/>
    </row>
    <row r="11300" spans="11:11" ht="15" x14ac:dyDescent="0.25">
      <c r="K11300"/>
    </row>
    <row r="11301" spans="11:11" ht="15" x14ac:dyDescent="0.25">
      <c r="K11301"/>
    </row>
    <row r="11302" spans="11:11" ht="15" x14ac:dyDescent="0.25">
      <c r="K11302"/>
    </row>
    <row r="11303" spans="11:11" ht="15" x14ac:dyDescent="0.25">
      <c r="K11303"/>
    </row>
    <row r="11304" spans="11:11" ht="15" x14ac:dyDescent="0.25">
      <c r="K11304"/>
    </row>
    <row r="11305" spans="11:11" ht="15" x14ac:dyDescent="0.25">
      <c r="K11305"/>
    </row>
    <row r="11306" spans="11:11" ht="15" x14ac:dyDescent="0.25">
      <c r="K11306"/>
    </row>
    <row r="11307" spans="11:11" ht="15" x14ac:dyDescent="0.25">
      <c r="K11307"/>
    </row>
    <row r="11308" spans="11:11" ht="15" x14ac:dyDescent="0.25">
      <c r="K11308"/>
    </row>
    <row r="11309" spans="11:11" ht="15" x14ac:dyDescent="0.25">
      <c r="K11309"/>
    </row>
    <row r="11310" spans="11:11" ht="15" x14ac:dyDescent="0.25">
      <c r="K11310"/>
    </row>
    <row r="11311" spans="11:11" ht="15" x14ac:dyDescent="0.25">
      <c r="K11311"/>
    </row>
    <row r="11312" spans="11:11" ht="15" x14ac:dyDescent="0.25">
      <c r="K11312"/>
    </row>
    <row r="11313" spans="11:11" ht="15" x14ac:dyDescent="0.25">
      <c r="K11313"/>
    </row>
    <row r="11314" spans="11:11" ht="15" x14ac:dyDescent="0.25">
      <c r="K11314"/>
    </row>
    <row r="11315" spans="11:11" ht="15" x14ac:dyDescent="0.25">
      <c r="K11315"/>
    </row>
    <row r="11316" spans="11:11" ht="15" x14ac:dyDescent="0.25">
      <c r="K11316"/>
    </row>
    <row r="11317" spans="11:11" ht="15" x14ac:dyDescent="0.25">
      <c r="K11317"/>
    </row>
    <row r="11318" spans="11:11" ht="15" x14ac:dyDescent="0.25">
      <c r="K11318"/>
    </row>
    <row r="11319" spans="11:11" ht="15" x14ac:dyDescent="0.25">
      <c r="K11319"/>
    </row>
    <row r="11320" spans="11:11" ht="15" x14ac:dyDescent="0.25">
      <c r="K11320"/>
    </row>
    <row r="11321" spans="11:11" ht="15" x14ac:dyDescent="0.25">
      <c r="K11321"/>
    </row>
    <row r="11322" spans="11:11" ht="15" x14ac:dyDescent="0.25">
      <c r="K11322"/>
    </row>
    <row r="11323" spans="11:11" ht="15" x14ac:dyDescent="0.25">
      <c r="K11323"/>
    </row>
    <row r="11324" spans="11:11" ht="15" x14ac:dyDescent="0.25">
      <c r="K11324"/>
    </row>
    <row r="11325" spans="11:11" ht="15" x14ac:dyDescent="0.25">
      <c r="K11325"/>
    </row>
    <row r="11326" spans="11:11" ht="15" x14ac:dyDescent="0.25">
      <c r="K11326"/>
    </row>
    <row r="11327" spans="11:11" ht="15" x14ac:dyDescent="0.25">
      <c r="K11327"/>
    </row>
    <row r="11328" spans="11:11" ht="15" x14ac:dyDescent="0.25">
      <c r="K11328"/>
    </row>
    <row r="11329" spans="11:11" ht="15" x14ac:dyDescent="0.25">
      <c r="K11329"/>
    </row>
    <row r="11330" spans="11:11" ht="15" x14ac:dyDescent="0.25">
      <c r="K11330"/>
    </row>
    <row r="11331" spans="11:11" ht="15" x14ac:dyDescent="0.25">
      <c r="K11331"/>
    </row>
    <row r="11332" spans="11:11" ht="15" x14ac:dyDescent="0.25">
      <c r="K11332"/>
    </row>
    <row r="11333" spans="11:11" ht="15" x14ac:dyDescent="0.25">
      <c r="K11333"/>
    </row>
    <row r="11334" spans="11:11" ht="15" x14ac:dyDescent="0.25">
      <c r="K11334"/>
    </row>
    <row r="11335" spans="11:11" ht="15" x14ac:dyDescent="0.25">
      <c r="K11335"/>
    </row>
    <row r="11336" spans="11:11" ht="15" x14ac:dyDescent="0.25">
      <c r="K11336"/>
    </row>
    <row r="11337" spans="11:11" ht="15" x14ac:dyDescent="0.25">
      <c r="K11337"/>
    </row>
    <row r="11338" spans="11:11" ht="15" x14ac:dyDescent="0.25">
      <c r="K11338"/>
    </row>
    <row r="11339" spans="11:11" ht="15" x14ac:dyDescent="0.25">
      <c r="K11339"/>
    </row>
    <row r="11340" spans="11:11" ht="15" x14ac:dyDescent="0.25">
      <c r="K11340"/>
    </row>
    <row r="11341" spans="11:11" ht="15" x14ac:dyDescent="0.25">
      <c r="K11341"/>
    </row>
    <row r="11342" spans="11:11" ht="15" x14ac:dyDescent="0.25">
      <c r="K11342"/>
    </row>
    <row r="11343" spans="11:11" ht="15" x14ac:dyDescent="0.25">
      <c r="K11343"/>
    </row>
    <row r="11344" spans="11:11" ht="15" x14ac:dyDescent="0.25">
      <c r="K11344"/>
    </row>
    <row r="11345" spans="11:11" ht="15" x14ac:dyDescent="0.25">
      <c r="K11345"/>
    </row>
    <row r="11346" spans="11:11" ht="15" x14ac:dyDescent="0.25">
      <c r="K11346"/>
    </row>
    <row r="11347" spans="11:11" ht="15" x14ac:dyDescent="0.25">
      <c r="K11347"/>
    </row>
    <row r="11348" spans="11:11" ht="15" x14ac:dyDescent="0.25">
      <c r="K11348"/>
    </row>
    <row r="11349" spans="11:11" ht="15" x14ac:dyDescent="0.25">
      <c r="K11349"/>
    </row>
    <row r="11350" spans="11:11" ht="15" x14ac:dyDescent="0.25">
      <c r="K11350"/>
    </row>
    <row r="11351" spans="11:11" ht="15" x14ac:dyDescent="0.25">
      <c r="K11351"/>
    </row>
    <row r="11352" spans="11:11" ht="15" x14ac:dyDescent="0.25">
      <c r="K11352"/>
    </row>
    <row r="11353" spans="11:11" ht="15" x14ac:dyDescent="0.25">
      <c r="K11353"/>
    </row>
    <row r="11354" spans="11:11" ht="15" x14ac:dyDescent="0.25">
      <c r="K11354"/>
    </row>
    <row r="11355" spans="11:11" ht="15" x14ac:dyDescent="0.25">
      <c r="K11355"/>
    </row>
    <row r="11356" spans="11:11" ht="15" x14ac:dyDescent="0.25">
      <c r="K11356"/>
    </row>
    <row r="11357" spans="11:11" ht="15" x14ac:dyDescent="0.25">
      <c r="K11357"/>
    </row>
    <row r="11358" spans="11:11" ht="15" x14ac:dyDescent="0.25">
      <c r="K11358"/>
    </row>
    <row r="11359" spans="11:11" ht="15" x14ac:dyDescent="0.25">
      <c r="K11359"/>
    </row>
    <row r="11360" spans="11:11" ht="15" x14ac:dyDescent="0.25">
      <c r="K11360"/>
    </row>
    <row r="11361" spans="11:11" ht="15" x14ac:dyDescent="0.25">
      <c r="K11361"/>
    </row>
    <row r="11362" spans="11:11" ht="15" x14ac:dyDescent="0.25">
      <c r="K11362"/>
    </row>
    <row r="11363" spans="11:11" ht="15" x14ac:dyDescent="0.25">
      <c r="K11363"/>
    </row>
    <row r="11364" spans="11:11" ht="15" x14ac:dyDescent="0.25">
      <c r="K11364"/>
    </row>
    <row r="11365" spans="11:11" ht="15" x14ac:dyDescent="0.25">
      <c r="K11365"/>
    </row>
    <row r="11366" spans="11:11" ht="15" x14ac:dyDescent="0.25">
      <c r="K11366"/>
    </row>
    <row r="11367" spans="11:11" ht="15" x14ac:dyDescent="0.25">
      <c r="K11367"/>
    </row>
    <row r="11368" spans="11:11" ht="15" x14ac:dyDescent="0.25">
      <c r="K11368"/>
    </row>
    <row r="11369" spans="11:11" ht="15" x14ac:dyDescent="0.25">
      <c r="K11369"/>
    </row>
    <row r="11370" spans="11:11" ht="15" x14ac:dyDescent="0.25">
      <c r="K11370"/>
    </row>
    <row r="11371" spans="11:11" ht="15" x14ac:dyDescent="0.25">
      <c r="K11371"/>
    </row>
    <row r="11372" spans="11:11" ht="15" x14ac:dyDescent="0.25">
      <c r="K11372"/>
    </row>
    <row r="11373" spans="11:11" ht="15" x14ac:dyDescent="0.25">
      <c r="K11373"/>
    </row>
    <row r="11374" spans="11:11" ht="15" x14ac:dyDescent="0.25">
      <c r="K11374"/>
    </row>
    <row r="11375" spans="11:11" ht="15" x14ac:dyDescent="0.25">
      <c r="K11375"/>
    </row>
    <row r="11376" spans="11:11" ht="15" x14ac:dyDescent="0.25">
      <c r="K11376"/>
    </row>
    <row r="11377" spans="11:11" ht="15" x14ac:dyDescent="0.25">
      <c r="K11377"/>
    </row>
    <row r="11378" spans="11:11" ht="15" x14ac:dyDescent="0.25">
      <c r="K11378"/>
    </row>
    <row r="11379" spans="11:11" ht="15" x14ac:dyDescent="0.25">
      <c r="K11379"/>
    </row>
    <row r="11380" spans="11:11" ht="15" x14ac:dyDescent="0.25">
      <c r="K11380"/>
    </row>
    <row r="11381" spans="11:11" ht="15" x14ac:dyDescent="0.25">
      <c r="K11381"/>
    </row>
    <row r="11382" spans="11:11" ht="15" x14ac:dyDescent="0.25">
      <c r="K11382"/>
    </row>
    <row r="11383" spans="11:11" ht="15" x14ac:dyDescent="0.25">
      <c r="K11383"/>
    </row>
    <row r="11384" spans="11:11" ht="15" x14ac:dyDescent="0.25">
      <c r="K11384"/>
    </row>
    <row r="11385" spans="11:11" ht="15" x14ac:dyDescent="0.25">
      <c r="K11385"/>
    </row>
    <row r="11386" spans="11:11" ht="15" x14ac:dyDescent="0.25">
      <c r="K11386"/>
    </row>
    <row r="11387" spans="11:11" ht="15" x14ac:dyDescent="0.25">
      <c r="K11387"/>
    </row>
    <row r="11388" spans="11:11" ht="15" x14ac:dyDescent="0.25">
      <c r="K11388"/>
    </row>
    <row r="11389" spans="11:11" ht="15" x14ac:dyDescent="0.25">
      <c r="K11389"/>
    </row>
    <row r="11390" spans="11:11" ht="15" x14ac:dyDescent="0.25">
      <c r="K11390"/>
    </row>
    <row r="11391" spans="11:11" ht="15" x14ac:dyDescent="0.25">
      <c r="K11391"/>
    </row>
    <row r="11392" spans="11:11" ht="15" x14ac:dyDescent="0.25">
      <c r="K11392"/>
    </row>
    <row r="11393" spans="11:11" ht="15" x14ac:dyDescent="0.25">
      <c r="K11393"/>
    </row>
    <row r="11394" spans="11:11" ht="15" x14ac:dyDescent="0.25">
      <c r="K11394"/>
    </row>
    <row r="11395" spans="11:11" ht="15" x14ac:dyDescent="0.25">
      <c r="K11395"/>
    </row>
    <row r="11396" spans="11:11" ht="15" x14ac:dyDescent="0.25">
      <c r="K11396"/>
    </row>
    <row r="11397" spans="11:11" ht="15" x14ac:dyDescent="0.25">
      <c r="K11397"/>
    </row>
    <row r="11398" spans="11:11" ht="15" x14ac:dyDescent="0.25">
      <c r="K11398"/>
    </row>
    <row r="11399" spans="11:11" ht="15" x14ac:dyDescent="0.25">
      <c r="K11399"/>
    </row>
    <row r="11400" spans="11:11" ht="15" x14ac:dyDescent="0.25">
      <c r="K11400"/>
    </row>
    <row r="11401" spans="11:11" ht="15" x14ac:dyDescent="0.25">
      <c r="K11401"/>
    </row>
    <row r="11402" spans="11:11" ht="15" x14ac:dyDescent="0.25">
      <c r="K11402"/>
    </row>
    <row r="11403" spans="11:11" ht="15" x14ac:dyDescent="0.25">
      <c r="K11403"/>
    </row>
    <row r="11404" spans="11:11" ht="15" x14ac:dyDescent="0.25">
      <c r="K11404"/>
    </row>
    <row r="11405" spans="11:11" ht="15" x14ac:dyDescent="0.25">
      <c r="K11405"/>
    </row>
    <row r="11406" spans="11:11" ht="15" x14ac:dyDescent="0.25">
      <c r="K11406"/>
    </row>
    <row r="11407" spans="11:11" ht="15" x14ac:dyDescent="0.25">
      <c r="K11407"/>
    </row>
    <row r="11408" spans="11:11" ht="15" x14ac:dyDescent="0.25">
      <c r="K11408"/>
    </row>
    <row r="11409" spans="11:11" ht="15" x14ac:dyDescent="0.25">
      <c r="K11409"/>
    </row>
    <row r="11410" spans="11:11" ht="15" x14ac:dyDescent="0.25">
      <c r="K11410"/>
    </row>
    <row r="11411" spans="11:11" ht="15" x14ac:dyDescent="0.25">
      <c r="K11411"/>
    </row>
    <row r="11412" spans="11:11" ht="15" x14ac:dyDescent="0.25">
      <c r="K11412"/>
    </row>
    <row r="11413" spans="11:11" ht="15" x14ac:dyDescent="0.25">
      <c r="K11413"/>
    </row>
    <row r="11414" spans="11:11" ht="15" x14ac:dyDescent="0.25">
      <c r="K11414"/>
    </row>
    <row r="11415" spans="11:11" ht="15" x14ac:dyDescent="0.25">
      <c r="K11415"/>
    </row>
    <row r="11416" spans="11:11" ht="15" x14ac:dyDescent="0.25">
      <c r="K11416"/>
    </row>
    <row r="11417" spans="11:11" ht="15" x14ac:dyDescent="0.25">
      <c r="K11417"/>
    </row>
    <row r="11418" spans="11:11" ht="15" x14ac:dyDescent="0.25">
      <c r="K11418"/>
    </row>
    <row r="11419" spans="11:11" ht="15" x14ac:dyDescent="0.25">
      <c r="K11419"/>
    </row>
    <row r="11420" spans="11:11" ht="15" x14ac:dyDescent="0.25">
      <c r="K11420"/>
    </row>
    <row r="11421" spans="11:11" ht="15" x14ac:dyDescent="0.25">
      <c r="K11421"/>
    </row>
    <row r="11422" spans="11:11" ht="15" x14ac:dyDescent="0.25">
      <c r="K11422"/>
    </row>
    <row r="11423" spans="11:11" ht="15" x14ac:dyDescent="0.25">
      <c r="K11423"/>
    </row>
    <row r="11424" spans="11:11" ht="15" x14ac:dyDescent="0.25">
      <c r="K11424"/>
    </row>
    <row r="11425" spans="11:11" ht="15" x14ac:dyDescent="0.25">
      <c r="K11425"/>
    </row>
    <row r="11426" spans="11:11" ht="15" x14ac:dyDescent="0.25">
      <c r="K11426"/>
    </row>
    <row r="11427" spans="11:11" ht="15" x14ac:dyDescent="0.25">
      <c r="K11427"/>
    </row>
    <row r="11428" spans="11:11" ht="15" x14ac:dyDescent="0.25">
      <c r="K11428"/>
    </row>
    <row r="11429" spans="11:11" ht="15" x14ac:dyDescent="0.25">
      <c r="K11429"/>
    </row>
    <row r="11430" spans="11:11" ht="15" x14ac:dyDescent="0.25">
      <c r="K11430"/>
    </row>
    <row r="11431" spans="11:11" ht="15" x14ac:dyDescent="0.25">
      <c r="K11431"/>
    </row>
    <row r="11432" spans="11:11" ht="15" x14ac:dyDescent="0.25">
      <c r="K11432"/>
    </row>
    <row r="11433" spans="11:11" ht="15" x14ac:dyDescent="0.25">
      <c r="K11433"/>
    </row>
    <row r="11434" spans="11:11" ht="15" x14ac:dyDescent="0.25">
      <c r="K11434"/>
    </row>
    <row r="11435" spans="11:11" ht="15" x14ac:dyDescent="0.25">
      <c r="K11435"/>
    </row>
    <row r="11436" spans="11:11" ht="15" x14ac:dyDescent="0.25">
      <c r="K11436"/>
    </row>
    <row r="11437" spans="11:11" ht="15" x14ac:dyDescent="0.25">
      <c r="K11437"/>
    </row>
    <row r="11438" spans="11:11" ht="15" x14ac:dyDescent="0.25">
      <c r="K11438"/>
    </row>
    <row r="11439" spans="11:11" ht="15" x14ac:dyDescent="0.25">
      <c r="K11439"/>
    </row>
    <row r="11440" spans="11:11" ht="15" x14ac:dyDescent="0.25">
      <c r="K11440"/>
    </row>
    <row r="11441" spans="11:11" ht="15" x14ac:dyDescent="0.25">
      <c r="K11441"/>
    </row>
    <row r="11442" spans="11:11" ht="15" x14ac:dyDescent="0.25">
      <c r="K11442"/>
    </row>
    <row r="11443" spans="11:11" ht="15" x14ac:dyDescent="0.25">
      <c r="K11443"/>
    </row>
    <row r="11444" spans="11:11" ht="15" x14ac:dyDescent="0.25">
      <c r="K11444"/>
    </row>
    <row r="11445" spans="11:11" ht="15" x14ac:dyDescent="0.25">
      <c r="K11445"/>
    </row>
    <row r="11446" spans="11:11" ht="15" x14ac:dyDescent="0.25">
      <c r="K11446"/>
    </row>
    <row r="11447" spans="11:11" ht="15" x14ac:dyDescent="0.25">
      <c r="K11447"/>
    </row>
    <row r="11448" spans="11:11" ht="15" x14ac:dyDescent="0.25">
      <c r="K11448"/>
    </row>
    <row r="11449" spans="11:11" ht="15" x14ac:dyDescent="0.25">
      <c r="K11449"/>
    </row>
    <row r="11450" spans="11:11" ht="15" x14ac:dyDescent="0.25">
      <c r="K11450"/>
    </row>
    <row r="11451" spans="11:11" ht="15" x14ac:dyDescent="0.25">
      <c r="K11451"/>
    </row>
    <row r="11452" spans="11:11" ht="15" x14ac:dyDescent="0.25">
      <c r="K11452"/>
    </row>
    <row r="11453" spans="11:11" ht="15" x14ac:dyDescent="0.25">
      <c r="K11453"/>
    </row>
    <row r="11454" spans="11:11" ht="15" x14ac:dyDescent="0.25">
      <c r="K11454"/>
    </row>
    <row r="11455" spans="11:11" ht="15" x14ac:dyDescent="0.25">
      <c r="K11455"/>
    </row>
    <row r="11456" spans="11:11" ht="15" x14ac:dyDescent="0.25">
      <c r="K11456"/>
    </row>
    <row r="11457" spans="11:11" ht="15" x14ac:dyDescent="0.25">
      <c r="K11457"/>
    </row>
    <row r="11458" spans="11:11" ht="15" x14ac:dyDescent="0.25">
      <c r="K11458"/>
    </row>
    <row r="11459" spans="11:11" ht="15" x14ac:dyDescent="0.25">
      <c r="K11459"/>
    </row>
    <row r="11460" spans="11:11" ht="15" x14ac:dyDescent="0.25">
      <c r="K11460"/>
    </row>
    <row r="11461" spans="11:11" ht="15" x14ac:dyDescent="0.25">
      <c r="K11461"/>
    </row>
    <row r="11462" spans="11:11" ht="15" x14ac:dyDescent="0.25">
      <c r="K11462"/>
    </row>
    <row r="11463" spans="11:11" ht="15" x14ac:dyDescent="0.25">
      <c r="K11463"/>
    </row>
    <row r="11464" spans="11:11" ht="15" x14ac:dyDescent="0.25">
      <c r="K11464"/>
    </row>
    <row r="11465" spans="11:11" ht="15" x14ac:dyDescent="0.25">
      <c r="K11465"/>
    </row>
    <row r="11466" spans="11:11" ht="15" x14ac:dyDescent="0.25">
      <c r="K11466"/>
    </row>
    <row r="11467" spans="11:11" ht="15" x14ac:dyDescent="0.25">
      <c r="K11467"/>
    </row>
    <row r="11468" spans="11:11" ht="15" x14ac:dyDescent="0.25">
      <c r="K11468"/>
    </row>
    <row r="11469" spans="11:11" ht="15" x14ac:dyDescent="0.25">
      <c r="K11469"/>
    </row>
    <row r="11470" spans="11:11" ht="15" x14ac:dyDescent="0.25">
      <c r="K11470"/>
    </row>
    <row r="11471" spans="11:11" ht="15" x14ac:dyDescent="0.25">
      <c r="K11471"/>
    </row>
    <row r="11472" spans="11:11" ht="15" x14ac:dyDescent="0.25">
      <c r="K11472"/>
    </row>
    <row r="11473" spans="11:11" ht="15" x14ac:dyDescent="0.25">
      <c r="K11473"/>
    </row>
    <row r="11474" spans="11:11" ht="15" x14ac:dyDescent="0.25">
      <c r="K11474"/>
    </row>
    <row r="11475" spans="11:11" ht="15" x14ac:dyDescent="0.25">
      <c r="K11475"/>
    </row>
    <row r="11476" spans="11:11" ht="15" x14ac:dyDescent="0.25">
      <c r="K11476"/>
    </row>
    <row r="11477" spans="11:11" ht="15" x14ac:dyDescent="0.25">
      <c r="K11477"/>
    </row>
    <row r="11478" spans="11:11" ht="15" x14ac:dyDescent="0.25">
      <c r="K11478"/>
    </row>
    <row r="11479" spans="11:11" ht="15" x14ac:dyDescent="0.25">
      <c r="K11479"/>
    </row>
    <row r="11480" spans="11:11" ht="15" x14ac:dyDescent="0.25">
      <c r="K11480"/>
    </row>
    <row r="11481" spans="11:11" ht="15" x14ac:dyDescent="0.25">
      <c r="K11481"/>
    </row>
    <row r="11482" spans="11:11" ht="15" x14ac:dyDescent="0.25">
      <c r="K11482"/>
    </row>
    <row r="11483" spans="11:11" ht="15" x14ac:dyDescent="0.25">
      <c r="K11483"/>
    </row>
    <row r="11484" spans="11:11" ht="15" x14ac:dyDescent="0.25">
      <c r="K11484"/>
    </row>
    <row r="11485" spans="11:11" ht="15" x14ac:dyDescent="0.25">
      <c r="K11485"/>
    </row>
    <row r="11486" spans="11:11" ht="15" x14ac:dyDescent="0.25">
      <c r="K11486"/>
    </row>
    <row r="11487" spans="11:11" ht="15" x14ac:dyDescent="0.25">
      <c r="K11487"/>
    </row>
    <row r="11488" spans="11:11" ht="15" x14ac:dyDescent="0.25">
      <c r="K11488"/>
    </row>
    <row r="11489" spans="11:11" ht="15" x14ac:dyDescent="0.25">
      <c r="K11489"/>
    </row>
    <row r="11490" spans="11:11" ht="15" x14ac:dyDescent="0.25">
      <c r="K11490"/>
    </row>
    <row r="11491" spans="11:11" ht="15" x14ac:dyDescent="0.25">
      <c r="K11491"/>
    </row>
    <row r="11492" spans="11:11" ht="15" x14ac:dyDescent="0.25">
      <c r="K11492"/>
    </row>
    <row r="11493" spans="11:11" ht="15" x14ac:dyDescent="0.25">
      <c r="K11493"/>
    </row>
    <row r="11494" spans="11:11" ht="15" x14ac:dyDescent="0.25">
      <c r="K11494"/>
    </row>
    <row r="11495" spans="11:11" ht="15" x14ac:dyDescent="0.25">
      <c r="K11495"/>
    </row>
    <row r="11496" spans="11:11" ht="15" x14ac:dyDescent="0.25">
      <c r="K11496"/>
    </row>
    <row r="11497" spans="11:11" ht="15" x14ac:dyDescent="0.25">
      <c r="K11497"/>
    </row>
    <row r="11498" spans="11:11" ht="15" x14ac:dyDescent="0.25">
      <c r="K11498"/>
    </row>
    <row r="11499" spans="11:11" ht="15" x14ac:dyDescent="0.25">
      <c r="K11499"/>
    </row>
    <row r="11500" spans="11:11" ht="15" x14ac:dyDescent="0.25">
      <c r="K11500"/>
    </row>
    <row r="11501" spans="11:11" ht="15" x14ac:dyDescent="0.25">
      <c r="K11501"/>
    </row>
    <row r="11502" spans="11:11" ht="15" x14ac:dyDescent="0.25">
      <c r="K11502"/>
    </row>
    <row r="11503" spans="11:11" ht="15" x14ac:dyDescent="0.25">
      <c r="K11503"/>
    </row>
    <row r="11504" spans="11:11" ht="15" x14ac:dyDescent="0.25">
      <c r="K11504"/>
    </row>
    <row r="11505" spans="11:11" ht="15" x14ac:dyDescent="0.25">
      <c r="K11505"/>
    </row>
    <row r="11506" spans="11:11" ht="15" x14ac:dyDescent="0.25">
      <c r="K11506"/>
    </row>
    <row r="11507" spans="11:11" ht="15" x14ac:dyDescent="0.25">
      <c r="K11507"/>
    </row>
    <row r="11508" spans="11:11" ht="15" x14ac:dyDescent="0.25">
      <c r="K11508"/>
    </row>
    <row r="11509" spans="11:11" ht="15" x14ac:dyDescent="0.25">
      <c r="K11509"/>
    </row>
    <row r="11510" spans="11:11" ht="15" x14ac:dyDescent="0.25">
      <c r="K11510"/>
    </row>
    <row r="11511" spans="11:11" ht="15" x14ac:dyDescent="0.25">
      <c r="K11511"/>
    </row>
    <row r="11512" spans="11:11" ht="15" x14ac:dyDescent="0.25">
      <c r="K11512"/>
    </row>
    <row r="11513" spans="11:11" ht="15" x14ac:dyDescent="0.25">
      <c r="K11513"/>
    </row>
    <row r="11514" spans="11:11" ht="15" x14ac:dyDescent="0.25">
      <c r="K11514"/>
    </row>
    <row r="11515" spans="11:11" ht="15" x14ac:dyDescent="0.25">
      <c r="K11515"/>
    </row>
    <row r="11516" spans="11:11" ht="15" x14ac:dyDescent="0.25">
      <c r="K11516"/>
    </row>
    <row r="11517" spans="11:11" ht="15" x14ac:dyDescent="0.25">
      <c r="K11517"/>
    </row>
    <row r="11518" spans="11:11" ht="15" x14ac:dyDescent="0.25">
      <c r="K11518"/>
    </row>
    <row r="11519" spans="11:11" ht="15" x14ac:dyDescent="0.25">
      <c r="K11519"/>
    </row>
    <row r="11520" spans="11:11" ht="15" x14ac:dyDescent="0.25">
      <c r="K11520"/>
    </row>
    <row r="11521" spans="11:11" ht="15" x14ac:dyDescent="0.25">
      <c r="K11521"/>
    </row>
    <row r="11522" spans="11:11" ht="15" x14ac:dyDescent="0.25">
      <c r="K11522"/>
    </row>
    <row r="11523" spans="11:11" ht="15" x14ac:dyDescent="0.25">
      <c r="K11523"/>
    </row>
    <row r="11524" spans="11:11" ht="15" x14ac:dyDescent="0.25">
      <c r="K11524"/>
    </row>
    <row r="11525" spans="11:11" ht="15" x14ac:dyDescent="0.25">
      <c r="K11525"/>
    </row>
    <row r="11526" spans="11:11" ht="15" x14ac:dyDescent="0.25">
      <c r="K11526"/>
    </row>
    <row r="11527" spans="11:11" ht="15" x14ac:dyDescent="0.25">
      <c r="K11527"/>
    </row>
    <row r="11528" spans="11:11" ht="15" x14ac:dyDescent="0.25">
      <c r="K11528"/>
    </row>
    <row r="11529" spans="11:11" ht="15" x14ac:dyDescent="0.25">
      <c r="K11529"/>
    </row>
    <row r="11530" spans="11:11" ht="15" x14ac:dyDescent="0.25">
      <c r="K11530"/>
    </row>
    <row r="11531" spans="11:11" ht="15" x14ac:dyDescent="0.25">
      <c r="K11531"/>
    </row>
    <row r="11532" spans="11:11" ht="15" x14ac:dyDescent="0.25">
      <c r="K11532"/>
    </row>
    <row r="11533" spans="11:11" ht="15" x14ac:dyDescent="0.25">
      <c r="K11533"/>
    </row>
    <row r="11534" spans="11:11" ht="15" x14ac:dyDescent="0.25">
      <c r="K11534"/>
    </row>
    <row r="11535" spans="11:11" ht="15" x14ac:dyDescent="0.25">
      <c r="K11535"/>
    </row>
    <row r="11536" spans="11:11" ht="15" x14ac:dyDescent="0.25">
      <c r="K11536"/>
    </row>
    <row r="11537" spans="11:11" ht="15" x14ac:dyDescent="0.25">
      <c r="K11537"/>
    </row>
    <row r="11538" spans="11:11" ht="15" x14ac:dyDescent="0.25">
      <c r="K11538"/>
    </row>
    <row r="11539" spans="11:11" ht="15" x14ac:dyDescent="0.25">
      <c r="K11539"/>
    </row>
    <row r="11540" spans="11:11" ht="15" x14ac:dyDescent="0.25">
      <c r="K11540"/>
    </row>
    <row r="11541" spans="11:11" ht="15" x14ac:dyDescent="0.25">
      <c r="K11541"/>
    </row>
    <row r="11542" spans="11:11" ht="15" x14ac:dyDescent="0.25">
      <c r="K11542"/>
    </row>
    <row r="11543" spans="11:11" ht="15" x14ac:dyDescent="0.25">
      <c r="K11543"/>
    </row>
    <row r="11544" spans="11:11" ht="15" x14ac:dyDescent="0.25">
      <c r="K11544"/>
    </row>
    <row r="11545" spans="11:11" ht="15" x14ac:dyDescent="0.25">
      <c r="K11545"/>
    </row>
    <row r="11546" spans="11:11" ht="15" x14ac:dyDescent="0.25">
      <c r="K11546"/>
    </row>
    <row r="11547" spans="11:11" ht="15" x14ac:dyDescent="0.25">
      <c r="K11547"/>
    </row>
    <row r="11548" spans="11:11" ht="15" x14ac:dyDescent="0.25">
      <c r="K11548"/>
    </row>
    <row r="11549" spans="11:11" ht="15" x14ac:dyDescent="0.25">
      <c r="K11549"/>
    </row>
    <row r="11550" spans="11:11" ht="15" x14ac:dyDescent="0.25">
      <c r="K11550"/>
    </row>
    <row r="11551" spans="11:11" ht="15" x14ac:dyDescent="0.25">
      <c r="K11551"/>
    </row>
    <row r="11552" spans="11:11" ht="15" x14ac:dyDescent="0.25">
      <c r="K11552"/>
    </row>
    <row r="11553" spans="11:11" ht="15" x14ac:dyDescent="0.25">
      <c r="K11553"/>
    </row>
    <row r="11554" spans="11:11" ht="15" x14ac:dyDescent="0.25">
      <c r="K11554"/>
    </row>
    <row r="11555" spans="11:11" ht="15" x14ac:dyDescent="0.25">
      <c r="K11555"/>
    </row>
    <row r="11556" spans="11:11" ht="15" x14ac:dyDescent="0.25">
      <c r="K11556"/>
    </row>
    <row r="11557" spans="11:11" ht="15" x14ac:dyDescent="0.25">
      <c r="K11557"/>
    </row>
    <row r="11558" spans="11:11" ht="15" x14ac:dyDescent="0.25">
      <c r="K11558"/>
    </row>
    <row r="11559" spans="11:11" ht="15" x14ac:dyDescent="0.25">
      <c r="K11559"/>
    </row>
    <row r="11560" spans="11:11" ht="15" x14ac:dyDescent="0.25">
      <c r="K11560"/>
    </row>
    <row r="11561" spans="11:11" ht="15" x14ac:dyDescent="0.25">
      <c r="K11561"/>
    </row>
    <row r="11562" spans="11:11" ht="15" x14ac:dyDescent="0.25">
      <c r="K11562"/>
    </row>
    <row r="11563" spans="11:11" ht="15" x14ac:dyDescent="0.25">
      <c r="K11563"/>
    </row>
    <row r="11564" spans="11:11" ht="15" x14ac:dyDescent="0.25">
      <c r="K11564"/>
    </row>
    <row r="11565" spans="11:11" ht="15" x14ac:dyDescent="0.25">
      <c r="K11565"/>
    </row>
    <row r="11566" spans="11:11" ht="15" x14ac:dyDescent="0.25">
      <c r="K11566"/>
    </row>
    <row r="11567" spans="11:11" ht="15" x14ac:dyDescent="0.25">
      <c r="K11567"/>
    </row>
    <row r="11568" spans="11:11" ht="15" x14ac:dyDescent="0.25">
      <c r="K11568"/>
    </row>
    <row r="11569" spans="11:11" ht="15" x14ac:dyDescent="0.25">
      <c r="K11569"/>
    </row>
    <row r="11570" spans="11:11" ht="15" x14ac:dyDescent="0.25">
      <c r="K11570"/>
    </row>
    <row r="11571" spans="11:11" ht="15" x14ac:dyDescent="0.25">
      <c r="K11571"/>
    </row>
    <row r="11572" spans="11:11" ht="15" x14ac:dyDescent="0.25">
      <c r="K11572"/>
    </row>
    <row r="11573" spans="11:11" ht="15" x14ac:dyDescent="0.25">
      <c r="K11573"/>
    </row>
    <row r="11574" spans="11:11" ht="15" x14ac:dyDescent="0.25">
      <c r="K11574"/>
    </row>
    <row r="11575" spans="11:11" ht="15" x14ac:dyDescent="0.25">
      <c r="K11575"/>
    </row>
    <row r="11576" spans="11:11" ht="15" x14ac:dyDescent="0.25">
      <c r="K11576"/>
    </row>
    <row r="11577" spans="11:11" ht="15" x14ac:dyDescent="0.25">
      <c r="K11577"/>
    </row>
    <row r="11578" spans="11:11" ht="15" x14ac:dyDescent="0.25">
      <c r="K11578"/>
    </row>
    <row r="11579" spans="11:11" ht="15" x14ac:dyDescent="0.25">
      <c r="K11579"/>
    </row>
    <row r="11580" spans="11:11" ht="15" x14ac:dyDescent="0.25">
      <c r="K11580"/>
    </row>
    <row r="11581" spans="11:11" ht="15" x14ac:dyDescent="0.25">
      <c r="K11581"/>
    </row>
    <row r="11582" spans="11:11" ht="15" x14ac:dyDescent="0.25">
      <c r="K11582"/>
    </row>
    <row r="11583" spans="11:11" ht="15" x14ac:dyDescent="0.25">
      <c r="K11583"/>
    </row>
    <row r="11584" spans="11:11" ht="15" x14ac:dyDescent="0.25">
      <c r="K11584"/>
    </row>
    <row r="11585" spans="11:11" ht="15" x14ac:dyDescent="0.25">
      <c r="K11585"/>
    </row>
    <row r="11586" spans="11:11" ht="15" x14ac:dyDescent="0.25">
      <c r="K11586"/>
    </row>
    <row r="11587" spans="11:11" ht="15" x14ac:dyDescent="0.25">
      <c r="K11587"/>
    </row>
    <row r="11588" spans="11:11" ht="15" x14ac:dyDescent="0.25">
      <c r="K11588"/>
    </row>
    <row r="11589" spans="11:11" ht="15" x14ac:dyDescent="0.25">
      <c r="K11589"/>
    </row>
    <row r="11590" spans="11:11" ht="15" x14ac:dyDescent="0.25">
      <c r="K11590"/>
    </row>
    <row r="11591" spans="11:11" ht="15" x14ac:dyDescent="0.25">
      <c r="K11591"/>
    </row>
    <row r="11592" spans="11:11" ht="15" x14ac:dyDescent="0.25">
      <c r="K11592"/>
    </row>
    <row r="11593" spans="11:11" ht="15" x14ac:dyDescent="0.25">
      <c r="K11593"/>
    </row>
    <row r="11594" spans="11:11" ht="15" x14ac:dyDescent="0.25">
      <c r="K11594"/>
    </row>
    <row r="11595" spans="11:11" ht="15" x14ac:dyDescent="0.25">
      <c r="K11595"/>
    </row>
    <row r="11596" spans="11:11" ht="15" x14ac:dyDescent="0.25">
      <c r="K11596"/>
    </row>
    <row r="11597" spans="11:11" ht="15" x14ac:dyDescent="0.25">
      <c r="K11597"/>
    </row>
    <row r="11598" spans="11:11" ht="15" x14ac:dyDescent="0.25">
      <c r="K11598"/>
    </row>
    <row r="11599" spans="11:11" ht="15" x14ac:dyDescent="0.25">
      <c r="K11599"/>
    </row>
    <row r="11600" spans="11:11" ht="15" x14ac:dyDescent="0.25">
      <c r="K11600"/>
    </row>
    <row r="11601" spans="11:11" ht="15" x14ac:dyDescent="0.25">
      <c r="K11601"/>
    </row>
    <row r="11602" spans="11:11" ht="15" x14ac:dyDescent="0.25">
      <c r="K11602"/>
    </row>
    <row r="11603" spans="11:11" ht="15" x14ac:dyDescent="0.25">
      <c r="K11603"/>
    </row>
    <row r="11604" spans="11:11" ht="15" x14ac:dyDescent="0.25">
      <c r="K11604"/>
    </row>
    <row r="11605" spans="11:11" ht="15" x14ac:dyDescent="0.25">
      <c r="K11605"/>
    </row>
    <row r="11606" spans="11:11" ht="15" x14ac:dyDescent="0.25">
      <c r="K11606"/>
    </row>
    <row r="11607" spans="11:11" ht="15" x14ac:dyDescent="0.25">
      <c r="K11607"/>
    </row>
    <row r="11608" spans="11:11" ht="15" x14ac:dyDescent="0.25">
      <c r="K11608"/>
    </row>
    <row r="11609" spans="11:11" ht="15" x14ac:dyDescent="0.25">
      <c r="K11609"/>
    </row>
    <row r="11610" spans="11:11" ht="15" x14ac:dyDescent="0.25">
      <c r="K11610"/>
    </row>
    <row r="11611" spans="11:11" ht="15" x14ac:dyDescent="0.25">
      <c r="K11611"/>
    </row>
    <row r="11612" spans="11:11" ht="15" x14ac:dyDescent="0.25">
      <c r="K11612"/>
    </row>
    <row r="11613" spans="11:11" ht="15" x14ac:dyDescent="0.25">
      <c r="K11613"/>
    </row>
    <row r="11614" spans="11:11" ht="15" x14ac:dyDescent="0.25">
      <c r="K11614"/>
    </row>
    <row r="11615" spans="11:11" ht="15" x14ac:dyDescent="0.25">
      <c r="K11615"/>
    </row>
    <row r="11616" spans="11:11" ht="15" x14ac:dyDescent="0.25">
      <c r="K11616"/>
    </row>
    <row r="11617" spans="11:11" ht="15" x14ac:dyDescent="0.25">
      <c r="K11617"/>
    </row>
    <row r="11618" spans="11:11" ht="15" x14ac:dyDescent="0.25">
      <c r="K11618"/>
    </row>
    <row r="11619" spans="11:11" ht="15" x14ac:dyDescent="0.25">
      <c r="K11619"/>
    </row>
    <row r="11620" spans="11:11" ht="15" x14ac:dyDescent="0.25">
      <c r="K11620"/>
    </row>
    <row r="11621" spans="11:11" ht="15" x14ac:dyDescent="0.25">
      <c r="K11621"/>
    </row>
    <row r="11622" spans="11:11" ht="15" x14ac:dyDescent="0.25">
      <c r="K11622"/>
    </row>
    <row r="11623" spans="11:11" ht="15" x14ac:dyDescent="0.25">
      <c r="K11623"/>
    </row>
    <row r="11624" spans="11:11" ht="15" x14ac:dyDescent="0.25">
      <c r="K11624"/>
    </row>
    <row r="11625" spans="11:11" ht="15" x14ac:dyDescent="0.25">
      <c r="K11625"/>
    </row>
    <row r="11626" spans="11:11" ht="15" x14ac:dyDescent="0.25">
      <c r="K11626"/>
    </row>
    <row r="11627" spans="11:11" ht="15" x14ac:dyDescent="0.25">
      <c r="K11627"/>
    </row>
    <row r="11628" spans="11:11" ht="15" x14ac:dyDescent="0.25">
      <c r="K11628"/>
    </row>
    <row r="11629" spans="11:11" ht="15" x14ac:dyDescent="0.25">
      <c r="K11629"/>
    </row>
    <row r="11630" spans="11:11" ht="15" x14ac:dyDescent="0.25">
      <c r="K11630"/>
    </row>
    <row r="11631" spans="11:11" ht="15" x14ac:dyDescent="0.25">
      <c r="K11631"/>
    </row>
    <row r="11632" spans="11:11" ht="15" x14ac:dyDescent="0.25">
      <c r="K11632"/>
    </row>
    <row r="11633" spans="11:11" ht="15" x14ac:dyDescent="0.25">
      <c r="K11633"/>
    </row>
    <row r="11634" spans="11:11" ht="15" x14ac:dyDescent="0.25">
      <c r="K11634"/>
    </row>
    <row r="11635" spans="11:11" ht="15" x14ac:dyDescent="0.25">
      <c r="K11635"/>
    </row>
    <row r="11636" spans="11:11" ht="15" x14ac:dyDescent="0.25">
      <c r="K11636"/>
    </row>
    <row r="11637" spans="11:11" ht="15" x14ac:dyDescent="0.25">
      <c r="K11637"/>
    </row>
    <row r="11638" spans="11:11" ht="15" x14ac:dyDescent="0.25">
      <c r="K11638"/>
    </row>
    <row r="11639" spans="11:11" ht="15" x14ac:dyDescent="0.25">
      <c r="K11639"/>
    </row>
    <row r="11640" spans="11:11" ht="15" x14ac:dyDescent="0.25">
      <c r="K11640"/>
    </row>
    <row r="11641" spans="11:11" ht="15" x14ac:dyDescent="0.25">
      <c r="K11641"/>
    </row>
    <row r="11642" spans="11:11" ht="15" x14ac:dyDescent="0.25">
      <c r="K11642"/>
    </row>
    <row r="11643" spans="11:11" ht="15" x14ac:dyDescent="0.25">
      <c r="K11643"/>
    </row>
    <row r="11644" spans="11:11" ht="15" x14ac:dyDescent="0.25">
      <c r="K11644"/>
    </row>
    <row r="11645" spans="11:11" ht="15" x14ac:dyDescent="0.25">
      <c r="K11645"/>
    </row>
    <row r="11646" spans="11:11" ht="15" x14ac:dyDescent="0.25">
      <c r="K11646"/>
    </row>
    <row r="11647" spans="11:11" ht="15" x14ac:dyDescent="0.25">
      <c r="K11647"/>
    </row>
    <row r="11648" spans="11:11" ht="15" x14ac:dyDescent="0.25">
      <c r="K11648"/>
    </row>
    <row r="11649" spans="11:11" ht="15" x14ac:dyDescent="0.25">
      <c r="K11649"/>
    </row>
    <row r="11650" spans="11:11" ht="15" x14ac:dyDescent="0.25">
      <c r="K11650"/>
    </row>
    <row r="11651" spans="11:11" ht="15" x14ac:dyDescent="0.25">
      <c r="K11651"/>
    </row>
    <row r="11652" spans="11:11" ht="15" x14ac:dyDescent="0.25">
      <c r="K11652"/>
    </row>
    <row r="11653" spans="11:11" ht="15" x14ac:dyDescent="0.25">
      <c r="K11653"/>
    </row>
    <row r="11654" spans="11:11" ht="15" x14ac:dyDescent="0.25">
      <c r="K11654"/>
    </row>
    <row r="11655" spans="11:11" ht="15" x14ac:dyDescent="0.25">
      <c r="K11655"/>
    </row>
    <row r="11656" spans="11:11" ht="15" x14ac:dyDescent="0.25">
      <c r="K11656"/>
    </row>
    <row r="11657" spans="11:11" ht="15" x14ac:dyDescent="0.25">
      <c r="K11657"/>
    </row>
    <row r="11658" spans="11:11" ht="15" x14ac:dyDescent="0.25">
      <c r="K11658"/>
    </row>
    <row r="11659" spans="11:11" ht="15" x14ac:dyDescent="0.25">
      <c r="K11659"/>
    </row>
    <row r="11660" spans="11:11" ht="15" x14ac:dyDescent="0.25">
      <c r="K11660"/>
    </row>
    <row r="11661" spans="11:11" ht="15" x14ac:dyDescent="0.25">
      <c r="K11661"/>
    </row>
    <row r="11662" spans="11:11" ht="15" x14ac:dyDescent="0.25">
      <c r="K11662"/>
    </row>
    <row r="11663" spans="11:11" ht="15" x14ac:dyDescent="0.25">
      <c r="K11663"/>
    </row>
    <row r="11664" spans="11:11" ht="15" x14ac:dyDescent="0.25">
      <c r="K11664"/>
    </row>
    <row r="11665" spans="11:11" ht="15" x14ac:dyDescent="0.25">
      <c r="K11665"/>
    </row>
    <row r="11666" spans="11:11" ht="15" x14ac:dyDescent="0.25">
      <c r="K11666"/>
    </row>
    <row r="11667" spans="11:11" ht="15" x14ac:dyDescent="0.25">
      <c r="K11667"/>
    </row>
    <row r="11668" spans="11:11" ht="15" x14ac:dyDescent="0.25">
      <c r="K11668"/>
    </row>
    <row r="11669" spans="11:11" ht="15" x14ac:dyDescent="0.25">
      <c r="K11669"/>
    </row>
    <row r="11670" spans="11:11" ht="15" x14ac:dyDescent="0.25">
      <c r="K11670"/>
    </row>
    <row r="11671" spans="11:11" ht="15" x14ac:dyDescent="0.25">
      <c r="K11671"/>
    </row>
    <row r="11672" spans="11:11" ht="15" x14ac:dyDescent="0.25">
      <c r="K11672"/>
    </row>
    <row r="11673" spans="11:11" ht="15" x14ac:dyDescent="0.25">
      <c r="K11673"/>
    </row>
    <row r="11674" spans="11:11" ht="15" x14ac:dyDescent="0.25">
      <c r="K11674"/>
    </row>
    <row r="11675" spans="11:11" ht="15" x14ac:dyDescent="0.25">
      <c r="K11675"/>
    </row>
    <row r="11676" spans="11:11" ht="15" x14ac:dyDescent="0.25">
      <c r="K11676"/>
    </row>
    <row r="11677" spans="11:11" ht="15" x14ac:dyDescent="0.25">
      <c r="K11677"/>
    </row>
    <row r="11678" spans="11:11" ht="15" x14ac:dyDescent="0.25">
      <c r="K11678"/>
    </row>
    <row r="11679" spans="11:11" ht="15" x14ac:dyDescent="0.25">
      <c r="K11679"/>
    </row>
    <row r="11680" spans="11:11" ht="15" x14ac:dyDescent="0.25">
      <c r="K11680"/>
    </row>
    <row r="11681" spans="11:11" ht="15" x14ac:dyDescent="0.25">
      <c r="K11681"/>
    </row>
    <row r="11682" spans="11:11" ht="15" x14ac:dyDescent="0.25">
      <c r="K11682"/>
    </row>
    <row r="11683" spans="11:11" ht="15" x14ac:dyDescent="0.25">
      <c r="K11683"/>
    </row>
    <row r="11684" spans="11:11" ht="15" x14ac:dyDescent="0.25">
      <c r="K11684"/>
    </row>
    <row r="11685" spans="11:11" ht="15" x14ac:dyDescent="0.25">
      <c r="K11685"/>
    </row>
    <row r="11686" spans="11:11" ht="15" x14ac:dyDescent="0.25">
      <c r="K11686"/>
    </row>
    <row r="11687" spans="11:11" ht="15" x14ac:dyDescent="0.25">
      <c r="K11687"/>
    </row>
    <row r="11688" spans="11:11" ht="15" x14ac:dyDescent="0.25">
      <c r="K11688"/>
    </row>
    <row r="11689" spans="11:11" ht="15" x14ac:dyDescent="0.25">
      <c r="K11689"/>
    </row>
    <row r="11690" spans="11:11" ht="15" x14ac:dyDescent="0.25">
      <c r="K11690"/>
    </row>
    <row r="11691" spans="11:11" ht="15" x14ac:dyDescent="0.25">
      <c r="K11691"/>
    </row>
    <row r="11692" spans="11:11" ht="15" x14ac:dyDescent="0.25">
      <c r="K11692"/>
    </row>
    <row r="11693" spans="11:11" ht="15" x14ac:dyDescent="0.25">
      <c r="K11693"/>
    </row>
    <row r="11694" spans="11:11" ht="15" x14ac:dyDescent="0.25">
      <c r="K11694"/>
    </row>
    <row r="11695" spans="11:11" ht="15" x14ac:dyDescent="0.25">
      <c r="K11695"/>
    </row>
    <row r="11696" spans="11:11" ht="15" x14ac:dyDescent="0.25">
      <c r="K11696"/>
    </row>
    <row r="11697" spans="11:11" ht="15" x14ac:dyDescent="0.25">
      <c r="K11697"/>
    </row>
    <row r="11698" spans="11:11" ht="15" x14ac:dyDescent="0.25">
      <c r="K11698"/>
    </row>
    <row r="11699" spans="11:11" ht="15" x14ac:dyDescent="0.25">
      <c r="K11699"/>
    </row>
    <row r="11700" spans="11:11" ht="15" x14ac:dyDescent="0.25">
      <c r="K11700"/>
    </row>
    <row r="11701" spans="11:11" ht="15" x14ac:dyDescent="0.25">
      <c r="K11701"/>
    </row>
    <row r="11702" spans="11:11" ht="15" x14ac:dyDescent="0.25">
      <c r="K11702"/>
    </row>
    <row r="11703" spans="11:11" ht="15" x14ac:dyDescent="0.25">
      <c r="K11703"/>
    </row>
    <row r="11704" spans="11:11" ht="15" x14ac:dyDescent="0.25">
      <c r="K11704"/>
    </row>
    <row r="11705" spans="11:11" ht="15" x14ac:dyDescent="0.25">
      <c r="K11705"/>
    </row>
    <row r="11706" spans="11:11" ht="15" x14ac:dyDescent="0.25">
      <c r="K11706"/>
    </row>
    <row r="11707" spans="11:11" ht="15" x14ac:dyDescent="0.25">
      <c r="K11707"/>
    </row>
    <row r="11708" spans="11:11" ht="15" x14ac:dyDescent="0.25">
      <c r="K11708"/>
    </row>
    <row r="11709" spans="11:11" ht="15" x14ac:dyDescent="0.25">
      <c r="K11709"/>
    </row>
    <row r="11710" spans="11:11" ht="15" x14ac:dyDescent="0.25">
      <c r="K11710"/>
    </row>
    <row r="11711" spans="11:11" ht="15" x14ac:dyDescent="0.25">
      <c r="K11711"/>
    </row>
    <row r="11712" spans="11:11" ht="15" x14ac:dyDescent="0.25">
      <c r="K11712"/>
    </row>
    <row r="11713" spans="11:11" ht="15" x14ac:dyDescent="0.25">
      <c r="K11713"/>
    </row>
    <row r="11714" spans="11:11" ht="15" x14ac:dyDescent="0.25">
      <c r="K11714"/>
    </row>
    <row r="11715" spans="11:11" ht="15" x14ac:dyDescent="0.25">
      <c r="K11715"/>
    </row>
    <row r="11716" spans="11:11" ht="15" x14ac:dyDescent="0.25">
      <c r="K11716"/>
    </row>
    <row r="11717" spans="11:11" ht="15" x14ac:dyDescent="0.25">
      <c r="K11717"/>
    </row>
    <row r="11718" spans="11:11" ht="15" x14ac:dyDescent="0.25">
      <c r="K11718"/>
    </row>
    <row r="11719" spans="11:11" ht="15" x14ac:dyDescent="0.25">
      <c r="K11719"/>
    </row>
    <row r="11720" spans="11:11" ht="15" x14ac:dyDescent="0.25">
      <c r="K11720"/>
    </row>
    <row r="11721" spans="11:11" ht="15" x14ac:dyDescent="0.25">
      <c r="K11721"/>
    </row>
    <row r="11722" spans="11:11" ht="15" x14ac:dyDescent="0.25">
      <c r="K11722"/>
    </row>
    <row r="11723" spans="11:11" ht="15" x14ac:dyDescent="0.25">
      <c r="K11723"/>
    </row>
    <row r="11724" spans="11:11" ht="15" x14ac:dyDescent="0.25">
      <c r="K11724"/>
    </row>
    <row r="11725" spans="11:11" ht="15" x14ac:dyDescent="0.25">
      <c r="K11725"/>
    </row>
    <row r="11726" spans="11:11" ht="15" x14ac:dyDescent="0.25">
      <c r="K11726"/>
    </row>
    <row r="11727" spans="11:11" ht="15" x14ac:dyDescent="0.25">
      <c r="K11727"/>
    </row>
    <row r="11728" spans="11:11" ht="15" x14ac:dyDescent="0.25">
      <c r="K11728"/>
    </row>
    <row r="11729" spans="11:11" ht="15" x14ac:dyDescent="0.25">
      <c r="K11729"/>
    </row>
    <row r="11730" spans="11:11" ht="15" x14ac:dyDescent="0.25">
      <c r="K11730"/>
    </row>
    <row r="11731" spans="11:11" ht="15" x14ac:dyDescent="0.25">
      <c r="K11731"/>
    </row>
    <row r="11732" spans="11:11" ht="15" x14ac:dyDescent="0.25">
      <c r="K11732"/>
    </row>
    <row r="11733" spans="11:11" ht="15" x14ac:dyDescent="0.25">
      <c r="K11733"/>
    </row>
    <row r="11734" spans="11:11" ht="15" x14ac:dyDescent="0.25">
      <c r="K11734"/>
    </row>
    <row r="11735" spans="11:11" ht="15" x14ac:dyDescent="0.25">
      <c r="K11735"/>
    </row>
    <row r="11736" spans="11:11" ht="15" x14ac:dyDescent="0.25">
      <c r="K11736"/>
    </row>
    <row r="11737" spans="11:11" ht="15" x14ac:dyDescent="0.25">
      <c r="K11737"/>
    </row>
    <row r="11738" spans="11:11" ht="15" x14ac:dyDescent="0.25">
      <c r="K11738"/>
    </row>
    <row r="11739" spans="11:11" ht="15" x14ac:dyDescent="0.25">
      <c r="K11739"/>
    </row>
    <row r="11740" spans="11:11" ht="15" x14ac:dyDescent="0.25">
      <c r="K11740"/>
    </row>
    <row r="11741" spans="11:11" ht="15" x14ac:dyDescent="0.25">
      <c r="K11741"/>
    </row>
    <row r="11742" spans="11:11" ht="15" x14ac:dyDescent="0.25">
      <c r="K11742"/>
    </row>
    <row r="11743" spans="11:11" ht="15" x14ac:dyDescent="0.25">
      <c r="K11743"/>
    </row>
    <row r="11744" spans="11:11" ht="15" x14ac:dyDescent="0.25">
      <c r="K11744"/>
    </row>
    <row r="11745" spans="11:11" ht="15" x14ac:dyDescent="0.25">
      <c r="K11745"/>
    </row>
    <row r="11746" spans="11:11" ht="15" x14ac:dyDescent="0.25">
      <c r="K11746"/>
    </row>
    <row r="11747" spans="11:11" ht="15" x14ac:dyDescent="0.25">
      <c r="K11747"/>
    </row>
    <row r="11748" spans="11:11" ht="15" x14ac:dyDescent="0.25">
      <c r="K11748"/>
    </row>
    <row r="11749" spans="11:11" ht="15" x14ac:dyDescent="0.25">
      <c r="K11749"/>
    </row>
    <row r="11750" spans="11:11" ht="15" x14ac:dyDescent="0.25">
      <c r="K11750"/>
    </row>
    <row r="11751" spans="11:11" ht="15" x14ac:dyDescent="0.25">
      <c r="K11751"/>
    </row>
    <row r="11752" spans="11:11" ht="15" x14ac:dyDescent="0.25">
      <c r="K11752"/>
    </row>
    <row r="11753" spans="11:11" ht="15" x14ac:dyDescent="0.25">
      <c r="K11753"/>
    </row>
    <row r="11754" spans="11:11" ht="15" x14ac:dyDescent="0.25">
      <c r="K11754"/>
    </row>
    <row r="11755" spans="11:11" ht="15" x14ac:dyDescent="0.25">
      <c r="K11755"/>
    </row>
    <row r="11756" spans="11:11" ht="15" x14ac:dyDescent="0.25">
      <c r="K11756"/>
    </row>
    <row r="11757" spans="11:11" ht="15" x14ac:dyDescent="0.25">
      <c r="K11757"/>
    </row>
    <row r="11758" spans="11:11" ht="15" x14ac:dyDescent="0.25">
      <c r="K11758"/>
    </row>
    <row r="11759" spans="11:11" ht="15" x14ac:dyDescent="0.25">
      <c r="K11759"/>
    </row>
    <row r="11760" spans="11:11" ht="15" x14ac:dyDescent="0.25">
      <c r="K11760"/>
    </row>
    <row r="11761" spans="11:11" ht="15" x14ac:dyDescent="0.25">
      <c r="K11761"/>
    </row>
    <row r="11762" spans="11:11" ht="15" x14ac:dyDescent="0.25">
      <c r="K11762"/>
    </row>
    <row r="11763" spans="11:11" ht="15" x14ac:dyDescent="0.25">
      <c r="K11763"/>
    </row>
    <row r="11764" spans="11:11" ht="15" x14ac:dyDescent="0.25">
      <c r="K11764"/>
    </row>
    <row r="11765" spans="11:11" ht="15" x14ac:dyDescent="0.25">
      <c r="K11765"/>
    </row>
    <row r="11766" spans="11:11" ht="15" x14ac:dyDescent="0.25">
      <c r="K11766"/>
    </row>
    <row r="11767" spans="11:11" ht="15" x14ac:dyDescent="0.25">
      <c r="K11767"/>
    </row>
    <row r="11768" spans="11:11" ht="15" x14ac:dyDescent="0.25">
      <c r="K11768"/>
    </row>
    <row r="11769" spans="11:11" ht="15" x14ac:dyDescent="0.25">
      <c r="K11769"/>
    </row>
    <row r="11770" spans="11:11" ht="15" x14ac:dyDescent="0.25">
      <c r="K11770"/>
    </row>
    <row r="11771" spans="11:11" ht="15" x14ac:dyDescent="0.25">
      <c r="K11771"/>
    </row>
    <row r="11772" spans="11:11" ht="15" x14ac:dyDescent="0.25">
      <c r="K11772"/>
    </row>
    <row r="11773" spans="11:11" ht="15" x14ac:dyDescent="0.25">
      <c r="K11773"/>
    </row>
    <row r="11774" spans="11:11" ht="15" x14ac:dyDescent="0.25">
      <c r="K11774"/>
    </row>
    <row r="11775" spans="11:11" ht="15" x14ac:dyDescent="0.25">
      <c r="K11775"/>
    </row>
    <row r="11776" spans="11:11" ht="15" x14ac:dyDescent="0.25">
      <c r="K11776"/>
    </row>
    <row r="11777" spans="11:11" ht="15" x14ac:dyDescent="0.25">
      <c r="K11777"/>
    </row>
    <row r="11778" spans="11:11" ht="15" x14ac:dyDescent="0.25">
      <c r="K11778"/>
    </row>
    <row r="11779" spans="11:11" ht="15" x14ac:dyDescent="0.25">
      <c r="K11779"/>
    </row>
    <row r="11780" spans="11:11" ht="15" x14ac:dyDescent="0.25">
      <c r="K11780"/>
    </row>
    <row r="11781" spans="11:11" ht="15" x14ac:dyDescent="0.25">
      <c r="K11781"/>
    </row>
    <row r="11782" spans="11:11" ht="15" x14ac:dyDescent="0.25">
      <c r="K11782"/>
    </row>
    <row r="11783" spans="11:11" ht="15" x14ac:dyDescent="0.25">
      <c r="K11783"/>
    </row>
    <row r="11784" spans="11:11" ht="15" x14ac:dyDescent="0.25">
      <c r="K11784"/>
    </row>
    <row r="11785" spans="11:11" ht="15" x14ac:dyDescent="0.25">
      <c r="K11785"/>
    </row>
    <row r="11786" spans="11:11" ht="15" x14ac:dyDescent="0.25">
      <c r="K11786"/>
    </row>
    <row r="11787" spans="11:11" ht="15" x14ac:dyDescent="0.25">
      <c r="K11787"/>
    </row>
    <row r="11788" spans="11:11" ht="15" x14ac:dyDescent="0.25">
      <c r="K11788"/>
    </row>
    <row r="11789" spans="11:11" ht="15" x14ac:dyDescent="0.25">
      <c r="K11789"/>
    </row>
    <row r="11790" spans="11:11" ht="15" x14ac:dyDescent="0.25">
      <c r="K11790"/>
    </row>
    <row r="11791" spans="11:11" ht="15" x14ac:dyDescent="0.25">
      <c r="K11791"/>
    </row>
    <row r="11792" spans="11:11" ht="15" x14ac:dyDescent="0.25">
      <c r="K11792"/>
    </row>
    <row r="11793" spans="11:11" ht="15" x14ac:dyDescent="0.25">
      <c r="K11793"/>
    </row>
    <row r="11794" spans="11:11" ht="15" x14ac:dyDescent="0.25">
      <c r="K11794"/>
    </row>
    <row r="11795" spans="11:11" ht="15" x14ac:dyDescent="0.25">
      <c r="K11795"/>
    </row>
    <row r="11796" spans="11:11" ht="15" x14ac:dyDescent="0.25">
      <c r="K11796"/>
    </row>
    <row r="11797" spans="11:11" ht="15" x14ac:dyDescent="0.25">
      <c r="K11797"/>
    </row>
    <row r="11798" spans="11:11" ht="15" x14ac:dyDescent="0.25">
      <c r="K11798"/>
    </row>
    <row r="11799" spans="11:11" ht="15" x14ac:dyDescent="0.25">
      <c r="K11799"/>
    </row>
    <row r="11800" spans="11:11" ht="15" x14ac:dyDescent="0.25">
      <c r="K11800"/>
    </row>
    <row r="11801" spans="11:11" ht="15" x14ac:dyDescent="0.25">
      <c r="K11801"/>
    </row>
    <row r="11802" spans="11:11" ht="15" x14ac:dyDescent="0.25">
      <c r="K11802"/>
    </row>
    <row r="11803" spans="11:11" ht="15" x14ac:dyDescent="0.25">
      <c r="K11803"/>
    </row>
    <row r="11804" spans="11:11" ht="15" x14ac:dyDescent="0.25">
      <c r="K11804"/>
    </row>
    <row r="11805" spans="11:11" ht="15" x14ac:dyDescent="0.25">
      <c r="K11805"/>
    </row>
    <row r="11806" spans="11:11" ht="15" x14ac:dyDescent="0.25">
      <c r="K11806"/>
    </row>
    <row r="11807" spans="11:11" ht="15" x14ac:dyDescent="0.25">
      <c r="K11807"/>
    </row>
    <row r="11808" spans="11:11" ht="15" x14ac:dyDescent="0.25">
      <c r="K11808"/>
    </row>
    <row r="11809" spans="11:11" ht="15" x14ac:dyDescent="0.25">
      <c r="K11809"/>
    </row>
    <row r="11810" spans="11:11" ht="15" x14ac:dyDescent="0.25">
      <c r="K11810"/>
    </row>
    <row r="11811" spans="11:11" ht="15" x14ac:dyDescent="0.25">
      <c r="K11811"/>
    </row>
    <row r="11812" spans="11:11" ht="15" x14ac:dyDescent="0.25">
      <c r="K11812"/>
    </row>
    <row r="11813" spans="11:11" ht="15" x14ac:dyDescent="0.25">
      <c r="K11813"/>
    </row>
    <row r="11814" spans="11:11" ht="15" x14ac:dyDescent="0.25">
      <c r="K11814"/>
    </row>
    <row r="11815" spans="11:11" ht="15" x14ac:dyDescent="0.25">
      <c r="K11815"/>
    </row>
    <row r="11816" spans="11:11" ht="15" x14ac:dyDescent="0.25">
      <c r="K11816"/>
    </row>
    <row r="11817" spans="11:11" ht="15" x14ac:dyDescent="0.25">
      <c r="K11817"/>
    </row>
    <row r="11818" spans="11:11" ht="15" x14ac:dyDescent="0.25">
      <c r="K11818"/>
    </row>
    <row r="11819" spans="11:11" ht="15" x14ac:dyDescent="0.25">
      <c r="K11819"/>
    </row>
    <row r="11820" spans="11:11" ht="15" x14ac:dyDescent="0.25">
      <c r="K11820"/>
    </row>
    <row r="11821" spans="11:11" ht="15" x14ac:dyDescent="0.25">
      <c r="K11821"/>
    </row>
    <row r="11822" spans="11:11" ht="15" x14ac:dyDescent="0.25">
      <c r="K11822"/>
    </row>
    <row r="11823" spans="11:11" ht="15" x14ac:dyDescent="0.25">
      <c r="K11823"/>
    </row>
    <row r="11824" spans="11:11" ht="15" x14ac:dyDescent="0.25">
      <c r="K11824"/>
    </row>
    <row r="11825" spans="11:11" ht="15" x14ac:dyDescent="0.25">
      <c r="K11825"/>
    </row>
    <row r="11826" spans="11:11" ht="15" x14ac:dyDescent="0.25">
      <c r="K11826"/>
    </row>
    <row r="11827" spans="11:11" ht="15" x14ac:dyDescent="0.25">
      <c r="K11827"/>
    </row>
    <row r="11828" spans="11:11" ht="15" x14ac:dyDescent="0.25">
      <c r="K11828"/>
    </row>
    <row r="11829" spans="11:11" ht="15" x14ac:dyDescent="0.25">
      <c r="K11829"/>
    </row>
    <row r="11830" spans="11:11" ht="15" x14ac:dyDescent="0.25">
      <c r="K11830"/>
    </row>
    <row r="11831" spans="11:11" ht="15" x14ac:dyDescent="0.25">
      <c r="K11831"/>
    </row>
    <row r="11832" spans="11:11" ht="15" x14ac:dyDescent="0.25">
      <c r="K11832"/>
    </row>
    <row r="11833" spans="11:11" ht="15" x14ac:dyDescent="0.25">
      <c r="K11833"/>
    </row>
    <row r="11834" spans="11:11" ht="15" x14ac:dyDescent="0.25">
      <c r="K11834"/>
    </row>
    <row r="11835" spans="11:11" ht="15" x14ac:dyDescent="0.25">
      <c r="K11835"/>
    </row>
    <row r="11836" spans="11:11" ht="15" x14ac:dyDescent="0.25">
      <c r="K11836"/>
    </row>
    <row r="11837" spans="11:11" ht="15" x14ac:dyDescent="0.25">
      <c r="K11837"/>
    </row>
    <row r="11838" spans="11:11" ht="15" x14ac:dyDescent="0.25">
      <c r="K11838"/>
    </row>
    <row r="11839" spans="11:11" ht="15" x14ac:dyDescent="0.25">
      <c r="K11839"/>
    </row>
    <row r="11840" spans="11:11" ht="15" x14ac:dyDescent="0.25">
      <c r="K11840"/>
    </row>
    <row r="11841" spans="11:11" ht="15" x14ac:dyDescent="0.25">
      <c r="K11841"/>
    </row>
    <row r="11842" spans="11:11" ht="15" x14ac:dyDescent="0.25">
      <c r="K11842"/>
    </row>
    <row r="11843" spans="11:11" ht="15" x14ac:dyDescent="0.25">
      <c r="K11843"/>
    </row>
    <row r="11844" spans="11:11" ht="15" x14ac:dyDescent="0.25">
      <c r="K11844"/>
    </row>
    <row r="11845" spans="11:11" ht="15" x14ac:dyDescent="0.25">
      <c r="K11845"/>
    </row>
    <row r="11846" spans="11:11" ht="15" x14ac:dyDescent="0.25">
      <c r="K11846"/>
    </row>
    <row r="11847" spans="11:11" ht="15" x14ac:dyDescent="0.25">
      <c r="K11847"/>
    </row>
    <row r="11848" spans="11:11" ht="15" x14ac:dyDescent="0.25">
      <c r="K11848"/>
    </row>
    <row r="11849" spans="11:11" ht="15" x14ac:dyDescent="0.25">
      <c r="K11849"/>
    </row>
    <row r="11850" spans="11:11" ht="15" x14ac:dyDescent="0.25">
      <c r="K11850"/>
    </row>
    <row r="11851" spans="11:11" ht="15" x14ac:dyDescent="0.25">
      <c r="K11851"/>
    </row>
    <row r="11852" spans="11:11" ht="15" x14ac:dyDescent="0.25">
      <c r="K11852"/>
    </row>
    <row r="11853" spans="11:11" ht="15" x14ac:dyDescent="0.25">
      <c r="K11853"/>
    </row>
    <row r="11854" spans="11:11" ht="15" x14ac:dyDescent="0.25">
      <c r="K11854"/>
    </row>
    <row r="11855" spans="11:11" ht="15" x14ac:dyDescent="0.25">
      <c r="K11855"/>
    </row>
    <row r="11856" spans="11:11" ht="15" x14ac:dyDescent="0.25">
      <c r="K11856"/>
    </row>
    <row r="11857" spans="11:11" ht="15" x14ac:dyDescent="0.25">
      <c r="K11857"/>
    </row>
    <row r="11858" spans="11:11" ht="15" x14ac:dyDescent="0.25">
      <c r="K11858"/>
    </row>
    <row r="11859" spans="11:11" ht="15" x14ac:dyDescent="0.25">
      <c r="K11859"/>
    </row>
    <row r="11860" spans="11:11" ht="15" x14ac:dyDescent="0.25">
      <c r="K11860"/>
    </row>
    <row r="11861" spans="11:11" ht="15" x14ac:dyDescent="0.25">
      <c r="K11861"/>
    </row>
    <row r="11862" spans="11:11" ht="15" x14ac:dyDescent="0.25">
      <c r="K11862"/>
    </row>
    <row r="11863" spans="11:11" ht="15" x14ac:dyDescent="0.25">
      <c r="K11863"/>
    </row>
    <row r="11864" spans="11:11" ht="15" x14ac:dyDescent="0.25">
      <c r="K11864"/>
    </row>
    <row r="11865" spans="11:11" ht="15" x14ac:dyDescent="0.25">
      <c r="K11865"/>
    </row>
    <row r="11866" spans="11:11" ht="15" x14ac:dyDescent="0.25">
      <c r="K11866"/>
    </row>
    <row r="11867" spans="11:11" ht="15" x14ac:dyDescent="0.25">
      <c r="K11867"/>
    </row>
    <row r="11868" spans="11:11" ht="15" x14ac:dyDescent="0.25">
      <c r="K11868"/>
    </row>
    <row r="11869" spans="11:11" ht="15" x14ac:dyDescent="0.25">
      <c r="K11869"/>
    </row>
    <row r="11870" spans="11:11" ht="15" x14ac:dyDescent="0.25">
      <c r="K11870"/>
    </row>
    <row r="11871" spans="11:11" ht="15" x14ac:dyDescent="0.25">
      <c r="K11871"/>
    </row>
    <row r="11872" spans="11:11" ht="15" x14ac:dyDescent="0.25">
      <c r="K11872"/>
    </row>
    <row r="11873" spans="11:11" ht="15" x14ac:dyDescent="0.25">
      <c r="K11873"/>
    </row>
    <row r="11874" spans="11:11" ht="15" x14ac:dyDescent="0.25">
      <c r="K11874"/>
    </row>
    <row r="11875" spans="11:11" ht="15" x14ac:dyDescent="0.25">
      <c r="K11875"/>
    </row>
    <row r="11876" spans="11:11" ht="15" x14ac:dyDescent="0.25">
      <c r="K11876"/>
    </row>
    <row r="11877" spans="11:11" ht="15" x14ac:dyDescent="0.25">
      <c r="K11877"/>
    </row>
    <row r="11878" spans="11:11" ht="15" x14ac:dyDescent="0.25">
      <c r="K11878"/>
    </row>
    <row r="11879" spans="11:11" ht="15" x14ac:dyDescent="0.25">
      <c r="K11879"/>
    </row>
    <row r="11880" spans="11:11" ht="15" x14ac:dyDescent="0.25">
      <c r="K11880"/>
    </row>
    <row r="11881" spans="11:11" ht="15" x14ac:dyDescent="0.25">
      <c r="K11881"/>
    </row>
    <row r="11882" spans="11:11" ht="15" x14ac:dyDescent="0.25">
      <c r="K11882"/>
    </row>
    <row r="11883" spans="11:11" ht="15" x14ac:dyDescent="0.25">
      <c r="K11883"/>
    </row>
    <row r="11884" spans="11:11" ht="15" x14ac:dyDescent="0.25">
      <c r="K11884"/>
    </row>
    <row r="11885" spans="11:11" ht="15" x14ac:dyDescent="0.25">
      <c r="K11885"/>
    </row>
    <row r="11886" spans="11:11" ht="15" x14ac:dyDescent="0.25">
      <c r="K11886"/>
    </row>
    <row r="11887" spans="11:11" ht="15" x14ac:dyDescent="0.25">
      <c r="K11887"/>
    </row>
    <row r="11888" spans="11:11" ht="15" x14ac:dyDescent="0.25">
      <c r="K11888"/>
    </row>
    <row r="11889" spans="11:11" ht="15" x14ac:dyDescent="0.25">
      <c r="K11889"/>
    </row>
    <row r="11890" spans="11:11" ht="15" x14ac:dyDescent="0.25">
      <c r="K11890"/>
    </row>
    <row r="11891" spans="11:11" ht="15" x14ac:dyDescent="0.25">
      <c r="K11891"/>
    </row>
    <row r="11892" spans="11:11" ht="15" x14ac:dyDescent="0.25">
      <c r="K11892"/>
    </row>
    <row r="11893" spans="11:11" ht="15" x14ac:dyDescent="0.25">
      <c r="K11893"/>
    </row>
    <row r="11894" spans="11:11" ht="15" x14ac:dyDescent="0.25">
      <c r="K11894"/>
    </row>
    <row r="11895" spans="11:11" ht="15" x14ac:dyDescent="0.25">
      <c r="K11895"/>
    </row>
    <row r="11896" spans="11:11" ht="15" x14ac:dyDescent="0.25">
      <c r="K11896"/>
    </row>
    <row r="11897" spans="11:11" ht="15" x14ac:dyDescent="0.25">
      <c r="K11897"/>
    </row>
    <row r="11898" spans="11:11" ht="15" x14ac:dyDescent="0.25">
      <c r="K11898"/>
    </row>
    <row r="11899" spans="11:11" ht="15" x14ac:dyDescent="0.25">
      <c r="K11899"/>
    </row>
    <row r="11900" spans="11:11" ht="15" x14ac:dyDescent="0.25">
      <c r="K11900"/>
    </row>
    <row r="11901" spans="11:11" ht="15" x14ac:dyDescent="0.25">
      <c r="K11901"/>
    </row>
    <row r="11902" spans="11:11" ht="15" x14ac:dyDescent="0.25">
      <c r="K11902"/>
    </row>
    <row r="11903" spans="11:11" ht="15" x14ac:dyDescent="0.25">
      <c r="K11903"/>
    </row>
    <row r="11904" spans="11:11" ht="15" x14ac:dyDescent="0.25">
      <c r="K11904"/>
    </row>
    <row r="11905" spans="11:11" ht="15" x14ac:dyDescent="0.25">
      <c r="K11905"/>
    </row>
    <row r="11906" spans="11:11" ht="15" x14ac:dyDescent="0.25">
      <c r="K11906"/>
    </row>
    <row r="11907" spans="11:11" ht="15" x14ac:dyDescent="0.25">
      <c r="K11907"/>
    </row>
    <row r="11908" spans="11:11" ht="15" x14ac:dyDescent="0.25">
      <c r="K11908"/>
    </row>
    <row r="11909" spans="11:11" ht="15" x14ac:dyDescent="0.25">
      <c r="K11909"/>
    </row>
    <row r="11910" spans="11:11" ht="15" x14ac:dyDescent="0.25">
      <c r="K11910"/>
    </row>
    <row r="11911" spans="11:11" ht="15" x14ac:dyDescent="0.25">
      <c r="K11911"/>
    </row>
    <row r="11912" spans="11:11" ht="15" x14ac:dyDescent="0.25">
      <c r="K11912"/>
    </row>
    <row r="11913" spans="11:11" ht="15" x14ac:dyDescent="0.25">
      <c r="K11913"/>
    </row>
    <row r="11914" spans="11:11" ht="15" x14ac:dyDescent="0.25">
      <c r="K11914"/>
    </row>
    <row r="11915" spans="11:11" ht="15" x14ac:dyDescent="0.25">
      <c r="K11915"/>
    </row>
    <row r="11916" spans="11:11" ht="15" x14ac:dyDescent="0.25">
      <c r="K11916"/>
    </row>
    <row r="11917" spans="11:11" ht="15" x14ac:dyDescent="0.25">
      <c r="K11917"/>
    </row>
    <row r="11918" spans="11:11" ht="15" x14ac:dyDescent="0.25">
      <c r="K11918"/>
    </row>
    <row r="11919" spans="11:11" ht="15" x14ac:dyDescent="0.25">
      <c r="K11919"/>
    </row>
    <row r="11920" spans="11:11" ht="15" x14ac:dyDescent="0.25">
      <c r="K11920"/>
    </row>
    <row r="11921" spans="11:11" ht="15" x14ac:dyDescent="0.25">
      <c r="K11921"/>
    </row>
    <row r="11922" spans="11:11" ht="15" x14ac:dyDescent="0.25">
      <c r="K11922"/>
    </row>
    <row r="11923" spans="11:11" ht="15" x14ac:dyDescent="0.25">
      <c r="K11923"/>
    </row>
    <row r="11924" spans="11:11" ht="15" x14ac:dyDescent="0.25">
      <c r="K11924"/>
    </row>
    <row r="11925" spans="11:11" ht="15" x14ac:dyDescent="0.25">
      <c r="K11925"/>
    </row>
    <row r="11926" spans="11:11" ht="15" x14ac:dyDescent="0.25">
      <c r="K11926"/>
    </row>
    <row r="11927" spans="11:11" ht="15" x14ac:dyDescent="0.25">
      <c r="K11927"/>
    </row>
    <row r="11928" spans="11:11" ht="15" x14ac:dyDescent="0.25">
      <c r="K11928"/>
    </row>
    <row r="11929" spans="11:11" ht="15" x14ac:dyDescent="0.25">
      <c r="K11929"/>
    </row>
    <row r="11930" spans="11:11" ht="15" x14ac:dyDescent="0.25">
      <c r="K11930"/>
    </row>
    <row r="11931" spans="11:11" ht="15" x14ac:dyDescent="0.25">
      <c r="K11931"/>
    </row>
    <row r="11932" spans="11:11" ht="15" x14ac:dyDescent="0.25">
      <c r="K11932"/>
    </row>
    <row r="11933" spans="11:11" ht="15" x14ac:dyDescent="0.25">
      <c r="K11933"/>
    </row>
    <row r="11934" spans="11:11" ht="15" x14ac:dyDescent="0.25">
      <c r="K11934"/>
    </row>
    <row r="11935" spans="11:11" ht="15" x14ac:dyDescent="0.25">
      <c r="K11935"/>
    </row>
    <row r="11936" spans="11:11" ht="15" x14ac:dyDescent="0.25">
      <c r="K11936"/>
    </row>
    <row r="11937" spans="11:11" ht="15" x14ac:dyDescent="0.25">
      <c r="K11937"/>
    </row>
    <row r="11938" spans="11:11" ht="15" x14ac:dyDescent="0.25">
      <c r="K11938"/>
    </row>
    <row r="11939" spans="11:11" ht="15" x14ac:dyDescent="0.25">
      <c r="K11939"/>
    </row>
    <row r="11940" spans="11:11" ht="15" x14ac:dyDescent="0.25">
      <c r="K11940"/>
    </row>
    <row r="11941" spans="11:11" ht="15" x14ac:dyDescent="0.25">
      <c r="K11941"/>
    </row>
    <row r="11942" spans="11:11" ht="15" x14ac:dyDescent="0.25">
      <c r="K11942"/>
    </row>
    <row r="11943" spans="11:11" ht="15" x14ac:dyDescent="0.25">
      <c r="K11943"/>
    </row>
    <row r="11944" spans="11:11" ht="15" x14ac:dyDescent="0.25">
      <c r="K11944"/>
    </row>
    <row r="11945" spans="11:11" ht="15" x14ac:dyDescent="0.25">
      <c r="K11945"/>
    </row>
    <row r="11946" spans="11:11" ht="15" x14ac:dyDescent="0.25">
      <c r="K11946"/>
    </row>
    <row r="11947" spans="11:11" ht="15" x14ac:dyDescent="0.25">
      <c r="K11947"/>
    </row>
    <row r="11948" spans="11:11" ht="15" x14ac:dyDescent="0.25">
      <c r="K11948"/>
    </row>
    <row r="11949" spans="11:11" ht="15" x14ac:dyDescent="0.25">
      <c r="K11949"/>
    </row>
    <row r="11950" spans="11:11" ht="15" x14ac:dyDescent="0.25">
      <c r="K11950"/>
    </row>
    <row r="11951" spans="11:11" ht="15" x14ac:dyDescent="0.25">
      <c r="K11951"/>
    </row>
    <row r="11952" spans="11:11" ht="15" x14ac:dyDescent="0.25">
      <c r="K11952"/>
    </row>
    <row r="11953" spans="11:11" ht="15" x14ac:dyDescent="0.25">
      <c r="K11953"/>
    </row>
    <row r="11954" spans="11:11" ht="15" x14ac:dyDescent="0.25">
      <c r="K11954"/>
    </row>
    <row r="11955" spans="11:11" ht="15" x14ac:dyDescent="0.25">
      <c r="K11955"/>
    </row>
    <row r="11956" spans="11:11" ht="15" x14ac:dyDescent="0.25">
      <c r="K11956"/>
    </row>
    <row r="11957" spans="11:11" ht="15" x14ac:dyDescent="0.25">
      <c r="K11957"/>
    </row>
    <row r="11958" spans="11:11" ht="15" x14ac:dyDescent="0.25">
      <c r="K11958"/>
    </row>
    <row r="11959" spans="11:11" ht="15" x14ac:dyDescent="0.25">
      <c r="K11959"/>
    </row>
    <row r="11960" spans="11:11" ht="15" x14ac:dyDescent="0.25">
      <c r="K11960"/>
    </row>
    <row r="11961" spans="11:11" ht="15" x14ac:dyDescent="0.25">
      <c r="K11961"/>
    </row>
    <row r="11962" spans="11:11" ht="15" x14ac:dyDescent="0.25">
      <c r="K11962"/>
    </row>
    <row r="11963" spans="11:11" ht="15" x14ac:dyDescent="0.25">
      <c r="K11963"/>
    </row>
    <row r="11964" spans="11:11" ht="15" x14ac:dyDescent="0.25">
      <c r="K11964"/>
    </row>
    <row r="11965" spans="11:11" ht="15" x14ac:dyDescent="0.25">
      <c r="K11965"/>
    </row>
    <row r="11966" spans="11:11" ht="15" x14ac:dyDescent="0.25">
      <c r="K11966"/>
    </row>
    <row r="11967" spans="11:11" ht="15" x14ac:dyDescent="0.25">
      <c r="K11967"/>
    </row>
    <row r="11968" spans="11:11" ht="15" x14ac:dyDescent="0.25">
      <c r="K11968"/>
    </row>
    <row r="11969" spans="11:11" ht="15" x14ac:dyDescent="0.25">
      <c r="K11969"/>
    </row>
    <row r="11970" spans="11:11" ht="15" x14ac:dyDescent="0.25">
      <c r="K11970"/>
    </row>
    <row r="11971" spans="11:11" ht="15" x14ac:dyDescent="0.25">
      <c r="K11971"/>
    </row>
    <row r="11972" spans="11:11" ht="15" x14ac:dyDescent="0.25">
      <c r="K11972"/>
    </row>
    <row r="11973" spans="11:11" ht="15" x14ac:dyDescent="0.25">
      <c r="K11973"/>
    </row>
    <row r="11974" spans="11:11" ht="15" x14ac:dyDescent="0.25">
      <c r="K11974"/>
    </row>
    <row r="11975" spans="11:11" ht="15" x14ac:dyDescent="0.25">
      <c r="K11975"/>
    </row>
    <row r="11976" spans="11:11" ht="15" x14ac:dyDescent="0.25">
      <c r="K11976"/>
    </row>
    <row r="11977" spans="11:11" ht="15" x14ac:dyDescent="0.25">
      <c r="K11977"/>
    </row>
    <row r="11978" spans="11:11" ht="15" x14ac:dyDescent="0.25">
      <c r="K11978"/>
    </row>
    <row r="11979" spans="11:11" ht="15" x14ac:dyDescent="0.25">
      <c r="K11979"/>
    </row>
    <row r="11980" spans="11:11" ht="15" x14ac:dyDescent="0.25">
      <c r="K11980"/>
    </row>
    <row r="11981" spans="11:11" ht="15" x14ac:dyDescent="0.25">
      <c r="K11981"/>
    </row>
    <row r="11982" spans="11:11" ht="15" x14ac:dyDescent="0.25">
      <c r="K11982"/>
    </row>
    <row r="11983" spans="11:11" ht="15" x14ac:dyDescent="0.25">
      <c r="K11983"/>
    </row>
    <row r="11984" spans="11:11" ht="15" x14ac:dyDescent="0.25">
      <c r="K11984"/>
    </row>
    <row r="11985" spans="11:11" ht="15" x14ac:dyDescent="0.25">
      <c r="K11985"/>
    </row>
    <row r="11986" spans="11:11" ht="15" x14ac:dyDescent="0.25">
      <c r="K11986"/>
    </row>
    <row r="11987" spans="11:11" ht="15" x14ac:dyDescent="0.25">
      <c r="K11987"/>
    </row>
    <row r="11988" spans="11:11" ht="15" x14ac:dyDescent="0.25">
      <c r="K11988"/>
    </row>
    <row r="11989" spans="11:11" ht="15" x14ac:dyDescent="0.25">
      <c r="K11989"/>
    </row>
    <row r="11990" spans="11:11" ht="15" x14ac:dyDescent="0.25">
      <c r="K11990"/>
    </row>
    <row r="11991" spans="11:11" ht="15" x14ac:dyDescent="0.25">
      <c r="K11991"/>
    </row>
    <row r="11992" spans="11:11" ht="15" x14ac:dyDescent="0.25">
      <c r="K11992"/>
    </row>
    <row r="11993" spans="11:11" ht="15" x14ac:dyDescent="0.25">
      <c r="K11993"/>
    </row>
    <row r="11994" spans="11:11" ht="15" x14ac:dyDescent="0.25">
      <c r="K11994"/>
    </row>
    <row r="11995" spans="11:11" ht="15" x14ac:dyDescent="0.25">
      <c r="K11995"/>
    </row>
    <row r="11996" spans="11:11" ht="15" x14ac:dyDescent="0.25">
      <c r="K11996"/>
    </row>
    <row r="11997" spans="11:11" ht="15" x14ac:dyDescent="0.25">
      <c r="K11997"/>
    </row>
    <row r="11998" spans="11:11" ht="15" x14ac:dyDescent="0.25">
      <c r="K11998"/>
    </row>
    <row r="11999" spans="11:11" ht="15" x14ac:dyDescent="0.25">
      <c r="K11999"/>
    </row>
    <row r="12000" spans="11:11" ht="15" x14ac:dyDescent="0.25">
      <c r="K12000"/>
    </row>
    <row r="12001" spans="11:11" ht="15" x14ac:dyDescent="0.25">
      <c r="K12001"/>
    </row>
    <row r="12002" spans="11:11" ht="15" x14ac:dyDescent="0.25">
      <c r="K12002"/>
    </row>
    <row r="12003" spans="11:11" ht="15" x14ac:dyDescent="0.25">
      <c r="K12003"/>
    </row>
    <row r="12004" spans="11:11" ht="15" x14ac:dyDescent="0.25">
      <c r="K12004"/>
    </row>
    <row r="12005" spans="11:11" ht="15" x14ac:dyDescent="0.25">
      <c r="K12005"/>
    </row>
    <row r="12006" spans="11:11" ht="15" x14ac:dyDescent="0.25">
      <c r="K12006"/>
    </row>
    <row r="12007" spans="11:11" ht="15" x14ac:dyDescent="0.25">
      <c r="K12007"/>
    </row>
    <row r="12008" spans="11:11" ht="15" x14ac:dyDescent="0.25">
      <c r="K12008"/>
    </row>
    <row r="12009" spans="11:11" ht="15" x14ac:dyDescent="0.25">
      <c r="K12009"/>
    </row>
    <row r="12010" spans="11:11" ht="15" x14ac:dyDescent="0.25">
      <c r="K12010"/>
    </row>
    <row r="12011" spans="11:11" ht="15" x14ac:dyDescent="0.25">
      <c r="K12011"/>
    </row>
    <row r="12012" spans="11:11" ht="15" x14ac:dyDescent="0.25">
      <c r="K12012"/>
    </row>
    <row r="12013" spans="11:11" ht="15" x14ac:dyDescent="0.25">
      <c r="K12013"/>
    </row>
    <row r="12014" spans="11:11" ht="15" x14ac:dyDescent="0.25">
      <c r="K12014"/>
    </row>
    <row r="12015" spans="11:11" ht="15" x14ac:dyDescent="0.25">
      <c r="K12015"/>
    </row>
    <row r="12016" spans="11:11" ht="15" x14ac:dyDescent="0.25">
      <c r="K12016"/>
    </row>
    <row r="12017" spans="11:11" ht="15" x14ac:dyDescent="0.25">
      <c r="K12017"/>
    </row>
    <row r="12018" spans="11:11" ht="15" x14ac:dyDescent="0.25">
      <c r="K12018"/>
    </row>
    <row r="12019" spans="11:11" ht="15" x14ac:dyDescent="0.25">
      <c r="K12019"/>
    </row>
    <row r="12020" spans="11:11" ht="15" x14ac:dyDescent="0.25">
      <c r="K12020"/>
    </row>
    <row r="12021" spans="11:11" ht="15" x14ac:dyDescent="0.25">
      <c r="K12021"/>
    </row>
    <row r="12022" spans="11:11" ht="15" x14ac:dyDescent="0.25">
      <c r="K12022"/>
    </row>
    <row r="12023" spans="11:11" ht="15" x14ac:dyDescent="0.25">
      <c r="K12023"/>
    </row>
    <row r="12024" spans="11:11" ht="15" x14ac:dyDescent="0.25">
      <c r="K12024"/>
    </row>
    <row r="12025" spans="11:11" ht="15" x14ac:dyDescent="0.25">
      <c r="K12025"/>
    </row>
    <row r="12026" spans="11:11" ht="15" x14ac:dyDescent="0.25">
      <c r="K12026"/>
    </row>
    <row r="12027" spans="11:11" ht="15" x14ac:dyDescent="0.25">
      <c r="K12027"/>
    </row>
    <row r="12028" spans="11:11" ht="15" x14ac:dyDescent="0.25">
      <c r="K12028"/>
    </row>
    <row r="12029" spans="11:11" ht="15" x14ac:dyDescent="0.25">
      <c r="K12029"/>
    </row>
    <row r="12030" spans="11:11" ht="15" x14ac:dyDescent="0.25">
      <c r="K12030"/>
    </row>
    <row r="12031" spans="11:11" ht="15" x14ac:dyDescent="0.25">
      <c r="K12031"/>
    </row>
    <row r="12032" spans="11:11" ht="15" x14ac:dyDescent="0.25">
      <c r="K12032"/>
    </row>
    <row r="12033" spans="11:11" ht="15" x14ac:dyDescent="0.25">
      <c r="K12033"/>
    </row>
    <row r="12034" spans="11:11" ht="15" x14ac:dyDescent="0.25">
      <c r="K12034"/>
    </row>
    <row r="12035" spans="11:11" ht="15" x14ac:dyDescent="0.25">
      <c r="K12035"/>
    </row>
    <row r="12036" spans="11:11" ht="15" x14ac:dyDescent="0.25">
      <c r="K12036"/>
    </row>
    <row r="12037" spans="11:11" ht="15" x14ac:dyDescent="0.25">
      <c r="K12037"/>
    </row>
    <row r="12038" spans="11:11" ht="15" x14ac:dyDescent="0.25">
      <c r="K12038"/>
    </row>
    <row r="12039" spans="11:11" ht="15" x14ac:dyDescent="0.25">
      <c r="K12039"/>
    </row>
    <row r="12040" spans="11:11" ht="15" x14ac:dyDescent="0.25">
      <c r="K12040"/>
    </row>
    <row r="12041" spans="11:11" ht="15" x14ac:dyDescent="0.25">
      <c r="K12041"/>
    </row>
    <row r="12042" spans="11:11" ht="15" x14ac:dyDescent="0.25">
      <c r="K12042"/>
    </row>
    <row r="12043" spans="11:11" ht="15" x14ac:dyDescent="0.25">
      <c r="K12043"/>
    </row>
    <row r="12044" spans="11:11" ht="15" x14ac:dyDescent="0.25">
      <c r="K12044"/>
    </row>
    <row r="12045" spans="11:11" ht="15" x14ac:dyDescent="0.25">
      <c r="K12045"/>
    </row>
    <row r="12046" spans="11:11" ht="15" x14ac:dyDescent="0.25">
      <c r="K12046"/>
    </row>
    <row r="12047" spans="11:11" ht="15" x14ac:dyDescent="0.25">
      <c r="K12047"/>
    </row>
    <row r="12048" spans="11:11" ht="15" x14ac:dyDescent="0.25">
      <c r="K12048"/>
    </row>
    <row r="12049" spans="11:11" ht="15" x14ac:dyDescent="0.25">
      <c r="K12049"/>
    </row>
    <row r="12050" spans="11:11" ht="15" x14ac:dyDescent="0.25">
      <c r="K12050"/>
    </row>
    <row r="12051" spans="11:11" ht="15" x14ac:dyDescent="0.25">
      <c r="K12051"/>
    </row>
    <row r="12052" spans="11:11" ht="15" x14ac:dyDescent="0.25">
      <c r="K12052"/>
    </row>
    <row r="12053" spans="11:11" ht="15" x14ac:dyDescent="0.25">
      <c r="K12053"/>
    </row>
    <row r="12054" spans="11:11" ht="15" x14ac:dyDescent="0.25">
      <c r="K12054"/>
    </row>
    <row r="12055" spans="11:11" ht="15" x14ac:dyDescent="0.25">
      <c r="K12055"/>
    </row>
    <row r="12056" spans="11:11" ht="15" x14ac:dyDescent="0.25">
      <c r="K12056"/>
    </row>
    <row r="12057" spans="11:11" ht="15" x14ac:dyDescent="0.25">
      <c r="K12057"/>
    </row>
    <row r="12058" spans="11:11" ht="15" x14ac:dyDescent="0.25">
      <c r="K12058"/>
    </row>
    <row r="12059" spans="11:11" ht="15" x14ac:dyDescent="0.25">
      <c r="K12059"/>
    </row>
    <row r="12060" spans="11:11" ht="15" x14ac:dyDescent="0.25">
      <c r="K12060"/>
    </row>
    <row r="12061" spans="11:11" ht="15" x14ac:dyDescent="0.25">
      <c r="K12061"/>
    </row>
    <row r="12062" spans="11:11" ht="15" x14ac:dyDescent="0.25">
      <c r="K12062"/>
    </row>
    <row r="12063" spans="11:11" ht="15" x14ac:dyDescent="0.25">
      <c r="K12063"/>
    </row>
    <row r="12064" spans="11:11" ht="15" x14ac:dyDescent="0.25">
      <c r="K12064"/>
    </row>
    <row r="12065" spans="11:11" ht="15" x14ac:dyDescent="0.25">
      <c r="K12065"/>
    </row>
    <row r="12066" spans="11:11" ht="15" x14ac:dyDescent="0.25">
      <c r="K12066"/>
    </row>
    <row r="12067" spans="11:11" ht="15" x14ac:dyDescent="0.25">
      <c r="K12067"/>
    </row>
    <row r="12068" spans="11:11" ht="15" x14ac:dyDescent="0.25">
      <c r="K12068"/>
    </row>
    <row r="12069" spans="11:11" ht="15" x14ac:dyDescent="0.25">
      <c r="K12069"/>
    </row>
    <row r="12070" spans="11:11" ht="15" x14ac:dyDescent="0.25">
      <c r="K12070"/>
    </row>
    <row r="12071" spans="11:11" ht="15" x14ac:dyDescent="0.25">
      <c r="K12071"/>
    </row>
    <row r="12072" spans="11:11" ht="15" x14ac:dyDescent="0.25">
      <c r="K12072"/>
    </row>
    <row r="12073" spans="11:11" ht="15" x14ac:dyDescent="0.25">
      <c r="K12073"/>
    </row>
    <row r="12074" spans="11:11" ht="15" x14ac:dyDescent="0.25">
      <c r="K12074"/>
    </row>
    <row r="12075" spans="11:11" ht="15" x14ac:dyDescent="0.25">
      <c r="K12075"/>
    </row>
    <row r="12076" spans="11:11" ht="15" x14ac:dyDescent="0.25">
      <c r="K12076"/>
    </row>
    <row r="12077" spans="11:11" ht="15" x14ac:dyDescent="0.25">
      <c r="K12077"/>
    </row>
    <row r="12078" spans="11:11" ht="15" x14ac:dyDescent="0.25">
      <c r="K12078"/>
    </row>
    <row r="12079" spans="11:11" ht="15" x14ac:dyDescent="0.25">
      <c r="K12079"/>
    </row>
    <row r="12080" spans="11:11" ht="15" x14ac:dyDescent="0.25">
      <c r="K12080"/>
    </row>
    <row r="12081" spans="11:11" ht="15" x14ac:dyDescent="0.25">
      <c r="K12081"/>
    </row>
    <row r="12082" spans="11:11" ht="15" x14ac:dyDescent="0.25">
      <c r="K12082"/>
    </row>
    <row r="12083" spans="11:11" ht="15" x14ac:dyDescent="0.25">
      <c r="K12083"/>
    </row>
    <row r="12084" spans="11:11" ht="15" x14ac:dyDescent="0.25">
      <c r="K12084"/>
    </row>
    <row r="12085" spans="11:11" ht="15" x14ac:dyDescent="0.25">
      <c r="K12085"/>
    </row>
    <row r="12086" spans="11:11" ht="15" x14ac:dyDescent="0.25">
      <c r="K12086"/>
    </row>
    <row r="12087" spans="11:11" ht="15" x14ac:dyDescent="0.25">
      <c r="K12087"/>
    </row>
    <row r="12088" spans="11:11" ht="15" x14ac:dyDescent="0.25">
      <c r="K12088"/>
    </row>
    <row r="12089" spans="11:11" ht="15" x14ac:dyDescent="0.25">
      <c r="K12089"/>
    </row>
    <row r="12090" spans="11:11" ht="15" x14ac:dyDescent="0.25">
      <c r="K12090"/>
    </row>
    <row r="12091" spans="11:11" ht="15" x14ac:dyDescent="0.25">
      <c r="K12091"/>
    </row>
    <row r="12092" spans="11:11" ht="15" x14ac:dyDescent="0.25">
      <c r="K12092"/>
    </row>
    <row r="12093" spans="11:11" ht="15" x14ac:dyDescent="0.25">
      <c r="K12093"/>
    </row>
    <row r="12094" spans="11:11" ht="15" x14ac:dyDescent="0.25">
      <c r="K12094"/>
    </row>
    <row r="12095" spans="11:11" ht="15" x14ac:dyDescent="0.25">
      <c r="K12095"/>
    </row>
    <row r="12096" spans="11:11" ht="15" x14ac:dyDescent="0.25">
      <c r="K12096"/>
    </row>
    <row r="12097" spans="11:11" ht="15" x14ac:dyDescent="0.25">
      <c r="K12097"/>
    </row>
    <row r="12098" spans="11:11" ht="15" x14ac:dyDescent="0.25">
      <c r="K12098"/>
    </row>
    <row r="12099" spans="11:11" ht="15" x14ac:dyDescent="0.25">
      <c r="K12099"/>
    </row>
    <row r="12100" spans="11:11" ht="15" x14ac:dyDescent="0.25">
      <c r="K12100"/>
    </row>
    <row r="12101" spans="11:11" ht="15" x14ac:dyDescent="0.25">
      <c r="K12101"/>
    </row>
    <row r="12102" spans="11:11" ht="15" x14ac:dyDescent="0.25">
      <c r="K12102"/>
    </row>
    <row r="12103" spans="11:11" ht="15" x14ac:dyDescent="0.25">
      <c r="K12103"/>
    </row>
    <row r="12104" spans="11:11" ht="15" x14ac:dyDescent="0.25">
      <c r="K12104"/>
    </row>
    <row r="12105" spans="11:11" ht="15" x14ac:dyDescent="0.25">
      <c r="K12105"/>
    </row>
    <row r="12106" spans="11:11" ht="15" x14ac:dyDescent="0.25">
      <c r="K12106"/>
    </row>
    <row r="12107" spans="11:11" ht="15" x14ac:dyDescent="0.25">
      <c r="K12107"/>
    </row>
    <row r="12108" spans="11:11" ht="15" x14ac:dyDescent="0.25">
      <c r="K12108"/>
    </row>
    <row r="12109" spans="11:11" ht="15" x14ac:dyDescent="0.25">
      <c r="K12109"/>
    </row>
    <row r="12110" spans="11:11" ht="15" x14ac:dyDescent="0.25">
      <c r="K12110"/>
    </row>
    <row r="12111" spans="11:11" ht="15" x14ac:dyDescent="0.25">
      <c r="K12111"/>
    </row>
    <row r="12112" spans="11:11" ht="15" x14ac:dyDescent="0.25">
      <c r="K12112"/>
    </row>
    <row r="12113" spans="11:11" ht="15" x14ac:dyDescent="0.25">
      <c r="K12113"/>
    </row>
    <row r="12114" spans="11:11" ht="15" x14ac:dyDescent="0.25">
      <c r="K12114"/>
    </row>
    <row r="12115" spans="11:11" ht="15" x14ac:dyDescent="0.25">
      <c r="K12115"/>
    </row>
    <row r="12116" spans="11:11" ht="15" x14ac:dyDescent="0.25">
      <c r="K12116"/>
    </row>
    <row r="12117" spans="11:11" ht="15" x14ac:dyDescent="0.25">
      <c r="K12117"/>
    </row>
    <row r="12118" spans="11:11" ht="15" x14ac:dyDescent="0.25">
      <c r="K12118"/>
    </row>
    <row r="12119" spans="11:11" ht="15" x14ac:dyDescent="0.25">
      <c r="K12119"/>
    </row>
    <row r="12120" spans="11:11" ht="15" x14ac:dyDescent="0.25">
      <c r="K12120"/>
    </row>
    <row r="12121" spans="11:11" ht="15" x14ac:dyDescent="0.25">
      <c r="K12121"/>
    </row>
    <row r="12122" spans="11:11" ht="15" x14ac:dyDescent="0.25">
      <c r="K12122"/>
    </row>
    <row r="12123" spans="11:11" ht="15" x14ac:dyDescent="0.25">
      <c r="K12123"/>
    </row>
    <row r="12124" spans="11:11" ht="15" x14ac:dyDescent="0.25">
      <c r="K12124"/>
    </row>
    <row r="12125" spans="11:11" ht="15" x14ac:dyDescent="0.25">
      <c r="K12125"/>
    </row>
    <row r="12126" spans="11:11" ht="15" x14ac:dyDescent="0.25">
      <c r="K12126"/>
    </row>
    <row r="12127" spans="11:11" ht="15" x14ac:dyDescent="0.25">
      <c r="K12127"/>
    </row>
    <row r="12128" spans="11:11" ht="15" x14ac:dyDescent="0.25">
      <c r="K12128"/>
    </row>
    <row r="12129" spans="11:11" ht="15" x14ac:dyDescent="0.25">
      <c r="K12129"/>
    </row>
    <row r="12130" spans="11:11" ht="15" x14ac:dyDescent="0.25">
      <c r="K12130"/>
    </row>
    <row r="12131" spans="11:11" ht="15" x14ac:dyDescent="0.25">
      <c r="K12131"/>
    </row>
    <row r="12132" spans="11:11" ht="15" x14ac:dyDescent="0.25">
      <c r="K12132"/>
    </row>
    <row r="12133" spans="11:11" ht="15" x14ac:dyDescent="0.25">
      <c r="K12133"/>
    </row>
    <row r="12134" spans="11:11" ht="15" x14ac:dyDescent="0.25">
      <c r="K12134"/>
    </row>
    <row r="12135" spans="11:11" ht="15" x14ac:dyDescent="0.25">
      <c r="K12135"/>
    </row>
    <row r="12136" spans="11:11" ht="15" x14ac:dyDescent="0.25">
      <c r="K12136"/>
    </row>
    <row r="12137" spans="11:11" ht="15" x14ac:dyDescent="0.25">
      <c r="K12137"/>
    </row>
    <row r="12138" spans="11:11" ht="15" x14ac:dyDescent="0.25">
      <c r="K12138"/>
    </row>
    <row r="12139" spans="11:11" ht="15" x14ac:dyDescent="0.25">
      <c r="K12139"/>
    </row>
    <row r="12140" spans="11:11" ht="15" x14ac:dyDescent="0.25">
      <c r="K12140"/>
    </row>
    <row r="12141" spans="11:11" ht="15" x14ac:dyDescent="0.25">
      <c r="K12141"/>
    </row>
    <row r="12142" spans="11:11" ht="15" x14ac:dyDescent="0.25">
      <c r="K12142"/>
    </row>
    <row r="12143" spans="11:11" ht="15" x14ac:dyDescent="0.25">
      <c r="K12143"/>
    </row>
    <row r="12144" spans="11:11" ht="15" x14ac:dyDescent="0.25">
      <c r="K12144"/>
    </row>
    <row r="12145" spans="11:11" ht="15" x14ac:dyDescent="0.25">
      <c r="K12145"/>
    </row>
    <row r="12146" spans="11:11" ht="15" x14ac:dyDescent="0.25">
      <c r="K12146"/>
    </row>
    <row r="12147" spans="11:11" ht="15" x14ac:dyDescent="0.25">
      <c r="K12147"/>
    </row>
    <row r="12148" spans="11:11" ht="15" x14ac:dyDescent="0.25">
      <c r="K12148"/>
    </row>
    <row r="12149" spans="11:11" ht="15" x14ac:dyDescent="0.25">
      <c r="K12149"/>
    </row>
    <row r="12150" spans="11:11" ht="15" x14ac:dyDescent="0.25">
      <c r="K12150"/>
    </row>
    <row r="12151" spans="11:11" ht="15" x14ac:dyDescent="0.25">
      <c r="K12151"/>
    </row>
    <row r="12152" spans="11:11" ht="15" x14ac:dyDescent="0.25">
      <c r="K12152"/>
    </row>
    <row r="12153" spans="11:11" ht="15" x14ac:dyDescent="0.25">
      <c r="K12153"/>
    </row>
    <row r="12154" spans="11:11" ht="15" x14ac:dyDescent="0.25">
      <c r="K12154"/>
    </row>
    <row r="12155" spans="11:11" ht="15" x14ac:dyDescent="0.25">
      <c r="K12155"/>
    </row>
    <row r="12156" spans="11:11" ht="15" x14ac:dyDescent="0.25">
      <c r="K12156"/>
    </row>
    <row r="12157" spans="11:11" ht="15" x14ac:dyDescent="0.25">
      <c r="K12157"/>
    </row>
    <row r="12158" spans="11:11" ht="15" x14ac:dyDescent="0.25">
      <c r="K12158"/>
    </row>
    <row r="12159" spans="11:11" ht="15" x14ac:dyDescent="0.25">
      <c r="K12159"/>
    </row>
    <row r="12160" spans="11:11" ht="15" x14ac:dyDescent="0.25">
      <c r="K12160"/>
    </row>
    <row r="12161" spans="11:11" ht="15" x14ac:dyDescent="0.25">
      <c r="K12161"/>
    </row>
    <row r="12162" spans="11:11" ht="15" x14ac:dyDescent="0.25">
      <c r="K12162"/>
    </row>
    <row r="12163" spans="11:11" ht="15" x14ac:dyDescent="0.25">
      <c r="K12163"/>
    </row>
    <row r="12164" spans="11:11" ht="15" x14ac:dyDescent="0.25">
      <c r="K12164"/>
    </row>
    <row r="12165" spans="11:11" ht="15" x14ac:dyDescent="0.25">
      <c r="K12165"/>
    </row>
    <row r="12166" spans="11:11" ht="15" x14ac:dyDescent="0.25">
      <c r="K12166"/>
    </row>
    <row r="12167" spans="11:11" ht="15" x14ac:dyDescent="0.25">
      <c r="K12167"/>
    </row>
    <row r="12168" spans="11:11" ht="15" x14ac:dyDescent="0.25">
      <c r="K12168"/>
    </row>
    <row r="12169" spans="11:11" ht="15" x14ac:dyDescent="0.25">
      <c r="K12169"/>
    </row>
    <row r="12170" spans="11:11" ht="15" x14ac:dyDescent="0.25">
      <c r="K12170"/>
    </row>
    <row r="12171" spans="11:11" ht="15" x14ac:dyDescent="0.25">
      <c r="K12171"/>
    </row>
    <row r="12172" spans="11:11" ht="15" x14ac:dyDescent="0.25">
      <c r="K12172"/>
    </row>
    <row r="12173" spans="11:11" ht="15" x14ac:dyDescent="0.25">
      <c r="K12173"/>
    </row>
    <row r="12174" spans="11:11" ht="15" x14ac:dyDescent="0.25">
      <c r="K12174"/>
    </row>
    <row r="12175" spans="11:11" ht="15" x14ac:dyDescent="0.25">
      <c r="K12175"/>
    </row>
    <row r="12176" spans="11:11" ht="15" x14ac:dyDescent="0.25">
      <c r="K12176"/>
    </row>
    <row r="12177" spans="11:11" ht="15" x14ac:dyDescent="0.25">
      <c r="K12177"/>
    </row>
    <row r="12178" spans="11:11" ht="15" x14ac:dyDescent="0.25">
      <c r="K12178"/>
    </row>
    <row r="12179" spans="11:11" ht="15" x14ac:dyDescent="0.25">
      <c r="K12179"/>
    </row>
    <row r="12180" spans="11:11" ht="15" x14ac:dyDescent="0.25">
      <c r="K12180"/>
    </row>
    <row r="12181" spans="11:11" ht="15" x14ac:dyDescent="0.25">
      <c r="K12181"/>
    </row>
    <row r="12182" spans="11:11" ht="15" x14ac:dyDescent="0.25">
      <c r="K12182"/>
    </row>
    <row r="12183" spans="11:11" ht="15" x14ac:dyDescent="0.25">
      <c r="K12183"/>
    </row>
    <row r="12184" spans="11:11" ht="15" x14ac:dyDescent="0.25">
      <c r="K12184"/>
    </row>
    <row r="12185" spans="11:11" ht="15" x14ac:dyDescent="0.25">
      <c r="K12185"/>
    </row>
    <row r="12186" spans="11:11" ht="15" x14ac:dyDescent="0.25">
      <c r="K12186"/>
    </row>
    <row r="12187" spans="11:11" ht="15" x14ac:dyDescent="0.25">
      <c r="K12187"/>
    </row>
    <row r="12188" spans="11:11" ht="15" x14ac:dyDescent="0.25">
      <c r="K12188"/>
    </row>
    <row r="12189" spans="11:11" ht="15" x14ac:dyDescent="0.25">
      <c r="K12189"/>
    </row>
    <row r="12190" spans="11:11" ht="15" x14ac:dyDescent="0.25">
      <c r="K12190"/>
    </row>
    <row r="12191" spans="11:11" ht="15" x14ac:dyDescent="0.25">
      <c r="K12191"/>
    </row>
    <row r="12192" spans="11:11" ht="15" x14ac:dyDescent="0.25">
      <c r="K12192"/>
    </row>
    <row r="12193" spans="11:11" ht="15" x14ac:dyDescent="0.25">
      <c r="K12193"/>
    </row>
    <row r="12194" spans="11:11" ht="15" x14ac:dyDescent="0.25">
      <c r="K12194"/>
    </row>
    <row r="12195" spans="11:11" ht="15" x14ac:dyDescent="0.25">
      <c r="K12195"/>
    </row>
    <row r="12196" spans="11:11" ht="15" x14ac:dyDescent="0.25">
      <c r="K12196"/>
    </row>
    <row r="12197" spans="11:11" ht="15" x14ac:dyDescent="0.25">
      <c r="K12197"/>
    </row>
    <row r="12198" spans="11:11" ht="15" x14ac:dyDescent="0.25">
      <c r="K12198"/>
    </row>
    <row r="12199" spans="11:11" ht="15" x14ac:dyDescent="0.25">
      <c r="K12199"/>
    </row>
    <row r="12200" spans="11:11" ht="15" x14ac:dyDescent="0.25">
      <c r="K12200"/>
    </row>
    <row r="12201" spans="11:11" ht="15" x14ac:dyDescent="0.25">
      <c r="K12201"/>
    </row>
    <row r="12202" spans="11:11" ht="15" x14ac:dyDescent="0.25">
      <c r="K12202"/>
    </row>
    <row r="12203" spans="11:11" ht="15" x14ac:dyDescent="0.25">
      <c r="K12203"/>
    </row>
    <row r="12204" spans="11:11" ht="15" x14ac:dyDescent="0.25">
      <c r="K12204"/>
    </row>
    <row r="12205" spans="11:11" ht="15" x14ac:dyDescent="0.25">
      <c r="K12205"/>
    </row>
    <row r="12206" spans="11:11" ht="15" x14ac:dyDescent="0.25">
      <c r="K12206"/>
    </row>
    <row r="12207" spans="11:11" ht="15" x14ac:dyDescent="0.25">
      <c r="K12207"/>
    </row>
    <row r="12208" spans="11:11" ht="15" x14ac:dyDescent="0.25">
      <c r="K12208"/>
    </row>
    <row r="12209" spans="11:11" ht="15" x14ac:dyDescent="0.25">
      <c r="K12209"/>
    </row>
    <row r="12210" spans="11:11" ht="15" x14ac:dyDescent="0.25">
      <c r="K12210"/>
    </row>
    <row r="12211" spans="11:11" ht="15" x14ac:dyDescent="0.25">
      <c r="K12211"/>
    </row>
    <row r="12212" spans="11:11" ht="15" x14ac:dyDescent="0.25">
      <c r="K12212"/>
    </row>
    <row r="12213" spans="11:11" ht="15" x14ac:dyDescent="0.25">
      <c r="K12213"/>
    </row>
    <row r="12214" spans="11:11" ht="15" x14ac:dyDescent="0.25">
      <c r="K12214"/>
    </row>
    <row r="12215" spans="11:11" ht="15" x14ac:dyDescent="0.25">
      <c r="K12215"/>
    </row>
    <row r="12216" spans="11:11" ht="15" x14ac:dyDescent="0.25">
      <c r="K12216"/>
    </row>
    <row r="12217" spans="11:11" ht="15" x14ac:dyDescent="0.25">
      <c r="K12217"/>
    </row>
    <row r="12218" spans="11:11" ht="15" x14ac:dyDescent="0.25">
      <c r="K12218"/>
    </row>
    <row r="12219" spans="11:11" ht="15" x14ac:dyDescent="0.25">
      <c r="K12219"/>
    </row>
    <row r="12220" spans="11:11" ht="15" x14ac:dyDescent="0.25">
      <c r="K12220"/>
    </row>
    <row r="12221" spans="11:11" ht="15" x14ac:dyDescent="0.25">
      <c r="K12221"/>
    </row>
    <row r="12222" spans="11:11" ht="15" x14ac:dyDescent="0.25">
      <c r="K12222"/>
    </row>
    <row r="12223" spans="11:11" ht="15" x14ac:dyDescent="0.25">
      <c r="K12223"/>
    </row>
    <row r="12224" spans="11:11" ht="15" x14ac:dyDescent="0.25">
      <c r="K12224"/>
    </row>
    <row r="12225" spans="11:11" ht="15" x14ac:dyDescent="0.25">
      <c r="K12225"/>
    </row>
    <row r="12226" spans="11:11" ht="15" x14ac:dyDescent="0.25">
      <c r="K12226"/>
    </row>
    <row r="12227" spans="11:11" ht="15" x14ac:dyDescent="0.25">
      <c r="K12227"/>
    </row>
    <row r="12228" spans="11:11" ht="15" x14ac:dyDescent="0.25">
      <c r="K12228"/>
    </row>
    <row r="12229" spans="11:11" ht="15" x14ac:dyDescent="0.25">
      <c r="K12229"/>
    </row>
    <row r="12230" spans="11:11" ht="15" x14ac:dyDescent="0.25">
      <c r="K12230"/>
    </row>
    <row r="12231" spans="11:11" ht="15" x14ac:dyDescent="0.25">
      <c r="K12231"/>
    </row>
    <row r="12232" spans="11:11" ht="15" x14ac:dyDescent="0.25">
      <c r="K12232"/>
    </row>
    <row r="12233" spans="11:11" ht="15" x14ac:dyDescent="0.25">
      <c r="K12233"/>
    </row>
    <row r="12234" spans="11:11" ht="15" x14ac:dyDescent="0.25">
      <c r="K12234"/>
    </row>
    <row r="12235" spans="11:11" ht="15" x14ac:dyDescent="0.25">
      <c r="K12235"/>
    </row>
    <row r="12236" spans="11:11" ht="15" x14ac:dyDescent="0.25">
      <c r="K12236"/>
    </row>
    <row r="12237" spans="11:11" ht="15" x14ac:dyDescent="0.25">
      <c r="K12237"/>
    </row>
    <row r="12238" spans="11:11" ht="15" x14ac:dyDescent="0.25">
      <c r="K12238"/>
    </row>
    <row r="12239" spans="11:11" ht="15" x14ac:dyDescent="0.25">
      <c r="K12239"/>
    </row>
    <row r="12240" spans="11:11" ht="15" x14ac:dyDescent="0.25">
      <c r="K12240"/>
    </row>
    <row r="12241" spans="11:11" ht="15" x14ac:dyDescent="0.25">
      <c r="K12241"/>
    </row>
    <row r="12242" spans="11:11" ht="15" x14ac:dyDescent="0.25">
      <c r="K12242"/>
    </row>
    <row r="12243" spans="11:11" ht="15" x14ac:dyDescent="0.25">
      <c r="K12243"/>
    </row>
    <row r="12244" spans="11:11" ht="15" x14ac:dyDescent="0.25">
      <c r="K12244"/>
    </row>
    <row r="12245" spans="11:11" ht="15" x14ac:dyDescent="0.25">
      <c r="K12245"/>
    </row>
    <row r="12246" spans="11:11" ht="15" x14ac:dyDescent="0.25">
      <c r="K12246"/>
    </row>
    <row r="12247" spans="11:11" ht="15" x14ac:dyDescent="0.25">
      <c r="K12247"/>
    </row>
    <row r="12248" spans="11:11" ht="15" x14ac:dyDescent="0.25">
      <c r="K12248"/>
    </row>
    <row r="12249" spans="11:11" ht="15" x14ac:dyDescent="0.25">
      <c r="K12249"/>
    </row>
    <row r="12250" spans="11:11" ht="15" x14ac:dyDescent="0.25">
      <c r="K12250"/>
    </row>
    <row r="12251" spans="11:11" ht="15" x14ac:dyDescent="0.25">
      <c r="K12251"/>
    </row>
    <row r="12252" spans="11:11" ht="15" x14ac:dyDescent="0.25">
      <c r="K12252"/>
    </row>
    <row r="12253" spans="11:11" ht="15" x14ac:dyDescent="0.25">
      <c r="K12253"/>
    </row>
    <row r="12254" spans="11:11" ht="15" x14ac:dyDescent="0.25">
      <c r="K12254"/>
    </row>
    <row r="12255" spans="11:11" ht="15" x14ac:dyDescent="0.25">
      <c r="K12255"/>
    </row>
    <row r="12256" spans="11:11" ht="15" x14ac:dyDescent="0.25">
      <c r="K12256"/>
    </row>
    <row r="12257" spans="11:11" ht="15" x14ac:dyDescent="0.25">
      <c r="K12257"/>
    </row>
    <row r="12258" spans="11:11" ht="15" x14ac:dyDescent="0.25">
      <c r="K12258"/>
    </row>
    <row r="12259" spans="11:11" ht="15" x14ac:dyDescent="0.25">
      <c r="K12259"/>
    </row>
    <row r="12260" spans="11:11" ht="15" x14ac:dyDescent="0.25">
      <c r="K12260"/>
    </row>
    <row r="12261" spans="11:11" ht="15" x14ac:dyDescent="0.25">
      <c r="K12261"/>
    </row>
    <row r="12262" spans="11:11" ht="15" x14ac:dyDescent="0.25">
      <c r="K12262"/>
    </row>
    <row r="12263" spans="11:11" ht="15" x14ac:dyDescent="0.25">
      <c r="K12263"/>
    </row>
    <row r="12264" spans="11:11" ht="15" x14ac:dyDescent="0.25">
      <c r="K12264"/>
    </row>
    <row r="12265" spans="11:11" ht="15" x14ac:dyDescent="0.25">
      <c r="K12265"/>
    </row>
    <row r="12266" spans="11:11" ht="15" x14ac:dyDescent="0.25">
      <c r="K12266"/>
    </row>
    <row r="12267" spans="11:11" ht="15" x14ac:dyDescent="0.25">
      <c r="K12267"/>
    </row>
    <row r="12268" spans="11:11" ht="15" x14ac:dyDescent="0.25">
      <c r="K12268"/>
    </row>
    <row r="12269" spans="11:11" ht="15" x14ac:dyDescent="0.25">
      <c r="K12269"/>
    </row>
    <row r="12270" spans="11:11" ht="15" x14ac:dyDescent="0.25">
      <c r="K12270"/>
    </row>
    <row r="12271" spans="11:11" ht="15" x14ac:dyDescent="0.25">
      <c r="K12271"/>
    </row>
    <row r="12272" spans="11:11" ht="15" x14ac:dyDescent="0.25">
      <c r="K12272"/>
    </row>
    <row r="12273" spans="11:11" ht="15" x14ac:dyDescent="0.25">
      <c r="K12273"/>
    </row>
    <row r="12274" spans="11:11" ht="15" x14ac:dyDescent="0.25">
      <c r="K12274"/>
    </row>
    <row r="12275" spans="11:11" ht="15" x14ac:dyDescent="0.25">
      <c r="K12275"/>
    </row>
    <row r="12276" spans="11:11" ht="15" x14ac:dyDescent="0.25">
      <c r="K12276"/>
    </row>
    <row r="12277" spans="11:11" ht="15" x14ac:dyDescent="0.25">
      <c r="K12277"/>
    </row>
    <row r="12278" spans="11:11" ht="15" x14ac:dyDescent="0.25">
      <c r="K12278"/>
    </row>
    <row r="12279" spans="11:11" ht="15" x14ac:dyDescent="0.25">
      <c r="K12279"/>
    </row>
    <row r="12280" spans="11:11" ht="15" x14ac:dyDescent="0.25">
      <c r="K12280"/>
    </row>
    <row r="12281" spans="11:11" ht="15" x14ac:dyDescent="0.25">
      <c r="K12281"/>
    </row>
    <row r="12282" spans="11:11" ht="15" x14ac:dyDescent="0.25">
      <c r="K12282"/>
    </row>
    <row r="12283" spans="11:11" ht="15" x14ac:dyDescent="0.25">
      <c r="K12283"/>
    </row>
    <row r="12284" spans="11:11" ht="15" x14ac:dyDescent="0.25">
      <c r="K12284"/>
    </row>
    <row r="12285" spans="11:11" ht="15" x14ac:dyDescent="0.25">
      <c r="K12285"/>
    </row>
    <row r="12286" spans="11:11" ht="15" x14ac:dyDescent="0.25">
      <c r="K12286"/>
    </row>
    <row r="12287" spans="11:11" ht="15" x14ac:dyDescent="0.25">
      <c r="K12287"/>
    </row>
    <row r="12288" spans="11:11" ht="15" x14ac:dyDescent="0.25">
      <c r="K12288"/>
    </row>
    <row r="12289" spans="11:11" ht="15" x14ac:dyDescent="0.25">
      <c r="K12289"/>
    </row>
    <row r="12290" spans="11:11" ht="15" x14ac:dyDescent="0.25">
      <c r="K12290"/>
    </row>
    <row r="12291" spans="11:11" ht="15" x14ac:dyDescent="0.25">
      <c r="K12291"/>
    </row>
    <row r="12292" spans="11:11" ht="15" x14ac:dyDescent="0.25">
      <c r="K12292"/>
    </row>
    <row r="12293" spans="11:11" ht="15" x14ac:dyDescent="0.25">
      <c r="K12293"/>
    </row>
    <row r="12294" spans="11:11" ht="15" x14ac:dyDescent="0.25">
      <c r="K12294"/>
    </row>
    <row r="12295" spans="11:11" ht="15" x14ac:dyDescent="0.25">
      <c r="K12295"/>
    </row>
    <row r="12296" spans="11:11" ht="15" x14ac:dyDescent="0.25">
      <c r="K12296"/>
    </row>
    <row r="12297" spans="11:11" ht="15" x14ac:dyDescent="0.25">
      <c r="K12297"/>
    </row>
    <row r="12298" spans="11:11" ht="15" x14ac:dyDescent="0.25">
      <c r="K12298"/>
    </row>
    <row r="12299" spans="11:11" ht="15" x14ac:dyDescent="0.25">
      <c r="K12299"/>
    </row>
    <row r="12300" spans="11:11" ht="15" x14ac:dyDescent="0.25">
      <c r="K12300"/>
    </row>
    <row r="12301" spans="11:11" ht="15" x14ac:dyDescent="0.25">
      <c r="K12301"/>
    </row>
    <row r="12302" spans="11:11" ht="15" x14ac:dyDescent="0.25">
      <c r="K12302"/>
    </row>
    <row r="12303" spans="11:11" ht="15" x14ac:dyDescent="0.25">
      <c r="K12303"/>
    </row>
    <row r="12304" spans="11:11" ht="15" x14ac:dyDescent="0.25">
      <c r="K12304"/>
    </row>
    <row r="12305" spans="11:11" ht="15" x14ac:dyDescent="0.25">
      <c r="K12305"/>
    </row>
    <row r="12306" spans="11:11" ht="15" x14ac:dyDescent="0.25">
      <c r="K12306"/>
    </row>
    <row r="12307" spans="11:11" ht="15" x14ac:dyDescent="0.25">
      <c r="K12307"/>
    </row>
    <row r="12308" spans="11:11" ht="15" x14ac:dyDescent="0.25">
      <c r="K12308"/>
    </row>
    <row r="12309" spans="11:11" ht="15" x14ac:dyDescent="0.25">
      <c r="K12309"/>
    </row>
    <row r="12310" spans="11:11" ht="15" x14ac:dyDescent="0.25">
      <c r="K12310"/>
    </row>
    <row r="12311" spans="11:11" ht="15" x14ac:dyDescent="0.25">
      <c r="K12311"/>
    </row>
    <row r="12312" spans="11:11" ht="15" x14ac:dyDescent="0.25">
      <c r="K12312"/>
    </row>
    <row r="12313" spans="11:11" ht="15" x14ac:dyDescent="0.25">
      <c r="K12313"/>
    </row>
    <row r="12314" spans="11:11" ht="15" x14ac:dyDescent="0.25">
      <c r="K12314"/>
    </row>
    <row r="12315" spans="11:11" ht="15" x14ac:dyDescent="0.25">
      <c r="K12315"/>
    </row>
    <row r="12316" spans="11:11" ht="15" x14ac:dyDescent="0.25">
      <c r="K12316"/>
    </row>
    <row r="12317" spans="11:11" ht="15" x14ac:dyDescent="0.25">
      <c r="K12317"/>
    </row>
    <row r="12318" spans="11:11" ht="15" x14ac:dyDescent="0.25">
      <c r="K12318"/>
    </row>
    <row r="12319" spans="11:11" ht="15" x14ac:dyDescent="0.25">
      <c r="K12319"/>
    </row>
    <row r="12320" spans="11:11" ht="15" x14ac:dyDescent="0.25">
      <c r="K12320"/>
    </row>
    <row r="12321" spans="11:11" ht="15" x14ac:dyDescent="0.25">
      <c r="K12321"/>
    </row>
    <row r="12322" spans="11:11" ht="15" x14ac:dyDescent="0.25">
      <c r="K12322"/>
    </row>
    <row r="12323" spans="11:11" ht="15" x14ac:dyDescent="0.25">
      <c r="K12323"/>
    </row>
    <row r="12324" spans="11:11" ht="15" x14ac:dyDescent="0.25">
      <c r="K12324"/>
    </row>
    <row r="12325" spans="11:11" ht="15" x14ac:dyDescent="0.25">
      <c r="K12325"/>
    </row>
    <row r="12326" spans="11:11" ht="15" x14ac:dyDescent="0.25">
      <c r="K12326"/>
    </row>
    <row r="12327" spans="11:11" ht="15" x14ac:dyDescent="0.25">
      <c r="K12327"/>
    </row>
    <row r="12328" spans="11:11" ht="15" x14ac:dyDescent="0.25">
      <c r="K12328"/>
    </row>
    <row r="12329" spans="11:11" ht="15" x14ac:dyDescent="0.25">
      <c r="K12329"/>
    </row>
    <row r="12330" spans="11:11" ht="15" x14ac:dyDescent="0.25">
      <c r="K12330"/>
    </row>
    <row r="12331" spans="11:11" ht="15" x14ac:dyDescent="0.25">
      <c r="K12331"/>
    </row>
    <row r="12332" spans="11:11" ht="15" x14ac:dyDescent="0.25">
      <c r="K12332"/>
    </row>
    <row r="12333" spans="11:11" ht="15" x14ac:dyDescent="0.25">
      <c r="K12333"/>
    </row>
    <row r="12334" spans="11:11" ht="15" x14ac:dyDescent="0.25">
      <c r="K12334"/>
    </row>
    <row r="12335" spans="11:11" ht="15" x14ac:dyDescent="0.25">
      <c r="K12335"/>
    </row>
    <row r="12336" spans="11:11" ht="15" x14ac:dyDescent="0.25">
      <c r="K12336"/>
    </row>
    <row r="12337" spans="11:11" ht="15" x14ac:dyDescent="0.25">
      <c r="K12337"/>
    </row>
    <row r="12338" spans="11:11" ht="15" x14ac:dyDescent="0.25">
      <c r="K12338"/>
    </row>
    <row r="12339" spans="11:11" ht="15" x14ac:dyDescent="0.25">
      <c r="K12339"/>
    </row>
    <row r="12340" spans="11:11" ht="15" x14ac:dyDescent="0.25">
      <c r="K12340"/>
    </row>
    <row r="12341" spans="11:11" ht="15" x14ac:dyDescent="0.25">
      <c r="K12341"/>
    </row>
    <row r="12342" spans="11:11" ht="15" x14ac:dyDescent="0.25">
      <c r="K12342"/>
    </row>
    <row r="12343" spans="11:11" ht="15" x14ac:dyDescent="0.25">
      <c r="K12343"/>
    </row>
    <row r="12344" spans="11:11" ht="15" x14ac:dyDescent="0.25">
      <c r="K12344"/>
    </row>
    <row r="12345" spans="11:11" ht="15" x14ac:dyDescent="0.25">
      <c r="K12345"/>
    </row>
    <row r="12346" spans="11:11" ht="15" x14ac:dyDescent="0.25">
      <c r="K12346"/>
    </row>
    <row r="12347" spans="11:11" ht="15" x14ac:dyDescent="0.25">
      <c r="K12347"/>
    </row>
    <row r="12348" spans="11:11" ht="15" x14ac:dyDescent="0.25">
      <c r="K12348"/>
    </row>
    <row r="12349" spans="11:11" ht="15" x14ac:dyDescent="0.25">
      <c r="K12349"/>
    </row>
    <row r="12350" spans="11:11" ht="15" x14ac:dyDescent="0.25">
      <c r="K12350"/>
    </row>
    <row r="12351" spans="11:11" ht="15" x14ac:dyDescent="0.25">
      <c r="K12351"/>
    </row>
    <row r="12352" spans="11:11" ht="15" x14ac:dyDescent="0.25">
      <c r="K12352"/>
    </row>
    <row r="12353" spans="11:11" ht="15" x14ac:dyDescent="0.25">
      <c r="K12353"/>
    </row>
    <row r="12354" spans="11:11" ht="15" x14ac:dyDescent="0.25">
      <c r="K12354"/>
    </row>
    <row r="12355" spans="11:11" ht="15" x14ac:dyDescent="0.25">
      <c r="K12355"/>
    </row>
    <row r="12356" spans="11:11" ht="15" x14ac:dyDescent="0.25">
      <c r="K12356"/>
    </row>
    <row r="12357" spans="11:11" ht="15" x14ac:dyDescent="0.25">
      <c r="K12357"/>
    </row>
    <row r="12358" spans="11:11" ht="15" x14ac:dyDescent="0.25">
      <c r="K12358"/>
    </row>
    <row r="12359" spans="11:11" ht="15" x14ac:dyDescent="0.25">
      <c r="K12359"/>
    </row>
    <row r="12360" spans="11:11" ht="15" x14ac:dyDescent="0.25">
      <c r="K12360"/>
    </row>
    <row r="12361" spans="11:11" ht="15" x14ac:dyDescent="0.25">
      <c r="K12361"/>
    </row>
    <row r="12362" spans="11:11" ht="15" x14ac:dyDescent="0.25">
      <c r="K12362"/>
    </row>
    <row r="12363" spans="11:11" ht="15" x14ac:dyDescent="0.25">
      <c r="K12363"/>
    </row>
    <row r="12364" spans="11:11" ht="15" x14ac:dyDescent="0.25">
      <c r="K12364"/>
    </row>
    <row r="12365" spans="11:11" ht="15" x14ac:dyDescent="0.25">
      <c r="K12365"/>
    </row>
    <row r="12366" spans="11:11" ht="15" x14ac:dyDescent="0.25">
      <c r="K12366"/>
    </row>
    <row r="12367" spans="11:11" ht="15" x14ac:dyDescent="0.25">
      <c r="K12367"/>
    </row>
    <row r="12368" spans="11:11" ht="15" x14ac:dyDescent="0.25">
      <c r="K12368"/>
    </row>
    <row r="12369" spans="11:11" ht="15" x14ac:dyDescent="0.25">
      <c r="K12369"/>
    </row>
    <row r="12370" spans="11:11" ht="15" x14ac:dyDescent="0.25">
      <c r="K12370"/>
    </row>
    <row r="12371" spans="11:11" ht="15" x14ac:dyDescent="0.25">
      <c r="K12371"/>
    </row>
    <row r="12372" spans="11:11" ht="15" x14ac:dyDescent="0.25">
      <c r="K12372"/>
    </row>
    <row r="12373" spans="11:11" ht="15" x14ac:dyDescent="0.25">
      <c r="K12373"/>
    </row>
    <row r="12374" spans="11:11" ht="15" x14ac:dyDescent="0.25">
      <c r="K12374"/>
    </row>
    <row r="12375" spans="11:11" ht="15" x14ac:dyDescent="0.25">
      <c r="K12375"/>
    </row>
    <row r="12376" spans="11:11" ht="15" x14ac:dyDescent="0.25">
      <c r="K12376"/>
    </row>
    <row r="12377" spans="11:11" ht="15" x14ac:dyDescent="0.25">
      <c r="K12377"/>
    </row>
    <row r="12378" spans="11:11" ht="15" x14ac:dyDescent="0.25">
      <c r="K12378"/>
    </row>
    <row r="12379" spans="11:11" ht="15" x14ac:dyDescent="0.25">
      <c r="K12379"/>
    </row>
    <row r="12380" spans="11:11" ht="15" x14ac:dyDescent="0.25">
      <c r="K12380"/>
    </row>
    <row r="12381" spans="11:11" ht="15" x14ac:dyDescent="0.25">
      <c r="K12381"/>
    </row>
    <row r="12382" spans="11:11" ht="15" x14ac:dyDescent="0.25">
      <c r="K12382"/>
    </row>
    <row r="12383" spans="11:11" ht="15" x14ac:dyDescent="0.25">
      <c r="K12383"/>
    </row>
    <row r="12384" spans="11:11" ht="15" x14ac:dyDescent="0.25">
      <c r="K12384"/>
    </row>
    <row r="12385" spans="11:11" ht="15" x14ac:dyDescent="0.25">
      <c r="K12385"/>
    </row>
    <row r="12386" spans="11:11" ht="15" x14ac:dyDescent="0.25">
      <c r="K12386"/>
    </row>
    <row r="12387" spans="11:11" ht="15" x14ac:dyDescent="0.25">
      <c r="K12387"/>
    </row>
    <row r="12388" spans="11:11" ht="15" x14ac:dyDescent="0.25">
      <c r="K12388"/>
    </row>
    <row r="12389" spans="11:11" ht="15" x14ac:dyDescent="0.25">
      <c r="K12389"/>
    </row>
    <row r="12390" spans="11:11" ht="15" x14ac:dyDescent="0.25">
      <c r="K12390"/>
    </row>
    <row r="12391" spans="11:11" ht="15" x14ac:dyDescent="0.25">
      <c r="K12391"/>
    </row>
    <row r="12392" spans="11:11" ht="15" x14ac:dyDescent="0.25">
      <c r="K12392"/>
    </row>
    <row r="12393" spans="11:11" ht="15" x14ac:dyDescent="0.25">
      <c r="K12393"/>
    </row>
    <row r="12394" spans="11:11" ht="15" x14ac:dyDescent="0.25">
      <c r="K12394"/>
    </row>
    <row r="12395" spans="11:11" ht="15" x14ac:dyDescent="0.25">
      <c r="K12395"/>
    </row>
    <row r="12396" spans="11:11" ht="15" x14ac:dyDescent="0.25">
      <c r="K12396"/>
    </row>
    <row r="12397" spans="11:11" ht="15" x14ac:dyDescent="0.25">
      <c r="K12397"/>
    </row>
    <row r="12398" spans="11:11" ht="15" x14ac:dyDescent="0.25">
      <c r="K12398"/>
    </row>
    <row r="12399" spans="11:11" ht="15" x14ac:dyDescent="0.25">
      <c r="K12399"/>
    </row>
    <row r="12400" spans="11:11" ht="15" x14ac:dyDescent="0.25">
      <c r="K12400"/>
    </row>
    <row r="12401" spans="11:11" ht="15" x14ac:dyDescent="0.25">
      <c r="K12401"/>
    </row>
    <row r="12402" spans="11:11" ht="15" x14ac:dyDescent="0.25">
      <c r="K12402"/>
    </row>
    <row r="12403" spans="11:11" ht="15" x14ac:dyDescent="0.25">
      <c r="K12403"/>
    </row>
    <row r="12404" spans="11:11" ht="15" x14ac:dyDescent="0.25">
      <c r="K12404"/>
    </row>
    <row r="12405" spans="11:11" ht="15" x14ac:dyDescent="0.25">
      <c r="K12405"/>
    </row>
    <row r="12406" spans="11:11" ht="15" x14ac:dyDescent="0.25">
      <c r="K12406"/>
    </row>
    <row r="12407" spans="11:11" ht="15" x14ac:dyDescent="0.25">
      <c r="K12407"/>
    </row>
    <row r="12408" spans="11:11" ht="15" x14ac:dyDescent="0.25">
      <c r="K12408"/>
    </row>
    <row r="12409" spans="11:11" ht="15" x14ac:dyDescent="0.25">
      <c r="K12409"/>
    </row>
    <row r="12410" spans="11:11" ht="15" x14ac:dyDescent="0.25">
      <c r="K12410"/>
    </row>
    <row r="12411" spans="11:11" ht="15" x14ac:dyDescent="0.25">
      <c r="K12411"/>
    </row>
    <row r="12412" spans="11:11" ht="15" x14ac:dyDescent="0.25">
      <c r="K12412"/>
    </row>
    <row r="12413" spans="11:11" ht="15" x14ac:dyDescent="0.25">
      <c r="K12413"/>
    </row>
    <row r="12414" spans="11:11" ht="15" x14ac:dyDescent="0.25">
      <c r="K12414"/>
    </row>
    <row r="12415" spans="11:11" ht="15" x14ac:dyDescent="0.25">
      <c r="K12415"/>
    </row>
    <row r="12416" spans="11:11" ht="15" x14ac:dyDescent="0.25">
      <c r="K12416"/>
    </row>
    <row r="12417" spans="11:11" ht="15" x14ac:dyDescent="0.25">
      <c r="K12417"/>
    </row>
    <row r="12418" spans="11:11" ht="15" x14ac:dyDescent="0.25">
      <c r="K12418"/>
    </row>
    <row r="12419" spans="11:11" ht="15" x14ac:dyDescent="0.25">
      <c r="K12419"/>
    </row>
    <row r="12420" spans="11:11" ht="15" x14ac:dyDescent="0.25">
      <c r="K12420"/>
    </row>
    <row r="12421" spans="11:11" ht="15" x14ac:dyDescent="0.25">
      <c r="K12421"/>
    </row>
    <row r="12422" spans="11:11" ht="15" x14ac:dyDescent="0.25">
      <c r="K12422"/>
    </row>
    <row r="12423" spans="11:11" ht="15" x14ac:dyDescent="0.25">
      <c r="K12423"/>
    </row>
    <row r="12424" spans="11:11" ht="15" x14ac:dyDescent="0.25">
      <c r="K12424"/>
    </row>
    <row r="12425" spans="11:11" ht="15" x14ac:dyDescent="0.25">
      <c r="K12425"/>
    </row>
    <row r="12426" spans="11:11" ht="15" x14ac:dyDescent="0.25">
      <c r="K12426"/>
    </row>
    <row r="12427" spans="11:11" ht="15" x14ac:dyDescent="0.25">
      <c r="K12427"/>
    </row>
    <row r="12428" spans="11:11" ht="15" x14ac:dyDescent="0.25">
      <c r="K12428"/>
    </row>
    <row r="12429" spans="11:11" ht="15" x14ac:dyDescent="0.25">
      <c r="K12429"/>
    </row>
    <row r="12430" spans="11:11" ht="15" x14ac:dyDescent="0.25">
      <c r="K12430"/>
    </row>
    <row r="12431" spans="11:11" ht="15" x14ac:dyDescent="0.25">
      <c r="K12431"/>
    </row>
    <row r="12432" spans="11:11" ht="15" x14ac:dyDescent="0.25">
      <c r="K12432"/>
    </row>
    <row r="12433" spans="11:11" ht="15" x14ac:dyDescent="0.25">
      <c r="K12433"/>
    </row>
    <row r="12434" spans="11:11" ht="15" x14ac:dyDescent="0.25">
      <c r="K12434"/>
    </row>
    <row r="12435" spans="11:11" ht="15" x14ac:dyDescent="0.25">
      <c r="K12435"/>
    </row>
    <row r="12436" spans="11:11" ht="15" x14ac:dyDescent="0.25">
      <c r="K12436"/>
    </row>
    <row r="12437" spans="11:11" ht="15" x14ac:dyDescent="0.25">
      <c r="K12437"/>
    </row>
    <row r="12438" spans="11:11" ht="15" x14ac:dyDescent="0.25">
      <c r="K12438"/>
    </row>
    <row r="12439" spans="11:11" ht="15" x14ac:dyDescent="0.25">
      <c r="K12439"/>
    </row>
    <row r="12440" spans="11:11" ht="15" x14ac:dyDescent="0.25">
      <c r="K12440"/>
    </row>
    <row r="12441" spans="11:11" ht="15" x14ac:dyDescent="0.25">
      <c r="K12441"/>
    </row>
    <row r="12442" spans="11:11" ht="15" x14ac:dyDescent="0.25">
      <c r="K12442"/>
    </row>
    <row r="12443" spans="11:11" ht="15" x14ac:dyDescent="0.25">
      <c r="K12443"/>
    </row>
    <row r="12444" spans="11:11" ht="15" x14ac:dyDescent="0.25">
      <c r="K12444"/>
    </row>
    <row r="12445" spans="11:11" ht="15" x14ac:dyDescent="0.25">
      <c r="K12445"/>
    </row>
    <row r="12446" spans="11:11" ht="15" x14ac:dyDescent="0.25">
      <c r="K12446"/>
    </row>
    <row r="12447" spans="11:11" ht="15" x14ac:dyDescent="0.25">
      <c r="K12447"/>
    </row>
    <row r="12448" spans="11:11" ht="15" x14ac:dyDescent="0.25">
      <c r="K12448"/>
    </row>
    <row r="12449" spans="11:11" ht="15" x14ac:dyDescent="0.25">
      <c r="K12449"/>
    </row>
    <row r="12450" spans="11:11" ht="15" x14ac:dyDescent="0.25">
      <c r="K12450"/>
    </row>
    <row r="12451" spans="11:11" ht="15" x14ac:dyDescent="0.25">
      <c r="K12451"/>
    </row>
    <row r="12452" spans="11:11" ht="15" x14ac:dyDescent="0.25">
      <c r="K12452"/>
    </row>
    <row r="12453" spans="11:11" ht="15" x14ac:dyDescent="0.25">
      <c r="K12453"/>
    </row>
    <row r="12454" spans="11:11" ht="15" x14ac:dyDescent="0.25">
      <c r="K12454"/>
    </row>
    <row r="12455" spans="11:11" ht="15" x14ac:dyDescent="0.25">
      <c r="K12455"/>
    </row>
    <row r="12456" spans="11:11" ht="15" x14ac:dyDescent="0.25">
      <c r="K12456"/>
    </row>
    <row r="12457" spans="11:11" ht="15" x14ac:dyDescent="0.25">
      <c r="K12457"/>
    </row>
    <row r="12458" spans="11:11" ht="15" x14ac:dyDescent="0.25">
      <c r="K12458"/>
    </row>
    <row r="12459" spans="11:11" ht="15" x14ac:dyDescent="0.25">
      <c r="K12459"/>
    </row>
    <row r="12460" spans="11:11" ht="15" x14ac:dyDescent="0.25">
      <c r="K12460"/>
    </row>
    <row r="12461" spans="11:11" ht="15" x14ac:dyDescent="0.25">
      <c r="K12461"/>
    </row>
    <row r="12462" spans="11:11" ht="15" x14ac:dyDescent="0.25">
      <c r="K12462"/>
    </row>
    <row r="12463" spans="11:11" ht="15" x14ac:dyDescent="0.25">
      <c r="K12463"/>
    </row>
    <row r="12464" spans="11:11" ht="15" x14ac:dyDescent="0.25">
      <c r="K12464"/>
    </row>
    <row r="12465" spans="11:11" ht="15" x14ac:dyDescent="0.25">
      <c r="K12465"/>
    </row>
    <row r="12466" spans="11:11" ht="15" x14ac:dyDescent="0.25">
      <c r="K12466"/>
    </row>
    <row r="12467" spans="11:11" ht="15" x14ac:dyDescent="0.25">
      <c r="K12467"/>
    </row>
    <row r="12468" spans="11:11" ht="15" x14ac:dyDescent="0.25">
      <c r="K12468"/>
    </row>
    <row r="12469" spans="11:11" ht="15" x14ac:dyDescent="0.25">
      <c r="K12469"/>
    </row>
    <row r="12470" spans="11:11" ht="15" x14ac:dyDescent="0.25">
      <c r="K12470"/>
    </row>
    <row r="12471" spans="11:11" ht="15" x14ac:dyDescent="0.25">
      <c r="K12471"/>
    </row>
    <row r="12472" spans="11:11" ht="15" x14ac:dyDescent="0.25">
      <c r="K12472"/>
    </row>
    <row r="12473" spans="11:11" ht="15" x14ac:dyDescent="0.25">
      <c r="K12473"/>
    </row>
    <row r="12474" spans="11:11" ht="15" x14ac:dyDescent="0.25">
      <c r="K12474"/>
    </row>
    <row r="12475" spans="11:11" ht="15" x14ac:dyDescent="0.25">
      <c r="K12475"/>
    </row>
    <row r="12476" spans="11:11" ht="15" x14ac:dyDescent="0.25">
      <c r="K12476"/>
    </row>
    <row r="12477" spans="11:11" ht="15" x14ac:dyDescent="0.25">
      <c r="K12477"/>
    </row>
    <row r="12478" spans="11:11" ht="15" x14ac:dyDescent="0.25">
      <c r="K12478"/>
    </row>
    <row r="12479" spans="11:11" ht="15" x14ac:dyDescent="0.25">
      <c r="K12479"/>
    </row>
    <row r="12480" spans="11:11" ht="15" x14ac:dyDescent="0.25">
      <c r="K12480"/>
    </row>
    <row r="12481" spans="11:11" ht="15" x14ac:dyDescent="0.25">
      <c r="K12481"/>
    </row>
    <row r="12482" spans="11:11" ht="15" x14ac:dyDescent="0.25">
      <c r="K12482"/>
    </row>
    <row r="12483" spans="11:11" ht="15" x14ac:dyDescent="0.25">
      <c r="K12483"/>
    </row>
    <row r="12484" spans="11:11" ht="15" x14ac:dyDescent="0.25">
      <c r="K12484"/>
    </row>
    <row r="12485" spans="11:11" ht="15" x14ac:dyDescent="0.25">
      <c r="K12485"/>
    </row>
    <row r="12486" spans="11:11" ht="15" x14ac:dyDescent="0.25">
      <c r="K12486"/>
    </row>
    <row r="12487" spans="11:11" ht="15" x14ac:dyDescent="0.25">
      <c r="K12487"/>
    </row>
    <row r="12488" spans="11:11" ht="15" x14ac:dyDescent="0.25">
      <c r="K12488"/>
    </row>
    <row r="12489" spans="11:11" ht="15" x14ac:dyDescent="0.25">
      <c r="K12489"/>
    </row>
    <row r="12490" spans="11:11" ht="15" x14ac:dyDescent="0.25">
      <c r="K12490"/>
    </row>
    <row r="12491" spans="11:11" ht="15" x14ac:dyDescent="0.25">
      <c r="K12491"/>
    </row>
    <row r="12492" spans="11:11" ht="15" x14ac:dyDescent="0.25">
      <c r="K12492"/>
    </row>
    <row r="12493" spans="11:11" ht="15" x14ac:dyDescent="0.25">
      <c r="K12493"/>
    </row>
    <row r="12494" spans="11:11" ht="15" x14ac:dyDescent="0.25">
      <c r="K12494"/>
    </row>
    <row r="12495" spans="11:11" ht="15" x14ac:dyDescent="0.25">
      <c r="K12495"/>
    </row>
    <row r="12496" spans="11:11" ht="15" x14ac:dyDescent="0.25">
      <c r="K12496"/>
    </row>
    <row r="12497" spans="11:11" ht="15" x14ac:dyDescent="0.25">
      <c r="K12497"/>
    </row>
    <row r="12498" spans="11:11" ht="15" x14ac:dyDescent="0.25">
      <c r="K12498"/>
    </row>
    <row r="12499" spans="11:11" ht="15" x14ac:dyDescent="0.25">
      <c r="K12499"/>
    </row>
    <row r="12500" spans="11:11" ht="15" x14ac:dyDescent="0.25">
      <c r="K12500"/>
    </row>
    <row r="12501" spans="11:11" ht="15" x14ac:dyDescent="0.25">
      <c r="K12501"/>
    </row>
    <row r="12502" spans="11:11" ht="15" x14ac:dyDescent="0.25">
      <c r="K12502"/>
    </row>
    <row r="12503" spans="11:11" ht="15" x14ac:dyDescent="0.25">
      <c r="K12503"/>
    </row>
    <row r="12504" spans="11:11" ht="15" x14ac:dyDescent="0.25">
      <c r="K12504"/>
    </row>
    <row r="12505" spans="11:11" ht="15" x14ac:dyDescent="0.25">
      <c r="K12505"/>
    </row>
    <row r="12506" spans="11:11" ht="15" x14ac:dyDescent="0.25">
      <c r="K12506"/>
    </row>
    <row r="12507" spans="11:11" ht="15" x14ac:dyDescent="0.25">
      <c r="K12507"/>
    </row>
    <row r="12508" spans="11:11" ht="15" x14ac:dyDescent="0.25">
      <c r="K12508"/>
    </row>
    <row r="12509" spans="11:11" ht="15" x14ac:dyDescent="0.25">
      <c r="K12509"/>
    </row>
    <row r="12510" spans="11:11" ht="15" x14ac:dyDescent="0.25">
      <c r="K12510"/>
    </row>
    <row r="12511" spans="11:11" ht="15" x14ac:dyDescent="0.25">
      <c r="K12511"/>
    </row>
    <row r="12512" spans="11:11" ht="15" x14ac:dyDescent="0.25">
      <c r="K12512"/>
    </row>
    <row r="12513" spans="11:11" ht="15" x14ac:dyDescent="0.25">
      <c r="K12513"/>
    </row>
    <row r="12514" spans="11:11" ht="15" x14ac:dyDescent="0.25">
      <c r="K12514"/>
    </row>
    <row r="12515" spans="11:11" ht="15" x14ac:dyDescent="0.25">
      <c r="K12515"/>
    </row>
    <row r="12516" spans="11:11" ht="15" x14ac:dyDescent="0.25">
      <c r="K12516"/>
    </row>
    <row r="12517" spans="11:11" ht="15" x14ac:dyDescent="0.25">
      <c r="K12517"/>
    </row>
    <row r="12518" spans="11:11" ht="15" x14ac:dyDescent="0.25">
      <c r="K12518"/>
    </row>
    <row r="12519" spans="11:11" ht="15" x14ac:dyDescent="0.25">
      <c r="K12519"/>
    </row>
    <row r="12520" spans="11:11" ht="15" x14ac:dyDescent="0.25">
      <c r="K12520"/>
    </row>
    <row r="12521" spans="11:11" ht="15" x14ac:dyDescent="0.25">
      <c r="K12521"/>
    </row>
    <row r="12522" spans="11:11" ht="15" x14ac:dyDescent="0.25">
      <c r="K12522"/>
    </row>
    <row r="12523" spans="11:11" ht="15" x14ac:dyDescent="0.25">
      <c r="K12523"/>
    </row>
    <row r="12524" spans="11:11" ht="15" x14ac:dyDescent="0.25">
      <c r="K12524"/>
    </row>
    <row r="12525" spans="11:11" ht="15" x14ac:dyDescent="0.25">
      <c r="K12525"/>
    </row>
    <row r="12526" spans="11:11" ht="15" x14ac:dyDescent="0.25">
      <c r="K12526"/>
    </row>
    <row r="12527" spans="11:11" ht="15" x14ac:dyDescent="0.25">
      <c r="K12527"/>
    </row>
    <row r="12528" spans="11:11" ht="15" x14ac:dyDescent="0.25">
      <c r="K12528"/>
    </row>
    <row r="12529" spans="11:11" ht="15" x14ac:dyDescent="0.25">
      <c r="K12529"/>
    </row>
    <row r="12530" spans="11:11" ht="15" x14ac:dyDescent="0.25">
      <c r="K12530"/>
    </row>
    <row r="12531" spans="11:11" ht="15" x14ac:dyDescent="0.25">
      <c r="K12531"/>
    </row>
    <row r="12532" spans="11:11" ht="15" x14ac:dyDescent="0.25">
      <c r="K12532"/>
    </row>
    <row r="12533" spans="11:11" ht="15" x14ac:dyDescent="0.25">
      <c r="K12533"/>
    </row>
    <row r="12534" spans="11:11" ht="15" x14ac:dyDescent="0.25">
      <c r="K12534"/>
    </row>
    <row r="12535" spans="11:11" ht="15" x14ac:dyDescent="0.25">
      <c r="K12535"/>
    </row>
    <row r="12536" spans="11:11" ht="15" x14ac:dyDescent="0.25">
      <c r="K12536"/>
    </row>
    <row r="12537" spans="11:11" ht="15" x14ac:dyDescent="0.25">
      <c r="K12537"/>
    </row>
    <row r="12538" spans="11:11" ht="15" x14ac:dyDescent="0.25">
      <c r="K12538"/>
    </row>
    <row r="12539" spans="11:11" ht="15" x14ac:dyDescent="0.25">
      <c r="K12539"/>
    </row>
    <row r="12540" spans="11:11" ht="15" x14ac:dyDescent="0.25">
      <c r="K12540"/>
    </row>
    <row r="12541" spans="11:11" ht="15" x14ac:dyDescent="0.25">
      <c r="K12541"/>
    </row>
    <row r="12542" spans="11:11" ht="15" x14ac:dyDescent="0.25">
      <c r="K12542"/>
    </row>
    <row r="12543" spans="11:11" ht="15" x14ac:dyDescent="0.25">
      <c r="K12543"/>
    </row>
    <row r="12544" spans="11:11" ht="15" x14ac:dyDescent="0.25">
      <c r="K12544"/>
    </row>
    <row r="12545" spans="11:11" ht="15" x14ac:dyDescent="0.25">
      <c r="K12545"/>
    </row>
    <row r="12546" spans="11:11" ht="15" x14ac:dyDescent="0.25">
      <c r="K12546"/>
    </row>
    <row r="12547" spans="11:11" ht="15" x14ac:dyDescent="0.25">
      <c r="K12547"/>
    </row>
    <row r="12548" spans="11:11" ht="15" x14ac:dyDescent="0.25">
      <c r="K12548"/>
    </row>
    <row r="12549" spans="11:11" ht="15" x14ac:dyDescent="0.25">
      <c r="K12549"/>
    </row>
    <row r="12550" spans="11:11" ht="15" x14ac:dyDescent="0.25">
      <c r="K12550"/>
    </row>
    <row r="12551" spans="11:11" ht="15" x14ac:dyDescent="0.25">
      <c r="K12551"/>
    </row>
    <row r="12552" spans="11:11" ht="15" x14ac:dyDescent="0.25">
      <c r="K12552"/>
    </row>
    <row r="12553" spans="11:11" ht="15" x14ac:dyDescent="0.25">
      <c r="K12553"/>
    </row>
    <row r="12554" spans="11:11" ht="15" x14ac:dyDescent="0.25">
      <c r="K12554"/>
    </row>
    <row r="12555" spans="11:11" ht="15" x14ac:dyDescent="0.25">
      <c r="K12555"/>
    </row>
    <row r="12556" spans="11:11" ht="15" x14ac:dyDescent="0.25">
      <c r="K12556"/>
    </row>
    <row r="12557" spans="11:11" ht="15" x14ac:dyDescent="0.25">
      <c r="K12557"/>
    </row>
    <row r="12558" spans="11:11" ht="15" x14ac:dyDescent="0.25">
      <c r="K12558"/>
    </row>
    <row r="12559" spans="11:11" ht="15" x14ac:dyDescent="0.25">
      <c r="K12559"/>
    </row>
    <row r="12560" spans="11:11" ht="15" x14ac:dyDescent="0.25">
      <c r="K12560"/>
    </row>
    <row r="12561" spans="11:11" ht="15" x14ac:dyDescent="0.25">
      <c r="K12561"/>
    </row>
    <row r="12562" spans="11:11" ht="15" x14ac:dyDescent="0.25">
      <c r="K12562"/>
    </row>
    <row r="12563" spans="11:11" ht="15" x14ac:dyDescent="0.25">
      <c r="K12563"/>
    </row>
    <row r="12564" spans="11:11" ht="15" x14ac:dyDescent="0.25">
      <c r="K12564"/>
    </row>
    <row r="12565" spans="11:11" ht="15" x14ac:dyDescent="0.25">
      <c r="K12565"/>
    </row>
    <row r="12566" spans="11:11" ht="15" x14ac:dyDescent="0.25">
      <c r="K12566"/>
    </row>
    <row r="12567" spans="11:11" ht="15" x14ac:dyDescent="0.25">
      <c r="K12567"/>
    </row>
    <row r="12568" spans="11:11" ht="15" x14ac:dyDescent="0.25">
      <c r="K12568"/>
    </row>
    <row r="12569" spans="11:11" ht="15" x14ac:dyDescent="0.25">
      <c r="K12569"/>
    </row>
    <row r="12570" spans="11:11" ht="15" x14ac:dyDescent="0.25">
      <c r="K12570"/>
    </row>
    <row r="12571" spans="11:11" ht="15" x14ac:dyDescent="0.25">
      <c r="K12571"/>
    </row>
    <row r="12572" spans="11:11" ht="15" x14ac:dyDescent="0.25">
      <c r="K12572"/>
    </row>
    <row r="12573" spans="11:11" ht="15" x14ac:dyDescent="0.25">
      <c r="K12573"/>
    </row>
    <row r="12574" spans="11:11" ht="15" x14ac:dyDescent="0.25">
      <c r="K12574"/>
    </row>
    <row r="12575" spans="11:11" ht="15" x14ac:dyDescent="0.25">
      <c r="K12575"/>
    </row>
    <row r="12576" spans="11:11" ht="15" x14ac:dyDescent="0.25">
      <c r="K12576"/>
    </row>
    <row r="12577" spans="11:11" ht="15" x14ac:dyDescent="0.25">
      <c r="K12577"/>
    </row>
    <row r="12578" spans="11:11" ht="15" x14ac:dyDescent="0.25">
      <c r="K12578"/>
    </row>
    <row r="12579" spans="11:11" ht="15" x14ac:dyDescent="0.25">
      <c r="K12579"/>
    </row>
    <row r="12580" spans="11:11" ht="15" x14ac:dyDescent="0.25">
      <c r="K12580"/>
    </row>
    <row r="12581" spans="11:11" ht="15" x14ac:dyDescent="0.25">
      <c r="K12581"/>
    </row>
    <row r="12582" spans="11:11" ht="15" x14ac:dyDescent="0.25">
      <c r="K12582"/>
    </row>
    <row r="12583" spans="11:11" ht="15" x14ac:dyDescent="0.25">
      <c r="K12583"/>
    </row>
    <row r="12584" spans="11:11" ht="15" x14ac:dyDescent="0.25">
      <c r="K12584"/>
    </row>
    <row r="12585" spans="11:11" ht="15" x14ac:dyDescent="0.25">
      <c r="K12585"/>
    </row>
    <row r="12586" spans="11:11" ht="15" x14ac:dyDescent="0.25">
      <c r="K12586"/>
    </row>
    <row r="12587" spans="11:11" ht="15" x14ac:dyDescent="0.25">
      <c r="K12587"/>
    </row>
    <row r="12588" spans="11:11" ht="15" x14ac:dyDescent="0.25">
      <c r="K12588"/>
    </row>
    <row r="12589" spans="11:11" ht="15" x14ac:dyDescent="0.25">
      <c r="K12589"/>
    </row>
    <row r="12590" spans="11:11" ht="15" x14ac:dyDescent="0.25">
      <c r="K12590"/>
    </row>
    <row r="12591" spans="11:11" ht="15" x14ac:dyDescent="0.25">
      <c r="K12591"/>
    </row>
    <row r="12592" spans="11:11" ht="15" x14ac:dyDescent="0.25">
      <c r="K12592"/>
    </row>
    <row r="12593" spans="11:11" ht="15" x14ac:dyDescent="0.25">
      <c r="K12593"/>
    </row>
    <row r="12594" spans="11:11" ht="15" x14ac:dyDescent="0.25">
      <c r="K12594"/>
    </row>
    <row r="12595" spans="11:11" ht="15" x14ac:dyDescent="0.25">
      <c r="K12595"/>
    </row>
    <row r="12596" spans="11:11" ht="15" x14ac:dyDescent="0.25">
      <c r="K12596"/>
    </row>
    <row r="12597" spans="11:11" ht="15" x14ac:dyDescent="0.25">
      <c r="K12597"/>
    </row>
    <row r="12598" spans="11:11" ht="15" x14ac:dyDescent="0.25">
      <c r="K12598"/>
    </row>
    <row r="12599" spans="11:11" ht="15" x14ac:dyDescent="0.25">
      <c r="K12599"/>
    </row>
    <row r="12600" spans="11:11" ht="15" x14ac:dyDescent="0.25">
      <c r="K12600"/>
    </row>
    <row r="12601" spans="11:11" ht="15" x14ac:dyDescent="0.25">
      <c r="K12601"/>
    </row>
    <row r="12602" spans="11:11" ht="15" x14ac:dyDescent="0.25">
      <c r="K12602"/>
    </row>
    <row r="12603" spans="11:11" ht="15" x14ac:dyDescent="0.25">
      <c r="K12603"/>
    </row>
    <row r="12604" spans="11:11" ht="15" x14ac:dyDescent="0.25">
      <c r="K12604"/>
    </row>
    <row r="12605" spans="11:11" ht="15" x14ac:dyDescent="0.25">
      <c r="K12605"/>
    </row>
    <row r="12606" spans="11:11" ht="15" x14ac:dyDescent="0.25">
      <c r="K12606"/>
    </row>
    <row r="12607" spans="11:11" ht="15" x14ac:dyDescent="0.25">
      <c r="K12607"/>
    </row>
    <row r="12608" spans="11:11" ht="15" x14ac:dyDescent="0.25">
      <c r="K12608"/>
    </row>
    <row r="12609" spans="11:11" ht="15" x14ac:dyDescent="0.25">
      <c r="K12609"/>
    </row>
    <row r="12610" spans="11:11" ht="15" x14ac:dyDescent="0.25">
      <c r="K12610"/>
    </row>
    <row r="12611" spans="11:11" ht="15" x14ac:dyDescent="0.25">
      <c r="K12611"/>
    </row>
    <row r="12612" spans="11:11" ht="15" x14ac:dyDescent="0.25">
      <c r="K12612"/>
    </row>
    <row r="12613" spans="11:11" ht="15" x14ac:dyDescent="0.25">
      <c r="K12613"/>
    </row>
    <row r="12614" spans="11:11" ht="15" x14ac:dyDescent="0.25">
      <c r="K12614"/>
    </row>
    <row r="12615" spans="11:11" ht="15" x14ac:dyDescent="0.25">
      <c r="K12615"/>
    </row>
    <row r="12616" spans="11:11" ht="15" x14ac:dyDescent="0.25">
      <c r="K12616"/>
    </row>
    <row r="12617" spans="11:11" ht="15" x14ac:dyDescent="0.25">
      <c r="K12617"/>
    </row>
    <row r="12618" spans="11:11" ht="15" x14ac:dyDescent="0.25">
      <c r="K12618"/>
    </row>
    <row r="12619" spans="11:11" ht="15" x14ac:dyDescent="0.25">
      <c r="K12619"/>
    </row>
    <row r="12620" spans="11:11" ht="15" x14ac:dyDescent="0.25">
      <c r="K12620"/>
    </row>
    <row r="12621" spans="11:11" ht="15" x14ac:dyDescent="0.25">
      <c r="K12621"/>
    </row>
    <row r="12622" spans="11:11" ht="15" x14ac:dyDescent="0.25">
      <c r="K12622"/>
    </row>
    <row r="12623" spans="11:11" ht="15" x14ac:dyDescent="0.25">
      <c r="K12623"/>
    </row>
    <row r="12624" spans="11:11" ht="15" x14ac:dyDescent="0.25">
      <c r="K12624"/>
    </row>
    <row r="12625" spans="11:11" ht="15" x14ac:dyDescent="0.25">
      <c r="K12625"/>
    </row>
    <row r="12626" spans="11:11" ht="15" x14ac:dyDescent="0.25">
      <c r="K12626"/>
    </row>
    <row r="12627" spans="11:11" ht="15" x14ac:dyDescent="0.25">
      <c r="K12627"/>
    </row>
    <row r="12628" spans="11:11" ht="15" x14ac:dyDescent="0.25">
      <c r="K12628"/>
    </row>
    <row r="12629" spans="11:11" ht="15" x14ac:dyDescent="0.25">
      <c r="K12629"/>
    </row>
    <row r="12630" spans="11:11" ht="15" x14ac:dyDescent="0.25">
      <c r="K12630"/>
    </row>
    <row r="12631" spans="11:11" ht="15" x14ac:dyDescent="0.25">
      <c r="K12631"/>
    </row>
    <row r="12632" spans="11:11" ht="15" x14ac:dyDescent="0.25">
      <c r="K12632"/>
    </row>
    <row r="12633" spans="11:11" ht="15" x14ac:dyDescent="0.25">
      <c r="K12633"/>
    </row>
    <row r="12634" spans="11:11" ht="15" x14ac:dyDescent="0.25">
      <c r="K12634"/>
    </row>
    <row r="12635" spans="11:11" ht="15" x14ac:dyDescent="0.25">
      <c r="K12635"/>
    </row>
    <row r="12636" spans="11:11" ht="15" x14ac:dyDescent="0.25">
      <c r="K12636"/>
    </row>
    <row r="12637" spans="11:11" ht="15" x14ac:dyDescent="0.25">
      <c r="K12637"/>
    </row>
    <row r="12638" spans="11:11" ht="15" x14ac:dyDescent="0.25">
      <c r="K12638"/>
    </row>
    <row r="12639" spans="11:11" ht="15" x14ac:dyDescent="0.25">
      <c r="K12639"/>
    </row>
    <row r="12640" spans="11:11" ht="15" x14ac:dyDescent="0.25">
      <c r="K12640"/>
    </row>
    <row r="12641" spans="11:11" ht="15" x14ac:dyDescent="0.25">
      <c r="K12641"/>
    </row>
    <row r="12642" spans="11:11" ht="15" x14ac:dyDescent="0.25">
      <c r="K12642"/>
    </row>
    <row r="12643" spans="11:11" ht="15" x14ac:dyDescent="0.25">
      <c r="K12643"/>
    </row>
    <row r="12644" spans="11:11" ht="15" x14ac:dyDescent="0.25">
      <c r="K12644"/>
    </row>
    <row r="12645" spans="11:11" ht="15" x14ac:dyDescent="0.25">
      <c r="K12645"/>
    </row>
    <row r="12646" spans="11:11" ht="15" x14ac:dyDescent="0.25">
      <c r="K12646"/>
    </row>
    <row r="12647" spans="11:11" ht="15" x14ac:dyDescent="0.25">
      <c r="K12647"/>
    </row>
    <row r="12648" spans="11:11" ht="15" x14ac:dyDescent="0.25">
      <c r="K12648"/>
    </row>
    <row r="12649" spans="11:11" ht="15" x14ac:dyDescent="0.25">
      <c r="K12649"/>
    </row>
    <row r="12650" spans="11:11" ht="15" x14ac:dyDescent="0.25">
      <c r="K12650"/>
    </row>
    <row r="12651" spans="11:11" ht="15" x14ac:dyDescent="0.25">
      <c r="K12651"/>
    </row>
    <row r="12652" spans="11:11" ht="15" x14ac:dyDescent="0.25">
      <c r="K12652"/>
    </row>
    <row r="12653" spans="11:11" ht="15" x14ac:dyDescent="0.25">
      <c r="K12653"/>
    </row>
    <row r="12654" spans="11:11" ht="15" x14ac:dyDescent="0.25">
      <c r="K12654"/>
    </row>
    <row r="12655" spans="11:11" ht="15" x14ac:dyDescent="0.25">
      <c r="K12655"/>
    </row>
    <row r="12656" spans="11:11" ht="15" x14ac:dyDescent="0.25">
      <c r="K12656"/>
    </row>
    <row r="12657" spans="11:11" ht="15" x14ac:dyDescent="0.25">
      <c r="K12657"/>
    </row>
    <row r="12658" spans="11:11" ht="15" x14ac:dyDescent="0.25">
      <c r="K12658"/>
    </row>
    <row r="12659" spans="11:11" ht="15" x14ac:dyDescent="0.25">
      <c r="K12659"/>
    </row>
    <row r="12660" spans="11:11" ht="15" x14ac:dyDescent="0.25">
      <c r="K12660"/>
    </row>
    <row r="12661" spans="11:11" ht="15" x14ac:dyDescent="0.25">
      <c r="K12661"/>
    </row>
    <row r="12662" spans="11:11" ht="15" x14ac:dyDescent="0.25">
      <c r="K12662"/>
    </row>
    <row r="12663" spans="11:11" ht="15" x14ac:dyDescent="0.25">
      <c r="K12663"/>
    </row>
    <row r="12664" spans="11:11" ht="15" x14ac:dyDescent="0.25">
      <c r="K12664"/>
    </row>
    <row r="12665" spans="11:11" ht="15" x14ac:dyDescent="0.25">
      <c r="K12665"/>
    </row>
    <row r="12666" spans="11:11" ht="15" x14ac:dyDescent="0.25">
      <c r="K12666"/>
    </row>
    <row r="12667" spans="11:11" ht="15" x14ac:dyDescent="0.25">
      <c r="K12667"/>
    </row>
    <row r="12668" spans="11:11" ht="15" x14ac:dyDescent="0.25">
      <c r="K12668"/>
    </row>
    <row r="12669" spans="11:11" ht="15" x14ac:dyDescent="0.25">
      <c r="K12669"/>
    </row>
    <row r="12670" spans="11:11" ht="15" x14ac:dyDescent="0.25">
      <c r="K12670"/>
    </row>
    <row r="12671" spans="11:11" ht="15" x14ac:dyDescent="0.25">
      <c r="K12671"/>
    </row>
    <row r="12672" spans="11:11" ht="15" x14ac:dyDescent="0.25">
      <c r="K12672"/>
    </row>
    <row r="12673" spans="11:11" ht="15" x14ac:dyDescent="0.25">
      <c r="K12673"/>
    </row>
    <row r="12674" spans="11:11" ht="15" x14ac:dyDescent="0.25">
      <c r="K12674"/>
    </row>
    <row r="12675" spans="11:11" ht="15" x14ac:dyDescent="0.25">
      <c r="K12675"/>
    </row>
    <row r="12676" spans="11:11" ht="15" x14ac:dyDescent="0.25">
      <c r="K12676"/>
    </row>
    <row r="12677" spans="11:11" ht="15" x14ac:dyDescent="0.25">
      <c r="K12677"/>
    </row>
    <row r="12678" spans="11:11" ht="15" x14ac:dyDescent="0.25">
      <c r="K12678"/>
    </row>
    <row r="12679" spans="11:11" ht="15" x14ac:dyDescent="0.25">
      <c r="K12679"/>
    </row>
    <row r="12680" spans="11:11" ht="15" x14ac:dyDescent="0.25">
      <c r="K12680"/>
    </row>
    <row r="12681" spans="11:11" ht="15" x14ac:dyDescent="0.25">
      <c r="K12681"/>
    </row>
    <row r="12682" spans="11:11" ht="15" x14ac:dyDescent="0.25">
      <c r="K12682"/>
    </row>
    <row r="12683" spans="11:11" ht="15" x14ac:dyDescent="0.25">
      <c r="K12683"/>
    </row>
    <row r="12684" spans="11:11" ht="15" x14ac:dyDescent="0.25">
      <c r="K12684"/>
    </row>
    <row r="12685" spans="11:11" ht="15" x14ac:dyDescent="0.25">
      <c r="K12685"/>
    </row>
    <row r="12686" spans="11:11" ht="15" x14ac:dyDescent="0.25">
      <c r="K12686"/>
    </row>
    <row r="12687" spans="11:11" ht="15" x14ac:dyDescent="0.25">
      <c r="K12687"/>
    </row>
    <row r="12688" spans="11:11" ht="15" x14ac:dyDescent="0.25">
      <c r="K12688"/>
    </row>
    <row r="12689" spans="11:11" ht="15" x14ac:dyDescent="0.25">
      <c r="K12689"/>
    </row>
    <row r="12690" spans="11:11" ht="15" x14ac:dyDescent="0.25">
      <c r="K12690"/>
    </row>
    <row r="12691" spans="11:11" ht="15" x14ac:dyDescent="0.25">
      <c r="K12691"/>
    </row>
    <row r="12692" spans="11:11" ht="15" x14ac:dyDescent="0.25">
      <c r="K12692"/>
    </row>
    <row r="12693" spans="11:11" ht="15" x14ac:dyDescent="0.25">
      <c r="K12693"/>
    </row>
    <row r="12694" spans="11:11" ht="15" x14ac:dyDescent="0.25">
      <c r="K12694"/>
    </row>
    <row r="12695" spans="11:11" ht="15" x14ac:dyDescent="0.25">
      <c r="K12695"/>
    </row>
    <row r="12696" spans="11:11" ht="15" x14ac:dyDescent="0.25">
      <c r="K12696"/>
    </row>
    <row r="12697" spans="11:11" ht="15" x14ac:dyDescent="0.25">
      <c r="K12697"/>
    </row>
    <row r="12698" spans="11:11" ht="15" x14ac:dyDescent="0.25">
      <c r="K12698"/>
    </row>
    <row r="12699" spans="11:11" ht="15" x14ac:dyDescent="0.25">
      <c r="K12699"/>
    </row>
    <row r="12700" spans="11:11" ht="15" x14ac:dyDescent="0.25">
      <c r="K12700"/>
    </row>
    <row r="12701" spans="11:11" ht="15" x14ac:dyDescent="0.25">
      <c r="K12701"/>
    </row>
    <row r="12702" spans="11:11" ht="15" x14ac:dyDescent="0.25">
      <c r="K12702"/>
    </row>
    <row r="12703" spans="11:11" ht="15" x14ac:dyDescent="0.25">
      <c r="K12703"/>
    </row>
    <row r="12704" spans="11:11" ht="15" x14ac:dyDescent="0.25">
      <c r="K12704"/>
    </row>
    <row r="12705" spans="11:11" ht="15" x14ac:dyDescent="0.25">
      <c r="K12705"/>
    </row>
    <row r="12706" spans="11:11" ht="15" x14ac:dyDescent="0.25">
      <c r="K12706"/>
    </row>
    <row r="12707" spans="11:11" ht="15" x14ac:dyDescent="0.25">
      <c r="K12707"/>
    </row>
    <row r="12708" spans="11:11" ht="15" x14ac:dyDescent="0.25">
      <c r="K12708"/>
    </row>
    <row r="12709" spans="11:11" ht="15" x14ac:dyDescent="0.25">
      <c r="K12709"/>
    </row>
    <row r="12710" spans="11:11" ht="15" x14ac:dyDescent="0.25">
      <c r="K12710"/>
    </row>
    <row r="12711" spans="11:11" ht="15" x14ac:dyDescent="0.25">
      <c r="K12711"/>
    </row>
    <row r="12712" spans="11:11" ht="15" x14ac:dyDescent="0.25">
      <c r="K12712"/>
    </row>
    <row r="12713" spans="11:11" ht="15" x14ac:dyDescent="0.25">
      <c r="K12713"/>
    </row>
    <row r="12714" spans="11:11" ht="15" x14ac:dyDescent="0.25">
      <c r="K12714"/>
    </row>
    <row r="12715" spans="11:11" ht="15" x14ac:dyDescent="0.25">
      <c r="K12715"/>
    </row>
    <row r="12716" spans="11:11" ht="15" x14ac:dyDescent="0.25">
      <c r="K12716"/>
    </row>
    <row r="12717" spans="11:11" ht="15" x14ac:dyDescent="0.25">
      <c r="K12717"/>
    </row>
    <row r="12718" spans="11:11" ht="15" x14ac:dyDescent="0.25">
      <c r="K12718"/>
    </row>
    <row r="12719" spans="11:11" ht="15" x14ac:dyDescent="0.25">
      <c r="K12719"/>
    </row>
    <row r="12720" spans="11:11" ht="15" x14ac:dyDescent="0.25">
      <c r="K12720"/>
    </row>
    <row r="12721" spans="11:11" ht="15" x14ac:dyDescent="0.25">
      <c r="K12721"/>
    </row>
    <row r="12722" spans="11:11" ht="15" x14ac:dyDescent="0.25">
      <c r="K12722"/>
    </row>
    <row r="12723" spans="11:11" ht="15" x14ac:dyDescent="0.25">
      <c r="K12723"/>
    </row>
    <row r="12724" spans="11:11" ht="15" x14ac:dyDescent="0.25">
      <c r="K12724"/>
    </row>
    <row r="12725" spans="11:11" ht="15" x14ac:dyDescent="0.25">
      <c r="K12725"/>
    </row>
    <row r="12726" spans="11:11" ht="15" x14ac:dyDescent="0.25">
      <c r="K12726"/>
    </row>
    <row r="12727" spans="11:11" ht="15" x14ac:dyDescent="0.25">
      <c r="K12727"/>
    </row>
    <row r="12728" spans="11:11" ht="15" x14ac:dyDescent="0.25">
      <c r="K12728"/>
    </row>
    <row r="12729" spans="11:11" ht="15" x14ac:dyDescent="0.25">
      <c r="K12729"/>
    </row>
    <row r="12730" spans="11:11" ht="15" x14ac:dyDescent="0.25">
      <c r="K12730"/>
    </row>
    <row r="12731" spans="11:11" ht="15" x14ac:dyDescent="0.25">
      <c r="K12731"/>
    </row>
    <row r="12732" spans="11:11" ht="15" x14ac:dyDescent="0.25">
      <c r="K12732"/>
    </row>
    <row r="12733" spans="11:11" ht="15" x14ac:dyDescent="0.25">
      <c r="K12733"/>
    </row>
    <row r="12734" spans="11:11" ht="15" x14ac:dyDescent="0.25">
      <c r="K12734"/>
    </row>
    <row r="12735" spans="11:11" ht="15" x14ac:dyDescent="0.25">
      <c r="K12735"/>
    </row>
    <row r="12736" spans="11:11" ht="15" x14ac:dyDescent="0.25">
      <c r="K12736"/>
    </row>
    <row r="12737" spans="11:11" ht="15" x14ac:dyDescent="0.25">
      <c r="K12737"/>
    </row>
    <row r="12738" spans="11:11" ht="15" x14ac:dyDescent="0.25">
      <c r="K12738"/>
    </row>
    <row r="12739" spans="11:11" ht="15" x14ac:dyDescent="0.25">
      <c r="K12739"/>
    </row>
    <row r="12740" spans="11:11" ht="15" x14ac:dyDescent="0.25">
      <c r="K12740"/>
    </row>
    <row r="12741" spans="11:11" ht="15" x14ac:dyDescent="0.25">
      <c r="K12741"/>
    </row>
    <row r="12742" spans="11:11" ht="15" x14ac:dyDescent="0.25">
      <c r="K12742"/>
    </row>
    <row r="12743" spans="11:11" ht="15" x14ac:dyDescent="0.25">
      <c r="K12743"/>
    </row>
    <row r="12744" spans="11:11" ht="15" x14ac:dyDescent="0.25">
      <c r="K12744"/>
    </row>
    <row r="12745" spans="11:11" ht="15" x14ac:dyDescent="0.25">
      <c r="K12745"/>
    </row>
    <row r="12746" spans="11:11" ht="15" x14ac:dyDescent="0.25">
      <c r="K12746"/>
    </row>
    <row r="12747" spans="11:11" ht="15" x14ac:dyDescent="0.25">
      <c r="K12747"/>
    </row>
    <row r="12748" spans="11:11" ht="15" x14ac:dyDescent="0.25">
      <c r="K12748"/>
    </row>
    <row r="12749" spans="11:11" ht="15" x14ac:dyDescent="0.25">
      <c r="K12749"/>
    </row>
    <row r="12750" spans="11:11" ht="15" x14ac:dyDescent="0.25">
      <c r="K12750"/>
    </row>
    <row r="12751" spans="11:11" ht="15" x14ac:dyDescent="0.25">
      <c r="K12751"/>
    </row>
    <row r="12752" spans="11:11" ht="15" x14ac:dyDescent="0.25">
      <c r="K12752"/>
    </row>
    <row r="12753" spans="11:11" ht="15" x14ac:dyDescent="0.25">
      <c r="K12753"/>
    </row>
    <row r="12754" spans="11:11" ht="15" x14ac:dyDescent="0.25">
      <c r="K12754"/>
    </row>
    <row r="12755" spans="11:11" ht="15" x14ac:dyDescent="0.25">
      <c r="K12755"/>
    </row>
    <row r="12756" spans="11:11" ht="15" x14ac:dyDescent="0.25">
      <c r="K12756"/>
    </row>
    <row r="12757" spans="11:11" ht="15" x14ac:dyDescent="0.25">
      <c r="K12757"/>
    </row>
    <row r="12758" spans="11:11" ht="15" x14ac:dyDescent="0.25">
      <c r="K12758"/>
    </row>
    <row r="12759" spans="11:11" ht="15" x14ac:dyDescent="0.25">
      <c r="K12759"/>
    </row>
    <row r="12760" spans="11:11" ht="15" x14ac:dyDescent="0.25">
      <c r="K12760"/>
    </row>
    <row r="12761" spans="11:11" ht="15" x14ac:dyDescent="0.25">
      <c r="K12761"/>
    </row>
    <row r="12762" spans="11:11" ht="15" x14ac:dyDescent="0.25">
      <c r="K12762"/>
    </row>
    <row r="12763" spans="11:11" ht="15" x14ac:dyDescent="0.25">
      <c r="K12763"/>
    </row>
    <row r="12764" spans="11:11" ht="15" x14ac:dyDescent="0.25">
      <c r="K12764"/>
    </row>
    <row r="12765" spans="11:11" ht="15" x14ac:dyDescent="0.25">
      <c r="K12765"/>
    </row>
    <row r="12766" spans="11:11" ht="15" x14ac:dyDescent="0.25">
      <c r="K12766"/>
    </row>
    <row r="12767" spans="11:11" ht="15" x14ac:dyDescent="0.25">
      <c r="K12767"/>
    </row>
    <row r="12768" spans="11:11" ht="15" x14ac:dyDescent="0.25">
      <c r="K12768"/>
    </row>
    <row r="12769" spans="11:11" ht="15" x14ac:dyDescent="0.25">
      <c r="K12769"/>
    </row>
    <row r="12770" spans="11:11" ht="15" x14ac:dyDescent="0.25">
      <c r="K12770"/>
    </row>
    <row r="12771" spans="11:11" ht="15" x14ac:dyDescent="0.25">
      <c r="K12771"/>
    </row>
    <row r="12772" spans="11:11" ht="15" x14ac:dyDescent="0.25">
      <c r="K12772"/>
    </row>
    <row r="12773" spans="11:11" ht="15" x14ac:dyDescent="0.25">
      <c r="K12773"/>
    </row>
    <row r="12774" spans="11:11" ht="15" x14ac:dyDescent="0.25">
      <c r="K12774"/>
    </row>
    <row r="12775" spans="11:11" ht="15" x14ac:dyDescent="0.25">
      <c r="K12775"/>
    </row>
    <row r="12776" spans="11:11" ht="15" x14ac:dyDescent="0.25">
      <c r="K12776"/>
    </row>
    <row r="12777" spans="11:11" ht="15" x14ac:dyDescent="0.25">
      <c r="K12777"/>
    </row>
    <row r="12778" spans="11:11" ht="15" x14ac:dyDescent="0.25">
      <c r="K12778"/>
    </row>
    <row r="12779" spans="11:11" ht="15" x14ac:dyDescent="0.25">
      <c r="K12779"/>
    </row>
    <row r="12780" spans="11:11" ht="15" x14ac:dyDescent="0.25">
      <c r="K12780"/>
    </row>
    <row r="12781" spans="11:11" ht="15" x14ac:dyDescent="0.25">
      <c r="K12781"/>
    </row>
    <row r="12782" spans="11:11" ht="15" x14ac:dyDescent="0.25">
      <c r="K12782"/>
    </row>
    <row r="12783" spans="11:11" ht="15" x14ac:dyDescent="0.25">
      <c r="K12783"/>
    </row>
    <row r="12784" spans="11:11" ht="15" x14ac:dyDescent="0.25">
      <c r="K12784"/>
    </row>
    <row r="12785" spans="11:11" ht="15" x14ac:dyDescent="0.25">
      <c r="K12785"/>
    </row>
    <row r="12786" spans="11:11" ht="15" x14ac:dyDescent="0.25">
      <c r="K12786"/>
    </row>
    <row r="12787" spans="11:11" ht="15" x14ac:dyDescent="0.25">
      <c r="K12787"/>
    </row>
    <row r="12788" spans="11:11" ht="15" x14ac:dyDescent="0.25">
      <c r="K12788"/>
    </row>
    <row r="12789" spans="11:11" ht="15" x14ac:dyDescent="0.25">
      <c r="K12789"/>
    </row>
    <row r="12790" spans="11:11" ht="15" x14ac:dyDescent="0.25">
      <c r="K12790"/>
    </row>
    <row r="12791" spans="11:11" ht="15" x14ac:dyDescent="0.25">
      <c r="K12791"/>
    </row>
    <row r="12792" spans="11:11" ht="15" x14ac:dyDescent="0.25">
      <c r="K12792"/>
    </row>
    <row r="12793" spans="11:11" ht="15" x14ac:dyDescent="0.25">
      <c r="K12793"/>
    </row>
    <row r="12794" spans="11:11" ht="15" x14ac:dyDescent="0.25">
      <c r="K12794"/>
    </row>
    <row r="12795" spans="11:11" ht="15" x14ac:dyDescent="0.25">
      <c r="K12795"/>
    </row>
    <row r="12796" spans="11:11" ht="15" x14ac:dyDescent="0.25">
      <c r="K12796"/>
    </row>
    <row r="12797" spans="11:11" ht="15" x14ac:dyDescent="0.25">
      <c r="K12797"/>
    </row>
    <row r="12798" spans="11:11" ht="15" x14ac:dyDescent="0.25">
      <c r="K12798"/>
    </row>
    <row r="12799" spans="11:11" ht="15" x14ac:dyDescent="0.25">
      <c r="K12799"/>
    </row>
    <row r="12800" spans="11:11" ht="15" x14ac:dyDescent="0.25">
      <c r="K12800"/>
    </row>
    <row r="12801" spans="11:11" ht="15" x14ac:dyDescent="0.25">
      <c r="K12801"/>
    </row>
    <row r="12802" spans="11:11" ht="15" x14ac:dyDescent="0.25">
      <c r="K12802"/>
    </row>
    <row r="12803" spans="11:11" ht="15" x14ac:dyDescent="0.25">
      <c r="K12803"/>
    </row>
    <row r="12804" spans="11:11" ht="15" x14ac:dyDescent="0.25">
      <c r="K12804"/>
    </row>
    <row r="12805" spans="11:11" ht="15" x14ac:dyDescent="0.25">
      <c r="K12805"/>
    </row>
    <row r="12806" spans="11:11" ht="15" x14ac:dyDescent="0.25">
      <c r="K12806"/>
    </row>
    <row r="12807" spans="11:11" ht="15" x14ac:dyDescent="0.25">
      <c r="K12807"/>
    </row>
    <row r="12808" spans="11:11" ht="15" x14ac:dyDescent="0.25">
      <c r="K12808"/>
    </row>
    <row r="12809" spans="11:11" ht="15" x14ac:dyDescent="0.25">
      <c r="K12809"/>
    </row>
    <row r="12810" spans="11:11" ht="15" x14ac:dyDescent="0.25">
      <c r="K12810"/>
    </row>
    <row r="12811" spans="11:11" ht="15" x14ac:dyDescent="0.25">
      <c r="K12811"/>
    </row>
    <row r="12812" spans="11:11" ht="15" x14ac:dyDescent="0.25">
      <c r="K12812"/>
    </row>
    <row r="12813" spans="11:11" ht="15" x14ac:dyDescent="0.25">
      <c r="K12813"/>
    </row>
    <row r="12814" spans="11:11" ht="15" x14ac:dyDescent="0.25">
      <c r="K12814"/>
    </row>
    <row r="12815" spans="11:11" ht="15" x14ac:dyDescent="0.25">
      <c r="K12815"/>
    </row>
    <row r="12816" spans="11:11" ht="15" x14ac:dyDescent="0.25">
      <c r="K12816"/>
    </row>
    <row r="12817" spans="11:11" ht="15" x14ac:dyDescent="0.25">
      <c r="K12817"/>
    </row>
    <row r="12818" spans="11:11" ht="15" x14ac:dyDescent="0.25">
      <c r="K12818"/>
    </row>
    <row r="12819" spans="11:11" ht="15" x14ac:dyDescent="0.25">
      <c r="K12819"/>
    </row>
    <row r="12820" spans="11:11" ht="15" x14ac:dyDescent="0.25">
      <c r="K12820"/>
    </row>
    <row r="12821" spans="11:11" ht="15" x14ac:dyDescent="0.25">
      <c r="K12821"/>
    </row>
    <row r="12822" spans="11:11" ht="15" x14ac:dyDescent="0.25">
      <c r="K12822"/>
    </row>
    <row r="12823" spans="11:11" ht="15" x14ac:dyDescent="0.25">
      <c r="K12823"/>
    </row>
    <row r="12824" spans="11:11" ht="15" x14ac:dyDescent="0.25">
      <c r="K12824"/>
    </row>
    <row r="12825" spans="11:11" ht="15" x14ac:dyDescent="0.25">
      <c r="K12825"/>
    </row>
    <row r="12826" spans="11:11" ht="15" x14ac:dyDescent="0.25">
      <c r="K12826"/>
    </row>
    <row r="12827" spans="11:11" ht="15" x14ac:dyDescent="0.25">
      <c r="K12827"/>
    </row>
    <row r="12828" spans="11:11" ht="15" x14ac:dyDescent="0.25">
      <c r="K12828"/>
    </row>
    <row r="12829" spans="11:11" ht="15" x14ac:dyDescent="0.25">
      <c r="K12829"/>
    </row>
    <row r="12830" spans="11:11" ht="15" x14ac:dyDescent="0.25">
      <c r="K12830"/>
    </row>
    <row r="12831" spans="11:11" ht="15" x14ac:dyDescent="0.25">
      <c r="K12831"/>
    </row>
    <row r="12832" spans="11:11" ht="15" x14ac:dyDescent="0.25">
      <c r="K12832"/>
    </row>
    <row r="12833" spans="11:11" ht="15" x14ac:dyDescent="0.25">
      <c r="K12833"/>
    </row>
    <row r="12834" spans="11:11" ht="15" x14ac:dyDescent="0.25">
      <c r="K12834"/>
    </row>
    <row r="12835" spans="11:11" ht="15" x14ac:dyDescent="0.25">
      <c r="K12835"/>
    </row>
    <row r="12836" spans="11:11" ht="15" x14ac:dyDescent="0.25">
      <c r="K12836"/>
    </row>
    <row r="12837" spans="11:11" ht="15" x14ac:dyDescent="0.25">
      <c r="K12837"/>
    </row>
    <row r="12838" spans="11:11" ht="15" x14ac:dyDescent="0.25">
      <c r="K12838"/>
    </row>
    <row r="12839" spans="11:11" ht="15" x14ac:dyDescent="0.25">
      <c r="K12839"/>
    </row>
    <row r="12840" spans="11:11" ht="15" x14ac:dyDescent="0.25">
      <c r="K12840"/>
    </row>
    <row r="12841" spans="11:11" ht="15" x14ac:dyDescent="0.25">
      <c r="K12841"/>
    </row>
    <row r="12842" spans="11:11" ht="15" x14ac:dyDescent="0.25">
      <c r="K12842"/>
    </row>
    <row r="12843" spans="11:11" ht="15" x14ac:dyDescent="0.25">
      <c r="K12843"/>
    </row>
    <row r="12844" spans="11:11" ht="15" x14ac:dyDescent="0.25">
      <c r="K12844"/>
    </row>
    <row r="12845" spans="11:11" ht="15" x14ac:dyDescent="0.25">
      <c r="K12845"/>
    </row>
    <row r="12846" spans="11:11" ht="15" x14ac:dyDescent="0.25">
      <c r="K12846"/>
    </row>
    <row r="12847" spans="11:11" ht="15" x14ac:dyDescent="0.25">
      <c r="K12847"/>
    </row>
    <row r="12848" spans="11:11" ht="15" x14ac:dyDescent="0.25">
      <c r="K12848"/>
    </row>
    <row r="12849" spans="11:11" ht="15" x14ac:dyDescent="0.25">
      <c r="K12849"/>
    </row>
    <row r="12850" spans="11:11" ht="15" x14ac:dyDescent="0.25">
      <c r="K12850"/>
    </row>
    <row r="12851" spans="11:11" ht="15" x14ac:dyDescent="0.25">
      <c r="K12851"/>
    </row>
    <row r="12852" spans="11:11" ht="15" x14ac:dyDescent="0.25">
      <c r="K12852"/>
    </row>
    <row r="12853" spans="11:11" ht="15" x14ac:dyDescent="0.25">
      <c r="K12853"/>
    </row>
    <row r="12854" spans="11:11" ht="15" x14ac:dyDescent="0.25">
      <c r="K12854"/>
    </row>
    <row r="12855" spans="11:11" ht="15" x14ac:dyDescent="0.25">
      <c r="K12855"/>
    </row>
    <row r="12856" spans="11:11" ht="15" x14ac:dyDescent="0.25">
      <c r="K12856"/>
    </row>
    <row r="12857" spans="11:11" ht="15" x14ac:dyDescent="0.25">
      <c r="K12857"/>
    </row>
    <row r="12858" spans="11:11" ht="15" x14ac:dyDescent="0.25">
      <c r="K12858"/>
    </row>
    <row r="12859" spans="11:11" ht="15" x14ac:dyDescent="0.25">
      <c r="K12859"/>
    </row>
    <row r="12860" spans="11:11" ht="15" x14ac:dyDescent="0.25">
      <c r="K12860"/>
    </row>
    <row r="12861" spans="11:11" ht="15" x14ac:dyDescent="0.25">
      <c r="K12861"/>
    </row>
    <row r="12862" spans="11:11" ht="15" x14ac:dyDescent="0.25">
      <c r="K12862"/>
    </row>
    <row r="12863" spans="11:11" ht="15" x14ac:dyDescent="0.25">
      <c r="K12863"/>
    </row>
    <row r="12864" spans="11:11" ht="15" x14ac:dyDescent="0.25">
      <c r="K12864"/>
    </row>
    <row r="12865" spans="11:11" ht="15" x14ac:dyDescent="0.25">
      <c r="K12865"/>
    </row>
    <row r="12866" spans="11:11" ht="15" x14ac:dyDescent="0.25">
      <c r="K12866"/>
    </row>
    <row r="12867" spans="11:11" ht="15" x14ac:dyDescent="0.25">
      <c r="K12867"/>
    </row>
    <row r="12868" spans="11:11" ht="15" x14ac:dyDescent="0.25">
      <c r="K12868"/>
    </row>
    <row r="12869" spans="11:11" ht="15" x14ac:dyDescent="0.25">
      <c r="K12869"/>
    </row>
    <row r="12870" spans="11:11" ht="15" x14ac:dyDescent="0.25">
      <c r="K12870"/>
    </row>
    <row r="12871" spans="11:11" ht="15" x14ac:dyDescent="0.25">
      <c r="K12871"/>
    </row>
    <row r="12872" spans="11:11" ht="15" x14ac:dyDescent="0.25">
      <c r="K12872"/>
    </row>
    <row r="12873" spans="11:11" ht="15" x14ac:dyDescent="0.25">
      <c r="K12873"/>
    </row>
    <row r="12874" spans="11:11" ht="15" x14ac:dyDescent="0.25">
      <c r="K12874"/>
    </row>
    <row r="12875" spans="11:11" ht="15" x14ac:dyDescent="0.25">
      <c r="K12875"/>
    </row>
    <row r="12876" spans="11:11" ht="15" x14ac:dyDescent="0.25">
      <c r="K12876"/>
    </row>
    <row r="12877" spans="11:11" ht="15" x14ac:dyDescent="0.25">
      <c r="K12877"/>
    </row>
    <row r="12878" spans="11:11" ht="15" x14ac:dyDescent="0.25">
      <c r="K12878"/>
    </row>
    <row r="12879" spans="11:11" ht="15" x14ac:dyDescent="0.25">
      <c r="K12879"/>
    </row>
    <row r="12880" spans="11:11" ht="15" x14ac:dyDescent="0.25">
      <c r="K12880"/>
    </row>
    <row r="12881" spans="11:11" ht="15" x14ac:dyDescent="0.25">
      <c r="K12881"/>
    </row>
    <row r="12882" spans="11:11" ht="15" x14ac:dyDescent="0.25">
      <c r="K12882"/>
    </row>
    <row r="12883" spans="11:11" ht="15" x14ac:dyDescent="0.25">
      <c r="K12883"/>
    </row>
    <row r="12884" spans="11:11" ht="15" x14ac:dyDescent="0.25">
      <c r="K12884"/>
    </row>
    <row r="12885" spans="11:11" ht="15" x14ac:dyDescent="0.25">
      <c r="K12885"/>
    </row>
    <row r="12886" spans="11:11" ht="15" x14ac:dyDescent="0.25">
      <c r="K12886"/>
    </row>
    <row r="12887" spans="11:11" ht="15" x14ac:dyDescent="0.25">
      <c r="K12887"/>
    </row>
    <row r="12888" spans="11:11" ht="15" x14ac:dyDescent="0.25">
      <c r="K12888"/>
    </row>
    <row r="12889" spans="11:11" ht="15" x14ac:dyDescent="0.25">
      <c r="K12889"/>
    </row>
    <row r="12890" spans="11:11" ht="15" x14ac:dyDescent="0.25">
      <c r="K12890"/>
    </row>
    <row r="12891" spans="11:11" ht="15" x14ac:dyDescent="0.25">
      <c r="K12891"/>
    </row>
    <row r="12892" spans="11:11" ht="15" x14ac:dyDescent="0.25">
      <c r="K12892"/>
    </row>
    <row r="12893" spans="11:11" ht="15" x14ac:dyDescent="0.25">
      <c r="K12893"/>
    </row>
    <row r="12894" spans="11:11" ht="15" x14ac:dyDescent="0.25">
      <c r="K12894"/>
    </row>
    <row r="12895" spans="11:11" ht="15" x14ac:dyDescent="0.25">
      <c r="K12895"/>
    </row>
    <row r="12896" spans="11:11" ht="15" x14ac:dyDescent="0.25">
      <c r="K12896"/>
    </row>
    <row r="12897" spans="11:11" ht="15" x14ac:dyDescent="0.25">
      <c r="K12897"/>
    </row>
    <row r="12898" spans="11:11" ht="15" x14ac:dyDescent="0.25">
      <c r="K12898"/>
    </row>
    <row r="12899" spans="11:11" ht="15" x14ac:dyDescent="0.25">
      <c r="K12899"/>
    </row>
    <row r="12900" spans="11:11" ht="15" x14ac:dyDescent="0.25">
      <c r="K12900"/>
    </row>
    <row r="12901" spans="11:11" ht="15" x14ac:dyDescent="0.25">
      <c r="K12901"/>
    </row>
    <row r="12902" spans="11:11" ht="15" x14ac:dyDescent="0.25">
      <c r="K12902"/>
    </row>
    <row r="12903" spans="11:11" ht="15" x14ac:dyDescent="0.25">
      <c r="K12903"/>
    </row>
    <row r="12904" spans="11:11" ht="15" x14ac:dyDescent="0.25">
      <c r="K12904"/>
    </row>
    <row r="12905" spans="11:11" ht="15" x14ac:dyDescent="0.25">
      <c r="K12905"/>
    </row>
    <row r="12906" spans="11:11" ht="15" x14ac:dyDescent="0.25">
      <c r="K12906"/>
    </row>
    <row r="12907" spans="11:11" ht="15" x14ac:dyDescent="0.25">
      <c r="K12907"/>
    </row>
    <row r="12908" spans="11:11" ht="15" x14ac:dyDescent="0.25">
      <c r="K12908"/>
    </row>
    <row r="12909" spans="11:11" ht="15" x14ac:dyDescent="0.25">
      <c r="K12909"/>
    </row>
    <row r="12910" spans="11:11" ht="15" x14ac:dyDescent="0.25">
      <c r="K12910"/>
    </row>
    <row r="12911" spans="11:11" ht="15" x14ac:dyDescent="0.25">
      <c r="K12911"/>
    </row>
    <row r="12912" spans="11:11" ht="15" x14ac:dyDescent="0.25">
      <c r="K12912"/>
    </row>
    <row r="12913" spans="11:11" ht="15" x14ac:dyDescent="0.25">
      <c r="K12913"/>
    </row>
    <row r="12914" spans="11:11" ht="15" x14ac:dyDescent="0.25">
      <c r="K12914"/>
    </row>
    <row r="12915" spans="11:11" ht="15" x14ac:dyDescent="0.25">
      <c r="K12915"/>
    </row>
    <row r="12916" spans="11:11" ht="15" x14ac:dyDescent="0.25">
      <c r="K12916"/>
    </row>
    <row r="12917" spans="11:11" ht="15" x14ac:dyDescent="0.25">
      <c r="K12917"/>
    </row>
    <row r="12918" spans="11:11" ht="15" x14ac:dyDescent="0.25">
      <c r="K12918"/>
    </row>
    <row r="12919" spans="11:11" ht="15" x14ac:dyDescent="0.25">
      <c r="K12919"/>
    </row>
    <row r="12920" spans="11:11" ht="15" x14ac:dyDescent="0.25">
      <c r="K12920"/>
    </row>
    <row r="12921" spans="11:11" ht="15" x14ac:dyDescent="0.25">
      <c r="K12921"/>
    </row>
    <row r="12922" spans="11:11" ht="15" x14ac:dyDescent="0.25">
      <c r="K12922"/>
    </row>
    <row r="12923" spans="11:11" ht="15" x14ac:dyDescent="0.25">
      <c r="K12923"/>
    </row>
    <row r="12924" spans="11:11" ht="15" x14ac:dyDescent="0.25">
      <c r="K12924"/>
    </row>
    <row r="12925" spans="11:11" ht="15" x14ac:dyDescent="0.25">
      <c r="K12925"/>
    </row>
    <row r="12926" spans="11:11" ht="15" x14ac:dyDescent="0.25">
      <c r="K12926"/>
    </row>
    <row r="12927" spans="11:11" ht="15" x14ac:dyDescent="0.25">
      <c r="K12927"/>
    </row>
    <row r="12928" spans="11:11" ht="15" x14ac:dyDescent="0.25">
      <c r="K12928"/>
    </row>
    <row r="12929" spans="11:11" ht="15" x14ac:dyDescent="0.25">
      <c r="K12929"/>
    </row>
    <row r="12930" spans="11:11" ht="15" x14ac:dyDescent="0.25">
      <c r="K12930"/>
    </row>
    <row r="12931" spans="11:11" ht="15" x14ac:dyDescent="0.25">
      <c r="K12931"/>
    </row>
    <row r="12932" spans="11:11" ht="15" x14ac:dyDescent="0.25">
      <c r="K12932"/>
    </row>
    <row r="12933" spans="11:11" ht="15" x14ac:dyDescent="0.25">
      <c r="K12933"/>
    </row>
    <row r="12934" spans="11:11" ht="15" x14ac:dyDescent="0.25">
      <c r="K12934"/>
    </row>
    <row r="12935" spans="11:11" ht="15" x14ac:dyDescent="0.25">
      <c r="K12935"/>
    </row>
    <row r="12936" spans="11:11" ht="15" x14ac:dyDescent="0.25">
      <c r="K12936"/>
    </row>
    <row r="12937" spans="11:11" ht="15" x14ac:dyDescent="0.25">
      <c r="K12937"/>
    </row>
    <row r="12938" spans="11:11" ht="15" x14ac:dyDescent="0.25">
      <c r="K12938"/>
    </row>
    <row r="12939" spans="11:11" ht="15" x14ac:dyDescent="0.25">
      <c r="K12939"/>
    </row>
    <row r="12940" spans="11:11" ht="15" x14ac:dyDescent="0.25">
      <c r="K12940"/>
    </row>
    <row r="12941" spans="11:11" ht="15" x14ac:dyDescent="0.25">
      <c r="K12941"/>
    </row>
    <row r="12942" spans="11:11" ht="15" x14ac:dyDescent="0.25">
      <c r="K12942"/>
    </row>
    <row r="12943" spans="11:11" ht="15" x14ac:dyDescent="0.25">
      <c r="K12943"/>
    </row>
    <row r="12944" spans="11:11" ht="15" x14ac:dyDescent="0.25">
      <c r="K12944"/>
    </row>
    <row r="12945" spans="11:11" ht="15" x14ac:dyDescent="0.25">
      <c r="K12945"/>
    </row>
    <row r="12946" spans="11:11" ht="15" x14ac:dyDescent="0.25">
      <c r="K12946"/>
    </row>
    <row r="12947" spans="11:11" ht="15" x14ac:dyDescent="0.25">
      <c r="K12947"/>
    </row>
    <row r="12948" spans="11:11" ht="15" x14ac:dyDescent="0.25">
      <c r="K12948"/>
    </row>
    <row r="12949" spans="11:11" ht="15" x14ac:dyDescent="0.25">
      <c r="K12949"/>
    </row>
    <row r="12950" spans="11:11" ht="15" x14ac:dyDescent="0.25">
      <c r="K12950"/>
    </row>
    <row r="12951" spans="11:11" ht="15" x14ac:dyDescent="0.25">
      <c r="K12951"/>
    </row>
    <row r="12952" spans="11:11" ht="15" x14ac:dyDescent="0.25">
      <c r="K12952"/>
    </row>
    <row r="12953" spans="11:11" ht="15" x14ac:dyDescent="0.25">
      <c r="K12953"/>
    </row>
    <row r="12954" spans="11:11" ht="15" x14ac:dyDescent="0.25">
      <c r="K12954"/>
    </row>
    <row r="12955" spans="11:11" ht="15" x14ac:dyDescent="0.25">
      <c r="K12955"/>
    </row>
    <row r="12956" spans="11:11" ht="15" x14ac:dyDescent="0.25">
      <c r="K12956"/>
    </row>
    <row r="12957" spans="11:11" ht="15" x14ac:dyDescent="0.25">
      <c r="K12957"/>
    </row>
    <row r="12958" spans="11:11" ht="15" x14ac:dyDescent="0.25">
      <c r="K12958"/>
    </row>
    <row r="12959" spans="11:11" ht="15" x14ac:dyDescent="0.25">
      <c r="K12959"/>
    </row>
    <row r="12960" spans="11:11" ht="15" x14ac:dyDescent="0.25">
      <c r="K12960"/>
    </row>
    <row r="12961" spans="11:11" ht="15" x14ac:dyDescent="0.25">
      <c r="K12961"/>
    </row>
    <row r="12962" spans="11:11" ht="15" x14ac:dyDescent="0.25">
      <c r="K12962"/>
    </row>
    <row r="12963" spans="11:11" ht="15" x14ac:dyDescent="0.25">
      <c r="K12963"/>
    </row>
    <row r="12964" spans="11:11" ht="15" x14ac:dyDescent="0.25">
      <c r="K12964"/>
    </row>
    <row r="12965" spans="11:11" ht="15" x14ac:dyDescent="0.25">
      <c r="K12965"/>
    </row>
    <row r="12966" spans="11:11" ht="15" x14ac:dyDescent="0.25">
      <c r="K12966"/>
    </row>
    <row r="12967" spans="11:11" ht="15" x14ac:dyDescent="0.25">
      <c r="K12967"/>
    </row>
    <row r="12968" spans="11:11" ht="15" x14ac:dyDescent="0.25">
      <c r="K12968"/>
    </row>
    <row r="12969" spans="11:11" ht="15" x14ac:dyDescent="0.25">
      <c r="K12969"/>
    </row>
    <row r="12970" spans="11:11" ht="15" x14ac:dyDescent="0.25">
      <c r="K12970"/>
    </row>
    <row r="12971" spans="11:11" ht="15" x14ac:dyDescent="0.25">
      <c r="K12971"/>
    </row>
    <row r="12972" spans="11:11" ht="15" x14ac:dyDescent="0.25">
      <c r="K12972"/>
    </row>
    <row r="12973" spans="11:11" ht="15" x14ac:dyDescent="0.25">
      <c r="K12973"/>
    </row>
    <row r="12974" spans="11:11" ht="15" x14ac:dyDescent="0.25">
      <c r="K12974"/>
    </row>
    <row r="12975" spans="11:11" ht="15" x14ac:dyDescent="0.25">
      <c r="K12975"/>
    </row>
    <row r="12976" spans="11:11" ht="15" x14ac:dyDescent="0.25">
      <c r="K12976"/>
    </row>
    <row r="12977" spans="11:11" ht="15" x14ac:dyDescent="0.25">
      <c r="K12977"/>
    </row>
    <row r="12978" spans="11:11" ht="15" x14ac:dyDescent="0.25">
      <c r="K12978"/>
    </row>
    <row r="12979" spans="11:11" ht="15" x14ac:dyDescent="0.25">
      <c r="K12979"/>
    </row>
    <row r="12980" spans="11:11" ht="15" x14ac:dyDescent="0.25">
      <c r="K12980"/>
    </row>
    <row r="12981" spans="11:11" ht="15" x14ac:dyDescent="0.25">
      <c r="K12981"/>
    </row>
    <row r="12982" spans="11:11" ht="15" x14ac:dyDescent="0.25">
      <c r="K12982"/>
    </row>
    <row r="12983" spans="11:11" ht="15" x14ac:dyDescent="0.25">
      <c r="K12983"/>
    </row>
    <row r="12984" spans="11:11" ht="15" x14ac:dyDescent="0.25">
      <c r="K12984"/>
    </row>
    <row r="12985" spans="11:11" ht="15" x14ac:dyDescent="0.25">
      <c r="K12985"/>
    </row>
    <row r="12986" spans="11:11" ht="15" x14ac:dyDescent="0.25">
      <c r="K12986"/>
    </row>
    <row r="12987" spans="11:11" ht="15" x14ac:dyDescent="0.25">
      <c r="K12987"/>
    </row>
    <row r="12988" spans="11:11" ht="15" x14ac:dyDescent="0.25">
      <c r="K12988"/>
    </row>
    <row r="12989" spans="11:11" ht="15" x14ac:dyDescent="0.25">
      <c r="K12989"/>
    </row>
    <row r="12990" spans="11:11" ht="15" x14ac:dyDescent="0.25">
      <c r="K12990"/>
    </row>
    <row r="12991" spans="11:11" ht="15" x14ac:dyDescent="0.25">
      <c r="K12991"/>
    </row>
    <row r="12992" spans="11:11" ht="15" x14ac:dyDescent="0.25">
      <c r="K12992"/>
    </row>
    <row r="12993" spans="11:11" ht="15" x14ac:dyDescent="0.25">
      <c r="K12993"/>
    </row>
    <row r="12994" spans="11:11" ht="15" x14ac:dyDescent="0.25">
      <c r="K12994"/>
    </row>
    <row r="12995" spans="11:11" ht="15" x14ac:dyDescent="0.25">
      <c r="K12995"/>
    </row>
    <row r="12996" spans="11:11" ht="15" x14ac:dyDescent="0.25">
      <c r="K12996"/>
    </row>
    <row r="12997" spans="11:11" ht="15" x14ac:dyDescent="0.25">
      <c r="K12997"/>
    </row>
    <row r="12998" spans="11:11" ht="15" x14ac:dyDescent="0.25">
      <c r="K12998"/>
    </row>
    <row r="12999" spans="11:11" ht="15" x14ac:dyDescent="0.25">
      <c r="K12999"/>
    </row>
    <row r="13000" spans="11:11" ht="15" x14ac:dyDescent="0.25">
      <c r="K13000"/>
    </row>
    <row r="13001" spans="11:11" ht="15" x14ac:dyDescent="0.25">
      <c r="K13001"/>
    </row>
    <row r="13002" spans="11:11" ht="15" x14ac:dyDescent="0.25">
      <c r="K13002"/>
    </row>
    <row r="13003" spans="11:11" ht="15" x14ac:dyDescent="0.25">
      <c r="K13003"/>
    </row>
    <row r="13004" spans="11:11" ht="15" x14ac:dyDescent="0.25">
      <c r="K13004"/>
    </row>
    <row r="13005" spans="11:11" ht="15" x14ac:dyDescent="0.25">
      <c r="K13005"/>
    </row>
    <row r="13006" spans="11:11" ht="15" x14ac:dyDescent="0.25">
      <c r="K13006"/>
    </row>
    <row r="13007" spans="11:11" ht="15" x14ac:dyDescent="0.25">
      <c r="K13007"/>
    </row>
    <row r="13008" spans="11:11" ht="15" x14ac:dyDescent="0.25">
      <c r="K13008"/>
    </row>
    <row r="13009" spans="11:11" ht="15" x14ac:dyDescent="0.25">
      <c r="K13009"/>
    </row>
    <row r="13010" spans="11:11" ht="15" x14ac:dyDescent="0.25">
      <c r="K13010"/>
    </row>
    <row r="13011" spans="11:11" ht="15" x14ac:dyDescent="0.25">
      <c r="K13011"/>
    </row>
    <row r="13012" spans="11:11" ht="15" x14ac:dyDescent="0.25">
      <c r="K13012"/>
    </row>
    <row r="13013" spans="11:11" ht="15" x14ac:dyDescent="0.25">
      <c r="K13013"/>
    </row>
    <row r="13014" spans="11:11" ht="15" x14ac:dyDescent="0.25">
      <c r="K13014"/>
    </row>
    <row r="13015" spans="11:11" ht="15" x14ac:dyDescent="0.25">
      <c r="K13015"/>
    </row>
    <row r="13016" spans="11:11" ht="15" x14ac:dyDescent="0.25">
      <c r="K13016"/>
    </row>
    <row r="13017" spans="11:11" ht="15" x14ac:dyDescent="0.25">
      <c r="K13017"/>
    </row>
    <row r="13018" spans="11:11" ht="15" x14ac:dyDescent="0.25">
      <c r="K13018"/>
    </row>
    <row r="13019" spans="11:11" ht="15" x14ac:dyDescent="0.25">
      <c r="K13019"/>
    </row>
    <row r="13020" spans="11:11" ht="15" x14ac:dyDescent="0.25">
      <c r="K13020"/>
    </row>
    <row r="13021" spans="11:11" ht="15" x14ac:dyDescent="0.25">
      <c r="K13021"/>
    </row>
    <row r="13022" spans="11:11" ht="15" x14ac:dyDescent="0.25">
      <c r="K13022"/>
    </row>
    <row r="13023" spans="11:11" ht="15" x14ac:dyDescent="0.25">
      <c r="K13023"/>
    </row>
    <row r="13024" spans="11:11" ht="15" x14ac:dyDescent="0.25">
      <c r="K13024"/>
    </row>
    <row r="13025" spans="11:11" ht="15" x14ac:dyDescent="0.25">
      <c r="K13025"/>
    </row>
    <row r="13026" spans="11:11" ht="15" x14ac:dyDescent="0.25">
      <c r="K13026"/>
    </row>
    <row r="13027" spans="11:11" ht="15" x14ac:dyDescent="0.25">
      <c r="K13027"/>
    </row>
    <row r="13028" spans="11:11" ht="15" x14ac:dyDescent="0.25">
      <c r="K13028"/>
    </row>
    <row r="13029" spans="11:11" ht="15" x14ac:dyDescent="0.25">
      <c r="K13029"/>
    </row>
    <row r="13030" spans="11:11" ht="15" x14ac:dyDescent="0.25">
      <c r="K13030"/>
    </row>
    <row r="13031" spans="11:11" ht="15" x14ac:dyDescent="0.25">
      <c r="K13031"/>
    </row>
    <row r="13032" spans="11:11" ht="15" x14ac:dyDescent="0.25">
      <c r="K13032"/>
    </row>
    <row r="13033" spans="11:11" ht="15" x14ac:dyDescent="0.25">
      <c r="K13033"/>
    </row>
    <row r="13034" spans="11:11" ht="15" x14ac:dyDescent="0.25">
      <c r="K13034"/>
    </row>
    <row r="13035" spans="11:11" ht="15" x14ac:dyDescent="0.25">
      <c r="K13035"/>
    </row>
    <row r="13036" spans="11:11" ht="15" x14ac:dyDescent="0.25">
      <c r="K13036"/>
    </row>
    <row r="13037" spans="11:11" ht="15" x14ac:dyDescent="0.25">
      <c r="K13037"/>
    </row>
    <row r="13038" spans="11:11" ht="15" x14ac:dyDescent="0.25">
      <c r="K13038"/>
    </row>
    <row r="13039" spans="11:11" ht="15" x14ac:dyDescent="0.25">
      <c r="K13039"/>
    </row>
    <row r="13040" spans="11:11" ht="15" x14ac:dyDescent="0.25">
      <c r="K13040"/>
    </row>
    <row r="13041" spans="11:11" ht="15" x14ac:dyDescent="0.25">
      <c r="K13041"/>
    </row>
    <row r="13042" spans="11:11" ht="15" x14ac:dyDescent="0.25">
      <c r="K13042"/>
    </row>
    <row r="13043" spans="11:11" ht="15" x14ac:dyDescent="0.25">
      <c r="K13043"/>
    </row>
    <row r="13044" spans="11:11" ht="15" x14ac:dyDescent="0.25">
      <c r="K13044"/>
    </row>
    <row r="13045" spans="11:11" ht="15" x14ac:dyDescent="0.25">
      <c r="K13045"/>
    </row>
    <row r="13046" spans="11:11" ht="15" x14ac:dyDescent="0.25">
      <c r="K13046"/>
    </row>
    <row r="13047" spans="11:11" ht="15" x14ac:dyDescent="0.25">
      <c r="K13047"/>
    </row>
    <row r="13048" spans="11:11" ht="15" x14ac:dyDescent="0.25">
      <c r="K13048"/>
    </row>
    <row r="13049" spans="11:11" ht="15" x14ac:dyDescent="0.25">
      <c r="K13049"/>
    </row>
    <row r="13050" spans="11:11" ht="15" x14ac:dyDescent="0.25">
      <c r="K13050"/>
    </row>
    <row r="13051" spans="11:11" ht="15" x14ac:dyDescent="0.25">
      <c r="K13051"/>
    </row>
    <row r="13052" spans="11:11" ht="15" x14ac:dyDescent="0.25">
      <c r="K13052"/>
    </row>
    <row r="13053" spans="11:11" ht="15" x14ac:dyDescent="0.25">
      <c r="K13053"/>
    </row>
    <row r="13054" spans="11:11" ht="15" x14ac:dyDescent="0.25">
      <c r="K13054"/>
    </row>
    <row r="13055" spans="11:11" ht="15" x14ac:dyDescent="0.25">
      <c r="K13055"/>
    </row>
    <row r="13056" spans="11:11" ht="15" x14ac:dyDescent="0.25">
      <c r="K13056"/>
    </row>
    <row r="13057" spans="11:11" ht="15" x14ac:dyDescent="0.25">
      <c r="K13057"/>
    </row>
    <row r="13058" spans="11:11" ht="15" x14ac:dyDescent="0.25">
      <c r="K13058"/>
    </row>
    <row r="13059" spans="11:11" ht="15" x14ac:dyDescent="0.25">
      <c r="K13059"/>
    </row>
    <row r="13060" spans="11:11" ht="15" x14ac:dyDescent="0.25">
      <c r="K13060"/>
    </row>
    <row r="13061" spans="11:11" ht="15" x14ac:dyDescent="0.25">
      <c r="K13061"/>
    </row>
    <row r="13062" spans="11:11" ht="15" x14ac:dyDescent="0.25">
      <c r="K13062"/>
    </row>
    <row r="13063" spans="11:11" ht="15" x14ac:dyDescent="0.25">
      <c r="K13063"/>
    </row>
    <row r="13064" spans="11:11" ht="15" x14ac:dyDescent="0.25">
      <c r="K13064"/>
    </row>
    <row r="13065" spans="11:11" ht="15" x14ac:dyDescent="0.25">
      <c r="K13065"/>
    </row>
    <row r="13066" spans="11:11" ht="15" x14ac:dyDescent="0.25">
      <c r="K13066"/>
    </row>
    <row r="13067" spans="11:11" ht="15" x14ac:dyDescent="0.25">
      <c r="K13067"/>
    </row>
    <row r="13068" spans="11:11" ht="15" x14ac:dyDescent="0.25">
      <c r="K13068"/>
    </row>
    <row r="13069" spans="11:11" ht="15" x14ac:dyDescent="0.25">
      <c r="K13069"/>
    </row>
    <row r="13070" spans="11:11" ht="15" x14ac:dyDescent="0.25">
      <c r="K13070"/>
    </row>
    <row r="13071" spans="11:11" ht="15" x14ac:dyDescent="0.25">
      <c r="K13071"/>
    </row>
    <row r="13072" spans="11:11" ht="15" x14ac:dyDescent="0.25">
      <c r="K13072"/>
    </row>
    <row r="13073" spans="11:11" ht="15" x14ac:dyDescent="0.25">
      <c r="K13073"/>
    </row>
    <row r="13074" spans="11:11" ht="15" x14ac:dyDescent="0.25">
      <c r="K13074"/>
    </row>
    <row r="13075" spans="11:11" ht="15" x14ac:dyDescent="0.25">
      <c r="K13075"/>
    </row>
    <row r="13076" spans="11:11" ht="15" x14ac:dyDescent="0.25">
      <c r="K13076"/>
    </row>
    <row r="13077" spans="11:11" ht="15" x14ac:dyDescent="0.25">
      <c r="K13077"/>
    </row>
    <row r="13078" spans="11:11" ht="15" x14ac:dyDescent="0.25">
      <c r="K13078"/>
    </row>
    <row r="13079" spans="11:11" ht="15" x14ac:dyDescent="0.25">
      <c r="K13079"/>
    </row>
    <row r="13080" spans="11:11" ht="15" x14ac:dyDescent="0.25">
      <c r="K13080"/>
    </row>
    <row r="13081" spans="11:11" ht="15" x14ac:dyDescent="0.25">
      <c r="K13081"/>
    </row>
    <row r="13082" spans="11:11" ht="15" x14ac:dyDescent="0.25">
      <c r="K13082"/>
    </row>
    <row r="13083" spans="11:11" ht="15" x14ac:dyDescent="0.25">
      <c r="K13083"/>
    </row>
    <row r="13084" spans="11:11" ht="15" x14ac:dyDescent="0.25">
      <c r="K13084"/>
    </row>
    <row r="13085" spans="11:11" ht="15" x14ac:dyDescent="0.25">
      <c r="K13085"/>
    </row>
    <row r="13086" spans="11:11" ht="15" x14ac:dyDescent="0.25">
      <c r="K13086"/>
    </row>
    <row r="13087" spans="11:11" ht="15" x14ac:dyDescent="0.25">
      <c r="K13087"/>
    </row>
    <row r="13088" spans="11:11" ht="15" x14ac:dyDescent="0.25">
      <c r="K13088"/>
    </row>
    <row r="13089" spans="11:11" ht="15" x14ac:dyDescent="0.25">
      <c r="K13089"/>
    </row>
    <row r="13090" spans="11:11" ht="15" x14ac:dyDescent="0.25">
      <c r="K13090"/>
    </row>
    <row r="13091" spans="11:11" ht="15" x14ac:dyDescent="0.25">
      <c r="K13091"/>
    </row>
    <row r="13092" spans="11:11" ht="15" x14ac:dyDescent="0.25">
      <c r="K13092"/>
    </row>
    <row r="13093" spans="11:11" ht="15" x14ac:dyDescent="0.25">
      <c r="K13093"/>
    </row>
    <row r="13094" spans="11:11" ht="15" x14ac:dyDescent="0.25">
      <c r="K13094"/>
    </row>
    <row r="13095" spans="11:11" ht="15" x14ac:dyDescent="0.25">
      <c r="K13095"/>
    </row>
    <row r="13096" spans="11:11" ht="15" x14ac:dyDescent="0.25">
      <c r="K13096"/>
    </row>
    <row r="13097" spans="11:11" ht="15" x14ac:dyDescent="0.25">
      <c r="K13097"/>
    </row>
    <row r="13098" spans="11:11" ht="15" x14ac:dyDescent="0.25">
      <c r="K13098"/>
    </row>
    <row r="13099" spans="11:11" ht="15" x14ac:dyDescent="0.25">
      <c r="K13099"/>
    </row>
    <row r="13100" spans="11:11" ht="15" x14ac:dyDescent="0.25">
      <c r="K13100"/>
    </row>
    <row r="13101" spans="11:11" ht="15" x14ac:dyDescent="0.25">
      <c r="K13101"/>
    </row>
    <row r="13102" spans="11:11" ht="15" x14ac:dyDescent="0.25">
      <c r="K13102"/>
    </row>
    <row r="13103" spans="11:11" ht="15" x14ac:dyDescent="0.25">
      <c r="K13103"/>
    </row>
    <row r="13104" spans="11:11" ht="15" x14ac:dyDescent="0.25">
      <c r="K13104"/>
    </row>
    <row r="13105" spans="11:11" ht="15" x14ac:dyDescent="0.25">
      <c r="K13105"/>
    </row>
    <row r="13106" spans="11:11" ht="15" x14ac:dyDescent="0.25">
      <c r="K13106"/>
    </row>
    <row r="13107" spans="11:11" ht="15" x14ac:dyDescent="0.25">
      <c r="K13107"/>
    </row>
    <row r="13108" spans="11:11" ht="15" x14ac:dyDescent="0.25">
      <c r="K13108"/>
    </row>
    <row r="13109" spans="11:11" ht="15" x14ac:dyDescent="0.25">
      <c r="K13109"/>
    </row>
    <row r="13110" spans="11:11" ht="15" x14ac:dyDescent="0.25">
      <c r="K13110"/>
    </row>
    <row r="13111" spans="11:11" ht="15" x14ac:dyDescent="0.25">
      <c r="K13111"/>
    </row>
    <row r="13112" spans="11:11" ht="15" x14ac:dyDescent="0.25">
      <c r="K13112"/>
    </row>
    <row r="13113" spans="11:11" ht="15" x14ac:dyDescent="0.25">
      <c r="K13113"/>
    </row>
    <row r="13114" spans="11:11" ht="15" x14ac:dyDescent="0.25">
      <c r="K13114"/>
    </row>
    <row r="13115" spans="11:11" ht="15" x14ac:dyDescent="0.25">
      <c r="K13115"/>
    </row>
    <row r="13116" spans="11:11" ht="15" x14ac:dyDescent="0.25">
      <c r="K13116"/>
    </row>
    <row r="13117" spans="11:11" ht="15" x14ac:dyDescent="0.25">
      <c r="K13117"/>
    </row>
    <row r="13118" spans="11:11" ht="15" x14ac:dyDescent="0.25">
      <c r="K13118"/>
    </row>
    <row r="13119" spans="11:11" ht="15" x14ac:dyDescent="0.25">
      <c r="K13119"/>
    </row>
    <row r="13120" spans="11:11" ht="15" x14ac:dyDescent="0.25">
      <c r="K13120"/>
    </row>
    <row r="13121" spans="11:11" ht="15" x14ac:dyDescent="0.25">
      <c r="K13121"/>
    </row>
    <row r="13122" spans="11:11" ht="15" x14ac:dyDescent="0.25">
      <c r="K13122"/>
    </row>
    <row r="13123" spans="11:11" ht="15" x14ac:dyDescent="0.25">
      <c r="K13123"/>
    </row>
    <row r="13124" spans="11:11" ht="15" x14ac:dyDescent="0.25">
      <c r="K13124"/>
    </row>
    <row r="13125" spans="11:11" ht="15" x14ac:dyDescent="0.25">
      <c r="K13125"/>
    </row>
    <row r="13126" spans="11:11" ht="15" x14ac:dyDescent="0.25">
      <c r="K13126"/>
    </row>
    <row r="13127" spans="11:11" ht="15" x14ac:dyDescent="0.25">
      <c r="K13127"/>
    </row>
    <row r="13128" spans="11:11" ht="15" x14ac:dyDescent="0.25">
      <c r="K13128"/>
    </row>
    <row r="13129" spans="11:11" ht="15" x14ac:dyDescent="0.25">
      <c r="K13129"/>
    </row>
    <row r="13130" spans="11:11" ht="15" x14ac:dyDescent="0.25">
      <c r="K13130"/>
    </row>
    <row r="13131" spans="11:11" ht="15" x14ac:dyDescent="0.25">
      <c r="K13131"/>
    </row>
    <row r="13132" spans="11:11" ht="15" x14ac:dyDescent="0.25">
      <c r="K13132"/>
    </row>
    <row r="13133" spans="11:11" ht="15" x14ac:dyDescent="0.25">
      <c r="K13133"/>
    </row>
    <row r="13134" spans="11:11" ht="15" x14ac:dyDescent="0.25">
      <c r="K13134"/>
    </row>
    <row r="13135" spans="11:11" ht="15" x14ac:dyDescent="0.25">
      <c r="K13135"/>
    </row>
    <row r="13136" spans="11:11" ht="15" x14ac:dyDescent="0.25">
      <c r="K13136"/>
    </row>
    <row r="13137" spans="11:11" ht="15" x14ac:dyDescent="0.25">
      <c r="K13137"/>
    </row>
    <row r="13138" spans="11:11" ht="15" x14ac:dyDescent="0.25">
      <c r="K13138"/>
    </row>
    <row r="13139" spans="11:11" ht="15" x14ac:dyDescent="0.25">
      <c r="K13139"/>
    </row>
    <row r="13140" spans="11:11" ht="15" x14ac:dyDescent="0.25">
      <c r="K13140"/>
    </row>
    <row r="13141" spans="11:11" ht="15" x14ac:dyDescent="0.25">
      <c r="K13141"/>
    </row>
    <row r="13142" spans="11:11" ht="15" x14ac:dyDescent="0.25">
      <c r="K13142"/>
    </row>
    <row r="13143" spans="11:11" ht="15" x14ac:dyDescent="0.25">
      <c r="K13143"/>
    </row>
    <row r="13144" spans="11:11" ht="15" x14ac:dyDescent="0.25">
      <c r="K13144"/>
    </row>
    <row r="13145" spans="11:11" ht="15" x14ac:dyDescent="0.25">
      <c r="K13145"/>
    </row>
    <row r="13146" spans="11:11" ht="15" x14ac:dyDescent="0.25">
      <c r="K13146"/>
    </row>
    <row r="13147" spans="11:11" ht="15" x14ac:dyDescent="0.25">
      <c r="K13147"/>
    </row>
    <row r="13148" spans="11:11" ht="15" x14ac:dyDescent="0.25">
      <c r="K13148"/>
    </row>
    <row r="13149" spans="11:11" ht="15" x14ac:dyDescent="0.25">
      <c r="K13149"/>
    </row>
    <row r="13150" spans="11:11" ht="15" x14ac:dyDescent="0.25">
      <c r="K13150"/>
    </row>
    <row r="13151" spans="11:11" ht="15" x14ac:dyDescent="0.25">
      <c r="K13151"/>
    </row>
    <row r="13152" spans="11:11" ht="15" x14ac:dyDescent="0.25">
      <c r="K13152"/>
    </row>
    <row r="13153" spans="11:11" ht="15" x14ac:dyDescent="0.25">
      <c r="K13153"/>
    </row>
    <row r="13154" spans="11:11" ht="15" x14ac:dyDescent="0.25">
      <c r="K13154"/>
    </row>
    <row r="13155" spans="11:11" ht="15" x14ac:dyDescent="0.25">
      <c r="K13155"/>
    </row>
    <row r="13156" spans="11:11" ht="15" x14ac:dyDescent="0.25">
      <c r="K13156"/>
    </row>
    <row r="13157" spans="11:11" ht="15" x14ac:dyDescent="0.25">
      <c r="K13157"/>
    </row>
    <row r="13158" spans="11:11" ht="15" x14ac:dyDescent="0.25">
      <c r="K13158"/>
    </row>
    <row r="13159" spans="11:11" ht="15" x14ac:dyDescent="0.25">
      <c r="K13159"/>
    </row>
    <row r="13160" spans="11:11" ht="15" x14ac:dyDescent="0.25">
      <c r="K13160"/>
    </row>
    <row r="13161" spans="11:11" ht="15" x14ac:dyDescent="0.25">
      <c r="K13161"/>
    </row>
    <row r="13162" spans="11:11" ht="15" x14ac:dyDescent="0.25">
      <c r="K13162"/>
    </row>
    <row r="13163" spans="11:11" ht="15" x14ac:dyDescent="0.25">
      <c r="K13163"/>
    </row>
    <row r="13164" spans="11:11" ht="15" x14ac:dyDescent="0.25">
      <c r="K13164"/>
    </row>
    <row r="13165" spans="11:11" ht="15" x14ac:dyDescent="0.25">
      <c r="K13165"/>
    </row>
    <row r="13166" spans="11:11" ht="15" x14ac:dyDescent="0.25">
      <c r="K13166"/>
    </row>
    <row r="13167" spans="11:11" ht="15" x14ac:dyDescent="0.25">
      <c r="K13167"/>
    </row>
    <row r="13168" spans="11:11" ht="15" x14ac:dyDescent="0.25">
      <c r="K13168"/>
    </row>
    <row r="13169" spans="11:11" ht="15" x14ac:dyDescent="0.25">
      <c r="K13169"/>
    </row>
    <row r="13170" spans="11:11" ht="15" x14ac:dyDescent="0.25">
      <c r="K13170"/>
    </row>
    <row r="13171" spans="11:11" ht="15" x14ac:dyDescent="0.25">
      <c r="K13171"/>
    </row>
    <row r="13172" spans="11:11" ht="15" x14ac:dyDescent="0.25">
      <c r="K13172"/>
    </row>
    <row r="13173" spans="11:11" ht="15" x14ac:dyDescent="0.25">
      <c r="K13173"/>
    </row>
    <row r="13174" spans="11:11" ht="15" x14ac:dyDescent="0.25">
      <c r="K13174"/>
    </row>
    <row r="13175" spans="11:11" ht="15" x14ac:dyDescent="0.25">
      <c r="K13175"/>
    </row>
    <row r="13176" spans="11:11" ht="15" x14ac:dyDescent="0.25">
      <c r="K13176"/>
    </row>
    <row r="13177" spans="11:11" ht="15" x14ac:dyDescent="0.25">
      <c r="K13177"/>
    </row>
    <row r="13178" spans="11:11" ht="15" x14ac:dyDescent="0.25">
      <c r="K13178"/>
    </row>
    <row r="13179" spans="11:11" ht="15" x14ac:dyDescent="0.25">
      <c r="K13179"/>
    </row>
    <row r="13180" spans="11:11" ht="15" x14ac:dyDescent="0.25">
      <c r="K13180"/>
    </row>
    <row r="13181" spans="11:11" ht="15" x14ac:dyDescent="0.25">
      <c r="K13181"/>
    </row>
    <row r="13182" spans="11:11" ht="15" x14ac:dyDescent="0.25">
      <c r="K13182"/>
    </row>
    <row r="13183" spans="11:11" ht="15" x14ac:dyDescent="0.25">
      <c r="K13183"/>
    </row>
    <row r="13184" spans="11:11" ht="15" x14ac:dyDescent="0.25">
      <c r="K13184"/>
    </row>
    <row r="13185" spans="11:11" ht="15" x14ac:dyDescent="0.25">
      <c r="K13185"/>
    </row>
    <row r="13186" spans="11:11" ht="15" x14ac:dyDescent="0.25">
      <c r="K13186"/>
    </row>
    <row r="13187" spans="11:11" ht="15" x14ac:dyDescent="0.25">
      <c r="K13187"/>
    </row>
    <row r="13188" spans="11:11" ht="15" x14ac:dyDescent="0.25">
      <c r="K13188"/>
    </row>
    <row r="13189" spans="11:11" ht="15" x14ac:dyDescent="0.25">
      <c r="K13189"/>
    </row>
    <row r="13190" spans="11:11" ht="15" x14ac:dyDescent="0.25">
      <c r="K13190"/>
    </row>
    <row r="13191" spans="11:11" ht="15" x14ac:dyDescent="0.25">
      <c r="K13191"/>
    </row>
    <row r="13192" spans="11:11" ht="15" x14ac:dyDescent="0.25">
      <c r="K13192"/>
    </row>
    <row r="13193" spans="11:11" ht="15" x14ac:dyDescent="0.25">
      <c r="K13193"/>
    </row>
    <row r="13194" spans="11:11" ht="15" x14ac:dyDescent="0.25">
      <c r="K13194"/>
    </row>
    <row r="13195" spans="11:11" ht="15" x14ac:dyDescent="0.25">
      <c r="K13195"/>
    </row>
    <row r="13196" spans="11:11" ht="15" x14ac:dyDescent="0.25">
      <c r="K13196"/>
    </row>
    <row r="13197" spans="11:11" ht="15" x14ac:dyDescent="0.25">
      <c r="K13197"/>
    </row>
    <row r="13198" spans="11:11" ht="15" x14ac:dyDescent="0.25">
      <c r="K13198"/>
    </row>
    <row r="13199" spans="11:11" ht="15" x14ac:dyDescent="0.25">
      <c r="K13199"/>
    </row>
    <row r="13200" spans="11:11" ht="15" x14ac:dyDescent="0.25">
      <c r="K13200"/>
    </row>
    <row r="13201" spans="11:11" ht="15" x14ac:dyDescent="0.25">
      <c r="K13201"/>
    </row>
    <row r="13202" spans="11:11" ht="15" x14ac:dyDescent="0.25">
      <c r="K13202"/>
    </row>
    <row r="13203" spans="11:11" ht="15" x14ac:dyDescent="0.25">
      <c r="K13203"/>
    </row>
    <row r="13204" spans="11:11" ht="15" x14ac:dyDescent="0.25">
      <c r="K13204"/>
    </row>
    <row r="13205" spans="11:11" ht="15" x14ac:dyDescent="0.25">
      <c r="K13205"/>
    </row>
    <row r="13206" spans="11:11" ht="15" x14ac:dyDescent="0.25">
      <c r="K13206"/>
    </row>
    <row r="13207" spans="11:11" ht="15" x14ac:dyDescent="0.25">
      <c r="K13207"/>
    </row>
    <row r="13208" spans="11:11" ht="15" x14ac:dyDescent="0.25">
      <c r="K13208"/>
    </row>
    <row r="13209" spans="11:11" ht="15" x14ac:dyDescent="0.25">
      <c r="K13209"/>
    </row>
    <row r="13210" spans="11:11" ht="15" x14ac:dyDescent="0.25">
      <c r="K13210"/>
    </row>
    <row r="13211" spans="11:11" ht="15" x14ac:dyDescent="0.25">
      <c r="K13211"/>
    </row>
    <row r="13212" spans="11:11" ht="15" x14ac:dyDescent="0.25">
      <c r="K13212"/>
    </row>
    <row r="13213" spans="11:11" ht="15" x14ac:dyDescent="0.25">
      <c r="K13213"/>
    </row>
    <row r="13214" spans="11:11" ht="15" x14ac:dyDescent="0.25">
      <c r="K13214"/>
    </row>
    <row r="13215" spans="11:11" ht="15" x14ac:dyDescent="0.25">
      <c r="K13215"/>
    </row>
    <row r="13216" spans="11:11" ht="15" x14ac:dyDescent="0.25">
      <c r="K13216"/>
    </row>
    <row r="13217" spans="11:11" ht="15" x14ac:dyDescent="0.25">
      <c r="K13217"/>
    </row>
    <row r="13218" spans="11:11" ht="15" x14ac:dyDescent="0.25">
      <c r="K13218"/>
    </row>
    <row r="13219" spans="11:11" ht="15" x14ac:dyDescent="0.25">
      <c r="K13219"/>
    </row>
    <row r="13220" spans="11:11" ht="15" x14ac:dyDescent="0.25">
      <c r="K13220"/>
    </row>
    <row r="13221" spans="11:11" ht="15" x14ac:dyDescent="0.25">
      <c r="K13221"/>
    </row>
    <row r="13222" spans="11:11" ht="15" x14ac:dyDescent="0.25">
      <c r="K13222"/>
    </row>
    <row r="13223" spans="11:11" ht="15" x14ac:dyDescent="0.25">
      <c r="K13223"/>
    </row>
    <row r="13224" spans="11:11" ht="15" x14ac:dyDescent="0.25">
      <c r="K13224"/>
    </row>
    <row r="13225" spans="11:11" ht="15" x14ac:dyDescent="0.25">
      <c r="K13225"/>
    </row>
    <row r="13226" spans="11:11" ht="15" x14ac:dyDescent="0.25">
      <c r="K13226"/>
    </row>
    <row r="13227" spans="11:11" ht="15" x14ac:dyDescent="0.25">
      <c r="K13227"/>
    </row>
    <row r="13228" spans="11:11" ht="15" x14ac:dyDescent="0.25">
      <c r="K13228"/>
    </row>
    <row r="13229" spans="11:11" ht="15" x14ac:dyDescent="0.25">
      <c r="K13229"/>
    </row>
    <row r="13230" spans="11:11" ht="15" x14ac:dyDescent="0.25">
      <c r="K13230"/>
    </row>
    <row r="13231" spans="11:11" ht="15" x14ac:dyDescent="0.25">
      <c r="K13231"/>
    </row>
    <row r="13232" spans="11:11" ht="15" x14ac:dyDescent="0.25">
      <c r="K13232"/>
    </row>
    <row r="13233" spans="11:11" ht="15" x14ac:dyDescent="0.25">
      <c r="K13233"/>
    </row>
    <row r="13234" spans="11:11" ht="15" x14ac:dyDescent="0.25">
      <c r="K13234"/>
    </row>
    <row r="13235" spans="11:11" ht="15" x14ac:dyDescent="0.25">
      <c r="K13235"/>
    </row>
    <row r="13236" spans="11:11" ht="15" x14ac:dyDescent="0.25">
      <c r="K13236"/>
    </row>
    <row r="13237" spans="11:11" ht="15" x14ac:dyDescent="0.25">
      <c r="K13237"/>
    </row>
    <row r="13238" spans="11:11" ht="15" x14ac:dyDescent="0.25">
      <c r="K13238"/>
    </row>
    <row r="13239" spans="11:11" ht="15" x14ac:dyDescent="0.25">
      <c r="K13239"/>
    </row>
    <row r="13240" spans="11:11" ht="15" x14ac:dyDescent="0.25">
      <c r="K13240"/>
    </row>
    <row r="13241" spans="11:11" ht="15" x14ac:dyDescent="0.25">
      <c r="K13241"/>
    </row>
    <row r="13242" spans="11:11" ht="15" x14ac:dyDescent="0.25">
      <c r="K13242"/>
    </row>
    <row r="13243" spans="11:11" ht="15" x14ac:dyDescent="0.25">
      <c r="K13243"/>
    </row>
    <row r="13244" spans="11:11" ht="15" x14ac:dyDescent="0.25">
      <c r="K13244"/>
    </row>
    <row r="13245" spans="11:11" ht="15" x14ac:dyDescent="0.25">
      <c r="K13245"/>
    </row>
    <row r="13246" spans="11:11" ht="15" x14ac:dyDescent="0.25">
      <c r="K13246"/>
    </row>
    <row r="13247" spans="11:11" ht="15" x14ac:dyDescent="0.25">
      <c r="K13247"/>
    </row>
    <row r="13248" spans="11:11" ht="15" x14ac:dyDescent="0.25">
      <c r="K13248"/>
    </row>
    <row r="13249" spans="11:11" ht="15" x14ac:dyDescent="0.25">
      <c r="K13249"/>
    </row>
    <row r="13250" spans="11:11" ht="15" x14ac:dyDescent="0.25">
      <c r="K13250"/>
    </row>
    <row r="13251" spans="11:11" ht="15" x14ac:dyDescent="0.25">
      <c r="K13251"/>
    </row>
    <row r="13252" spans="11:11" ht="15" x14ac:dyDescent="0.25">
      <c r="K13252"/>
    </row>
    <row r="13253" spans="11:11" ht="15" x14ac:dyDescent="0.25">
      <c r="K13253"/>
    </row>
    <row r="13254" spans="11:11" ht="15" x14ac:dyDescent="0.25">
      <c r="K13254"/>
    </row>
    <row r="13255" spans="11:11" ht="15" x14ac:dyDescent="0.25">
      <c r="K13255"/>
    </row>
    <row r="13256" spans="11:11" ht="15" x14ac:dyDescent="0.25">
      <c r="K13256"/>
    </row>
    <row r="13257" spans="11:11" ht="15" x14ac:dyDescent="0.25">
      <c r="K13257"/>
    </row>
    <row r="13258" spans="11:11" ht="15" x14ac:dyDescent="0.25">
      <c r="K13258"/>
    </row>
    <row r="13259" spans="11:11" ht="15" x14ac:dyDescent="0.25">
      <c r="K13259"/>
    </row>
    <row r="13260" spans="11:11" ht="15" x14ac:dyDescent="0.25">
      <c r="K13260"/>
    </row>
    <row r="13261" spans="11:11" ht="15" x14ac:dyDescent="0.25">
      <c r="K13261"/>
    </row>
    <row r="13262" spans="11:11" ht="15" x14ac:dyDescent="0.25">
      <c r="K13262"/>
    </row>
    <row r="13263" spans="11:11" ht="15" x14ac:dyDescent="0.25">
      <c r="K13263"/>
    </row>
    <row r="13264" spans="11:11" ht="15" x14ac:dyDescent="0.25">
      <c r="K13264"/>
    </row>
    <row r="13265" spans="11:11" ht="15" x14ac:dyDescent="0.25">
      <c r="K13265"/>
    </row>
    <row r="13266" spans="11:11" ht="15" x14ac:dyDescent="0.25">
      <c r="K13266"/>
    </row>
    <row r="13267" spans="11:11" ht="15" x14ac:dyDescent="0.25">
      <c r="K13267"/>
    </row>
    <row r="13268" spans="11:11" ht="15" x14ac:dyDescent="0.25">
      <c r="K13268"/>
    </row>
    <row r="13269" spans="11:11" ht="15" x14ac:dyDescent="0.25">
      <c r="K13269"/>
    </row>
    <row r="13270" spans="11:11" ht="15" x14ac:dyDescent="0.25">
      <c r="K13270"/>
    </row>
    <row r="13271" spans="11:11" ht="15" x14ac:dyDescent="0.25">
      <c r="K13271"/>
    </row>
    <row r="13272" spans="11:11" ht="15" x14ac:dyDescent="0.25">
      <c r="K13272"/>
    </row>
    <row r="13273" spans="11:11" ht="15" x14ac:dyDescent="0.25">
      <c r="K13273"/>
    </row>
    <row r="13274" spans="11:11" ht="15" x14ac:dyDescent="0.25">
      <c r="K13274"/>
    </row>
    <row r="13275" spans="11:11" ht="15" x14ac:dyDescent="0.25">
      <c r="K13275"/>
    </row>
    <row r="13276" spans="11:11" ht="15" x14ac:dyDescent="0.25">
      <c r="K13276"/>
    </row>
    <row r="13277" spans="11:11" ht="15" x14ac:dyDescent="0.25">
      <c r="K13277"/>
    </row>
    <row r="13278" spans="11:11" ht="15" x14ac:dyDescent="0.25">
      <c r="K13278"/>
    </row>
    <row r="13279" spans="11:11" ht="15" x14ac:dyDescent="0.25">
      <c r="K13279"/>
    </row>
    <row r="13280" spans="11:11" ht="15" x14ac:dyDescent="0.25">
      <c r="K13280"/>
    </row>
    <row r="13281" spans="11:11" ht="15" x14ac:dyDescent="0.25">
      <c r="K13281"/>
    </row>
    <row r="13282" spans="11:11" ht="15" x14ac:dyDescent="0.25">
      <c r="K13282"/>
    </row>
    <row r="13283" spans="11:11" ht="15" x14ac:dyDescent="0.25">
      <c r="K13283"/>
    </row>
    <row r="13284" spans="11:11" ht="15" x14ac:dyDescent="0.25">
      <c r="K13284"/>
    </row>
    <row r="13285" spans="11:11" ht="15" x14ac:dyDescent="0.25">
      <c r="K13285"/>
    </row>
    <row r="13286" spans="11:11" ht="15" x14ac:dyDescent="0.25">
      <c r="K13286"/>
    </row>
    <row r="13287" spans="11:11" ht="15" x14ac:dyDescent="0.25">
      <c r="K13287"/>
    </row>
    <row r="13288" spans="11:11" ht="15" x14ac:dyDescent="0.25">
      <c r="K13288"/>
    </row>
    <row r="13289" spans="11:11" ht="15" x14ac:dyDescent="0.25">
      <c r="K13289"/>
    </row>
    <row r="13290" spans="11:11" ht="15" x14ac:dyDescent="0.25">
      <c r="K13290"/>
    </row>
    <row r="13291" spans="11:11" ht="15" x14ac:dyDescent="0.25">
      <c r="K13291"/>
    </row>
    <row r="13292" spans="11:11" ht="15" x14ac:dyDescent="0.25">
      <c r="K13292"/>
    </row>
    <row r="13293" spans="11:11" ht="15" x14ac:dyDescent="0.25">
      <c r="K13293"/>
    </row>
    <row r="13294" spans="11:11" ht="15" x14ac:dyDescent="0.25">
      <c r="K13294"/>
    </row>
    <row r="13295" spans="11:11" ht="15" x14ac:dyDescent="0.25">
      <c r="K13295"/>
    </row>
    <row r="13296" spans="11:11" ht="15" x14ac:dyDescent="0.25">
      <c r="K13296"/>
    </row>
    <row r="13297" spans="11:11" ht="15" x14ac:dyDescent="0.25">
      <c r="K13297"/>
    </row>
    <row r="13298" spans="11:11" ht="15" x14ac:dyDescent="0.25">
      <c r="K13298"/>
    </row>
    <row r="13299" spans="11:11" ht="15" x14ac:dyDescent="0.25">
      <c r="K13299"/>
    </row>
    <row r="13300" spans="11:11" ht="15" x14ac:dyDescent="0.25">
      <c r="K13300"/>
    </row>
    <row r="13301" spans="11:11" ht="15" x14ac:dyDescent="0.25">
      <c r="K13301"/>
    </row>
    <row r="13302" spans="11:11" ht="15" x14ac:dyDescent="0.25">
      <c r="K13302"/>
    </row>
    <row r="13303" spans="11:11" ht="15" x14ac:dyDescent="0.25">
      <c r="K13303"/>
    </row>
    <row r="13304" spans="11:11" ht="15" x14ac:dyDescent="0.25">
      <c r="K13304"/>
    </row>
    <row r="13305" spans="11:11" ht="15" x14ac:dyDescent="0.25">
      <c r="K13305"/>
    </row>
    <row r="13306" spans="11:11" ht="15" x14ac:dyDescent="0.25">
      <c r="K13306"/>
    </row>
    <row r="13307" spans="11:11" ht="15" x14ac:dyDescent="0.25">
      <c r="K13307"/>
    </row>
    <row r="13308" spans="11:11" ht="15" x14ac:dyDescent="0.25">
      <c r="K13308"/>
    </row>
    <row r="13309" spans="11:11" ht="15" x14ac:dyDescent="0.25">
      <c r="K13309"/>
    </row>
    <row r="13310" spans="11:11" ht="15" x14ac:dyDescent="0.25">
      <c r="K13310"/>
    </row>
    <row r="13311" spans="11:11" ht="15" x14ac:dyDescent="0.25">
      <c r="K13311"/>
    </row>
    <row r="13312" spans="11:11" ht="15" x14ac:dyDescent="0.25">
      <c r="K13312"/>
    </row>
    <row r="13313" spans="11:11" ht="15" x14ac:dyDescent="0.25">
      <c r="K13313"/>
    </row>
    <row r="13314" spans="11:11" ht="15" x14ac:dyDescent="0.25">
      <c r="K13314"/>
    </row>
    <row r="13315" spans="11:11" ht="15" x14ac:dyDescent="0.25">
      <c r="K13315"/>
    </row>
    <row r="13316" spans="11:11" ht="15" x14ac:dyDescent="0.25">
      <c r="K13316"/>
    </row>
    <row r="13317" spans="11:11" ht="15" x14ac:dyDescent="0.25">
      <c r="K13317"/>
    </row>
    <row r="13318" spans="11:11" ht="15" x14ac:dyDescent="0.25">
      <c r="K13318"/>
    </row>
    <row r="13319" spans="11:11" ht="15" x14ac:dyDescent="0.25">
      <c r="K13319"/>
    </row>
    <row r="13320" spans="11:11" ht="15" x14ac:dyDescent="0.25">
      <c r="K13320"/>
    </row>
    <row r="13321" spans="11:11" ht="15" x14ac:dyDescent="0.25">
      <c r="K13321"/>
    </row>
    <row r="13322" spans="11:11" ht="15" x14ac:dyDescent="0.25">
      <c r="K13322"/>
    </row>
    <row r="13323" spans="11:11" ht="15" x14ac:dyDescent="0.25">
      <c r="K13323"/>
    </row>
    <row r="13324" spans="11:11" ht="15" x14ac:dyDescent="0.25">
      <c r="K13324"/>
    </row>
    <row r="13325" spans="11:11" ht="15" x14ac:dyDescent="0.25">
      <c r="K13325"/>
    </row>
    <row r="13326" spans="11:11" ht="15" x14ac:dyDescent="0.25">
      <c r="K13326"/>
    </row>
    <row r="13327" spans="11:11" ht="15" x14ac:dyDescent="0.25">
      <c r="K13327"/>
    </row>
    <row r="13328" spans="11:11" ht="15" x14ac:dyDescent="0.25">
      <c r="K13328"/>
    </row>
    <row r="13329" spans="11:11" ht="15" x14ac:dyDescent="0.25">
      <c r="K13329"/>
    </row>
    <row r="13330" spans="11:11" ht="15" x14ac:dyDescent="0.25">
      <c r="K13330"/>
    </row>
    <row r="13331" spans="11:11" ht="15" x14ac:dyDescent="0.25">
      <c r="K13331"/>
    </row>
    <row r="13332" spans="11:11" ht="15" x14ac:dyDescent="0.25">
      <c r="K13332"/>
    </row>
    <row r="13333" spans="11:11" ht="15" x14ac:dyDescent="0.25">
      <c r="K13333"/>
    </row>
    <row r="13334" spans="11:11" ht="15" x14ac:dyDescent="0.25">
      <c r="K13334"/>
    </row>
    <row r="13335" spans="11:11" ht="15" x14ac:dyDescent="0.25">
      <c r="K13335"/>
    </row>
    <row r="13336" spans="11:11" ht="15" x14ac:dyDescent="0.25">
      <c r="K13336"/>
    </row>
    <row r="13337" spans="11:11" ht="15" x14ac:dyDescent="0.25">
      <c r="K13337"/>
    </row>
    <row r="13338" spans="11:11" ht="15" x14ac:dyDescent="0.25">
      <c r="K13338"/>
    </row>
    <row r="13339" spans="11:11" ht="15" x14ac:dyDescent="0.25">
      <c r="K13339"/>
    </row>
    <row r="13340" spans="11:11" ht="15" x14ac:dyDescent="0.25">
      <c r="K13340"/>
    </row>
    <row r="13341" spans="11:11" ht="15" x14ac:dyDescent="0.25">
      <c r="K13341"/>
    </row>
    <row r="13342" spans="11:11" ht="15" x14ac:dyDescent="0.25">
      <c r="K13342"/>
    </row>
    <row r="13343" spans="11:11" ht="15" x14ac:dyDescent="0.25">
      <c r="K13343"/>
    </row>
    <row r="13344" spans="11:11" ht="15" x14ac:dyDescent="0.25">
      <c r="K13344"/>
    </row>
    <row r="13345" spans="11:11" ht="15" x14ac:dyDescent="0.25">
      <c r="K13345"/>
    </row>
    <row r="13346" spans="11:11" ht="15" x14ac:dyDescent="0.25">
      <c r="K13346"/>
    </row>
    <row r="13347" spans="11:11" ht="15" x14ac:dyDescent="0.25">
      <c r="K13347"/>
    </row>
    <row r="13348" spans="11:11" ht="15" x14ac:dyDescent="0.25">
      <c r="K13348"/>
    </row>
    <row r="13349" spans="11:11" ht="15" x14ac:dyDescent="0.25">
      <c r="K13349"/>
    </row>
    <row r="13350" spans="11:11" ht="15" x14ac:dyDescent="0.25">
      <c r="K13350"/>
    </row>
    <row r="13351" spans="11:11" ht="15" x14ac:dyDescent="0.25">
      <c r="K13351"/>
    </row>
    <row r="13352" spans="11:11" ht="15" x14ac:dyDescent="0.25">
      <c r="K13352"/>
    </row>
    <row r="13353" spans="11:11" ht="15" x14ac:dyDescent="0.25">
      <c r="K13353"/>
    </row>
    <row r="13354" spans="11:11" ht="15" x14ac:dyDescent="0.25">
      <c r="K13354"/>
    </row>
    <row r="13355" spans="11:11" ht="15" x14ac:dyDescent="0.25">
      <c r="K13355"/>
    </row>
    <row r="13356" spans="11:11" ht="15" x14ac:dyDescent="0.25">
      <c r="K13356"/>
    </row>
    <row r="13357" spans="11:11" ht="15" x14ac:dyDescent="0.25">
      <c r="K13357"/>
    </row>
    <row r="13358" spans="11:11" ht="15" x14ac:dyDescent="0.25">
      <c r="K13358"/>
    </row>
    <row r="13359" spans="11:11" ht="15" x14ac:dyDescent="0.25">
      <c r="K13359"/>
    </row>
    <row r="13360" spans="11:11" ht="15" x14ac:dyDescent="0.25">
      <c r="K13360"/>
    </row>
    <row r="13361" spans="11:11" ht="15" x14ac:dyDescent="0.25">
      <c r="K13361"/>
    </row>
    <row r="13362" spans="11:11" ht="15" x14ac:dyDescent="0.25">
      <c r="K13362"/>
    </row>
    <row r="13363" spans="11:11" ht="15" x14ac:dyDescent="0.25">
      <c r="K13363"/>
    </row>
    <row r="13364" spans="11:11" ht="15" x14ac:dyDescent="0.25">
      <c r="K13364"/>
    </row>
    <row r="13365" spans="11:11" ht="15" x14ac:dyDescent="0.25">
      <c r="K13365"/>
    </row>
    <row r="13366" spans="11:11" ht="15" x14ac:dyDescent="0.25">
      <c r="K13366"/>
    </row>
    <row r="13367" spans="11:11" ht="15" x14ac:dyDescent="0.25">
      <c r="K13367"/>
    </row>
    <row r="13368" spans="11:11" ht="15" x14ac:dyDescent="0.25">
      <c r="K13368"/>
    </row>
    <row r="13369" spans="11:11" ht="15" x14ac:dyDescent="0.25">
      <c r="K13369"/>
    </row>
    <row r="13370" spans="11:11" ht="15" x14ac:dyDescent="0.25">
      <c r="K13370"/>
    </row>
    <row r="13371" spans="11:11" ht="15" x14ac:dyDescent="0.25">
      <c r="K13371"/>
    </row>
    <row r="13372" spans="11:11" ht="15" x14ac:dyDescent="0.25">
      <c r="K13372"/>
    </row>
    <row r="13373" spans="11:11" ht="15" x14ac:dyDescent="0.25">
      <c r="K13373"/>
    </row>
    <row r="13374" spans="11:11" ht="15" x14ac:dyDescent="0.25">
      <c r="K13374"/>
    </row>
    <row r="13375" spans="11:11" ht="15" x14ac:dyDescent="0.25">
      <c r="K13375"/>
    </row>
    <row r="13376" spans="11:11" ht="15" x14ac:dyDescent="0.25">
      <c r="K13376"/>
    </row>
    <row r="13377" spans="11:11" ht="15" x14ac:dyDescent="0.25">
      <c r="K13377"/>
    </row>
    <row r="13378" spans="11:11" ht="15" x14ac:dyDescent="0.25">
      <c r="K13378"/>
    </row>
    <row r="13379" spans="11:11" ht="15" x14ac:dyDescent="0.25">
      <c r="K13379"/>
    </row>
    <row r="13380" spans="11:11" ht="15" x14ac:dyDescent="0.25">
      <c r="K13380"/>
    </row>
    <row r="13381" spans="11:11" ht="15" x14ac:dyDescent="0.25">
      <c r="K13381"/>
    </row>
    <row r="13382" spans="11:11" ht="15" x14ac:dyDescent="0.25">
      <c r="K13382"/>
    </row>
    <row r="13383" spans="11:11" ht="15" x14ac:dyDescent="0.25">
      <c r="K13383"/>
    </row>
    <row r="13384" spans="11:11" ht="15" x14ac:dyDescent="0.25">
      <c r="K13384"/>
    </row>
    <row r="13385" spans="11:11" ht="15" x14ac:dyDescent="0.25">
      <c r="K13385"/>
    </row>
    <row r="13386" spans="11:11" ht="15" x14ac:dyDescent="0.25">
      <c r="K13386"/>
    </row>
    <row r="13387" spans="11:11" ht="15" x14ac:dyDescent="0.25">
      <c r="K13387"/>
    </row>
    <row r="13388" spans="11:11" ht="15" x14ac:dyDescent="0.25">
      <c r="K13388"/>
    </row>
    <row r="13389" spans="11:11" ht="15" x14ac:dyDescent="0.25">
      <c r="K13389"/>
    </row>
    <row r="13390" spans="11:11" ht="15" x14ac:dyDescent="0.25">
      <c r="K13390"/>
    </row>
    <row r="13391" spans="11:11" ht="15" x14ac:dyDescent="0.25">
      <c r="K13391"/>
    </row>
    <row r="13392" spans="11:11" ht="15" x14ac:dyDescent="0.25">
      <c r="K13392"/>
    </row>
    <row r="13393" spans="11:11" ht="15" x14ac:dyDescent="0.25">
      <c r="K13393"/>
    </row>
    <row r="13394" spans="11:11" ht="15" x14ac:dyDescent="0.25">
      <c r="K13394"/>
    </row>
    <row r="13395" spans="11:11" ht="15" x14ac:dyDescent="0.25">
      <c r="K13395"/>
    </row>
    <row r="13396" spans="11:11" ht="15" x14ac:dyDescent="0.25">
      <c r="K13396"/>
    </row>
    <row r="13397" spans="11:11" ht="15" x14ac:dyDescent="0.25">
      <c r="K13397"/>
    </row>
    <row r="13398" spans="11:11" ht="15" x14ac:dyDescent="0.25">
      <c r="K13398"/>
    </row>
    <row r="13399" spans="11:11" ht="15" x14ac:dyDescent="0.25">
      <c r="K13399"/>
    </row>
    <row r="13400" spans="11:11" ht="15" x14ac:dyDescent="0.25">
      <c r="K13400"/>
    </row>
    <row r="13401" spans="11:11" ht="15" x14ac:dyDescent="0.25">
      <c r="K13401"/>
    </row>
    <row r="13402" spans="11:11" ht="15" x14ac:dyDescent="0.25">
      <c r="K13402"/>
    </row>
    <row r="13403" spans="11:11" ht="15" x14ac:dyDescent="0.25">
      <c r="K13403"/>
    </row>
    <row r="13404" spans="11:11" ht="15" x14ac:dyDescent="0.25">
      <c r="K13404"/>
    </row>
    <row r="13405" spans="11:11" ht="15" x14ac:dyDescent="0.25">
      <c r="K13405"/>
    </row>
    <row r="13406" spans="11:11" ht="15" x14ac:dyDescent="0.25">
      <c r="K13406"/>
    </row>
    <row r="13407" spans="11:11" ht="15" x14ac:dyDescent="0.25">
      <c r="K13407"/>
    </row>
    <row r="13408" spans="11:11" ht="15" x14ac:dyDescent="0.25">
      <c r="K13408"/>
    </row>
    <row r="13409" spans="11:11" ht="15" x14ac:dyDescent="0.25">
      <c r="K13409"/>
    </row>
    <row r="13410" spans="11:11" ht="15" x14ac:dyDescent="0.25">
      <c r="K13410"/>
    </row>
    <row r="13411" spans="11:11" ht="15" x14ac:dyDescent="0.25">
      <c r="K13411"/>
    </row>
    <row r="13412" spans="11:11" ht="15" x14ac:dyDescent="0.25">
      <c r="K13412"/>
    </row>
    <row r="13413" spans="11:11" ht="15" x14ac:dyDescent="0.25">
      <c r="K13413"/>
    </row>
    <row r="13414" spans="11:11" ht="15" x14ac:dyDescent="0.25">
      <c r="K13414"/>
    </row>
    <row r="13415" spans="11:11" ht="15" x14ac:dyDescent="0.25">
      <c r="K13415"/>
    </row>
    <row r="13416" spans="11:11" ht="15" x14ac:dyDescent="0.25">
      <c r="K13416"/>
    </row>
    <row r="13417" spans="11:11" ht="15" x14ac:dyDescent="0.25">
      <c r="K13417"/>
    </row>
    <row r="13418" spans="11:11" ht="15" x14ac:dyDescent="0.25">
      <c r="K13418"/>
    </row>
    <row r="13419" spans="11:11" ht="15" x14ac:dyDescent="0.25">
      <c r="K13419"/>
    </row>
    <row r="13420" spans="11:11" ht="15" x14ac:dyDescent="0.25">
      <c r="K13420"/>
    </row>
    <row r="13421" spans="11:11" ht="15" x14ac:dyDescent="0.25">
      <c r="K13421"/>
    </row>
    <row r="13422" spans="11:11" ht="15" x14ac:dyDescent="0.25">
      <c r="K13422"/>
    </row>
    <row r="13423" spans="11:11" ht="15" x14ac:dyDescent="0.25">
      <c r="K13423"/>
    </row>
    <row r="13424" spans="11:11" ht="15" x14ac:dyDescent="0.25">
      <c r="K13424"/>
    </row>
    <row r="13425" spans="11:11" ht="15" x14ac:dyDescent="0.25">
      <c r="K13425"/>
    </row>
    <row r="13426" spans="11:11" ht="15" x14ac:dyDescent="0.25">
      <c r="K13426"/>
    </row>
    <row r="13427" spans="11:11" ht="15" x14ac:dyDescent="0.25">
      <c r="K13427"/>
    </row>
    <row r="13428" spans="11:11" ht="15" x14ac:dyDescent="0.25">
      <c r="K13428"/>
    </row>
    <row r="13429" spans="11:11" ht="15" x14ac:dyDescent="0.25">
      <c r="K13429"/>
    </row>
    <row r="13430" spans="11:11" ht="15" x14ac:dyDescent="0.25">
      <c r="K13430"/>
    </row>
    <row r="13431" spans="11:11" ht="15" x14ac:dyDescent="0.25">
      <c r="K13431"/>
    </row>
    <row r="13432" spans="11:11" ht="15" x14ac:dyDescent="0.25">
      <c r="K13432"/>
    </row>
    <row r="13433" spans="11:11" ht="15" x14ac:dyDescent="0.25">
      <c r="K13433"/>
    </row>
    <row r="13434" spans="11:11" ht="15" x14ac:dyDescent="0.25">
      <c r="K13434"/>
    </row>
    <row r="13435" spans="11:11" ht="15" x14ac:dyDescent="0.25">
      <c r="K13435"/>
    </row>
    <row r="13436" spans="11:11" ht="15" x14ac:dyDescent="0.25">
      <c r="K13436"/>
    </row>
    <row r="13437" spans="11:11" ht="15" x14ac:dyDescent="0.25">
      <c r="K13437"/>
    </row>
    <row r="13438" spans="11:11" ht="15" x14ac:dyDescent="0.25">
      <c r="K13438"/>
    </row>
    <row r="13439" spans="11:11" ht="15" x14ac:dyDescent="0.25">
      <c r="K13439"/>
    </row>
    <row r="13440" spans="11:11" ht="15" x14ac:dyDescent="0.25">
      <c r="K13440"/>
    </row>
    <row r="13441" spans="11:11" ht="15" x14ac:dyDescent="0.25">
      <c r="K13441"/>
    </row>
    <row r="13442" spans="11:11" ht="15" x14ac:dyDescent="0.25">
      <c r="K13442"/>
    </row>
    <row r="13443" spans="11:11" ht="15" x14ac:dyDescent="0.25">
      <c r="K13443"/>
    </row>
    <row r="13444" spans="11:11" ht="15" x14ac:dyDescent="0.25">
      <c r="K13444"/>
    </row>
    <row r="13445" spans="11:11" ht="15" x14ac:dyDescent="0.25">
      <c r="K13445"/>
    </row>
    <row r="13446" spans="11:11" ht="15" x14ac:dyDescent="0.25">
      <c r="K13446"/>
    </row>
    <row r="13447" spans="11:11" ht="15" x14ac:dyDescent="0.25">
      <c r="K13447"/>
    </row>
    <row r="13448" spans="11:11" ht="15" x14ac:dyDescent="0.25">
      <c r="K13448"/>
    </row>
    <row r="13449" spans="11:11" ht="15" x14ac:dyDescent="0.25">
      <c r="K13449"/>
    </row>
    <row r="13450" spans="11:11" ht="15" x14ac:dyDescent="0.25">
      <c r="K13450"/>
    </row>
    <row r="13451" spans="11:11" ht="15" x14ac:dyDescent="0.25">
      <c r="K13451"/>
    </row>
    <row r="13452" spans="11:11" ht="15" x14ac:dyDescent="0.25">
      <c r="K13452"/>
    </row>
    <row r="13453" spans="11:11" ht="15" x14ac:dyDescent="0.25">
      <c r="K13453"/>
    </row>
    <row r="13454" spans="11:11" ht="15" x14ac:dyDescent="0.25">
      <c r="K13454"/>
    </row>
    <row r="13455" spans="11:11" ht="15" x14ac:dyDescent="0.25">
      <c r="K13455"/>
    </row>
    <row r="13456" spans="11:11" ht="15" x14ac:dyDescent="0.25">
      <c r="K13456"/>
    </row>
    <row r="13457" spans="11:11" ht="15" x14ac:dyDescent="0.25">
      <c r="K13457"/>
    </row>
    <row r="13458" spans="11:11" ht="15" x14ac:dyDescent="0.25">
      <c r="K13458"/>
    </row>
    <row r="13459" spans="11:11" ht="15" x14ac:dyDescent="0.25">
      <c r="K13459"/>
    </row>
    <row r="13460" spans="11:11" ht="15" x14ac:dyDescent="0.25">
      <c r="K13460"/>
    </row>
    <row r="13461" spans="11:11" ht="15" x14ac:dyDescent="0.25">
      <c r="K13461"/>
    </row>
    <row r="13462" spans="11:11" ht="15" x14ac:dyDescent="0.25">
      <c r="K13462"/>
    </row>
    <row r="13463" spans="11:11" ht="15" x14ac:dyDescent="0.25">
      <c r="K13463"/>
    </row>
    <row r="13464" spans="11:11" ht="15" x14ac:dyDescent="0.25">
      <c r="K13464"/>
    </row>
    <row r="13465" spans="11:11" ht="15" x14ac:dyDescent="0.25">
      <c r="K13465"/>
    </row>
    <row r="13466" spans="11:11" ht="15" x14ac:dyDescent="0.25">
      <c r="K13466"/>
    </row>
    <row r="13467" spans="11:11" ht="15" x14ac:dyDescent="0.25">
      <c r="K13467"/>
    </row>
    <row r="13468" spans="11:11" ht="15" x14ac:dyDescent="0.25">
      <c r="K13468"/>
    </row>
    <row r="13469" spans="11:11" ht="15" x14ac:dyDescent="0.25">
      <c r="K13469"/>
    </row>
    <row r="13470" spans="11:11" ht="15" x14ac:dyDescent="0.25">
      <c r="K13470"/>
    </row>
    <row r="13471" spans="11:11" ht="15" x14ac:dyDescent="0.25">
      <c r="K13471"/>
    </row>
    <row r="13472" spans="11:11" ht="15" x14ac:dyDescent="0.25">
      <c r="K13472"/>
    </row>
    <row r="13473" spans="11:11" ht="15" x14ac:dyDescent="0.25">
      <c r="K13473"/>
    </row>
    <row r="13474" spans="11:11" ht="15" x14ac:dyDescent="0.25">
      <c r="K13474"/>
    </row>
    <row r="13475" spans="11:11" ht="15" x14ac:dyDescent="0.25">
      <c r="K13475"/>
    </row>
    <row r="13476" spans="11:11" ht="15" x14ac:dyDescent="0.25">
      <c r="K13476"/>
    </row>
    <row r="13477" spans="11:11" ht="15" x14ac:dyDescent="0.25">
      <c r="K13477"/>
    </row>
    <row r="13478" spans="11:11" ht="15" x14ac:dyDescent="0.25">
      <c r="K13478"/>
    </row>
    <row r="13479" spans="11:11" ht="15" x14ac:dyDescent="0.25">
      <c r="K13479"/>
    </row>
    <row r="13480" spans="11:11" ht="15" x14ac:dyDescent="0.25">
      <c r="K13480"/>
    </row>
    <row r="13481" spans="11:11" ht="15" x14ac:dyDescent="0.25">
      <c r="K13481"/>
    </row>
    <row r="13482" spans="11:11" ht="15" x14ac:dyDescent="0.25">
      <c r="K13482"/>
    </row>
    <row r="13483" spans="11:11" ht="15" x14ac:dyDescent="0.25">
      <c r="K13483"/>
    </row>
    <row r="13484" spans="11:11" ht="15" x14ac:dyDescent="0.25">
      <c r="K13484"/>
    </row>
    <row r="13485" spans="11:11" ht="15" x14ac:dyDescent="0.25">
      <c r="K13485"/>
    </row>
    <row r="13486" spans="11:11" ht="15" x14ac:dyDescent="0.25">
      <c r="K13486"/>
    </row>
    <row r="13487" spans="11:11" ht="15" x14ac:dyDescent="0.25">
      <c r="K13487"/>
    </row>
    <row r="13488" spans="11:11" ht="15" x14ac:dyDescent="0.25">
      <c r="K13488"/>
    </row>
    <row r="13489" spans="11:11" ht="15" x14ac:dyDescent="0.25">
      <c r="K13489"/>
    </row>
    <row r="13490" spans="11:11" ht="15" x14ac:dyDescent="0.25">
      <c r="K13490"/>
    </row>
    <row r="13491" spans="11:11" ht="15" x14ac:dyDescent="0.25">
      <c r="K13491"/>
    </row>
    <row r="13492" spans="11:11" ht="15" x14ac:dyDescent="0.25">
      <c r="K13492"/>
    </row>
    <row r="13493" spans="11:11" ht="15" x14ac:dyDescent="0.25">
      <c r="K13493"/>
    </row>
    <row r="13494" spans="11:11" ht="15" x14ac:dyDescent="0.25">
      <c r="K13494"/>
    </row>
    <row r="13495" spans="11:11" ht="15" x14ac:dyDescent="0.25">
      <c r="K13495"/>
    </row>
    <row r="13496" spans="11:11" ht="15" x14ac:dyDescent="0.25">
      <c r="K13496"/>
    </row>
    <row r="13497" spans="11:11" ht="15" x14ac:dyDescent="0.25">
      <c r="K13497"/>
    </row>
    <row r="13498" spans="11:11" ht="15" x14ac:dyDescent="0.25">
      <c r="K13498"/>
    </row>
    <row r="13499" spans="11:11" ht="15" x14ac:dyDescent="0.25">
      <c r="K13499"/>
    </row>
    <row r="13500" spans="11:11" ht="15" x14ac:dyDescent="0.25">
      <c r="K13500"/>
    </row>
    <row r="13501" spans="11:11" ht="15" x14ac:dyDescent="0.25">
      <c r="K13501"/>
    </row>
    <row r="13502" spans="11:11" ht="15" x14ac:dyDescent="0.25">
      <c r="K13502"/>
    </row>
    <row r="13503" spans="11:11" ht="15" x14ac:dyDescent="0.25">
      <c r="K13503"/>
    </row>
    <row r="13504" spans="11:11" ht="15" x14ac:dyDescent="0.25">
      <c r="K13504"/>
    </row>
    <row r="13505" spans="11:11" ht="15" x14ac:dyDescent="0.25">
      <c r="K13505"/>
    </row>
    <row r="13506" spans="11:11" ht="15" x14ac:dyDescent="0.25">
      <c r="K13506"/>
    </row>
    <row r="13507" spans="11:11" ht="15" x14ac:dyDescent="0.25">
      <c r="K13507"/>
    </row>
    <row r="13508" spans="11:11" ht="15" x14ac:dyDescent="0.25">
      <c r="K13508"/>
    </row>
    <row r="13509" spans="11:11" ht="15" x14ac:dyDescent="0.25">
      <c r="K13509"/>
    </row>
    <row r="13510" spans="11:11" ht="15" x14ac:dyDescent="0.25">
      <c r="K13510"/>
    </row>
    <row r="13511" spans="11:11" ht="15" x14ac:dyDescent="0.25">
      <c r="K13511"/>
    </row>
    <row r="13512" spans="11:11" ht="15" x14ac:dyDescent="0.25">
      <c r="K13512"/>
    </row>
    <row r="13513" spans="11:11" ht="15" x14ac:dyDescent="0.25">
      <c r="K13513"/>
    </row>
    <row r="13514" spans="11:11" ht="15" x14ac:dyDescent="0.25">
      <c r="K13514"/>
    </row>
    <row r="13515" spans="11:11" ht="15" x14ac:dyDescent="0.25">
      <c r="K13515"/>
    </row>
    <row r="13516" spans="11:11" ht="15" x14ac:dyDescent="0.25">
      <c r="K13516"/>
    </row>
    <row r="13517" spans="11:11" ht="15" x14ac:dyDescent="0.25">
      <c r="K13517"/>
    </row>
    <row r="13518" spans="11:11" ht="15" x14ac:dyDescent="0.25">
      <c r="K13518"/>
    </row>
    <row r="13519" spans="11:11" ht="15" x14ac:dyDescent="0.25">
      <c r="K13519"/>
    </row>
    <row r="13520" spans="11:11" ht="15" x14ac:dyDescent="0.25">
      <c r="K13520"/>
    </row>
    <row r="13521" spans="11:11" ht="15" x14ac:dyDescent="0.25">
      <c r="K13521"/>
    </row>
    <row r="13522" spans="11:11" ht="15" x14ac:dyDescent="0.25">
      <c r="K13522"/>
    </row>
    <row r="13523" spans="11:11" ht="15" x14ac:dyDescent="0.25">
      <c r="K13523"/>
    </row>
    <row r="13524" spans="11:11" ht="15" x14ac:dyDescent="0.25">
      <c r="K13524"/>
    </row>
    <row r="13525" spans="11:11" ht="15" x14ac:dyDescent="0.25">
      <c r="K13525"/>
    </row>
    <row r="13526" spans="11:11" ht="15" x14ac:dyDescent="0.25">
      <c r="K13526"/>
    </row>
    <row r="13527" spans="11:11" ht="15" x14ac:dyDescent="0.25">
      <c r="K13527"/>
    </row>
    <row r="13528" spans="11:11" ht="15" x14ac:dyDescent="0.25">
      <c r="K13528"/>
    </row>
    <row r="13529" spans="11:11" ht="15" x14ac:dyDescent="0.25">
      <c r="K13529"/>
    </row>
    <row r="13530" spans="11:11" ht="15" x14ac:dyDescent="0.25">
      <c r="K13530"/>
    </row>
    <row r="13531" spans="11:11" ht="15" x14ac:dyDescent="0.25">
      <c r="K13531"/>
    </row>
    <row r="13532" spans="11:11" ht="15" x14ac:dyDescent="0.25">
      <c r="K13532"/>
    </row>
    <row r="13533" spans="11:11" ht="15" x14ac:dyDescent="0.25">
      <c r="K13533"/>
    </row>
    <row r="13534" spans="11:11" ht="15" x14ac:dyDescent="0.25">
      <c r="K13534"/>
    </row>
    <row r="13535" spans="11:11" ht="15" x14ac:dyDescent="0.25">
      <c r="K13535"/>
    </row>
    <row r="13536" spans="11:11" ht="15" x14ac:dyDescent="0.25">
      <c r="K13536"/>
    </row>
    <row r="13537" spans="11:11" ht="15" x14ac:dyDescent="0.25">
      <c r="K13537"/>
    </row>
    <row r="13538" spans="11:11" ht="15" x14ac:dyDescent="0.25">
      <c r="K13538"/>
    </row>
    <row r="13539" spans="11:11" ht="15" x14ac:dyDescent="0.25">
      <c r="K13539"/>
    </row>
    <row r="13540" spans="11:11" ht="15" x14ac:dyDescent="0.25">
      <c r="K13540"/>
    </row>
    <row r="13541" spans="11:11" ht="15" x14ac:dyDescent="0.25">
      <c r="K13541"/>
    </row>
    <row r="13542" spans="11:11" ht="15" x14ac:dyDescent="0.25">
      <c r="K13542"/>
    </row>
    <row r="13543" spans="11:11" ht="15" x14ac:dyDescent="0.25">
      <c r="K13543"/>
    </row>
    <row r="13544" spans="11:11" ht="15" x14ac:dyDescent="0.25">
      <c r="K13544"/>
    </row>
    <row r="13545" spans="11:11" ht="15" x14ac:dyDescent="0.25">
      <c r="K13545"/>
    </row>
    <row r="13546" spans="11:11" ht="15" x14ac:dyDescent="0.25">
      <c r="K13546"/>
    </row>
    <row r="13547" spans="11:11" ht="15" x14ac:dyDescent="0.25">
      <c r="K13547"/>
    </row>
    <row r="13548" spans="11:11" ht="15" x14ac:dyDescent="0.25">
      <c r="K13548"/>
    </row>
    <row r="13549" spans="11:11" ht="15" x14ac:dyDescent="0.25">
      <c r="K13549"/>
    </row>
    <row r="13550" spans="11:11" ht="15" x14ac:dyDescent="0.25">
      <c r="K13550"/>
    </row>
    <row r="13551" spans="11:11" ht="15" x14ac:dyDescent="0.25">
      <c r="K13551"/>
    </row>
    <row r="13552" spans="11:11" ht="15" x14ac:dyDescent="0.25">
      <c r="K13552"/>
    </row>
    <row r="13553" spans="11:11" ht="15" x14ac:dyDescent="0.25">
      <c r="K13553"/>
    </row>
    <row r="13554" spans="11:11" ht="15" x14ac:dyDescent="0.25">
      <c r="K13554"/>
    </row>
    <row r="13555" spans="11:11" ht="15" x14ac:dyDescent="0.25">
      <c r="K13555"/>
    </row>
    <row r="13556" spans="11:11" ht="15" x14ac:dyDescent="0.25">
      <c r="K13556"/>
    </row>
    <row r="13557" spans="11:11" ht="15" x14ac:dyDescent="0.25">
      <c r="K13557"/>
    </row>
    <row r="13558" spans="11:11" ht="15" x14ac:dyDescent="0.25">
      <c r="K13558"/>
    </row>
    <row r="13559" spans="11:11" ht="15" x14ac:dyDescent="0.25">
      <c r="K13559"/>
    </row>
    <row r="13560" spans="11:11" ht="15" x14ac:dyDescent="0.25">
      <c r="K13560"/>
    </row>
    <row r="13561" spans="11:11" ht="15" x14ac:dyDescent="0.25">
      <c r="K13561"/>
    </row>
    <row r="13562" spans="11:11" ht="15" x14ac:dyDescent="0.25">
      <c r="K13562"/>
    </row>
    <row r="13563" spans="11:11" ht="15" x14ac:dyDescent="0.25">
      <c r="K13563"/>
    </row>
    <row r="13564" spans="11:11" ht="15" x14ac:dyDescent="0.25">
      <c r="K13564"/>
    </row>
    <row r="13565" spans="11:11" ht="15" x14ac:dyDescent="0.25">
      <c r="K13565"/>
    </row>
    <row r="13566" spans="11:11" ht="15" x14ac:dyDescent="0.25">
      <c r="K13566"/>
    </row>
    <row r="13567" spans="11:11" ht="15" x14ac:dyDescent="0.25">
      <c r="K13567"/>
    </row>
    <row r="13568" spans="11:11" ht="15" x14ac:dyDescent="0.25">
      <c r="K13568"/>
    </row>
    <row r="13569" spans="11:11" ht="15" x14ac:dyDescent="0.25">
      <c r="K13569"/>
    </row>
    <row r="13570" spans="11:11" ht="15" x14ac:dyDescent="0.25">
      <c r="K13570"/>
    </row>
    <row r="13571" spans="11:11" ht="15" x14ac:dyDescent="0.25">
      <c r="K13571"/>
    </row>
    <row r="13572" spans="11:11" ht="15" x14ac:dyDescent="0.25">
      <c r="K13572"/>
    </row>
    <row r="13573" spans="11:11" ht="15" x14ac:dyDescent="0.25">
      <c r="K13573"/>
    </row>
    <row r="13574" spans="11:11" ht="15" x14ac:dyDescent="0.25">
      <c r="K13574"/>
    </row>
    <row r="13575" spans="11:11" ht="15" x14ac:dyDescent="0.25">
      <c r="K13575"/>
    </row>
    <row r="13576" spans="11:11" ht="15" x14ac:dyDescent="0.25">
      <c r="K13576"/>
    </row>
    <row r="13577" spans="11:11" ht="15" x14ac:dyDescent="0.25">
      <c r="K13577"/>
    </row>
    <row r="13578" spans="11:11" ht="15" x14ac:dyDescent="0.25">
      <c r="K13578"/>
    </row>
    <row r="13579" spans="11:11" ht="15" x14ac:dyDescent="0.25">
      <c r="K13579"/>
    </row>
    <row r="13580" spans="11:11" ht="15" x14ac:dyDescent="0.25">
      <c r="K13580"/>
    </row>
    <row r="13581" spans="11:11" ht="15" x14ac:dyDescent="0.25">
      <c r="K13581"/>
    </row>
    <row r="13582" spans="11:11" ht="15" x14ac:dyDescent="0.25">
      <c r="K13582"/>
    </row>
    <row r="13583" spans="11:11" ht="15" x14ac:dyDescent="0.25">
      <c r="K13583"/>
    </row>
    <row r="13584" spans="11:11" ht="15" x14ac:dyDescent="0.25">
      <c r="K13584"/>
    </row>
    <row r="13585" spans="11:11" ht="15" x14ac:dyDescent="0.25">
      <c r="K13585"/>
    </row>
    <row r="13586" spans="11:11" ht="15" x14ac:dyDescent="0.25">
      <c r="K13586"/>
    </row>
    <row r="13587" spans="11:11" ht="15" x14ac:dyDescent="0.25">
      <c r="K13587"/>
    </row>
    <row r="13588" spans="11:11" ht="15" x14ac:dyDescent="0.25">
      <c r="K13588"/>
    </row>
    <row r="13589" spans="11:11" ht="15" x14ac:dyDescent="0.25">
      <c r="K13589"/>
    </row>
    <row r="13590" spans="11:11" ht="15" x14ac:dyDescent="0.25">
      <c r="K13590"/>
    </row>
    <row r="13591" spans="11:11" ht="15" x14ac:dyDescent="0.25">
      <c r="K13591"/>
    </row>
    <row r="13592" spans="11:11" ht="15" x14ac:dyDescent="0.25">
      <c r="K13592"/>
    </row>
    <row r="13593" spans="11:11" ht="15" x14ac:dyDescent="0.25">
      <c r="K13593"/>
    </row>
    <row r="13594" spans="11:11" ht="15" x14ac:dyDescent="0.25">
      <c r="K13594"/>
    </row>
    <row r="13595" spans="11:11" ht="15" x14ac:dyDescent="0.25">
      <c r="K13595"/>
    </row>
    <row r="13596" spans="11:11" ht="15" x14ac:dyDescent="0.25">
      <c r="K13596"/>
    </row>
    <row r="13597" spans="11:11" ht="15" x14ac:dyDescent="0.25">
      <c r="K13597"/>
    </row>
    <row r="13598" spans="11:11" ht="15" x14ac:dyDescent="0.25">
      <c r="K13598"/>
    </row>
    <row r="13599" spans="11:11" ht="15" x14ac:dyDescent="0.25">
      <c r="K13599"/>
    </row>
    <row r="13600" spans="11:11" ht="15" x14ac:dyDescent="0.25">
      <c r="K13600"/>
    </row>
    <row r="13601" spans="11:11" ht="15" x14ac:dyDescent="0.25">
      <c r="K13601"/>
    </row>
    <row r="13602" spans="11:11" ht="15" x14ac:dyDescent="0.25">
      <c r="K13602"/>
    </row>
    <row r="13603" spans="11:11" ht="15" x14ac:dyDescent="0.25">
      <c r="K13603"/>
    </row>
    <row r="13604" spans="11:11" ht="15" x14ac:dyDescent="0.25">
      <c r="K13604"/>
    </row>
    <row r="13605" spans="11:11" ht="15" x14ac:dyDescent="0.25">
      <c r="K13605"/>
    </row>
    <row r="13606" spans="11:11" ht="15" x14ac:dyDescent="0.25">
      <c r="K13606"/>
    </row>
    <row r="13607" spans="11:11" ht="15" x14ac:dyDescent="0.25">
      <c r="K13607"/>
    </row>
    <row r="13608" spans="11:11" ht="15" x14ac:dyDescent="0.25">
      <c r="K13608"/>
    </row>
    <row r="13609" spans="11:11" ht="15" x14ac:dyDescent="0.25">
      <c r="K13609"/>
    </row>
    <row r="13610" spans="11:11" ht="15" x14ac:dyDescent="0.25">
      <c r="K13610"/>
    </row>
    <row r="13611" spans="11:11" ht="15" x14ac:dyDescent="0.25">
      <c r="K13611"/>
    </row>
    <row r="13612" spans="11:11" ht="15" x14ac:dyDescent="0.25">
      <c r="K13612"/>
    </row>
    <row r="13613" spans="11:11" ht="15" x14ac:dyDescent="0.25">
      <c r="K13613"/>
    </row>
    <row r="13614" spans="11:11" ht="15" x14ac:dyDescent="0.25">
      <c r="K13614"/>
    </row>
    <row r="13615" spans="11:11" ht="15" x14ac:dyDescent="0.25">
      <c r="K13615"/>
    </row>
    <row r="13616" spans="11:11" ht="15" x14ac:dyDescent="0.25">
      <c r="K13616"/>
    </row>
    <row r="13617" spans="11:11" ht="15" x14ac:dyDescent="0.25">
      <c r="K13617"/>
    </row>
    <row r="13618" spans="11:11" ht="15" x14ac:dyDescent="0.25">
      <c r="K13618"/>
    </row>
    <row r="13619" spans="11:11" ht="15" x14ac:dyDescent="0.25">
      <c r="K13619"/>
    </row>
    <row r="13620" spans="11:11" ht="15" x14ac:dyDescent="0.25">
      <c r="K13620"/>
    </row>
    <row r="13621" spans="11:11" ht="15" x14ac:dyDescent="0.25">
      <c r="K13621"/>
    </row>
    <row r="13622" spans="11:11" ht="15" x14ac:dyDescent="0.25">
      <c r="K13622"/>
    </row>
    <row r="13623" spans="11:11" ht="15" x14ac:dyDescent="0.25">
      <c r="K13623"/>
    </row>
    <row r="13624" spans="11:11" ht="15" x14ac:dyDescent="0.25">
      <c r="K13624"/>
    </row>
    <row r="13625" spans="11:11" ht="15" x14ac:dyDescent="0.25">
      <c r="K13625"/>
    </row>
    <row r="13626" spans="11:11" ht="15" x14ac:dyDescent="0.25">
      <c r="K13626"/>
    </row>
    <row r="13627" spans="11:11" ht="15" x14ac:dyDescent="0.25">
      <c r="K13627"/>
    </row>
    <row r="13628" spans="11:11" ht="15" x14ac:dyDescent="0.25">
      <c r="K13628"/>
    </row>
    <row r="13629" spans="11:11" ht="15" x14ac:dyDescent="0.25">
      <c r="K13629"/>
    </row>
    <row r="13630" spans="11:11" ht="15" x14ac:dyDescent="0.25">
      <c r="K13630"/>
    </row>
    <row r="13631" spans="11:11" ht="15" x14ac:dyDescent="0.25">
      <c r="K13631"/>
    </row>
    <row r="13632" spans="11:11" ht="15" x14ac:dyDescent="0.25">
      <c r="K13632"/>
    </row>
    <row r="13633" spans="11:11" ht="15" x14ac:dyDescent="0.25">
      <c r="K13633"/>
    </row>
    <row r="13634" spans="11:11" ht="15" x14ac:dyDescent="0.25">
      <c r="K13634"/>
    </row>
    <row r="13635" spans="11:11" ht="15" x14ac:dyDescent="0.25">
      <c r="K13635"/>
    </row>
    <row r="13636" spans="11:11" ht="15" x14ac:dyDescent="0.25">
      <c r="K13636"/>
    </row>
    <row r="13637" spans="11:11" ht="15" x14ac:dyDescent="0.25">
      <c r="K13637"/>
    </row>
    <row r="13638" spans="11:11" ht="15" x14ac:dyDescent="0.25">
      <c r="K13638"/>
    </row>
    <row r="13639" spans="11:11" ht="15" x14ac:dyDescent="0.25">
      <c r="K13639"/>
    </row>
    <row r="13640" spans="11:11" ht="15" x14ac:dyDescent="0.25">
      <c r="K13640"/>
    </row>
    <row r="13641" spans="11:11" ht="15" x14ac:dyDescent="0.25">
      <c r="K13641"/>
    </row>
    <row r="13642" spans="11:11" ht="15" x14ac:dyDescent="0.25">
      <c r="K13642"/>
    </row>
    <row r="13643" spans="11:11" ht="15" x14ac:dyDescent="0.25">
      <c r="K13643"/>
    </row>
    <row r="13644" spans="11:11" ht="15" x14ac:dyDescent="0.25">
      <c r="K13644"/>
    </row>
    <row r="13645" spans="11:11" ht="15" x14ac:dyDescent="0.25">
      <c r="K13645"/>
    </row>
    <row r="13646" spans="11:11" ht="15" x14ac:dyDescent="0.25">
      <c r="K13646"/>
    </row>
    <row r="13647" spans="11:11" ht="15" x14ac:dyDescent="0.25">
      <c r="K13647"/>
    </row>
    <row r="13648" spans="11:11" ht="15" x14ac:dyDescent="0.25">
      <c r="K13648"/>
    </row>
    <row r="13649" spans="11:11" ht="15" x14ac:dyDescent="0.25">
      <c r="K13649"/>
    </row>
    <row r="13650" spans="11:11" ht="15" x14ac:dyDescent="0.25">
      <c r="K13650"/>
    </row>
    <row r="13651" spans="11:11" ht="15" x14ac:dyDescent="0.25">
      <c r="K13651"/>
    </row>
    <row r="13652" spans="11:11" ht="15" x14ac:dyDescent="0.25">
      <c r="K13652"/>
    </row>
    <row r="13653" spans="11:11" ht="15" x14ac:dyDescent="0.25">
      <c r="K13653"/>
    </row>
    <row r="13654" spans="11:11" ht="15" x14ac:dyDescent="0.25">
      <c r="K13654"/>
    </row>
    <row r="13655" spans="11:11" ht="15" x14ac:dyDescent="0.25">
      <c r="K13655"/>
    </row>
    <row r="13656" spans="11:11" ht="15" x14ac:dyDescent="0.25">
      <c r="K13656"/>
    </row>
    <row r="13657" spans="11:11" ht="15" x14ac:dyDescent="0.25">
      <c r="K13657"/>
    </row>
    <row r="13658" spans="11:11" ht="15" x14ac:dyDescent="0.25">
      <c r="K13658"/>
    </row>
    <row r="13659" spans="11:11" ht="15" x14ac:dyDescent="0.25">
      <c r="K13659"/>
    </row>
    <row r="13660" spans="11:11" ht="15" x14ac:dyDescent="0.25">
      <c r="K13660"/>
    </row>
    <row r="13661" spans="11:11" ht="15" x14ac:dyDescent="0.25">
      <c r="K13661"/>
    </row>
    <row r="13662" spans="11:11" ht="15" x14ac:dyDescent="0.25">
      <c r="K13662"/>
    </row>
    <row r="13663" spans="11:11" ht="15" x14ac:dyDescent="0.25">
      <c r="K13663"/>
    </row>
    <row r="13664" spans="11:11" ht="15" x14ac:dyDescent="0.25">
      <c r="K13664"/>
    </row>
    <row r="13665" spans="11:11" ht="15" x14ac:dyDescent="0.25">
      <c r="K13665"/>
    </row>
    <row r="13666" spans="11:11" ht="15" x14ac:dyDescent="0.25">
      <c r="K13666"/>
    </row>
    <row r="13667" spans="11:11" ht="15" x14ac:dyDescent="0.25">
      <c r="K13667"/>
    </row>
    <row r="13668" spans="11:11" ht="15" x14ac:dyDescent="0.25">
      <c r="K13668"/>
    </row>
    <row r="13669" spans="11:11" ht="15" x14ac:dyDescent="0.25">
      <c r="K13669"/>
    </row>
    <row r="13670" spans="11:11" ht="15" x14ac:dyDescent="0.25">
      <c r="K13670"/>
    </row>
    <row r="13671" spans="11:11" ht="15" x14ac:dyDescent="0.25">
      <c r="K13671"/>
    </row>
    <row r="13672" spans="11:11" ht="15" x14ac:dyDescent="0.25">
      <c r="K13672"/>
    </row>
    <row r="13673" spans="11:11" ht="15" x14ac:dyDescent="0.25">
      <c r="K13673"/>
    </row>
    <row r="13674" spans="11:11" ht="15" x14ac:dyDescent="0.25">
      <c r="K13674"/>
    </row>
    <row r="13675" spans="11:11" ht="15" x14ac:dyDescent="0.25">
      <c r="K13675"/>
    </row>
    <row r="13676" spans="11:11" ht="15" x14ac:dyDescent="0.25">
      <c r="K13676"/>
    </row>
    <row r="13677" spans="11:11" ht="15" x14ac:dyDescent="0.25">
      <c r="K13677"/>
    </row>
    <row r="13678" spans="11:11" ht="15" x14ac:dyDescent="0.25">
      <c r="K13678"/>
    </row>
    <row r="13679" spans="11:11" ht="15" x14ac:dyDescent="0.25">
      <c r="K13679"/>
    </row>
    <row r="13680" spans="11:11" ht="15" x14ac:dyDescent="0.25">
      <c r="K13680"/>
    </row>
    <row r="13681" spans="11:11" ht="15" x14ac:dyDescent="0.25">
      <c r="K13681"/>
    </row>
    <row r="13682" spans="11:11" ht="15" x14ac:dyDescent="0.25">
      <c r="K13682"/>
    </row>
    <row r="13683" spans="11:11" ht="15" x14ac:dyDescent="0.25">
      <c r="K13683"/>
    </row>
    <row r="13684" spans="11:11" ht="15" x14ac:dyDescent="0.25">
      <c r="K13684"/>
    </row>
    <row r="13685" spans="11:11" ht="15" x14ac:dyDescent="0.25">
      <c r="K13685"/>
    </row>
    <row r="13686" spans="11:11" ht="15" x14ac:dyDescent="0.25">
      <c r="K13686"/>
    </row>
    <row r="13687" spans="11:11" ht="15" x14ac:dyDescent="0.25">
      <c r="K13687"/>
    </row>
    <row r="13688" spans="11:11" ht="15" x14ac:dyDescent="0.25">
      <c r="K13688"/>
    </row>
    <row r="13689" spans="11:11" ht="15" x14ac:dyDescent="0.25">
      <c r="K13689"/>
    </row>
    <row r="13690" spans="11:11" ht="15" x14ac:dyDescent="0.25">
      <c r="K13690"/>
    </row>
    <row r="13691" spans="11:11" ht="15" x14ac:dyDescent="0.25">
      <c r="K13691"/>
    </row>
    <row r="13692" spans="11:11" ht="15" x14ac:dyDescent="0.25">
      <c r="K13692"/>
    </row>
    <row r="13693" spans="11:11" ht="15" x14ac:dyDescent="0.25">
      <c r="K13693"/>
    </row>
    <row r="13694" spans="11:11" ht="15" x14ac:dyDescent="0.25">
      <c r="K13694"/>
    </row>
    <row r="13695" spans="11:11" ht="15" x14ac:dyDescent="0.25">
      <c r="K13695"/>
    </row>
    <row r="13696" spans="11:11" ht="15" x14ac:dyDescent="0.25">
      <c r="K13696"/>
    </row>
    <row r="13697" spans="11:11" ht="15" x14ac:dyDescent="0.25">
      <c r="K13697"/>
    </row>
    <row r="13698" spans="11:11" ht="15" x14ac:dyDescent="0.25">
      <c r="K13698"/>
    </row>
    <row r="13699" spans="11:11" ht="15" x14ac:dyDescent="0.25">
      <c r="K13699"/>
    </row>
    <row r="13700" spans="11:11" ht="15" x14ac:dyDescent="0.25">
      <c r="K13700"/>
    </row>
    <row r="13701" spans="11:11" ht="15" x14ac:dyDescent="0.25">
      <c r="K13701"/>
    </row>
    <row r="13702" spans="11:11" ht="15" x14ac:dyDescent="0.25">
      <c r="K13702"/>
    </row>
    <row r="13703" spans="11:11" ht="15" x14ac:dyDescent="0.25">
      <c r="K13703"/>
    </row>
    <row r="13704" spans="11:11" ht="15" x14ac:dyDescent="0.25">
      <c r="K13704"/>
    </row>
    <row r="13705" spans="11:11" ht="15" x14ac:dyDescent="0.25">
      <c r="K13705"/>
    </row>
    <row r="13706" spans="11:11" ht="15" x14ac:dyDescent="0.25">
      <c r="K13706"/>
    </row>
    <row r="13707" spans="11:11" ht="15" x14ac:dyDescent="0.25">
      <c r="K13707"/>
    </row>
    <row r="13708" spans="11:11" ht="15" x14ac:dyDescent="0.25">
      <c r="K13708"/>
    </row>
    <row r="13709" spans="11:11" ht="15" x14ac:dyDescent="0.25">
      <c r="K13709"/>
    </row>
    <row r="13710" spans="11:11" ht="15" x14ac:dyDescent="0.25">
      <c r="K13710"/>
    </row>
    <row r="13711" spans="11:11" ht="15" x14ac:dyDescent="0.25">
      <c r="K13711"/>
    </row>
    <row r="13712" spans="11:11" ht="15" x14ac:dyDescent="0.25">
      <c r="K13712"/>
    </row>
    <row r="13713" spans="11:11" ht="15" x14ac:dyDescent="0.25">
      <c r="K13713"/>
    </row>
    <row r="13714" spans="11:11" ht="15" x14ac:dyDescent="0.25">
      <c r="K13714"/>
    </row>
    <row r="13715" spans="11:11" ht="15" x14ac:dyDescent="0.25">
      <c r="K13715"/>
    </row>
    <row r="13716" spans="11:11" ht="15" x14ac:dyDescent="0.25">
      <c r="K13716"/>
    </row>
    <row r="13717" spans="11:11" ht="15" x14ac:dyDescent="0.25">
      <c r="K13717"/>
    </row>
    <row r="13718" spans="11:11" ht="15" x14ac:dyDescent="0.25">
      <c r="K13718"/>
    </row>
    <row r="13719" spans="11:11" ht="15" x14ac:dyDescent="0.25">
      <c r="K13719"/>
    </row>
    <row r="13720" spans="11:11" ht="15" x14ac:dyDescent="0.25">
      <c r="K13720"/>
    </row>
    <row r="13721" spans="11:11" ht="15" x14ac:dyDescent="0.25">
      <c r="K13721"/>
    </row>
    <row r="13722" spans="11:11" ht="15" x14ac:dyDescent="0.25">
      <c r="K13722"/>
    </row>
    <row r="13723" spans="11:11" ht="15" x14ac:dyDescent="0.25">
      <c r="K13723"/>
    </row>
    <row r="13724" spans="11:11" ht="15" x14ac:dyDescent="0.25">
      <c r="K13724"/>
    </row>
    <row r="13725" spans="11:11" ht="15" x14ac:dyDescent="0.25">
      <c r="K13725"/>
    </row>
    <row r="13726" spans="11:11" ht="15" x14ac:dyDescent="0.25">
      <c r="K13726"/>
    </row>
    <row r="13727" spans="11:11" ht="15" x14ac:dyDescent="0.25">
      <c r="K13727"/>
    </row>
    <row r="13728" spans="11:11" ht="15" x14ac:dyDescent="0.25">
      <c r="K13728"/>
    </row>
    <row r="13729" spans="11:11" ht="15" x14ac:dyDescent="0.25">
      <c r="K13729"/>
    </row>
    <row r="13730" spans="11:11" ht="15" x14ac:dyDescent="0.25">
      <c r="K13730"/>
    </row>
    <row r="13731" spans="11:11" ht="15" x14ac:dyDescent="0.25">
      <c r="K13731"/>
    </row>
    <row r="13732" spans="11:11" ht="15" x14ac:dyDescent="0.25">
      <c r="K13732"/>
    </row>
    <row r="13733" spans="11:11" ht="15" x14ac:dyDescent="0.25">
      <c r="K13733"/>
    </row>
    <row r="13734" spans="11:11" ht="15" x14ac:dyDescent="0.25">
      <c r="K13734"/>
    </row>
    <row r="13735" spans="11:11" ht="15" x14ac:dyDescent="0.25">
      <c r="K13735"/>
    </row>
    <row r="13736" spans="11:11" ht="15" x14ac:dyDescent="0.25">
      <c r="K13736"/>
    </row>
    <row r="13737" spans="11:11" ht="15" x14ac:dyDescent="0.25">
      <c r="K13737"/>
    </row>
    <row r="13738" spans="11:11" ht="15" x14ac:dyDescent="0.25">
      <c r="K13738"/>
    </row>
    <row r="13739" spans="11:11" ht="15" x14ac:dyDescent="0.25">
      <c r="K13739"/>
    </row>
    <row r="13740" spans="11:11" ht="15" x14ac:dyDescent="0.25">
      <c r="K13740"/>
    </row>
    <row r="13741" spans="11:11" ht="15" x14ac:dyDescent="0.25">
      <c r="K13741"/>
    </row>
    <row r="13742" spans="11:11" ht="15" x14ac:dyDescent="0.25">
      <c r="K13742"/>
    </row>
    <row r="13743" spans="11:11" ht="15" x14ac:dyDescent="0.25">
      <c r="K13743"/>
    </row>
    <row r="13744" spans="11:11" ht="15" x14ac:dyDescent="0.25">
      <c r="K13744"/>
    </row>
    <row r="13745" spans="11:11" ht="15" x14ac:dyDescent="0.25">
      <c r="K13745"/>
    </row>
    <row r="13746" spans="11:11" ht="15" x14ac:dyDescent="0.25">
      <c r="K13746"/>
    </row>
    <row r="13747" spans="11:11" ht="15" x14ac:dyDescent="0.25">
      <c r="K13747"/>
    </row>
    <row r="13748" spans="11:11" ht="15" x14ac:dyDescent="0.25">
      <c r="K13748"/>
    </row>
    <row r="13749" spans="11:11" ht="15" x14ac:dyDescent="0.25">
      <c r="K13749"/>
    </row>
    <row r="13750" spans="11:11" ht="15" x14ac:dyDescent="0.25">
      <c r="K13750"/>
    </row>
    <row r="13751" spans="11:11" ht="15" x14ac:dyDescent="0.25">
      <c r="K13751"/>
    </row>
    <row r="13752" spans="11:11" ht="15" x14ac:dyDescent="0.25">
      <c r="K13752"/>
    </row>
    <row r="13753" spans="11:11" ht="15" x14ac:dyDescent="0.25">
      <c r="K13753"/>
    </row>
    <row r="13754" spans="11:11" ht="15" x14ac:dyDescent="0.25">
      <c r="K13754"/>
    </row>
    <row r="13755" spans="11:11" ht="15" x14ac:dyDescent="0.25">
      <c r="K13755"/>
    </row>
    <row r="13756" spans="11:11" ht="15" x14ac:dyDescent="0.25">
      <c r="K13756"/>
    </row>
    <row r="13757" spans="11:11" ht="15" x14ac:dyDescent="0.25">
      <c r="K13757"/>
    </row>
    <row r="13758" spans="11:11" ht="15" x14ac:dyDescent="0.25">
      <c r="K13758"/>
    </row>
    <row r="13759" spans="11:11" ht="15" x14ac:dyDescent="0.25">
      <c r="K13759"/>
    </row>
    <row r="13760" spans="11:11" ht="15" x14ac:dyDescent="0.25">
      <c r="K13760"/>
    </row>
    <row r="13761" spans="11:11" ht="15" x14ac:dyDescent="0.25">
      <c r="K13761"/>
    </row>
    <row r="13762" spans="11:11" ht="15" x14ac:dyDescent="0.25">
      <c r="K13762"/>
    </row>
    <row r="13763" spans="11:11" ht="15" x14ac:dyDescent="0.25">
      <c r="K13763"/>
    </row>
    <row r="13764" spans="11:11" ht="15" x14ac:dyDescent="0.25">
      <c r="K13764"/>
    </row>
    <row r="13765" spans="11:11" ht="15" x14ac:dyDescent="0.25">
      <c r="K13765"/>
    </row>
    <row r="13766" spans="11:11" ht="15" x14ac:dyDescent="0.25">
      <c r="K13766"/>
    </row>
    <row r="13767" spans="11:11" ht="15" x14ac:dyDescent="0.25">
      <c r="K13767"/>
    </row>
    <row r="13768" spans="11:11" ht="15" x14ac:dyDescent="0.25">
      <c r="K13768"/>
    </row>
    <row r="13769" spans="11:11" ht="15" x14ac:dyDescent="0.25">
      <c r="K13769"/>
    </row>
    <row r="13770" spans="11:11" ht="15" x14ac:dyDescent="0.25">
      <c r="K13770"/>
    </row>
    <row r="13771" spans="11:11" ht="15" x14ac:dyDescent="0.25">
      <c r="K13771"/>
    </row>
    <row r="13772" spans="11:11" ht="15" x14ac:dyDescent="0.25">
      <c r="K13772"/>
    </row>
    <row r="13773" spans="11:11" ht="15" x14ac:dyDescent="0.25">
      <c r="K13773"/>
    </row>
    <row r="13774" spans="11:11" ht="15" x14ac:dyDescent="0.25">
      <c r="K13774"/>
    </row>
    <row r="13775" spans="11:11" ht="15" x14ac:dyDescent="0.25">
      <c r="K13775"/>
    </row>
    <row r="13776" spans="11:11" ht="15" x14ac:dyDescent="0.25">
      <c r="K13776"/>
    </row>
    <row r="13777" spans="11:11" ht="15" x14ac:dyDescent="0.25">
      <c r="K13777"/>
    </row>
    <row r="13778" spans="11:11" ht="15" x14ac:dyDescent="0.25">
      <c r="K13778"/>
    </row>
    <row r="13779" spans="11:11" ht="15" x14ac:dyDescent="0.25">
      <c r="K13779"/>
    </row>
    <row r="13780" spans="11:11" ht="15" x14ac:dyDescent="0.25">
      <c r="K13780"/>
    </row>
    <row r="13781" spans="11:11" ht="15" x14ac:dyDescent="0.25">
      <c r="K13781"/>
    </row>
    <row r="13782" spans="11:11" ht="15" x14ac:dyDescent="0.25">
      <c r="K13782"/>
    </row>
    <row r="13783" spans="11:11" ht="15" x14ac:dyDescent="0.25">
      <c r="K13783"/>
    </row>
    <row r="13784" spans="11:11" ht="15" x14ac:dyDescent="0.25">
      <c r="K13784"/>
    </row>
    <row r="13785" spans="11:11" ht="15" x14ac:dyDescent="0.25">
      <c r="K13785"/>
    </row>
    <row r="13786" spans="11:11" ht="15" x14ac:dyDescent="0.25">
      <c r="K13786"/>
    </row>
    <row r="13787" spans="11:11" ht="15" x14ac:dyDescent="0.25">
      <c r="K13787"/>
    </row>
    <row r="13788" spans="11:11" ht="15" x14ac:dyDescent="0.25">
      <c r="K13788"/>
    </row>
    <row r="13789" spans="11:11" ht="15" x14ac:dyDescent="0.25">
      <c r="K13789"/>
    </row>
    <row r="13790" spans="11:11" ht="15" x14ac:dyDescent="0.25">
      <c r="K13790"/>
    </row>
    <row r="13791" spans="11:11" ht="15" x14ac:dyDescent="0.25">
      <c r="K13791"/>
    </row>
    <row r="13792" spans="11:11" ht="15" x14ac:dyDescent="0.25">
      <c r="K13792"/>
    </row>
    <row r="13793" spans="11:11" ht="15" x14ac:dyDescent="0.25">
      <c r="K13793"/>
    </row>
    <row r="13794" spans="11:11" ht="15" x14ac:dyDescent="0.25">
      <c r="K13794"/>
    </row>
    <row r="13795" spans="11:11" ht="15" x14ac:dyDescent="0.25">
      <c r="K13795"/>
    </row>
    <row r="13796" spans="11:11" ht="15" x14ac:dyDescent="0.25">
      <c r="K13796"/>
    </row>
    <row r="13797" spans="11:11" ht="15" x14ac:dyDescent="0.25">
      <c r="K13797"/>
    </row>
    <row r="13798" spans="11:11" ht="15" x14ac:dyDescent="0.25">
      <c r="K13798"/>
    </row>
    <row r="13799" spans="11:11" ht="15" x14ac:dyDescent="0.25">
      <c r="K13799"/>
    </row>
    <row r="13800" spans="11:11" ht="15" x14ac:dyDescent="0.25">
      <c r="K13800"/>
    </row>
    <row r="13801" spans="11:11" ht="15" x14ac:dyDescent="0.25">
      <c r="K13801"/>
    </row>
    <row r="13802" spans="11:11" ht="15" x14ac:dyDescent="0.25">
      <c r="K13802"/>
    </row>
    <row r="13803" spans="11:11" ht="15" x14ac:dyDescent="0.25">
      <c r="K13803"/>
    </row>
    <row r="13804" spans="11:11" ht="15" x14ac:dyDescent="0.25">
      <c r="K13804"/>
    </row>
    <row r="13805" spans="11:11" ht="15" x14ac:dyDescent="0.25">
      <c r="K13805"/>
    </row>
    <row r="13806" spans="11:11" ht="15" x14ac:dyDescent="0.25">
      <c r="K13806"/>
    </row>
    <row r="13807" spans="11:11" ht="15" x14ac:dyDescent="0.25">
      <c r="K13807"/>
    </row>
    <row r="13808" spans="11:11" ht="15" x14ac:dyDescent="0.25">
      <c r="K13808"/>
    </row>
    <row r="13809" spans="11:11" ht="15" x14ac:dyDescent="0.25">
      <c r="K13809"/>
    </row>
    <row r="13810" spans="11:11" ht="15" x14ac:dyDescent="0.25">
      <c r="K13810"/>
    </row>
    <row r="13811" spans="11:11" ht="15" x14ac:dyDescent="0.25">
      <c r="K13811"/>
    </row>
    <row r="13812" spans="11:11" ht="15" x14ac:dyDescent="0.25">
      <c r="K13812"/>
    </row>
    <row r="13813" spans="11:11" ht="15" x14ac:dyDescent="0.25">
      <c r="K13813"/>
    </row>
    <row r="13814" spans="11:11" ht="15" x14ac:dyDescent="0.25">
      <c r="K13814"/>
    </row>
    <row r="13815" spans="11:11" ht="15" x14ac:dyDescent="0.25">
      <c r="K13815"/>
    </row>
    <row r="13816" spans="11:11" ht="15" x14ac:dyDescent="0.25">
      <c r="K13816"/>
    </row>
    <row r="13817" spans="11:11" ht="15" x14ac:dyDescent="0.25">
      <c r="K13817"/>
    </row>
    <row r="13818" spans="11:11" ht="15" x14ac:dyDescent="0.25">
      <c r="K13818"/>
    </row>
    <row r="13819" spans="11:11" ht="15" x14ac:dyDescent="0.25">
      <c r="K13819"/>
    </row>
    <row r="13820" spans="11:11" ht="15" x14ac:dyDescent="0.25">
      <c r="K13820"/>
    </row>
    <row r="13821" spans="11:11" ht="15" x14ac:dyDescent="0.25">
      <c r="K13821"/>
    </row>
    <row r="13822" spans="11:11" ht="15" x14ac:dyDescent="0.25">
      <c r="K13822"/>
    </row>
    <row r="13823" spans="11:11" ht="15" x14ac:dyDescent="0.25">
      <c r="K13823"/>
    </row>
    <row r="13824" spans="11:11" ht="15" x14ac:dyDescent="0.25">
      <c r="K13824"/>
    </row>
    <row r="13825" spans="11:11" ht="15" x14ac:dyDescent="0.25">
      <c r="K13825"/>
    </row>
    <row r="13826" spans="11:11" ht="15" x14ac:dyDescent="0.25">
      <c r="K13826"/>
    </row>
    <row r="13827" spans="11:11" ht="15" x14ac:dyDescent="0.25">
      <c r="K13827"/>
    </row>
    <row r="13828" spans="11:11" ht="15" x14ac:dyDescent="0.25">
      <c r="K13828"/>
    </row>
    <row r="13829" spans="11:11" ht="15" x14ac:dyDescent="0.25">
      <c r="K13829"/>
    </row>
    <row r="13830" spans="11:11" ht="15" x14ac:dyDescent="0.25">
      <c r="K13830"/>
    </row>
    <row r="13831" spans="11:11" ht="15" x14ac:dyDescent="0.25">
      <c r="K13831"/>
    </row>
    <row r="13832" spans="11:11" ht="15" x14ac:dyDescent="0.25">
      <c r="K13832"/>
    </row>
    <row r="13833" spans="11:11" ht="15" x14ac:dyDescent="0.25">
      <c r="K13833"/>
    </row>
    <row r="13834" spans="11:11" ht="15" x14ac:dyDescent="0.25">
      <c r="K13834"/>
    </row>
    <row r="13835" spans="11:11" ht="15" x14ac:dyDescent="0.25">
      <c r="K13835"/>
    </row>
    <row r="13836" spans="11:11" ht="15" x14ac:dyDescent="0.25">
      <c r="K13836"/>
    </row>
    <row r="13837" spans="11:11" ht="15" x14ac:dyDescent="0.25">
      <c r="K13837"/>
    </row>
    <row r="13838" spans="11:11" ht="15" x14ac:dyDescent="0.25">
      <c r="K13838"/>
    </row>
    <row r="13839" spans="11:11" ht="15" x14ac:dyDescent="0.25">
      <c r="K13839"/>
    </row>
    <row r="13840" spans="11:11" ht="15" x14ac:dyDescent="0.25">
      <c r="K13840"/>
    </row>
    <row r="13841" spans="11:11" ht="15" x14ac:dyDescent="0.25">
      <c r="K13841"/>
    </row>
    <row r="13842" spans="11:11" ht="15" x14ac:dyDescent="0.25">
      <c r="K13842"/>
    </row>
    <row r="13843" spans="11:11" ht="15" x14ac:dyDescent="0.25">
      <c r="K13843"/>
    </row>
    <row r="13844" spans="11:11" ht="15" x14ac:dyDescent="0.25">
      <c r="K13844"/>
    </row>
    <row r="13845" spans="11:11" ht="15" x14ac:dyDescent="0.25">
      <c r="K13845"/>
    </row>
    <row r="13846" spans="11:11" ht="15" x14ac:dyDescent="0.25">
      <c r="K13846"/>
    </row>
    <row r="13847" spans="11:11" ht="15" x14ac:dyDescent="0.25">
      <c r="K13847"/>
    </row>
    <row r="13848" spans="11:11" ht="15" x14ac:dyDescent="0.25">
      <c r="K13848"/>
    </row>
    <row r="13849" spans="11:11" ht="15" x14ac:dyDescent="0.25">
      <c r="K13849"/>
    </row>
    <row r="13850" spans="11:11" ht="15" x14ac:dyDescent="0.25">
      <c r="K13850"/>
    </row>
    <row r="13851" spans="11:11" ht="15" x14ac:dyDescent="0.25">
      <c r="K13851"/>
    </row>
    <row r="13852" spans="11:11" ht="15" x14ac:dyDescent="0.25">
      <c r="K13852"/>
    </row>
    <row r="13853" spans="11:11" ht="15" x14ac:dyDescent="0.25">
      <c r="K13853"/>
    </row>
    <row r="13854" spans="11:11" ht="15" x14ac:dyDescent="0.25">
      <c r="K13854"/>
    </row>
    <row r="13855" spans="11:11" ht="15" x14ac:dyDescent="0.25">
      <c r="K13855"/>
    </row>
    <row r="13856" spans="11:11" ht="15" x14ac:dyDescent="0.25">
      <c r="K13856"/>
    </row>
    <row r="13857" spans="11:11" ht="15" x14ac:dyDescent="0.25">
      <c r="K13857"/>
    </row>
    <row r="13858" spans="11:11" ht="15" x14ac:dyDescent="0.25">
      <c r="K13858"/>
    </row>
    <row r="13859" spans="11:11" ht="15" x14ac:dyDescent="0.25">
      <c r="K13859"/>
    </row>
    <row r="13860" spans="11:11" ht="15" x14ac:dyDescent="0.25">
      <c r="K13860"/>
    </row>
    <row r="13861" spans="11:11" ht="15" x14ac:dyDescent="0.25">
      <c r="K13861"/>
    </row>
    <row r="13862" spans="11:11" ht="15" x14ac:dyDescent="0.25">
      <c r="K13862"/>
    </row>
    <row r="13863" spans="11:11" ht="15" x14ac:dyDescent="0.25">
      <c r="K13863"/>
    </row>
    <row r="13864" spans="11:11" ht="15" x14ac:dyDescent="0.25">
      <c r="K13864"/>
    </row>
    <row r="13865" spans="11:11" ht="15" x14ac:dyDescent="0.25">
      <c r="K13865"/>
    </row>
    <row r="13866" spans="11:11" ht="15" x14ac:dyDescent="0.25">
      <c r="K13866"/>
    </row>
    <row r="13867" spans="11:11" ht="15" x14ac:dyDescent="0.25">
      <c r="K13867"/>
    </row>
    <row r="13868" spans="11:11" ht="15" x14ac:dyDescent="0.25">
      <c r="K13868"/>
    </row>
    <row r="13869" spans="11:11" ht="15" x14ac:dyDescent="0.25">
      <c r="K13869"/>
    </row>
    <row r="13870" spans="11:11" ht="15" x14ac:dyDescent="0.25">
      <c r="K13870"/>
    </row>
    <row r="13871" spans="11:11" ht="15" x14ac:dyDescent="0.25">
      <c r="K13871"/>
    </row>
    <row r="13872" spans="11:11" ht="15" x14ac:dyDescent="0.25">
      <c r="K13872"/>
    </row>
    <row r="13873" spans="11:11" ht="15" x14ac:dyDescent="0.25">
      <c r="K13873"/>
    </row>
    <row r="13874" spans="11:11" ht="15" x14ac:dyDescent="0.25">
      <c r="K13874"/>
    </row>
    <row r="13875" spans="11:11" ht="15" x14ac:dyDescent="0.25">
      <c r="K13875"/>
    </row>
    <row r="13876" spans="11:11" ht="15" x14ac:dyDescent="0.25">
      <c r="K13876"/>
    </row>
    <row r="13877" spans="11:11" ht="15" x14ac:dyDescent="0.25">
      <c r="K13877"/>
    </row>
    <row r="13878" spans="11:11" ht="15" x14ac:dyDescent="0.25">
      <c r="K13878"/>
    </row>
    <row r="13879" spans="11:11" ht="15" x14ac:dyDescent="0.25">
      <c r="K13879"/>
    </row>
    <row r="13880" spans="11:11" ht="15" x14ac:dyDescent="0.25">
      <c r="K13880"/>
    </row>
    <row r="13881" spans="11:11" ht="15" x14ac:dyDescent="0.25">
      <c r="K13881"/>
    </row>
    <row r="13882" spans="11:11" ht="15" x14ac:dyDescent="0.25">
      <c r="K13882"/>
    </row>
    <row r="13883" spans="11:11" ht="15" x14ac:dyDescent="0.25">
      <c r="K13883"/>
    </row>
    <row r="13884" spans="11:11" ht="15" x14ac:dyDescent="0.25">
      <c r="K13884"/>
    </row>
    <row r="13885" spans="11:11" ht="15" x14ac:dyDescent="0.25">
      <c r="K13885"/>
    </row>
    <row r="13886" spans="11:11" ht="15" x14ac:dyDescent="0.25">
      <c r="K13886"/>
    </row>
    <row r="13887" spans="11:11" ht="15" x14ac:dyDescent="0.25">
      <c r="K13887"/>
    </row>
    <row r="13888" spans="11:11" ht="15" x14ac:dyDescent="0.25">
      <c r="K13888"/>
    </row>
    <row r="13889" spans="11:11" ht="15" x14ac:dyDescent="0.25">
      <c r="K13889"/>
    </row>
    <row r="13890" spans="11:11" ht="15" x14ac:dyDescent="0.25">
      <c r="K13890"/>
    </row>
    <row r="13891" spans="11:11" ht="15" x14ac:dyDescent="0.25">
      <c r="K13891"/>
    </row>
    <row r="13892" spans="11:11" ht="15" x14ac:dyDescent="0.25">
      <c r="K13892"/>
    </row>
    <row r="13893" spans="11:11" ht="15" x14ac:dyDescent="0.25">
      <c r="K13893"/>
    </row>
    <row r="13894" spans="11:11" ht="15" x14ac:dyDescent="0.25">
      <c r="K13894"/>
    </row>
    <row r="13895" spans="11:11" ht="15" x14ac:dyDescent="0.25">
      <c r="K13895"/>
    </row>
    <row r="13896" spans="11:11" ht="15" x14ac:dyDescent="0.25">
      <c r="K13896"/>
    </row>
    <row r="13897" spans="11:11" ht="15" x14ac:dyDescent="0.25">
      <c r="K13897"/>
    </row>
    <row r="13898" spans="11:11" ht="15" x14ac:dyDescent="0.25">
      <c r="K13898"/>
    </row>
    <row r="13899" spans="11:11" ht="15" x14ac:dyDescent="0.25">
      <c r="K13899"/>
    </row>
    <row r="13900" spans="11:11" ht="15" x14ac:dyDescent="0.25">
      <c r="K13900"/>
    </row>
    <row r="13901" spans="11:11" ht="15" x14ac:dyDescent="0.25">
      <c r="K13901"/>
    </row>
    <row r="13902" spans="11:11" ht="15" x14ac:dyDescent="0.25">
      <c r="K13902"/>
    </row>
    <row r="13903" spans="11:11" ht="15" x14ac:dyDescent="0.25">
      <c r="K13903"/>
    </row>
    <row r="13904" spans="11:11" ht="15" x14ac:dyDescent="0.25">
      <c r="K13904"/>
    </row>
    <row r="13905" spans="11:11" ht="15" x14ac:dyDescent="0.25">
      <c r="K13905"/>
    </row>
    <row r="13906" spans="11:11" ht="15" x14ac:dyDescent="0.25">
      <c r="K13906"/>
    </row>
    <row r="13907" spans="11:11" ht="15" x14ac:dyDescent="0.25">
      <c r="K13907"/>
    </row>
    <row r="13908" spans="11:11" ht="15" x14ac:dyDescent="0.25">
      <c r="K13908"/>
    </row>
    <row r="13909" spans="11:11" ht="15" x14ac:dyDescent="0.25">
      <c r="K13909"/>
    </row>
    <row r="13910" spans="11:11" ht="15" x14ac:dyDescent="0.25">
      <c r="K13910"/>
    </row>
    <row r="13911" spans="11:11" ht="15" x14ac:dyDescent="0.25">
      <c r="K13911"/>
    </row>
    <row r="13912" spans="11:11" ht="15" x14ac:dyDescent="0.25">
      <c r="K13912"/>
    </row>
    <row r="13913" spans="11:11" ht="15" x14ac:dyDescent="0.25">
      <c r="K13913"/>
    </row>
    <row r="13914" spans="11:11" ht="15" x14ac:dyDescent="0.25">
      <c r="K13914"/>
    </row>
    <row r="13915" spans="11:11" ht="15" x14ac:dyDescent="0.25">
      <c r="K13915"/>
    </row>
    <row r="13916" spans="11:11" ht="15" x14ac:dyDescent="0.25">
      <c r="K13916"/>
    </row>
    <row r="13917" spans="11:11" ht="15" x14ac:dyDescent="0.25">
      <c r="K13917"/>
    </row>
    <row r="13918" spans="11:11" ht="15" x14ac:dyDescent="0.25">
      <c r="K13918"/>
    </row>
    <row r="13919" spans="11:11" ht="15" x14ac:dyDescent="0.25">
      <c r="K13919"/>
    </row>
    <row r="13920" spans="11:11" ht="15" x14ac:dyDescent="0.25">
      <c r="K13920"/>
    </row>
    <row r="13921" spans="11:11" ht="15" x14ac:dyDescent="0.25">
      <c r="K13921"/>
    </row>
    <row r="13922" spans="11:11" ht="15" x14ac:dyDescent="0.25">
      <c r="K13922"/>
    </row>
    <row r="13923" spans="11:11" ht="15" x14ac:dyDescent="0.25">
      <c r="K13923"/>
    </row>
    <row r="13924" spans="11:11" ht="15" x14ac:dyDescent="0.25">
      <c r="K13924"/>
    </row>
    <row r="13925" spans="11:11" ht="15" x14ac:dyDescent="0.25">
      <c r="K13925"/>
    </row>
    <row r="13926" spans="11:11" ht="15" x14ac:dyDescent="0.25">
      <c r="K13926"/>
    </row>
    <row r="13927" spans="11:11" ht="15" x14ac:dyDescent="0.25">
      <c r="K13927"/>
    </row>
    <row r="13928" spans="11:11" ht="15" x14ac:dyDescent="0.25">
      <c r="K13928"/>
    </row>
    <row r="13929" spans="11:11" ht="15" x14ac:dyDescent="0.25">
      <c r="K13929"/>
    </row>
    <row r="13930" spans="11:11" ht="15" x14ac:dyDescent="0.25">
      <c r="K13930"/>
    </row>
    <row r="13931" spans="11:11" ht="15" x14ac:dyDescent="0.25">
      <c r="K13931"/>
    </row>
    <row r="13932" spans="11:11" ht="15" x14ac:dyDescent="0.25">
      <c r="K13932"/>
    </row>
    <row r="13933" spans="11:11" ht="15" x14ac:dyDescent="0.25">
      <c r="K13933"/>
    </row>
    <row r="13934" spans="11:11" ht="15" x14ac:dyDescent="0.25">
      <c r="K13934"/>
    </row>
    <row r="13935" spans="11:11" ht="15" x14ac:dyDescent="0.25">
      <c r="K13935"/>
    </row>
    <row r="13936" spans="11:11" ht="15" x14ac:dyDescent="0.25">
      <c r="K13936"/>
    </row>
    <row r="13937" spans="11:11" ht="15" x14ac:dyDescent="0.25">
      <c r="K13937"/>
    </row>
    <row r="13938" spans="11:11" ht="15" x14ac:dyDescent="0.25">
      <c r="K13938"/>
    </row>
    <row r="13939" spans="11:11" ht="15" x14ac:dyDescent="0.25">
      <c r="K13939"/>
    </row>
    <row r="13940" spans="11:11" ht="15" x14ac:dyDescent="0.25">
      <c r="K13940"/>
    </row>
    <row r="13941" spans="11:11" ht="15" x14ac:dyDescent="0.25">
      <c r="K13941"/>
    </row>
    <row r="13942" spans="11:11" ht="15" x14ac:dyDescent="0.25">
      <c r="K13942"/>
    </row>
    <row r="13943" spans="11:11" ht="15" x14ac:dyDescent="0.25">
      <c r="K13943"/>
    </row>
    <row r="13944" spans="11:11" ht="15" x14ac:dyDescent="0.25">
      <c r="K13944"/>
    </row>
    <row r="13945" spans="11:11" ht="15" x14ac:dyDescent="0.25">
      <c r="K13945"/>
    </row>
    <row r="13946" spans="11:11" ht="15" x14ac:dyDescent="0.25">
      <c r="K13946"/>
    </row>
    <row r="13947" spans="11:11" ht="15" x14ac:dyDescent="0.25">
      <c r="K13947"/>
    </row>
    <row r="13948" spans="11:11" ht="15" x14ac:dyDescent="0.25">
      <c r="K13948"/>
    </row>
    <row r="13949" spans="11:11" ht="15" x14ac:dyDescent="0.25">
      <c r="K13949"/>
    </row>
    <row r="13950" spans="11:11" ht="15" x14ac:dyDescent="0.25">
      <c r="K13950"/>
    </row>
    <row r="13951" spans="11:11" ht="15" x14ac:dyDescent="0.25">
      <c r="K13951"/>
    </row>
    <row r="13952" spans="11:11" ht="15" x14ac:dyDescent="0.25">
      <c r="K13952"/>
    </row>
    <row r="13953" spans="11:11" ht="15" x14ac:dyDescent="0.25">
      <c r="K13953"/>
    </row>
    <row r="13954" spans="11:11" ht="15" x14ac:dyDescent="0.25">
      <c r="K13954"/>
    </row>
    <row r="13955" spans="11:11" ht="15" x14ac:dyDescent="0.25">
      <c r="K13955"/>
    </row>
    <row r="13956" spans="11:11" ht="15" x14ac:dyDescent="0.25">
      <c r="K13956"/>
    </row>
    <row r="13957" spans="11:11" ht="15" x14ac:dyDescent="0.25">
      <c r="K13957"/>
    </row>
    <row r="13958" spans="11:11" ht="15" x14ac:dyDescent="0.25">
      <c r="K13958"/>
    </row>
    <row r="13959" spans="11:11" ht="15" x14ac:dyDescent="0.25">
      <c r="K13959"/>
    </row>
    <row r="13960" spans="11:11" ht="15" x14ac:dyDescent="0.25">
      <c r="K13960"/>
    </row>
    <row r="13961" spans="11:11" ht="15" x14ac:dyDescent="0.25">
      <c r="K13961"/>
    </row>
    <row r="13962" spans="11:11" ht="15" x14ac:dyDescent="0.25">
      <c r="K13962"/>
    </row>
    <row r="13963" spans="11:11" ht="15" x14ac:dyDescent="0.25">
      <c r="K13963"/>
    </row>
    <row r="13964" spans="11:11" ht="15" x14ac:dyDescent="0.25">
      <c r="K13964"/>
    </row>
    <row r="13965" spans="11:11" ht="15" x14ac:dyDescent="0.25">
      <c r="K13965"/>
    </row>
    <row r="13966" spans="11:11" ht="15" x14ac:dyDescent="0.25">
      <c r="K13966"/>
    </row>
    <row r="13967" spans="11:11" ht="15" x14ac:dyDescent="0.25">
      <c r="K13967"/>
    </row>
    <row r="13968" spans="11:11" ht="15" x14ac:dyDescent="0.25">
      <c r="K13968"/>
    </row>
    <row r="13969" spans="11:11" ht="15" x14ac:dyDescent="0.25">
      <c r="K13969"/>
    </row>
    <row r="13970" spans="11:11" ht="15" x14ac:dyDescent="0.25">
      <c r="K13970"/>
    </row>
    <row r="13971" spans="11:11" ht="15" x14ac:dyDescent="0.25">
      <c r="K13971"/>
    </row>
    <row r="13972" spans="11:11" ht="15" x14ac:dyDescent="0.25">
      <c r="K13972"/>
    </row>
    <row r="13973" spans="11:11" ht="15" x14ac:dyDescent="0.25">
      <c r="K13973"/>
    </row>
    <row r="13974" spans="11:11" ht="15" x14ac:dyDescent="0.25">
      <c r="K13974"/>
    </row>
    <row r="13975" spans="11:11" ht="15" x14ac:dyDescent="0.25">
      <c r="K13975"/>
    </row>
    <row r="13976" spans="11:11" ht="15" x14ac:dyDescent="0.25">
      <c r="K13976"/>
    </row>
    <row r="13977" spans="11:11" ht="15" x14ac:dyDescent="0.25">
      <c r="K13977"/>
    </row>
    <row r="13978" spans="11:11" ht="15" x14ac:dyDescent="0.25">
      <c r="K13978"/>
    </row>
    <row r="13979" spans="11:11" ht="15" x14ac:dyDescent="0.25">
      <c r="K13979"/>
    </row>
    <row r="13980" spans="11:11" ht="15" x14ac:dyDescent="0.25">
      <c r="K13980"/>
    </row>
    <row r="13981" spans="11:11" ht="15" x14ac:dyDescent="0.25">
      <c r="K13981"/>
    </row>
    <row r="13982" spans="11:11" ht="15" x14ac:dyDescent="0.25">
      <c r="K13982"/>
    </row>
    <row r="13983" spans="11:11" ht="15" x14ac:dyDescent="0.25">
      <c r="K13983"/>
    </row>
    <row r="13984" spans="11:11" ht="15" x14ac:dyDescent="0.25">
      <c r="K13984"/>
    </row>
    <row r="13985" spans="11:11" ht="15" x14ac:dyDescent="0.25">
      <c r="K13985"/>
    </row>
    <row r="13986" spans="11:11" ht="15" x14ac:dyDescent="0.25">
      <c r="K13986"/>
    </row>
    <row r="13987" spans="11:11" ht="15" x14ac:dyDescent="0.25">
      <c r="K13987"/>
    </row>
    <row r="13988" spans="11:11" ht="15" x14ac:dyDescent="0.25">
      <c r="K13988"/>
    </row>
    <row r="13989" spans="11:11" ht="15" x14ac:dyDescent="0.25">
      <c r="K13989"/>
    </row>
    <row r="13990" spans="11:11" ht="15" x14ac:dyDescent="0.25">
      <c r="K13990"/>
    </row>
    <row r="13991" spans="11:11" ht="15" x14ac:dyDescent="0.25">
      <c r="K13991"/>
    </row>
    <row r="13992" spans="11:11" ht="15" x14ac:dyDescent="0.25">
      <c r="K13992"/>
    </row>
    <row r="13993" spans="11:11" ht="15" x14ac:dyDescent="0.25">
      <c r="K13993"/>
    </row>
    <row r="13994" spans="11:11" ht="15" x14ac:dyDescent="0.25">
      <c r="K13994"/>
    </row>
    <row r="13995" spans="11:11" ht="15" x14ac:dyDescent="0.25">
      <c r="K13995"/>
    </row>
    <row r="13996" spans="11:11" ht="15" x14ac:dyDescent="0.25">
      <c r="K13996"/>
    </row>
    <row r="13997" spans="11:11" ht="15" x14ac:dyDescent="0.25">
      <c r="K13997"/>
    </row>
    <row r="13998" spans="11:11" ht="15" x14ac:dyDescent="0.25">
      <c r="K13998"/>
    </row>
    <row r="13999" spans="11:11" ht="15" x14ac:dyDescent="0.25">
      <c r="K13999"/>
    </row>
    <row r="14000" spans="11:11" ht="15" x14ac:dyDescent="0.25">
      <c r="K14000"/>
    </row>
    <row r="14001" spans="11:11" ht="15" x14ac:dyDescent="0.25">
      <c r="K14001"/>
    </row>
    <row r="14002" spans="11:11" ht="15" x14ac:dyDescent="0.25">
      <c r="K14002"/>
    </row>
    <row r="14003" spans="11:11" ht="15" x14ac:dyDescent="0.25">
      <c r="K14003"/>
    </row>
    <row r="14004" spans="11:11" ht="15" x14ac:dyDescent="0.25">
      <c r="K14004"/>
    </row>
    <row r="14005" spans="11:11" ht="15" x14ac:dyDescent="0.25">
      <c r="K14005"/>
    </row>
    <row r="14006" spans="11:11" ht="15" x14ac:dyDescent="0.25">
      <c r="K14006"/>
    </row>
    <row r="14007" spans="11:11" ht="15" x14ac:dyDescent="0.25">
      <c r="K14007"/>
    </row>
    <row r="14008" spans="11:11" ht="15" x14ac:dyDescent="0.25">
      <c r="K14008"/>
    </row>
    <row r="14009" spans="11:11" ht="15" x14ac:dyDescent="0.25">
      <c r="K14009"/>
    </row>
    <row r="14010" spans="11:11" ht="15" x14ac:dyDescent="0.25">
      <c r="K14010"/>
    </row>
    <row r="14011" spans="11:11" ht="15" x14ac:dyDescent="0.25">
      <c r="K14011"/>
    </row>
    <row r="14012" spans="11:11" ht="15" x14ac:dyDescent="0.25">
      <c r="K14012"/>
    </row>
    <row r="14013" spans="11:11" ht="15" x14ac:dyDescent="0.25">
      <c r="K14013"/>
    </row>
    <row r="14014" spans="11:11" ht="15" x14ac:dyDescent="0.25">
      <c r="K14014"/>
    </row>
    <row r="14015" spans="11:11" ht="15" x14ac:dyDescent="0.25">
      <c r="K14015"/>
    </row>
    <row r="14016" spans="11:11" ht="15" x14ac:dyDescent="0.25">
      <c r="K14016"/>
    </row>
    <row r="14017" spans="11:11" ht="15" x14ac:dyDescent="0.25">
      <c r="K14017"/>
    </row>
    <row r="14018" spans="11:11" ht="15" x14ac:dyDescent="0.25">
      <c r="K14018"/>
    </row>
    <row r="14019" spans="11:11" ht="15" x14ac:dyDescent="0.25">
      <c r="K14019"/>
    </row>
    <row r="14020" spans="11:11" ht="15" x14ac:dyDescent="0.25">
      <c r="K14020"/>
    </row>
    <row r="14021" spans="11:11" ht="15" x14ac:dyDescent="0.25">
      <c r="K14021"/>
    </row>
    <row r="14022" spans="11:11" ht="15" x14ac:dyDescent="0.25">
      <c r="K14022"/>
    </row>
    <row r="14023" spans="11:11" ht="15" x14ac:dyDescent="0.25">
      <c r="K14023"/>
    </row>
    <row r="14024" spans="11:11" ht="15" x14ac:dyDescent="0.25">
      <c r="K14024"/>
    </row>
    <row r="14025" spans="11:11" ht="15" x14ac:dyDescent="0.25">
      <c r="K14025"/>
    </row>
    <row r="14026" spans="11:11" ht="15" x14ac:dyDescent="0.25">
      <c r="K14026"/>
    </row>
    <row r="14027" spans="11:11" ht="15" x14ac:dyDescent="0.25">
      <c r="K14027"/>
    </row>
    <row r="14028" spans="11:11" ht="15" x14ac:dyDescent="0.25">
      <c r="K14028"/>
    </row>
    <row r="14029" spans="11:11" ht="15" x14ac:dyDescent="0.25">
      <c r="K14029"/>
    </row>
    <row r="14030" spans="11:11" ht="15" x14ac:dyDescent="0.25">
      <c r="K14030"/>
    </row>
    <row r="14031" spans="11:11" ht="15" x14ac:dyDescent="0.25">
      <c r="K14031"/>
    </row>
    <row r="14032" spans="11:11" ht="15" x14ac:dyDescent="0.25">
      <c r="K14032"/>
    </row>
    <row r="14033" spans="11:11" ht="15" x14ac:dyDescent="0.25">
      <c r="K14033"/>
    </row>
    <row r="14034" spans="11:11" ht="15" x14ac:dyDescent="0.25">
      <c r="K14034"/>
    </row>
    <row r="14035" spans="11:11" ht="15" x14ac:dyDescent="0.25">
      <c r="K14035"/>
    </row>
    <row r="14036" spans="11:11" ht="15" x14ac:dyDescent="0.25">
      <c r="K14036"/>
    </row>
    <row r="14037" spans="11:11" ht="15" x14ac:dyDescent="0.25">
      <c r="K14037"/>
    </row>
    <row r="14038" spans="11:11" ht="15" x14ac:dyDescent="0.25">
      <c r="K14038"/>
    </row>
    <row r="14039" spans="11:11" ht="15" x14ac:dyDescent="0.25">
      <c r="K14039"/>
    </row>
    <row r="14040" spans="11:11" ht="15" x14ac:dyDescent="0.25">
      <c r="K14040"/>
    </row>
    <row r="14041" spans="11:11" ht="15" x14ac:dyDescent="0.25">
      <c r="K14041"/>
    </row>
    <row r="14042" spans="11:11" ht="15" x14ac:dyDescent="0.25">
      <c r="K14042"/>
    </row>
    <row r="14043" spans="11:11" ht="15" x14ac:dyDescent="0.25">
      <c r="K14043"/>
    </row>
    <row r="14044" spans="11:11" ht="15" x14ac:dyDescent="0.25">
      <c r="K14044"/>
    </row>
    <row r="14045" spans="11:11" ht="15" x14ac:dyDescent="0.25">
      <c r="K14045"/>
    </row>
    <row r="14046" spans="11:11" ht="15" x14ac:dyDescent="0.25">
      <c r="K14046"/>
    </row>
    <row r="14047" spans="11:11" ht="15" x14ac:dyDescent="0.25">
      <c r="K14047"/>
    </row>
    <row r="14048" spans="11:11" ht="15" x14ac:dyDescent="0.25">
      <c r="K14048"/>
    </row>
    <row r="14049" spans="11:11" ht="15" x14ac:dyDescent="0.25">
      <c r="K14049"/>
    </row>
    <row r="14050" spans="11:11" ht="15" x14ac:dyDescent="0.25">
      <c r="K14050"/>
    </row>
    <row r="14051" spans="11:11" ht="15" x14ac:dyDescent="0.25">
      <c r="K14051"/>
    </row>
    <row r="14052" spans="11:11" ht="15" x14ac:dyDescent="0.25">
      <c r="K14052"/>
    </row>
    <row r="14053" spans="11:11" ht="15" x14ac:dyDescent="0.25">
      <c r="K14053"/>
    </row>
    <row r="14054" spans="11:11" ht="15" x14ac:dyDescent="0.25">
      <c r="K14054"/>
    </row>
    <row r="14055" spans="11:11" ht="15" x14ac:dyDescent="0.25">
      <c r="K14055"/>
    </row>
    <row r="14056" spans="11:11" ht="15" x14ac:dyDescent="0.25">
      <c r="K14056"/>
    </row>
    <row r="14057" spans="11:11" ht="15" x14ac:dyDescent="0.25">
      <c r="K14057"/>
    </row>
    <row r="14058" spans="11:11" ht="15" x14ac:dyDescent="0.25">
      <c r="K14058"/>
    </row>
    <row r="14059" spans="11:11" ht="15" x14ac:dyDescent="0.25">
      <c r="K14059"/>
    </row>
    <row r="14060" spans="11:11" ht="15" x14ac:dyDescent="0.25">
      <c r="K14060"/>
    </row>
    <row r="14061" spans="11:11" ht="15" x14ac:dyDescent="0.25">
      <c r="K14061"/>
    </row>
    <row r="14062" spans="11:11" ht="15" x14ac:dyDescent="0.25">
      <c r="K14062"/>
    </row>
    <row r="14063" spans="11:11" ht="15" x14ac:dyDescent="0.25">
      <c r="K14063"/>
    </row>
    <row r="14064" spans="11:11" ht="15" x14ac:dyDescent="0.25">
      <c r="K14064"/>
    </row>
    <row r="14065" spans="11:11" ht="15" x14ac:dyDescent="0.25">
      <c r="K14065"/>
    </row>
    <row r="14066" spans="11:11" ht="15" x14ac:dyDescent="0.25">
      <c r="K14066"/>
    </row>
    <row r="14067" spans="11:11" ht="15" x14ac:dyDescent="0.25">
      <c r="K14067"/>
    </row>
    <row r="14068" spans="11:11" ht="15" x14ac:dyDescent="0.25">
      <c r="K14068"/>
    </row>
    <row r="14069" spans="11:11" ht="15" x14ac:dyDescent="0.25">
      <c r="K14069"/>
    </row>
    <row r="14070" spans="11:11" ht="15" x14ac:dyDescent="0.25">
      <c r="K14070"/>
    </row>
    <row r="14071" spans="11:11" ht="15" x14ac:dyDescent="0.25">
      <c r="K14071"/>
    </row>
    <row r="14072" spans="11:11" ht="15" x14ac:dyDescent="0.25">
      <c r="K14072"/>
    </row>
    <row r="14073" spans="11:11" ht="15" x14ac:dyDescent="0.25">
      <c r="K14073"/>
    </row>
    <row r="14074" spans="11:11" ht="15" x14ac:dyDescent="0.25">
      <c r="K14074"/>
    </row>
    <row r="14075" spans="11:11" ht="15" x14ac:dyDescent="0.25">
      <c r="K14075"/>
    </row>
    <row r="14076" spans="11:11" ht="15" x14ac:dyDescent="0.25">
      <c r="K14076"/>
    </row>
    <row r="14077" spans="11:11" ht="15" x14ac:dyDescent="0.25">
      <c r="K14077"/>
    </row>
    <row r="14078" spans="11:11" ht="15" x14ac:dyDescent="0.25">
      <c r="K14078"/>
    </row>
    <row r="14079" spans="11:11" ht="15" x14ac:dyDescent="0.25">
      <c r="K14079"/>
    </row>
    <row r="14080" spans="11:11" ht="15" x14ac:dyDescent="0.25">
      <c r="K14080"/>
    </row>
    <row r="14081" spans="11:11" ht="15" x14ac:dyDescent="0.25">
      <c r="K14081"/>
    </row>
    <row r="14082" spans="11:11" ht="15" x14ac:dyDescent="0.25">
      <c r="K14082"/>
    </row>
    <row r="14083" spans="11:11" ht="15" x14ac:dyDescent="0.25">
      <c r="K14083"/>
    </row>
    <row r="14084" spans="11:11" ht="15" x14ac:dyDescent="0.25">
      <c r="K14084"/>
    </row>
    <row r="14085" spans="11:11" ht="15" x14ac:dyDescent="0.25">
      <c r="K14085"/>
    </row>
    <row r="14086" spans="11:11" ht="15" x14ac:dyDescent="0.25">
      <c r="K14086"/>
    </row>
    <row r="14087" spans="11:11" ht="15" x14ac:dyDescent="0.25">
      <c r="K14087"/>
    </row>
    <row r="14088" spans="11:11" ht="15" x14ac:dyDescent="0.25">
      <c r="K14088"/>
    </row>
    <row r="14089" spans="11:11" ht="15" x14ac:dyDescent="0.25">
      <c r="K14089"/>
    </row>
    <row r="14090" spans="11:11" ht="15" x14ac:dyDescent="0.25">
      <c r="K14090"/>
    </row>
    <row r="14091" spans="11:11" ht="15" x14ac:dyDescent="0.25">
      <c r="K14091"/>
    </row>
    <row r="14092" spans="11:11" ht="15" x14ac:dyDescent="0.25">
      <c r="K14092"/>
    </row>
    <row r="14093" spans="11:11" ht="15" x14ac:dyDescent="0.25">
      <c r="K14093"/>
    </row>
    <row r="14094" spans="11:11" ht="15" x14ac:dyDescent="0.25">
      <c r="K14094"/>
    </row>
    <row r="14095" spans="11:11" ht="15" x14ac:dyDescent="0.25">
      <c r="K14095"/>
    </row>
    <row r="14096" spans="11:11" ht="15" x14ac:dyDescent="0.25">
      <c r="K14096"/>
    </row>
    <row r="14097" spans="11:11" ht="15" x14ac:dyDescent="0.25">
      <c r="K14097"/>
    </row>
    <row r="14098" spans="11:11" ht="15" x14ac:dyDescent="0.25">
      <c r="K14098"/>
    </row>
    <row r="14099" spans="11:11" ht="15" x14ac:dyDescent="0.25">
      <c r="K14099"/>
    </row>
    <row r="14100" spans="11:11" ht="15" x14ac:dyDescent="0.25">
      <c r="K14100"/>
    </row>
    <row r="14101" spans="11:11" ht="15" x14ac:dyDescent="0.25">
      <c r="K14101"/>
    </row>
    <row r="14102" spans="11:11" ht="15" x14ac:dyDescent="0.25">
      <c r="K14102"/>
    </row>
    <row r="14103" spans="11:11" ht="15" x14ac:dyDescent="0.25">
      <c r="K14103"/>
    </row>
    <row r="14104" spans="11:11" ht="15" x14ac:dyDescent="0.25">
      <c r="K14104"/>
    </row>
    <row r="14105" spans="11:11" ht="15" x14ac:dyDescent="0.25">
      <c r="K14105"/>
    </row>
    <row r="14106" spans="11:11" ht="15" x14ac:dyDescent="0.25">
      <c r="K14106"/>
    </row>
    <row r="14107" spans="11:11" ht="15" x14ac:dyDescent="0.25">
      <c r="K14107"/>
    </row>
    <row r="14108" spans="11:11" ht="15" x14ac:dyDescent="0.25">
      <c r="K14108"/>
    </row>
    <row r="14109" spans="11:11" ht="15" x14ac:dyDescent="0.25">
      <c r="K14109"/>
    </row>
    <row r="14110" spans="11:11" ht="15" x14ac:dyDescent="0.25">
      <c r="K14110"/>
    </row>
    <row r="14111" spans="11:11" ht="15" x14ac:dyDescent="0.25">
      <c r="K14111"/>
    </row>
    <row r="14112" spans="11:11" ht="15" x14ac:dyDescent="0.25">
      <c r="K14112"/>
    </row>
    <row r="14113" spans="11:11" ht="15" x14ac:dyDescent="0.25">
      <c r="K14113"/>
    </row>
    <row r="14114" spans="11:11" ht="15" x14ac:dyDescent="0.25">
      <c r="K14114"/>
    </row>
    <row r="14115" spans="11:11" ht="15" x14ac:dyDescent="0.25">
      <c r="K14115"/>
    </row>
    <row r="14116" spans="11:11" ht="15" x14ac:dyDescent="0.25">
      <c r="K14116"/>
    </row>
    <row r="14117" spans="11:11" ht="15" x14ac:dyDescent="0.25">
      <c r="K14117"/>
    </row>
    <row r="14118" spans="11:11" ht="15" x14ac:dyDescent="0.25">
      <c r="K14118"/>
    </row>
    <row r="14119" spans="11:11" ht="15" x14ac:dyDescent="0.25">
      <c r="K14119"/>
    </row>
    <row r="14120" spans="11:11" ht="15" x14ac:dyDescent="0.25">
      <c r="K14120"/>
    </row>
    <row r="14121" spans="11:11" ht="15" x14ac:dyDescent="0.25">
      <c r="K14121"/>
    </row>
    <row r="14122" spans="11:11" ht="15" x14ac:dyDescent="0.25">
      <c r="K14122"/>
    </row>
    <row r="14123" spans="11:11" ht="15" x14ac:dyDescent="0.25">
      <c r="K14123"/>
    </row>
    <row r="14124" spans="11:11" ht="15" x14ac:dyDescent="0.25">
      <c r="K14124"/>
    </row>
    <row r="14125" spans="11:11" ht="15" x14ac:dyDescent="0.25">
      <c r="K14125"/>
    </row>
    <row r="14126" spans="11:11" ht="15" x14ac:dyDescent="0.25">
      <c r="K14126"/>
    </row>
    <row r="14127" spans="11:11" ht="15" x14ac:dyDescent="0.25">
      <c r="K14127"/>
    </row>
    <row r="14128" spans="11:11" ht="15" x14ac:dyDescent="0.25">
      <c r="K14128"/>
    </row>
    <row r="14129" spans="11:11" ht="15" x14ac:dyDescent="0.25">
      <c r="K14129"/>
    </row>
    <row r="14130" spans="11:11" ht="15" x14ac:dyDescent="0.25">
      <c r="K14130"/>
    </row>
    <row r="14131" spans="11:11" ht="15" x14ac:dyDescent="0.25">
      <c r="K14131"/>
    </row>
    <row r="14132" spans="11:11" ht="15" x14ac:dyDescent="0.25">
      <c r="K14132"/>
    </row>
    <row r="14133" spans="11:11" ht="15" x14ac:dyDescent="0.25">
      <c r="K14133"/>
    </row>
    <row r="14134" spans="11:11" ht="15" x14ac:dyDescent="0.25">
      <c r="K14134"/>
    </row>
    <row r="14135" spans="11:11" ht="15" x14ac:dyDescent="0.25">
      <c r="K14135"/>
    </row>
    <row r="14136" spans="11:11" ht="15" x14ac:dyDescent="0.25">
      <c r="K14136"/>
    </row>
    <row r="14137" spans="11:11" ht="15" x14ac:dyDescent="0.25">
      <c r="K14137"/>
    </row>
    <row r="14138" spans="11:11" ht="15" x14ac:dyDescent="0.25">
      <c r="K14138"/>
    </row>
    <row r="14139" spans="11:11" ht="15" x14ac:dyDescent="0.25">
      <c r="K14139"/>
    </row>
    <row r="14140" spans="11:11" ht="15" x14ac:dyDescent="0.25">
      <c r="K14140"/>
    </row>
    <row r="14141" spans="11:11" ht="15" x14ac:dyDescent="0.25">
      <c r="K14141"/>
    </row>
    <row r="14142" spans="11:11" ht="15" x14ac:dyDescent="0.25">
      <c r="K14142"/>
    </row>
    <row r="14143" spans="11:11" ht="15" x14ac:dyDescent="0.25">
      <c r="K14143"/>
    </row>
    <row r="14144" spans="11:11" ht="15" x14ac:dyDescent="0.25">
      <c r="K14144"/>
    </row>
    <row r="14145" spans="11:11" ht="15" x14ac:dyDescent="0.25">
      <c r="K14145"/>
    </row>
    <row r="14146" spans="11:11" ht="15" x14ac:dyDescent="0.25">
      <c r="K14146"/>
    </row>
    <row r="14147" spans="11:11" ht="15" x14ac:dyDescent="0.25">
      <c r="K14147"/>
    </row>
    <row r="14148" spans="11:11" ht="15" x14ac:dyDescent="0.25">
      <c r="K14148"/>
    </row>
    <row r="14149" spans="11:11" ht="15" x14ac:dyDescent="0.25">
      <c r="K14149"/>
    </row>
    <row r="14150" spans="11:11" ht="15" x14ac:dyDescent="0.25">
      <c r="K14150"/>
    </row>
    <row r="14151" spans="11:11" ht="15" x14ac:dyDescent="0.25">
      <c r="K14151"/>
    </row>
    <row r="14152" spans="11:11" ht="15" x14ac:dyDescent="0.25">
      <c r="K14152"/>
    </row>
    <row r="14153" spans="11:11" ht="15" x14ac:dyDescent="0.25">
      <c r="K14153"/>
    </row>
    <row r="14154" spans="11:11" ht="15" x14ac:dyDescent="0.25">
      <c r="K14154"/>
    </row>
    <row r="14155" spans="11:11" ht="15" x14ac:dyDescent="0.25">
      <c r="K14155"/>
    </row>
    <row r="14156" spans="11:11" ht="15" x14ac:dyDescent="0.25">
      <c r="K14156"/>
    </row>
    <row r="14157" spans="11:11" ht="15" x14ac:dyDescent="0.25">
      <c r="K14157"/>
    </row>
    <row r="14158" spans="11:11" ht="15" x14ac:dyDescent="0.25">
      <c r="K14158"/>
    </row>
    <row r="14159" spans="11:11" ht="15" x14ac:dyDescent="0.25">
      <c r="K14159"/>
    </row>
    <row r="14160" spans="11:11" ht="15" x14ac:dyDescent="0.25">
      <c r="K14160"/>
    </row>
    <row r="14161" spans="11:11" ht="15" x14ac:dyDescent="0.25">
      <c r="K14161"/>
    </row>
    <row r="14162" spans="11:11" ht="15" x14ac:dyDescent="0.25">
      <c r="K14162"/>
    </row>
    <row r="14163" spans="11:11" ht="15" x14ac:dyDescent="0.25">
      <c r="K14163"/>
    </row>
    <row r="14164" spans="11:11" ht="15" x14ac:dyDescent="0.25">
      <c r="K14164"/>
    </row>
    <row r="14165" spans="11:11" ht="15" x14ac:dyDescent="0.25">
      <c r="K14165"/>
    </row>
    <row r="14166" spans="11:11" ht="15" x14ac:dyDescent="0.25">
      <c r="K14166"/>
    </row>
    <row r="14167" spans="11:11" ht="15" x14ac:dyDescent="0.25">
      <c r="K14167"/>
    </row>
    <row r="14168" spans="11:11" ht="15" x14ac:dyDescent="0.25">
      <c r="K14168"/>
    </row>
    <row r="14169" spans="11:11" ht="15" x14ac:dyDescent="0.25">
      <c r="K14169"/>
    </row>
    <row r="14170" spans="11:11" ht="15" x14ac:dyDescent="0.25">
      <c r="K14170"/>
    </row>
    <row r="14171" spans="11:11" ht="15" x14ac:dyDescent="0.25">
      <c r="K14171"/>
    </row>
    <row r="14172" spans="11:11" ht="15" x14ac:dyDescent="0.25">
      <c r="K14172"/>
    </row>
    <row r="14173" spans="11:11" ht="15" x14ac:dyDescent="0.25">
      <c r="K14173"/>
    </row>
    <row r="14174" spans="11:11" ht="15" x14ac:dyDescent="0.25">
      <c r="K14174"/>
    </row>
    <row r="14175" spans="11:11" ht="15" x14ac:dyDescent="0.25">
      <c r="K14175"/>
    </row>
    <row r="14176" spans="11:11" ht="15" x14ac:dyDescent="0.25">
      <c r="K14176"/>
    </row>
    <row r="14177" spans="11:11" ht="15" x14ac:dyDescent="0.25">
      <c r="K14177"/>
    </row>
    <row r="14178" spans="11:11" ht="15" x14ac:dyDescent="0.25">
      <c r="K14178"/>
    </row>
    <row r="14179" spans="11:11" ht="15" x14ac:dyDescent="0.25">
      <c r="K14179"/>
    </row>
    <row r="14180" spans="11:11" ht="15" x14ac:dyDescent="0.25">
      <c r="K14180"/>
    </row>
    <row r="14181" spans="11:11" ht="15" x14ac:dyDescent="0.25">
      <c r="K14181"/>
    </row>
    <row r="14182" spans="11:11" ht="15" x14ac:dyDescent="0.25">
      <c r="K14182"/>
    </row>
    <row r="14183" spans="11:11" ht="15" x14ac:dyDescent="0.25">
      <c r="K14183"/>
    </row>
    <row r="14184" spans="11:11" ht="15" x14ac:dyDescent="0.25">
      <c r="K14184"/>
    </row>
    <row r="14185" spans="11:11" ht="15" x14ac:dyDescent="0.25">
      <c r="K14185"/>
    </row>
    <row r="14186" spans="11:11" ht="15" x14ac:dyDescent="0.25">
      <c r="K14186"/>
    </row>
    <row r="14187" spans="11:11" ht="15" x14ac:dyDescent="0.25">
      <c r="K14187"/>
    </row>
    <row r="14188" spans="11:11" ht="15" x14ac:dyDescent="0.25">
      <c r="K14188"/>
    </row>
    <row r="14189" spans="11:11" ht="15" x14ac:dyDescent="0.25">
      <c r="K14189"/>
    </row>
    <row r="14190" spans="11:11" ht="15" x14ac:dyDescent="0.25">
      <c r="K14190"/>
    </row>
    <row r="14191" spans="11:11" ht="15" x14ac:dyDescent="0.25">
      <c r="K14191"/>
    </row>
    <row r="14192" spans="11:11" ht="15" x14ac:dyDescent="0.25">
      <c r="K14192"/>
    </row>
    <row r="14193" spans="11:11" ht="15" x14ac:dyDescent="0.25">
      <c r="K14193"/>
    </row>
    <row r="14194" spans="11:11" ht="15" x14ac:dyDescent="0.25">
      <c r="K14194"/>
    </row>
    <row r="14195" spans="11:11" ht="15" x14ac:dyDescent="0.25">
      <c r="K14195"/>
    </row>
    <row r="14196" spans="11:11" ht="15" x14ac:dyDescent="0.25">
      <c r="K14196"/>
    </row>
    <row r="14197" spans="11:11" ht="15" x14ac:dyDescent="0.25">
      <c r="K14197"/>
    </row>
    <row r="14198" spans="11:11" ht="15" x14ac:dyDescent="0.25">
      <c r="K14198"/>
    </row>
    <row r="14199" spans="11:11" ht="15" x14ac:dyDescent="0.25">
      <c r="K14199"/>
    </row>
    <row r="14200" spans="11:11" ht="15" x14ac:dyDescent="0.25">
      <c r="K14200"/>
    </row>
    <row r="14201" spans="11:11" ht="15" x14ac:dyDescent="0.25">
      <c r="K14201"/>
    </row>
    <row r="14202" spans="11:11" ht="15" x14ac:dyDescent="0.25">
      <c r="K14202"/>
    </row>
    <row r="14203" spans="11:11" ht="15" x14ac:dyDescent="0.25">
      <c r="K14203"/>
    </row>
    <row r="14204" spans="11:11" ht="15" x14ac:dyDescent="0.25">
      <c r="K14204"/>
    </row>
    <row r="14205" spans="11:11" ht="15" x14ac:dyDescent="0.25">
      <c r="K14205"/>
    </row>
    <row r="14206" spans="11:11" ht="15" x14ac:dyDescent="0.25">
      <c r="K14206"/>
    </row>
    <row r="14207" spans="11:11" ht="15" x14ac:dyDescent="0.25">
      <c r="K14207"/>
    </row>
    <row r="14208" spans="11:11" ht="15" x14ac:dyDescent="0.25">
      <c r="K14208"/>
    </row>
    <row r="14209" spans="11:11" ht="15" x14ac:dyDescent="0.25">
      <c r="K14209"/>
    </row>
    <row r="14210" spans="11:11" ht="15" x14ac:dyDescent="0.25">
      <c r="K14210"/>
    </row>
    <row r="14211" spans="11:11" ht="15" x14ac:dyDescent="0.25">
      <c r="K14211"/>
    </row>
    <row r="14212" spans="11:11" ht="15" x14ac:dyDescent="0.25">
      <c r="K14212"/>
    </row>
    <row r="14213" spans="11:11" ht="15" x14ac:dyDescent="0.25">
      <c r="K14213"/>
    </row>
    <row r="14214" spans="11:11" ht="15" x14ac:dyDescent="0.25">
      <c r="K14214"/>
    </row>
    <row r="14215" spans="11:11" ht="15" x14ac:dyDescent="0.25">
      <c r="K14215"/>
    </row>
    <row r="14216" spans="11:11" ht="15" x14ac:dyDescent="0.25">
      <c r="K14216"/>
    </row>
    <row r="14217" spans="11:11" ht="15" x14ac:dyDescent="0.25">
      <c r="K14217"/>
    </row>
    <row r="14218" spans="11:11" ht="15" x14ac:dyDescent="0.25">
      <c r="K14218"/>
    </row>
    <row r="14219" spans="11:11" ht="15" x14ac:dyDescent="0.25">
      <c r="K14219"/>
    </row>
    <row r="14220" spans="11:11" ht="15" x14ac:dyDescent="0.25">
      <c r="K14220"/>
    </row>
    <row r="14221" spans="11:11" ht="15" x14ac:dyDescent="0.25">
      <c r="K14221"/>
    </row>
    <row r="14222" spans="11:11" ht="15" x14ac:dyDescent="0.25">
      <c r="K14222"/>
    </row>
    <row r="14223" spans="11:11" ht="15" x14ac:dyDescent="0.25">
      <c r="K14223"/>
    </row>
    <row r="14224" spans="11:11" ht="15" x14ac:dyDescent="0.25">
      <c r="K14224"/>
    </row>
    <row r="14225" spans="11:11" ht="15" x14ac:dyDescent="0.25">
      <c r="K14225"/>
    </row>
    <row r="14226" spans="11:11" ht="15" x14ac:dyDescent="0.25">
      <c r="K14226"/>
    </row>
    <row r="14227" spans="11:11" ht="15" x14ac:dyDescent="0.25">
      <c r="K14227"/>
    </row>
    <row r="14228" spans="11:11" ht="15" x14ac:dyDescent="0.25">
      <c r="K14228"/>
    </row>
    <row r="14229" spans="11:11" ht="15" x14ac:dyDescent="0.25">
      <c r="K14229"/>
    </row>
    <row r="14230" spans="11:11" ht="15" x14ac:dyDescent="0.25">
      <c r="K14230"/>
    </row>
    <row r="14231" spans="11:11" ht="15" x14ac:dyDescent="0.25">
      <c r="K14231"/>
    </row>
    <row r="14232" spans="11:11" ht="15" x14ac:dyDescent="0.25">
      <c r="K14232"/>
    </row>
    <row r="14233" spans="11:11" ht="15" x14ac:dyDescent="0.25">
      <c r="K14233"/>
    </row>
    <row r="14234" spans="11:11" ht="15" x14ac:dyDescent="0.25">
      <c r="K14234"/>
    </row>
    <row r="14235" spans="11:11" ht="15" x14ac:dyDescent="0.25">
      <c r="K14235"/>
    </row>
    <row r="14236" spans="11:11" ht="15" x14ac:dyDescent="0.25">
      <c r="K14236"/>
    </row>
    <row r="14237" spans="11:11" ht="15" x14ac:dyDescent="0.25">
      <c r="K14237"/>
    </row>
    <row r="14238" spans="11:11" ht="15" x14ac:dyDescent="0.25">
      <c r="K14238"/>
    </row>
    <row r="14239" spans="11:11" ht="15" x14ac:dyDescent="0.25">
      <c r="K14239"/>
    </row>
    <row r="14240" spans="11:11" ht="15" x14ac:dyDescent="0.25">
      <c r="K14240"/>
    </row>
    <row r="14241" spans="11:11" ht="15" x14ac:dyDescent="0.25">
      <c r="K14241"/>
    </row>
    <row r="14242" spans="11:11" ht="15" x14ac:dyDescent="0.25">
      <c r="K14242"/>
    </row>
    <row r="14243" spans="11:11" ht="15" x14ac:dyDescent="0.25">
      <c r="K14243"/>
    </row>
    <row r="14244" spans="11:11" ht="15" x14ac:dyDescent="0.25">
      <c r="K14244"/>
    </row>
    <row r="14245" spans="11:11" ht="15" x14ac:dyDescent="0.25">
      <c r="K14245"/>
    </row>
    <row r="14246" spans="11:11" ht="15" x14ac:dyDescent="0.25">
      <c r="K14246"/>
    </row>
    <row r="14247" spans="11:11" ht="15" x14ac:dyDescent="0.25">
      <c r="K14247"/>
    </row>
    <row r="14248" spans="11:11" ht="15" x14ac:dyDescent="0.25">
      <c r="K14248"/>
    </row>
    <row r="14249" spans="11:11" ht="15" x14ac:dyDescent="0.25">
      <c r="K14249"/>
    </row>
    <row r="14250" spans="11:11" ht="15" x14ac:dyDescent="0.25">
      <c r="K14250"/>
    </row>
    <row r="14251" spans="11:11" ht="15" x14ac:dyDescent="0.25">
      <c r="K14251"/>
    </row>
    <row r="14252" spans="11:11" ht="15" x14ac:dyDescent="0.25">
      <c r="K14252"/>
    </row>
    <row r="14253" spans="11:11" ht="15" x14ac:dyDescent="0.25">
      <c r="K14253"/>
    </row>
    <row r="14254" spans="11:11" ht="15" x14ac:dyDescent="0.25">
      <c r="K14254"/>
    </row>
    <row r="14255" spans="11:11" ht="15" x14ac:dyDescent="0.25">
      <c r="K14255"/>
    </row>
    <row r="14256" spans="11:11" ht="15" x14ac:dyDescent="0.25">
      <c r="K14256"/>
    </row>
    <row r="14257" spans="11:11" ht="15" x14ac:dyDescent="0.25">
      <c r="K14257"/>
    </row>
    <row r="14258" spans="11:11" ht="15" x14ac:dyDescent="0.25">
      <c r="K14258"/>
    </row>
    <row r="14259" spans="11:11" ht="15" x14ac:dyDescent="0.25">
      <c r="K14259"/>
    </row>
    <row r="14260" spans="11:11" ht="15" x14ac:dyDescent="0.25">
      <c r="K14260"/>
    </row>
    <row r="14261" spans="11:11" ht="15" x14ac:dyDescent="0.25">
      <c r="K14261"/>
    </row>
    <row r="14262" spans="11:11" ht="15" x14ac:dyDescent="0.25">
      <c r="K14262"/>
    </row>
    <row r="14263" spans="11:11" ht="15" x14ac:dyDescent="0.25">
      <c r="K14263"/>
    </row>
    <row r="14264" spans="11:11" ht="15" x14ac:dyDescent="0.25">
      <c r="K14264"/>
    </row>
    <row r="14265" spans="11:11" ht="15" x14ac:dyDescent="0.25">
      <c r="K14265"/>
    </row>
    <row r="14266" spans="11:11" ht="15" x14ac:dyDescent="0.25">
      <c r="K14266"/>
    </row>
    <row r="14267" spans="11:11" ht="15" x14ac:dyDescent="0.25">
      <c r="K14267"/>
    </row>
    <row r="14268" spans="11:11" ht="15" x14ac:dyDescent="0.25">
      <c r="K14268"/>
    </row>
    <row r="14269" spans="11:11" ht="15" x14ac:dyDescent="0.25">
      <c r="K14269"/>
    </row>
    <row r="14270" spans="11:11" ht="15" x14ac:dyDescent="0.25">
      <c r="K14270"/>
    </row>
    <row r="14271" spans="11:11" ht="15" x14ac:dyDescent="0.25">
      <c r="K14271"/>
    </row>
    <row r="14272" spans="11:11" ht="15" x14ac:dyDescent="0.25">
      <c r="K14272"/>
    </row>
    <row r="14273" spans="11:11" ht="15" x14ac:dyDescent="0.25">
      <c r="K14273"/>
    </row>
    <row r="14274" spans="11:11" ht="15" x14ac:dyDescent="0.25">
      <c r="K14274"/>
    </row>
    <row r="14275" spans="11:11" ht="15" x14ac:dyDescent="0.25">
      <c r="K14275"/>
    </row>
    <row r="14276" spans="11:11" ht="15" x14ac:dyDescent="0.25">
      <c r="K14276"/>
    </row>
    <row r="14277" spans="11:11" ht="15" x14ac:dyDescent="0.25">
      <c r="K14277"/>
    </row>
    <row r="14278" spans="11:11" ht="15" x14ac:dyDescent="0.25">
      <c r="K14278"/>
    </row>
    <row r="14279" spans="11:11" ht="15" x14ac:dyDescent="0.25">
      <c r="K14279"/>
    </row>
    <row r="14280" spans="11:11" ht="15" x14ac:dyDescent="0.25">
      <c r="K14280"/>
    </row>
    <row r="14281" spans="11:11" ht="15" x14ac:dyDescent="0.25">
      <c r="K14281"/>
    </row>
    <row r="14282" spans="11:11" ht="15" x14ac:dyDescent="0.25">
      <c r="K14282"/>
    </row>
    <row r="14283" spans="11:11" ht="15" x14ac:dyDescent="0.25">
      <c r="K14283"/>
    </row>
    <row r="14284" spans="11:11" ht="15" x14ac:dyDescent="0.25">
      <c r="K14284"/>
    </row>
    <row r="14285" spans="11:11" ht="15" x14ac:dyDescent="0.25">
      <c r="K14285"/>
    </row>
    <row r="14286" spans="11:11" ht="15" x14ac:dyDescent="0.25">
      <c r="K14286"/>
    </row>
    <row r="14287" spans="11:11" ht="15" x14ac:dyDescent="0.25">
      <c r="K14287"/>
    </row>
    <row r="14288" spans="11:11" ht="15" x14ac:dyDescent="0.25">
      <c r="K14288"/>
    </row>
    <row r="14289" spans="11:11" ht="15" x14ac:dyDescent="0.25">
      <c r="K14289"/>
    </row>
    <row r="14290" spans="11:11" ht="15" x14ac:dyDescent="0.25">
      <c r="K14290"/>
    </row>
    <row r="14291" spans="11:11" ht="15" x14ac:dyDescent="0.25">
      <c r="K14291"/>
    </row>
    <row r="14292" spans="11:11" ht="15" x14ac:dyDescent="0.25">
      <c r="K14292"/>
    </row>
    <row r="14293" spans="11:11" ht="15" x14ac:dyDescent="0.25">
      <c r="K14293"/>
    </row>
    <row r="14294" spans="11:11" ht="15" x14ac:dyDescent="0.25">
      <c r="K14294"/>
    </row>
    <row r="14295" spans="11:11" ht="15" x14ac:dyDescent="0.25">
      <c r="K14295"/>
    </row>
    <row r="14296" spans="11:11" ht="15" x14ac:dyDescent="0.25">
      <c r="K14296"/>
    </row>
    <row r="14297" spans="11:11" ht="15" x14ac:dyDescent="0.25">
      <c r="K14297"/>
    </row>
    <row r="14298" spans="11:11" ht="15" x14ac:dyDescent="0.25">
      <c r="K14298"/>
    </row>
    <row r="14299" spans="11:11" ht="15" x14ac:dyDescent="0.25">
      <c r="K14299"/>
    </row>
    <row r="14300" spans="11:11" ht="15" x14ac:dyDescent="0.25">
      <c r="K14300"/>
    </row>
    <row r="14301" spans="11:11" ht="15" x14ac:dyDescent="0.25">
      <c r="K14301"/>
    </row>
    <row r="14302" spans="11:11" ht="15" x14ac:dyDescent="0.25">
      <c r="K14302"/>
    </row>
    <row r="14303" spans="11:11" ht="15" x14ac:dyDescent="0.25">
      <c r="K14303"/>
    </row>
    <row r="14304" spans="11:11" ht="15" x14ac:dyDescent="0.25">
      <c r="K14304"/>
    </row>
    <row r="14305" spans="11:11" ht="15" x14ac:dyDescent="0.25">
      <c r="K14305"/>
    </row>
    <row r="14306" spans="11:11" ht="15" x14ac:dyDescent="0.25">
      <c r="K14306"/>
    </row>
    <row r="14307" spans="11:11" ht="15" x14ac:dyDescent="0.25">
      <c r="K14307"/>
    </row>
    <row r="14308" spans="11:11" ht="15" x14ac:dyDescent="0.25">
      <c r="K14308"/>
    </row>
    <row r="14309" spans="11:11" ht="15" x14ac:dyDescent="0.25">
      <c r="K14309"/>
    </row>
    <row r="14310" spans="11:11" ht="15" x14ac:dyDescent="0.25">
      <c r="K14310"/>
    </row>
    <row r="14311" spans="11:11" ht="15" x14ac:dyDescent="0.25">
      <c r="K14311"/>
    </row>
    <row r="14312" spans="11:11" ht="15" x14ac:dyDescent="0.25">
      <c r="K14312"/>
    </row>
    <row r="14313" spans="11:11" ht="15" x14ac:dyDescent="0.25">
      <c r="K14313"/>
    </row>
    <row r="14314" spans="11:11" ht="15" x14ac:dyDescent="0.25">
      <c r="K14314"/>
    </row>
    <row r="14315" spans="11:11" ht="15" x14ac:dyDescent="0.25">
      <c r="K14315"/>
    </row>
    <row r="14316" spans="11:11" ht="15" x14ac:dyDescent="0.25">
      <c r="K14316"/>
    </row>
    <row r="14317" spans="11:11" ht="15" x14ac:dyDescent="0.25">
      <c r="K14317"/>
    </row>
    <row r="14318" spans="11:11" ht="15" x14ac:dyDescent="0.25">
      <c r="K14318"/>
    </row>
    <row r="14319" spans="11:11" ht="15" x14ac:dyDescent="0.25">
      <c r="K14319"/>
    </row>
    <row r="14320" spans="11:11" ht="15" x14ac:dyDescent="0.25">
      <c r="K14320"/>
    </row>
    <row r="14321" spans="11:11" ht="15" x14ac:dyDescent="0.25">
      <c r="K14321"/>
    </row>
    <row r="14322" spans="11:11" ht="15" x14ac:dyDescent="0.25">
      <c r="K14322"/>
    </row>
    <row r="14323" spans="11:11" ht="15" x14ac:dyDescent="0.25">
      <c r="K14323"/>
    </row>
    <row r="14324" spans="11:11" ht="15" x14ac:dyDescent="0.25">
      <c r="K14324"/>
    </row>
    <row r="14325" spans="11:11" ht="15" x14ac:dyDescent="0.25">
      <c r="K14325"/>
    </row>
    <row r="14326" spans="11:11" ht="15" x14ac:dyDescent="0.25">
      <c r="K14326"/>
    </row>
    <row r="14327" spans="11:11" ht="15" x14ac:dyDescent="0.25">
      <c r="K14327"/>
    </row>
    <row r="14328" spans="11:11" ht="15" x14ac:dyDescent="0.25">
      <c r="K14328"/>
    </row>
    <row r="14329" spans="11:11" ht="15" x14ac:dyDescent="0.25">
      <c r="K14329"/>
    </row>
    <row r="14330" spans="11:11" ht="15" x14ac:dyDescent="0.25">
      <c r="K14330"/>
    </row>
    <row r="14331" spans="11:11" ht="15" x14ac:dyDescent="0.25">
      <c r="K14331"/>
    </row>
    <row r="14332" spans="11:11" ht="15" x14ac:dyDescent="0.25">
      <c r="K14332"/>
    </row>
    <row r="14333" spans="11:11" ht="15" x14ac:dyDescent="0.25">
      <c r="K14333"/>
    </row>
    <row r="14334" spans="11:11" ht="15" x14ac:dyDescent="0.25">
      <c r="K14334"/>
    </row>
    <row r="14335" spans="11:11" ht="15" x14ac:dyDescent="0.25">
      <c r="K14335"/>
    </row>
    <row r="14336" spans="11:11" ht="15" x14ac:dyDescent="0.25">
      <c r="K14336"/>
    </row>
    <row r="14337" spans="11:11" ht="15" x14ac:dyDescent="0.25">
      <c r="K14337"/>
    </row>
    <row r="14338" spans="11:11" ht="15" x14ac:dyDescent="0.25">
      <c r="K14338"/>
    </row>
    <row r="14339" spans="11:11" ht="15" x14ac:dyDescent="0.25">
      <c r="K14339"/>
    </row>
    <row r="14340" spans="11:11" ht="15" x14ac:dyDescent="0.25">
      <c r="K14340"/>
    </row>
    <row r="14341" spans="11:11" ht="15" x14ac:dyDescent="0.25">
      <c r="K14341"/>
    </row>
    <row r="14342" spans="11:11" ht="15" x14ac:dyDescent="0.25">
      <c r="K14342"/>
    </row>
    <row r="14343" spans="11:11" ht="15" x14ac:dyDescent="0.25">
      <c r="K14343"/>
    </row>
    <row r="14344" spans="11:11" ht="15" x14ac:dyDescent="0.25">
      <c r="K14344"/>
    </row>
    <row r="14345" spans="11:11" ht="15" x14ac:dyDescent="0.25">
      <c r="K14345"/>
    </row>
    <row r="14346" spans="11:11" ht="15" x14ac:dyDescent="0.25">
      <c r="K14346"/>
    </row>
    <row r="14347" spans="11:11" ht="15" x14ac:dyDescent="0.25">
      <c r="K14347"/>
    </row>
    <row r="14348" spans="11:11" ht="15" x14ac:dyDescent="0.25">
      <c r="K14348"/>
    </row>
    <row r="14349" spans="11:11" ht="15" x14ac:dyDescent="0.25">
      <c r="K14349"/>
    </row>
    <row r="14350" spans="11:11" ht="15" x14ac:dyDescent="0.25">
      <c r="K14350"/>
    </row>
    <row r="14351" spans="11:11" ht="15" x14ac:dyDescent="0.25">
      <c r="K14351"/>
    </row>
    <row r="14352" spans="11:11" ht="15" x14ac:dyDescent="0.25">
      <c r="K14352"/>
    </row>
    <row r="14353" spans="11:11" ht="15" x14ac:dyDescent="0.25">
      <c r="K14353"/>
    </row>
    <row r="14354" spans="11:11" ht="15" x14ac:dyDescent="0.25">
      <c r="K14354"/>
    </row>
    <row r="14355" spans="11:11" ht="15" x14ac:dyDescent="0.25">
      <c r="K14355"/>
    </row>
    <row r="14356" spans="11:11" ht="15" x14ac:dyDescent="0.25">
      <c r="K14356"/>
    </row>
    <row r="14357" spans="11:11" ht="15" x14ac:dyDescent="0.25">
      <c r="K14357"/>
    </row>
    <row r="14358" spans="11:11" ht="15" x14ac:dyDescent="0.25">
      <c r="K14358"/>
    </row>
    <row r="14359" spans="11:11" ht="15" x14ac:dyDescent="0.25">
      <c r="K14359"/>
    </row>
    <row r="14360" spans="11:11" ht="15" x14ac:dyDescent="0.25">
      <c r="K14360"/>
    </row>
    <row r="14361" spans="11:11" ht="15" x14ac:dyDescent="0.25">
      <c r="K14361"/>
    </row>
    <row r="14362" spans="11:11" ht="15" x14ac:dyDescent="0.25">
      <c r="K14362"/>
    </row>
    <row r="14363" spans="11:11" ht="15" x14ac:dyDescent="0.25">
      <c r="K14363"/>
    </row>
    <row r="14364" spans="11:11" ht="15" x14ac:dyDescent="0.25">
      <c r="K14364"/>
    </row>
    <row r="14365" spans="11:11" ht="15" x14ac:dyDescent="0.25">
      <c r="K14365"/>
    </row>
    <row r="14366" spans="11:11" ht="15" x14ac:dyDescent="0.25">
      <c r="K14366"/>
    </row>
    <row r="14367" spans="11:11" ht="15" x14ac:dyDescent="0.25">
      <c r="K14367"/>
    </row>
    <row r="14368" spans="11:11" ht="15" x14ac:dyDescent="0.25">
      <c r="K14368"/>
    </row>
    <row r="14369" spans="11:11" ht="15" x14ac:dyDescent="0.25">
      <c r="K14369"/>
    </row>
    <row r="14370" spans="11:11" ht="15" x14ac:dyDescent="0.25">
      <c r="K14370"/>
    </row>
    <row r="14371" spans="11:11" ht="15" x14ac:dyDescent="0.25">
      <c r="K14371"/>
    </row>
    <row r="14372" spans="11:11" ht="15" x14ac:dyDescent="0.25">
      <c r="K14372"/>
    </row>
    <row r="14373" spans="11:11" ht="15" x14ac:dyDescent="0.25">
      <c r="K14373"/>
    </row>
    <row r="14374" spans="11:11" ht="15" x14ac:dyDescent="0.25">
      <c r="K14374"/>
    </row>
    <row r="14375" spans="11:11" ht="15" x14ac:dyDescent="0.25">
      <c r="K14375"/>
    </row>
    <row r="14376" spans="11:11" ht="15" x14ac:dyDescent="0.25">
      <c r="K14376"/>
    </row>
    <row r="14377" spans="11:11" ht="15" x14ac:dyDescent="0.25">
      <c r="K14377"/>
    </row>
    <row r="14378" spans="11:11" ht="15" x14ac:dyDescent="0.25">
      <c r="K14378"/>
    </row>
    <row r="14379" spans="11:11" ht="15" x14ac:dyDescent="0.25">
      <c r="K14379"/>
    </row>
    <row r="14380" spans="11:11" ht="15" x14ac:dyDescent="0.25">
      <c r="K14380"/>
    </row>
    <row r="14381" spans="11:11" ht="15" x14ac:dyDescent="0.25">
      <c r="K14381"/>
    </row>
    <row r="14382" spans="11:11" ht="15" x14ac:dyDescent="0.25">
      <c r="K14382"/>
    </row>
    <row r="14383" spans="11:11" ht="15" x14ac:dyDescent="0.25">
      <c r="K14383"/>
    </row>
    <row r="14384" spans="11:11" ht="15" x14ac:dyDescent="0.25">
      <c r="K14384"/>
    </row>
    <row r="14385" spans="11:11" ht="15" x14ac:dyDescent="0.25">
      <c r="K14385"/>
    </row>
    <row r="14386" spans="11:11" ht="15" x14ac:dyDescent="0.25">
      <c r="K14386"/>
    </row>
    <row r="14387" spans="11:11" ht="15" x14ac:dyDescent="0.25">
      <c r="K14387"/>
    </row>
    <row r="14388" spans="11:11" ht="15" x14ac:dyDescent="0.25">
      <c r="K14388"/>
    </row>
    <row r="14389" spans="11:11" ht="15" x14ac:dyDescent="0.25">
      <c r="K14389"/>
    </row>
    <row r="14390" spans="11:11" ht="15" x14ac:dyDescent="0.25">
      <c r="K14390"/>
    </row>
    <row r="14391" spans="11:11" ht="15" x14ac:dyDescent="0.25">
      <c r="K14391"/>
    </row>
    <row r="14392" spans="11:11" ht="15" x14ac:dyDescent="0.25">
      <c r="K14392"/>
    </row>
    <row r="14393" spans="11:11" ht="15" x14ac:dyDescent="0.25">
      <c r="K14393"/>
    </row>
    <row r="14394" spans="11:11" ht="15" x14ac:dyDescent="0.25">
      <c r="K14394"/>
    </row>
    <row r="14395" spans="11:11" ht="15" x14ac:dyDescent="0.25">
      <c r="K14395"/>
    </row>
    <row r="14396" spans="11:11" ht="15" x14ac:dyDescent="0.25">
      <c r="K14396"/>
    </row>
    <row r="14397" spans="11:11" ht="15" x14ac:dyDescent="0.25">
      <c r="K14397"/>
    </row>
    <row r="14398" spans="11:11" ht="15" x14ac:dyDescent="0.25">
      <c r="K14398"/>
    </row>
    <row r="14399" spans="11:11" ht="15" x14ac:dyDescent="0.25">
      <c r="K14399"/>
    </row>
    <row r="14400" spans="11:11" ht="15" x14ac:dyDescent="0.25">
      <c r="K14400"/>
    </row>
    <row r="14401" spans="11:11" ht="15" x14ac:dyDescent="0.25">
      <c r="K14401"/>
    </row>
    <row r="14402" spans="11:11" ht="15" x14ac:dyDescent="0.25">
      <c r="K14402"/>
    </row>
    <row r="14403" spans="11:11" ht="15" x14ac:dyDescent="0.25">
      <c r="K14403"/>
    </row>
    <row r="14404" spans="11:11" ht="15" x14ac:dyDescent="0.25">
      <c r="K14404"/>
    </row>
    <row r="14405" spans="11:11" ht="15" x14ac:dyDescent="0.25">
      <c r="K14405"/>
    </row>
    <row r="14406" spans="11:11" ht="15" x14ac:dyDescent="0.25">
      <c r="K14406"/>
    </row>
    <row r="14407" spans="11:11" ht="15" x14ac:dyDescent="0.25">
      <c r="K14407"/>
    </row>
    <row r="14408" spans="11:11" ht="15" x14ac:dyDescent="0.25">
      <c r="K14408"/>
    </row>
    <row r="14409" spans="11:11" ht="15" x14ac:dyDescent="0.25">
      <c r="K14409"/>
    </row>
    <row r="14410" spans="11:11" ht="15" x14ac:dyDescent="0.25">
      <c r="K14410"/>
    </row>
    <row r="14411" spans="11:11" ht="15" x14ac:dyDescent="0.25">
      <c r="K14411"/>
    </row>
    <row r="14412" spans="11:11" ht="15" x14ac:dyDescent="0.25">
      <c r="K14412"/>
    </row>
    <row r="14413" spans="11:11" ht="15" x14ac:dyDescent="0.25">
      <c r="K14413"/>
    </row>
    <row r="14414" spans="11:11" ht="15" x14ac:dyDescent="0.25">
      <c r="K14414"/>
    </row>
    <row r="14415" spans="11:11" ht="15" x14ac:dyDescent="0.25">
      <c r="K14415"/>
    </row>
    <row r="14416" spans="11:11" ht="15" x14ac:dyDescent="0.25">
      <c r="K14416"/>
    </row>
    <row r="14417" spans="11:11" ht="15" x14ac:dyDescent="0.25">
      <c r="K14417"/>
    </row>
    <row r="14418" spans="11:11" ht="15" x14ac:dyDescent="0.25">
      <c r="K14418"/>
    </row>
    <row r="14419" spans="11:11" ht="15" x14ac:dyDescent="0.25">
      <c r="K14419"/>
    </row>
    <row r="14420" spans="11:11" ht="15" x14ac:dyDescent="0.25">
      <c r="K14420"/>
    </row>
    <row r="14421" spans="11:11" ht="15" x14ac:dyDescent="0.25">
      <c r="K14421"/>
    </row>
    <row r="14422" spans="11:11" ht="15" x14ac:dyDescent="0.25">
      <c r="K14422"/>
    </row>
    <row r="14423" spans="11:11" ht="15" x14ac:dyDescent="0.25">
      <c r="K14423"/>
    </row>
    <row r="14424" spans="11:11" ht="15" x14ac:dyDescent="0.25">
      <c r="K14424"/>
    </row>
    <row r="14425" spans="11:11" ht="15" x14ac:dyDescent="0.25">
      <c r="K14425"/>
    </row>
    <row r="14426" spans="11:11" ht="15" x14ac:dyDescent="0.25">
      <c r="K14426"/>
    </row>
    <row r="14427" spans="11:11" ht="15" x14ac:dyDescent="0.25">
      <c r="K14427"/>
    </row>
    <row r="14428" spans="11:11" ht="15" x14ac:dyDescent="0.25">
      <c r="K14428"/>
    </row>
    <row r="14429" spans="11:11" ht="15" x14ac:dyDescent="0.25">
      <c r="K14429"/>
    </row>
    <row r="14430" spans="11:11" ht="15" x14ac:dyDescent="0.25">
      <c r="K14430"/>
    </row>
    <row r="14431" spans="11:11" ht="15" x14ac:dyDescent="0.25">
      <c r="K14431"/>
    </row>
    <row r="14432" spans="11:11" ht="15" x14ac:dyDescent="0.25">
      <c r="K14432"/>
    </row>
    <row r="14433" spans="11:11" ht="15" x14ac:dyDescent="0.25">
      <c r="K14433"/>
    </row>
    <row r="14434" spans="11:11" ht="15" x14ac:dyDescent="0.25">
      <c r="K14434"/>
    </row>
    <row r="14435" spans="11:11" ht="15" x14ac:dyDescent="0.25">
      <c r="K14435"/>
    </row>
    <row r="14436" spans="11:11" ht="15" x14ac:dyDescent="0.25">
      <c r="K14436"/>
    </row>
    <row r="14437" spans="11:11" ht="15" x14ac:dyDescent="0.25">
      <c r="K14437"/>
    </row>
    <row r="14438" spans="11:11" ht="15" x14ac:dyDescent="0.25">
      <c r="K14438"/>
    </row>
    <row r="14439" spans="11:11" ht="15" x14ac:dyDescent="0.25">
      <c r="K14439"/>
    </row>
    <row r="14440" spans="11:11" ht="15" x14ac:dyDescent="0.25">
      <c r="K14440"/>
    </row>
    <row r="14441" spans="11:11" ht="15" x14ac:dyDescent="0.25">
      <c r="K14441"/>
    </row>
    <row r="14442" spans="11:11" ht="15" x14ac:dyDescent="0.25">
      <c r="K14442"/>
    </row>
    <row r="14443" spans="11:11" ht="15" x14ac:dyDescent="0.25">
      <c r="K14443"/>
    </row>
    <row r="14444" spans="11:11" ht="15" x14ac:dyDescent="0.25">
      <c r="K14444"/>
    </row>
    <row r="14445" spans="11:11" ht="15" x14ac:dyDescent="0.25">
      <c r="K14445"/>
    </row>
    <row r="14446" spans="11:11" ht="15" x14ac:dyDescent="0.25">
      <c r="K14446"/>
    </row>
    <row r="14447" spans="11:11" ht="15" x14ac:dyDescent="0.25">
      <c r="K14447"/>
    </row>
    <row r="14448" spans="11:11" ht="15" x14ac:dyDescent="0.25">
      <c r="K14448"/>
    </row>
    <row r="14449" spans="11:11" ht="15" x14ac:dyDescent="0.25">
      <c r="K14449"/>
    </row>
    <row r="14450" spans="11:11" ht="15" x14ac:dyDescent="0.25">
      <c r="K14450"/>
    </row>
    <row r="14451" spans="11:11" ht="15" x14ac:dyDescent="0.25">
      <c r="K14451"/>
    </row>
    <row r="14452" spans="11:11" ht="15" x14ac:dyDescent="0.25">
      <c r="K14452"/>
    </row>
    <row r="14453" spans="11:11" ht="15" x14ac:dyDescent="0.25">
      <c r="K14453"/>
    </row>
    <row r="14454" spans="11:11" ht="15" x14ac:dyDescent="0.25">
      <c r="K14454"/>
    </row>
    <row r="14455" spans="11:11" ht="15" x14ac:dyDescent="0.25">
      <c r="K14455"/>
    </row>
    <row r="14456" spans="11:11" ht="15" x14ac:dyDescent="0.25">
      <c r="K14456"/>
    </row>
    <row r="14457" spans="11:11" ht="15" x14ac:dyDescent="0.25">
      <c r="K14457"/>
    </row>
    <row r="14458" spans="11:11" ht="15" x14ac:dyDescent="0.25">
      <c r="K14458"/>
    </row>
    <row r="14459" spans="11:11" ht="15" x14ac:dyDescent="0.25">
      <c r="K14459"/>
    </row>
    <row r="14460" spans="11:11" ht="15" x14ac:dyDescent="0.25">
      <c r="K14460"/>
    </row>
    <row r="14461" spans="11:11" ht="15" x14ac:dyDescent="0.25">
      <c r="K14461"/>
    </row>
    <row r="14462" spans="11:11" ht="15" x14ac:dyDescent="0.25">
      <c r="K14462"/>
    </row>
    <row r="14463" spans="11:11" ht="15" x14ac:dyDescent="0.25">
      <c r="K14463"/>
    </row>
    <row r="14464" spans="11:11" ht="15" x14ac:dyDescent="0.25">
      <c r="K14464"/>
    </row>
    <row r="14465" spans="11:11" ht="15" x14ac:dyDescent="0.25">
      <c r="K14465"/>
    </row>
    <row r="14466" spans="11:11" ht="15" x14ac:dyDescent="0.25">
      <c r="K14466"/>
    </row>
    <row r="14467" spans="11:11" ht="15" x14ac:dyDescent="0.25">
      <c r="K14467"/>
    </row>
    <row r="14468" spans="11:11" ht="15" x14ac:dyDescent="0.25">
      <c r="K14468"/>
    </row>
    <row r="14469" spans="11:11" ht="15" x14ac:dyDescent="0.25">
      <c r="K14469"/>
    </row>
    <row r="14470" spans="11:11" ht="15" x14ac:dyDescent="0.25">
      <c r="K14470"/>
    </row>
    <row r="14471" spans="11:11" ht="15" x14ac:dyDescent="0.25">
      <c r="K14471"/>
    </row>
    <row r="14472" spans="11:11" ht="15" x14ac:dyDescent="0.25">
      <c r="K14472"/>
    </row>
    <row r="14473" spans="11:11" ht="15" x14ac:dyDescent="0.25">
      <c r="K14473"/>
    </row>
    <row r="14474" spans="11:11" ht="15" x14ac:dyDescent="0.25">
      <c r="K14474"/>
    </row>
    <row r="14475" spans="11:11" ht="15" x14ac:dyDescent="0.25">
      <c r="K14475"/>
    </row>
    <row r="14476" spans="11:11" ht="15" x14ac:dyDescent="0.25">
      <c r="K14476"/>
    </row>
    <row r="14477" spans="11:11" ht="15" x14ac:dyDescent="0.25">
      <c r="K14477"/>
    </row>
    <row r="14478" spans="11:11" ht="15" x14ac:dyDescent="0.25">
      <c r="K14478"/>
    </row>
    <row r="14479" spans="11:11" ht="15" x14ac:dyDescent="0.25">
      <c r="K14479"/>
    </row>
    <row r="14480" spans="11:11" ht="15" x14ac:dyDescent="0.25">
      <c r="K14480"/>
    </row>
    <row r="14481" spans="11:11" ht="15" x14ac:dyDescent="0.25">
      <c r="K14481"/>
    </row>
    <row r="14482" spans="11:11" ht="15" x14ac:dyDescent="0.25">
      <c r="K14482"/>
    </row>
    <row r="14483" spans="11:11" ht="15" x14ac:dyDescent="0.25">
      <c r="K14483"/>
    </row>
    <row r="14484" spans="11:11" ht="15" x14ac:dyDescent="0.25">
      <c r="K14484"/>
    </row>
    <row r="14485" spans="11:11" ht="15" x14ac:dyDescent="0.25">
      <c r="K14485"/>
    </row>
    <row r="14486" spans="11:11" ht="15" x14ac:dyDescent="0.25">
      <c r="K14486"/>
    </row>
    <row r="14487" spans="11:11" ht="15" x14ac:dyDescent="0.25">
      <c r="K14487"/>
    </row>
    <row r="14488" spans="11:11" ht="15" x14ac:dyDescent="0.25">
      <c r="K14488"/>
    </row>
    <row r="14489" spans="11:11" ht="15" x14ac:dyDescent="0.25">
      <c r="K14489"/>
    </row>
    <row r="14490" spans="11:11" ht="15" x14ac:dyDescent="0.25">
      <c r="K14490"/>
    </row>
    <row r="14491" spans="11:11" ht="15" x14ac:dyDescent="0.25">
      <c r="K14491"/>
    </row>
    <row r="14492" spans="11:11" ht="15" x14ac:dyDescent="0.25">
      <c r="K14492"/>
    </row>
    <row r="14493" spans="11:11" ht="15" x14ac:dyDescent="0.25">
      <c r="K14493"/>
    </row>
    <row r="14494" spans="11:11" ht="15" x14ac:dyDescent="0.25">
      <c r="K14494"/>
    </row>
    <row r="14495" spans="11:11" ht="15" x14ac:dyDescent="0.25">
      <c r="K14495"/>
    </row>
    <row r="14496" spans="11:11" ht="15" x14ac:dyDescent="0.25">
      <c r="K14496"/>
    </row>
    <row r="14497" spans="11:11" ht="15" x14ac:dyDescent="0.25">
      <c r="K14497"/>
    </row>
    <row r="14498" spans="11:11" ht="15" x14ac:dyDescent="0.25">
      <c r="K14498"/>
    </row>
    <row r="14499" spans="11:11" ht="15" x14ac:dyDescent="0.25">
      <c r="K14499"/>
    </row>
    <row r="14500" spans="11:11" ht="15" x14ac:dyDescent="0.25">
      <c r="K14500"/>
    </row>
    <row r="14501" spans="11:11" ht="15" x14ac:dyDescent="0.25">
      <c r="K14501"/>
    </row>
    <row r="14502" spans="11:11" ht="15" x14ac:dyDescent="0.25">
      <c r="K14502"/>
    </row>
    <row r="14503" spans="11:11" ht="15" x14ac:dyDescent="0.25">
      <c r="K14503"/>
    </row>
    <row r="14504" spans="11:11" ht="15" x14ac:dyDescent="0.25">
      <c r="K14504"/>
    </row>
    <row r="14505" spans="11:11" ht="15" x14ac:dyDescent="0.25">
      <c r="K14505"/>
    </row>
    <row r="14506" spans="11:11" ht="15" x14ac:dyDescent="0.25">
      <c r="K14506"/>
    </row>
    <row r="14507" spans="11:11" ht="15" x14ac:dyDescent="0.25">
      <c r="K14507"/>
    </row>
    <row r="14508" spans="11:11" ht="15" x14ac:dyDescent="0.25">
      <c r="K14508"/>
    </row>
    <row r="14509" spans="11:11" ht="15" x14ac:dyDescent="0.25">
      <c r="K14509"/>
    </row>
    <row r="14510" spans="11:11" ht="15" x14ac:dyDescent="0.25">
      <c r="K14510"/>
    </row>
    <row r="14511" spans="11:11" ht="15" x14ac:dyDescent="0.25">
      <c r="K14511"/>
    </row>
    <row r="14512" spans="11:11" ht="15" x14ac:dyDescent="0.25">
      <c r="K14512"/>
    </row>
    <row r="14513" spans="11:11" ht="15" x14ac:dyDescent="0.25">
      <c r="K14513"/>
    </row>
    <row r="14514" spans="11:11" ht="15" x14ac:dyDescent="0.25">
      <c r="K14514"/>
    </row>
    <row r="14515" spans="11:11" ht="15" x14ac:dyDescent="0.25">
      <c r="K14515"/>
    </row>
    <row r="14516" spans="11:11" ht="15" x14ac:dyDescent="0.25">
      <c r="K14516"/>
    </row>
    <row r="14517" spans="11:11" ht="15" x14ac:dyDescent="0.25">
      <c r="K14517"/>
    </row>
    <row r="14518" spans="11:11" ht="15" x14ac:dyDescent="0.25">
      <c r="K14518"/>
    </row>
    <row r="14519" spans="11:11" ht="15" x14ac:dyDescent="0.25">
      <c r="K14519"/>
    </row>
    <row r="14520" spans="11:11" ht="15" x14ac:dyDescent="0.25">
      <c r="K14520"/>
    </row>
    <row r="14521" spans="11:11" ht="15" x14ac:dyDescent="0.25">
      <c r="K14521"/>
    </row>
    <row r="14522" spans="11:11" ht="15" x14ac:dyDescent="0.25">
      <c r="K14522"/>
    </row>
    <row r="14523" spans="11:11" ht="15" x14ac:dyDescent="0.25">
      <c r="K14523"/>
    </row>
    <row r="14524" spans="11:11" ht="15" x14ac:dyDescent="0.25">
      <c r="K14524"/>
    </row>
    <row r="14525" spans="11:11" ht="15" x14ac:dyDescent="0.25">
      <c r="K14525"/>
    </row>
    <row r="14526" spans="11:11" ht="15" x14ac:dyDescent="0.25">
      <c r="K14526"/>
    </row>
    <row r="14527" spans="11:11" ht="15" x14ac:dyDescent="0.25">
      <c r="K14527"/>
    </row>
    <row r="14528" spans="11:11" ht="15" x14ac:dyDescent="0.25">
      <c r="K14528"/>
    </row>
    <row r="14529" spans="11:11" ht="15" x14ac:dyDescent="0.25">
      <c r="K14529"/>
    </row>
    <row r="14530" spans="11:11" ht="15" x14ac:dyDescent="0.25">
      <c r="K14530"/>
    </row>
    <row r="14531" spans="11:11" ht="15" x14ac:dyDescent="0.25">
      <c r="K14531"/>
    </row>
    <row r="14532" spans="11:11" ht="15" x14ac:dyDescent="0.25">
      <c r="K14532"/>
    </row>
    <row r="14533" spans="11:11" ht="15" x14ac:dyDescent="0.25">
      <c r="K14533"/>
    </row>
    <row r="14534" spans="11:11" ht="15" x14ac:dyDescent="0.25">
      <c r="K14534"/>
    </row>
    <row r="14535" spans="11:11" ht="15" x14ac:dyDescent="0.25">
      <c r="K14535"/>
    </row>
    <row r="14536" spans="11:11" ht="15" x14ac:dyDescent="0.25">
      <c r="K14536"/>
    </row>
    <row r="14537" spans="11:11" ht="15" x14ac:dyDescent="0.25">
      <c r="K14537"/>
    </row>
    <row r="14538" spans="11:11" ht="15" x14ac:dyDescent="0.25">
      <c r="K14538"/>
    </row>
    <row r="14539" spans="11:11" ht="15" x14ac:dyDescent="0.25">
      <c r="K14539"/>
    </row>
    <row r="14540" spans="11:11" ht="15" x14ac:dyDescent="0.25">
      <c r="K14540"/>
    </row>
    <row r="14541" spans="11:11" ht="15" x14ac:dyDescent="0.25">
      <c r="K14541"/>
    </row>
    <row r="14542" spans="11:11" ht="15" x14ac:dyDescent="0.25">
      <c r="K14542"/>
    </row>
    <row r="14543" spans="11:11" ht="15" x14ac:dyDescent="0.25">
      <c r="K14543"/>
    </row>
    <row r="14544" spans="11:11" ht="15" x14ac:dyDescent="0.25">
      <c r="K14544"/>
    </row>
    <row r="14545" spans="11:11" ht="15" x14ac:dyDescent="0.25">
      <c r="K14545"/>
    </row>
    <row r="14546" spans="11:11" ht="15" x14ac:dyDescent="0.25">
      <c r="K14546"/>
    </row>
    <row r="14547" spans="11:11" ht="15" x14ac:dyDescent="0.25">
      <c r="K14547"/>
    </row>
    <row r="14548" spans="11:11" ht="15" x14ac:dyDescent="0.25">
      <c r="K14548"/>
    </row>
    <row r="14549" spans="11:11" ht="15" x14ac:dyDescent="0.25">
      <c r="K14549"/>
    </row>
    <row r="14550" spans="11:11" ht="15" x14ac:dyDescent="0.25">
      <c r="K14550"/>
    </row>
    <row r="14551" spans="11:11" ht="15" x14ac:dyDescent="0.25">
      <c r="K14551"/>
    </row>
    <row r="14552" spans="11:11" ht="15" x14ac:dyDescent="0.25">
      <c r="K14552"/>
    </row>
    <row r="14553" spans="11:11" ht="15" x14ac:dyDescent="0.25">
      <c r="K14553"/>
    </row>
    <row r="14554" spans="11:11" ht="15" x14ac:dyDescent="0.25">
      <c r="K14554"/>
    </row>
    <row r="14555" spans="11:11" ht="15" x14ac:dyDescent="0.25">
      <c r="K14555"/>
    </row>
    <row r="14556" spans="11:11" ht="15" x14ac:dyDescent="0.25">
      <c r="K14556"/>
    </row>
    <row r="14557" spans="11:11" ht="15" x14ac:dyDescent="0.25">
      <c r="K14557"/>
    </row>
    <row r="14558" spans="11:11" ht="15" x14ac:dyDescent="0.25">
      <c r="K14558"/>
    </row>
    <row r="14559" spans="11:11" ht="15" x14ac:dyDescent="0.25">
      <c r="K14559"/>
    </row>
    <row r="14560" spans="11:11" ht="15" x14ac:dyDescent="0.25">
      <c r="K14560"/>
    </row>
    <row r="14561" spans="11:11" ht="15" x14ac:dyDescent="0.25">
      <c r="K14561"/>
    </row>
    <row r="14562" spans="11:11" ht="15" x14ac:dyDescent="0.25">
      <c r="K14562"/>
    </row>
    <row r="14563" spans="11:11" ht="15" x14ac:dyDescent="0.25">
      <c r="K14563"/>
    </row>
    <row r="14564" spans="11:11" ht="15" x14ac:dyDescent="0.25">
      <c r="K14564"/>
    </row>
    <row r="14565" spans="11:11" ht="15" x14ac:dyDescent="0.25">
      <c r="K14565"/>
    </row>
    <row r="14566" spans="11:11" ht="15" x14ac:dyDescent="0.25">
      <c r="K14566"/>
    </row>
    <row r="14567" spans="11:11" ht="15" x14ac:dyDescent="0.25">
      <c r="K14567"/>
    </row>
    <row r="14568" spans="11:11" ht="15" x14ac:dyDescent="0.25">
      <c r="K14568"/>
    </row>
    <row r="14569" spans="11:11" ht="15" x14ac:dyDescent="0.25">
      <c r="K14569"/>
    </row>
    <row r="14570" spans="11:11" ht="15" x14ac:dyDescent="0.25">
      <c r="K14570"/>
    </row>
    <row r="14571" spans="11:11" ht="15" x14ac:dyDescent="0.25">
      <c r="K14571"/>
    </row>
    <row r="14572" spans="11:11" ht="15" x14ac:dyDescent="0.25">
      <c r="K14572"/>
    </row>
    <row r="14573" spans="11:11" ht="15" x14ac:dyDescent="0.25">
      <c r="K14573"/>
    </row>
    <row r="14574" spans="11:11" ht="15" x14ac:dyDescent="0.25">
      <c r="K14574"/>
    </row>
    <row r="14575" spans="11:11" ht="15" x14ac:dyDescent="0.25">
      <c r="K14575"/>
    </row>
    <row r="14576" spans="11:11" ht="15" x14ac:dyDescent="0.25">
      <c r="K14576"/>
    </row>
    <row r="14577" spans="11:11" ht="15" x14ac:dyDescent="0.25">
      <c r="K14577"/>
    </row>
    <row r="14578" spans="11:11" ht="15" x14ac:dyDescent="0.25">
      <c r="K14578"/>
    </row>
    <row r="14579" spans="11:11" ht="15" x14ac:dyDescent="0.25">
      <c r="K14579"/>
    </row>
    <row r="14580" spans="11:11" ht="15" x14ac:dyDescent="0.25">
      <c r="K14580"/>
    </row>
    <row r="14581" spans="11:11" ht="15" x14ac:dyDescent="0.25">
      <c r="K14581"/>
    </row>
    <row r="14582" spans="11:11" ht="15" x14ac:dyDescent="0.25">
      <c r="K14582"/>
    </row>
    <row r="14583" spans="11:11" ht="15" x14ac:dyDescent="0.25">
      <c r="K14583"/>
    </row>
    <row r="14584" spans="11:11" ht="15" x14ac:dyDescent="0.25">
      <c r="K14584"/>
    </row>
    <row r="14585" spans="11:11" ht="15" x14ac:dyDescent="0.25">
      <c r="K14585"/>
    </row>
    <row r="14586" spans="11:11" ht="15" x14ac:dyDescent="0.25">
      <c r="K14586"/>
    </row>
    <row r="14587" spans="11:11" ht="15" x14ac:dyDescent="0.25">
      <c r="K14587"/>
    </row>
    <row r="14588" spans="11:11" ht="15" x14ac:dyDescent="0.25">
      <c r="K14588"/>
    </row>
    <row r="14589" spans="11:11" ht="15" x14ac:dyDescent="0.25">
      <c r="K14589"/>
    </row>
    <row r="14590" spans="11:11" ht="15" x14ac:dyDescent="0.25">
      <c r="K14590"/>
    </row>
    <row r="14591" spans="11:11" ht="15" x14ac:dyDescent="0.25">
      <c r="K14591"/>
    </row>
    <row r="14592" spans="11:11" ht="15" x14ac:dyDescent="0.25">
      <c r="K14592"/>
    </row>
    <row r="14593" spans="11:11" ht="15" x14ac:dyDescent="0.25">
      <c r="K14593"/>
    </row>
    <row r="14594" spans="11:11" ht="15" x14ac:dyDescent="0.25">
      <c r="K14594"/>
    </row>
    <row r="14595" spans="11:11" ht="15" x14ac:dyDescent="0.25">
      <c r="K14595"/>
    </row>
    <row r="14596" spans="11:11" ht="15" x14ac:dyDescent="0.25">
      <c r="K14596"/>
    </row>
    <row r="14597" spans="11:11" ht="15" x14ac:dyDescent="0.25">
      <c r="K14597"/>
    </row>
    <row r="14598" spans="11:11" ht="15" x14ac:dyDescent="0.25">
      <c r="K14598"/>
    </row>
    <row r="14599" spans="11:11" ht="15" x14ac:dyDescent="0.25">
      <c r="K14599"/>
    </row>
    <row r="14600" spans="11:11" ht="15" x14ac:dyDescent="0.25">
      <c r="K14600"/>
    </row>
    <row r="14601" spans="11:11" ht="15" x14ac:dyDescent="0.25">
      <c r="K14601"/>
    </row>
    <row r="14602" spans="11:11" ht="15" x14ac:dyDescent="0.25">
      <c r="K14602"/>
    </row>
    <row r="14603" spans="11:11" ht="15" x14ac:dyDescent="0.25">
      <c r="K14603"/>
    </row>
    <row r="14604" spans="11:11" ht="15" x14ac:dyDescent="0.25">
      <c r="K14604"/>
    </row>
    <row r="14605" spans="11:11" ht="15" x14ac:dyDescent="0.25">
      <c r="K14605"/>
    </row>
    <row r="14606" spans="11:11" ht="15" x14ac:dyDescent="0.25">
      <c r="K14606"/>
    </row>
    <row r="14607" spans="11:11" ht="15" x14ac:dyDescent="0.25">
      <c r="K14607"/>
    </row>
    <row r="14608" spans="11:11" ht="15" x14ac:dyDescent="0.25">
      <c r="K14608"/>
    </row>
    <row r="14609" spans="11:11" ht="15" x14ac:dyDescent="0.25">
      <c r="K14609"/>
    </row>
    <row r="14610" spans="11:11" ht="15" x14ac:dyDescent="0.25">
      <c r="K14610"/>
    </row>
    <row r="14611" spans="11:11" ht="15" x14ac:dyDescent="0.25">
      <c r="K14611"/>
    </row>
    <row r="14612" spans="11:11" ht="15" x14ac:dyDescent="0.25">
      <c r="K14612"/>
    </row>
    <row r="14613" spans="11:11" ht="15" x14ac:dyDescent="0.25">
      <c r="K14613"/>
    </row>
    <row r="14614" spans="11:11" ht="15" x14ac:dyDescent="0.25">
      <c r="K14614"/>
    </row>
    <row r="14615" spans="11:11" ht="15" x14ac:dyDescent="0.25">
      <c r="K14615"/>
    </row>
    <row r="14616" spans="11:11" ht="15" x14ac:dyDescent="0.25">
      <c r="K14616"/>
    </row>
    <row r="14617" spans="11:11" ht="15" x14ac:dyDescent="0.25">
      <c r="K14617"/>
    </row>
    <row r="14618" spans="11:11" ht="15" x14ac:dyDescent="0.25">
      <c r="K14618"/>
    </row>
    <row r="14619" spans="11:11" ht="15" x14ac:dyDescent="0.25">
      <c r="K14619"/>
    </row>
    <row r="14620" spans="11:11" ht="15" x14ac:dyDescent="0.25">
      <c r="K14620"/>
    </row>
    <row r="14621" spans="11:11" ht="15" x14ac:dyDescent="0.25">
      <c r="K14621"/>
    </row>
    <row r="14622" spans="11:11" ht="15" x14ac:dyDescent="0.25">
      <c r="K14622"/>
    </row>
    <row r="14623" spans="11:11" ht="15" x14ac:dyDescent="0.25">
      <c r="K14623"/>
    </row>
    <row r="14624" spans="11:11" ht="15" x14ac:dyDescent="0.25">
      <c r="K14624"/>
    </row>
    <row r="14625" spans="11:11" ht="15" x14ac:dyDescent="0.25">
      <c r="K14625"/>
    </row>
    <row r="14626" spans="11:11" ht="15" x14ac:dyDescent="0.25">
      <c r="K14626"/>
    </row>
    <row r="14627" spans="11:11" ht="15" x14ac:dyDescent="0.25">
      <c r="K14627"/>
    </row>
    <row r="14628" spans="11:11" ht="15" x14ac:dyDescent="0.25">
      <c r="K14628"/>
    </row>
    <row r="14629" spans="11:11" ht="15" x14ac:dyDescent="0.25">
      <c r="K14629"/>
    </row>
    <row r="14630" spans="11:11" ht="15" x14ac:dyDescent="0.25">
      <c r="K14630"/>
    </row>
    <row r="14631" spans="11:11" ht="15" x14ac:dyDescent="0.25">
      <c r="K14631"/>
    </row>
    <row r="14632" spans="11:11" ht="15" x14ac:dyDescent="0.25">
      <c r="K14632"/>
    </row>
    <row r="14633" spans="11:11" ht="15" x14ac:dyDescent="0.25">
      <c r="K14633"/>
    </row>
    <row r="14634" spans="11:11" ht="15" x14ac:dyDescent="0.25">
      <c r="K14634"/>
    </row>
    <row r="14635" spans="11:11" ht="15" x14ac:dyDescent="0.25">
      <c r="K14635"/>
    </row>
    <row r="14636" spans="11:11" ht="15" x14ac:dyDescent="0.25">
      <c r="K14636"/>
    </row>
    <row r="14637" spans="11:11" ht="15" x14ac:dyDescent="0.25">
      <c r="K14637"/>
    </row>
    <row r="14638" spans="11:11" ht="15" x14ac:dyDescent="0.25">
      <c r="K14638"/>
    </row>
    <row r="14639" spans="11:11" ht="15" x14ac:dyDescent="0.25">
      <c r="K14639"/>
    </row>
    <row r="14640" spans="11:11" ht="15" x14ac:dyDescent="0.25">
      <c r="K14640"/>
    </row>
    <row r="14641" spans="11:11" ht="15" x14ac:dyDescent="0.25">
      <c r="K14641"/>
    </row>
    <row r="14642" spans="11:11" ht="15" x14ac:dyDescent="0.25">
      <c r="K14642"/>
    </row>
    <row r="14643" spans="11:11" ht="15" x14ac:dyDescent="0.25">
      <c r="K14643"/>
    </row>
    <row r="14644" spans="11:11" ht="15" x14ac:dyDescent="0.25">
      <c r="K14644"/>
    </row>
    <row r="14645" spans="11:11" ht="15" x14ac:dyDescent="0.25">
      <c r="K14645"/>
    </row>
    <row r="14646" spans="11:11" ht="15" x14ac:dyDescent="0.25">
      <c r="K14646"/>
    </row>
    <row r="14647" spans="11:11" ht="15" x14ac:dyDescent="0.25">
      <c r="K14647"/>
    </row>
    <row r="14648" spans="11:11" ht="15" x14ac:dyDescent="0.25">
      <c r="K14648"/>
    </row>
    <row r="14649" spans="11:11" ht="15" x14ac:dyDescent="0.25">
      <c r="K14649"/>
    </row>
    <row r="14650" spans="11:11" ht="15" x14ac:dyDescent="0.25">
      <c r="K14650"/>
    </row>
    <row r="14651" spans="11:11" ht="15" x14ac:dyDescent="0.25">
      <c r="K14651"/>
    </row>
    <row r="14652" spans="11:11" ht="15" x14ac:dyDescent="0.25">
      <c r="K14652"/>
    </row>
    <row r="14653" spans="11:11" ht="15" x14ac:dyDescent="0.25">
      <c r="K14653"/>
    </row>
    <row r="14654" spans="11:11" ht="15" x14ac:dyDescent="0.25">
      <c r="K14654"/>
    </row>
    <row r="14655" spans="11:11" ht="15" x14ac:dyDescent="0.25">
      <c r="K14655"/>
    </row>
    <row r="14656" spans="11:11" ht="15" x14ac:dyDescent="0.25">
      <c r="K14656"/>
    </row>
    <row r="14657" spans="11:11" ht="15" x14ac:dyDescent="0.25">
      <c r="K14657"/>
    </row>
    <row r="14658" spans="11:11" ht="15" x14ac:dyDescent="0.25">
      <c r="K14658"/>
    </row>
    <row r="14659" spans="11:11" ht="15" x14ac:dyDescent="0.25">
      <c r="K14659"/>
    </row>
    <row r="14660" spans="11:11" ht="15" x14ac:dyDescent="0.25">
      <c r="K14660"/>
    </row>
    <row r="14661" spans="11:11" ht="15" x14ac:dyDescent="0.25">
      <c r="K14661"/>
    </row>
    <row r="14662" spans="11:11" ht="15" x14ac:dyDescent="0.25">
      <c r="K14662"/>
    </row>
    <row r="14663" spans="11:11" ht="15" x14ac:dyDescent="0.25">
      <c r="K14663"/>
    </row>
    <row r="14664" spans="11:11" ht="15" x14ac:dyDescent="0.25">
      <c r="K14664"/>
    </row>
    <row r="14665" spans="11:11" ht="15" x14ac:dyDescent="0.25">
      <c r="K14665"/>
    </row>
    <row r="14666" spans="11:11" ht="15" x14ac:dyDescent="0.25">
      <c r="K14666"/>
    </row>
    <row r="14667" spans="11:11" ht="15" x14ac:dyDescent="0.25">
      <c r="K14667"/>
    </row>
    <row r="14668" spans="11:11" ht="15" x14ac:dyDescent="0.25">
      <c r="K14668"/>
    </row>
    <row r="14669" spans="11:11" ht="15" x14ac:dyDescent="0.25">
      <c r="K14669"/>
    </row>
    <row r="14670" spans="11:11" ht="15" x14ac:dyDescent="0.25">
      <c r="K14670"/>
    </row>
    <row r="14671" spans="11:11" ht="15" x14ac:dyDescent="0.25">
      <c r="K14671"/>
    </row>
    <row r="14672" spans="11:11" ht="15" x14ac:dyDescent="0.25">
      <c r="K14672"/>
    </row>
    <row r="14673" spans="11:11" ht="15" x14ac:dyDescent="0.25">
      <c r="K14673"/>
    </row>
    <row r="14674" spans="11:11" ht="15" x14ac:dyDescent="0.25">
      <c r="K14674"/>
    </row>
    <row r="14675" spans="11:11" ht="15" x14ac:dyDescent="0.25">
      <c r="K14675"/>
    </row>
    <row r="14676" spans="11:11" ht="15" x14ac:dyDescent="0.25">
      <c r="K14676"/>
    </row>
    <row r="14677" spans="11:11" ht="15" x14ac:dyDescent="0.25">
      <c r="K14677"/>
    </row>
    <row r="14678" spans="11:11" ht="15" x14ac:dyDescent="0.25">
      <c r="K14678"/>
    </row>
    <row r="14679" spans="11:11" ht="15" x14ac:dyDescent="0.25">
      <c r="K14679"/>
    </row>
    <row r="14680" spans="11:11" ht="15" x14ac:dyDescent="0.25">
      <c r="K14680"/>
    </row>
    <row r="14681" spans="11:11" ht="15" x14ac:dyDescent="0.25">
      <c r="K14681"/>
    </row>
    <row r="14682" spans="11:11" ht="15" x14ac:dyDescent="0.25">
      <c r="K14682"/>
    </row>
    <row r="14683" spans="11:11" ht="15" x14ac:dyDescent="0.25">
      <c r="K14683"/>
    </row>
    <row r="14684" spans="11:11" ht="15" x14ac:dyDescent="0.25">
      <c r="K14684"/>
    </row>
    <row r="14685" spans="11:11" ht="15" x14ac:dyDescent="0.25">
      <c r="K14685"/>
    </row>
    <row r="14686" spans="11:11" ht="15" x14ac:dyDescent="0.25">
      <c r="K14686"/>
    </row>
    <row r="14687" spans="11:11" ht="15" x14ac:dyDescent="0.25">
      <c r="K14687"/>
    </row>
    <row r="14688" spans="11:11" ht="15" x14ac:dyDescent="0.25">
      <c r="K14688"/>
    </row>
    <row r="14689" spans="11:11" ht="15" x14ac:dyDescent="0.25">
      <c r="K14689"/>
    </row>
    <row r="14690" spans="11:11" ht="15" x14ac:dyDescent="0.25">
      <c r="K14690"/>
    </row>
    <row r="14691" spans="11:11" ht="15" x14ac:dyDescent="0.25">
      <c r="K14691"/>
    </row>
    <row r="14692" spans="11:11" ht="15" x14ac:dyDescent="0.25">
      <c r="K14692"/>
    </row>
    <row r="14693" spans="11:11" ht="15" x14ac:dyDescent="0.25">
      <c r="K14693"/>
    </row>
    <row r="14694" spans="11:11" ht="15" x14ac:dyDescent="0.25">
      <c r="K14694"/>
    </row>
    <row r="14695" spans="11:11" ht="15" x14ac:dyDescent="0.25">
      <c r="K14695"/>
    </row>
    <row r="14696" spans="11:11" ht="15" x14ac:dyDescent="0.25">
      <c r="K14696"/>
    </row>
    <row r="14697" spans="11:11" ht="15" x14ac:dyDescent="0.25">
      <c r="K14697"/>
    </row>
    <row r="14698" spans="11:11" ht="15" x14ac:dyDescent="0.25">
      <c r="K14698"/>
    </row>
    <row r="14699" spans="11:11" ht="15" x14ac:dyDescent="0.25">
      <c r="K14699"/>
    </row>
    <row r="14700" spans="11:11" ht="15" x14ac:dyDescent="0.25">
      <c r="K14700"/>
    </row>
    <row r="14701" spans="11:11" ht="15" x14ac:dyDescent="0.25">
      <c r="K14701"/>
    </row>
    <row r="14702" spans="11:11" ht="15" x14ac:dyDescent="0.25">
      <c r="K14702"/>
    </row>
    <row r="14703" spans="11:11" ht="15" x14ac:dyDescent="0.25">
      <c r="K14703"/>
    </row>
    <row r="14704" spans="11:11" ht="15" x14ac:dyDescent="0.25">
      <c r="K14704"/>
    </row>
    <row r="14705" spans="11:11" ht="15" x14ac:dyDescent="0.25">
      <c r="K14705"/>
    </row>
    <row r="14706" spans="11:11" ht="15" x14ac:dyDescent="0.25">
      <c r="K14706"/>
    </row>
    <row r="14707" spans="11:11" ht="15" x14ac:dyDescent="0.25">
      <c r="K14707"/>
    </row>
    <row r="14708" spans="11:11" ht="15" x14ac:dyDescent="0.25">
      <c r="K14708"/>
    </row>
    <row r="14709" spans="11:11" ht="15" x14ac:dyDescent="0.25">
      <c r="K14709"/>
    </row>
    <row r="14710" spans="11:11" ht="15" x14ac:dyDescent="0.25">
      <c r="K14710"/>
    </row>
    <row r="14711" spans="11:11" ht="15" x14ac:dyDescent="0.25">
      <c r="K14711"/>
    </row>
    <row r="14712" spans="11:11" ht="15" x14ac:dyDescent="0.25">
      <c r="K14712"/>
    </row>
    <row r="14713" spans="11:11" ht="15" x14ac:dyDescent="0.25">
      <c r="K14713"/>
    </row>
    <row r="14714" spans="11:11" ht="15" x14ac:dyDescent="0.25">
      <c r="K14714"/>
    </row>
    <row r="14715" spans="11:11" ht="15" x14ac:dyDescent="0.25">
      <c r="K14715"/>
    </row>
    <row r="14716" spans="11:11" ht="15" x14ac:dyDescent="0.25">
      <c r="K14716"/>
    </row>
    <row r="14717" spans="11:11" ht="15" x14ac:dyDescent="0.25">
      <c r="K14717"/>
    </row>
    <row r="14718" spans="11:11" ht="15" x14ac:dyDescent="0.25">
      <c r="K14718"/>
    </row>
    <row r="14719" spans="11:11" ht="15" x14ac:dyDescent="0.25">
      <c r="K14719"/>
    </row>
    <row r="14720" spans="11:11" ht="15" x14ac:dyDescent="0.25">
      <c r="K14720"/>
    </row>
    <row r="14721" spans="11:11" ht="15" x14ac:dyDescent="0.25">
      <c r="K14721"/>
    </row>
    <row r="14722" spans="11:11" ht="15" x14ac:dyDescent="0.25">
      <c r="K14722"/>
    </row>
    <row r="14723" spans="11:11" ht="15" x14ac:dyDescent="0.25">
      <c r="K14723"/>
    </row>
    <row r="14724" spans="11:11" ht="15" x14ac:dyDescent="0.25">
      <c r="K14724"/>
    </row>
    <row r="14725" spans="11:11" ht="15" x14ac:dyDescent="0.25">
      <c r="K14725"/>
    </row>
    <row r="14726" spans="11:11" ht="15" x14ac:dyDescent="0.25">
      <c r="K14726"/>
    </row>
    <row r="14727" spans="11:11" ht="15" x14ac:dyDescent="0.25">
      <c r="K14727"/>
    </row>
    <row r="14728" spans="11:11" ht="15" x14ac:dyDescent="0.25">
      <c r="K14728"/>
    </row>
    <row r="14729" spans="11:11" ht="15" x14ac:dyDescent="0.25">
      <c r="K14729"/>
    </row>
    <row r="14730" spans="11:11" ht="15" x14ac:dyDescent="0.25">
      <c r="K14730"/>
    </row>
    <row r="14731" spans="11:11" ht="15" x14ac:dyDescent="0.25">
      <c r="K14731"/>
    </row>
    <row r="14732" spans="11:11" ht="15" x14ac:dyDescent="0.25">
      <c r="K14732"/>
    </row>
    <row r="14733" spans="11:11" ht="15" x14ac:dyDescent="0.25">
      <c r="K14733"/>
    </row>
    <row r="14734" spans="11:11" ht="15" x14ac:dyDescent="0.25">
      <c r="K14734"/>
    </row>
    <row r="14735" spans="11:11" ht="15" x14ac:dyDescent="0.25">
      <c r="K14735"/>
    </row>
    <row r="14736" spans="11:11" ht="15" x14ac:dyDescent="0.25">
      <c r="K14736"/>
    </row>
    <row r="14737" spans="11:11" ht="15" x14ac:dyDescent="0.25">
      <c r="K14737"/>
    </row>
    <row r="14738" spans="11:11" ht="15" x14ac:dyDescent="0.25">
      <c r="K14738"/>
    </row>
    <row r="14739" spans="11:11" ht="15" x14ac:dyDescent="0.25">
      <c r="K14739"/>
    </row>
    <row r="14740" spans="11:11" ht="15" x14ac:dyDescent="0.25">
      <c r="K14740"/>
    </row>
    <row r="14741" spans="11:11" ht="15" x14ac:dyDescent="0.25">
      <c r="K14741"/>
    </row>
    <row r="14742" spans="11:11" ht="15" x14ac:dyDescent="0.25">
      <c r="K14742"/>
    </row>
    <row r="14743" spans="11:11" ht="15" x14ac:dyDescent="0.25">
      <c r="K14743"/>
    </row>
    <row r="14744" spans="11:11" ht="15" x14ac:dyDescent="0.25">
      <c r="K14744"/>
    </row>
    <row r="14745" spans="11:11" ht="15" x14ac:dyDescent="0.25">
      <c r="K14745"/>
    </row>
    <row r="14746" spans="11:11" ht="15" x14ac:dyDescent="0.25">
      <c r="K14746"/>
    </row>
    <row r="14747" spans="11:11" ht="15" x14ac:dyDescent="0.25">
      <c r="K14747"/>
    </row>
    <row r="14748" spans="11:11" ht="15" x14ac:dyDescent="0.25">
      <c r="K14748"/>
    </row>
    <row r="14749" spans="11:11" ht="15" x14ac:dyDescent="0.25">
      <c r="K14749"/>
    </row>
    <row r="14750" spans="11:11" ht="15" x14ac:dyDescent="0.25">
      <c r="K14750"/>
    </row>
    <row r="14751" spans="11:11" ht="15" x14ac:dyDescent="0.25">
      <c r="K14751"/>
    </row>
    <row r="14752" spans="11:11" ht="15" x14ac:dyDescent="0.25">
      <c r="K14752"/>
    </row>
    <row r="14753" spans="11:11" ht="15" x14ac:dyDescent="0.25">
      <c r="K14753"/>
    </row>
    <row r="14754" spans="11:11" ht="15" x14ac:dyDescent="0.25">
      <c r="K14754"/>
    </row>
    <row r="14755" spans="11:11" ht="15" x14ac:dyDescent="0.25">
      <c r="K14755"/>
    </row>
    <row r="14756" spans="11:11" ht="15" x14ac:dyDescent="0.25">
      <c r="K14756"/>
    </row>
    <row r="14757" spans="11:11" ht="15" x14ac:dyDescent="0.25">
      <c r="K14757"/>
    </row>
    <row r="14758" spans="11:11" ht="15" x14ac:dyDescent="0.25">
      <c r="K14758"/>
    </row>
    <row r="14759" spans="11:11" ht="15" x14ac:dyDescent="0.25">
      <c r="K14759"/>
    </row>
    <row r="14760" spans="11:11" ht="15" x14ac:dyDescent="0.25">
      <c r="K14760"/>
    </row>
    <row r="14761" spans="11:11" ht="15" x14ac:dyDescent="0.25">
      <c r="K14761"/>
    </row>
    <row r="14762" spans="11:11" ht="15" x14ac:dyDescent="0.25">
      <c r="K14762"/>
    </row>
    <row r="14763" spans="11:11" ht="15" x14ac:dyDescent="0.25">
      <c r="K14763"/>
    </row>
    <row r="14764" spans="11:11" ht="15" x14ac:dyDescent="0.25">
      <c r="K14764"/>
    </row>
    <row r="14765" spans="11:11" ht="15" x14ac:dyDescent="0.25">
      <c r="K14765"/>
    </row>
    <row r="14766" spans="11:11" ht="15" x14ac:dyDescent="0.25">
      <c r="K14766"/>
    </row>
    <row r="14767" spans="11:11" ht="15" x14ac:dyDescent="0.25">
      <c r="K14767"/>
    </row>
    <row r="14768" spans="11:11" ht="15" x14ac:dyDescent="0.25">
      <c r="K14768"/>
    </row>
    <row r="14769" spans="11:11" ht="15" x14ac:dyDescent="0.25">
      <c r="K14769"/>
    </row>
    <row r="14770" spans="11:11" ht="15" x14ac:dyDescent="0.25">
      <c r="K14770"/>
    </row>
    <row r="14771" spans="11:11" ht="15" x14ac:dyDescent="0.25">
      <c r="K14771"/>
    </row>
    <row r="14772" spans="11:11" ht="15" x14ac:dyDescent="0.25">
      <c r="K14772"/>
    </row>
    <row r="14773" spans="11:11" ht="15" x14ac:dyDescent="0.25">
      <c r="K14773"/>
    </row>
    <row r="14774" spans="11:11" ht="15" x14ac:dyDescent="0.25">
      <c r="K14774"/>
    </row>
    <row r="14775" spans="11:11" ht="15" x14ac:dyDescent="0.25">
      <c r="K14775"/>
    </row>
    <row r="14776" spans="11:11" ht="15" x14ac:dyDescent="0.25">
      <c r="K14776"/>
    </row>
    <row r="14777" spans="11:11" ht="15" x14ac:dyDescent="0.25">
      <c r="K14777"/>
    </row>
    <row r="14778" spans="11:11" ht="15" x14ac:dyDescent="0.25">
      <c r="K14778"/>
    </row>
    <row r="14779" spans="11:11" ht="15" x14ac:dyDescent="0.25">
      <c r="K14779"/>
    </row>
    <row r="14780" spans="11:11" ht="15" x14ac:dyDescent="0.25">
      <c r="K14780"/>
    </row>
    <row r="14781" spans="11:11" ht="15" x14ac:dyDescent="0.25">
      <c r="K14781"/>
    </row>
    <row r="14782" spans="11:11" ht="15" x14ac:dyDescent="0.25">
      <c r="K14782"/>
    </row>
    <row r="14783" spans="11:11" ht="15" x14ac:dyDescent="0.25">
      <c r="K14783"/>
    </row>
    <row r="14784" spans="11:11" ht="15" x14ac:dyDescent="0.25">
      <c r="K14784"/>
    </row>
    <row r="14785" spans="11:11" ht="15" x14ac:dyDescent="0.25">
      <c r="K14785"/>
    </row>
    <row r="14786" spans="11:11" ht="15" x14ac:dyDescent="0.25">
      <c r="K14786"/>
    </row>
    <row r="14787" spans="11:11" ht="15" x14ac:dyDescent="0.25">
      <c r="K14787"/>
    </row>
    <row r="14788" spans="11:11" ht="15" x14ac:dyDescent="0.25">
      <c r="K14788"/>
    </row>
    <row r="14789" spans="11:11" ht="15" x14ac:dyDescent="0.25">
      <c r="K14789"/>
    </row>
    <row r="14790" spans="11:11" ht="15" x14ac:dyDescent="0.25">
      <c r="K14790"/>
    </row>
    <row r="14791" spans="11:11" ht="15" x14ac:dyDescent="0.25">
      <c r="K14791"/>
    </row>
    <row r="14792" spans="11:11" ht="15" x14ac:dyDescent="0.25">
      <c r="K14792"/>
    </row>
    <row r="14793" spans="11:11" ht="15" x14ac:dyDescent="0.25">
      <c r="K14793"/>
    </row>
    <row r="14794" spans="11:11" ht="15" x14ac:dyDescent="0.25">
      <c r="K14794"/>
    </row>
    <row r="14795" spans="11:11" ht="15" x14ac:dyDescent="0.25">
      <c r="K14795"/>
    </row>
    <row r="14796" spans="11:11" ht="15" x14ac:dyDescent="0.25">
      <c r="K14796"/>
    </row>
    <row r="14797" spans="11:11" ht="15" x14ac:dyDescent="0.25">
      <c r="K14797"/>
    </row>
    <row r="14798" spans="11:11" ht="15" x14ac:dyDescent="0.25">
      <c r="K14798"/>
    </row>
    <row r="14799" spans="11:11" ht="15" x14ac:dyDescent="0.25">
      <c r="K14799"/>
    </row>
    <row r="14800" spans="11:11" ht="15" x14ac:dyDescent="0.25">
      <c r="K14800"/>
    </row>
    <row r="14801" spans="11:11" ht="15" x14ac:dyDescent="0.25">
      <c r="K14801"/>
    </row>
    <row r="14802" spans="11:11" ht="15" x14ac:dyDescent="0.25">
      <c r="K14802"/>
    </row>
    <row r="14803" spans="11:11" ht="15" x14ac:dyDescent="0.25">
      <c r="K14803"/>
    </row>
    <row r="14804" spans="11:11" ht="15" x14ac:dyDescent="0.25">
      <c r="K14804"/>
    </row>
    <row r="14805" spans="11:11" ht="15" x14ac:dyDescent="0.25">
      <c r="K14805"/>
    </row>
    <row r="14806" spans="11:11" ht="15" x14ac:dyDescent="0.25">
      <c r="K14806"/>
    </row>
    <row r="14807" spans="11:11" ht="15" x14ac:dyDescent="0.25">
      <c r="K14807"/>
    </row>
    <row r="14808" spans="11:11" ht="15" x14ac:dyDescent="0.25">
      <c r="K14808"/>
    </row>
    <row r="14809" spans="11:11" ht="15" x14ac:dyDescent="0.25">
      <c r="K14809"/>
    </row>
    <row r="14810" spans="11:11" ht="15" x14ac:dyDescent="0.25">
      <c r="K14810"/>
    </row>
    <row r="14811" spans="11:11" ht="15" x14ac:dyDescent="0.25">
      <c r="K14811"/>
    </row>
    <row r="14812" spans="11:11" ht="15" x14ac:dyDescent="0.25">
      <c r="K14812"/>
    </row>
    <row r="14813" spans="11:11" ht="15" x14ac:dyDescent="0.25">
      <c r="K14813"/>
    </row>
    <row r="14814" spans="11:11" ht="15" x14ac:dyDescent="0.25">
      <c r="K14814"/>
    </row>
    <row r="14815" spans="11:11" ht="15" x14ac:dyDescent="0.25">
      <c r="K14815"/>
    </row>
    <row r="14816" spans="11:11" ht="15" x14ac:dyDescent="0.25">
      <c r="K14816"/>
    </row>
    <row r="14817" spans="11:11" ht="15" x14ac:dyDescent="0.25">
      <c r="K14817"/>
    </row>
    <row r="14818" spans="11:11" ht="15" x14ac:dyDescent="0.25">
      <c r="K14818"/>
    </row>
    <row r="14819" spans="11:11" ht="15" x14ac:dyDescent="0.25">
      <c r="K14819"/>
    </row>
    <row r="14820" spans="11:11" ht="15" x14ac:dyDescent="0.25">
      <c r="K14820"/>
    </row>
    <row r="14821" spans="11:11" ht="15" x14ac:dyDescent="0.25">
      <c r="K14821"/>
    </row>
    <row r="14822" spans="11:11" ht="15" x14ac:dyDescent="0.25">
      <c r="K14822"/>
    </row>
    <row r="14823" spans="11:11" ht="15" x14ac:dyDescent="0.25">
      <c r="K14823"/>
    </row>
    <row r="14824" spans="11:11" ht="15" x14ac:dyDescent="0.25">
      <c r="K14824"/>
    </row>
    <row r="14825" spans="11:11" ht="15" x14ac:dyDescent="0.25">
      <c r="K14825"/>
    </row>
    <row r="14826" spans="11:11" ht="15" x14ac:dyDescent="0.25">
      <c r="K14826"/>
    </row>
    <row r="14827" spans="11:11" ht="15" x14ac:dyDescent="0.25">
      <c r="K14827"/>
    </row>
    <row r="14828" spans="11:11" ht="15" x14ac:dyDescent="0.25">
      <c r="K14828"/>
    </row>
    <row r="14829" spans="11:11" ht="15" x14ac:dyDescent="0.25">
      <c r="K14829"/>
    </row>
    <row r="14830" spans="11:11" ht="15" x14ac:dyDescent="0.25">
      <c r="K14830"/>
    </row>
    <row r="14831" spans="11:11" ht="15" x14ac:dyDescent="0.25">
      <c r="K14831"/>
    </row>
    <row r="14832" spans="11:11" ht="15" x14ac:dyDescent="0.25">
      <c r="K14832"/>
    </row>
    <row r="14833" spans="11:11" ht="15" x14ac:dyDescent="0.25">
      <c r="K14833"/>
    </row>
    <row r="14834" spans="11:11" ht="15" x14ac:dyDescent="0.25">
      <c r="K14834"/>
    </row>
    <row r="14835" spans="11:11" ht="15" x14ac:dyDescent="0.25">
      <c r="K14835"/>
    </row>
    <row r="14836" spans="11:11" ht="15" x14ac:dyDescent="0.25">
      <c r="K14836"/>
    </row>
    <row r="14837" spans="11:11" ht="15" x14ac:dyDescent="0.25">
      <c r="K14837"/>
    </row>
    <row r="14838" spans="11:11" ht="15" x14ac:dyDescent="0.25">
      <c r="K14838"/>
    </row>
    <row r="14839" spans="11:11" ht="15" x14ac:dyDescent="0.25">
      <c r="K14839"/>
    </row>
    <row r="14840" spans="11:11" ht="15" x14ac:dyDescent="0.25">
      <c r="K14840"/>
    </row>
    <row r="14841" spans="11:11" ht="15" x14ac:dyDescent="0.25">
      <c r="K14841"/>
    </row>
    <row r="14842" spans="11:11" ht="15" x14ac:dyDescent="0.25">
      <c r="K14842"/>
    </row>
    <row r="14843" spans="11:11" ht="15" x14ac:dyDescent="0.25">
      <c r="K14843"/>
    </row>
    <row r="14844" spans="11:11" ht="15" x14ac:dyDescent="0.25">
      <c r="K14844"/>
    </row>
    <row r="14845" spans="11:11" ht="15" x14ac:dyDescent="0.25">
      <c r="K14845"/>
    </row>
    <row r="14846" spans="11:11" ht="15" x14ac:dyDescent="0.25">
      <c r="K14846"/>
    </row>
    <row r="14847" spans="11:11" ht="15" x14ac:dyDescent="0.25">
      <c r="K14847"/>
    </row>
    <row r="14848" spans="11:11" ht="15" x14ac:dyDescent="0.25">
      <c r="K14848"/>
    </row>
    <row r="14849" spans="11:11" ht="15" x14ac:dyDescent="0.25">
      <c r="K14849"/>
    </row>
    <row r="14850" spans="11:11" ht="15" x14ac:dyDescent="0.25">
      <c r="K14850"/>
    </row>
    <row r="14851" spans="11:11" ht="15" x14ac:dyDescent="0.25">
      <c r="K14851"/>
    </row>
    <row r="14852" spans="11:11" ht="15" x14ac:dyDescent="0.25">
      <c r="K14852"/>
    </row>
    <row r="14853" spans="11:11" ht="15" x14ac:dyDescent="0.25">
      <c r="K14853"/>
    </row>
    <row r="14854" spans="11:11" ht="15" x14ac:dyDescent="0.25">
      <c r="K14854"/>
    </row>
    <row r="14855" spans="11:11" ht="15" x14ac:dyDescent="0.25">
      <c r="K14855"/>
    </row>
    <row r="14856" spans="11:11" ht="15" x14ac:dyDescent="0.25">
      <c r="K14856"/>
    </row>
    <row r="14857" spans="11:11" ht="15" x14ac:dyDescent="0.25">
      <c r="K14857"/>
    </row>
    <row r="14858" spans="11:11" ht="15" x14ac:dyDescent="0.25">
      <c r="K14858"/>
    </row>
    <row r="14859" spans="11:11" ht="15" x14ac:dyDescent="0.25">
      <c r="K14859"/>
    </row>
    <row r="14860" spans="11:11" ht="15" x14ac:dyDescent="0.25">
      <c r="K14860"/>
    </row>
    <row r="14861" spans="11:11" ht="15" x14ac:dyDescent="0.25">
      <c r="K14861"/>
    </row>
    <row r="14862" spans="11:11" ht="15" x14ac:dyDescent="0.25">
      <c r="K14862"/>
    </row>
    <row r="14863" spans="11:11" ht="15" x14ac:dyDescent="0.25">
      <c r="K14863"/>
    </row>
    <row r="14864" spans="11:11" ht="15" x14ac:dyDescent="0.25">
      <c r="K14864"/>
    </row>
    <row r="14865" spans="11:11" ht="15" x14ac:dyDescent="0.25">
      <c r="K14865"/>
    </row>
    <row r="14866" spans="11:11" ht="15" x14ac:dyDescent="0.25">
      <c r="K14866"/>
    </row>
    <row r="14867" spans="11:11" ht="15" x14ac:dyDescent="0.25">
      <c r="K14867"/>
    </row>
    <row r="14868" spans="11:11" ht="15" x14ac:dyDescent="0.25">
      <c r="K14868"/>
    </row>
    <row r="14869" spans="11:11" ht="15" x14ac:dyDescent="0.25">
      <c r="K14869"/>
    </row>
    <row r="14870" spans="11:11" ht="15" x14ac:dyDescent="0.25">
      <c r="K14870"/>
    </row>
    <row r="14871" spans="11:11" ht="15" x14ac:dyDescent="0.25">
      <c r="K14871"/>
    </row>
    <row r="14872" spans="11:11" ht="15" x14ac:dyDescent="0.25">
      <c r="K14872"/>
    </row>
    <row r="14873" spans="11:11" ht="15" x14ac:dyDescent="0.25">
      <c r="K14873"/>
    </row>
    <row r="14874" spans="11:11" ht="15" x14ac:dyDescent="0.25">
      <c r="K14874"/>
    </row>
    <row r="14875" spans="11:11" ht="15" x14ac:dyDescent="0.25">
      <c r="K14875"/>
    </row>
    <row r="14876" spans="11:11" ht="15" x14ac:dyDescent="0.25">
      <c r="K14876"/>
    </row>
    <row r="14877" spans="11:11" ht="15" x14ac:dyDescent="0.25">
      <c r="K14877"/>
    </row>
    <row r="14878" spans="11:11" ht="15" x14ac:dyDescent="0.25">
      <c r="K14878"/>
    </row>
    <row r="14879" spans="11:11" ht="15" x14ac:dyDescent="0.25">
      <c r="K14879"/>
    </row>
    <row r="14880" spans="11:11" ht="15" x14ac:dyDescent="0.25">
      <c r="K14880"/>
    </row>
    <row r="14881" spans="11:11" ht="15" x14ac:dyDescent="0.25">
      <c r="K14881"/>
    </row>
    <row r="14882" spans="11:11" ht="15" x14ac:dyDescent="0.25">
      <c r="K14882"/>
    </row>
    <row r="14883" spans="11:11" ht="15" x14ac:dyDescent="0.25">
      <c r="K14883"/>
    </row>
    <row r="14884" spans="11:11" ht="15" x14ac:dyDescent="0.25">
      <c r="K14884"/>
    </row>
    <row r="14885" spans="11:11" ht="15" x14ac:dyDescent="0.25">
      <c r="K14885"/>
    </row>
    <row r="14886" spans="11:11" ht="15" x14ac:dyDescent="0.25">
      <c r="K14886"/>
    </row>
    <row r="14887" spans="11:11" ht="15" x14ac:dyDescent="0.25">
      <c r="K14887"/>
    </row>
    <row r="14888" spans="11:11" ht="15" x14ac:dyDescent="0.25">
      <c r="K14888"/>
    </row>
    <row r="14889" spans="11:11" ht="15" x14ac:dyDescent="0.25">
      <c r="K14889"/>
    </row>
    <row r="14890" spans="11:11" ht="15" x14ac:dyDescent="0.25">
      <c r="K14890"/>
    </row>
    <row r="14891" spans="11:11" ht="15" x14ac:dyDescent="0.25">
      <c r="K14891"/>
    </row>
    <row r="14892" spans="11:11" ht="15" x14ac:dyDescent="0.25">
      <c r="K14892"/>
    </row>
    <row r="14893" spans="11:11" ht="15" x14ac:dyDescent="0.25">
      <c r="K14893"/>
    </row>
    <row r="14894" spans="11:11" ht="15" x14ac:dyDescent="0.25">
      <c r="K14894"/>
    </row>
    <row r="14895" spans="11:11" ht="15" x14ac:dyDescent="0.25">
      <c r="K14895"/>
    </row>
    <row r="14896" spans="11:11" ht="15" x14ac:dyDescent="0.25">
      <c r="K14896"/>
    </row>
    <row r="14897" spans="11:11" ht="15" x14ac:dyDescent="0.25">
      <c r="K14897"/>
    </row>
    <row r="14898" spans="11:11" ht="15" x14ac:dyDescent="0.25">
      <c r="K14898"/>
    </row>
    <row r="14899" spans="11:11" ht="15" x14ac:dyDescent="0.25">
      <c r="K14899"/>
    </row>
    <row r="14900" spans="11:11" ht="15" x14ac:dyDescent="0.25">
      <c r="K14900"/>
    </row>
    <row r="14901" spans="11:11" ht="15" x14ac:dyDescent="0.25">
      <c r="K14901"/>
    </row>
    <row r="14902" spans="11:11" ht="15" x14ac:dyDescent="0.25">
      <c r="K14902"/>
    </row>
    <row r="14903" spans="11:11" ht="15" x14ac:dyDescent="0.25">
      <c r="K14903"/>
    </row>
    <row r="14904" spans="11:11" ht="15" x14ac:dyDescent="0.25">
      <c r="K14904"/>
    </row>
    <row r="14905" spans="11:11" ht="15" x14ac:dyDescent="0.25">
      <c r="K14905"/>
    </row>
    <row r="14906" spans="11:11" ht="15" x14ac:dyDescent="0.25">
      <c r="K14906"/>
    </row>
    <row r="14907" spans="11:11" ht="15" x14ac:dyDescent="0.25">
      <c r="K14907"/>
    </row>
    <row r="14908" spans="11:11" ht="15" x14ac:dyDescent="0.25">
      <c r="K14908"/>
    </row>
    <row r="14909" spans="11:11" ht="15" x14ac:dyDescent="0.25">
      <c r="K14909"/>
    </row>
    <row r="14910" spans="11:11" ht="15" x14ac:dyDescent="0.25">
      <c r="K14910"/>
    </row>
    <row r="14911" spans="11:11" ht="15" x14ac:dyDescent="0.25">
      <c r="K14911"/>
    </row>
    <row r="14912" spans="11:11" ht="15" x14ac:dyDescent="0.25">
      <c r="K14912"/>
    </row>
    <row r="14913" spans="11:11" ht="15" x14ac:dyDescent="0.25">
      <c r="K14913"/>
    </row>
    <row r="14914" spans="11:11" ht="15" x14ac:dyDescent="0.25">
      <c r="K14914"/>
    </row>
    <row r="14915" spans="11:11" ht="15" x14ac:dyDescent="0.25">
      <c r="K14915"/>
    </row>
    <row r="14916" spans="11:11" ht="15" x14ac:dyDescent="0.25">
      <c r="K14916"/>
    </row>
    <row r="14917" spans="11:11" ht="15" x14ac:dyDescent="0.25">
      <c r="K14917"/>
    </row>
    <row r="14918" spans="11:11" ht="15" x14ac:dyDescent="0.25">
      <c r="K14918"/>
    </row>
    <row r="14919" spans="11:11" ht="15" x14ac:dyDescent="0.25">
      <c r="K14919"/>
    </row>
    <row r="14920" spans="11:11" ht="15" x14ac:dyDescent="0.25">
      <c r="K14920"/>
    </row>
    <row r="14921" spans="11:11" ht="15" x14ac:dyDescent="0.25">
      <c r="K14921"/>
    </row>
    <row r="14922" spans="11:11" ht="15" x14ac:dyDescent="0.25">
      <c r="K14922"/>
    </row>
    <row r="14923" spans="11:11" ht="15" x14ac:dyDescent="0.25">
      <c r="K14923"/>
    </row>
    <row r="14924" spans="11:11" ht="15" x14ac:dyDescent="0.25">
      <c r="K14924"/>
    </row>
    <row r="14925" spans="11:11" ht="15" x14ac:dyDescent="0.25">
      <c r="K14925"/>
    </row>
    <row r="14926" spans="11:11" ht="15" x14ac:dyDescent="0.25">
      <c r="K14926"/>
    </row>
    <row r="14927" spans="11:11" ht="15" x14ac:dyDescent="0.25">
      <c r="K14927"/>
    </row>
    <row r="14928" spans="11:11" ht="15" x14ac:dyDescent="0.25">
      <c r="K14928"/>
    </row>
    <row r="14929" spans="11:11" ht="15" x14ac:dyDescent="0.25">
      <c r="K14929"/>
    </row>
    <row r="14930" spans="11:11" ht="15" x14ac:dyDescent="0.25">
      <c r="K14930"/>
    </row>
    <row r="14931" spans="11:11" ht="15" x14ac:dyDescent="0.25">
      <c r="K14931"/>
    </row>
    <row r="14932" spans="11:11" ht="15" x14ac:dyDescent="0.25">
      <c r="K14932"/>
    </row>
    <row r="14933" spans="11:11" ht="15" x14ac:dyDescent="0.25">
      <c r="K14933"/>
    </row>
    <row r="14934" spans="11:11" ht="15" x14ac:dyDescent="0.25">
      <c r="K14934"/>
    </row>
    <row r="14935" spans="11:11" ht="15" x14ac:dyDescent="0.25">
      <c r="K14935"/>
    </row>
    <row r="14936" spans="11:11" ht="15" x14ac:dyDescent="0.25">
      <c r="K14936"/>
    </row>
    <row r="14937" spans="11:11" ht="15" x14ac:dyDescent="0.25">
      <c r="K14937"/>
    </row>
    <row r="14938" spans="11:11" ht="15" x14ac:dyDescent="0.25">
      <c r="K14938"/>
    </row>
    <row r="14939" spans="11:11" ht="15" x14ac:dyDescent="0.25">
      <c r="K14939"/>
    </row>
    <row r="14940" spans="11:11" ht="15" x14ac:dyDescent="0.25">
      <c r="K14940"/>
    </row>
    <row r="14941" spans="11:11" ht="15" x14ac:dyDescent="0.25">
      <c r="K14941"/>
    </row>
    <row r="14942" spans="11:11" ht="15" x14ac:dyDescent="0.25">
      <c r="K14942"/>
    </row>
    <row r="14943" spans="11:11" ht="15" x14ac:dyDescent="0.25">
      <c r="K14943"/>
    </row>
    <row r="14944" spans="11:11" ht="15" x14ac:dyDescent="0.25">
      <c r="K14944"/>
    </row>
    <row r="14945" spans="11:11" ht="15" x14ac:dyDescent="0.25">
      <c r="K14945"/>
    </row>
    <row r="14946" spans="11:11" ht="15" x14ac:dyDescent="0.25">
      <c r="K14946"/>
    </row>
    <row r="14947" spans="11:11" ht="15" x14ac:dyDescent="0.25">
      <c r="K14947"/>
    </row>
    <row r="14948" spans="11:11" ht="15" x14ac:dyDescent="0.25">
      <c r="K14948"/>
    </row>
    <row r="14949" spans="11:11" ht="15" x14ac:dyDescent="0.25">
      <c r="K14949"/>
    </row>
    <row r="14950" spans="11:11" ht="15" x14ac:dyDescent="0.25">
      <c r="K14950"/>
    </row>
    <row r="14951" spans="11:11" ht="15" x14ac:dyDescent="0.25">
      <c r="K14951"/>
    </row>
    <row r="14952" spans="11:11" ht="15" x14ac:dyDescent="0.25">
      <c r="K14952"/>
    </row>
    <row r="14953" spans="11:11" ht="15" x14ac:dyDescent="0.25">
      <c r="K14953"/>
    </row>
    <row r="14954" spans="11:11" ht="15" x14ac:dyDescent="0.25">
      <c r="K14954"/>
    </row>
    <row r="14955" spans="11:11" ht="15" x14ac:dyDescent="0.25">
      <c r="K14955"/>
    </row>
    <row r="14956" spans="11:11" ht="15" x14ac:dyDescent="0.25">
      <c r="K14956"/>
    </row>
    <row r="14957" spans="11:11" ht="15" x14ac:dyDescent="0.25">
      <c r="K14957"/>
    </row>
    <row r="14958" spans="11:11" ht="15" x14ac:dyDescent="0.25">
      <c r="K14958"/>
    </row>
    <row r="14959" spans="11:11" ht="15" x14ac:dyDescent="0.25">
      <c r="K14959"/>
    </row>
    <row r="14960" spans="11:11" ht="15" x14ac:dyDescent="0.25">
      <c r="K14960"/>
    </row>
    <row r="14961" spans="11:11" ht="15" x14ac:dyDescent="0.25">
      <c r="K14961"/>
    </row>
    <row r="14962" spans="11:11" ht="15" x14ac:dyDescent="0.25">
      <c r="K14962"/>
    </row>
    <row r="14963" spans="11:11" ht="15" x14ac:dyDescent="0.25">
      <c r="K14963"/>
    </row>
    <row r="14964" spans="11:11" ht="15" x14ac:dyDescent="0.25">
      <c r="K14964"/>
    </row>
    <row r="14965" spans="11:11" ht="15" x14ac:dyDescent="0.25">
      <c r="K14965"/>
    </row>
    <row r="14966" spans="11:11" ht="15" x14ac:dyDescent="0.25">
      <c r="K14966"/>
    </row>
    <row r="14967" spans="11:11" ht="15" x14ac:dyDescent="0.25">
      <c r="K14967"/>
    </row>
    <row r="14968" spans="11:11" ht="15" x14ac:dyDescent="0.25">
      <c r="K14968"/>
    </row>
    <row r="14969" spans="11:11" ht="15" x14ac:dyDescent="0.25">
      <c r="K14969"/>
    </row>
    <row r="14970" spans="11:11" ht="15" x14ac:dyDescent="0.25">
      <c r="K14970"/>
    </row>
    <row r="14971" spans="11:11" ht="15" x14ac:dyDescent="0.25">
      <c r="K14971"/>
    </row>
    <row r="14972" spans="11:11" ht="15" x14ac:dyDescent="0.25">
      <c r="K14972"/>
    </row>
    <row r="14973" spans="11:11" ht="15" x14ac:dyDescent="0.25">
      <c r="K14973"/>
    </row>
    <row r="14974" spans="11:11" ht="15" x14ac:dyDescent="0.25">
      <c r="K14974"/>
    </row>
    <row r="14975" spans="11:11" ht="15" x14ac:dyDescent="0.25">
      <c r="K14975"/>
    </row>
    <row r="14976" spans="11:11" ht="15" x14ac:dyDescent="0.25">
      <c r="K14976"/>
    </row>
    <row r="14977" spans="11:11" ht="15" x14ac:dyDescent="0.25">
      <c r="K14977"/>
    </row>
    <row r="14978" spans="11:11" ht="15" x14ac:dyDescent="0.25">
      <c r="K14978"/>
    </row>
    <row r="14979" spans="11:11" ht="15" x14ac:dyDescent="0.25">
      <c r="K14979"/>
    </row>
    <row r="14980" spans="11:11" ht="15" x14ac:dyDescent="0.25">
      <c r="K14980"/>
    </row>
    <row r="14981" spans="11:11" ht="15" x14ac:dyDescent="0.25">
      <c r="K14981"/>
    </row>
    <row r="14982" spans="11:11" ht="15" x14ac:dyDescent="0.25">
      <c r="K14982"/>
    </row>
    <row r="14983" spans="11:11" ht="15" x14ac:dyDescent="0.25">
      <c r="K14983"/>
    </row>
    <row r="14984" spans="11:11" ht="15" x14ac:dyDescent="0.25">
      <c r="K14984"/>
    </row>
    <row r="14985" spans="11:11" ht="15" x14ac:dyDescent="0.25">
      <c r="K14985"/>
    </row>
    <row r="14986" spans="11:11" ht="15" x14ac:dyDescent="0.25">
      <c r="K14986"/>
    </row>
    <row r="14987" spans="11:11" ht="15" x14ac:dyDescent="0.25">
      <c r="K14987"/>
    </row>
    <row r="14988" spans="11:11" ht="15" x14ac:dyDescent="0.25">
      <c r="K14988"/>
    </row>
    <row r="14989" spans="11:11" ht="15" x14ac:dyDescent="0.25">
      <c r="K14989"/>
    </row>
    <row r="14990" spans="11:11" ht="15" x14ac:dyDescent="0.25">
      <c r="K14990"/>
    </row>
    <row r="14991" spans="11:11" ht="15" x14ac:dyDescent="0.25">
      <c r="K14991"/>
    </row>
    <row r="14992" spans="11:11" ht="15" x14ac:dyDescent="0.25">
      <c r="K14992"/>
    </row>
    <row r="14993" spans="11:11" ht="15" x14ac:dyDescent="0.25">
      <c r="K14993"/>
    </row>
    <row r="14994" spans="11:11" ht="15" x14ac:dyDescent="0.25">
      <c r="K14994"/>
    </row>
    <row r="14995" spans="11:11" ht="15" x14ac:dyDescent="0.25">
      <c r="K14995"/>
    </row>
    <row r="14996" spans="11:11" ht="15" x14ac:dyDescent="0.25">
      <c r="K14996"/>
    </row>
    <row r="14997" spans="11:11" ht="15" x14ac:dyDescent="0.25">
      <c r="K14997"/>
    </row>
    <row r="14998" spans="11:11" ht="15" x14ac:dyDescent="0.25">
      <c r="K14998"/>
    </row>
    <row r="14999" spans="11:11" ht="15" x14ac:dyDescent="0.25">
      <c r="K14999"/>
    </row>
    <row r="15000" spans="11:11" ht="15" x14ac:dyDescent="0.25">
      <c r="K15000"/>
    </row>
    <row r="15001" spans="11:11" ht="15" x14ac:dyDescent="0.25">
      <c r="K15001"/>
    </row>
    <row r="15002" spans="11:11" ht="15" x14ac:dyDescent="0.25">
      <c r="K15002"/>
    </row>
    <row r="15003" spans="11:11" ht="15" x14ac:dyDescent="0.25">
      <c r="K15003"/>
    </row>
    <row r="15004" spans="11:11" ht="15" x14ac:dyDescent="0.25">
      <c r="K15004"/>
    </row>
    <row r="15005" spans="11:11" ht="15" x14ac:dyDescent="0.25">
      <c r="K15005"/>
    </row>
    <row r="15006" spans="11:11" ht="15" x14ac:dyDescent="0.25">
      <c r="K15006"/>
    </row>
    <row r="15007" spans="11:11" ht="15" x14ac:dyDescent="0.25">
      <c r="K15007"/>
    </row>
    <row r="15008" spans="11:11" ht="15" x14ac:dyDescent="0.25">
      <c r="K15008"/>
    </row>
    <row r="15009" spans="11:11" ht="15" x14ac:dyDescent="0.25">
      <c r="K15009"/>
    </row>
    <row r="15010" spans="11:11" ht="15" x14ac:dyDescent="0.25">
      <c r="K15010"/>
    </row>
    <row r="15011" spans="11:11" ht="15" x14ac:dyDescent="0.25">
      <c r="K15011"/>
    </row>
    <row r="15012" spans="11:11" ht="15" x14ac:dyDescent="0.25">
      <c r="K15012"/>
    </row>
    <row r="15013" spans="11:11" ht="15" x14ac:dyDescent="0.25">
      <c r="K15013"/>
    </row>
    <row r="15014" spans="11:11" ht="15" x14ac:dyDescent="0.25">
      <c r="K15014"/>
    </row>
    <row r="15015" spans="11:11" ht="15" x14ac:dyDescent="0.25">
      <c r="K15015"/>
    </row>
    <row r="15016" spans="11:11" ht="15" x14ac:dyDescent="0.25">
      <c r="K15016"/>
    </row>
    <row r="15017" spans="11:11" ht="15" x14ac:dyDescent="0.25">
      <c r="K15017"/>
    </row>
    <row r="15018" spans="11:11" ht="15" x14ac:dyDescent="0.25">
      <c r="K15018"/>
    </row>
    <row r="15019" spans="11:11" ht="15" x14ac:dyDescent="0.25">
      <c r="K15019"/>
    </row>
    <row r="15020" spans="11:11" ht="15" x14ac:dyDescent="0.25">
      <c r="K15020"/>
    </row>
    <row r="15021" spans="11:11" ht="15" x14ac:dyDescent="0.25">
      <c r="K15021"/>
    </row>
    <row r="15022" spans="11:11" ht="15" x14ac:dyDescent="0.25">
      <c r="K15022"/>
    </row>
    <row r="15023" spans="11:11" ht="15" x14ac:dyDescent="0.25">
      <c r="K15023"/>
    </row>
    <row r="15024" spans="11:11" ht="15" x14ac:dyDescent="0.25">
      <c r="K15024"/>
    </row>
    <row r="15025" spans="11:11" ht="15" x14ac:dyDescent="0.25">
      <c r="K15025"/>
    </row>
    <row r="15026" spans="11:11" ht="15" x14ac:dyDescent="0.25">
      <c r="K15026"/>
    </row>
    <row r="15027" spans="11:11" ht="15" x14ac:dyDescent="0.25">
      <c r="K15027"/>
    </row>
    <row r="15028" spans="11:11" ht="15" x14ac:dyDescent="0.25">
      <c r="K15028"/>
    </row>
    <row r="15029" spans="11:11" ht="15" x14ac:dyDescent="0.25">
      <c r="K15029"/>
    </row>
    <row r="15030" spans="11:11" ht="15" x14ac:dyDescent="0.25">
      <c r="K15030"/>
    </row>
    <row r="15031" spans="11:11" ht="15" x14ac:dyDescent="0.25">
      <c r="K15031"/>
    </row>
    <row r="15032" spans="11:11" ht="15" x14ac:dyDescent="0.25">
      <c r="K15032"/>
    </row>
    <row r="15033" spans="11:11" ht="15" x14ac:dyDescent="0.25">
      <c r="K15033"/>
    </row>
    <row r="15034" spans="11:11" ht="15" x14ac:dyDescent="0.25">
      <c r="K15034"/>
    </row>
    <row r="15035" spans="11:11" ht="15" x14ac:dyDescent="0.25">
      <c r="K15035"/>
    </row>
    <row r="15036" spans="11:11" ht="15" x14ac:dyDescent="0.25">
      <c r="K15036"/>
    </row>
    <row r="15037" spans="11:11" ht="15" x14ac:dyDescent="0.25">
      <c r="K15037"/>
    </row>
    <row r="15038" spans="11:11" ht="15" x14ac:dyDescent="0.25">
      <c r="K15038"/>
    </row>
    <row r="15039" spans="11:11" ht="15" x14ac:dyDescent="0.25">
      <c r="K15039"/>
    </row>
    <row r="15040" spans="11:11" ht="15" x14ac:dyDescent="0.25">
      <c r="K15040"/>
    </row>
    <row r="15041" spans="11:11" ht="15" x14ac:dyDescent="0.25">
      <c r="K15041"/>
    </row>
    <row r="15042" spans="11:11" ht="15" x14ac:dyDescent="0.25">
      <c r="K15042"/>
    </row>
    <row r="15043" spans="11:11" ht="15" x14ac:dyDescent="0.25">
      <c r="K15043"/>
    </row>
    <row r="15044" spans="11:11" ht="15" x14ac:dyDescent="0.25">
      <c r="K15044"/>
    </row>
    <row r="15045" spans="11:11" ht="15" x14ac:dyDescent="0.25">
      <c r="K15045"/>
    </row>
    <row r="15046" spans="11:11" ht="15" x14ac:dyDescent="0.25">
      <c r="K15046"/>
    </row>
    <row r="15047" spans="11:11" ht="15" x14ac:dyDescent="0.25">
      <c r="K15047"/>
    </row>
    <row r="15048" spans="11:11" ht="15" x14ac:dyDescent="0.25">
      <c r="K15048"/>
    </row>
    <row r="15049" spans="11:11" ht="15" x14ac:dyDescent="0.25">
      <c r="K15049"/>
    </row>
    <row r="15050" spans="11:11" ht="15" x14ac:dyDescent="0.25">
      <c r="K15050"/>
    </row>
    <row r="15051" spans="11:11" ht="15" x14ac:dyDescent="0.25">
      <c r="K15051"/>
    </row>
    <row r="15052" spans="11:11" ht="15" x14ac:dyDescent="0.25">
      <c r="K15052"/>
    </row>
    <row r="15053" spans="11:11" ht="15" x14ac:dyDescent="0.25">
      <c r="K15053"/>
    </row>
    <row r="15054" spans="11:11" ht="15" x14ac:dyDescent="0.25">
      <c r="K15054"/>
    </row>
    <row r="15055" spans="11:11" ht="15" x14ac:dyDescent="0.25">
      <c r="K15055"/>
    </row>
    <row r="15056" spans="11:11" ht="15" x14ac:dyDescent="0.25">
      <c r="K15056"/>
    </row>
    <row r="15057" spans="11:11" ht="15" x14ac:dyDescent="0.25">
      <c r="K15057"/>
    </row>
    <row r="15058" spans="11:11" ht="15" x14ac:dyDescent="0.25">
      <c r="K15058"/>
    </row>
    <row r="15059" spans="11:11" ht="15" x14ac:dyDescent="0.25">
      <c r="K15059"/>
    </row>
    <row r="15060" spans="11:11" ht="15" x14ac:dyDescent="0.25">
      <c r="K15060"/>
    </row>
    <row r="15061" spans="11:11" ht="15" x14ac:dyDescent="0.25">
      <c r="K15061"/>
    </row>
    <row r="15062" spans="11:11" ht="15" x14ac:dyDescent="0.25">
      <c r="K15062"/>
    </row>
    <row r="15063" spans="11:11" ht="15" x14ac:dyDescent="0.25">
      <c r="K15063"/>
    </row>
    <row r="15064" spans="11:11" ht="15" x14ac:dyDescent="0.25">
      <c r="K15064"/>
    </row>
    <row r="15065" spans="11:11" ht="15" x14ac:dyDescent="0.25">
      <c r="K15065"/>
    </row>
    <row r="15066" spans="11:11" ht="15" x14ac:dyDescent="0.25">
      <c r="K15066"/>
    </row>
    <row r="15067" spans="11:11" ht="15" x14ac:dyDescent="0.25">
      <c r="K15067"/>
    </row>
    <row r="15068" spans="11:11" ht="15" x14ac:dyDescent="0.25">
      <c r="K15068"/>
    </row>
    <row r="15069" spans="11:11" ht="15" x14ac:dyDescent="0.25">
      <c r="K15069"/>
    </row>
    <row r="15070" spans="11:11" ht="15" x14ac:dyDescent="0.25">
      <c r="K15070"/>
    </row>
    <row r="15071" spans="11:11" ht="15" x14ac:dyDescent="0.25">
      <c r="K15071"/>
    </row>
    <row r="15072" spans="11:11" ht="15" x14ac:dyDescent="0.25">
      <c r="K15072"/>
    </row>
    <row r="15073" spans="11:11" ht="15" x14ac:dyDescent="0.25">
      <c r="K15073"/>
    </row>
    <row r="15074" spans="11:11" ht="15" x14ac:dyDescent="0.25">
      <c r="K15074"/>
    </row>
    <row r="15075" spans="11:11" ht="15" x14ac:dyDescent="0.25">
      <c r="K15075"/>
    </row>
    <row r="15076" spans="11:11" ht="15" x14ac:dyDescent="0.25">
      <c r="K15076"/>
    </row>
    <row r="15077" spans="11:11" ht="15" x14ac:dyDescent="0.25">
      <c r="K15077"/>
    </row>
    <row r="15078" spans="11:11" ht="15" x14ac:dyDescent="0.25">
      <c r="K15078"/>
    </row>
    <row r="15079" spans="11:11" ht="15" x14ac:dyDescent="0.25">
      <c r="K15079"/>
    </row>
    <row r="15080" spans="11:11" ht="15" x14ac:dyDescent="0.25">
      <c r="K15080"/>
    </row>
    <row r="15081" spans="11:11" ht="15" x14ac:dyDescent="0.25">
      <c r="K15081"/>
    </row>
    <row r="15082" spans="11:11" ht="15" x14ac:dyDescent="0.25">
      <c r="K15082"/>
    </row>
    <row r="15083" spans="11:11" ht="15" x14ac:dyDescent="0.25">
      <c r="K15083"/>
    </row>
    <row r="15084" spans="11:11" ht="15" x14ac:dyDescent="0.25">
      <c r="K15084"/>
    </row>
    <row r="15085" spans="11:11" ht="15" x14ac:dyDescent="0.25">
      <c r="K15085"/>
    </row>
    <row r="15086" spans="11:11" ht="15" x14ac:dyDescent="0.25">
      <c r="K15086"/>
    </row>
    <row r="15087" spans="11:11" ht="15" x14ac:dyDescent="0.25">
      <c r="K15087"/>
    </row>
    <row r="15088" spans="11:11" ht="15" x14ac:dyDescent="0.25">
      <c r="K15088"/>
    </row>
    <row r="15089" spans="11:11" ht="15" x14ac:dyDescent="0.25">
      <c r="K15089"/>
    </row>
    <row r="15090" spans="11:11" ht="15" x14ac:dyDescent="0.25">
      <c r="K15090"/>
    </row>
    <row r="15091" spans="11:11" ht="15" x14ac:dyDescent="0.25">
      <c r="K15091"/>
    </row>
    <row r="15092" spans="11:11" ht="15" x14ac:dyDescent="0.25">
      <c r="K15092"/>
    </row>
    <row r="15093" spans="11:11" ht="15" x14ac:dyDescent="0.25">
      <c r="K15093"/>
    </row>
    <row r="15094" spans="11:11" ht="15" x14ac:dyDescent="0.25">
      <c r="K15094"/>
    </row>
    <row r="15095" spans="11:11" ht="15" x14ac:dyDescent="0.25">
      <c r="K15095"/>
    </row>
    <row r="15096" spans="11:11" ht="15" x14ac:dyDescent="0.25">
      <c r="K15096"/>
    </row>
    <row r="15097" spans="11:11" ht="15" x14ac:dyDescent="0.25">
      <c r="K15097"/>
    </row>
    <row r="15098" spans="11:11" ht="15" x14ac:dyDescent="0.25">
      <c r="K15098"/>
    </row>
    <row r="15099" spans="11:11" ht="15" x14ac:dyDescent="0.25">
      <c r="K15099"/>
    </row>
    <row r="15100" spans="11:11" ht="15" x14ac:dyDescent="0.25">
      <c r="K15100"/>
    </row>
    <row r="15101" spans="11:11" ht="15" x14ac:dyDescent="0.25">
      <c r="K15101"/>
    </row>
    <row r="15102" spans="11:11" ht="15" x14ac:dyDescent="0.25">
      <c r="K15102"/>
    </row>
    <row r="15103" spans="11:11" ht="15" x14ac:dyDescent="0.25">
      <c r="K15103"/>
    </row>
    <row r="15104" spans="11:11" ht="15" x14ac:dyDescent="0.25">
      <c r="K15104"/>
    </row>
    <row r="15105" spans="11:11" ht="15" x14ac:dyDescent="0.25">
      <c r="K15105"/>
    </row>
    <row r="15106" spans="11:11" ht="15" x14ac:dyDescent="0.25">
      <c r="K15106"/>
    </row>
    <row r="15107" spans="11:11" ht="15" x14ac:dyDescent="0.25">
      <c r="K15107"/>
    </row>
    <row r="15108" spans="11:11" ht="15" x14ac:dyDescent="0.25">
      <c r="K15108"/>
    </row>
    <row r="15109" spans="11:11" ht="15" x14ac:dyDescent="0.25">
      <c r="K15109"/>
    </row>
    <row r="15110" spans="11:11" ht="15" x14ac:dyDescent="0.25">
      <c r="K15110"/>
    </row>
    <row r="15111" spans="11:11" ht="15" x14ac:dyDescent="0.25">
      <c r="K15111"/>
    </row>
    <row r="15112" spans="11:11" ht="15" x14ac:dyDescent="0.25">
      <c r="K15112"/>
    </row>
    <row r="15113" spans="11:11" ht="15" x14ac:dyDescent="0.25">
      <c r="K15113"/>
    </row>
    <row r="15114" spans="11:11" ht="15" x14ac:dyDescent="0.25">
      <c r="K15114"/>
    </row>
    <row r="15115" spans="11:11" ht="15" x14ac:dyDescent="0.25">
      <c r="K15115"/>
    </row>
    <row r="15116" spans="11:11" ht="15" x14ac:dyDescent="0.25">
      <c r="K15116"/>
    </row>
    <row r="15117" spans="11:11" ht="15" x14ac:dyDescent="0.25">
      <c r="K15117"/>
    </row>
    <row r="15118" spans="11:11" ht="15" x14ac:dyDescent="0.25">
      <c r="K15118"/>
    </row>
    <row r="15119" spans="11:11" ht="15" x14ac:dyDescent="0.25">
      <c r="K15119"/>
    </row>
    <row r="15120" spans="11:11" ht="15" x14ac:dyDescent="0.25">
      <c r="K15120"/>
    </row>
    <row r="15121" spans="11:11" ht="15" x14ac:dyDescent="0.25">
      <c r="K15121"/>
    </row>
    <row r="15122" spans="11:11" ht="15" x14ac:dyDescent="0.25">
      <c r="K15122"/>
    </row>
    <row r="15123" spans="11:11" ht="15" x14ac:dyDescent="0.25">
      <c r="K15123"/>
    </row>
    <row r="15124" spans="11:11" ht="15" x14ac:dyDescent="0.25">
      <c r="K15124"/>
    </row>
    <row r="15125" spans="11:11" ht="15" x14ac:dyDescent="0.25">
      <c r="K15125"/>
    </row>
    <row r="15126" spans="11:11" ht="15" x14ac:dyDescent="0.25">
      <c r="K15126"/>
    </row>
    <row r="15127" spans="11:11" ht="15" x14ac:dyDescent="0.25">
      <c r="K15127"/>
    </row>
    <row r="15128" spans="11:11" ht="15" x14ac:dyDescent="0.25">
      <c r="K15128"/>
    </row>
    <row r="15129" spans="11:11" ht="15" x14ac:dyDescent="0.25">
      <c r="K15129"/>
    </row>
    <row r="15130" spans="11:11" ht="15" x14ac:dyDescent="0.25">
      <c r="K15130"/>
    </row>
    <row r="15131" spans="11:11" ht="15" x14ac:dyDescent="0.25">
      <c r="K15131"/>
    </row>
    <row r="15132" spans="11:11" ht="15" x14ac:dyDescent="0.25">
      <c r="K15132"/>
    </row>
    <row r="15133" spans="11:11" ht="15" x14ac:dyDescent="0.25">
      <c r="K15133"/>
    </row>
    <row r="15134" spans="11:11" ht="15" x14ac:dyDescent="0.25">
      <c r="K15134"/>
    </row>
    <row r="15135" spans="11:11" ht="15" x14ac:dyDescent="0.25">
      <c r="K15135"/>
    </row>
    <row r="15136" spans="11:11" ht="15" x14ac:dyDescent="0.25">
      <c r="K15136"/>
    </row>
    <row r="15137" spans="11:11" ht="15" x14ac:dyDescent="0.25">
      <c r="K15137"/>
    </row>
    <row r="15138" spans="11:11" ht="15" x14ac:dyDescent="0.25">
      <c r="K15138"/>
    </row>
    <row r="15139" spans="11:11" ht="15" x14ac:dyDescent="0.25">
      <c r="K15139"/>
    </row>
    <row r="15140" spans="11:11" ht="15" x14ac:dyDescent="0.25">
      <c r="K15140"/>
    </row>
    <row r="15141" spans="11:11" ht="15" x14ac:dyDescent="0.25">
      <c r="K15141"/>
    </row>
    <row r="15142" spans="11:11" ht="15" x14ac:dyDescent="0.25">
      <c r="K15142"/>
    </row>
    <row r="15143" spans="11:11" ht="15" x14ac:dyDescent="0.25">
      <c r="K15143"/>
    </row>
    <row r="15144" spans="11:11" ht="15" x14ac:dyDescent="0.25">
      <c r="K15144"/>
    </row>
    <row r="15145" spans="11:11" ht="15" x14ac:dyDescent="0.25">
      <c r="K15145"/>
    </row>
    <row r="15146" spans="11:11" ht="15" x14ac:dyDescent="0.25">
      <c r="K15146"/>
    </row>
    <row r="15147" spans="11:11" ht="15" x14ac:dyDescent="0.25">
      <c r="K15147"/>
    </row>
    <row r="15148" spans="11:11" ht="15" x14ac:dyDescent="0.25">
      <c r="K15148"/>
    </row>
    <row r="15149" spans="11:11" ht="15" x14ac:dyDescent="0.25">
      <c r="K15149"/>
    </row>
    <row r="15150" spans="11:11" ht="15" x14ac:dyDescent="0.25">
      <c r="K15150"/>
    </row>
    <row r="15151" spans="11:11" ht="15" x14ac:dyDescent="0.25">
      <c r="K15151"/>
    </row>
    <row r="15152" spans="11:11" ht="15" x14ac:dyDescent="0.25">
      <c r="K15152"/>
    </row>
    <row r="15153" spans="11:11" ht="15" x14ac:dyDescent="0.25">
      <c r="K15153"/>
    </row>
    <row r="15154" spans="11:11" ht="15" x14ac:dyDescent="0.25">
      <c r="K15154"/>
    </row>
    <row r="15155" spans="11:11" ht="15" x14ac:dyDescent="0.25">
      <c r="K15155"/>
    </row>
    <row r="15156" spans="11:11" ht="15" x14ac:dyDescent="0.25">
      <c r="K15156"/>
    </row>
    <row r="15157" spans="11:11" ht="15" x14ac:dyDescent="0.25">
      <c r="K15157"/>
    </row>
    <row r="15158" spans="11:11" ht="15" x14ac:dyDescent="0.25">
      <c r="K15158"/>
    </row>
    <row r="15159" spans="11:11" ht="15" x14ac:dyDescent="0.25">
      <c r="K15159"/>
    </row>
    <row r="15160" spans="11:11" ht="15" x14ac:dyDescent="0.25">
      <c r="K15160"/>
    </row>
    <row r="15161" spans="11:11" ht="15" x14ac:dyDescent="0.25">
      <c r="K15161"/>
    </row>
    <row r="15162" spans="11:11" ht="15" x14ac:dyDescent="0.25">
      <c r="K15162"/>
    </row>
    <row r="15163" spans="11:11" ht="15" x14ac:dyDescent="0.25">
      <c r="K15163"/>
    </row>
    <row r="15164" spans="11:11" ht="15" x14ac:dyDescent="0.25">
      <c r="K15164"/>
    </row>
    <row r="15165" spans="11:11" ht="15" x14ac:dyDescent="0.25">
      <c r="K15165"/>
    </row>
    <row r="15166" spans="11:11" ht="15" x14ac:dyDescent="0.25">
      <c r="K15166"/>
    </row>
    <row r="15167" spans="11:11" ht="15" x14ac:dyDescent="0.25">
      <c r="K15167"/>
    </row>
    <row r="15168" spans="11:11" ht="15" x14ac:dyDescent="0.25">
      <c r="K15168"/>
    </row>
    <row r="15169" spans="11:11" ht="15" x14ac:dyDescent="0.25">
      <c r="K15169"/>
    </row>
    <row r="15170" spans="11:11" ht="15" x14ac:dyDescent="0.25">
      <c r="K15170"/>
    </row>
    <row r="15171" spans="11:11" ht="15" x14ac:dyDescent="0.25">
      <c r="K15171"/>
    </row>
    <row r="15172" spans="11:11" ht="15" x14ac:dyDescent="0.25">
      <c r="K15172"/>
    </row>
    <row r="15173" spans="11:11" ht="15" x14ac:dyDescent="0.25">
      <c r="K15173"/>
    </row>
    <row r="15174" spans="11:11" ht="15" x14ac:dyDescent="0.25">
      <c r="K15174"/>
    </row>
    <row r="15175" spans="11:11" ht="15" x14ac:dyDescent="0.25">
      <c r="K15175"/>
    </row>
    <row r="15176" spans="11:11" ht="15" x14ac:dyDescent="0.25">
      <c r="K15176"/>
    </row>
    <row r="15177" spans="11:11" ht="15" x14ac:dyDescent="0.25">
      <c r="K15177"/>
    </row>
    <row r="15178" spans="11:11" ht="15" x14ac:dyDescent="0.25">
      <c r="K15178"/>
    </row>
    <row r="15179" spans="11:11" ht="15" x14ac:dyDescent="0.25">
      <c r="K15179"/>
    </row>
    <row r="15180" spans="11:11" ht="15" x14ac:dyDescent="0.25">
      <c r="K15180"/>
    </row>
    <row r="15181" spans="11:11" ht="15" x14ac:dyDescent="0.25">
      <c r="K15181"/>
    </row>
    <row r="15182" spans="11:11" ht="15" x14ac:dyDescent="0.25">
      <c r="K15182"/>
    </row>
    <row r="15183" spans="11:11" ht="15" x14ac:dyDescent="0.25">
      <c r="K15183"/>
    </row>
    <row r="15184" spans="11:11" ht="15" x14ac:dyDescent="0.25">
      <c r="K15184"/>
    </row>
    <row r="15185" spans="11:11" ht="15" x14ac:dyDescent="0.25">
      <c r="K15185"/>
    </row>
    <row r="15186" spans="11:11" ht="15" x14ac:dyDescent="0.25">
      <c r="K15186"/>
    </row>
    <row r="15187" spans="11:11" ht="15" x14ac:dyDescent="0.25">
      <c r="K15187"/>
    </row>
    <row r="15188" spans="11:11" ht="15" x14ac:dyDescent="0.25">
      <c r="K15188"/>
    </row>
    <row r="15189" spans="11:11" ht="15" x14ac:dyDescent="0.25">
      <c r="K15189"/>
    </row>
    <row r="15190" spans="11:11" ht="15" x14ac:dyDescent="0.25">
      <c r="K15190"/>
    </row>
    <row r="15191" spans="11:11" ht="15" x14ac:dyDescent="0.25">
      <c r="K15191"/>
    </row>
    <row r="15192" spans="11:11" ht="15" x14ac:dyDescent="0.25">
      <c r="K15192"/>
    </row>
    <row r="15193" spans="11:11" ht="15" x14ac:dyDescent="0.25">
      <c r="K15193"/>
    </row>
    <row r="15194" spans="11:11" ht="15" x14ac:dyDescent="0.25">
      <c r="K15194"/>
    </row>
    <row r="15195" spans="11:11" ht="15" x14ac:dyDescent="0.25">
      <c r="K15195"/>
    </row>
    <row r="15196" spans="11:11" ht="15" x14ac:dyDescent="0.25">
      <c r="K15196"/>
    </row>
    <row r="15197" spans="11:11" ht="15" x14ac:dyDescent="0.25">
      <c r="K15197"/>
    </row>
    <row r="15198" spans="11:11" ht="15" x14ac:dyDescent="0.25">
      <c r="K15198"/>
    </row>
    <row r="15199" spans="11:11" ht="15" x14ac:dyDescent="0.25">
      <c r="K15199"/>
    </row>
    <row r="15200" spans="11:11" ht="15" x14ac:dyDescent="0.25">
      <c r="K15200"/>
    </row>
    <row r="15201" spans="11:11" ht="15" x14ac:dyDescent="0.25">
      <c r="K15201"/>
    </row>
    <row r="15202" spans="11:11" ht="15" x14ac:dyDescent="0.25">
      <c r="K15202"/>
    </row>
    <row r="15203" spans="11:11" ht="15" x14ac:dyDescent="0.25">
      <c r="K15203"/>
    </row>
    <row r="15204" spans="11:11" ht="15" x14ac:dyDescent="0.25">
      <c r="K15204"/>
    </row>
    <row r="15205" spans="11:11" ht="15" x14ac:dyDescent="0.25">
      <c r="K15205"/>
    </row>
    <row r="15206" spans="11:11" ht="15" x14ac:dyDescent="0.25">
      <c r="K15206"/>
    </row>
    <row r="15207" spans="11:11" ht="15" x14ac:dyDescent="0.25">
      <c r="K15207"/>
    </row>
    <row r="15208" spans="11:11" ht="15" x14ac:dyDescent="0.25">
      <c r="K15208"/>
    </row>
    <row r="15209" spans="11:11" ht="15" x14ac:dyDescent="0.25">
      <c r="K15209"/>
    </row>
    <row r="15210" spans="11:11" ht="15" x14ac:dyDescent="0.25">
      <c r="K15210"/>
    </row>
    <row r="15211" spans="11:11" ht="15" x14ac:dyDescent="0.25">
      <c r="K15211"/>
    </row>
    <row r="15212" spans="11:11" ht="15" x14ac:dyDescent="0.25">
      <c r="K15212"/>
    </row>
    <row r="15213" spans="11:11" ht="15" x14ac:dyDescent="0.25">
      <c r="K15213"/>
    </row>
    <row r="15214" spans="11:11" ht="15" x14ac:dyDescent="0.25">
      <c r="K15214"/>
    </row>
    <row r="15215" spans="11:11" ht="15" x14ac:dyDescent="0.25">
      <c r="K15215"/>
    </row>
    <row r="15216" spans="11:11" ht="15" x14ac:dyDescent="0.25">
      <c r="K15216"/>
    </row>
    <row r="15217" spans="11:11" ht="15" x14ac:dyDescent="0.25">
      <c r="K15217"/>
    </row>
    <row r="15218" spans="11:11" ht="15" x14ac:dyDescent="0.25">
      <c r="K15218"/>
    </row>
    <row r="15219" spans="11:11" ht="15" x14ac:dyDescent="0.25">
      <c r="K15219"/>
    </row>
    <row r="15220" spans="11:11" ht="15" x14ac:dyDescent="0.25">
      <c r="K15220"/>
    </row>
    <row r="15221" spans="11:11" ht="15" x14ac:dyDescent="0.25">
      <c r="K15221"/>
    </row>
    <row r="15222" spans="11:11" ht="15" x14ac:dyDescent="0.25">
      <c r="K15222"/>
    </row>
    <row r="15223" spans="11:11" ht="15" x14ac:dyDescent="0.25">
      <c r="K15223"/>
    </row>
    <row r="15224" spans="11:11" ht="15" x14ac:dyDescent="0.25">
      <c r="K15224"/>
    </row>
    <row r="15225" spans="11:11" ht="15" x14ac:dyDescent="0.25">
      <c r="K15225"/>
    </row>
    <row r="15226" spans="11:11" ht="15" x14ac:dyDescent="0.25">
      <c r="K15226"/>
    </row>
    <row r="15227" spans="11:11" ht="15" x14ac:dyDescent="0.25">
      <c r="K15227"/>
    </row>
    <row r="15228" spans="11:11" ht="15" x14ac:dyDescent="0.25">
      <c r="K15228"/>
    </row>
    <row r="15229" spans="11:11" ht="15" x14ac:dyDescent="0.25">
      <c r="K15229"/>
    </row>
    <row r="15230" spans="11:11" ht="15" x14ac:dyDescent="0.25">
      <c r="K15230"/>
    </row>
    <row r="15231" spans="11:11" ht="15" x14ac:dyDescent="0.25">
      <c r="K15231"/>
    </row>
    <row r="15232" spans="11:11" ht="15" x14ac:dyDescent="0.25">
      <c r="K15232"/>
    </row>
    <row r="15233" spans="11:11" ht="15" x14ac:dyDescent="0.25">
      <c r="K15233"/>
    </row>
    <row r="15234" spans="11:11" ht="15" x14ac:dyDescent="0.25">
      <c r="K15234"/>
    </row>
    <row r="15235" spans="11:11" ht="15" x14ac:dyDescent="0.25">
      <c r="K15235"/>
    </row>
    <row r="15236" spans="11:11" ht="15" x14ac:dyDescent="0.25">
      <c r="K15236"/>
    </row>
    <row r="15237" spans="11:11" ht="15" x14ac:dyDescent="0.25">
      <c r="K15237"/>
    </row>
    <row r="15238" spans="11:11" ht="15" x14ac:dyDescent="0.25">
      <c r="K15238"/>
    </row>
    <row r="15239" spans="11:11" ht="15" x14ac:dyDescent="0.25">
      <c r="K15239"/>
    </row>
    <row r="15240" spans="11:11" ht="15" x14ac:dyDescent="0.25">
      <c r="K15240"/>
    </row>
    <row r="15241" spans="11:11" ht="15" x14ac:dyDescent="0.25">
      <c r="K15241"/>
    </row>
    <row r="15242" spans="11:11" ht="15" x14ac:dyDescent="0.25">
      <c r="K15242"/>
    </row>
    <row r="15243" spans="11:11" ht="15" x14ac:dyDescent="0.25">
      <c r="K15243"/>
    </row>
    <row r="15244" spans="11:11" ht="15" x14ac:dyDescent="0.25">
      <c r="K15244"/>
    </row>
    <row r="15245" spans="11:11" ht="15" x14ac:dyDescent="0.25">
      <c r="K15245"/>
    </row>
    <row r="15246" spans="11:11" ht="15" x14ac:dyDescent="0.25">
      <c r="K15246"/>
    </row>
    <row r="15247" spans="11:11" ht="15" x14ac:dyDescent="0.25">
      <c r="K15247"/>
    </row>
    <row r="15248" spans="11:11" ht="15" x14ac:dyDescent="0.25">
      <c r="K15248"/>
    </row>
    <row r="15249" spans="11:11" ht="15" x14ac:dyDescent="0.25">
      <c r="K15249"/>
    </row>
    <row r="15250" spans="11:11" ht="15" x14ac:dyDescent="0.25">
      <c r="K15250"/>
    </row>
    <row r="15251" spans="11:11" ht="15" x14ac:dyDescent="0.25">
      <c r="K15251"/>
    </row>
    <row r="15252" spans="11:11" ht="15" x14ac:dyDescent="0.25">
      <c r="K15252"/>
    </row>
    <row r="15253" spans="11:11" ht="15" x14ac:dyDescent="0.25">
      <c r="K15253"/>
    </row>
    <row r="15254" spans="11:11" ht="15" x14ac:dyDescent="0.25">
      <c r="K15254"/>
    </row>
    <row r="15255" spans="11:11" ht="15" x14ac:dyDescent="0.25">
      <c r="K15255"/>
    </row>
    <row r="15256" spans="11:11" ht="15" x14ac:dyDescent="0.25">
      <c r="K15256"/>
    </row>
    <row r="15257" spans="11:11" ht="15" x14ac:dyDescent="0.25">
      <c r="K15257"/>
    </row>
    <row r="15258" spans="11:11" ht="15" x14ac:dyDescent="0.25">
      <c r="K15258"/>
    </row>
    <row r="15259" spans="11:11" ht="15" x14ac:dyDescent="0.25">
      <c r="K15259"/>
    </row>
    <row r="15260" spans="11:11" ht="15" x14ac:dyDescent="0.25">
      <c r="K15260"/>
    </row>
    <row r="15261" spans="11:11" ht="15" x14ac:dyDescent="0.25">
      <c r="K15261"/>
    </row>
    <row r="15262" spans="11:11" ht="15" x14ac:dyDescent="0.25">
      <c r="K15262"/>
    </row>
    <row r="15263" spans="11:11" ht="15" x14ac:dyDescent="0.25">
      <c r="K15263"/>
    </row>
    <row r="15264" spans="11:11" ht="15" x14ac:dyDescent="0.25">
      <c r="K15264"/>
    </row>
    <row r="15265" spans="11:11" ht="15" x14ac:dyDescent="0.25">
      <c r="K15265"/>
    </row>
    <row r="15266" spans="11:11" ht="15" x14ac:dyDescent="0.25">
      <c r="K15266"/>
    </row>
    <row r="15267" spans="11:11" ht="15" x14ac:dyDescent="0.25">
      <c r="K15267"/>
    </row>
    <row r="15268" spans="11:11" ht="15" x14ac:dyDescent="0.25">
      <c r="K15268"/>
    </row>
    <row r="15269" spans="11:11" ht="15" x14ac:dyDescent="0.25">
      <c r="K15269"/>
    </row>
    <row r="15270" spans="11:11" ht="15" x14ac:dyDescent="0.25">
      <c r="K15270"/>
    </row>
    <row r="15271" spans="11:11" ht="15" x14ac:dyDescent="0.25">
      <c r="K15271"/>
    </row>
    <row r="15272" spans="11:11" ht="15" x14ac:dyDescent="0.25">
      <c r="K15272"/>
    </row>
    <row r="15273" spans="11:11" ht="15" x14ac:dyDescent="0.25">
      <c r="K15273"/>
    </row>
    <row r="15274" spans="11:11" ht="15" x14ac:dyDescent="0.25">
      <c r="K15274"/>
    </row>
    <row r="15275" spans="11:11" ht="15" x14ac:dyDescent="0.25">
      <c r="K15275"/>
    </row>
    <row r="15276" spans="11:11" ht="15" x14ac:dyDescent="0.25">
      <c r="K15276"/>
    </row>
    <row r="15277" spans="11:11" ht="15" x14ac:dyDescent="0.25">
      <c r="K15277"/>
    </row>
    <row r="15278" spans="11:11" ht="15" x14ac:dyDescent="0.25">
      <c r="K15278"/>
    </row>
    <row r="15279" spans="11:11" ht="15" x14ac:dyDescent="0.25">
      <c r="K15279"/>
    </row>
    <row r="15280" spans="11:11" ht="15" x14ac:dyDescent="0.25">
      <c r="K15280"/>
    </row>
    <row r="15281" spans="11:11" ht="15" x14ac:dyDescent="0.25">
      <c r="K15281"/>
    </row>
    <row r="15282" spans="11:11" ht="15" x14ac:dyDescent="0.25">
      <c r="K15282"/>
    </row>
    <row r="15283" spans="11:11" ht="15" x14ac:dyDescent="0.25">
      <c r="K15283"/>
    </row>
    <row r="15284" spans="11:11" ht="15" x14ac:dyDescent="0.25">
      <c r="K15284"/>
    </row>
    <row r="15285" spans="11:11" ht="15" x14ac:dyDescent="0.25">
      <c r="K15285"/>
    </row>
    <row r="15286" spans="11:11" ht="15" x14ac:dyDescent="0.25">
      <c r="K15286"/>
    </row>
    <row r="15287" spans="11:11" ht="15" x14ac:dyDescent="0.25">
      <c r="K15287"/>
    </row>
    <row r="15288" spans="11:11" ht="15" x14ac:dyDescent="0.25">
      <c r="K15288"/>
    </row>
    <row r="15289" spans="11:11" ht="15" x14ac:dyDescent="0.25">
      <c r="K15289"/>
    </row>
    <row r="15290" spans="11:11" ht="15" x14ac:dyDescent="0.25">
      <c r="K15290"/>
    </row>
    <row r="15291" spans="11:11" ht="15" x14ac:dyDescent="0.25">
      <c r="K15291"/>
    </row>
    <row r="15292" spans="11:11" ht="15" x14ac:dyDescent="0.25">
      <c r="K15292"/>
    </row>
    <row r="15293" spans="11:11" ht="15" x14ac:dyDescent="0.25">
      <c r="K15293"/>
    </row>
    <row r="15294" spans="11:11" ht="15" x14ac:dyDescent="0.25">
      <c r="K15294"/>
    </row>
    <row r="15295" spans="11:11" ht="15" x14ac:dyDescent="0.25">
      <c r="K15295"/>
    </row>
    <row r="15296" spans="11:11" ht="15" x14ac:dyDescent="0.25">
      <c r="K15296"/>
    </row>
    <row r="15297" spans="11:11" ht="15" x14ac:dyDescent="0.25">
      <c r="K15297"/>
    </row>
    <row r="15298" spans="11:11" ht="15" x14ac:dyDescent="0.25">
      <c r="K15298"/>
    </row>
    <row r="15299" spans="11:11" ht="15" x14ac:dyDescent="0.25">
      <c r="K15299"/>
    </row>
    <row r="15300" spans="11:11" ht="15" x14ac:dyDescent="0.25">
      <c r="K15300"/>
    </row>
    <row r="15301" spans="11:11" ht="15" x14ac:dyDescent="0.25">
      <c r="K15301"/>
    </row>
    <row r="15302" spans="11:11" ht="15" x14ac:dyDescent="0.25">
      <c r="K15302"/>
    </row>
    <row r="15303" spans="11:11" ht="15" x14ac:dyDescent="0.25">
      <c r="K15303"/>
    </row>
    <row r="15304" spans="11:11" ht="15" x14ac:dyDescent="0.25">
      <c r="K15304"/>
    </row>
    <row r="15305" spans="11:11" ht="15" x14ac:dyDescent="0.25">
      <c r="K15305"/>
    </row>
    <row r="15306" spans="11:11" ht="15" x14ac:dyDescent="0.25">
      <c r="K15306"/>
    </row>
    <row r="15307" spans="11:11" ht="15" x14ac:dyDescent="0.25">
      <c r="K15307"/>
    </row>
    <row r="15308" spans="11:11" ht="15" x14ac:dyDescent="0.25">
      <c r="K15308"/>
    </row>
    <row r="15309" spans="11:11" ht="15" x14ac:dyDescent="0.25">
      <c r="K15309"/>
    </row>
    <row r="15310" spans="11:11" ht="15" x14ac:dyDescent="0.25">
      <c r="K15310"/>
    </row>
    <row r="15311" spans="11:11" ht="15" x14ac:dyDescent="0.25">
      <c r="K15311"/>
    </row>
    <row r="15312" spans="11:11" ht="15" x14ac:dyDescent="0.25">
      <c r="K15312"/>
    </row>
    <row r="15313" spans="11:11" ht="15" x14ac:dyDescent="0.25">
      <c r="K15313"/>
    </row>
    <row r="15314" spans="11:11" ht="15" x14ac:dyDescent="0.25">
      <c r="K15314"/>
    </row>
    <row r="15315" spans="11:11" ht="15" x14ac:dyDescent="0.25">
      <c r="K15315"/>
    </row>
    <row r="15316" spans="11:11" ht="15" x14ac:dyDescent="0.25">
      <c r="K15316"/>
    </row>
    <row r="15317" spans="11:11" ht="15" x14ac:dyDescent="0.25">
      <c r="K15317"/>
    </row>
    <row r="15318" spans="11:11" ht="15" x14ac:dyDescent="0.25">
      <c r="K15318"/>
    </row>
    <row r="15319" spans="11:11" ht="15" x14ac:dyDescent="0.25">
      <c r="K15319"/>
    </row>
    <row r="15320" spans="11:11" ht="15" x14ac:dyDescent="0.25">
      <c r="K15320"/>
    </row>
    <row r="15321" spans="11:11" ht="15" x14ac:dyDescent="0.25">
      <c r="K15321"/>
    </row>
    <row r="15322" spans="11:11" ht="15" x14ac:dyDescent="0.25">
      <c r="K15322"/>
    </row>
    <row r="15323" spans="11:11" ht="15" x14ac:dyDescent="0.25">
      <c r="K15323"/>
    </row>
    <row r="15324" spans="11:11" ht="15" x14ac:dyDescent="0.25">
      <c r="K15324"/>
    </row>
    <row r="15325" spans="11:11" ht="15" x14ac:dyDescent="0.25">
      <c r="K15325"/>
    </row>
    <row r="15326" spans="11:11" ht="15" x14ac:dyDescent="0.25">
      <c r="K15326"/>
    </row>
    <row r="15327" spans="11:11" ht="15" x14ac:dyDescent="0.25">
      <c r="K15327"/>
    </row>
    <row r="15328" spans="11:11" ht="15" x14ac:dyDescent="0.25">
      <c r="K15328"/>
    </row>
    <row r="15329" spans="11:11" ht="15" x14ac:dyDescent="0.25">
      <c r="K15329"/>
    </row>
    <row r="15330" spans="11:11" ht="15" x14ac:dyDescent="0.25">
      <c r="K15330"/>
    </row>
    <row r="15331" spans="11:11" ht="15" x14ac:dyDescent="0.25">
      <c r="K15331"/>
    </row>
    <row r="15332" spans="11:11" ht="15" x14ac:dyDescent="0.25">
      <c r="K15332"/>
    </row>
    <row r="15333" spans="11:11" ht="15" x14ac:dyDescent="0.25">
      <c r="K15333"/>
    </row>
    <row r="15334" spans="11:11" ht="15" x14ac:dyDescent="0.25">
      <c r="K15334"/>
    </row>
    <row r="15335" spans="11:11" ht="15" x14ac:dyDescent="0.25">
      <c r="K15335"/>
    </row>
    <row r="15336" spans="11:11" ht="15" x14ac:dyDescent="0.25">
      <c r="K15336"/>
    </row>
    <row r="15337" spans="11:11" ht="15" x14ac:dyDescent="0.25">
      <c r="K15337"/>
    </row>
    <row r="15338" spans="11:11" ht="15" x14ac:dyDescent="0.25">
      <c r="K15338"/>
    </row>
    <row r="15339" spans="11:11" ht="15" x14ac:dyDescent="0.25">
      <c r="K15339"/>
    </row>
    <row r="15340" spans="11:11" ht="15" x14ac:dyDescent="0.25">
      <c r="K15340"/>
    </row>
    <row r="15341" spans="11:11" ht="15" x14ac:dyDescent="0.25">
      <c r="K15341"/>
    </row>
    <row r="15342" spans="11:11" ht="15" x14ac:dyDescent="0.25">
      <c r="K15342"/>
    </row>
    <row r="15343" spans="11:11" ht="15" x14ac:dyDescent="0.25">
      <c r="K15343"/>
    </row>
    <row r="15344" spans="11:11" ht="15" x14ac:dyDescent="0.25">
      <c r="K15344"/>
    </row>
    <row r="15345" spans="11:11" ht="15" x14ac:dyDescent="0.25">
      <c r="K15345"/>
    </row>
    <row r="15346" spans="11:11" ht="15" x14ac:dyDescent="0.25">
      <c r="K15346"/>
    </row>
    <row r="15347" spans="11:11" ht="15" x14ac:dyDescent="0.25">
      <c r="K15347"/>
    </row>
    <row r="15348" spans="11:11" ht="15" x14ac:dyDescent="0.25">
      <c r="K15348"/>
    </row>
    <row r="15349" spans="11:11" ht="15" x14ac:dyDescent="0.25">
      <c r="K15349"/>
    </row>
    <row r="15350" spans="11:11" ht="15" x14ac:dyDescent="0.25">
      <c r="K15350"/>
    </row>
    <row r="15351" spans="11:11" ht="15" x14ac:dyDescent="0.25">
      <c r="K15351"/>
    </row>
    <row r="15352" spans="11:11" ht="15" x14ac:dyDescent="0.25">
      <c r="K15352"/>
    </row>
    <row r="15353" spans="11:11" ht="15" x14ac:dyDescent="0.25">
      <c r="K15353"/>
    </row>
    <row r="15354" spans="11:11" ht="15" x14ac:dyDescent="0.25">
      <c r="K15354"/>
    </row>
    <row r="15355" spans="11:11" ht="15" x14ac:dyDescent="0.25">
      <c r="K15355"/>
    </row>
    <row r="15356" spans="11:11" ht="15" x14ac:dyDescent="0.25">
      <c r="K15356"/>
    </row>
    <row r="15357" spans="11:11" ht="15" x14ac:dyDescent="0.25">
      <c r="K15357"/>
    </row>
    <row r="15358" spans="11:11" ht="15" x14ac:dyDescent="0.25">
      <c r="K15358"/>
    </row>
    <row r="15359" spans="11:11" ht="15" x14ac:dyDescent="0.25">
      <c r="K15359"/>
    </row>
    <row r="15360" spans="11:11" ht="15" x14ac:dyDescent="0.25">
      <c r="K15360"/>
    </row>
    <row r="15361" spans="11:11" ht="15" x14ac:dyDescent="0.25">
      <c r="K15361"/>
    </row>
    <row r="15362" spans="11:11" ht="15" x14ac:dyDescent="0.25">
      <c r="K15362"/>
    </row>
    <row r="15363" spans="11:11" ht="15" x14ac:dyDescent="0.25">
      <c r="K15363"/>
    </row>
    <row r="15364" spans="11:11" ht="15" x14ac:dyDescent="0.25">
      <c r="K15364"/>
    </row>
    <row r="15365" spans="11:11" ht="15" x14ac:dyDescent="0.25">
      <c r="K15365"/>
    </row>
    <row r="15366" spans="11:11" ht="15" x14ac:dyDescent="0.25">
      <c r="K15366"/>
    </row>
    <row r="15367" spans="11:11" ht="15" x14ac:dyDescent="0.25">
      <c r="K15367"/>
    </row>
    <row r="15368" spans="11:11" ht="15" x14ac:dyDescent="0.25">
      <c r="K15368"/>
    </row>
    <row r="15369" spans="11:11" ht="15" x14ac:dyDescent="0.25">
      <c r="K15369"/>
    </row>
    <row r="15370" spans="11:11" ht="15" x14ac:dyDescent="0.25">
      <c r="K15370"/>
    </row>
    <row r="15371" spans="11:11" ht="15" x14ac:dyDescent="0.25">
      <c r="K15371"/>
    </row>
    <row r="15372" spans="11:11" ht="15" x14ac:dyDescent="0.25">
      <c r="K15372"/>
    </row>
    <row r="15373" spans="11:11" ht="15" x14ac:dyDescent="0.25">
      <c r="K15373"/>
    </row>
    <row r="15374" spans="11:11" ht="15" x14ac:dyDescent="0.25">
      <c r="K15374"/>
    </row>
    <row r="15375" spans="11:11" ht="15" x14ac:dyDescent="0.25">
      <c r="K15375"/>
    </row>
    <row r="15376" spans="11:11" ht="15" x14ac:dyDescent="0.25">
      <c r="K15376"/>
    </row>
    <row r="15377" spans="11:11" ht="15" x14ac:dyDescent="0.25">
      <c r="K15377"/>
    </row>
    <row r="15378" spans="11:11" ht="15" x14ac:dyDescent="0.25">
      <c r="K15378"/>
    </row>
    <row r="15379" spans="11:11" ht="15" x14ac:dyDescent="0.25">
      <c r="K15379"/>
    </row>
    <row r="15380" spans="11:11" ht="15" x14ac:dyDescent="0.25">
      <c r="K15380"/>
    </row>
    <row r="15381" spans="11:11" ht="15" x14ac:dyDescent="0.25">
      <c r="K15381"/>
    </row>
    <row r="15382" spans="11:11" ht="15" x14ac:dyDescent="0.25">
      <c r="K15382"/>
    </row>
    <row r="15383" spans="11:11" ht="15" x14ac:dyDescent="0.25">
      <c r="K15383"/>
    </row>
    <row r="15384" spans="11:11" ht="15" x14ac:dyDescent="0.25">
      <c r="K15384"/>
    </row>
    <row r="15385" spans="11:11" ht="15" x14ac:dyDescent="0.25">
      <c r="K15385"/>
    </row>
    <row r="15386" spans="11:11" ht="15" x14ac:dyDescent="0.25">
      <c r="K15386"/>
    </row>
    <row r="15387" spans="11:11" ht="15" x14ac:dyDescent="0.25">
      <c r="K15387"/>
    </row>
    <row r="15388" spans="11:11" ht="15" x14ac:dyDescent="0.25">
      <c r="K15388"/>
    </row>
    <row r="15389" spans="11:11" ht="15" x14ac:dyDescent="0.25">
      <c r="K15389"/>
    </row>
    <row r="15390" spans="11:11" ht="15" x14ac:dyDescent="0.25">
      <c r="K15390"/>
    </row>
    <row r="15391" spans="11:11" ht="15" x14ac:dyDescent="0.25">
      <c r="K15391"/>
    </row>
    <row r="15392" spans="11:11" ht="15" x14ac:dyDescent="0.25">
      <c r="K15392"/>
    </row>
    <row r="15393" spans="11:11" ht="15" x14ac:dyDescent="0.25">
      <c r="K15393"/>
    </row>
    <row r="15394" spans="11:11" ht="15" x14ac:dyDescent="0.25">
      <c r="K15394"/>
    </row>
    <row r="15395" spans="11:11" ht="15" x14ac:dyDescent="0.25">
      <c r="K15395"/>
    </row>
    <row r="15396" spans="11:11" ht="15" x14ac:dyDescent="0.25">
      <c r="K15396"/>
    </row>
    <row r="15397" spans="11:11" ht="15" x14ac:dyDescent="0.25">
      <c r="K15397"/>
    </row>
    <row r="15398" spans="11:11" ht="15" x14ac:dyDescent="0.25">
      <c r="K15398"/>
    </row>
    <row r="15399" spans="11:11" ht="15" x14ac:dyDescent="0.25">
      <c r="K15399"/>
    </row>
    <row r="15400" spans="11:11" ht="15" x14ac:dyDescent="0.25">
      <c r="K15400"/>
    </row>
    <row r="15401" spans="11:11" ht="15" x14ac:dyDescent="0.25">
      <c r="K15401"/>
    </row>
    <row r="15402" spans="11:11" ht="15" x14ac:dyDescent="0.25">
      <c r="K15402"/>
    </row>
    <row r="15403" spans="11:11" ht="15" x14ac:dyDescent="0.25">
      <c r="K15403"/>
    </row>
    <row r="15404" spans="11:11" ht="15" x14ac:dyDescent="0.25">
      <c r="K15404"/>
    </row>
    <row r="15405" spans="11:11" ht="15" x14ac:dyDescent="0.25">
      <c r="K15405"/>
    </row>
    <row r="15406" spans="11:11" ht="15" x14ac:dyDescent="0.25">
      <c r="K15406"/>
    </row>
    <row r="15407" spans="11:11" ht="15" x14ac:dyDescent="0.25">
      <c r="K15407"/>
    </row>
    <row r="15408" spans="11:11" ht="15" x14ac:dyDescent="0.25">
      <c r="K15408"/>
    </row>
    <row r="15409" spans="11:11" ht="15" x14ac:dyDescent="0.25">
      <c r="K15409"/>
    </row>
    <row r="15410" spans="11:11" ht="15" x14ac:dyDescent="0.25">
      <c r="K15410"/>
    </row>
    <row r="15411" spans="11:11" ht="15" x14ac:dyDescent="0.25">
      <c r="K15411"/>
    </row>
    <row r="15412" spans="11:11" ht="15" x14ac:dyDescent="0.25">
      <c r="K15412"/>
    </row>
    <row r="15413" spans="11:11" ht="15" x14ac:dyDescent="0.25">
      <c r="K15413"/>
    </row>
    <row r="15414" spans="11:11" ht="15" x14ac:dyDescent="0.25">
      <c r="K15414"/>
    </row>
    <row r="15415" spans="11:11" ht="15" x14ac:dyDescent="0.25">
      <c r="K15415"/>
    </row>
    <row r="15416" spans="11:11" ht="15" x14ac:dyDescent="0.25">
      <c r="K15416"/>
    </row>
    <row r="15417" spans="11:11" ht="15" x14ac:dyDescent="0.25">
      <c r="K15417"/>
    </row>
    <row r="15418" spans="11:11" ht="15" x14ac:dyDescent="0.25">
      <c r="K15418"/>
    </row>
    <row r="15419" spans="11:11" ht="15" x14ac:dyDescent="0.25">
      <c r="K15419"/>
    </row>
    <row r="15420" spans="11:11" ht="15" x14ac:dyDescent="0.25">
      <c r="K15420"/>
    </row>
    <row r="15421" spans="11:11" ht="15" x14ac:dyDescent="0.25">
      <c r="K15421"/>
    </row>
    <row r="15422" spans="11:11" ht="15" x14ac:dyDescent="0.25">
      <c r="K15422"/>
    </row>
    <row r="15423" spans="11:11" ht="15" x14ac:dyDescent="0.25">
      <c r="K15423"/>
    </row>
    <row r="15424" spans="11:11" ht="15" x14ac:dyDescent="0.25">
      <c r="K15424"/>
    </row>
    <row r="15425" spans="11:11" ht="15" x14ac:dyDescent="0.25">
      <c r="K15425"/>
    </row>
    <row r="15426" spans="11:11" ht="15" x14ac:dyDescent="0.25">
      <c r="K15426"/>
    </row>
    <row r="15427" spans="11:11" ht="15" x14ac:dyDescent="0.25">
      <c r="K15427"/>
    </row>
    <row r="15428" spans="11:11" ht="15" x14ac:dyDescent="0.25">
      <c r="K15428"/>
    </row>
    <row r="15429" spans="11:11" ht="15" x14ac:dyDescent="0.25">
      <c r="K15429"/>
    </row>
    <row r="15430" spans="11:11" ht="15" x14ac:dyDescent="0.25">
      <c r="K15430"/>
    </row>
    <row r="15431" spans="11:11" ht="15" x14ac:dyDescent="0.25">
      <c r="K15431"/>
    </row>
    <row r="15432" spans="11:11" ht="15" x14ac:dyDescent="0.25">
      <c r="K15432"/>
    </row>
    <row r="15433" spans="11:11" ht="15" x14ac:dyDescent="0.25">
      <c r="K15433"/>
    </row>
    <row r="15434" spans="11:11" ht="15" x14ac:dyDescent="0.25">
      <c r="K15434"/>
    </row>
    <row r="15435" spans="11:11" ht="15" x14ac:dyDescent="0.25">
      <c r="K15435"/>
    </row>
    <row r="15436" spans="11:11" ht="15" x14ac:dyDescent="0.25">
      <c r="K15436"/>
    </row>
    <row r="15437" spans="11:11" ht="15" x14ac:dyDescent="0.25">
      <c r="K15437"/>
    </row>
    <row r="15438" spans="11:11" ht="15" x14ac:dyDescent="0.25">
      <c r="K15438"/>
    </row>
    <row r="15439" spans="11:11" ht="15" x14ac:dyDescent="0.25">
      <c r="K15439"/>
    </row>
    <row r="15440" spans="11:11" ht="15" x14ac:dyDescent="0.25">
      <c r="K15440"/>
    </row>
    <row r="15441" spans="11:11" ht="15" x14ac:dyDescent="0.25">
      <c r="K15441"/>
    </row>
    <row r="15442" spans="11:11" ht="15" x14ac:dyDescent="0.25">
      <c r="K15442"/>
    </row>
    <row r="15443" spans="11:11" ht="15" x14ac:dyDescent="0.25">
      <c r="K15443"/>
    </row>
    <row r="15444" spans="11:11" ht="15" x14ac:dyDescent="0.25">
      <c r="K15444"/>
    </row>
    <row r="15445" spans="11:11" ht="15" x14ac:dyDescent="0.25">
      <c r="K15445"/>
    </row>
    <row r="15446" spans="11:11" ht="15" x14ac:dyDescent="0.25">
      <c r="K15446"/>
    </row>
    <row r="15447" spans="11:11" ht="15" x14ac:dyDescent="0.25">
      <c r="K15447"/>
    </row>
    <row r="15448" spans="11:11" ht="15" x14ac:dyDescent="0.25">
      <c r="K15448"/>
    </row>
    <row r="15449" spans="11:11" ht="15" x14ac:dyDescent="0.25">
      <c r="K15449"/>
    </row>
    <row r="15450" spans="11:11" ht="15" x14ac:dyDescent="0.25">
      <c r="K15450"/>
    </row>
    <row r="15451" spans="11:11" ht="15" x14ac:dyDescent="0.25">
      <c r="K15451"/>
    </row>
    <row r="15452" spans="11:11" ht="15" x14ac:dyDescent="0.25">
      <c r="K15452"/>
    </row>
    <row r="15453" spans="11:11" ht="15" x14ac:dyDescent="0.25">
      <c r="K15453"/>
    </row>
    <row r="15454" spans="11:11" ht="15" x14ac:dyDescent="0.25">
      <c r="K15454"/>
    </row>
    <row r="15455" spans="11:11" ht="15" x14ac:dyDescent="0.25">
      <c r="K15455"/>
    </row>
    <row r="15456" spans="11:11" ht="15" x14ac:dyDescent="0.25">
      <c r="K15456"/>
    </row>
    <row r="15457" spans="11:11" ht="15" x14ac:dyDescent="0.25">
      <c r="K15457"/>
    </row>
    <row r="15458" spans="11:11" ht="15" x14ac:dyDescent="0.25">
      <c r="K15458"/>
    </row>
    <row r="15459" spans="11:11" ht="15" x14ac:dyDescent="0.25">
      <c r="K15459"/>
    </row>
    <row r="15460" spans="11:11" ht="15" x14ac:dyDescent="0.25">
      <c r="K15460"/>
    </row>
    <row r="15461" spans="11:11" ht="15" x14ac:dyDescent="0.25">
      <c r="K15461"/>
    </row>
    <row r="15462" spans="11:11" ht="15" x14ac:dyDescent="0.25">
      <c r="K15462"/>
    </row>
    <row r="15463" spans="11:11" ht="15" x14ac:dyDescent="0.25">
      <c r="K15463"/>
    </row>
    <row r="15464" spans="11:11" ht="15" x14ac:dyDescent="0.25">
      <c r="K15464"/>
    </row>
    <row r="15465" spans="11:11" ht="15" x14ac:dyDescent="0.25">
      <c r="K15465"/>
    </row>
    <row r="15466" spans="11:11" ht="15" x14ac:dyDescent="0.25">
      <c r="K15466"/>
    </row>
    <row r="15467" spans="11:11" ht="15" x14ac:dyDescent="0.25">
      <c r="K15467"/>
    </row>
    <row r="15468" spans="11:11" ht="15" x14ac:dyDescent="0.25">
      <c r="K15468"/>
    </row>
    <row r="15469" spans="11:11" ht="15" x14ac:dyDescent="0.25">
      <c r="K15469"/>
    </row>
    <row r="15470" spans="11:11" ht="15" x14ac:dyDescent="0.25">
      <c r="K15470"/>
    </row>
    <row r="15471" spans="11:11" ht="15" x14ac:dyDescent="0.25">
      <c r="K15471"/>
    </row>
    <row r="15472" spans="11:11" ht="15" x14ac:dyDescent="0.25">
      <c r="K15472"/>
    </row>
    <row r="15473" spans="11:11" ht="15" x14ac:dyDescent="0.25">
      <c r="K15473"/>
    </row>
    <row r="15474" spans="11:11" ht="15" x14ac:dyDescent="0.25">
      <c r="K15474"/>
    </row>
    <row r="15475" spans="11:11" ht="15" x14ac:dyDescent="0.25">
      <c r="K15475"/>
    </row>
    <row r="15476" spans="11:11" ht="15" x14ac:dyDescent="0.25">
      <c r="K15476"/>
    </row>
    <row r="15477" spans="11:11" ht="15" x14ac:dyDescent="0.25">
      <c r="K15477"/>
    </row>
    <row r="15478" spans="11:11" ht="15" x14ac:dyDescent="0.25">
      <c r="K15478"/>
    </row>
    <row r="15479" spans="11:11" ht="15" x14ac:dyDescent="0.25">
      <c r="K15479"/>
    </row>
    <row r="15480" spans="11:11" ht="15" x14ac:dyDescent="0.25">
      <c r="K15480"/>
    </row>
    <row r="15481" spans="11:11" ht="15" x14ac:dyDescent="0.25">
      <c r="K15481"/>
    </row>
    <row r="15482" spans="11:11" ht="15" x14ac:dyDescent="0.25">
      <c r="K15482"/>
    </row>
    <row r="15483" spans="11:11" ht="15" x14ac:dyDescent="0.25">
      <c r="K15483"/>
    </row>
    <row r="15484" spans="11:11" ht="15" x14ac:dyDescent="0.25">
      <c r="K15484"/>
    </row>
    <row r="15485" spans="11:11" ht="15" x14ac:dyDescent="0.25">
      <c r="K15485"/>
    </row>
    <row r="15486" spans="11:11" ht="15" x14ac:dyDescent="0.25">
      <c r="K15486"/>
    </row>
    <row r="15487" spans="11:11" ht="15" x14ac:dyDescent="0.25">
      <c r="K15487"/>
    </row>
    <row r="15488" spans="11:11" ht="15" x14ac:dyDescent="0.25">
      <c r="K15488"/>
    </row>
    <row r="15489" spans="11:11" ht="15" x14ac:dyDescent="0.25">
      <c r="K15489"/>
    </row>
    <row r="15490" spans="11:11" ht="15" x14ac:dyDescent="0.25">
      <c r="K15490"/>
    </row>
    <row r="15491" spans="11:11" ht="15" x14ac:dyDescent="0.25">
      <c r="K15491"/>
    </row>
    <row r="15492" spans="11:11" ht="15" x14ac:dyDescent="0.25">
      <c r="K15492"/>
    </row>
    <row r="15493" spans="11:11" ht="15" x14ac:dyDescent="0.25">
      <c r="K15493"/>
    </row>
    <row r="15494" spans="11:11" ht="15" x14ac:dyDescent="0.25">
      <c r="K15494"/>
    </row>
    <row r="15495" spans="11:11" ht="15" x14ac:dyDescent="0.25">
      <c r="K15495"/>
    </row>
    <row r="15496" spans="11:11" ht="15" x14ac:dyDescent="0.25">
      <c r="K15496"/>
    </row>
    <row r="15497" spans="11:11" ht="15" x14ac:dyDescent="0.25">
      <c r="K15497"/>
    </row>
    <row r="15498" spans="11:11" ht="15" x14ac:dyDescent="0.25">
      <c r="K15498"/>
    </row>
    <row r="15499" spans="11:11" ht="15" x14ac:dyDescent="0.25">
      <c r="K15499"/>
    </row>
    <row r="15500" spans="11:11" ht="15" x14ac:dyDescent="0.25">
      <c r="K15500"/>
    </row>
    <row r="15501" spans="11:11" ht="15" x14ac:dyDescent="0.25">
      <c r="K15501"/>
    </row>
    <row r="15502" spans="11:11" ht="15" x14ac:dyDescent="0.25">
      <c r="K15502"/>
    </row>
    <row r="15503" spans="11:11" ht="15" x14ac:dyDescent="0.25">
      <c r="K15503"/>
    </row>
    <row r="15504" spans="11:11" ht="15" x14ac:dyDescent="0.25">
      <c r="K15504"/>
    </row>
    <row r="15505" spans="11:11" ht="15" x14ac:dyDescent="0.25">
      <c r="K15505"/>
    </row>
    <row r="15506" spans="11:11" ht="15" x14ac:dyDescent="0.25">
      <c r="K15506"/>
    </row>
    <row r="15507" spans="11:11" ht="15" x14ac:dyDescent="0.25">
      <c r="K15507"/>
    </row>
    <row r="15508" spans="11:11" ht="15" x14ac:dyDescent="0.25">
      <c r="K15508"/>
    </row>
    <row r="15509" spans="11:11" ht="15" x14ac:dyDescent="0.25">
      <c r="K15509"/>
    </row>
    <row r="15510" spans="11:11" ht="15" x14ac:dyDescent="0.25">
      <c r="K15510"/>
    </row>
    <row r="15511" spans="11:11" ht="15" x14ac:dyDescent="0.25">
      <c r="K15511"/>
    </row>
    <row r="15512" spans="11:11" ht="15" x14ac:dyDescent="0.25">
      <c r="K15512"/>
    </row>
    <row r="15513" spans="11:11" ht="15" x14ac:dyDescent="0.25">
      <c r="K15513"/>
    </row>
    <row r="15514" spans="11:11" ht="15" x14ac:dyDescent="0.25">
      <c r="K15514"/>
    </row>
    <row r="15515" spans="11:11" ht="15" x14ac:dyDescent="0.25">
      <c r="K15515"/>
    </row>
    <row r="15516" spans="11:11" ht="15" x14ac:dyDescent="0.25">
      <c r="K15516"/>
    </row>
    <row r="15517" spans="11:11" ht="15" x14ac:dyDescent="0.25">
      <c r="K15517"/>
    </row>
    <row r="15518" spans="11:11" ht="15" x14ac:dyDescent="0.25">
      <c r="K15518"/>
    </row>
    <row r="15519" spans="11:11" ht="15" x14ac:dyDescent="0.25">
      <c r="K15519"/>
    </row>
    <row r="15520" spans="11:11" ht="15" x14ac:dyDescent="0.25">
      <c r="K15520"/>
    </row>
    <row r="15521" spans="11:11" ht="15" x14ac:dyDescent="0.25">
      <c r="K15521"/>
    </row>
    <row r="15522" spans="11:11" ht="15" x14ac:dyDescent="0.25">
      <c r="K15522"/>
    </row>
    <row r="15523" spans="11:11" ht="15" x14ac:dyDescent="0.25">
      <c r="K15523"/>
    </row>
    <row r="15524" spans="11:11" ht="15" x14ac:dyDescent="0.25">
      <c r="K15524"/>
    </row>
    <row r="15525" spans="11:11" ht="15" x14ac:dyDescent="0.25">
      <c r="K15525"/>
    </row>
    <row r="15526" spans="11:11" ht="15" x14ac:dyDescent="0.25">
      <c r="K15526"/>
    </row>
    <row r="15527" spans="11:11" ht="15" x14ac:dyDescent="0.25">
      <c r="K15527"/>
    </row>
    <row r="15528" spans="11:11" ht="15" x14ac:dyDescent="0.25">
      <c r="K15528"/>
    </row>
    <row r="15529" spans="11:11" ht="15" x14ac:dyDescent="0.25">
      <c r="K15529"/>
    </row>
    <row r="15530" spans="11:11" ht="15" x14ac:dyDescent="0.25">
      <c r="K15530"/>
    </row>
    <row r="15531" spans="11:11" ht="15" x14ac:dyDescent="0.25">
      <c r="K15531"/>
    </row>
    <row r="15532" spans="11:11" ht="15" x14ac:dyDescent="0.25">
      <c r="K15532"/>
    </row>
    <row r="15533" spans="11:11" ht="15" x14ac:dyDescent="0.25">
      <c r="K15533"/>
    </row>
    <row r="15534" spans="11:11" ht="15" x14ac:dyDescent="0.25">
      <c r="K15534"/>
    </row>
    <row r="15535" spans="11:11" ht="15" x14ac:dyDescent="0.25">
      <c r="K15535"/>
    </row>
    <row r="15536" spans="11:11" ht="15" x14ac:dyDescent="0.25">
      <c r="K15536"/>
    </row>
    <row r="15537" spans="11:11" ht="15" x14ac:dyDescent="0.25">
      <c r="K15537"/>
    </row>
    <row r="15538" spans="11:11" ht="15" x14ac:dyDescent="0.25">
      <c r="K15538"/>
    </row>
    <row r="15539" spans="11:11" ht="15" x14ac:dyDescent="0.25">
      <c r="K15539"/>
    </row>
    <row r="15540" spans="11:11" ht="15" x14ac:dyDescent="0.25">
      <c r="K15540"/>
    </row>
    <row r="15541" spans="11:11" ht="15" x14ac:dyDescent="0.25">
      <c r="K15541"/>
    </row>
    <row r="15542" spans="11:11" ht="15" x14ac:dyDescent="0.25">
      <c r="K15542"/>
    </row>
    <row r="15543" spans="11:11" ht="15" x14ac:dyDescent="0.25">
      <c r="K15543"/>
    </row>
    <row r="15544" spans="11:11" ht="15" x14ac:dyDescent="0.25">
      <c r="K15544"/>
    </row>
    <row r="15545" spans="11:11" ht="15" x14ac:dyDescent="0.25">
      <c r="K15545"/>
    </row>
    <row r="15546" spans="11:11" ht="15" x14ac:dyDescent="0.25">
      <c r="K15546"/>
    </row>
    <row r="15547" spans="11:11" ht="15" x14ac:dyDescent="0.25">
      <c r="K15547"/>
    </row>
    <row r="15548" spans="11:11" ht="15" x14ac:dyDescent="0.25">
      <c r="K15548"/>
    </row>
    <row r="15549" spans="11:11" ht="15" x14ac:dyDescent="0.25">
      <c r="K15549"/>
    </row>
    <row r="15550" spans="11:11" ht="15" x14ac:dyDescent="0.25">
      <c r="K15550"/>
    </row>
    <row r="15551" spans="11:11" ht="15" x14ac:dyDescent="0.25">
      <c r="K15551"/>
    </row>
    <row r="15552" spans="11:11" ht="15" x14ac:dyDescent="0.25">
      <c r="K15552"/>
    </row>
    <row r="15553" spans="11:11" ht="15" x14ac:dyDescent="0.25">
      <c r="K15553"/>
    </row>
    <row r="15554" spans="11:11" ht="15" x14ac:dyDescent="0.25">
      <c r="K15554"/>
    </row>
    <row r="15555" spans="11:11" ht="15" x14ac:dyDescent="0.25">
      <c r="K15555"/>
    </row>
    <row r="15556" spans="11:11" ht="15" x14ac:dyDescent="0.25">
      <c r="K15556"/>
    </row>
    <row r="15557" spans="11:11" ht="15" x14ac:dyDescent="0.25">
      <c r="K15557"/>
    </row>
    <row r="15558" spans="11:11" ht="15" x14ac:dyDescent="0.25">
      <c r="K15558"/>
    </row>
    <row r="15559" spans="11:11" ht="15" x14ac:dyDescent="0.25">
      <c r="K15559"/>
    </row>
    <row r="15560" spans="11:11" ht="15" x14ac:dyDescent="0.25">
      <c r="K15560"/>
    </row>
    <row r="15561" spans="11:11" ht="15" x14ac:dyDescent="0.25">
      <c r="K15561"/>
    </row>
    <row r="15562" spans="11:11" ht="15" x14ac:dyDescent="0.25">
      <c r="K15562"/>
    </row>
    <row r="15563" spans="11:11" ht="15" x14ac:dyDescent="0.25">
      <c r="K15563"/>
    </row>
    <row r="15564" spans="11:11" ht="15" x14ac:dyDescent="0.25">
      <c r="K15564"/>
    </row>
    <row r="15565" spans="11:11" ht="15" x14ac:dyDescent="0.25">
      <c r="K15565"/>
    </row>
    <row r="15566" spans="11:11" ht="15" x14ac:dyDescent="0.25">
      <c r="K15566"/>
    </row>
    <row r="15567" spans="11:11" ht="15" x14ac:dyDescent="0.25">
      <c r="K15567"/>
    </row>
    <row r="15568" spans="11:11" ht="15" x14ac:dyDescent="0.25">
      <c r="K15568"/>
    </row>
    <row r="15569" spans="11:11" ht="15" x14ac:dyDescent="0.25">
      <c r="K15569"/>
    </row>
    <row r="15570" spans="11:11" ht="15" x14ac:dyDescent="0.25">
      <c r="K15570"/>
    </row>
    <row r="15571" spans="11:11" ht="15" x14ac:dyDescent="0.25">
      <c r="K15571"/>
    </row>
    <row r="15572" spans="11:11" ht="15" x14ac:dyDescent="0.25">
      <c r="K15572"/>
    </row>
    <row r="15573" spans="11:11" ht="15" x14ac:dyDescent="0.25">
      <c r="K15573"/>
    </row>
    <row r="15574" spans="11:11" ht="15" x14ac:dyDescent="0.25">
      <c r="K15574"/>
    </row>
    <row r="15575" spans="11:11" ht="15" x14ac:dyDescent="0.25">
      <c r="K15575"/>
    </row>
    <row r="15576" spans="11:11" ht="15" x14ac:dyDescent="0.25">
      <c r="K15576"/>
    </row>
    <row r="15577" spans="11:11" ht="15" x14ac:dyDescent="0.25">
      <c r="K15577"/>
    </row>
    <row r="15578" spans="11:11" ht="15" x14ac:dyDescent="0.25">
      <c r="K15578"/>
    </row>
    <row r="15579" spans="11:11" ht="15" x14ac:dyDescent="0.25">
      <c r="K15579"/>
    </row>
    <row r="15580" spans="11:11" ht="15" x14ac:dyDescent="0.25">
      <c r="K15580"/>
    </row>
    <row r="15581" spans="11:11" ht="15" x14ac:dyDescent="0.25">
      <c r="K15581"/>
    </row>
    <row r="15582" spans="11:11" ht="15" x14ac:dyDescent="0.25">
      <c r="K15582"/>
    </row>
    <row r="15583" spans="11:11" ht="15" x14ac:dyDescent="0.25">
      <c r="K15583"/>
    </row>
    <row r="15584" spans="11:11" ht="15" x14ac:dyDescent="0.25">
      <c r="K15584"/>
    </row>
    <row r="15585" spans="11:11" ht="15" x14ac:dyDescent="0.25">
      <c r="K15585"/>
    </row>
    <row r="15586" spans="11:11" ht="15" x14ac:dyDescent="0.25">
      <c r="K15586"/>
    </row>
    <row r="15587" spans="11:11" ht="15" x14ac:dyDescent="0.25">
      <c r="K15587"/>
    </row>
    <row r="15588" spans="11:11" ht="15" x14ac:dyDescent="0.25">
      <c r="K15588"/>
    </row>
    <row r="15589" spans="11:11" ht="15" x14ac:dyDescent="0.25">
      <c r="K15589"/>
    </row>
    <row r="15590" spans="11:11" ht="15" x14ac:dyDescent="0.25">
      <c r="K15590"/>
    </row>
    <row r="15591" spans="11:11" ht="15" x14ac:dyDescent="0.25">
      <c r="K15591"/>
    </row>
    <row r="15592" spans="11:11" ht="15" x14ac:dyDescent="0.25">
      <c r="K15592"/>
    </row>
    <row r="15593" spans="11:11" ht="15" x14ac:dyDescent="0.25">
      <c r="K15593"/>
    </row>
    <row r="15594" spans="11:11" ht="15" x14ac:dyDescent="0.25">
      <c r="K15594"/>
    </row>
    <row r="15595" spans="11:11" ht="15" x14ac:dyDescent="0.25">
      <c r="K15595"/>
    </row>
    <row r="15596" spans="11:11" ht="15" x14ac:dyDescent="0.25">
      <c r="K15596"/>
    </row>
    <row r="15597" spans="11:11" ht="15" x14ac:dyDescent="0.25">
      <c r="K15597"/>
    </row>
    <row r="15598" spans="11:11" ht="15" x14ac:dyDescent="0.25">
      <c r="K15598"/>
    </row>
    <row r="15599" spans="11:11" ht="15" x14ac:dyDescent="0.25">
      <c r="K15599"/>
    </row>
    <row r="15600" spans="11:11" ht="15" x14ac:dyDescent="0.25">
      <c r="K15600"/>
    </row>
    <row r="15601" spans="11:11" ht="15" x14ac:dyDescent="0.25">
      <c r="K15601"/>
    </row>
    <row r="15602" spans="11:11" ht="15" x14ac:dyDescent="0.25">
      <c r="K15602"/>
    </row>
    <row r="15603" spans="11:11" ht="15" x14ac:dyDescent="0.25">
      <c r="K15603"/>
    </row>
    <row r="15604" spans="11:11" ht="15" x14ac:dyDescent="0.25">
      <c r="K15604"/>
    </row>
    <row r="15605" spans="11:11" ht="15" x14ac:dyDescent="0.25">
      <c r="K15605"/>
    </row>
    <row r="15606" spans="11:11" ht="15" x14ac:dyDescent="0.25">
      <c r="K15606"/>
    </row>
    <row r="15607" spans="11:11" ht="15" x14ac:dyDescent="0.25">
      <c r="K15607"/>
    </row>
    <row r="15608" spans="11:11" ht="15" x14ac:dyDescent="0.25">
      <c r="K15608"/>
    </row>
    <row r="15609" spans="11:11" ht="15" x14ac:dyDescent="0.25">
      <c r="K15609"/>
    </row>
    <row r="15610" spans="11:11" ht="15" x14ac:dyDescent="0.25">
      <c r="K15610"/>
    </row>
    <row r="15611" spans="11:11" ht="15" x14ac:dyDescent="0.25">
      <c r="K15611"/>
    </row>
    <row r="15612" spans="11:11" ht="15" x14ac:dyDescent="0.25">
      <c r="K15612"/>
    </row>
    <row r="15613" spans="11:11" ht="15" x14ac:dyDescent="0.25">
      <c r="K15613"/>
    </row>
    <row r="15614" spans="11:11" ht="15" x14ac:dyDescent="0.25">
      <c r="K15614"/>
    </row>
    <row r="15615" spans="11:11" ht="15" x14ac:dyDescent="0.25">
      <c r="K15615"/>
    </row>
    <row r="15616" spans="11:11" ht="15" x14ac:dyDescent="0.25">
      <c r="K15616"/>
    </row>
    <row r="15617" spans="11:11" ht="15" x14ac:dyDescent="0.25">
      <c r="K15617"/>
    </row>
    <row r="15618" spans="11:11" ht="15" x14ac:dyDescent="0.25">
      <c r="K15618"/>
    </row>
    <row r="15619" spans="11:11" ht="15" x14ac:dyDescent="0.25">
      <c r="K15619"/>
    </row>
    <row r="15620" spans="11:11" ht="15" x14ac:dyDescent="0.25">
      <c r="K15620"/>
    </row>
    <row r="15621" spans="11:11" ht="15" x14ac:dyDescent="0.25">
      <c r="K15621"/>
    </row>
    <row r="15622" spans="11:11" ht="15" x14ac:dyDescent="0.25">
      <c r="K15622"/>
    </row>
    <row r="15623" spans="11:11" ht="15" x14ac:dyDescent="0.25">
      <c r="K15623"/>
    </row>
    <row r="15624" spans="11:11" ht="15" x14ac:dyDescent="0.25">
      <c r="K15624"/>
    </row>
    <row r="15625" spans="11:11" ht="15" x14ac:dyDescent="0.25">
      <c r="K15625"/>
    </row>
    <row r="15626" spans="11:11" ht="15" x14ac:dyDescent="0.25">
      <c r="K15626"/>
    </row>
    <row r="15627" spans="11:11" ht="15" x14ac:dyDescent="0.25">
      <c r="K15627"/>
    </row>
    <row r="15628" spans="11:11" ht="15" x14ac:dyDescent="0.25">
      <c r="K15628"/>
    </row>
    <row r="15629" spans="11:11" ht="15" x14ac:dyDescent="0.25">
      <c r="K15629"/>
    </row>
    <row r="15630" spans="11:11" ht="15" x14ac:dyDescent="0.25">
      <c r="K15630"/>
    </row>
    <row r="15631" spans="11:11" ht="15" x14ac:dyDescent="0.25">
      <c r="K15631"/>
    </row>
    <row r="15632" spans="11:11" ht="15" x14ac:dyDescent="0.25">
      <c r="K15632"/>
    </row>
    <row r="15633" spans="11:11" ht="15" x14ac:dyDescent="0.25">
      <c r="K15633"/>
    </row>
    <row r="15634" spans="11:11" ht="15" x14ac:dyDescent="0.25">
      <c r="K15634"/>
    </row>
    <row r="15635" spans="11:11" ht="15" x14ac:dyDescent="0.25">
      <c r="K15635"/>
    </row>
    <row r="15636" spans="11:11" ht="15" x14ac:dyDescent="0.25">
      <c r="K15636"/>
    </row>
    <row r="15637" spans="11:11" ht="15" x14ac:dyDescent="0.25">
      <c r="K15637"/>
    </row>
    <row r="15638" spans="11:11" ht="15" x14ac:dyDescent="0.25">
      <c r="K15638"/>
    </row>
    <row r="15639" spans="11:11" ht="15" x14ac:dyDescent="0.25">
      <c r="K15639"/>
    </row>
    <row r="15640" spans="11:11" ht="15" x14ac:dyDescent="0.25">
      <c r="K15640"/>
    </row>
    <row r="15641" spans="11:11" ht="15" x14ac:dyDescent="0.25">
      <c r="K15641"/>
    </row>
    <row r="15642" spans="11:11" ht="15" x14ac:dyDescent="0.25">
      <c r="K15642"/>
    </row>
    <row r="15643" spans="11:11" ht="15" x14ac:dyDescent="0.25">
      <c r="K15643"/>
    </row>
    <row r="15644" spans="11:11" ht="15" x14ac:dyDescent="0.25">
      <c r="K15644"/>
    </row>
    <row r="15645" spans="11:11" ht="15" x14ac:dyDescent="0.25">
      <c r="K15645"/>
    </row>
    <row r="15646" spans="11:11" ht="15" x14ac:dyDescent="0.25">
      <c r="K15646"/>
    </row>
    <row r="15647" spans="11:11" ht="15" x14ac:dyDescent="0.25">
      <c r="K15647"/>
    </row>
    <row r="15648" spans="11:11" ht="15" x14ac:dyDescent="0.25">
      <c r="K15648"/>
    </row>
    <row r="15649" spans="11:11" ht="15" x14ac:dyDescent="0.25">
      <c r="K15649"/>
    </row>
    <row r="15650" spans="11:11" ht="15" x14ac:dyDescent="0.25">
      <c r="K15650"/>
    </row>
    <row r="15651" spans="11:11" ht="15" x14ac:dyDescent="0.25">
      <c r="K15651"/>
    </row>
    <row r="15652" spans="11:11" ht="15" x14ac:dyDescent="0.25">
      <c r="K15652"/>
    </row>
    <row r="15653" spans="11:11" ht="15" x14ac:dyDescent="0.25">
      <c r="K15653"/>
    </row>
    <row r="15654" spans="11:11" ht="15" x14ac:dyDescent="0.25">
      <c r="K15654"/>
    </row>
    <row r="15655" spans="11:11" ht="15" x14ac:dyDescent="0.25">
      <c r="K15655"/>
    </row>
    <row r="15656" spans="11:11" ht="15" x14ac:dyDescent="0.25">
      <c r="K15656"/>
    </row>
    <row r="15657" spans="11:11" ht="15" x14ac:dyDescent="0.25">
      <c r="K15657"/>
    </row>
    <row r="15658" spans="11:11" ht="15" x14ac:dyDescent="0.25">
      <c r="K15658"/>
    </row>
    <row r="15659" spans="11:11" ht="15" x14ac:dyDescent="0.25">
      <c r="K15659"/>
    </row>
    <row r="15660" spans="11:11" ht="15" x14ac:dyDescent="0.25">
      <c r="K15660"/>
    </row>
    <row r="15661" spans="11:11" ht="15" x14ac:dyDescent="0.25">
      <c r="K15661"/>
    </row>
    <row r="15662" spans="11:11" ht="15" x14ac:dyDescent="0.25">
      <c r="K15662"/>
    </row>
    <row r="15663" spans="11:11" ht="15" x14ac:dyDescent="0.25">
      <c r="K15663"/>
    </row>
    <row r="15664" spans="11:11" ht="15" x14ac:dyDescent="0.25">
      <c r="K15664"/>
    </row>
    <row r="15665" spans="11:11" ht="15" x14ac:dyDescent="0.25">
      <c r="K15665"/>
    </row>
    <row r="15666" spans="11:11" ht="15" x14ac:dyDescent="0.25">
      <c r="K15666"/>
    </row>
    <row r="15667" spans="11:11" ht="15" x14ac:dyDescent="0.25">
      <c r="K15667"/>
    </row>
    <row r="15668" spans="11:11" ht="15" x14ac:dyDescent="0.25">
      <c r="K15668"/>
    </row>
    <row r="15669" spans="11:11" ht="15" x14ac:dyDescent="0.25">
      <c r="K15669"/>
    </row>
    <row r="15670" spans="11:11" ht="15" x14ac:dyDescent="0.25">
      <c r="K15670"/>
    </row>
    <row r="15671" spans="11:11" ht="15" x14ac:dyDescent="0.25">
      <c r="K15671"/>
    </row>
    <row r="15672" spans="11:11" ht="15" x14ac:dyDescent="0.25">
      <c r="K15672"/>
    </row>
    <row r="15673" spans="11:11" ht="15" x14ac:dyDescent="0.25">
      <c r="K15673"/>
    </row>
    <row r="15674" spans="11:11" ht="15" x14ac:dyDescent="0.25">
      <c r="K15674"/>
    </row>
    <row r="15675" spans="11:11" ht="15" x14ac:dyDescent="0.25">
      <c r="K15675"/>
    </row>
    <row r="15676" spans="11:11" ht="15" x14ac:dyDescent="0.25">
      <c r="K15676"/>
    </row>
    <row r="15677" spans="11:11" ht="15" x14ac:dyDescent="0.25">
      <c r="K15677"/>
    </row>
    <row r="15678" spans="11:11" ht="15" x14ac:dyDescent="0.25">
      <c r="K15678"/>
    </row>
    <row r="15679" spans="11:11" ht="15" x14ac:dyDescent="0.25">
      <c r="K15679"/>
    </row>
    <row r="15680" spans="11:11" ht="15" x14ac:dyDescent="0.25">
      <c r="K15680"/>
    </row>
    <row r="15681" spans="11:11" ht="15" x14ac:dyDescent="0.25">
      <c r="K15681"/>
    </row>
    <row r="15682" spans="11:11" ht="15" x14ac:dyDescent="0.25">
      <c r="K15682"/>
    </row>
    <row r="15683" spans="11:11" ht="15" x14ac:dyDescent="0.25">
      <c r="K15683"/>
    </row>
    <row r="15684" spans="11:11" ht="15" x14ac:dyDescent="0.25">
      <c r="K15684"/>
    </row>
    <row r="15685" spans="11:11" ht="15" x14ac:dyDescent="0.25">
      <c r="K15685"/>
    </row>
    <row r="15686" spans="11:11" ht="15" x14ac:dyDescent="0.25">
      <c r="K15686"/>
    </row>
    <row r="15687" spans="11:11" ht="15" x14ac:dyDescent="0.25">
      <c r="K15687"/>
    </row>
    <row r="15688" spans="11:11" ht="15" x14ac:dyDescent="0.25">
      <c r="K15688"/>
    </row>
    <row r="15689" spans="11:11" ht="15" x14ac:dyDescent="0.25">
      <c r="K15689"/>
    </row>
    <row r="15690" spans="11:11" ht="15" x14ac:dyDescent="0.25">
      <c r="K15690"/>
    </row>
    <row r="15691" spans="11:11" ht="15" x14ac:dyDescent="0.25">
      <c r="K15691"/>
    </row>
    <row r="15692" spans="11:11" ht="15" x14ac:dyDescent="0.25">
      <c r="K15692"/>
    </row>
    <row r="15693" spans="11:11" ht="15" x14ac:dyDescent="0.25">
      <c r="K15693"/>
    </row>
    <row r="15694" spans="11:11" ht="15" x14ac:dyDescent="0.25">
      <c r="K15694"/>
    </row>
    <row r="15695" spans="11:11" ht="15" x14ac:dyDescent="0.25">
      <c r="K15695"/>
    </row>
    <row r="15696" spans="11:11" ht="15" x14ac:dyDescent="0.25">
      <c r="K15696"/>
    </row>
    <row r="15697" spans="11:11" ht="15" x14ac:dyDescent="0.25">
      <c r="K15697"/>
    </row>
    <row r="15698" spans="11:11" ht="15" x14ac:dyDescent="0.25">
      <c r="K15698"/>
    </row>
    <row r="15699" spans="11:11" ht="15" x14ac:dyDescent="0.25">
      <c r="K15699"/>
    </row>
    <row r="15700" spans="11:11" ht="15" x14ac:dyDescent="0.25">
      <c r="K15700"/>
    </row>
    <row r="15701" spans="11:11" ht="15" x14ac:dyDescent="0.25">
      <c r="K15701"/>
    </row>
    <row r="15702" spans="11:11" ht="15" x14ac:dyDescent="0.25">
      <c r="K15702"/>
    </row>
    <row r="15703" spans="11:11" ht="15" x14ac:dyDescent="0.25">
      <c r="K15703"/>
    </row>
    <row r="15704" spans="11:11" ht="15" x14ac:dyDescent="0.25">
      <c r="K15704"/>
    </row>
    <row r="15705" spans="11:11" ht="15" x14ac:dyDescent="0.25">
      <c r="K15705"/>
    </row>
    <row r="15706" spans="11:11" ht="15" x14ac:dyDescent="0.25">
      <c r="K15706"/>
    </row>
    <row r="15707" spans="11:11" ht="15" x14ac:dyDescent="0.25">
      <c r="K15707"/>
    </row>
    <row r="15708" spans="11:11" ht="15" x14ac:dyDescent="0.25">
      <c r="K15708"/>
    </row>
    <row r="15709" spans="11:11" ht="15" x14ac:dyDescent="0.25">
      <c r="K15709"/>
    </row>
    <row r="15710" spans="11:11" ht="15" x14ac:dyDescent="0.25">
      <c r="K15710"/>
    </row>
    <row r="15711" spans="11:11" ht="15" x14ac:dyDescent="0.25">
      <c r="K15711"/>
    </row>
    <row r="15712" spans="11:11" ht="15" x14ac:dyDescent="0.25">
      <c r="K15712"/>
    </row>
    <row r="15713" spans="11:11" ht="15" x14ac:dyDescent="0.25">
      <c r="K15713"/>
    </row>
    <row r="15714" spans="11:11" ht="15" x14ac:dyDescent="0.25">
      <c r="K15714"/>
    </row>
    <row r="15715" spans="11:11" ht="15" x14ac:dyDescent="0.25">
      <c r="K15715"/>
    </row>
    <row r="15716" spans="11:11" ht="15" x14ac:dyDescent="0.25">
      <c r="K15716"/>
    </row>
    <row r="15717" spans="11:11" ht="15" x14ac:dyDescent="0.25">
      <c r="K15717"/>
    </row>
    <row r="15718" spans="11:11" ht="15" x14ac:dyDescent="0.25">
      <c r="K15718"/>
    </row>
    <row r="15719" spans="11:11" ht="15" x14ac:dyDescent="0.25">
      <c r="K15719"/>
    </row>
    <row r="15720" spans="11:11" ht="15" x14ac:dyDescent="0.25">
      <c r="K15720"/>
    </row>
    <row r="15721" spans="11:11" ht="15" x14ac:dyDescent="0.25">
      <c r="K15721"/>
    </row>
    <row r="15722" spans="11:11" ht="15" x14ac:dyDescent="0.25">
      <c r="K15722"/>
    </row>
    <row r="15723" spans="11:11" ht="15" x14ac:dyDescent="0.25">
      <c r="K15723"/>
    </row>
    <row r="15724" spans="11:11" ht="15" x14ac:dyDescent="0.25">
      <c r="K15724"/>
    </row>
    <row r="15725" spans="11:11" ht="15" x14ac:dyDescent="0.25">
      <c r="K15725"/>
    </row>
    <row r="15726" spans="11:11" ht="15" x14ac:dyDescent="0.25">
      <c r="K15726"/>
    </row>
    <row r="15727" spans="11:11" ht="15" x14ac:dyDescent="0.25">
      <c r="K15727"/>
    </row>
    <row r="15728" spans="11:11" ht="15" x14ac:dyDescent="0.25">
      <c r="K15728"/>
    </row>
    <row r="15729" spans="11:11" ht="15" x14ac:dyDescent="0.25">
      <c r="K15729"/>
    </row>
    <row r="15730" spans="11:11" ht="15" x14ac:dyDescent="0.25">
      <c r="K15730"/>
    </row>
    <row r="15731" spans="11:11" ht="15" x14ac:dyDescent="0.25">
      <c r="K15731"/>
    </row>
    <row r="15732" spans="11:11" ht="15" x14ac:dyDescent="0.25">
      <c r="K15732"/>
    </row>
    <row r="15733" spans="11:11" ht="15" x14ac:dyDescent="0.25">
      <c r="K15733"/>
    </row>
    <row r="15734" spans="11:11" ht="15" x14ac:dyDescent="0.25">
      <c r="K15734"/>
    </row>
    <row r="15735" spans="11:11" ht="15" x14ac:dyDescent="0.25">
      <c r="K15735"/>
    </row>
    <row r="15736" spans="11:11" ht="15" x14ac:dyDescent="0.25">
      <c r="K15736"/>
    </row>
    <row r="15737" spans="11:11" ht="15" x14ac:dyDescent="0.25">
      <c r="K15737"/>
    </row>
    <row r="15738" spans="11:11" ht="15" x14ac:dyDescent="0.25">
      <c r="K15738"/>
    </row>
    <row r="15739" spans="11:11" ht="15" x14ac:dyDescent="0.25">
      <c r="K15739"/>
    </row>
    <row r="15740" spans="11:11" ht="15" x14ac:dyDescent="0.25">
      <c r="K15740"/>
    </row>
    <row r="15741" spans="11:11" ht="15" x14ac:dyDescent="0.25">
      <c r="K15741"/>
    </row>
    <row r="15742" spans="11:11" ht="15" x14ac:dyDescent="0.25">
      <c r="K15742"/>
    </row>
    <row r="15743" spans="11:11" ht="15" x14ac:dyDescent="0.25">
      <c r="K15743"/>
    </row>
    <row r="15744" spans="11:11" ht="15" x14ac:dyDescent="0.25">
      <c r="K15744"/>
    </row>
    <row r="15745" spans="11:11" ht="15" x14ac:dyDescent="0.25">
      <c r="K15745"/>
    </row>
    <row r="15746" spans="11:11" ht="15" x14ac:dyDescent="0.25">
      <c r="K15746"/>
    </row>
    <row r="15747" spans="11:11" ht="15" x14ac:dyDescent="0.25">
      <c r="K15747"/>
    </row>
    <row r="15748" spans="11:11" ht="15" x14ac:dyDescent="0.25">
      <c r="K15748"/>
    </row>
    <row r="15749" spans="11:11" ht="15" x14ac:dyDescent="0.25">
      <c r="K15749"/>
    </row>
    <row r="15750" spans="11:11" ht="15" x14ac:dyDescent="0.25">
      <c r="K15750"/>
    </row>
    <row r="15751" spans="11:11" ht="15" x14ac:dyDescent="0.25">
      <c r="K15751"/>
    </row>
    <row r="15752" spans="11:11" ht="15" x14ac:dyDescent="0.25">
      <c r="K15752"/>
    </row>
    <row r="15753" spans="11:11" ht="15" x14ac:dyDescent="0.25">
      <c r="K15753"/>
    </row>
    <row r="15754" spans="11:11" ht="15" x14ac:dyDescent="0.25">
      <c r="K15754"/>
    </row>
    <row r="15755" spans="11:11" ht="15" x14ac:dyDescent="0.25">
      <c r="K15755"/>
    </row>
    <row r="15756" spans="11:11" ht="15" x14ac:dyDescent="0.25">
      <c r="K15756"/>
    </row>
    <row r="15757" spans="11:11" ht="15" x14ac:dyDescent="0.25">
      <c r="K15757"/>
    </row>
    <row r="15758" spans="11:11" ht="15" x14ac:dyDescent="0.25">
      <c r="K15758"/>
    </row>
    <row r="15759" spans="11:11" ht="15" x14ac:dyDescent="0.25">
      <c r="K15759"/>
    </row>
    <row r="15760" spans="11:11" ht="15" x14ac:dyDescent="0.25">
      <c r="K15760"/>
    </row>
    <row r="15761" spans="11:11" ht="15" x14ac:dyDescent="0.25">
      <c r="K15761"/>
    </row>
    <row r="15762" spans="11:11" ht="15" x14ac:dyDescent="0.25">
      <c r="K15762"/>
    </row>
    <row r="15763" spans="11:11" ht="15" x14ac:dyDescent="0.25">
      <c r="K15763"/>
    </row>
    <row r="15764" spans="11:11" ht="15" x14ac:dyDescent="0.25">
      <c r="K15764"/>
    </row>
    <row r="15765" spans="11:11" ht="15" x14ac:dyDescent="0.25">
      <c r="K15765"/>
    </row>
    <row r="15766" spans="11:11" ht="15" x14ac:dyDescent="0.25">
      <c r="K15766"/>
    </row>
    <row r="15767" spans="11:11" ht="15" x14ac:dyDescent="0.25">
      <c r="K15767"/>
    </row>
    <row r="15768" spans="11:11" ht="15" x14ac:dyDescent="0.25">
      <c r="K15768"/>
    </row>
    <row r="15769" spans="11:11" ht="15" x14ac:dyDescent="0.25">
      <c r="K15769"/>
    </row>
    <row r="15770" spans="11:11" ht="15" x14ac:dyDescent="0.25">
      <c r="K15770"/>
    </row>
    <row r="15771" spans="11:11" ht="15" x14ac:dyDescent="0.25">
      <c r="K15771"/>
    </row>
    <row r="15772" spans="11:11" ht="15" x14ac:dyDescent="0.25">
      <c r="K15772"/>
    </row>
    <row r="15773" spans="11:11" ht="15" x14ac:dyDescent="0.25">
      <c r="K15773"/>
    </row>
    <row r="15774" spans="11:11" ht="15" x14ac:dyDescent="0.25">
      <c r="K15774"/>
    </row>
    <row r="15775" spans="11:11" ht="15" x14ac:dyDescent="0.25">
      <c r="K15775"/>
    </row>
    <row r="15776" spans="11:11" ht="15" x14ac:dyDescent="0.25">
      <c r="K15776"/>
    </row>
    <row r="15777" spans="11:11" ht="15" x14ac:dyDescent="0.25">
      <c r="K15777"/>
    </row>
    <row r="15778" spans="11:11" ht="15" x14ac:dyDescent="0.25">
      <c r="K15778"/>
    </row>
    <row r="15779" spans="11:11" ht="15" x14ac:dyDescent="0.25">
      <c r="K15779"/>
    </row>
    <row r="15780" spans="11:11" ht="15" x14ac:dyDescent="0.25">
      <c r="K15780"/>
    </row>
    <row r="15781" spans="11:11" ht="15" x14ac:dyDescent="0.25">
      <c r="K15781"/>
    </row>
    <row r="15782" spans="11:11" ht="15" x14ac:dyDescent="0.25">
      <c r="K15782"/>
    </row>
    <row r="15783" spans="11:11" ht="15" x14ac:dyDescent="0.25">
      <c r="K15783"/>
    </row>
    <row r="15784" spans="11:11" ht="15" x14ac:dyDescent="0.25">
      <c r="K15784"/>
    </row>
    <row r="15785" spans="11:11" ht="15" x14ac:dyDescent="0.25">
      <c r="K15785"/>
    </row>
    <row r="15786" spans="11:11" ht="15" x14ac:dyDescent="0.25">
      <c r="K15786"/>
    </row>
    <row r="15787" spans="11:11" ht="15" x14ac:dyDescent="0.25">
      <c r="K15787"/>
    </row>
    <row r="15788" spans="11:11" ht="15" x14ac:dyDescent="0.25">
      <c r="K15788"/>
    </row>
    <row r="15789" spans="11:11" ht="15" x14ac:dyDescent="0.25">
      <c r="K15789"/>
    </row>
    <row r="15790" spans="11:11" ht="15" x14ac:dyDescent="0.25">
      <c r="K15790"/>
    </row>
    <row r="15791" spans="11:11" ht="15" x14ac:dyDescent="0.25">
      <c r="K15791"/>
    </row>
    <row r="15792" spans="11:11" ht="15" x14ac:dyDescent="0.25">
      <c r="K15792"/>
    </row>
    <row r="15793" spans="11:11" ht="15" x14ac:dyDescent="0.25">
      <c r="K15793"/>
    </row>
    <row r="15794" spans="11:11" ht="15" x14ac:dyDescent="0.25">
      <c r="K15794"/>
    </row>
    <row r="15795" spans="11:11" ht="15" x14ac:dyDescent="0.25">
      <c r="K15795"/>
    </row>
    <row r="15796" spans="11:11" ht="15" x14ac:dyDescent="0.25">
      <c r="K15796"/>
    </row>
    <row r="15797" spans="11:11" ht="15" x14ac:dyDescent="0.25">
      <c r="K15797"/>
    </row>
    <row r="15798" spans="11:11" ht="15" x14ac:dyDescent="0.25">
      <c r="K15798"/>
    </row>
    <row r="15799" spans="11:11" ht="15" x14ac:dyDescent="0.25">
      <c r="K15799"/>
    </row>
    <row r="15800" spans="11:11" ht="15" x14ac:dyDescent="0.25">
      <c r="K15800"/>
    </row>
    <row r="15801" spans="11:11" ht="15" x14ac:dyDescent="0.25">
      <c r="K15801"/>
    </row>
    <row r="15802" spans="11:11" ht="15" x14ac:dyDescent="0.25">
      <c r="K15802"/>
    </row>
    <row r="15803" spans="11:11" ht="15" x14ac:dyDescent="0.25">
      <c r="K15803"/>
    </row>
    <row r="15804" spans="11:11" ht="15" x14ac:dyDescent="0.25">
      <c r="K15804"/>
    </row>
    <row r="15805" spans="11:11" ht="15" x14ac:dyDescent="0.25">
      <c r="K15805"/>
    </row>
    <row r="15806" spans="11:11" ht="15" x14ac:dyDescent="0.25">
      <c r="K15806"/>
    </row>
    <row r="15807" spans="11:11" ht="15" x14ac:dyDescent="0.25">
      <c r="K15807"/>
    </row>
    <row r="15808" spans="11:11" ht="15" x14ac:dyDescent="0.25">
      <c r="K15808"/>
    </row>
    <row r="15809" spans="11:11" ht="15" x14ac:dyDescent="0.25">
      <c r="K15809"/>
    </row>
    <row r="15810" spans="11:11" ht="15" x14ac:dyDescent="0.25">
      <c r="K15810"/>
    </row>
    <row r="15811" spans="11:11" ht="15" x14ac:dyDescent="0.25">
      <c r="K15811"/>
    </row>
    <row r="15812" spans="11:11" ht="15" x14ac:dyDescent="0.25">
      <c r="K15812"/>
    </row>
    <row r="15813" spans="11:11" ht="15" x14ac:dyDescent="0.25">
      <c r="K15813"/>
    </row>
    <row r="15814" spans="11:11" ht="15" x14ac:dyDescent="0.25">
      <c r="K15814"/>
    </row>
    <row r="15815" spans="11:11" ht="15" x14ac:dyDescent="0.25">
      <c r="K15815"/>
    </row>
    <row r="15816" spans="11:11" ht="15" x14ac:dyDescent="0.25">
      <c r="K15816"/>
    </row>
    <row r="15817" spans="11:11" ht="15" x14ac:dyDescent="0.25">
      <c r="K15817"/>
    </row>
    <row r="15818" spans="11:11" ht="15" x14ac:dyDescent="0.25">
      <c r="K15818"/>
    </row>
    <row r="15819" spans="11:11" ht="15" x14ac:dyDescent="0.25">
      <c r="K15819"/>
    </row>
    <row r="15820" spans="11:11" ht="15" x14ac:dyDescent="0.25">
      <c r="K15820"/>
    </row>
    <row r="15821" spans="11:11" ht="15" x14ac:dyDescent="0.25">
      <c r="K15821"/>
    </row>
    <row r="15822" spans="11:11" ht="15" x14ac:dyDescent="0.25">
      <c r="K15822"/>
    </row>
    <row r="15823" spans="11:11" ht="15" x14ac:dyDescent="0.25">
      <c r="K15823"/>
    </row>
    <row r="15824" spans="11:11" ht="15" x14ac:dyDescent="0.25">
      <c r="K15824"/>
    </row>
    <row r="15825" spans="11:11" ht="15" x14ac:dyDescent="0.25">
      <c r="K15825"/>
    </row>
    <row r="15826" spans="11:11" ht="15" x14ac:dyDescent="0.25">
      <c r="K15826"/>
    </row>
    <row r="15827" spans="11:11" ht="15" x14ac:dyDescent="0.25">
      <c r="K15827"/>
    </row>
    <row r="15828" spans="11:11" ht="15" x14ac:dyDescent="0.25">
      <c r="K15828"/>
    </row>
    <row r="15829" spans="11:11" ht="15" x14ac:dyDescent="0.25">
      <c r="K15829"/>
    </row>
    <row r="15830" spans="11:11" ht="15" x14ac:dyDescent="0.25">
      <c r="K15830"/>
    </row>
    <row r="15831" spans="11:11" ht="15" x14ac:dyDescent="0.25">
      <c r="K15831"/>
    </row>
    <row r="15832" spans="11:11" ht="15" x14ac:dyDescent="0.25">
      <c r="K15832"/>
    </row>
    <row r="15833" spans="11:11" ht="15" x14ac:dyDescent="0.25">
      <c r="K15833"/>
    </row>
    <row r="15834" spans="11:11" ht="15" x14ac:dyDescent="0.25">
      <c r="K15834"/>
    </row>
    <row r="15835" spans="11:11" ht="15" x14ac:dyDescent="0.25">
      <c r="K15835"/>
    </row>
    <row r="15836" spans="11:11" ht="15" x14ac:dyDescent="0.25">
      <c r="K15836"/>
    </row>
    <row r="15837" spans="11:11" ht="15" x14ac:dyDescent="0.25">
      <c r="K15837"/>
    </row>
    <row r="15838" spans="11:11" ht="15" x14ac:dyDescent="0.25">
      <c r="K15838"/>
    </row>
    <row r="15839" spans="11:11" ht="15" x14ac:dyDescent="0.25">
      <c r="K15839"/>
    </row>
    <row r="15840" spans="11:11" ht="15" x14ac:dyDescent="0.25">
      <c r="K15840"/>
    </row>
    <row r="15841" spans="11:11" ht="15" x14ac:dyDescent="0.25">
      <c r="K15841"/>
    </row>
    <row r="15842" spans="11:11" ht="15" x14ac:dyDescent="0.25">
      <c r="K15842"/>
    </row>
    <row r="15843" spans="11:11" ht="15" x14ac:dyDescent="0.25">
      <c r="K15843"/>
    </row>
    <row r="15844" spans="11:11" ht="15" x14ac:dyDescent="0.25">
      <c r="K15844"/>
    </row>
    <row r="15845" spans="11:11" ht="15" x14ac:dyDescent="0.25">
      <c r="K15845"/>
    </row>
    <row r="15846" spans="11:11" ht="15" x14ac:dyDescent="0.25">
      <c r="K15846"/>
    </row>
    <row r="15847" spans="11:11" ht="15" x14ac:dyDescent="0.25">
      <c r="K15847"/>
    </row>
    <row r="15848" spans="11:11" ht="15" x14ac:dyDescent="0.25">
      <c r="K15848"/>
    </row>
    <row r="15849" spans="11:11" ht="15" x14ac:dyDescent="0.25">
      <c r="K15849"/>
    </row>
    <row r="15850" spans="11:11" ht="15" x14ac:dyDescent="0.25">
      <c r="K15850"/>
    </row>
    <row r="15851" spans="11:11" ht="15" x14ac:dyDescent="0.25">
      <c r="K15851"/>
    </row>
    <row r="15852" spans="11:11" ht="15" x14ac:dyDescent="0.25">
      <c r="K15852"/>
    </row>
    <row r="15853" spans="11:11" ht="15" x14ac:dyDescent="0.25">
      <c r="K15853"/>
    </row>
    <row r="15854" spans="11:11" ht="15" x14ac:dyDescent="0.25">
      <c r="K15854"/>
    </row>
    <row r="15855" spans="11:11" ht="15" x14ac:dyDescent="0.25">
      <c r="K15855"/>
    </row>
    <row r="15856" spans="11:11" ht="15" x14ac:dyDescent="0.25">
      <c r="K15856"/>
    </row>
    <row r="15857" spans="11:11" ht="15" x14ac:dyDescent="0.25">
      <c r="K15857"/>
    </row>
    <row r="15858" spans="11:11" ht="15" x14ac:dyDescent="0.25">
      <c r="K15858"/>
    </row>
    <row r="15859" spans="11:11" ht="15" x14ac:dyDescent="0.25">
      <c r="K15859"/>
    </row>
    <row r="15860" spans="11:11" ht="15" x14ac:dyDescent="0.25">
      <c r="K15860"/>
    </row>
    <row r="15861" spans="11:11" ht="15" x14ac:dyDescent="0.25">
      <c r="K15861"/>
    </row>
    <row r="15862" spans="11:11" ht="15" x14ac:dyDescent="0.25">
      <c r="K15862"/>
    </row>
    <row r="15863" spans="11:11" ht="15" x14ac:dyDescent="0.25">
      <c r="K15863"/>
    </row>
    <row r="15864" spans="11:11" ht="15" x14ac:dyDescent="0.25">
      <c r="K15864"/>
    </row>
    <row r="15865" spans="11:11" ht="15" x14ac:dyDescent="0.25">
      <c r="K15865"/>
    </row>
    <row r="15866" spans="11:11" ht="15" x14ac:dyDescent="0.25">
      <c r="K15866"/>
    </row>
    <row r="15867" spans="11:11" ht="15" x14ac:dyDescent="0.25">
      <c r="K15867"/>
    </row>
    <row r="15868" spans="11:11" ht="15" x14ac:dyDescent="0.25">
      <c r="K15868"/>
    </row>
    <row r="15869" spans="11:11" ht="15" x14ac:dyDescent="0.25">
      <c r="K15869"/>
    </row>
    <row r="15870" spans="11:11" ht="15" x14ac:dyDescent="0.25">
      <c r="K15870"/>
    </row>
    <row r="15871" spans="11:11" ht="15" x14ac:dyDescent="0.25">
      <c r="K15871"/>
    </row>
    <row r="15872" spans="11:11" ht="15" x14ac:dyDescent="0.25">
      <c r="K15872"/>
    </row>
    <row r="15873" spans="11:11" ht="15" x14ac:dyDescent="0.25">
      <c r="K15873"/>
    </row>
    <row r="15874" spans="11:11" ht="15" x14ac:dyDescent="0.25">
      <c r="K15874"/>
    </row>
    <row r="15875" spans="11:11" ht="15" x14ac:dyDescent="0.25">
      <c r="K15875"/>
    </row>
    <row r="15876" spans="11:11" ht="15" x14ac:dyDescent="0.25">
      <c r="K15876"/>
    </row>
    <row r="15877" spans="11:11" ht="15" x14ac:dyDescent="0.25">
      <c r="K15877"/>
    </row>
    <row r="15878" spans="11:11" ht="15" x14ac:dyDescent="0.25">
      <c r="K15878"/>
    </row>
    <row r="15879" spans="11:11" ht="15" x14ac:dyDescent="0.25">
      <c r="K15879"/>
    </row>
    <row r="15880" spans="11:11" ht="15" x14ac:dyDescent="0.25">
      <c r="K15880"/>
    </row>
    <row r="15881" spans="11:11" ht="15" x14ac:dyDescent="0.25">
      <c r="K15881"/>
    </row>
    <row r="15882" spans="11:11" ht="15" x14ac:dyDescent="0.25">
      <c r="K15882"/>
    </row>
    <row r="15883" spans="11:11" ht="15" x14ac:dyDescent="0.25">
      <c r="K15883"/>
    </row>
    <row r="15884" spans="11:11" ht="15" x14ac:dyDescent="0.25">
      <c r="K15884"/>
    </row>
    <row r="15885" spans="11:11" ht="15" x14ac:dyDescent="0.25">
      <c r="K15885"/>
    </row>
    <row r="15886" spans="11:11" ht="15" x14ac:dyDescent="0.25">
      <c r="K15886"/>
    </row>
    <row r="15887" spans="11:11" ht="15" x14ac:dyDescent="0.25">
      <c r="K15887"/>
    </row>
    <row r="15888" spans="11:11" ht="15" x14ac:dyDescent="0.25">
      <c r="K15888"/>
    </row>
    <row r="15889" spans="11:11" ht="15" x14ac:dyDescent="0.25">
      <c r="K15889"/>
    </row>
    <row r="15890" spans="11:11" ht="15" x14ac:dyDescent="0.25">
      <c r="K15890"/>
    </row>
    <row r="15891" spans="11:11" ht="15" x14ac:dyDescent="0.25">
      <c r="K15891"/>
    </row>
    <row r="15892" spans="11:11" ht="15" x14ac:dyDescent="0.25">
      <c r="K15892"/>
    </row>
    <row r="15893" spans="11:11" ht="15" x14ac:dyDescent="0.25">
      <c r="K15893"/>
    </row>
    <row r="15894" spans="11:11" ht="15" x14ac:dyDescent="0.25">
      <c r="K15894"/>
    </row>
    <row r="15895" spans="11:11" ht="15" x14ac:dyDescent="0.25">
      <c r="K15895"/>
    </row>
    <row r="15896" spans="11:11" ht="15" x14ac:dyDescent="0.25">
      <c r="K15896"/>
    </row>
    <row r="15897" spans="11:11" ht="15" x14ac:dyDescent="0.25">
      <c r="K15897"/>
    </row>
    <row r="15898" spans="11:11" ht="15" x14ac:dyDescent="0.25">
      <c r="K15898"/>
    </row>
    <row r="15899" spans="11:11" ht="15" x14ac:dyDescent="0.25">
      <c r="K15899"/>
    </row>
    <row r="15900" spans="11:11" ht="15" x14ac:dyDescent="0.25">
      <c r="K15900"/>
    </row>
    <row r="15901" spans="11:11" ht="15" x14ac:dyDescent="0.25">
      <c r="K15901"/>
    </row>
    <row r="15902" spans="11:11" ht="15" x14ac:dyDescent="0.25">
      <c r="K15902"/>
    </row>
    <row r="15903" spans="11:11" ht="15" x14ac:dyDescent="0.25">
      <c r="K15903"/>
    </row>
    <row r="15904" spans="11:11" ht="15" x14ac:dyDescent="0.25">
      <c r="K15904"/>
    </row>
    <row r="15905" spans="11:11" ht="15" x14ac:dyDescent="0.25">
      <c r="K15905"/>
    </row>
    <row r="15906" spans="11:11" ht="15" x14ac:dyDescent="0.25">
      <c r="K15906"/>
    </row>
    <row r="15907" spans="11:11" ht="15" x14ac:dyDescent="0.25">
      <c r="K15907"/>
    </row>
    <row r="15908" spans="11:11" ht="15" x14ac:dyDescent="0.25">
      <c r="K15908"/>
    </row>
    <row r="15909" spans="11:11" ht="15" x14ac:dyDescent="0.25">
      <c r="K15909"/>
    </row>
    <row r="15910" spans="11:11" ht="15" x14ac:dyDescent="0.25">
      <c r="K15910"/>
    </row>
    <row r="15911" spans="11:11" ht="15" x14ac:dyDescent="0.25">
      <c r="K15911"/>
    </row>
    <row r="15912" spans="11:11" ht="15" x14ac:dyDescent="0.25">
      <c r="K15912"/>
    </row>
    <row r="15913" spans="11:11" ht="15" x14ac:dyDescent="0.25">
      <c r="K15913"/>
    </row>
    <row r="15914" spans="11:11" ht="15" x14ac:dyDescent="0.25">
      <c r="K15914"/>
    </row>
    <row r="15915" spans="11:11" ht="15" x14ac:dyDescent="0.25">
      <c r="K15915"/>
    </row>
    <row r="15916" spans="11:11" ht="15" x14ac:dyDescent="0.25">
      <c r="K15916"/>
    </row>
    <row r="15917" spans="11:11" ht="15" x14ac:dyDescent="0.25">
      <c r="K15917"/>
    </row>
    <row r="15918" spans="11:11" ht="15" x14ac:dyDescent="0.25">
      <c r="K15918"/>
    </row>
    <row r="15919" spans="11:11" ht="15" x14ac:dyDescent="0.25">
      <c r="K15919"/>
    </row>
    <row r="15920" spans="11:11" ht="15" x14ac:dyDescent="0.25">
      <c r="K15920"/>
    </row>
    <row r="15921" spans="11:11" ht="15" x14ac:dyDescent="0.25">
      <c r="K15921"/>
    </row>
    <row r="15922" spans="11:11" ht="15" x14ac:dyDescent="0.25">
      <c r="K15922"/>
    </row>
    <row r="15923" spans="11:11" ht="15" x14ac:dyDescent="0.25">
      <c r="K15923"/>
    </row>
    <row r="15924" spans="11:11" ht="15" x14ac:dyDescent="0.25">
      <c r="K15924"/>
    </row>
    <row r="15925" spans="11:11" ht="15" x14ac:dyDescent="0.25">
      <c r="K15925"/>
    </row>
    <row r="15926" spans="11:11" ht="15" x14ac:dyDescent="0.25">
      <c r="K15926"/>
    </row>
    <row r="15927" spans="11:11" ht="15" x14ac:dyDescent="0.25">
      <c r="K15927"/>
    </row>
    <row r="15928" spans="11:11" ht="15" x14ac:dyDescent="0.25">
      <c r="K15928"/>
    </row>
    <row r="15929" spans="11:11" ht="15" x14ac:dyDescent="0.25">
      <c r="K15929"/>
    </row>
    <row r="15930" spans="11:11" ht="15" x14ac:dyDescent="0.25">
      <c r="K15930"/>
    </row>
    <row r="15931" spans="11:11" ht="15" x14ac:dyDescent="0.25">
      <c r="K15931"/>
    </row>
    <row r="15932" spans="11:11" ht="15" x14ac:dyDescent="0.25">
      <c r="K15932"/>
    </row>
    <row r="15933" spans="11:11" ht="15" x14ac:dyDescent="0.25">
      <c r="K15933"/>
    </row>
    <row r="15934" spans="11:11" ht="15" x14ac:dyDescent="0.25">
      <c r="K15934"/>
    </row>
    <row r="15935" spans="11:11" ht="15" x14ac:dyDescent="0.25">
      <c r="K15935"/>
    </row>
    <row r="15936" spans="11:11" ht="15" x14ac:dyDescent="0.25">
      <c r="K15936"/>
    </row>
    <row r="15937" spans="11:11" ht="15" x14ac:dyDescent="0.25">
      <c r="K15937"/>
    </row>
    <row r="15938" spans="11:11" ht="15" x14ac:dyDescent="0.25">
      <c r="K15938"/>
    </row>
    <row r="15939" spans="11:11" ht="15" x14ac:dyDescent="0.25">
      <c r="K15939"/>
    </row>
    <row r="15940" spans="11:11" ht="15" x14ac:dyDescent="0.25">
      <c r="K15940"/>
    </row>
    <row r="15941" spans="11:11" ht="15" x14ac:dyDescent="0.25">
      <c r="K15941"/>
    </row>
    <row r="15942" spans="11:11" ht="15" x14ac:dyDescent="0.25">
      <c r="K15942"/>
    </row>
    <row r="15943" spans="11:11" ht="15" x14ac:dyDescent="0.25">
      <c r="K15943"/>
    </row>
    <row r="15944" spans="11:11" ht="15" x14ac:dyDescent="0.25">
      <c r="K15944"/>
    </row>
    <row r="15945" spans="11:11" ht="15" x14ac:dyDescent="0.25">
      <c r="K15945"/>
    </row>
    <row r="15946" spans="11:11" ht="15" x14ac:dyDescent="0.25">
      <c r="K15946"/>
    </row>
    <row r="15947" spans="11:11" ht="15" x14ac:dyDescent="0.25">
      <c r="K15947"/>
    </row>
    <row r="15948" spans="11:11" ht="15" x14ac:dyDescent="0.25">
      <c r="K15948"/>
    </row>
    <row r="15949" spans="11:11" ht="15" x14ac:dyDescent="0.25">
      <c r="K15949"/>
    </row>
    <row r="15950" spans="11:11" ht="15" x14ac:dyDescent="0.25">
      <c r="K15950"/>
    </row>
    <row r="15951" spans="11:11" ht="15" x14ac:dyDescent="0.25">
      <c r="K15951"/>
    </row>
    <row r="15952" spans="11:11" ht="15" x14ac:dyDescent="0.25">
      <c r="K15952"/>
    </row>
    <row r="15953" spans="11:11" ht="15" x14ac:dyDescent="0.25">
      <c r="K15953"/>
    </row>
    <row r="15954" spans="11:11" ht="15" x14ac:dyDescent="0.25">
      <c r="K15954"/>
    </row>
    <row r="15955" spans="11:11" ht="15" x14ac:dyDescent="0.25">
      <c r="K15955"/>
    </row>
    <row r="15956" spans="11:11" ht="15" x14ac:dyDescent="0.25">
      <c r="K15956"/>
    </row>
    <row r="15957" spans="11:11" ht="15" x14ac:dyDescent="0.25">
      <c r="K15957"/>
    </row>
    <row r="15958" spans="11:11" ht="15" x14ac:dyDescent="0.25">
      <c r="K15958"/>
    </row>
    <row r="15959" spans="11:11" ht="15" x14ac:dyDescent="0.25">
      <c r="K15959"/>
    </row>
    <row r="15960" spans="11:11" ht="15" x14ac:dyDescent="0.25">
      <c r="K15960"/>
    </row>
    <row r="15961" spans="11:11" ht="15" x14ac:dyDescent="0.25">
      <c r="K15961"/>
    </row>
    <row r="15962" spans="11:11" ht="15" x14ac:dyDescent="0.25">
      <c r="K15962"/>
    </row>
    <row r="15963" spans="11:11" ht="15" x14ac:dyDescent="0.25">
      <c r="K15963"/>
    </row>
    <row r="15964" spans="11:11" ht="15" x14ac:dyDescent="0.25">
      <c r="K15964"/>
    </row>
    <row r="15965" spans="11:11" ht="15" x14ac:dyDescent="0.25">
      <c r="K15965"/>
    </row>
    <row r="15966" spans="11:11" ht="15" x14ac:dyDescent="0.25">
      <c r="K15966"/>
    </row>
    <row r="15967" spans="11:11" ht="15" x14ac:dyDescent="0.25">
      <c r="K15967"/>
    </row>
    <row r="15968" spans="11:11" ht="15" x14ac:dyDescent="0.25">
      <c r="K15968"/>
    </row>
    <row r="15969" spans="11:11" ht="15" x14ac:dyDescent="0.25">
      <c r="K15969"/>
    </row>
    <row r="15970" spans="11:11" ht="15" x14ac:dyDescent="0.25">
      <c r="K15970"/>
    </row>
    <row r="15971" spans="11:11" ht="15" x14ac:dyDescent="0.25">
      <c r="K15971"/>
    </row>
    <row r="15972" spans="11:11" ht="15" x14ac:dyDescent="0.25">
      <c r="K15972"/>
    </row>
    <row r="15973" spans="11:11" ht="15" x14ac:dyDescent="0.25">
      <c r="K15973"/>
    </row>
    <row r="15974" spans="11:11" ht="15" x14ac:dyDescent="0.25">
      <c r="K15974"/>
    </row>
    <row r="15975" spans="11:11" ht="15" x14ac:dyDescent="0.25">
      <c r="K15975"/>
    </row>
    <row r="15976" spans="11:11" ht="15" x14ac:dyDescent="0.25">
      <c r="K15976"/>
    </row>
    <row r="15977" spans="11:11" ht="15" x14ac:dyDescent="0.25">
      <c r="K15977"/>
    </row>
    <row r="15978" spans="11:11" ht="15" x14ac:dyDescent="0.25">
      <c r="K15978"/>
    </row>
    <row r="15979" spans="11:11" ht="15" x14ac:dyDescent="0.25">
      <c r="K15979"/>
    </row>
    <row r="15980" spans="11:11" ht="15" x14ac:dyDescent="0.25">
      <c r="K15980"/>
    </row>
    <row r="15981" spans="11:11" ht="15" x14ac:dyDescent="0.25">
      <c r="K15981"/>
    </row>
    <row r="15982" spans="11:11" ht="15" x14ac:dyDescent="0.25">
      <c r="K15982"/>
    </row>
    <row r="15983" spans="11:11" ht="15" x14ac:dyDescent="0.25">
      <c r="K15983"/>
    </row>
    <row r="15984" spans="11:11" ht="15" x14ac:dyDescent="0.25">
      <c r="K15984"/>
    </row>
    <row r="15985" spans="11:11" ht="15" x14ac:dyDescent="0.25">
      <c r="K15985"/>
    </row>
    <row r="15986" spans="11:11" ht="15" x14ac:dyDescent="0.25">
      <c r="K15986"/>
    </row>
    <row r="15987" spans="11:11" ht="15" x14ac:dyDescent="0.25">
      <c r="K15987"/>
    </row>
    <row r="15988" spans="11:11" ht="15" x14ac:dyDescent="0.25">
      <c r="K15988"/>
    </row>
    <row r="15989" spans="11:11" ht="15" x14ac:dyDescent="0.25">
      <c r="K15989"/>
    </row>
    <row r="15990" spans="11:11" ht="15" x14ac:dyDescent="0.25">
      <c r="K15990"/>
    </row>
    <row r="15991" spans="11:11" ht="15" x14ac:dyDescent="0.25">
      <c r="K15991"/>
    </row>
    <row r="15992" spans="11:11" ht="15" x14ac:dyDescent="0.25">
      <c r="K15992"/>
    </row>
    <row r="15993" spans="11:11" ht="15" x14ac:dyDescent="0.25">
      <c r="K15993"/>
    </row>
    <row r="15994" spans="11:11" ht="15" x14ac:dyDescent="0.25">
      <c r="K15994"/>
    </row>
    <row r="15995" spans="11:11" ht="15" x14ac:dyDescent="0.25">
      <c r="K15995"/>
    </row>
    <row r="15996" spans="11:11" ht="15" x14ac:dyDescent="0.25">
      <c r="K15996"/>
    </row>
    <row r="15997" spans="11:11" ht="15" x14ac:dyDescent="0.25">
      <c r="K15997"/>
    </row>
    <row r="15998" spans="11:11" ht="15" x14ac:dyDescent="0.25">
      <c r="K15998"/>
    </row>
    <row r="15999" spans="11:11" ht="15" x14ac:dyDescent="0.25">
      <c r="K15999"/>
    </row>
    <row r="16000" spans="11:11" ht="15" x14ac:dyDescent="0.25">
      <c r="K16000"/>
    </row>
    <row r="16001" spans="11:11" ht="15" x14ac:dyDescent="0.25">
      <c r="K16001"/>
    </row>
    <row r="16002" spans="11:11" ht="15" x14ac:dyDescent="0.25">
      <c r="K16002"/>
    </row>
    <row r="16003" spans="11:11" ht="15" x14ac:dyDescent="0.25">
      <c r="K16003"/>
    </row>
    <row r="16004" spans="11:11" ht="15" x14ac:dyDescent="0.25">
      <c r="K16004"/>
    </row>
    <row r="16005" spans="11:11" ht="15" x14ac:dyDescent="0.25">
      <c r="K16005"/>
    </row>
    <row r="16006" spans="11:11" ht="15" x14ac:dyDescent="0.25">
      <c r="K16006"/>
    </row>
    <row r="16007" spans="11:11" ht="15" x14ac:dyDescent="0.25">
      <c r="K16007"/>
    </row>
    <row r="16008" spans="11:11" ht="15" x14ac:dyDescent="0.25">
      <c r="K16008"/>
    </row>
    <row r="16009" spans="11:11" ht="15" x14ac:dyDescent="0.25">
      <c r="K16009"/>
    </row>
    <row r="16010" spans="11:11" ht="15" x14ac:dyDescent="0.25">
      <c r="K16010"/>
    </row>
    <row r="16011" spans="11:11" ht="15" x14ac:dyDescent="0.25">
      <c r="K16011"/>
    </row>
    <row r="16012" spans="11:11" ht="15" x14ac:dyDescent="0.25">
      <c r="K16012"/>
    </row>
    <row r="16013" spans="11:11" ht="15" x14ac:dyDescent="0.25">
      <c r="K16013"/>
    </row>
    <row r="16014" spans="11:11" ht="15" x14ac:dyDescent="0.25">
      <c r="K16014"/>
    </row>
    <row r="16015" spans="11:11" ht="15" x14ac:dyDescent="0.25">
      <c r="K16015"/>
    </row>
    <row r="16016" spans="11:11" ht="15" x14ac:dyDescent="0.25">
      <c r="K16016"/>
    </row>
    <row r="16017" spans="11:11" ht="15" x14ac:dyDescent="0.25">
      <c r="K16017"/>
    </row>
    <row r="16018" spans="11:11" ht="15" x14ac:dyDescent="0.25">
      <c r="K16018"/>
    </row>
    <row r="16019" spans="11:11" ht="15" x14ac:dyDescent="0.25">
      <c r="K16019"/>
    </row>
    <row r="16020" spans="11:11" ht="15" x14ac:dyDescent="0.25">
      <c r="K16020"/>
    </row>
    <row r="16021" spans="11:11" ht="15" x14ac:dyDescent="0.25">
      <c r="K16021"/>
    </row>
    <row r="16022" spans="11:11" ht="15" x14ac:dyDescent="0.25">
      <c r="K16022"/>
    </row>
    <row r="16023" spans="11:11" ht="15" x14ac:dyDescent="0.25">
      <c r="K16023"/>
    </row>
    <row r="16024" spans="11:11" ht="15" x14ac:dyDescent="0.25">
      <c r="K16024"/>
    </row>
    <row r="16025" spans="11:11" ht="15" x14ac:dyDescent="0.25">
      <c r="K16025"/>
    </row>
    <row r="16026" spans="11:11" ht="15" x14ac:dyDescent="0.25">
      <c r="K16026"/>
    </row>
    <row r="16027" spans="11:11" ht="15" x14ac:dyDescent="0.25">
      <c r="K16027"/>
    </row>
    <row r="16028" spans="11:11" ht="15" x14ac:dyDescent="0.25">
      <c r="K16028"/>
    </row>
    <row r="16029" spans="11:11" ht="15" x14ac:dyDescent="0.25">
      <c r="K16029"/>
    </row>
    <row r="16030" spans="11:11" ht="15" x14ac:dyDescent="0.25">
      <c r="K16030"/>
    </row>
    <row r="16031" spans="11:11" ht="15" x14ac:dyDescent="0.25">
      <c r="K16031"/>
    </row>
    <row r="16032" spans="11:11" ht="15" x14ac:dyDescent="0.25">
      <c r="K16032"/>
    </row>
    <row r="16033" spans="11:11" ht="15" x14ac:dyDescent="0.25">
      <c r="K16033"/>
    </row>
    <row r="16034" spans="11:11" ht="15" x14ac:dyDescent="0.25">
      <c r="K16034"/>
    </row>
    <row r="16035" spans="11:11" ht="15" x14ac:dyDescent="0.25">
      <c r="K16035"/>
    </row>
    <row r="16036" spans="11:11" ht="15" x14ac:dyDescent="0.25">
      <c r="K16036"/>
    </row>
    <row r="16037" spans="11:11" ht="15" x14ac:dyDescent="0.25">
      <c r="K16037"/>
    </row>
    <row r="16038" spans="11:11" ht="15" x14ac:dyDescent="0.25">
      <c r="K16038"/>
    </row>
    <row r="16039" spans="11:11" ht="15" x14ac:dyDescent="0.25">
      <c r="K16039"/>
    </row>
    <row r="16040" spans="11:11" ht="15" x14ac:dyDescent="0.25">
      <c r="K16040"/>
    </row>
    <row r="16041" spans="11:11" ht="15" x14ac:dyDescent="0.25">
      <c r="K16041"/>
    </row>
    <row r="16042" spans="11:11" ht="15" x14ac:dyDescent="0.25">
      <c r="K16042"/>
    </row>
    <row r="16043" spans="11:11" ht="15" x14ac:dyDescent="0.25">
      <c r="K16043"/>
    </row>
    <row r="16044" spans="11:11" ht="15" x14ac:dyDescent="0.25">
      <c r="K16044"/>
    </row>
    <row r="16045" spans="11:11" ht="15" x14ac:dyDescent="0.25">
      <c r="K16045"/>
    </row>
    <row r="16046" spans="11:11" ht="15" x14ac:dyDescent="0.25">
      <c r="K16046"/>
    </row>
    <row r="16047" spans="11:11" ht="15" x14ac:dyDescent="0.25">
      <c r="K16047"/>
    </row>
    <row r="16048" spans="11:11" ht="15" x14ac:dyDescent="0.25">
      <c r="K16048"/>
    </row>
    <row r="16049" spans="11:11" ht="15" x14ac:dyDescent="0.25">
      <c r="K16049"/>
    </row>
    <row r="16050" spans="11:11" ht="15" x14ac:dyDescent="0.25">
      <c r="K16050"/>
    </row>
    <row r="16051" spans="11:11" ht="15" x14ac:dyDescent="0.25">
      <c r="K16051"/>
    </row>
    <row r="16052" spans="11:11" ht="15" x14ac:dyDescent="0.25">
      <c r="K16052"/>
    </row>
    <row r="16053" spans="11:11" ht="15" x14ac:dyDescent="0.25">
      <c r="K16053"/>
    </row>
    <row r="16054" spans="11:11" ht="15" x14ac:dyDescent="0.25">
      <c r="K16054"/>
    </row>
    <row r="16055" spans="11:11" ht="15" x14ac:dyDescent="0.25">
      <c r="K16055"/>
    </row>
    <row r="16056" spans="11:11" ht="15" x14ac:dyDescent="0.25">
      <c r="K16056"/>
    </row>
    <row r="16057" spans="11:11" ht="15" x14ac:dyDescent="0.25">
      <c r="K16057"/>
    </row>
    <row r="16058" spans="11:11" ht="15" x14ac:dyDescent="0.25">
      <c r="K16058"/>
    </row>
    <row r="16059" spans="11:11" ht="15" x14ac:dyDescent="0.25">
      <c r="K16059"/>
    </row>
    <row r="16060" spans="11:11" ht="15" x14ac:dyDescent="0.25">
      <c r="K16060"/>
    </row>
    <row r="16061" spans="11:11" ht="15" x14ac:dyDescent="0.25">
      <c r="K16061"/>
    </row>
    <row r="16062" spans="11:11" ht="15" x14ac:dyDescent="0.25">
      <c r="K16062"/>
    </row>
    <row r="16063" spans="11:11" ht="15" x14ac:dyDescent="0.25">
      <c r="K16063"/>
    </row>
    <row r="16064" spans="11:11" ht="15" x14ac:dyDescent="0.25">
      <c r="K16064"/>
    </row>
    <row r="16065" spans="11:11" ht="15" x14ac:dyDescent="0.25">
      <c r="K16065"/>
    </row>
    <row r="16066" spans="11:11" ht="15" x14ac:dyDescent="0.25">
      <c r="K16066"/>
    </row>
    <row r="16067" spans="11:11" ht="15" x14ac:dyDescent="0.25">
      <c r="K16067"/>
    </row>
    <row r="16068" spans="11:11" ht="15" x14ac:dyDescent="0.25">
      <c r="K16068"/>
    </row>
    <row r="16069" spans="11:11" ht="15" x14ac:dyDescent="0.25">
      <c r="K16069"/>
    </row>
    <row r="16070" spans="11:11" ht="15" x14ac:dyDescent="0.25">
      <c r="K16070"/>
    </row>
    <row r="16071" spans="11:11" ht="15" x14ac:dyDescent="0.25">
      <c r="K16071"/>
    </row>
    <row r="16072" spans="11:11" ht="15" x14ac:dyDescent="0.25">
      <c r="K16072"/>
    </row>
    <row r="16073" spans="11:11" ht="15" x14ac:dyDescent="0.25">
      <c r="K16073"/>
    </row>
    <row r="16074" spans="11:11" ht="15" x14ac:dyDescent="0.25">
      <c r="K16074"/>
    </row>
    <row r="16075" spans="11:11" ht="15" x14ac:dyDescent="0.25">
      <c r="K16075"/>
    </row>
    <row r="16076" spans="11:11" ht="15" x14ac:dyDescent="0.25">
      <c r="K16076"/>
    </row>
    <row r="16077" spans="11:11" ht="15" x14ac:dyDescent="0.25">
      <c r="K16077"/>
    </row>
    <row r="16078" spans="11:11" ht="15" x14ac:dyDescent="0.25">
      <c r="K16078"/>
    </row>
    <row r="16079" spans="11:11" ht="15" x14ac:dyDescent="0.25">
      <c r="K16079"/>
    </row>
    <row r="16080" spans="11:11" ht="15" x14ac:dyDescent="0.25">
      <c r="K16080"/>
    </row>
    <row r="16081" spans="11:11" ht="15" x14ac:dyDescent="0.25">
      <c r="K16081"/>
    </row>
    <row r="16082" spans="11:11" ht="15" x14ac:dyDescent="0.25">
      <c r="K16082"/>
    </row>
    <row r="16083" spans="11:11" ht="15" x14ac:dyDescent="0.25">
      <c r="K16083"/>
    </row>
    <row r="16084" spans="11:11" ht="15" x14ac:dyDescent="0.25">
      <c r="K16084"/>
    </row>
    <row r="16085" spans="11:11" ht="15" x14ac:dyDescent="0.25">
      <c r="K16085"/>
    </row>
    <row r="16086" spans="11:11" ht="15" x14ac:dyDescent="0.25">
      <c r="K16086"/>
    </row>
    <row r="16087" spans="11:11" ht="15" x14ac:dyDescent="0.25">
      <c r="K16087"/>
    </row>
    <row r="16088" spans="11:11" ht="15" x14ac:dyDescent="0.25">
      <c r="K16088"/>
    </row>
    <row r="16089" spans="11:11" ht="15" x14ac:dyDescent="0.25">
      <c r="K16089"/>
    </row>
    <row r="16090" spans="11:11" ht="15" x14ac:dyDescent="0.25">
      <c r="K16090"/>
    </row>
    <row r="16091" spans="11:11" ht="15" x14ac:dyDescent="0.25">
      <c r="K16091"/>
    </row>
    <row r="16092" spans="11:11" ht="15" x14ac:dyDescent="0.25">
      <c r="K16092"/>
    </row>
    <row r="16093" spans="11:11" ht="15" x14ac:dyDescent="0.25">
      <c r="K16093"/>
    </row>
    <row r="16094" spans="11:11" ht="15" x14ac:dyDescent="0.25">
      <c r="K16094"/>
    </row>
    <row r="16095" spans="11:11" ht="15" x14ac:dyDescent="0.25">
      <c r="K16095"/>
    </row>
    <row r="16096" spans="11:11" ht="15" x14ac:dyDescent="0.25">
      <c r="K16096"/>
    </row>
    <row r="16097" spans="11:11" ht="15" x14ac:dyDescent="0.25">
      <c r="K16097"/>
    </row>
    <row r="16098" spans="11:11" ht="15" x14ac:dyDescent="0.25">
      <c r="K16098"/>
    </row>
    <row r="16099" spans="11:11" ht="15" x14ac:dyDescent="0.25">
      <c r="K16099"/>
    </row>
    <row r="16100" spans="11:11" ht="15" x14ac:dyDescent="0.25">
      <c r="K16100"/>
    </row>
    <row r="16101" spans="11:11" ht="15" x14ac:dyDescent="0.25">
      <c r="K16101"/>
    </row>
    <row r="16102" spans="11:11" ht="15" x14ac:dyDescent="0.25">
      <c r="K16102"/>
    </row>
    <row r="16103" spans="11:11" ht="15" x14ac:dyDescent="0.25">
      <c r="K16103"/>
    </row>
    <row r="16104" spans="11:11" ht="15" x14ac:dyDescent="0.25">
      <c r="K16104"/>
    </row>
    <row r="16105" spans="11:11" ht="15" x14ac:dyDescent="0.25">
      <c r="K16105"/>
    </row>
    <row r="16106" spans="11:11" ht="15" x14ac:dyDescent="0.25">
      <c r="K16106"/>
    </row>
    <row r="16107" spans="11:11" ht="15" x14ac:dyDescent="0.25">
      <c r="K16107"/>
    </row>
    <row r="16108" spans="11:11" ht="15" x14ac:dyDescent="0.25">
      <c r="K16108"/>
    </row>
    <row r="16109" spans="11:11" ht="15" x14ac:dyDescent="0.25">
      <c r="K16109"/>
    </row>
    <row r="16110" spans="11:11" ht="15" x14ac:dyDescent="0.25">
      <c r="K16110"/>
    </row>
    <row r="16111" spans="11:11" ht="15" x14ac:dyDescent="0.25">
      <c r="K16111"/>
    </row>
    <row r="16112" spans="11:11" ht="15" x14ac:dyDescent="0.25">
      <c r="K16112"/>
    </row>
    <row r="16113" spans="11:11" ht="15" x14ac:dyDescent="0.25">
      <c r="K16113"/>
    </row>
    <row r="16114" spans="11:11" ht="15" x14ac:dyDescent="0.25">
      <c r="K16114"/>
    </row>
    <row r="16115" spans="11:11" ht="15" x14ac:dyDescent="0.25">
      <c r="K16115"/>
    </row>
    <row r="16116" spans="11:11" ht="15" x14ac:dyDescent="0.25">
      <c r="K16116"/>
    </row>
    <row r="16117" spans="11:11" ht="15" x14ac:dyDescent="0.25">
      <c r="K16117"/>
    </row>
    <row r="16118" spans="11:11" ht="15" x14ac:dyDescent="0.25">
      <c r="K16118"/>
    </row>
    <row r="16119" spans="11:11" ht="15" x14ac:dyDescent="0.25">
      <c r="K16119"/>
    </row>
    <row r="16120" spans="11:11" ht="15" x14ac:dyDescent="0.25">
      <c r="K16120"/>
    </row>
    <row r="16121" spans="11:11" ht="15" x14ac:dyDescent="0.25">
      <c r="K16121"/>
    </row>
    <row r="16122" spans="11:11" ht="15" x14ac:dyDescent="0.25">
      <c r="K16122"/>
    </row>
    <row r="16123" spans="11:11" ht="15" x14ac:dyDescent="0.25">
      <c r="K16123"/>
    </row>
    <row r="16124" spans="11:11" ht="15" x14ac:dyDescent="0.25">
      <c r="K16124"/>
    </row>
    <row r="16125" spans="11:11" ht="15" x14ac:dyDescent="0.25">
      <c r="K16125"/>
    </row>
    <row r="16126" spans="11:11" ht="15" x14ac:dyDescent="0.25">
      <c r="K16126"/>
    </row>
    <row r="16127" spans="11:11" ht="15" x14ac:dyDescent="0.25">
      <c r="K16127"/>
    </row>
    <row r="16128" spans="11:11" ht="15" x14ac:dyDescent="0.25">
      <c r="K16128"/>
    </row>
    <row r="16129" spans="11:11" ht="15" x14ac:dyDescent="0.25">
      <c r="K16129"/>
    </row>
    <row r="16130" spans="11:11" ht="15" x14ac:dyDescent="0.25">
      <c r="K16130"/>
    </row>
    <row r="16131" spans="11:11" ht="15" x14ac:dyDescent="0.25">
      <c r="K16131"/>
    </row>
    <row r="16132" spans="11:11" ht="15" x14ac:dyDescent="0.25">
      <c r="K16132"/>
    </row>
    <row r="16133" spans="11:11" ht="15" x14ac:dyDescent="0.25">
      <c r="K16133"/>
    </row>
    <row r="16134" spans="11:11" ht="15" x14ac:dyDescent="0.25">
      <c r="K16134"/>
    </row>
    <row r="16135" spans="11:11" ht="15" x14ac:dyDescent="0.25">
      <c r="K16135"/>
    </row>
    <row r="16136" spans="11:11" ht="15" x14ac:dyDescent="0.25">
      <c r="K16136"/>
    </row>
    <row r="16137" spans="11:11" ht="15" x14ac:dyDescent="0.25">
      <c r="K16137"/>
    </row>
    <row r="16138" spans="11:11" ht="15" x14ac:dyDescent="0.25">
      <c r="K16138"/>
    </row>
    <row r="16139" spans="11:11" ht="15" x14ac:dyDescent="0.25">
      <c r="K16139"/>
    </row>
    <row r="16140" spans="11:11" ht="15" x14ac:dyDescent="0.25">
      <c r="K16140"/>
    </row>
    <row r="16141" spans="11:11" ht="15" x14ac:dyDescent="0.25">
      <c r="K16141"/>
    </row>
    <row r="16142" spans="11:11" ht="15" x14ac:dyDescent="0.25">
      <c r="K16142"/>
    </row>
    <row r="16143" spans="11:11" ht="15" x14ac:dyDescent="0.25">
      <c r="K16143"/>
    </row>
    <row r="16144" spans="11:11" ht="15" x14ac:dyDescent="0.25">
      <c r="K16144"/>
    </row>
    <row r="16145" spans="11:11" ht="15" x14ac:dyDescent="0.25">
      <c r="K16145"/>
    </row>
    <row r="16146" spans="11:11" ht="15" x14ac:dyDescent="0.25">
      <c r="K16146"/>
    </row>
    <row r="16147" spans="11:11" ht="15" x14ac:dyDescent="0.25">
      <c r="K16147"/>
    </row>
    <row r="16148" spans="11:11" ht="15" x14ac:dyDescent="0.25">
      <c r="K16148"/>
    </row>
    <row r="16149" spans="11:11" ht="15" x14ac:dyDescent="0.25">
      <c r="K16149"/>
    </row>
    <row r="16150" spans="11:11" ht="15" x14ac:dyDescent="0.25">
      <c r="K16150"/>
    </row>
    <row r="16151" spans="11:11" ht="15" x14ac:dyDescent="0.25">
      <c r="K16151"/>
    </row>
    <row r="16152" spans="11:11" ht="15" x14ac:dyDescent="0.25">
      <c r="K16152"/>
    </row>
    <row r="16153" spans="11:11" ht="15" x14ac:dyDescent="0.25">
      <c r="K16153"/>
    </row>
    <row r="16154" spans="11:11" ht="15" x14ac:dyDescent="0.25">
      <c r="K16154"/>
    </row>
    <row r="16155" spans="11:11" ht="15" x14ac:dyDescent="0.25">
      <c r="K16155"/>
    </row>
    <row r="16156" spans="11:11" ht="15" x14ac:dyDescent="0.25">
      <c r="K16156"/>
    </row>
    <row r="16157" spans="11:11" ht="15" x14ac:dyDescent="0.25">
      <c r="K16157"/>
    </row>
    <row r="16158" spans="11:11" ht="15" x14ac:dyDescent="0.25">
      <c r="K16158"/>
    </row>
    <row r="16159" spans="11:11" ht="15" x14ac:dyDescent="0.25">
      <c r="K16159"/>
    </row>
    <row r="16160" spans="11:11" ht="15" x14ac:dyDescent="0.25">
      <c r="K16160"/>
    </row>
    <row r="16161" spans="11:11" ht="15" x14ac:dyDescent="0.25">
      <c r="K16161"/>
    </row>
    <row r="16162" spans="11:11" ht="15" x14ac:dyDescent="0.25">
      <c r="K16162"/>
    </row>
    <row r="16163" spans="11:11" ht="15" x14ac:dyDescent="0.25">
      <c r="K16163"/>
    </row>
    <row r="16164" spans="11:11" ht="15" x14ac:dyDescent="0.25">
      <c r="K16164"/>
    </row>
    <row r="16165" spans="11:11" ht="15" x14ac:dyDescent="0.25">
      <c r="K16165"/>
    </row>
    <row r="16166" spans="11:11" ht="15" x14ac:dyDescent="0.25">
      <c r="K16166"/>
    </row>
    <row r="16167" spans="11:11" ht="15" x14ac:dyDescent="0.25">
      <c r="K16167"/>
    </row>
    <row r="16168" spans="11:11" ht="15" x14ac:dyDescent="0.25">
      <c r="K16168"/>
    </row>
    <row r="16169" spans="11:11" ht="15" x14ac:dyDescent="0.25">
      <c r="K16169"/>
    </row>
    <row r="16170" spans="11:11" ht="15" x14ac:dyDescent="0.25">
      <c r="K16170"/>
    </row>
    <row r="16171" spans="11:11" ht="15" x14ac:dyDescent="0.25">
      <c r="K16171"/>
    </row>
    <row r="16172" spans="11:11" ht="15" x14ac:dyDescent="0.25">
      <c r="K16172"/>
    </row>
    <row r="16173" spans="11:11" ht="15" x14ac:dyDescent="0.25">
      <c r="K16173"/>
    </row>
    <row r="16174" spans="11:11" ht="15" x14ac:dyDescent="0.25">
      <c r="K16174"/>
    </row>
    <row r="16175" spans="11:11" ht="15" x14ac:dyDescent="0.25">
      <c r="K16175"/>
    </row>
    <row r="16176" spans="11:11" ht="15" x14ac:dyDescent="0.25">
      <c r="K16176"/>
    </row>
    <row r="16177" spans="11:11" ht="15" x14ac:dyDescent="0.25">
      <c r="K16177"/>
    </row>
    <row r="16178" spans="11:11" ht="15" x14ac:dyDescent="0.25">
      <c r="K16178"/>
    </row>
    <row r="16179" spans="11:11" ht="15" x14ac:dyDescent="0.25">
      <c r="K16179"/>
    </row>
    <row r="16180" spans="11:11" ht="15" x14ac:dyDescent="0.25">
      <c r="K16180"/>
    </row>
    <row r="16181" spans="11:11" ht="15" x14ac:dyDescent="0.25">
      <c r="K16181"/>
    </row>
    <row r="16182" spans="11:11" ht="15" x14ac:dyDescent="0.25">
      <c r="K16182"/>
    </row>
    <row r="16183" spans="11:11" ht="15" x14ac:dyDescent="0.25">
      <c r="K16183"/>
    </row>
    <row r="16184" spans="11:11" ht="15" x14ac:dyDescent="0.25">
      <c r="K16184"/>
    </row>
    <row r="16185" spans="11:11" ht="15" x14ac:dyDescent="0.25">
      <c r="K16185"/>
    </row>
    <row r="16186" spans="11:11" ht="15" x14ac:dyDescent="0.25">
      <c r="K16186"/>
    </row>
    <row r="16187" spans="11:11" ht="15" x14ac:dyDescent="0.25">
      <c r="K16187"/>
    </row>
    <row r="16188" spans="11:11" ht="15" x14ac:dyDescent="0.25">
      <c r="K16188"/>
    </row>
    <row r="16189" spans="11:11" ht="15" x14ac:dyDescent="0.25">
      <c r="K16189"/>
    </row>
    <row r="16190" spans="11:11" ht="15" x14ac:dyDescent="0.25">
      <c r="K16190"/>
    </row>
    <row r="16191" spans="11:11" ht="15" x14ac:dyDescent="0.25">
      <c r="K16191"/>
    </row>
    <row r="16192" spans="11:11" ht="15" x14ac:dyDescent="0.25">
      <c r="K16192"/>
    </row>
    <row r="16193" spans="11:11" ht="15" x14ac:dyDescent="0.25">
      <c r="K16193"/>
    </row>
    <row r="16194" spans="11:11" ht="15" x14ac:dyDescent="0.25">
      <c r="K16194"/>
    </row>
    <row r="16195" spans="11:11" ht="15" x14ac:dyDescent="0.25">
      <c r="K16195"/>
    </row>
    <row r="16196" spans="11:11" ht="15" x14ac:dyDescent="0.25">
      <c r="K16196"/>
    </row>
    <row r="16197" spans="11:11" ht="15" x14ac:dyDescent="0.25">
      <c r="K16197"/>
    </row>
    <row r="16198" spans="11:11" ht="15" x14ac:dyDescent="0.25">
      <c r="K16198"/>
    </row>
    <row r="16199" spans="11:11" ht="15" x14ac:dyDescent="0.25">
      <c r="K16199"/>
    </row>
    <row r="16200" spans="11:11" ht="15" x14ac:dyDescent="0.25">
      <c r="K16200"/>
    </row>
    <row r="16201" spans="11:11" ht="15" x14ac:dyDescent="0.25">
      <c r="K16201"/>
    </row>
    <row r="16202" spans="11:11" ht="15" x14ac:dyDescent="0.25">
      <c r="K16202"/>
    </row>
    <row r="16203" spans="11:11" ht="15" x14ac:dyDescent="0.25">
      <c r="K16203"/>
    </row>
    <row r="16204" spans="11:11" ht="15" x14ac:dyDescent="0.25">
      <c r="K16204"/>
    </row>
    <row r="16205" spans="11:11" ht="15" x14ac:dyDescent="0.25">
      <c r="K16205"/>
    </row>
    <row r="16206" spans="11:11" ht="15" x14ac:dyDescent="0.25">
      <c r="K16206"/>
    </row>
    <row r="16207" spans="11:11" ht="15" x14ac:dyDescent="0.25">
      <c r="K16207"/>
    </row>
    <row r="16208" spans="11:11" ht="15" x14ac:dyDescent="0.25">
      <c r="K16208"/>
    </row>
    <row r="16209" spans="11:11" ht="15" x14ac:dyDescent="0.25">
      <c r="K16209"/>
    </row>
    <row r="16210" spans="11:11" ht="15" x14ac:dyDescent="0.25">
      <c r="K16210"/>
    </row>
    <row r="16211" spans="11:11" ht="15" x14ac:dyDescent="0.25">
      <c r="K16211"/>
    </row>
    <row r="16212" spans="11:11" ht="15" x14ac:dyDescent="0.25">
      <c r="K16212"/>
    </row>
    <row r="16213" spans="11:11" ht="15" x14ac:dyDescent="0.25">
      <c r="K16213"/>
    </row>
    <row r="16214" spans="11:11" ht="15" x14ac:dyDescent="0.25">
      <c r="K16214"/>
    </row>
    <row r="16215" spans="11:11" ht="15" x14ac:dyDescent="0.25">
      <c r="K16215"/>
    </row>
    <row r="16216" spans="11:11" ht="15" x14ac:dyDescent="0.25">
      <c r="K16216"/>
    </row>
    <row r="16217" spans="11:11" ht="15" x14ac:dyDescent="0.25">
      <c r="K16217"/>
    </row>
    <row r="16218" spans="11:11" ht="15" x14ac:dyDescent="0.25">
      <c r="K16218"/>
    </row>
    <row r="16219" spans="11:11" ht="15" x14ac:dyDescent="0.25">
      <c r="K16219"/>
    </row>
    <row r="16220" spans="11:11" ht="15" x14ac:dyDescent="0.25">
      <c r="K16220"/>
    </row>
    <row r="16221" spans="11:11" ht="15" x14ac:dyDescent="0.25">
      <c r="K16221"/>
    </row>
    <row r="16222" spans="11:11" ht="15" x14ac:dyDescent="0.25">
      <c r="K16222"/>
    </row>
    <row r="16223" spans="11:11" ht="15" x14ac:dyDescent="0.25">
      <c r="K16223"/>
    </row>
    <row r="16224" spans="11:11" ht="15" x14ac:dyDescent="0.25">
      <c r="K16224"/>
    </row>
    <row r="16225" spans="11:11" ht="15" x14ac:dyDescent="0.25">
      <c r="K16225"/>
    </row>
    <row r="16226" spans="11:11" ht="15" x14ac:dyDescent="0.25">
      <c r="K16226"/>
    </row>
    <row r="16227" spans="11:11" ht="15" x14ac:dyDescent="0.25">
      <c r="K16227"/>
    </row>
    <row r="16228" spans="11:11" ht="15" x14ac:dyDescent="0.25">
      <c r="K16228"/>
    </row>
    <row r="16229" spans="11:11" ht="15" x14ac:dyDescent="0.25">
      <c r="K16229"/>
    </row>
    <row r="16230" spans="11:11" ht="15" x14ac:dyDescent="0.25">
      <c r="K16230"/>
    </row>
    <row r="16231" spans="11:11" ht="15" x14ac:dyDescent="0.25">
      <c r="K16231"/>
    </row>
    <row r="16232" spans="11:11" ht="15" x14ac:dyDescent="0.25">
      <c r="K16232"/>
    </row>
    <row r="16233" spans="11:11" ht="15" x14ac:dyDescent="0.25">
      <c r="K16233"/>
    </row>
    <row r="16234" spans="11:11" ht="15" x14ac:dyDescent="0.25">
      <c r="K16234"/>
    </row>
    <row r="16235" spans="11:11" ht="15" x14ac:dyDescent="0.25">
      <c r="K16235"/>
    </row>
    <row r="16236" spans="11:11" ht="15" x14ac:dyDescent="0.25">
      <c r="K16236"/>
    </row>
    <row r="16237" spans="11:11" ht="15" x14ac:dyDescent="0.25">
      <c r="K16237"/>
    </row>
    <row r="16238" spans="11:11" ht="15" x14ac:dyDescent="0.25">
      <c r="K16238"/>
    </row>
    <row r="16239" spans="11:11" ht="15" x14ac:dyDescent="0.25">
      <c r="K16239"/>
    </row>
    <row r="16240" spans="11:11" ht="15" x14ac:dyDescent="0.25">
      <c r="K16240"/>
    </row>
    <row r="16241" spans="11:11" ht="15" x14ac:dyDescent="0.25">
      <c r="K16241"/>
    </row>
    <row r="16242" spans="11:11" ht="15" x14ac:dyDescent="0.25">
      <c r="K16242"/>
    </row>
    <row r="16243" spans="11:11" ht="15" x14ac:dyDescent="0.25">
      <c r="K16243"/>
    </row>
    <row r="16244" spans="11:11" ht="15" x14ac:dyDescent="0.25">
      <c r="K16244"/>
    </row>
    <row r="16245" spans="11:11" ht="15" x14ac:dyDescent="0.25">
      <c r="K16245"/>
    </row>
    <row r="16246" spans="11:11" ht="15" x14ac:dyDescent="0.25">
      <c r="K16246"/>
    </row>
    <row r="16247" spans="11:11" ht="15" x14ac:dyDescent="0.25">
      <c r="K16247"/>
    </row>
    <row r="16248" spans="11:11" ht="15" x14ac:dyDescent="0.25">
      <c r="K16248"/>
    </row>
    <row r="16249" spans="11:11" ht="15" x14ac:dyDescent="0.25">
      <c r="K16249"/>
    </row>
    <row r="16250" spans="11:11" ht="15" x14ac:dyDescent="0.25">
      <c r="K16250"/>
    </row>
    <row r="16251" spans="11:11" ht="15" x14ac:dyDescent="0.25">
      <c r="K16251"/>
    </row>
    <row r="16252" spans="11:11" ht="15" x14ac:dyDescent="0.25">
      <c r="K16252"/>
    </row>
    <row r="16253" spans="11:11" ht="15" x14ac:dyDescent="0.25">
      <c r="K16253"/>
    </row>
    <row r="16254" spans="11:11" ht="15" x14ac:dyDescent="0.25">
      <c r="K16254"/>
    </row>
    <row r="16255" spans="11:11" ht="15" x14ac:dyDescent="0.25">
      <c r="K16255"/>
    </row>
    <row r="16256" spans="11:11" ht="15" x14ac:dyDescent="0.25">
      <c r="K16256"/>
    </row>
    <row r="16257" spans="11:11" ht="15" x14ac:dyDescent="0.25">
      <c r="K16257"/>
    </row>
    <row r="16258" spans="11:11" ht="15" x14ac:dyDescent="0.25">
      <c r="K16258"/>
    </row>
    <row r="16259" spans="11:11" ht="15" x14ac:dyDescent="0.25">
      <c r="K16259"/>
    </row>
    <row r="16260" spans="11:11" ht="15" x14ac:dyDescent="0.25">
      <c r="K16260"/>
    </row>
    <row r="16261" spans="11:11" ht="15" x14ac:dyDescent="0.25">
      <c r="K16261"/>
    </row>
    <row r="16262" spans="11:11" ht="15" x14ac:dyDescent="0.25">
      <c r="K16262"/>
    </row>
    <row r="16263" spans="11:11" ht="15" x14ac:dyDescent="0.25">
      <c r="K16263"/>
    </row>
    <row r="16264" spans="11:11" ht="15" x14ac:dyDescent="0.25">
      <c r="K16264"/>
    </row>
    <row r="16265" spans="11:11" ht="15" x14ac:dyDescent="0.25">
      <c r="K16265"/>
    </row>
    <row r="16266" spans="11:11" ht="15" x14ac:dyDescent="0.25">
      <c r="K16266"/>
    </row>
    <row r="16267" spans="11:11" ht="15" x14ac:dyDescent="0.25">
      <c r="K16267"/>
    </row>
    <row r="16268" spans="11:11" ht="15" x14ac:dyDescent="0.25">
      <c r="K16268"/>
    </row>
    <row r="16269" spans="11:11" ht="15" x14ac:dyDescent="0.25">
      <c r="K16269"/>
    </row>
    <row r="16270" spans="11:11" ht="15" x14ac:dyDescent="0.25">
      <c r="K16270"/>
    </row>
    <row r="16271" spans="11:11" ht="15" x14ac:dyDescent="0.25">
      <c r="K16271"/>
    </row>
    <row r="16272" spans="11:11" ht="15" x14ac:dyDescent="0.25">
      <c r="K16272"/>
    </row>
    <row r="16273" spans="11:11" ht="15" x14ac:dyDescent="0.25">
      <c r="K16273"/>
    </row>
    <row r="16274" spans="11:11" ht="15" x14ac:dyDescent="0.25">
      <c r="K16274"/>
    </row>
    <row r="16275" spans="11:11" ht="15" x14ac:dyDescent="0.25">
      <c r="K16275"/>
    </row>
    <row r="16276" spans="11:11" ht="15" x14ac:dyDescent="0.25">
      <c r="K16276"/>
    </row>
    <row r="16277" spans="11:11" ht="15" x14ac:dyDescent="0.25">
      <c r="K16277"/>
    </row>
    <row r="16278" spans="11:11" ht="15" x14ac:dyDescent="0.25">
      <c r="K16278"/>
    </row>
    <row r="16279" spans="11:11" ht="15" x14ac:dyDescent="0.25">
      <c r="K16279"/>
    </row>
    <row r="16280" spans="11:11" ht="15" x14ac:dyDescent="0.25">
      <c r="K16280"/>
    </row>
    <row r="16281" spans="11:11" ht="15" x14ac:dyDescent="0.25">
      <c r="K16281"/>
    </row>
    <row r="16282" spans="11:11" ht="15" x14ac:dyDescent="0.25">
      <c r="K16282"/>
    </row>
    <row r="16283" spans="11:11" ht="15" x14ac:dyDescent="0.25">
      <c r="K16283"/>
    </row>
    <row r="16284" spans="11:11" ht="15" x14ac:dyDescent="0.25">
      <c r="K16284"/>
    </row>
    <row r="16285" spans="11:11" ht="15" x14ac:dyDescent="0.25">
      <c r="K16285"/>
    </row>
    <row r="16286" spans="11:11" ht="15" x14ac:dyDescent="0.25">
      <c r="K16286"/>
    </row>
    <row r="16287" spans="11:11" ht="15" x14ac:dyDescent="0.25">
      <c r="K16287"/>
    </row>
    <row r="16288" spans="11:11" ht="15" x14ac:dyDescent="0.25">
      <c r="K16288"/>
    </row>
    <row r="16289" spans="11:11" ht="15" x14ac:dyDescent="0.25">
      <c r="K16289"/>
    </row>
    <row r="16290" spans="11:11" ht="15" x14ac:dyDescent="0.25">
      <c r="K16290"/>
    </row>
    <row r="16291" spans="11:11" ht="15" x14ac:dyDescent="0.25">
      <c r="K16291"/>
    </row>
    <row r="16292" spans="11:11" ht="15" x14ac:dyDescent="0.25">
      <c r="K16292"/>
    </row>
    <row r="16293" spans="11:11" ht="15" x14ac:dyDescent="0.25">
      <c r="K16293"/>
    </row>
    <row r="16294" spans="11:11" ht="15" x14ac:dyDescent="0.25">
      <c r="K16294"/>
    </row>
    <row r="16295" spans="11:11" ht="15" x14ac:dyDescent="0.25">
      <c r="K16295"/>
    </row>
    <row r="16296" spans="11:11" ht="15" x14ac:dyDescent="0.25">
      <c r="K16296"/>
    </row>
    <row r="16297" spans="11:11" ht="15" x14ac:dyDescent="0.25">
      <c r="K16297"/>
    </row>
    <row r="16298" spans="11:11" ht="15" x14ac:dyDescent="0.25">
      <c r="K16298"/>
    </row>
    <row r="16299" spans="11:11" ht="15" x14ac:dyDescent="0.25">
      <c r="K16299"/>
    </row>
    <row r="16300" spans="11:11" ht="15" x14ac:dyDescent="0.25">
      <c r="K16300"/>
    </row>
    <row r="16301" spans="11:11" ht="15" x14ac:dyDescent="0.25">
      <c r="K16301"/>
    </row>
    <row r="16302" spans="11:11" ht="15" x14ac:dyDescent="0.25">
      <c r="K16302"/>
    </row>
    <row r="16303" spans="11:11" ht="15" x14ac:dyDescent="0.25">
      <c r="K16303"/>
    </row>
    <row r="16304" spans="11:11" ht="15" x14ac:dyDescent="0.25">
      <c r="K16304"/>
    </row>
    <row r="16305" spans="11:11" ht="15" x14ac:dyDescent="0.25">
      <c r="K16305"/>
    </row>
    <row r="16306" spans="11:11" ht="15" x14ac:dyDescent="0.25">
      <c r="K16306"/>
    </row>
    <row r="16307" spans="11:11" ht="15" x14ac:dyDescent="0.25">
      <c r="K16307"/>
    </row>
    <row r="16308" spans="11:11" ht="15" x14ac:dyDescent="0.25">
      <c r="K16308"/>
    </row>
    <row r="16309" spans="11:11" ht="15" x14ac:dyDescent="0.25">
      <c r="K16309"/>
    </row>
    <row r="16310" spans="11:11" ht="15" x14ac:dyDescent="0.25">
      <c r="K16310"/>
    </row>
    <row r="16311" spans="11:11" ht="15" x14ac:dyDescent="0.25">
      <c r="K16311"/>
    </row>
    <row r="16312" spans="11:11" ht="15" x14ac:dyDescent="0.25">
      <c r="K16312"/>
    </row>
    <row r="16313" spans="11:11" ht="15" x14ac:dyDescent="0.25">
      <c r="K16313"/>
    </row>
    <row r="16314" spans="11:11" ht="15" x14ac:dyDescent="0.25">
      <c r="K16314"/>
    </row>
    <row r="16315" spans="11:11" ht="15" x14ac:dyDescent="0.25">
      <c r="K16315"/>
    </row>
    <row r="16316" spans="11:11" ht="15" x14ac:dyDescent="0.25">
      <c r="K16316"/>
    </row>
    <row r="16317" spans="11:11" ht="15" x14ac:dyDescent="0.25">
      <c r="K16317"/>
    </row>
    <row r="16318" spans="11:11" ht="15" x14ac:dyDescent="0.25">
      <c r="K16318"/>
    </row>
    <row r="16319" spans="11:11" ht="15" x14ac:dyDescent="0.25">
      <c r="K16319"/>
    </row>
    <row r="16320" spans="11:11" ht="15" x14ac:dyDescent="0.25">
      <c r="K16320"/>
    </row>
    <row r="16321" spans="11:11" ht="15" x14ac:dyDescent="0.25">
      <c r="K16321"/>
    </row>
    <row r="16322" spans="11:11" ht="15" x14ac:dyDescent="0.25">
      <c r="K16322"/>
    </row>
    <row r="16323" spans="11:11" ht="15" x14ac:dyDescent="0.25">
      <c r="K16323"/>
    </row>
    <row r="16324" spans="11:11" ht="15" x14ac:dyDescent="0.25">
      <c r="K16324"/>
    </row>
    <row r="16325" spans="11:11" ht="15" x14ac:dyDescent="0.25">
      <c r="K16325"/>
    </row>
    <row r="16326" spans="11:11" ht="15" x14ac:dyDescent="0.25">
      <c r="K16326"/>
    </row>
    <row r="16327" spans="11:11" ht="15" x14ac:dyDescent="0.25">
      <c r="K16327"/>
    </row>
    <row r="16328" spans="11:11" ht="15" x14ac:dyDescent="0.25">
      <c r="K16328"/>
    </row>
    <row r="16329" spans="11:11" ht="15" x14ac:dyDescent="0.25">
      <c r="K16329"/>
    </row>
    <row r="16330" spans="11:11" ht="15" x14ac:dyDescent="0.25">
      <c r="K16330"/>
    </row>
    <row r="16331" spans="11:11" ht="15" x14ac:dyDescent="0.25">
      <c r="K16331"/>
    </row>
    <row r="16332" spans="11:11" ht="15" x14ac:dyDescent="0.25">
      <c r="K16332"/>
    </row>
    <row r="16333" spans="11:11" ht="15" x14ac:dyDescent="0.25">
      <c r="K16333"/>
    </row>
    <row r="16334" spans="11:11" ht="15" x14ac:dyDescent="0.25">
      <c r="K16334"/>
    </row>
    <row r="16335" spans="11:11" ht="15" x14ac:dyDescent="0.25">
      <c r="K16335"/>
    </row>
    <row r="16336" spans="11:11" ht="15" x14ac:dyDescent="0.25">
      <c r="K16336"/>
    </row>
    <row r="16337" spans="11:11" ht="15" x14ac:dyDescent="0.25">
      <c r="K16337"/>
    </row>
    <row r="16338" spans="11:11" ht="15" x14ac:dyDescent="0.25">
      <c r="K16338"/>
    </row>
    <row r="16339" spans="11:11" ht="15" x14ac:dyDescent="0.25">
      <c r="K16339"/>
    </row>
    <row r="16340" spans="11:11" ht="15" x14ac:dyDescent="0.25">
      <c r="K16340"/>
    </row>
    <row r="16341" spans="11:11" ht="15" x14ac:dyDescent="0.25">
      <c r="K16341"/>
    </row>
    <row r="16342" spans="11:11" ht="15" x14ac:dyDescent="0.25">
      <c r="K16342"/>
    </row>
    <row r="16343" spans="11:11" ht="15" x14ac:dyDescent="0.25">
      <c r="K16343"/>
    </row>
    <row r="16344" spans="11:11" ht="15" x14ac:dyDescent="0.25">
      <c r="K16344"/>
    </row>
    <row r="16345" spans="11:11" ht="15" x14ac:dyDescent="0.25">
      <c r="K16345"/>
    </row>
    <row r="16346" spans="11:11" ht="15" x14ac:dyDescent="0.25">
      <c r="K16346"/>
    </row>
    <row r="16347" spans="11:11" ht="15" x14ac:dyDescent="0.25">
      <c r="K16347"/>
    </row>
    <row r="16348" spans="11:11" ht="15" x14ac:dyDescent="0.25">
      <c r="K16348"/>
    </row>
    <row r="16349" spans="11:11" ht="15" x14ac:dyDescent="0.25">
      <c r="K16349"/>
    </row>
    <row r="16350" spans="11:11" ht="15" x14ac:dyDescent="0.25">
      <c r="K16350"/>
    </row>
    <row r="16351" spans="11:11" ht="15" x14ac:dyDescent="0.25">
      <c r="K16351"/>
    </row>
    <row r="16352" spans="11:11" ht="15" x14ac:dyDescent="0.25">
      <c r="K16352"/>
    </row>
    <row r="16353" spans="11:11" ht="15" x14ac:dyDescent="0.25">
      <c r="K16353"/>
    </row>
    <row r="16354" spans="11:11" ht="15" x14ac:dyDescent="0.25">
      <c r="K16354"/>
    </row>
    <row r="16355" spans="11:11" ht="15" x14ac:dyDescent="0.25">
      <c r="K16355"/>
    </row>
    <row r="16356" spans="11:11" ht="15" x14ac:dyDescent="0.25">
      <c r="K16356"/>
    </row>
    <row r="16357" spans="11:11" ht="15" x14ac:dyDescent="0.25">
      <c r="K16357"/>
    </row>
    <row r="16358" spans="11:11" ht="15" x14ac:dyDescent="0.25">
      <c r="K16358"/>
    </row>
    <row r="16359" spans="11:11" ht="15" x14ac:dyDescent="0.25">
      <c r="K16359"/>
    </row>
    <row r="16360" spans="11:11" ht="15" x14ac:dyDescent="0.25">
      <c r="K16360"/>
    </row>
    <row r="16361" spans="11:11" ht="15" x14ac:dyDescent="0.25">
      <c r="K16361"/>
    </row>
    <row r="16362" spans="11:11" ht="15" x14ac:dyDescent="0.25">
      <c r="K16362"/>
    </row>
    <row r="16363" spans="11:11" ht="15" x14ac:dyDescent="0.25">
      <c r="K16363"/>
    </row>
    <row r="16364" spans="11:11" ht="15" x14ac:dyDescent="0.25">
      <c r="K16364"/>
    </row>
    <row r="16365" spans="11:11" ht="15" x14ac:dyDescent="0.25">
      <c r="K16365"/>
    </row>
    <row r="16366" spans="11:11" ht="15" x14ac:dyDescent="0.25">
      <c r="K16366"/>
    </row>
    <row r="16367" spans="11:11" ht="15" x14ac:dyDescent="0.25">
      <c r="K16367"/>
    </row>
    <row r="16368" spans="11:11" ht="15" x14ac:dyDescent="0.25">
      <c r="K16368"/>
    </row>
    <row r="16369" spans="11:11" ht="15" x14ac:dyDescent="0.25">
      <c r="K16369"/>
    </row>
    <row r="16370" spans="11:11" ht="15" x14ac:dyDescent="0.25">
      <c r="K16370"/>
    </row>
    <row r="16371" spans="11:11" ht="15" x14ac:dyDescent="0.25">
      <c r="K16371"/>
    </row>
    <row r="16372" spans="11:11" ht="15" x14ac:dyDescent="0.25">
      <c r="K16372"/>
    </row>
    <row r="16373" spans="11:11" ht="15" x14ac:dyDescent="0.25">
      <c r="K16373"/>
    </row>
    <row r="16374" spans="11:11" ht="15" x14ac:dyDescent="0.25">
      <c r="K16374"/>
    </row>
    <row r="16375" spans="11:11" ht="15" x14ac:dyDescent="0.25">
      <c r="K16375"/>
    </row>
    <row r="16376" spans="11:11" ht="15" x14ac:dyDescent="0.25">
      <c r="K16376"/>
    </row>
    <row r="16377" spans="11:11" ht="15" x14ac:dyDescent="0.25">
      <c r="K16377"/>
    </row>
    <row r="16378" spans="11:11" ht="15" x14ac:dyDescent="0.25">
      <c r="K16378"/>
    </row>
    <row r="16379" spans="11:11" ht="15" x14ac:dyDescent="0.25">
      <c r="K16379"/>
    </row>
    <row r="16380" spans="11:11" ht="15" x14ac:dyDescent="0.25">
      <c r="K16380"/>
    </row>
    <row r="16381" spans="11:11" ht="15" x14ac:dyDescent="0.25">
      <c r="K16381"/>
    </row>
    <row r="16382" spans="11:11" ht="15" x14ac:dyDescent="0.25">
      <c r="K16382"/>
    </row>
    <row r="16383" spans="11:11" ht="15" x14ac:dyDescent="0.25">
      <c r="K16383"/>
    </row>
    <row r="16384" spans="11:11" ht="15" x14ac:dyDescent="0.25">
      <c r="K16384"/>
    </row>
    <row r="16385" spans="11:11" ht="15" x14ac:dyDescent="0.25">
      <c r="K16385"/>
    </row>
    <row r="16386" spans="11:11" ht="15" x14ac:dyDescent="0.25">
      <c r="K16386"/>
    </row>
    <row r="16387" spans="11:11" ht="15" x14ac:dyDescent="0.25">
      <c r="K16387"/>
    </row>
    <row r="16388" spans="11:11" ht="15" x14ac:dyDescent="0.25">
      <c r="K16388"/>
    </row>
    <row r="16389" spans="11:11" ht="15" x14ac:dyDescent="0.25">
      <c r="K16389"/>
    </row>
    <row r="16390" spans="11:11" ht="15" x14ac:dyDescent="0.25">
      <c r="K16390"/>
    </row>
    <row r="16391" spans="11:11" ht="15" x14ac:dyDescent="0.25">
      <c r="K16391"/>
    </row>
    <row r="16392" spans="11:11" ht="15" x14ac:dyDescent="0.25">
      <c r="K16392"/>
    </row>
    <row r="16393" spans="11:11" ht="15" x14ac:dyDescent="0.25">
      <c r="K16393"/>
    </row>
    <row r="16394" spans="11:11" ht="15" x14ac:dyDescent="0.25">
      <c r="K16394"/>
    </row>
    <row r="16395" spans="11:11" ht="15" x14ac:dyDescent="0.25">
      <c r="K16395"/>
    </row>
    <row r="16396" spans="11:11" ht="15" x14ac:dyDescent="0.25">
      <c r="K16396"/>
    </row>
    <row r="16397" spans="11:11" ht="15" x14ac:dyDescent="0.25">
      <c r="K16397"/>
    </row>
    <row r="16398" spans="11:11" ht="15" x14ac:dyDescent="0.25">
      <c r="K16398"/>
    </row>
    <row r="16399" spans="11:11" ht="15" x14ac:dyDescent="0.25">
      <c r="K16399"/>
    </row>
    <row r="16400" spans="11:11" ht="15" x14ac:dyDescent="0.25">
      <c r="K16400"/>
    </row>
    <row r="16401" spans="11:11" ht="15" x14ac:dyDescent="0.25">
      <c r="K16401"/>
    </row>
    <row r="16402" spans="11:11" ht="15" x14ac:dyDescent="0.25">
      <c r="K16402"/>
    </row>
    <row r="16403" spans="11:11" ht="15" x14ac:dyDescent="0.25">
      <c r="K16403"/>
    </row>
    <row r="16404" spans="11:11" ht="15" x14ac:dyDescent="0.25">
      <c r="K16404"/>
    </row>
    <row r="16405" spans="11:11" ht="15" x14ac:dyDescent="0.25">
      <c r="K16405"/>
    </row>
    <row r="16406" spans="11:11" ht="15" x14ac:dyDescent="0.25">
      <c r="K16406"/>
    </row>
    <row r="16407" spans="11:11" ht="15" x14ac:dyDescent="0.25">
      <c r="K16407"/>
    </row>
    <row r="16408" spans="11:11" ht="15" x14ac:dyDescent="0.25">
      <c r="K16408"/>
    </row>
    <row r="16409" spans="11:11" ht="15" x14ac:dyDescent="0.25">
      <c r="K16409"/>
    </row>
    <row r="16410" spans="11:11" ht="15" x14ac:dyDescent="0.25">
      <c r="K16410"/>
    </row>
    <row r="16411" spans="11:11" ht="15" x14ac:dyDescent="0.25">
      <c r="K16411"/>
    </row>
    <row r="16412" spans="11:11" ht="15" x14ac:dyDescent="0.25">
      <c r="K16412"/>
    </row>
    <row r="16413" spans="11:11" ht="15" x14ac:dyDescent="0.25">
      <c r="K16413"/>
    </row>
    <row r="16414" spans="11:11" ht="15" x14ac:dyDescent="0.25">
      <c r="K16414"/>
    </row>
    <row r="16415" spans="11:11" ht="15" x14ac:dyDescent="0.25">
      <c r="K16415"/>
    </row>
    <row r="16416" spans="11:11" ht="15" x14ac:dyDescent="0.25">
      <c r="K16416"/>
    </row>
    <row r="16417" spans="11:11" ht="15" x14ac:dyDescent="0.25">
      <c r="K16417"/>
    </row>
    <row r="16418" spans="11:11" ht="15" x14ac:dyDescent="0.25">
      <c r="K16418"/>
    </row>
    <row r="16419" spans="11:11" ht="15" x14ac:dyDescent="0.25">
      <c r="K16419"/>
    </row>
    <row r="16420" spans="11:11" ht="15" x14ac:dyDescent="0.25">
      <c r="K16420"/>
    </row>
    <row r="16421" spans="11:11" ht="15" x14ac:dyDescent="0.25">
      <c r="K16421"/>
    </row>
    <row r="16422" spans="11:11" ht="15" x14ac:dyDescent="0.25">
      <c r="K16422"/>
    </row>
    <row r="16423" spans="11:11" ht="15" x14ac:dyDescent="0.25">
      <c r="K16423"/>
    </row>
    <row r="16424" spans="11:11" ht="15" x14ac:dyDescent="0.25">
      <c r="K16424"/>
    </row>
    <row r="16425" spans="11:11" ht="15" x14ac:dyDescent="0.25">
      <c r="K16425"/>
    </row>
    <row r="16426" spans="11:11" ht="15" x14ac:dyDescent="0.25">
      <c r="K16426"/>
    </row>
    <row r="16427" spans="11:11" ht="15" x14ac:dyDescent="0.25">
      <c r="K16427"/>
    </row>
    <row r="16428" spans="11:11" ht="15" x14ac:dyDescent="0.25">
      <c r="K16428"/>
    </row>
    <row r="16429" spans="11:11" ht="15" x14ac:dyDescent="0.25">
      <c r="K16429"/>
    </row>
    <row r="16430" spans="11:11" ht="15" x14ac:dyDescent="0.25">
      <c r="K16430"/>
    </row>
    <row r="16431" spans="11:11" ht="15" x14ac:dyDescent="0.25">
      <c r="K16431"/>
    </row>
    <row r="16432" spans="11:11" ht="15" x14ac:dyDescent="0.25">
      <c r="K16432"/>
    </row>
    <row r="16433" spans="11:11" ht="15" x14ac:dyDescent="0.25">
      <c r="K16433"/>
    </row>
    <row r="16434" spans="11:11" ht="15" x14ac:dyDescent="0.25">
      <c r="K16434"/>
    </row>
    <row r="16435" spans="11:11" ht="15" x14ac:dyDescent="0.25">
      <c r="K16435"/>
    </row>
    <row r="16436" spans="11:11" ht="15" x14ac:dyDescent="0.25">
      <c r="K16436"/>
    </row>
    <row r="16437" spans="11:11" ht="15" x14ac:dyDescent="0.25">
      <c r="K16437"/>
    </row>
    <row r="16438" spans="11:11" ht="15" x14ac:dyDescent="0.25">
      <c r="K16438"/>
    </row>
    <row r="16439" spans="11:11" ht="15" x14ac:dyDescent="0.25">
      <c r="K16439"/>
    </row>
    <row r="16440" spans="11:11" ht="15" x14ac:dyDescent="0.25">
      <c r="K16440"/>
    </row>
    <row r="16441" spans="11:11" ht="15" x14ac:dyDescent="0.25">
      <c r="K16441"/>
    </row>
    <row r="16442" spans="11:11" ht="15" x14ac:dyDescent="0.25">
      <c r="K16442"/>
    </row>
    <row r="16443" spans="11:11" ht="15" x14ac:dyDescent="0.25">
      <c r="K16443"/>
    </row>
    <row r="16444" spans="11:11" ht="15" x14ac:dyDescent="0.25">
      <c r="K16444"/>
    </row>
    <row r="16445" spans="11:11" ht="15" x14ac:dyDescent="0.25">
      <c r="K16445"/>
    </row>
    <row r="16446" spans="11:11" ht="15" x14ac:dyDescent="0.25">
      <c r="K16446"/>
    </row>
    <row r="16447" spans="11:11" ht="15" x14ac:dyDescent="0.25">
      <c r="K16447"/>
    </row>
    <row r="16448" spans="11:11" ht="15" x14ac:dyDescent="0.25">
      <c r="K16448"/>
    </row>
    <row r="16449" spans="11:11" ht="15" x14ac:dyDescent="0.25">
      <c r="K16449"/>
    </row>
    <row r="16450" spans="11:11" ht="15" x14ac:dyDescent="0.25">
      <c r="K16450"/>
    </row>
    <row r="16451" spans="11:11" ht="15" x14ac:dyDescent="0.25">
      <c r="K16451"/>
    </row>
    <row r="16452" spans="11:11" ht="15" x14ac:dyDescent="0.25">
      <c r="K16452"/>
    </row>
    <row r="16453" spans="11:11" ht="15" x14ac:dyDescent="0.25">
      <c r="K16453"/>
    </row>
    <row r="16454" spans="11:11" ht="15" x14ac:dyDescent="0.25">
      <c r="K16454"/>
    </row>
    <row r="16455" spans="11:11" ht="15" x14ac:dyDescent="0.25">
      <c r="K16455"/>
    </row>
    <row r="16456" spans="11:11" ht="15" x14ac:dyDescent="0.25">
      <c r="K16456"/>
    </row>
    <row r="16457" spans="11:11" ht="15" x14ac:dyDescent="0.25">
      <c r="K16457"/>
    </row>
    <row r="16458" spans="11:11" ht="15" x14ac:dyDescent="0.25">
      <c r="K16458"/>
    </row>
    <row r="16459" spans="11:11" ht="15" x14ac:dyDescent="0.25">
      <c r="K16459"/>
    </row>
    <row r="16460" spans="11:11" ht="15" x14ac:dyDescent="0.25">
      <c r="K16460"/>
    </row>
    <row r="16461" spans="11:11" ht="15" x14ac:dyDescent="0.25">
      <c r="K16461"/>
    </row>
    <row r="16462" spans="11:11" ht="15" x14ac:dyDescent="0.25">
      <c r="K16462"/>
    </row>
    <row r="16463" spans="11:11" ht="15" x14ac:dyDescent="0.25">
      <c r="K16463"/>
    </row>
    <row r="16464" spans="11:11" ht="15" x14ac:dyDescent="0.25">
      <c r="K16464"/>
    </row>
    <row r="16465" spans="11:11" ht="15" x14ac:dyDescent="0.25">
      <c r="K16465"/>
    </row>
    <row r="16466" spans="11:11" ht="15" x14ac:dyDescent="0.25">
      <c r="K16466"/>
    </row>
    <row r="16467" spans="11:11" ht="15" x14ac:dyDescent="0.25">
      <c r="K16467"/>
    </row>
    <row r="16468" spans="11:11" ht="15" x14ac:dyDescent="0.25">
      <c r="K16468"/>
    </row>
    <row r="16469" spans="11:11" ht="15" x14ac:dyDescent="0.25">
      <c r="K16469"/>
    </row>
    <row r="16470" spans="11:11" ht="15" x14ac:dyDescent="0.25">
      <c r="K16470"/>
    </row>
    <row r="16471" spans="11:11" ht="15" x14ac:dyDescent="0.25">
      <c r="K16471"/>
    </row>
    <row r="16472" spans="11:11" ht="15" x14ac:dyDescent="0.25">
      <c r="K16472"/>
    </row>
    <row r="16473" spans="11:11" ht="15" x14ac:dyDescent="0.25">
      <c r="K16473"/>
    </row>
    <row r="16474" spans="11:11" ht="15" x14ac:dyDescent="0.25">
      <c r="K16474"/>
    </row>
    <row r="16475" spans="11:11" ht="15" x14ac:dyDescent="0.25">
      <c r="K16475"/>
    </row>
    <row r="16476" spans="11:11" ht="15" x14ac:dyDescent="0.25">
      <c r="K16476"/>
    </row>
    <row r="16477" spans="11:11" ht="15" x14ac:dyDescent="0.25">
      <c r="K16477"/>
    </row>
    <row r="16478" spans="11:11" ht="15" x14ac:dyDescent="0.25">
      <c r="K16478"/>
    </row>
    <row r="16479" spans="11:11" ht="15" x14ac:dyDescent="0.25">
      <c r="K16479"/>
    </row>
    <row r="16480" spans="11:11" ht="15" x14ac:dyDescent="0.25">
      <c r="K16480"/>
    </row>
    <row r="16481" spans="11:11" ht="15" x14ac:dyDescent="0.25">
      <c r="K16481"/>
    </row>
    <row r="16482" spans="11:11" ht="15" x14ac:dyDescent="0.25">
      <c r="K16482"/>
    </row>
    <row r="16483" spans="11:11" ht="15" x14ac:dyDescent="0.25">
      <c r="K16483"/>
    </row>
    <row r="16484" spans="11:11" ht="15" x14ac:dyDescent="0.25">
      <c r="K16484"/>
    </row>
    <row r="16485" spans="11:11" ht="15" x14ac:dyDescent="0.25">
      <c r="K16485"/>
    </row>
    <row r="16486" spans="11:11" ht="15" x14ac:dyDescent="0.25">
      <c r="K16486"/>
    </row>
    <row r="16487" spans="11:11" ht="15" x14ac:dyDescent="0.25">
      <c r="K16487"/>
    </row>
    <row r="16488" spans="11:11" ht="15" x14ac:dyDescent="0.25">
      <c r="K16488"/>
    </row>
    <row r="16489" spans="11:11" ht="15" x14ac:dyDescent="0.25">
      <c r="K16489"/>
    </row>
    <row r="16490" spans="11:11" ht="15" x14ac:dyDescent="0.25">
      <c r="K16490"/>
    </row>
    <row r="16491" spans="11:11" ht="15" x14ac:dyDescent="0.25">
      <c r="K16491"/>
    </row>
    <row r="16492" spans="11:11" ht="15" x14ac:dyDescent="0.25">
      <c r="K16492"/>
    </row>
    <row r="16493" spans="11:11" ht="15" x14ac:dyDescent="0.25">
      <c r="K16493"/>
    </row>
    <row r="16494" spans="11:11" ht="15" x14ac:dyDescent="0.25">
      <c r="K16494"/>
    </row>
    <row r="16495" spans="11:11" ht="15" x14ac:dyDescent="0.25">
      <c r="K16495"/>
    </row>
    <row r="16496" spans="11:11" ht="15" x14ac:dyDescent="0.25">
      <c r="K16496"/>
    </row>
    <row r="16497" spans="11:11" ht="15" x14ac:dyDescent="0.25">
      <c r="K16497"/>
    </row>
    <row r="16498" spans="11:11" ht="15" x14ac:dyDescent="0.25">
      <c r="K16498"/>
    </row>
    <row r="16499" spans="11:11" ht="15" x14ac:dyDescent="0.25">
      <c r="K16499"/>
    </row>
    <row r="16500" spans="11:11" ht="15" x14ac:dyDescent="0.25">
      <c r="K16500"/>
    </row>
    <row r="16501" spans="11:11" ht="15" x14ac:dyDescent="0.25">
      <c r="K16501"/>
    </row>
    <row r="16502" spans="11:11" ht="15" x14ac:dyDescent="0.25">
      <c r="K16502"/>
    </row>
    <row r="16503" spans="11:11" ht="15" x14ac:dyDescent="0.25">
      <c r="K16503"/>
    </row>
    <row r="16504" spans="11:11" ht="15" x14ac:dyDescent="0.25">
      <c r="K16504"/>
    </row>
    <row r="16505" spans="11:11" ht="15" x14ac:dyDescent="0.25">
      <c r="K16505"/>
    </row>
    <row r="16506" spans="11:11" ht="15" x14ac:dyDescent="0.25">
      <c r="K16506"/>
    </row>
    <row r="16507" spans="11:11" ht="15" x14ac:dyDescent="0.25">
      <c r="K16507"/>
    </row>
    <row r="16508" spans="11:11" ht="15" x14ac:dyDescent="0.25">
      <c r="K16508"/>
    </row>
    <row r="16509" spans="11:11" ht="15" x14ac:dyDescent="0.25">
      <c r="K16509"/>
    </row>
    <row r="16510" spans="11:11" ht="15" x14ac:dyDescent="0.25">
      <c r="K16510"/>
    </row>
    <row r="16511" spans="11:11" ht="15" x14ac:dyDescent="0.25">
      <c r="K16511"/>
    </row>
  </sheetData>
  <mergeCells count="2">
    <mergeCell ref="A67:C67"/>
    <mergeCell ref="B90:C90"/>
  </mergeCells>
  <pageMargins left="0.7" right="0.7" top="0.75" bottom="0.75" header="0.3" footer="0.3"/>
  <pageSetup paperSize="119" orientation="portrait" horizontalDpi="4294967294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56"/>
  <sheetViews>
    <sheetView topLeftCell="K1" workbookViewId="0">
      <selection activeCell="O5" sqref="O5"/>
    </sheetView>
  </sheetViews>
  <sheetFormatPr defaultRowHeight="15" x14ac:dyDescent="0.25"/>
  <cols>
    <col min="8" max="8" width="14.5703125" customWidth="1"/>
    <col min="12" max="12" width="17.5703125" customWidth="1"/>
    <col min="13" max="13" width="19.42578125" customWidth="1"/>
    <col min="15" max="15" width="25.85546875" customWidth="1"/>
    <col min="16" max="16" width="25.85546875" style="119" customWidth="1"/>
    <col min="17" max="17" width="30.42578125" customWidth="1"/>
    <col min="18" max="18" width="26.7109375" customWidth="1"/>
  </cols>
  <sheetData>
    <row r="1" spans="1:18" x14ac:dyDescent="0.25">
      <c r="A1" s="92" t="s">
        <v>840</v>
      </c>
      <c r="B1" s="92" t="s">
        <v>1049</v>
      </c>
      <c r="C1" s="81" t="s">
        <v>7</v>
      </c>
      <c r="D1" s="81" t="s">
        <v>8</v>
      </c>
      <c r="E1" s="81" t="s">
        <v>1050</v>
      </c>
      <c r="F1" s="81" t="s">
        <v>1055</v>
      </c>
      <c r="G1" s="81" t="s">
        <v>1329</v>
      </c>
      <c r="H1" s="81" t="s">
        <v>1287</v>
      </c>
      <c r="I1" s="123" t="s">
        <v>1057</v>
      </c>
      <c r="J1" s="89" t="s">
        <v>1058</v>
      </c>
      <c r="K1" s="89" t="s">
        <v>1322</v>
      </c>
      <c r="L1" s="89" t="s">
        <v>1321</v>
      </c>
      <c r="M1" s="89" t="s">
        <v>1323</v>
      </c>
      <c r="N1" s="89" t="s">
        <v>1324</v>
      </c>
      <c r="O1" s="89" t="s">
        <v>1325</v>
      </c>
      <c r="P1" s="89" t="s">
        <v>1327</v>
      </c>
      <c r="Q1" s="89" t="s">
        <v>1326</v>
      </c>
      <c r="R1" s="89" t="s">
        <v>1328</v>
      </c>
    </row>
    <row r="2" spans="1:18" x14ac:dyDescent="0.25">
      <c r="A2" s="121" t="s">
        <v>22</v>
      </c>
      <c r="B2" s="121" t="s">
        <v>815</v>
      </c>
      <c r="C2" s="121" t="s">
        <v>14</v>
      </c>
      <c r="D2" s="121" t="s">
        <v>298</v>
      </c>
      <c r="E2" s="121" t="s">
        <v>1052</v>
      </c>
      <c r="F2" s="214" t="s">
        <v>1056</v>
      </c>
      <c r="G2" s="121">
        <v>55.81537142381022</v>
      </c>
      <c r="H2" s="121">
        <v>7</v>
      </c>
      <c r="I2" s="122">
        <v>38</v>
      </c>
      <c r="J2" s="119" t="s">
        <v>1283</v>
      </c>
      <c r="K2" s="119">
        <v>46</v>
      </c>
      <c r="L2" s="119">
        <f>H2/K2</f>
        <v>0.15217391304347827</v>
      </c>
      <c r="M2" s="119">
        <f t="shared" ref="M2:M17" si="0">IF(ISERROR(L2*G2),0,(L2*G2))</f>
        <v>8.4936434775363381</v>
      </c>
      <c r="N2" s="119">
        <v>8.4936434775363381</v>
      </c>
      <c r="O2" s="253">
        <v>30</v>
      </c>
      <c r="P2" s="254">
        <v>172</v>
      </c>
      <c r="Q2">
        <f>O2/P2</f>
        <v>0.1744186046511628</v>
      </c>
      <c r="R2">
        <f>IF(ISERROR(Q2*G2),0,(Q2*G2))</f>
        <v>9.7352392018273637</v>
      </c>
    </row>
    <row r="3" spans="1:18" x14ac:dyDescent="0.25">
      <c r="A3" s="121" t="s">
        <v>22</v>
      </c>
      <c r="B3" s="121" t="s">
        <v>815</v>
      </c>
      <c r="C3" s="121" t="s">
        <v>18</v>
      </c>
      <c r="D3" s="121" t="s">
        <v>298</v>
      </c>
      <c r="E3" s="121" t="s">
        <v>1052</v>
      </c>
      <c r="F3" s="214" t="s">
        <v>1056</v>
      </c>
      <c r="G3" s="121">
        <v>0</v>
      </c>
      <c r="H3" s="121">
        <v>0</v>
      </c>
      <c r="I3" s="122">
        <v>48</v>
      </c>
      <c r="J3" s="119" t="s">
        <v>1284</v>
      </c>
      <c r="K3" s="119">
        <v>46</v>
      </c>
      <c r="L3" s="119">
        <f t="shared" ref="L3:L33" si="1">H3/K3</f>
        <v>0</v>
      </c>
      <c r="M3" s="119">
        <f t="shared" si="0"/>
        <v>0</v>
      </c>
      <c r="N3" s="119">
        <v>8.4936434775363381</v>
      </c>
      <c r="O3" s="253">
        <v>0</v>
      </c>
      <c r="P3" s="254">
        <v>172</v>
      </c>
      <c r="Q3" s="119">
        <f t="shared" ref="Q3:Q33" si="2">O3/P3</f>
        <v>0</v>
      </c>
      <c r="R3" s="119">
        <f t="shared" ref="R3:R33" si="3">IF(ISERROR(Q3*G3),0,(Q3*G3))</f>
        <v>0</v>
      </c>
    </row>
    <row r="4" spans="1:18" x14ac:dyDescent="0.25">
      <c r="A4" s="121" t="s">
        <v>22</v>
      </c>
      <c r="B4" s="121" t="s">
        <v>815</v>
      </c>
      <c r="C4" s="121" t="s">
        <v>14</v>
      </c>
      <c r="D4" s="121" t="s">
        <v>34</v>
      </c>
      <c r="E4" s="121" t="s">
        <v>1052</v>
      </c>
      <c r="F4" s="214" t="s">
        <v>1056</v>
      </c>
      <c r="G4" s="121">
        <v>55.81537142381022</v>
      </c>
      <c r="H4" s="121">
        <v>0</v>
      </c>
      <c r="I4" s="122">
        <v>58</v>
      </c>
      <c r="J4" s="119" t="s">
        <v>1285</v>
      </c>
      <c r="K4" s="119">
        <v>46</v>
      </c>
      <c r="L4" s="119">
        <f t="shared" si="1"/>
        <v>0</v>
      </c>
      <c r="M4" s="119">
        <f t="shared" si="0"/>
        <v>0</v>
      </c>
      <c r="N4" s="119">
        <v>8.4936434775363381</v>
      </c>
      <c r="O4" s="253">
        <v>0</v>
      </c>
      <c r="P4" s="254">
        <v>172</v>
      </c>
      <c r="Q4" s="119">
        <f t="shared" si="2"/>
        <v>0</v>
      </c>
      <c r="R4" s="119">
        <f t="shared" si="3"/>
        <v>0</v>
      </c>
    </row>
    <row r="5" spans="1:18" x14ac:dyDescent="0.25">
      <c r="A5" s="121" t="s">
        <v>22</v>
      </c>
      <c r="B5" s="121" t="s">
        <v>815</v>
      </c>
      <c r="C5" s="121" t="s">
        <v>18</v>
      </c>
      <c r="D5" s="121" t="s">
        <v>34</v>
      </c>
      <c r="E5" s="121" t="s">
        <v>1052</v>
      </c>
      <c r="F5" s="214" t="s">
        <v>1056</v>
      </c>
      <c r="G5" s="121">
        <v>0</v>
      </c>
      <c r="H5" s="121">
        <v>0</v>
      </c>
      <c r="I5" s="122">
        <v>68</v>
      </c>
      <c r="J5" s="119" t="s">
        <v>1286</v>
      </c>
      <c r="K5" s="119">
        <v>46</v>
      </c>
      <c r="L5" s="119">
        <f t="shared" si="1"/>
        <v>0</v>
      </c>
      <c r="M5" s="119">
        <f t="shared" si="0"/>
        <v>0</v>
      </c>
      <c r="N5" s="119">
        <v>8.4936434775363381</v>
      </c>
      <c r="O5" s="253">
        <v>0</v>
      </c>
      <c r="P5" s="254">
        <v>172</v>
      </c>
      <c r="Q5" s="119">
        <f t="shared" si="2"/>
        <v>0</v>
      </c>
      <c r="R5" s="119">
        <f t="shared" si="3"/>
        <v>0</v>
      </c>
    </row>
    <row r="6" spans="1:18" x14ac:dyDescent="0.25">
      <c r="A6" s="121" t="s">
        <v>17</v>
      </c>
      <c r="B6" s="121" t="s">
        <v>815</v>
      </c>
      <c r="C6" s="121" t="s">
        <v>14</v>
      </c>
      <c r="D6" s="121" t="s">
        <v>298</v>
      </c>
      <c r="E6" s="121" t="s">
        <v>1052</v>
      </c>
      <c r="F6" s="214" t="s">
        <v>1056</v>
      </c>
      <c r="G6" s="121">
        <v>57.083333333332121</v>
      </c>
      <c r="H6" s="121">
        <v>2</v>
      </c>
      <c r="I6" s="122">
        <v>36</v>
      </c>
      <c r="J6" s="119" t="s">
        <v>1283</v>
      </c>
      <c r="K6" s="119">
        <v>46</v>
      </c>
      <c r="L6" s="119">
        <f t="shared" si="1"/>
        <v>4.3478260869565216E-2</v>
      </c>
      <c r="M6" s="119">
        <f t="shared" si="0"/>
        <v>2.4818840579709618</v>
      </c>
      <c r="N6" s="119">
        <v>25.222916492753249</v>
      </c>
      <c r="O6" s="253">
        <v>53</v>
      </c>
      <c r="P6" s="254">
        <v>172</v>
      </c>
      <c r="Q6" s="119">
        <f t="shared" si="2"/>
        <v>0.30813953488372092</v>
      </c>
      <c r="R6" s="119">
        <f t="shared" si="3"/>
        <v>17.589631782945361</v>
      </c>
    </row>
    <row r="7" spans="1:18" x14ac:dyDescent="0.25">
      <c r="A7" s="121" t="s">
        <v>17</v>
      </c>
      <c r="B7" s="121" t="s">
        <v>815</v>
      </c>
      <c r="C7" s="121" t="s">
        <v>18</v>
      </c>
      <c r="D7" s="121" t="s">
        <v>298</v>
      </c>
      <c r="E7" s="121" t="s">
        <v>1052</v>
      </c>
      <c r="F7" s="214" t="s">
        <v>1056</v>
      </c>
      <c r="G7" s="121">
        <v>47.881547142856107</v>
      </c>
      <c r="H7" s="121">
        <v>7</v>
      </c>
      <c r="I7" s="122">
        <v>46</v>
      </c>
      <c r="J7" s="119" t="s">
        <v>1284</v>
      </c>
      <c r="K7" s="119">
        <v>46</v>
      </c>
      <c r="L7" s="119">
        <f t="shared" si="1"/>
        <v>0.15217391304347827</v>
      </c>
      <c r="M7" s="119">
        <f t="shared" si="0"/>
        <v>7.286322391304191</v>
      </c>
      <c r="N7" s="119">
        <v>25.222916492753249</v>
      </c>
      <c r="O7" s="253">
        <v>18</v>
      </c>
      <c r="P7" s="254">
        <v>172</v>
      </c>
      <c r="Q7" s="119">
        <f t="shared" si="2"/>
        <v>0.10465116279069768</v>
      </c>
      <c r="R7" s="119">
        <f t="shared" si="3"/>
        <v>5.0108595847175001</v>
      </c>
    </row>
    <row r="8" spans="1:18" x14ac:dyDescent="0.25">
      <c r="A8" s="121" t="s">
        <v>17</v>
      </c>
      <c r="B8" s="121" t="s">
        <v>815</v>
      </c>
      <c r="C8" s="121" t="s">
        <v>14</v>
      </c>
      <c r="D8" s="121" t="s">
        <v>34</v>
      </c>
      <c r="E8" s="121" t="s">
        <v>1052</v>
      </c>
      <c r="F8" s="214" t="s">
        <v>1056</v>
      </c>
      <c r="G8" s="121">
        <v>57.083333333332121</v>
      </c>
      <c r="H8" s="121">
        <v>0</v>
      </c>
      <c r="I8" s="122">
        <v>56</v>
      </c>
      <c r="J8" s="119" t="s">
        <v>1285</v>
      </c>
      <c r="K8" s="119">
        <v>46</v>
      </c>
      <c r="L8" s="119">
        <f t="shared" si="1"/>
        <v>0</v>
      </c>
      <c r="M8" s="119">
        <f t="shared" si="0"/>
        <v>0</v>
      </c>
      <c r="N8" s="119">
        <v>25.222916492753249</v>
      </c>
      <c r="O8" s="253">
        <v>13</v>
      </c>
      <c r="P8" s="254">
        <v>172</v>
      </c>
      <c r="Q8" s="119">
        <f t="shared" si="2"/>
        <v>7.5581395348837205E-2</v>
      </c>
      <c r="R8" s="119">
        <f t="shared" si="3"/>
        <v>4.3144379844960321</v>
      </c>
    </row>
    <row r="9" spans="1:18" x14ac:dyDescent="0.25">
      <c r="A9" s="121" t="s">
        <v>17</v>
      </c>
      <c r="B9" s="121" t="s">
        <v>815</v>
      </c>
      <c r="C9" s="121" t="s">
        <v>18</v>
      </c>
      <c r="D9" s="121" t="s">
        <v>34</v>
      </c>
      <c r="E9" s="121" t="s">
        <v>1052</v>
      </c>
      <c r="F9" s="214" t="s">
        <v>1056</v>
      </c>
      <c r="G9" s="121">
        <v>35.545833099999626</v>
      </c>
      <c r="H9" s="121">
        <v>20</v>
      </c>
      <c r="I9" s="122">
        <v>66</v>
      </c>
      <c r="J9" s="119" t="s">
        <v>1286</v>
      </c>
      <c r="K9" s="119">
        <v>46</v>
      </c>
      <c r="L9" s="119">
        <f t="shared" si="1"/>
        <v>0.43478260869565216</v>
      </c>
      <c r="M9" s="119">
        <f t="shared" si="0"/>
        <v>15.454710043478098</v>
      </c>
      <c r="N9" s="119">
        <v>25.222916492753249</v>
      </c>
      <c r="O9" s="253">
        <v>21</v>
      </c>
      <c r="P9" s="254">
        <v>172</v>
      </c>
      <c r="Q9" s="119">
        <f t="shared" si="2"/>
        <v>0.12209302325581395</v>
      </c>
      <c r="R9" s="119">
        <f t="shared" si="3"/>
        <v>4.339898227325536</v>
      </c>
    </row>
    <row r="10" spans="1:18" x14ac:dyDescent="0.25">
      <c r="A10" s="121" t="s">
        <v>29</v>
      </c>
      <c r="B10" s="121" t="s">
        <v>815</v>
      </c>
      <c r="C10" s="121" t="s">
        <v>14</v>
      </c>
      <c r="D10" s="121" t="s">
        <v>298</v>
      </c>
      <c r="E10" s="121" t="s">
        <v>1052</v>
      </c>
      <c r="F10" s="214" t="s">
        <v>1056</v>
      </c>
      <c r="G10" s="121">
        <v>53.604164999999995</v>
      </c>
      <c r="H10" s="121">
        <v>2</v>
      </c>
      <c r="I10" s="122">
        <v>37</v>
      </c>
      <c r="J10" s="119" t="s">
        <v>1283</v>
      </c>
      <c r="K10" s="119">
        <v>46</v>
      </c>
      <c r="L10" s="119">
        <f t="shared" si="1"/>
        <v>4.3478260869565216E-2</v>
      </c>
      <c r="M10" s="119">
        <f t="shared" si="0"/>
        <v>2.330615869565217</v>
      </c>
      <c r="N10" s="119">
        <v>4.6191121739130434</v>
      </c>
      <c r="O10" s="253">
        <v>17</v>
      </c>
      <c r="P10" s="254">
        <v>172</v>
      </c>
      <c r="Q10" s="119">
        <f t="shared" si="2"/>
        <v>9.8837209302325577E-2</v>
      </c>
      <c r="R10" s="119">
        <f t="shared" si="3"/>
        <v>5.298086075581395</v>
      </c>
    </row>
    <row r="11" spans="1:18" x14ac:dyDescent="0.25">
      <c r="A11" s="121" t="s">
        <v>29</v>
      </c>
      <c r="B11" s="121" t="s">
        <v>815</v>
      </c>
      <c r="C11" s="121" t="s">
        <v>18</v>
      </c>
      <c r="D11" s="121" t="s">
        <v>298</v>
      </c>
      <c r="E11" s="121" t="s">
        <v>1052</v>
      </c>
      <c r="F11" s="214" t="s">
        <v>1056</v>
      </c>
      <c r="G11" s="121">
        <v>52.635414999999995</v>
      </c>
      <c r="H11" s="121">
        <v>2</v>
      </c>
      <c r="I11" s="122">
        <v>47</v>
      </c>
      <c r="J11" s="119" t="s">
        <v>1284</v>
      </c>
      <c r="K11" s="119">
        <v>46</v>
      </c>
      <c r="L11" s="119">
        <f t="shared" si="1"/>
        <v>4.3478260869565216E-2</v>
      </c>
      <c r="M11" s="119">
        <f t="shared" si="0"/>
        <v>2.2884963043478259</v>
      </c>
      <c r="N11" s="119">
        <v>4.6191121739130434</v>
      </c>
      <c r="O11" s="253">
        <v>2</v>
      </c>
      <c r="P11" s="254">
        <v>172</v>
      </c>
      <c r="Q11" s="119">
        <f t="shared" si="2"/>
        <v>1.1627906976744186E-2</v>
      </c>
      <c r="R11" s="119">
        <f t="shared" si="3"/>
        <v>0.61203970930232554</v>
      </c>
    </row>
    <row r="12" spans="1:18" x14ac:dyDescent="0.25">
      <c r="A12" s="121" t="s">
        <v>29</v>
      </c>
      <c r="B12" s="121" t="s">
        <v>815</v>
      </c>
      <c r="C12" s="121" t="s">
        <v>14</v>
      </c>
      <c r="D12" s="121" t="s">
        <v>34</v>
      </c>
      <c r="E12" s="121" t="s">
        <v>1052</v>
      </c>
      <c r="F12" s="214" t="s">
        <v>1056</v>
      </c>
      <c r="G12" s="121">
        <v>53.604164999999995</v>
      </c>
      <c r="H12" s="121">
        <v>0</v>
      </c>
      <c r="I12" s="122">
        <v>57</v>
      </c>
      <c r="J12" s="119" t="s">
        <v>1285</v>
      </c>
      <c r="K12" s="119">
        <v>46</v>
      </c>
      <c r="L12" s="119">
        <f t="shared" si="1"/>
        <v>0</v>
      </c>
      <c r="M12" s="119">
        <f t="shared" si="0"/>
        <v>0</v>
      </c>
      <c r="N12" s="119">
        <v>4.6191121739130434</v>
      </c>
      <c r="O12" s="253">
        <v>3</v>
      </c>
      <c r="P12" s="254">
        <v>172</v>
      </c>
      <c r="Q12" s="119">
        <f t="shared" si="2"/>
        <v>1.7441860465116279E-2</v>
      </c>
      <c r="R12" s="119">
        <f t="shared" si="3"/>
        <v>0.93495636627906964</v>
      </c>
    </row>
    <row r="13" spans="1:18" x14ac:dyDescent="0.25">
      <c r="A13" s="121" t="s">
        <v>29</v>
      </c>
      <c r="B13" s="121" t="s">
        <v>815</v>
      </c>
      <c r="C13" s="121" t="s">
        <v>18</v>
      </c>
      <c r="D13" s="121" t="s">
        <v>34</v>
      </c>
      <c r="E13" s="121" t="s">
        <v>1052</v>
      </c>
      <c r="F13" s="214" t="s">
        <v>1056</v>
      </c>
      <c r="G13" s="121">
        <v>52.635414999999995</v>
      </c>
      <c r="H13" s="121">
        <v>0</v>
      </c>
      <c r="I13" s="122">
        <v>67</v>
      </c>
      <c r="J13" s="119" t="s">
        <v>1286</v>
      </c>
      <c r="K13" s="119">
        <v>46</v>
      </c>
      <c r="L13" s="119">
        <f t="shared" si="1"/>
        <v>0</v>
      </c>
      <c r="M13" s="119">
        <f t="shared" si="0"/>
        <v>0</v>
      </c>
      <c r="N13" s="119">
        <v>4.6191121739130434</v>
      </c>
      <c r="O13" s="253">
        <v>0</v>
      </c>
      <c r="P13" s="254">
        <v>172</v>
      </c>
      <c r="Q13" s="119">
        <f t="shared" si="2"/>
        <v>0</v>
      </c>
      <c r="R13" s="119">
        <f t="shared" si="3"/>
        <v>0</v>
      </c>
    </row>
    <row r="14" spans="1:18" x14ac:dyDescent="0.25">
      <c r="A14" s="121" t="s">
        <v>825</v>
      </c>
      <c r="B14" s="121" t="s">
        <v>815</v>
      </c>
      <c r="C14" s="121" t="s">
        <v>14</v>
      </c>
      <c r="D14" s="121" t="s">
        <v>298</v>
      </c>
      <c r="E14" s="121" t="s">
        <v>1052</v>
      </c>
      <c r="F14" s="214" t="s">
        <v>1056</v>
      </c>
      <c r="G14" s="121">
        <v>99.088549999999998</v>
      </c>
      <c r="H14" s="121">
        <v>4</v>
      </c>
      <c r="I14" s="122">
        <v>39</v>
      </c>
      <c r="J14" s="119" t="s">
        <v>1283</v>
      </c>
      <c r="K14" s="119">
        <v>46</v>
      </c>
      <c r="L14" s="119">
        <f t="shared" si="1"/>
        <v>8.6956521739130432E-2</v>
      </c>
      <c r="M14" s="119">
        <f t="shared" si="0"/>
        <v>8.616395652173912</v>
      </c>
      <c r="N14" s="119">
        <v>10.529439130434781</v>
      </c>
      <c r="O14" s="253">
        <v>14</v>
      </c>
      <c r="P14" s="254">
        <v>172</v>
      </c>
      <c r="Q14" s="119">
        <f t="shared" si="2"/>
        <v>8.1395348837209308E-2</v>
      </c>
      <c r="R14" s="119">
        <f t="shared" si="3"/>
        <v>8.0653470930232558</v>
      </c>
    </row>
    <row r="15" spans="1:18" x14ac:dyDescent="0.25">
      <c r="A15" s="121" t="s">
        <v>825</v>
      </c>
      <c r="B15" s="121" t="s">
        <v>815</v>
      </c>
      <c r="C15" s="121" t="s">
        <v>18</v>
      </c>
      <c r="D15" s="121" t="s">
        <v>298</v>
      </c>
      <c r="E15" s="121" t="s">
        <v>1052</v>
      </c>
      <c r="F15" s="214" t="s">
        <v>1056</v>
      </c>
      <c r="G15" s="121">
        <v>44</v>
      </c>
      <c r="H15" s="121">
        <v>2</v>
      </c>
      <c r="I15" s="122">
        <v>49</v>
      </c>
      <c r="J15" s="119" t="s">
        <v>1284</v>
      </c>
      <c r="K15" s="119">
        <v>46</v>
      </c>
      <c r="L15" s="119">
        <f t="shared" si="1"/>
        <v>4.3478260869565216E-2</v>
      </c>
      <c r="M15" s="119">
        <f t="shared" si="0"/>
        <v>1.9130434782608696</v>
      </c>
      <c r="N15" s="119">
        <v>10.529439130434781</v>
      </c>
      <c r="O15" s="253">
        <v>1</v>
      </c>
      <c r="P15" s="254">
        <v>172</v>
      </c>
      <c r="Q15" s="119">
        <f t="shared" si="2"/>
        <v>5.8139534883720929E-3</v>
      </c>
      <c r="R15" s="119">
        <f t="shared" si="3"/>
        <v>0.2558139534883721</v>
      </c>
    </row>
    <row r="16" spans="1:18" x14ac:dyDescent="0.25">
      <c r="A16" s="121" t="s">
        <v>825</v>
      </c>
      <c r="B16" s="121" t="s">
        <v>815</v>
      </c>
      <c r="C16" s="121" t="s">
        <v>14</v>
      </c>
      <c r="D16" s="121" t="s">
        <v>34</v>
      </c>
      <c r="E16" s="121" t="s">
        <v>1052</v>
      </c>
      <c r="F16" s="214" t="s">
        <v>1056</v>
      </c>
      <c r="G16" s="121">
        <v>99.088549999999998</v>
      </c>
      <c r="H16" s="121">
        <v>0</v>
      </c>
      <c r="I16" s="122">
        <v>59</v>
      </c>
      <c r="J16" s="119" t="s">
        <v>1285</v>
      </c>
      <c r="K16" s="119">
        <v>46</v>
      </c>
      <c r="L16" s="119">
        <f t="shared" si="1"/>
        <v>0</v>
      </c>
      <c r="M16" s="119">
        <f t="shared" si="0"/>
        <v>0</v>
      </c>
      <c r="N16" s="119">
        <v>10.529439130434781</v>
      </c>
      <c r="O16" s="253">
        <v>0</v>
      </c>
      <c r="P16" s="254">
        <v>172</v>
      </c>
      <c r="Q16" s="119">
        <f t="shared" si="2"/>
        <v>0</v>
      </c>
      <c r="R16" s="119">
        <f t="shared" si="3"/>
        <v>0</v>
      </c>
    </row>
    <row r="17" spans="1:18" x14ac:dyDescent="0.25">
      <c r="A17" s="121" t="s">
        <v>825</v>
      </c>
      <c r="B17" s="121" t="s">
        <v>815</v>
      </c>
      <c r="C17" s="121" t="s">
        <v>18</v>
      </c>
      <c r="D17" s="121" t="s">
        <v>34</v>
      </c>
      <c r="E17" s="121" t="s">
        <v>1052</v>
      </c>
      <c r="F17" s="214" t="s">
        <v>1056</v>
      </c>
      <c r="G17" s="121">
        <v>44</v>
      </c>
      <c r="H17" s="121">
        <v>0</v>
      </c>
      <c r="I17" s="122">
        <v>69</v>
      </c>
      <c r="J17" s="119" t="s">
        <v>1286</v>
      </c>
      <c r="K17" s="119">
        <v>46</v>
      </c>
      <c r="L17" s="119">
        <f t="shared" si="1"/>
        <v>0</v>
      </c>
      <c r="M17" s="119">
        <f t="shared" si="0"/>
        <v>0</v>
      </c>
      <c r="N17" s="119">
        <v>10.529439130434781</v>
      </c>
      <c r="O17" s="253">
        <v>0</v>
      </c>
      <c r="P17" s="254">
        <v>172</v>
      </c>
      <c r="Q17" s="119">
        <f t="shared" si="2"/>
        <v>0</v>
      </c>
      <c r="R17" s="119">
        <f t="shared" si="3"/>
        <v>0</v>
      </c>
    </row>
    <row r="18" spans="1:18" s="119" customFormat="1" x14ac:dyDescent="0.25">
      <c r="A18" s="121" t="s">
        <v>22</v>
      </c>
      <c r="B18" s="121" t="s">
        <v>815</v>
      </c>
      <c r="C18" s="121" t="s">
        <v>14</v>
      </c>
      <c r="D18" s="121" t="s">
        <v>298</v>
      </c>
      <c r="E18" s="121" t="s">
        <v>1053</v>
      </c>
      <c r="F18" s="214" t="s">
        <v>1056</v>
      </c>
      <c r="G18" s="121">
        <v>45.207999999999998</v>
      </c>
      <c r="H18" s="121">
        <v>7</v>
      </c>
      <c r="I18" s="122">
        <v>108</v>
      </c>
      <c r="J18" s="119" t="s">
        <v>1283</v>
      </c>
      <c r="K18" s="119">
        <v>46</v>
      </c>
      <c r="L18" s="119">
        <f t="shared" si="1"/>
        <v>0.15217391304347827</v>
      </c>
      <c r="M18" s="119">
        <f>IF(ISERROR(L18*G18),0,(L18*G18))</f>
        <v>6.8794782608695657</v>
      </c>
      <c r="O18" s="253">
        <v>30</v>
      </c>
      <c r="P18" s="254">
        <v>172</v>
      </c>
      <c r="Q18" s="119">
        <f t="shared" si="2"/>
        <v>0.1744186046511628</v>
      </c>
      <c r="R18" s="119">
        <f t="shared" si="3"/>
        <v>7.8851162790697673</v>
      </c>
    </row>
    <row r="19" spans="1:18" s="119" customFormat="1" x14ac:dyDescent="0.25">
      <c r="A19" s="121" t="s">
        <v>22</v>
      </c>
      <c r="B19" s="121" t="s">
        <v>815</v>
      </c>
      <c r="C19" s="121" t="s">
        <v>18</v>
      </c>
      <c r="D19" s="121" t="s">
        <v>298</v>
      </c>
      <c r="E19" s="121" t="s">
        <v>1053</v>
      </c>
      <c r="F19" s="214" t="s">
        <v>1056</v>
      </c>
      <c r="G19" s="121" t="e">
        <v>#DIV/0!</v>
      </c>
      <c r="H19" s="121">
        <v>0</v>
      </c>
      <c r="I19" s="122">
        <v>118</v>
      </c>
      <c r="J19" s="119" t="s">
        <v>1284</v>
      </c>
      <c r="K19" s="119">
        <v>46</v>
      </c>
      <c r="L19" s="119">
        <f t="shared" si="1"/>
        <v>0</v>
      </c>
      <c r="M19" s="119">
        <f t="shared" ref="M19:M33" si="4">IF(ISERROR(L19*G19),0,(L19*G19))</f>
        <v>0</v>
      </c>
      <c r="O19" s="253">
        <v>0</v>
      </c>
      <c r="P19" s="254">
        <v>172</v>
      </c>
      <c r="Q19" s="119">
        <f t="shared" si="2"/>
        <v>0</v>
      </c>
      <c r="R19" s="119">
        <f t="shared" si="3"/>
        <v>0</v>
      </c>
    </row>
    <row r="20" spans="1:18" s="119" customFormat="1" x14ac:dyDescent="0.25">
      <c r="A20" s="121" t="s">
        <v>22</v>
      </c>
      <c r="B20" s="121" t="s">
        <v>815</v>
      </c>
      <c r="C20" s="121" t="s">
        <v>14</v>
      </c>
      <c r="D20" s="121" t="s">
        <v>34</v>
      </c>
      <c r="E20" s="121" t="s">
        <v>1053</v>
      </c>
      <c r="F20" s="214" t="s">
        <v>1056</v>
      </c>
      <c r="G20" s="121">
        <v>45.207999999999998</v>
      </c>
      <c r="H20" s="121">
        <v>0</v>
      </c>
      <c r="I20" s="122">
        <v>128</v>
      </c>
      <c r="J20" s="119" t="s">
        <v>1285</v>
      </c>
      <c r="K20" s="119">
        <v>46</v>
      </c>
      <c r="L20" s="119">
        <f t="shared" si="1"/>
        <v>0</v>
      </c>
      <c r="M20" s="119">
        <f t="shared" si="4"/>
        <v>0</v>
      </c>
      <c r="O20" s="253">
        <v>0</v>
      </c>
      <c r="P20" s="254">
        <v>172</v>
      </c>
      <c r="Q20" s="119">
        <f t="shared" si="2"/>
        <v>0</v>
      </c>
      <c r="R20" s="119">
        <f t="shared" si="3"/>
        <v>0</v>
      </c>
    </row>
    <row r="21" spans="1:18" x14ac:dyDescent="0.25">
      <c r="A21" s="121" t="s">
        <v>22</v>
      </c>
      <c r="B21" s="121" t="s">
        <v>815</v>
      </c>
      <c r="C21" s="121" t="s">
        <v>18</v>
      </c>
      <c r="D21" s="121" t="s">
        <v>34</v>
      </c>
      <c r="E21" s="121" t="s">
        <v>1053</v>
      </c>
      <c r="F21" s="214" t="s">
        <v>1056</v>
      </c>
      <c r="G21" s="121" t="e">
        <v>#DIV/0!</v>
      </c>
      <c r="H21" s="121">
        <v>0</v>
      </c>
      <c r="I21" s="122">
        <v>138</v>
      </c>
      <c r="J21" s="119" t="s">
        <v>1286</v>
      </c>
      <c r="K21" s="119">
        <v>46</v>
      </c>
      <c r="L21" s="119">
        <f t="shared" si="1"/>
        <v>0</v>
      </c>
      <c r="M21" s="119">
        <f t="shared" si="4"/>
        <v>0</v>
      </c>
      <c r="N21" s="119"/>
      <c r="O21" s="253">
        <v>0</v>
      </c>
      <c r="P21" s="254">
        <v>172</v>
      </c>
      <c r="Q21" s="119">
        <f t="shared" si="2"/>
        <v>0</v>
      </c>
      <c r="R21" s="119">
        <f t="shared" si="3"/>
        <v>0</v>
      </c>
    </row>
    <row r="22" spans="1:18" s="119" customFormat="1" x14ac:dyDescent="0.25">
      <c r="A22" s="121" t="s">
        <v>17</v>
      </c>
      <c r="B22" s="121" t="s">
        <v>815</v>
      </c>
      <c r="C22" s="121" t="s">
        <v>14</v>
      </c>
      <c r="D22" s="121" t="s">
        <v>298</v>
      </c>
      <c r="E22" s="121" t="s">
        <v>1053</v>
      </c>
      <c r="F22" s="214" t="s">
        <v>1056</v>
      </c>
      <c r="G22" s="121">
        <v>47.791666666664241</v>
      </c>
      <c r="H22" s="121">
        <v>2</v>
      </c>
      <c r="I22" s="122">
        <v>106</v>
      </c>
      <c r="J22" s="119" t="s">
        <v>1283</v>
      </c>
      <c r="K22" s="119">
        <v>46</v>
      </c>
      <c r="L22" s="119">
        <f t="shared" si="1"/>
        <v>4.3478260869565216E-2</v>
      </c>
      <c r="M22" s="119">
        <f t="shared" si="4"/>
        <v>2.077898550724532</v>
      </c>
      <c r="O22" s="253">
        <v>53</v>
      </c>
      <c r="P22" s="254">
        <v>172</v>
      </c>
      <c r="Q22" s="119">
        <f t="shared" si="2"/>
        <v>0.30813953488372092</v>
      </c>
      <c r="R22" s="119">
        <f t="shared" si="3"/>
        <v>14.726501937983748</v>
      </c>
    </row>
    <row r="23" spans="1:18" s="119" customFormat="1" x14ac:dyDescent="0.25">
      <c r="A23" s="121" t="s">
        <v>17</v>
      </c>
      <c r="B23" s="121" t="s">
        <v>815</v>
      </c>
      <c r="C23" s="121" t="s">
        <v>18</v>
      </c>
      <c r="D23" s="121" t="s">
        <v>298</v>
      </c>
      <c r="E23" s="121" t="s">
        <v>1053</v>
      </c>
      <c r="F23" s="214" t="s">
        <v>1056</v>
      </c>
      <c r="G23" s="121">
        <v>41.770833333332121</v>
      </c>
      <c r="H23" s="121">
        <v>7</v>
      </c>
      <c r="I23" s="122">
        <v>116</v>
      </c>
      <c r="J23" s="119" t="s">
        <v>1284</v>
      </c>
      <c r="K23" s="119">
        <v>46</v>
      </c>
      <c r="L23" s="119">
        <f t="shared" si="1"/>
        <v>0.15217391304347827</v>
      </c>
      <c r="M23" s="119">
        <f t="shared" si="4"/>
        <v>6.3564311594201053</v>
      </c>
      <c r="O23" s="253">
        <v>18</v>
      </c>
      <c r="P23" s="254">
        <v>172</v>
      </c>
      <c r="Q23" s="119">
        <f t="shared" si="2"/>
        <v>0.10465116279069768</v>
      </c>
      <c r="R23" s="119">
        <f t="shared" si="3"/>
        <v>4.3713662790696404</v>
      </c>
    </row>
    <row r="24" spans="1:18" s="119" customFormat="1" x14ac:dyDescent="0.25">
      <c r="A24" s="121" t="s">
        <v>17</v>
      </c>
      <c r="B24" s="121" t="s">
        <v>815</v>
      </c>
      <c r="C24" s="121" t="s">
        <v>14</v>
      </c>
      <c r="D24" s="121" t="s">
        <v>34</v>
      </c>
      <c r="E24" s="121" t="s">
        <v>1053</v>
      </c>
      <c r="F24" s="214" t="s">
        <v>1056</v>
      </c>
      <c r="G24" s="121">
        <v>47.791666666664241</v>
      </c>
      <c r="H24" s="121">
        <v>0</v>
      </c>
      <c r="I24" s="122">
        <v>126</v>
      </c>
      <c r="J24" s="119" t="s">
        <v>1285</v>
      </c>
      <c r="K24" s="119">
        <v>46</v>
      </c>
      <c r="L24" s="119">
        <f t="shared" si="1"/>
        <v>0</v>
      </c>
      <c r="M24" s="119">
        <f t="shared" si="4"/>
        <v>0</v>
      </c>
      <c r="O24" s="253">
        <v>13</v>
      </c>
      <c r="P24" s="254">
        <v>172</v>
      </c>
      <c r="Q24" s="119">
        <f t="shared" si="2"/>
        <v>7.5581395348837205E-2</v>
      </c>
      <c r="R24" s="119">
        <f t="shared" si="3"/>
        <v>3.6121608527129947</v>
      </c>
    </row>
    <row r="25" spans="1:18" s="119" customFormat="1" x14ac:dyDescent="0.25">
      <c r="A25" s="121" t="s">
        <v>17</v>
      </c>
      <c r="B25" s="121" t="s">
        <v>815</v>
      </c>
      <c r="C25" s="121" t="s">
        <v>18</v>
      </c>
      <c r="D25" s="121" t="s">
        <v>34</v>
      </c>
      <c r="E25" s="121" t="s">
        <v>1053</v>
      </c>
      <c r="F25" s="214" t="s">
        <v>1056</v>
      </c>
      <c r="G25" s="121">
        <v>26.054166533332847</v>
      </c>
      <c r="H25" s="121">
        <v>20</v>
      </c>
      <c r="I25" s="122">
        <v>136</v>
      </c>
      <c r="J25" s="119" t="s">
        <v>1286</v>
      </c>
      <c r="K25" s="119">
        <v>46</v>
      </c>
      <c r="L25" s="119">
        <f t="shared" si="1"/>
        <v>0.43478260869565216</v>
      </c>
      <c r="M25" s="119">
        <f t="shared" si="4"/>
        <v>11.327898492753411</v>
      </c>
      <c r="O25" s="253">
        <v>21</v>
      </c>
      <c r="P25" s="254">
        <v>172</v>
      </c>
      <c r="Q25" s="119">
        <f t="shared" si="2"/>
        <v>0.12209302325581395</v>
      </c>
      <c r="R25" s="119">
        <f t="shared" si="3"/>
        <v>3.1810319604650568</v>
      </c>
    </row>
    <row r="26" spans="1:18" s="119" customFormat="1" x14ac:dyDescent="0.25">
      <c r="A26" s="121" t="s">
        <v>29</v>
      </c>
      <c r="B26" s="121" t="s">
        <v>815</v>
      </c>
      <c r="C26" s="121" t="s">
        <v>14</v>
      </c>
      <c r="D26" s="121" t="s">
        <v>298</v>
      </c>
      <c r="E26" s="121" t="s">
        <v>1053</v>
      </c>
      <c r="F26" s="214" t="s">
        <v>1056</v>
      </c>
      <c r="G26" s="121">
        <v>48</v>
      </c>
      <c r="H26" s="121">
        <v>2</v>
      </c>
      <c r="I26" s="122">
        <v>107</v>
      </c>
      <c r="J26" s="119" t="s">
        <v>1283</v>
      </c>
      <c r="K26" s="119">
        <v>46</v>
      </c>
      <c r="L26" s="119">
        <f t="shared" si="1"/>
        <v>4.3478260869565216E-2</v>
      </c>
      <c r="M26" s="119">
        <f t="shared" si="4"/>
        <v>2.0869565217391304</v>
      </c>
      <c r="O26" s="253">
        <v>17</v>
      </c>
      <c r="P26" s="254">
        <v>172</v>
      </c>
      <c r="Q26" s="119">
        <f t="shared" si="2"/>
        <v>9.8837209302325577E-2</v>
      </c>
      <c r="R26" s="119">
        <f t="shared" si="3"/>
        <v>4.7441860465116275</v>
      </c>
    </row>
    <row r="27" spans="1:18" s="119" customFormat="1" x14ac:dyDescent="0.25">
      <c r="A27" s="121" t="s">
        <v>29</v>
      </c>
      <c r="B27" s="121" t="s">
        <v>815</v>
      </c>
      <c r="C27" s="121" t="s">
        <v>18</v>
      </c>
      <c r="D27" s="121" t="s">
        <v>298</v>
      </c>
      <c r="E27" s="121" t="s">
        <v>1053</v>
      </c>
      <c r="F27" s="214" t="s">
        <v>1056</v>
      </c>
      <c r="G27" s="121">
        <v>40.770829999999997</v>
      </c>
      <c r="H27" s="121">
        <v>2</v>
      </c>
      <c r="I27" s="122">
        <v>117</v>
      </c>
      <c r="J27" s="119" t="s">
        <v>1284</v>
      </c>
      <c r="K27" s="119">
        <v>46</v>
      </c>
      <c r="L27" s="119">
        <f t="shared" si="1"/>
        <v>4.3478260869565216E-2</v>
      </c>
      <c r="M27" s="119">
        <f t="shared" si="4"/>
        <v>1.7726447826086955</v>
      </c>
      <c r="O27" s="253">
        <v>2</v>
      </c>
      <c r="P27" s="254">
        <v>172</v>
      </c>
      <c r="Q27" s="119">
        <f t="shared" si="2"/>
        <v>1.1627906976744186E-2</v>
      </c>
      <c r="R27" s="119">
        <f t="shared" si="3"/>
        <v>0.47407941860465114</v>
      </c>
    </row>
    <row r="28" spans="1:18" s="119" customFormat="1" x14ac:dyDescent="0.25">
      <c r="A28" s="121" t="s">
        <v>29</v>
      </c>
      <c r="B28" s="121" t="s">
        <v>815</v>
      </c>
      <c r="C28" s="121" t="s">
        <v>14</v>
      </c>
      <c r="D28" s="121" t="s">
        <v>34</v>
      </c>
      <c r="E28" s="121" t="s">
        <v>1053</v>
      </c>
      <c r="F28" s="214" t="s">
        <v>1056</v>
      </c>
      <c r="G28" s="121">
        <v>48</v>
      </c>
      <c r="H28" s="121">
        <v>0</v>
      </c>
      <c r="I28" s="122">
        <v>127</v>
      </c>
      <c r="J28" s="119" t="s">
        <v>1285</v>
      </c>
      <c r="K28" s="119">
        <v>46</v>
      </c>
      <c r="L28" s="119">
        <f t="shared" si="1"/>
        <v>0</v>
      </c>
      <c r="M28" s="119">
        <f t="shared" si="4"/>
        <v>0</v>
      </c>
      <c r="O28" s="253">
        <v>3</v>
      </c>
      <c r="P28" s="254">
        <v>172</v>
      </c>
      <c r="Q28" s="119">
        <f t="shared" si="2"/>
        <v>1.7441860465116279E-2</v>
      </c>
      <c r="R28" s="119">
        <f t="shared" si="3"/>
        <v>0.83720930232558133</v>
      </c>
    </row>
    <row r="29" spans="1:18" s="119" customFormat="1" x14ac:dyDescent="0.25">
      <c r="A29" s="121" t="s">
        <v>29</v>
      </c>
      <c r="B29" s="121" t="s">
        <v>815</v>
      </c>
      <c r="C29" s="121" t="s">
        <v>18</v>
      </c>
      <c r="D29" s="121" t="s">
        <v>34</v>
      </c>
      <c r="E29" s="121" t="s">
        <v>1053</v>
      </c>
      <c r="F29" s="214" t="s">
        <v>1056</v>
      </c>
      <c r="G29" s="121">
        <v>40.770829999999997</v>
      </c>
      <c r="H29" s="121">
        <v>0</v>
      </c>
      <c r="I29" s="122">
        <v>137</v>
      </c>
      <c r="J29" s="119" t="s">
        <v>1286</v>
      </c>
      <c r="K29" s="119">
        <v>46</v>
      </c>
      <c r="L29" s="119">
        <f t="shared" si="1"/>
        <v>0</v>
      </c>
      <c r="M29" s="119">
        <f t="shared" si="4"/>
        <v>0</v>
      </c>
      <c r="O29" s="253">
        <v>0</v>
      </c>
      <c r="P29" s="254">
        <v>172</v>
      </c>
      <c r="Q29" s="119">
        <f t="shared" si="2"/>
        <v>0</v>
      </c>
      <c r="R29" s="119">
        <f t="shared" si="3"/>
        <v>0</v>
      </c>
    </row>
    <row r="30" spans="1:18" s="119" customFormat="1" x14ac:dyDescent="0.25">
      <c r="A30" s="121" t="s">
        <v>825</v>
      </c>
      <c r="B30" s="121" t="s">
        <v>815</v>
      </c>
      <c r="C30" s="121" t="s">
        <v>14</v>
      </c>
      <c r="D30" s="121" t="s">
        <v>298</v>
      </c>
      <c r="E30" s="121" t="s">
        <v>1053</v>
      </c>
      <c r="F30" s="214" t="s">
        <v>1056</v>
      </c>
      <c r="G30" s="121">
        <v>53.375</v>
      </c>
      <c r="H30" s="121">
        <v>4</v>
      </c>
      <c r="I30" s="122">
        <v>109</v>
      </c>
      <c r="J30" s="119" t="s">
        <v>1283</v>
      </c>
      <c r="K30" s="119">
        <v>46</v>
      </c>
      <c r="L30" s="119">
        <f t="shared" si="1"/>
        <v>8.6956521739130432E-2</v>
      </c>
      <c r="M30" s="119">
        <f t="shared" si="4"/>
        <v>4.6413043478260869</v>
      </c>
      <c r="O30" s="253">
        <v>14</v>
      </c>
      <c r="P30" s="254">
        <v>172</v>
      </c>
      <c r="Q30" s="119">
        <f t="shared" si="2"/>
        <v>8.1395348837209308E-2</v>
      </c>
      <c r="R30" s="119">
        <f t="shared" si="3"/>
        <v>4.3444767441860472</v>
      </c>
    </row>
    <row r="31" spans="1:18" s="119" customFormat="1" x14ac:dyDescent="0.25">
      <c r="A31" s="121" t="s">
        <v>825</v>
      </c>
      <c r="B31" s="121" t="s">
        <v>815</v>
      </c>
      <c r="C31" s="121" t="s">
        <v>18</v>
      </c>
      <c r="D31" s="121" t="s">
        <v>298</v>
      </c>
      <c r="E31" s="121" t="s">
        <v>1053</v>
      </c>
      <c r="F31" s="214" t="s">
        <v>1056</v>
      </c>
      <c r="G31" s="121">
        <v>36</v>
      </c>
      <c r="H31" s="121">
        <v>2</v>
      </c>
      <c r="I31" s="122">
        <v>119</v>
      </c>
      <c r="J31" s="119" t="s">
        <v>1284</v>
      </c>
      <c r="K31" s="119">
        <v>46</v>
      </c>
      <c r="L31" s="119">
        <f t="shared" si="1"/>
        <v>4.3478260869565216E-2</v>
      </c>
      <c r="M31" s="119">
        <f t="shared" si="4"/>
        <v>1.5652173913043477</v>
      </c>
      <c r="O31" s="253">
        <v>1</v>
      </c>
      <c r="P31" s="254">
        <v>172</v>
      </c>
      <c r="Q31" s="119">
        <f t="shared" si="2"/>
        <v>5.8139534883720929E-3</v>
      </c>
      <c r="R31" s="119">
        <f t="shared" si="3"/>
        <v>0.20930232558139533</v>
      </c>
    </row>
    <row r="32" spans="1:18" s="119" customFormat="1" x14ac:dyDescent="0.25">
      <c r="A32" s="121" t="s">
        <v>825</v>
      </c>
      <c r="B32" s="121" t="s">
        <v>815</v>
      </c>
      <c r="C32" s="121" t="s">
        <v>14</v>
      </c>
      <c r="D32" s="121" t="s">
        <v>34</v>
      </c>
      <c r="E32" s="121" t="s">
        <v>1053</v>
      </c>
      <c r="F32" s="214" t="s">
        <v>1056</v>
      </c>
      <c r="G32" s="121">
        <v>53.375</v>
      </c>
      <c r="H32" s="121">
        <v>0</v>
      </c>
      <c r="I32" s="122">
        <v>129</v>
      </c>
      <c r="J32" s="119" t="s">
        <v>1285</v>
      </c>
      <c r="K32" s="119">
        <v>46</v>
      </c>
      <c r="L32" s="119">
        <f t="shared" si="1"/>
        <v>0</v>
      </c>
      <c r="M32" s="119">
        <f t="shared" si="4"/>
        <v>0</v>
      </c>
      <c r="O32" s="253">
        <v>0</v>
      </c>
      <c r="P32" s="254">
        <v>172</v>
      </c>
      <c r="Q32" s="119">
        <f t="shared" si="2"/>
        <v>0</v>
      </c>
      <c r="R32" s="119">
        <f t="shared" si="3"/>
        <v>0</v>
      </c>
    </row>
    <row r="33" spans="1:18" s="119" customFormat="1" x14ac:dyDescent="0.25">
      <c r="A33" s="121" t="s">
        <v>825</v>
      </c>
      <c r="B33" s="121" t="s">
        <v>815</v>
      </c>
      <c r="C33" s="121" t="s">
        <v>18</v>
      </c>
      <c r="D33" s="121" t="s">
        <v>34</v>
      </c>
      <c r="E33" s="121" t="s">
        <v>1053</v>
      </c>
      <c r="F33" s="214" t="s">
        <v>1056</v>
      </c>
      <c r="G33" s="121">
        <v>36</v>
      </c>
      <c r="H33" s="121">
        <v>0</v>
      </c>
      <c r="I33" s="122">
        <v>139</v>
      </c>
      <c r="J33" s="119" t="s">
        <v>1286</v>
      </c>
      <c r="K33" s="119">
        <v>46</v>
      </c>
      <c r="L33" s="119">
        <f t="shared" si="1"/>
        <v>0</v>
      </c>
      <c r="M33" s="119">
        <f t="shared" si="4"/>
        <v>0</v>
      </c>
      <c r="O33" s="253">
        <v>0</v>
      </c>
      <c r="P33" s="254">
        <v>172</v>
      </c>
      <c r="Q33" s="119">
        <f t="shared" si="2"/>
        <v>0</v>
      </c>
      <c r="R33" s="119">
        <f t="shared" si="3"/>
        <v>0</v>
      </c>
    </row>
    <row r="37" spans="1:18" x14ac:dyDescent="0.25">
      <c r="A37" s="251" t="s">
        <v>22</v>
      </c>
      <c r="B37" s="252" t="s">
        <v>14</v>
      </c>
      <c r="C37" s="252" t="s">
        <v>298</v>
      </c>
      <c r="D37" s="253">
        <v>30</v>
      </c>
    </row>
    <row r="38" spans="1:18" x14ac:dyDescent="0.25">
      <c r="A38" s="251" t="s">
        <v>22</v>
      </c>
      <c r="B38" s="252" t="s">
        <v>18</v>
      </c>
      <c r="C38" s="252" t="s">
        <v>298</v>
      </c>
      <c r="D38" s="253">
        <v>0</v>
      </c>
    </row>
    <row r="39" spans="1:18" x14ac:dyDescent="0.25">
      <c r="A39" s="251" t="s">
        <v>22</v>
      </c>
      <c r="B39" s="252" t="s">
        <v>14</v>
      </c>
      <c r="C39" s="252" t="s">
        <v>34</v>
      </c>
      <c r="D39" s="253">
        <v>0</v>
      </c>
    </row>
    <row r="40" spans="1:18" x14ac:dyDescent="0.25">
      <c r="A40" s="251" t="s">
        <v>22</v>
      </c>
      <c r="B40" s="252" t="s">
        <v>18</v>
      </c>
      <c r="C40" s="252" t="s">
        <v>34</v>
      </c>
      <c r="D40" s="253">
        <v>0</v>
      </c>
    </row>
    <row r="41" spans="1:18" x14ac:dyDescent="0.25">
      <c r="A41" s="251" t="s">
        <v>17</v>
      </c>
      <c r="B41" s="252" t="s">
        <v>14</v>
      </c>
      <c r="C41" s="252" t="s">
        <v>298</v>
      </c>
      <c r="D41" s="253">
        <v>53</v>
      </c>
    </row>
    <row r="42" spans="1:18" x14ac:dyDescent="0.25">
      <c r="A42" s="251" t="s">
        <v>17</v>
      </c>
      <c r="B42" s="252" t="s">
        <v>18</v>
      </c>
      <c r="C42" s="252" t="s">
        <v>298</v>
      </c>
      <c r="D42" s="253">
        <v>18</v>
      </c>
    </row>
    <row r="43" spans="1:18" x14ac:dyDescent="0.25">
      <c r="A43" s="251" t="s">
        <v>17</v>
      </c>
      <c r="B43" s="252" t="s">
        <v>14</v>
      </c>
      <c r="C43" s="252" t="s">
        <v>34</v>
      </c>
      <c r="D43" s="253">
        <v>13</v>
      </c>
    </row>
    <row r="44" spans="1:18" x14ac:dyDescent="0.25">
      <c r="A44" s="251" t="s">
        <v>17</v>
      </c>
      <c r="B44" s="252" t="s">
        <v>18</v>
      </c>
      <c r="C44" s="252" t="s">
        <v>34</v>
      </c>
      <c r="D44" s="253">
        <v>21</v>
      </c>
    </row>
    <row r="45" spans="1:18" x14ac:dyDescent="0.25">
      <c r="A45" s="251" t="s">
        <v>13</v>
      </c>
      <c r="B45" s="252" t="s">
        <v>14</v>
      </c>
      <c r="C45" s="252" t="s">
        <v>298</v>
      </c>
      <c r="D45" s="253">
        <v>1</v>
      </c>
    </row>
    <row r="46" spans="1:18" x14ac:dyDescent="0.25">
      <c r="A46" s="251" t="s">
        <v>13</v>
      </c>
      <c r="B46" s="252" t="s">
        <v>18</v>
      </c>
      <c r="C46" s="252" t="s">
        <v>298</v>
      </c>
      <c r="D46" s="253">
        <v>0</v>
      </c>
    </row>
    <row r="47" spans="1:18" x14ac:dyDescent="0.25">
      <c r="A47" s="251" t="s">
        <v>13</v>
      </c>
      <c r="B47" s="252" t="s">
        <v>14</v>
      </c>
      <c r="C47" s="252" t="s">
        <v>34</v>
      </c>
      <c r="D47" s="253">
        <v>0</v>
      </c>
    </row>
    <row r="48" spans="1:18" x14ac:dyDescent="0.25">
      <c r="A48" s="251" t="s">
        <v>13</v>
      </c>
      <c r="B48" s="252" t="s">
        <v>18</v>
      </c>
      <c r="C48" s="252" t="s">
        <v>34</v>
      </c>
      <c r="D48" s="253">
        <v>0</v>
      </c>
    </row>
    <row r="49" spans="1:4" x14ac:dyDescent="0.25">
      <c r="A49" s="251" t="s">
        <v>29</v>
      </c>
      <c r="B49" s="252" t="s">
        <v>14</v>
      </c>
      <c r="C49" s="252" t="s">
        <v>298</v>
      </c>
      <c r="D49" s="253">
        <v>17</v>
      </c>
    </row>
    <row r="50" spans="1:4" x14ac:dyDescent="0.25">
      <c r="A50" s="251" t="s">
        <v>29</v>
      </c>
      <c r="B50" s="252" t="s">
        <v>18</v>
      </c>
      <c r="C50" s="252" t="s">
        <v>298</v>
      </c>
      <c r="D50" s="253">
        <v>2</v>
      </c>
    </row>
    <row r="51" spans="1:4" x14ac:dyDescent="0.25">
      <c r="A51" s="251" t="s">
        <v>29</v>
      </c>
      <c r="B51" s="252" t="s">
        <v>14</v>
      </c>
      <c r="C51" s="252" t="s">
        <v>34</v>
      </c>
      <c r="D51" s="253">
        <v>3</v>
      </c>
    </row>
    <row r="52" spans="1:4" x14ac:dyDescent="0.25">
      <c r="A52" s="251" t="s">
        <v>29</v>
      </c>
      <c r="B52" s="252" t="s">
        <v>18</v>
      </c>
      <c r="C52" s="252" t="s">
        <v>34</v>
      </c>
      <c r="D52" s="253">
        <v>0</v>
      </c>
    </row>
    <row r="53" spans="1:4" x14ac:dyDescent="0.25">
      <c r="A53" s="251" t="s">
        <v>825</v>
      </c>
      <c r="B53" s="252" t="s">
        <v>14</v>
      </c>
      <c r="C53" s="252" t="s">
        <v>298</v>
      </c>
      <c r="D53" s="253">
        <v>14</v>
      </c>
    </row>
    <row r="54" spans="1:4" x14ac:dyDescent="0.25">
      <c r="A54" s="251" t="s">
        <v>825</v>
      </c>
      <c r="B54" s="252" t="s">
        <v>18</v>
      </c>
      <c r="C54" s="252" t="s">
        <v>298</v>
      </c>
      <c r="D54" s="253">
        <v>1</v>
      </c>
    </row>
    <row r="55" spans="1:4" x14ac:dyDescent="0.25">
      <c r="A55" s="251" t="s">
        <v>825</v>
      </c>
      <c r="B55" s="252" t="s">
        <v>14</v>
      </c>
      <c r="C55" s="252" t="s">
        <v>34</v>
      </c>
      <c r="D55" s="253">
        <v>0</v>
      </c>
    </row>
    <row r="56" spans="1:4" x14ac:dyDescent="0.25">
      <c r="A56" s="251" t="s">
        <v>825</v>
      </c>
      <c r="B56" s="252" t="s">
        <v>18</v>
      </c>
      <c r="C56" s="252" t="s">
        <v>34</v>
      </c>
      <c r="D56" s="253">
        <v>0</v>
      </c>
    </row>
  </sheetData>
  <autoFilter ref="A1:Q33"/>
  <sortState ref="A22:D41">
    <sortCondition ref="A22:A4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Well Data-NK</vt:lpstr>
      <vt:lpstr>cleanWellData</vt:lpstr>
      <vt:lpstr>Well_Data_NK_Upcoming</vt:lpstr>
      <vt:lpstr>RigScheduleTest</vt:lpstr>
      <vt:lpstr>Rig_Schedule_View (2)</vt:lpstr>
      <vt:lpstr>Rig_Schedule_View</vt:lpstr>
      <vt:lpstr>Sheet2</vt:lpstr>
      <vt:lpstr>DailyDrillingUpdate</vt:lpstr>
      <vt:lpstr>Sheet1</vt:lpstr>
      <vt:lpstr>Dashboard 15 16 AAP</vt:lpstr>
      <vt:lpstr>Dashboard</vt:lpstr>
      <vt:lpstr>Planning and Target Times</vt:lpstr>
      <vt:lpstr>P50P25 Drill Times by Type</vt:lpstr>
      <vt:lpstr>Rig Mud Co</vt:lpstr>
      <vt:lpstr>P50 and P25 table</vt:lpstr>
      <vt:lpstr>Well Data-SEK</vt:lpstr>
      <vt:lpstr>Schedule2014</vt:lpstr>
      <vt:lpstr>Visual Schedule</vt:lpstr>
      <vt:lpstr>P50P25 Drill Times</vt:lpstr>
      <vt:lpstr>15-16 DP PLANNED ONLY</vt:lpstr>
      <vt:lpstr>15-16 DP</vt:lpstr>
      <vt:lpstr>15-16_DP_Tables</vt:lpstr>
      <vt:lpstr>15-16 Composit</vt:lpstr>
    </vt:vector>
  </TitlesOfParts>
  <Company>Quantum Reservoir Impact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Peña</dc:creator>
  <cp:lastModifiedBy>Henry Ted Kernan</cp:lastModifiedBy>
  <dcterms:created xsi:type="dcterms:W3CDTF">2014-02-11T09:27:51Z</dcterms:created>
  <dcterms:modified xsi:type="dcterms:W3CDTF">2015-08-24T11:28:02Z</dcterms:modified>
</cp:coreProperties>
</file>